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student.A126649\Downloads\"/>
    </mc:Choice>
  </mc:AlternateContent>
  <xr:revisionPtr revIDLastSave="0" documentId="13_ncr:1_{FB625F2B-F20B-4080-A80C-F4B8AF564EB4}" xr6:coauthVersionLast="47" xr6:coauthVersionMax="47" xr10:uidLastSave="{00000000-0000-0000-0000-000000000000}"/>
  <bookViews>
    <workbookView xWindow="270" yWindow="270" windowWidth="28530" windowHeight="17130" activeTab="4" xr2:uid="{FAE91376-20EB-4C04-A544-0EB41648DF42}"/>
  </bookViews>
  <sheets>
    <sheet name="Analysis" sheetId="40" r:id="rId1"/>
    <sheet name="Information Technology" sheetId="5" r:id="rId2"/>
    <sheet name="Diversification" sheetId="44" r:id="rId3"/>
    <sheet name="Correlation Matrices" sheetId="53" r:id="rId4"/>
    <sheet name="International Market" sheetId="45" r:id="rId5"/>
  </sheets>
  <definedNames>
    <definedName name="_xlnm._FilterDatabase" localSheetId="0" hidden="1">Analysis!$M$2:$M$259</definedName>
    <definedName name="CIQWBGuid" hidden="1">"85b092c9-5771-43a2-81ec-59caa5787f6a"</definedName>
    <definedName name="CIQWBInfo" hidden="1">"{ ""CIQVersion"":""9.50.2716.4594"" }"</definedName>
    <definedName name="IQ_CH">110000</definedName>
    <definedName name="IQ_CQ">5000</definedName>
    <definedName name="IQ_CY">10000</definedName>
    <definedName name="IQ_DAILY">500000</definedName>
    <definedName name="IQ_DNTM" hidden="1">700000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MTD" hidden="1">800000</definedName>
    <definedName name="IQ_NAMES_REVISION_DATE_" hidden="1">45180.7559259259</definedName>
    <definedName name="IQ_NTM">6000</definedName>
    <definedName name="IQ_QTD" hidden="1">750000</definedName>
    <definedName name="IQ_TODAY" hidden="1">0</definedName>
    <definedName name="IQ_WEEK">50000</definedName>
    <definedName name="IQ_YTD">3000</definedName>
    <definedName name="IQ_YTDMONTH" hidden="1">130000</definedName>
    <definedName name="IQRInternationalMarketD131" hidden="1">'International Market'!$E$132:$E$136</definedName>
    <definedName name="IQRInternationalMarketE100" hidden="1">'International Market'!$E$97:$E$101</definedName>
    <definedName name="IQRInternationalMarketE102" hidden="1">'International Market'!$E$97:$E$101</definedName>
    <definedName name="IQRInternationalMarketE103" hidden="1">'International Market'!$E$104:$E$108</definedName>
    <definedName name="IQRInternationalMarketE104" hidden="1">'International Market'!$E$83:$E$87</definedName>
    <definedName name="IQRInternationalMarketE107" hidden="1">'International Market'!$E$104:$E$108</definedName>
    <definedName name="IQRInternationalMarketE109" hidden="1">'International Market'!$E$111:$E$115</definedName>
    <definedName name="IQRInternationalMarketE11" hidden="1">'International Market'!$E$3:$E$7</definedName>
    <definedName name="IQRInternationalMarketE111" hidden="1">'International Market'!$E$97:$E$101</definedName>
    <definedName name="IQRInternationalMarketE116" hidden="1">'International Market'!$E$118:$E$122</definedName>
    <definedName name="IQRInternationalMarketE118" hidden="1">'International Market'!$E$104:$E$108</definedName>
    <definedName name="IQRInternationalMarketE123" hidden="1">'International Market'!$E$125:$E$129</definedName>
    <definedName name="IQRInternationalMarketE16" hidden="1">'International Market'!$E$17:$E$21</definedName>
    <definedName name="IQRInternationalMarketE18" hidden="1">'International Market'!$E$10:$E$14</definedName>
    <definedName name="IQRInternationalMarketE2" hidden="1">'International Market'!$E$3:$E$7</definedName>
    <definedName name="IQRInternationalMarketE23" hidden="1">'International Market'!$E$24:$E$28</definedName>
    <definedName name="IQRInternationalMarketE25" hidden="1">'International Market'!#REF!</definedName>
    <definedName name="IQRInternationalMarketE29" hidden="1">'International Market'!$E$69:$E$73</definedName>
    <definedName name="IQRInternationalMarketE30" hidden="1">'International Market'!$E$31:$E$34</definedName>
    <definedName name="IQRInternationalMarketE32" hidden="1">'International Market'!#REF!</definedName>
    <definedName name="IQRInternationalMarketE36" hidden="1">'International Market'!$E$37:$E$41</definedName>
    <definedName name="IQRInternationalMarketE37" hidden="1">'International Market'!$E$69:$E$73</definedName>
    <definedName name="IQRInternationalMarketE39" hidden="1">'International Market'!#REF!</definedName>
    <definedName name="IQRInternationalMarketE43" hidden="1">'International Market'!$E$44:$E$48</definedName>
    <definedName name="IQRInternationalMarketE44" hidden="1">'International Market'!$E$83:$E$87</definedName>
    <definedName name="IQRInternationalMarketE46" hidden="1">'International Market'!#REF!</definedName>
    <definedName name="IQRInternationalMarketE48" hidden="1">'International Market'!#REF!</definedName>
    <definedName name="IQRInternationalMarketE50" hidden="1">'International Market'!$E$51:$E$55</definedName>
    <definedName name="IQRInternationalMarketE51" hidden="1">'International Market'!$E$97:$E$101</definedName>
    <definedName name="IQRInternationalMarketE53" hidden="1">'International Market'!#REF!</definedName>
    <definedName name="IQRInternationalMarketE54" hidden="1">'International Market'!#REF!</definedName>
    <definedName name="IQRInternationalMarketE57" hidden="1">'International Market'!$E$58:$E$59</definedName>
    <definedName name="IQRInternationalMarketE58" hidden="1">'International Market'!$E$104:$E$108</definedName>
    <definedName name="IQRInternationalMarketE60" hidden="1">'International Market'!#REF!</definedName>
    <definedName name="IQRInternationalMarketE62" hidden="1">'International Market'!#REF!</definedName>
    <definedName name="IQRInternationalMarketE65" hidden="1">'International Market'!$E$83:$E$87</definedName>
    <definedName name="IQRInternationalMarketE67" hidden="1">'International Market'!#REF!</definedName>
    <definedName name="IQRInternationalMarketE69" hidden="1">'International Market'!#REF!</definedName>
    <definedName name="IQRInternationalMarketE72" hidden="1">'International Market'!$E$97:$E$101</definedName>
    <definedName name="IQRInternationalMarketE74" hidden="1">'International Market'!#REF!</definedName>
    <definedName name="IQRInternationalMarketE76" hidden="1">'International Market'!#REF!</definedName>
    <definedName name="IQRInternationalMarketE79" hidden="1">'International Market'!$E$104:$E$108</definedName>
    <definedName name="IQRInternationalMarketE81" hidden="1">'International Market'!#REF!</definedName>
    <definedName name="IQRInternationalMarketE83" hidden="1">'International Market'!#REF!</definedName>
    <definedName name="IQRInternationalMarketE86" hidden="1">'International Market'!$E$69:$E$73</definedName>
    <definedName name="IQRInternationalMarketE88" hidden="1">'International Market'!$E$69:$E$73</definedName>
    <definedName name="IQRInternationalMarketE9" hidden="1">'International Market'!$E$10:$E$14</definedName>
    <definedName name="IQRInternationalMarketE90" hidden="1">'International Market'!#REF!</definedName>
    <definedName name="IQRInternationalMarketE93" hidden="1">'International Market'!$E$83:$E$87</definedName>
    <definedName name="IQRInternationalMarketE95" hidden="1">'International Market'!$E$83:$E$87</definedName>
    <definedName name="IQRInternationalMarketE97" hidden="1">'International Market'!$E$69:$E$73</definedName>
    <definedName name="IQRInternationalMarketF10" hidden="1">'International Market'!$F$3:$F$7</definedName>
    <definedName name="IQRInternationalMarketF100" hidden="1">'International Market'!$F$97:$F$101</definedName>
    <definedName name="IQRInternationalMarketF102" hidden="1">'International Market'!$F$97:$F$101</definedName>
    <definedName name="IQRInternationalMarketF103" hidden="1">'International Market'!$F$104:$F$108</definedName>
    <definedName name="IQRInternationalMarketF104" hidden="1">'International Market'!$F$83:$F$87</definedName>
    <definedName name="IQRInternationalMarketF107" hidden="1">'International Market'!$F$104:$F$108</definedName>
    <definedName name="IQRInternationalMarketF109" hidden="1">'International Market'!$F$111:$F$115</definedName>
    <definedName name="IQRInternationalMarketF111" hidden="1">'International Market'!$F$97:$F$101</definedName>
    <definedName name="IQRInternationalMarketF116" hidden="1">'International Market'!$F$118:$F$122</definedName>
    <definedName name="IQRInternationalMarketF118" hidden="1">'International Market'!$F$104:$F$108</definedName>
    <definedName name="IQRInternationalMarketF123" hidden="1">'International Market'!$F$125:$F$129</definedName>
    <definedName name="IQRInternationalMarketF131" hidden="1">'International Market'!$F$132:$F$136</definedName>
    <definedName name="IQRInternationalMarketF16" hidden="1">'International Market'!$F$17:$F$21</definedName>
    <definedName name="IQRInternationalMarketF18" hidden="1">'International Market'!$F$10:$F$14</definedName>
    <definedName name="IQRInternationalMarketF2" hidden="1">'International Market'!$F$3:$F$7</definedName>
    <definedName name="IQRInternationalMarketF23" hidden="1">'International Market'!$F$24:$F$28</definedName>
    <definedName name="IQRInternationalMarketF25" hidden="1">'International Market'!#REF!</definedName>
    <definedName name="IQRInternationalMarketF29" hidden="1">'International Market'!$F$69:$F$73</definedName>
    <definedName name="IQRInternationalMarketF30" hidden="1">'International Market'!$F$31:$F$34</definedName>
    <definedName name="IQRInternationalMarketF32" hidden="1">'International Market'!#REF!</definedName>
    <definedName name="IQRInternationalMarketF36" hidden="1">'International Market'!$F$37:$F$41</definedName>
    <definedName name="IQRInternationalMarketF37" hidden="1">'International Market'!$F$69:$F$73</definedName>
    <definedName name="IQRInternationalMarketF39" hidden="1">'International Market'!#REF!</definedName>
    <definedName name="IQRInternationalMarketF43" hidden="1">'International Market'!$F$44:$F$48</definedName>
    <definedName name="IQRInternationalMarketF44" hidden="1">'International Market'!$F$83:$F$87</definedName>
    <definedName name="IQRInternationalMarketF46" hidden="1">'International Market'!#REF!</definedName>
    <definedName name="IQRInternationalMarketF48" hidden="1">'International Market'!#REF!</definedName>
    <definedName name="IQRInternationalMarketF49" hidden="1">'International Market'!#REF!</definedName>
    <definedName name="IQRInternationalMarketF50" hidden="1">'International Market'!$F$51:$F$55</definedName>
    <definedName name="IQRInternationalMarketF51" hidden="1">'International Market'!$F$97:$F$101</definedName>
    <definedName name="IQRInternationalMarketF53" hidden="1">'International Market'!#REF!</definedName>
    <definedName name="IQRInternationalMarketF54" hidden="1">'International Market'!#REF!</definedName>
    <definedName name="IQRInternationalMarketF57" hidden="1">'International Market'!$F$58:$F$59</definedName>
    <definedName name="IQRInternationalMarketF58" hidden="1">'International Market'!$F$104:$F$108</definedName>
    <definedName name="IQRInternationalMarketF60" hidden="1">'International Market'!#REF!</definedName>
    <definedName name="IQRInternationalMarketF62" hidden="1">'International Market'!#REF!</definedName>
    <definedName name="IQRInternationalMarketF65" hidden="1">'International Market'!$F$83:$F$87</definedName>
    <definedName name="IQRInternationalMarketF67" hidden="1">'International Market'!#REF!</definedName>
    <definedName name="IQRInternationalMarketF69" hidden="1">'International Market'!#REF!</definedName>
    <definedName name="IQRInternationalMarketF72" hidden="1">'International Market'!$F$97:$F$101</definedName>
    <definedName name="IQRInternationalMarketF74" hidden="1">'International Market'!#REF!</definedName>
    <definedName name="IQRInternationalMarketF76" hidden="1">'International Market'!#REF!</definedName>
    <definedName name="IQRInternationalMarketF79" hidden="1">'International Market'!$F$104:$F$108</definedName>
    <definedName name="IQRInternationalMarketF81" hidden="1">'International Market'!#REF!</definedName>
    <definedName name="IQRInternationalMarketF83" hidden="1">'International Market'!#REF!</definedName>
    <definedName name="IQRInternationalMarketF86" hidden="1">'International Market'!$F$69:$F$73</definedName>
    <definedName name="IQRInternationalMarketF88" hidden="1">'International Market'!$F$69:$F$73</definedName>
    <definedName name="IQRInternationalMarketF9" hidden="1">'International Market'!$F$10:$F$14</definedName>
    <definedName name="IQRInternationalMarketF90" hidden="1">'International Market'!#REF!</definedName>
    <definedName name="IQRInternationalMarketF93" hidden="1">'International Market'!$F$83:$F$87</definedName>
    <definedName name="IQRInternationalMarketF95" hidden="1">'International Market'!$F$83:$F$87</definedName>
    <definedName name="IQRInternationalMarketF97" hidden="1">'International Market'!$F$69:$F$73</definedName>
    <definedName name="IQRInternationalMarketJ20" hidden="1">'International Market'!#REF!</definedName>
    <definedName name="IQRInternationalMarketJ47" hidden="1">'International Market'!$D$47:$D$52</definedName>
    <definedName name="IQRInternationalMarketK16" hidden="1">'International Market'!$E$17:$E$21</definedName>
    <definedName name="IQRInternationalMarketK21" hidden="1">'International Market'!$E$31:$E$34</definedName>
    <definedName name="IQRInternationalMarketK25" hidden="1">'International Market'!$E$24:$E$28</definedName>
    <definedName name="IQRInternationalMarketK27" hidden="1">'International Market'!$E$37:$E$41</definedName>
    <definedName name="IQRInternationalMarketK33" hidden="1">'International Market'!$E$44:$E$48</definedName>
    <definedName name="IQRInternationalMarketK39" hidden="1">'International Market'!$E$51:$E$55</definedName>
    <definedName name="IQRInternationalMarketK45" hidden="1">'International Market'!$E$58:$E$59</definedName>
    <definedName name="IQRInternationalMarketK48" hidden="1">'International Market'!$E$48:$E$53</definedName>
    <definedName name="IQRInternationalMarketK50" hidden="1">'International Market'!$E$51</definedName>
    <definedName name="IQRInternationalMarketK52" hidden="1">'International Market'!$E$62:$E$66</definedName>
    <definedName name="IQRInternationalMarketK74" hidden="1">'International Market'!$E$76:$E$80</definedName>
    <definedName name="IQRInternationalMarketK88" hidden="1">'International Market'!$E$90:$E$94</definedName>
    <definedName name="IQRInternationalMarketL16" hidden="1">'International Market'!$F$17:$F$21</definedName>
    <definedName name="IQRInternationalMarketL21" hidden="1">'International Market'!$F$31:$F$34</definedName>
    <definedName name="IQRInternationalMarketL25" hidden="1">'International Market'!$F$24:$F$28</definedName>
    <definedName name="IQRInternationalMarketL27" hidden="1">'International Market'!$F$37:$F$41</definedName>
    <definedName name="IQRInternationalMarketL33" hidden="1">'International Market'!$F$44:$F$48</definedName>
    <definedName name="IQRInternationalMarketL34" hidden="1">'International Market'!$F$24:$F$28</definedName>
    <definedName name="IQRInternationalMarketL39" hidden="1">'International Market'!$F$51:$F$55</definedName>
    <definedName name="IQRInternationalMarketL45" hidden="1">'International Market'!$F$58:$F$59</definedName>
    <definedName name="IQRInternationalMarketL47" hidden="1">'International Market'!$F$47:$F$52</definedName>
    <definedName name="IQRInternationalMarketL52" hidden="1">'International Market'!$F$62:$F$66</definedName>
    <definedName name="IQRInternationalMarketL74" hidden="1">'International Market'!$F$76:$F$80</definedName>
    <definedName name="IQRInternationalMarketL88" hidden="1">'International Market'!$F$90:$F$94</definedName>
    <definedName name="IQRInternationalMarketM13" hidden="1">'International Market'!$E$17:$E$21</definedName>
    <definedName name="IQRInternationalMarketN13" hidden="1">'International Market'!$F$17:$F$21</definedName>
    <definedName name="_xlnm.Print_Titles" localSheetId="0">Analysis!#REF!</definedName>
  </definedNames>
  <calcPr calcId="191029" iterateDelta="9.9999999999994451E-4"/>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137" i="45" l="1"/>
  <c r="F136" i="45"/>
  <c r="F132" i="45"/>
  <c r="F133" i="45"/>
  <c r="F134" i="45"/>
  <c r="F135" i="45"/>
  <c r="E131" i="45" a="1"/>
  <c r="E131" i="45" l="1"/>
  <c r="E136" i="45"/>
  <c r="E132" i="45"/>
  <c r="E133" i="45"/>
  <c r="E134" i="45"/>
  <c r="E135" i="45"/>
  <c r="G3853" i="5"/>
  <c r="K3808" i="5"/>
  <c r="K3868" i="5"/>
  <c r="K3613" i="5"/>
  <c r="M3778" i="5"/>
  <c r="M3763" i="5"/>
  <c r="J3718" i="5"/>
  <c r="M3658" i="5"/>
  <c r="F3658" i="5"/>
  <c r="I3763" i="5"/>
  <c r="I3508" i="5"/>
  <c r="H3508" i="5" s="1"/>
  <c r="J3523" i="5"/>
  <c r="K3628" i="5"/>
  <c r="I3553" i="5"/>
  <c r="J3508" i="5"/>
  <c r="G3508" i="5"/>
  <c r="J3538" i="5"/>
  <c r="K3598" i="5"/>
  <c r="I3373" i="5"/>
  <c r="H3373" i="5" s="1"/>
  <c r="G3538" i="5"/>
  <c r="N3448" i="5"/>
  <c r="M3433" i="5"/>
  <c r="I3433" i="5"/>
  <c r="H3433" i="5" s="1"/>
  <c r="G3463" i="5"/>
  <c r="M3448" i="5"/>
  <c r="J3388" i="5"/>
  <c r="M3463" i="5"/>
  <c r="F3463" i="5"/>
  <c r="I3283" i="5"/>
  <c r="H3283" i="5" s="1"/>
  <c r="J3298" i="5"/>
  <c r="I3298" i="5"/>
  <c r="H3298" i="5" s="1"/>
  <c r="J3853" i="5"/>
  <c r="F3808" i="5"/>
  <c r="M3868" i="5"/>
  <c r="I3733" i="5"/>
  <c r="J3748" i="5"/>
  <c r="N3748" i="5"/>
  <c r="N3703" i="5"/>
  <c r="K3778" i="5"/>
  <c r="M3823" i="5"/>
  <c r="I3823" i="5"/>
  <c r="H3823" i="5" s="1"/>
  <c r="G3613" i="5"/>
  <c r="N3778" i="5"/>
  <c r="J3778" i="5"/>
  <c r="F3718" i="5"/>
  <c r="K3718" i="5"/>
  <c r="N3613" i="5"/>
  <c r="N3643" i="5"/>
  <c r="K3763" i="5"/>
  <c r="J3688" i="5"/>
  <c r="F3688" i="5"/>
  <c r="I3688" i="5"/>
  <c r="H3688" i="5" s="1"/>
  <c r="F3508" i="5"/>
  <c r="J3628" i="5"/>
  <c r="M3628" i="5"/>
  <c r="G3583" i="5"/>
  <c r="N3553" i="5"/>
  <c r="K3568" i="5"/>
  <c r="G3568" i="5"/>
  <c r="F3448" i="5"/>
  <c r="M3373" i="5"/>
  <c r="F3388" i="5"/>
  <c r="F3478" i="5"/>
  <c r="G3478" i="5"/>
  <c r="N3298" i="5"/>
  <c r="G3298" i="5"/>
  <c r="K3298" i="5"/>
  <c r="N3403" i="5"/>
  <c r="G3403" i="5"/>
  <c r="M3283" i="5"/>
  <c r="G3808" i="5"/>
  <c r="I3808" i="5"/>
  <c r="I3868" i="5"/>
  <c r="I3703" i="5"/>
  <c r="J3733" i="5"/>
  <c r="N3823" i="5"/>
  <c r="G3823" i="5"/>
  <c r="K3703" i="5"/>
  <c r="G3763" i="5"/>
  <c r="I3718" i="5"/>
  <c r="M3673" i="5"/>
  <c r="I3643" i="5"/>
  <c r="K3643" i="5"/>
  <c r="G3628" i="5"/>
  <c r="M3688" i="5"/>
  <c r="G3688" i="5"/>
  <c r="M3523" i="5"/>
  <c r="K3523" i="5"/>
  <c r="N3583" i="5"/>
  <c r="F3538" i="5"/>
  <c r="F3598" i="5"/>
  <c r="J3568" i="5"/>
  <c r="M3568" i="5"/>
  <c r="J3583" i="5"/>
  <c r="N3433" i="5"/>
  <c r="F3433" i="5"/>
  <c r="F3373" i="5"/>
  <c r="K3448" i="5"/>
  <c r="I3448" i="5"/>
  <c r="H3448" i="5"/>
  <c r="I3493" i="5"/>
  <c r="H3493" i="5" s="1"/>
  <c r="N3478" i="5"/>
  <c r="I3478" i="5"/>
  <c r="H3478" i="5" s="1"/>
  <c r="J3463" i="5"/>
  <c r="K3493" i="5"/>
  <c r="G3388" i="5"/>
  <c r="I3388" i="5"/>
  <c r="H3388" i="5" s="1"/>
  <c r="F3283" i="5"/>
  <c r="J3283" i="5"/>
  <c r="M3298" i="5"/>
  <c r="M3853" i="5"/>
  <c r="N3853" i="5"/>
  <c r="F3403" i="5"/>
  <c r="M3748" i="5"/>
  <c r="M3808" i="5"/>
  <c r="K3853" i="5"/>
  <c r="G3703" i="5"/>
  <c r="K3793" i="5"/>
  <c r="F3733" i="5"/>
  <c r="F3823" i="5"/>
  <c r="K3823" i="5"/>
  <c r="M3703" i="5"/>
  <c r="K3673" i="5"/>
  <c r="N3673" i="5"/>
  <c r="G3778" i="5"/>
  <c r="N3658" i="5"/>
  <c r="I3613" i="5"/>
  <c r="F3673" i="5"/>
  <c r="G3643" i="5"/>
  <c r="K3658" i="5"/>
  <c r="G3658" i="5"/>
  <c r="N3523" i="5"/>
  <c r="N3628" i="5"/>
  <c r="M3643" i="5"/>
  <c r="G3553" i="5"/>
  <c r="M3553" i="5"/>
  <c r="N3508" i="5"/>
  <c r="K3583" i="5"/>
  <c r="F3583" i="5"/>
  <c r="M3538" i="5"/>
  <c r="K3373" i="5"/>
  <c r="F3568" i="5"/>
  <c r="I3568" i="5"/>
  <c r="K3433" i="5"/>
  <c r="J3373" i="5"/>
  <c r="G3493" i="5"/>
  <c r="K3478" i="5"/>
  <c r="J3433" i="5"/>
  <c r="K3283" i="5"/>
  <c r="J3493" i="5"/>
  <c r="M3493" i="5"/>
  <c r="I3403" i="5"/>
  <c r="H3403" i="5" s="1"/>
  <c r="G3283" i="5"/>
  <c r="N3283" i="5"/>
  <c r="J3868" i="5"/>
  <c r="F3868" i="5"/>
  <c r="F3853" i="5"/>
  <c r="J3808" i="5"/>
  <c r="G3868" i="5"/>
  <c r="G3733" i="5"/>
  <c r="N3733" i="5"/>
  <c r="K3748" i="5"/>
  <c r="I3793" i="5"/>
  <c r="F3793" i="5"/>
  <c r="N3793" i="5"/>
  <c r="F3703" i="5"/>
  <c r="G3793" i="5"/>
  <c r="M3793" i="5"/>
  <c r="F3778" i="5"/>
  <c r="J3823" i="5"/>
  <c r="F3613" i="5"/>
  <c r="J3673" i="5"/>
  <c r="G3673" i="5"/>
  <c r="N3763" i="5"/>
  <c r="G3718" i="5"/>
  <c r="M3718" i="5"/>
  <c r="F3628" i="5"/>
  <c r="K3688" i="5"/>
  <c r="I3658" i="5"/>
  <c r="K3508" i="5"/>
  <c r="F3523" i="5"/>
  <c r="J3553" i="5"/>
  <c r="K3553" i="5"/>
  <c r="M3598" i="5"/>
  <c r="G3598" i="5"/>
  <c r="F3553" i="5"/>
  <c r="K3538" i="5"/>
  <c r="I3598" i="5"/>
  <c r="J3598" i="5"/>
  <c r="M3583" i="5"/>
  <c r="I3583" i="5"/>
  <c r="I3538" i="5"/>
  <c r="J3448" i="5"/>
  <c r="G3433" i="5"/>
  <c r="K3463" i="5"/>
  <c r="I3463" i="5"/>
  <c r="H3463" i="5" s="1"/>
  <c r="N3868" i="5"/>
  <c r="I3853" i="5"/>
  <c r="H3853" i="5" s="1"/>
  <c r="F3298" i="5"/>
  <c r="I3748" i="5"/>
  <c r="G3748" i="5"/>
  <c r="N3808" i="5"/>
  <c r="K3733" i="5"/>
  <c r="M3733" i="5"/>
  <c r="F3748" i="5"/>
  <c r="J3703" i="5"/>
  <c r="J3793" i="5"/>
  <c r="M3613" i="5"/>
  <c r="I3673" i="5"/>
  <c r="I3778" i="5"/>
  <c r="N3718" i="5"/>
  <c r="J3613" i="5"/>
  <c r="F3763" i="5"/>
  <c r="J3763" i="5"/>
  <c r="J3643" i="5"/>
  <c r="F3643" i="5"/>
  <c r="J3658" i="5"/>
  <c r="I3628" i="5"/>
  <c r="N3688" i="5"/>
  <c r="M3508" i="5"/>
  <c r="G3523" i="5"/>
  <c r="I3523" i="5"/>
  <c r="H3523" i="5" s="1"/>
  <c r="N3538" i="5"/>
  <c r="N3598" i="5"/>
  <c r="N3373" i="5"/>
  <c r="G3373" i="5"/>
  <c r="N3568" i="5"/>
  <c r="J3478" i="5"/>
  <c r="M3478" i="5"/>
  <c r="G3448" i="5"/>
  <c r="N3463" i="5"/>
  <c r="N3493" i="5"/>
  <c r="F3493" i="5"/>
  <c r="N3388" i="5"/>
  <c r="K3388" i="5"/>
  <c r="M3388" i="5"/>
  <c r="F3343" i="5"/>
  <c r="J3343" i="5"/>
  <c r="K3328" i="5"/>
  <c r="F3328" i="5"/>
  <c r="K3343" i="5"/>
  <c r="N3358" i="5"/>
  <c r="K3358" i="5"/>
  <c r="M3418" i="5"/>
  <c r="M3253" i="5"/>
  <c r="I3268" i="5"/>
  <c r="H3268" i="5" s="1"/>
  <c r="F3268" i="5"/>
  <c r="J3253" i="5"/>
  <c r="F3253" i="5"/>
  <c r="I3253" i="5"/>
  <c r="H3253" i="5" s="1"/>
  <c r="M3313" i="5"/>
  <c r="N3103" i="5"/>
  <c r="G3253" i="5"/>
  <c r="G3223" i="5"/>
  <c r="J3238" i="5"/>
  <c r="M3238" i="5"/>
  <c r="K3133" i="5"/>
  <c r="G3133" i="5"/>
  <c r="J3223" i="5"/>
  <c r="N3028" i="5"/>
  <c r="J3043" i="5"/>
  <c r="J3118" i="5"/>
  <c r="G3208" i="5"/>
  <c r="J3058" i="5"/>
  <c r="M2998" i="5"/>
  <c r="I3088" i="5"/>
  <c r="H3088" i="5" s="1"/>
  <c r="M3148" i="5"/>
  <c r="M2983" i="5"/>
  <c r="F3013" i="5"/>
  <c r="J3013" i="5"/>
  <c r="N2833" i="5"/>
  <c r="M2833" i="5"/>
  <c r="I2893" i="5"/>
  <c r="H2893" i="5" s="1"/>
  <c r="N2893" i="5"/>
  <c r="G2863" i="5"/>
  <c r="N2878" i="5"/>
  <c r="K2893" i="5"/>
  <c r="M2908" i="5"/>
  <c r="I2953" i="5"/>
  <c r="H2953" i="5" s="1"/>
  <c r="I2863" i="5"/>
  <c r="K2743" i="5"/>
  <c r="I2743" i="5"/>
  <c r="H2743" i="5" s="1"/>
  <c r="K2848" i="5"/>
  <c r="I2683" i="5"/>
  <c r="H2683" i="5" s="1"/>
  <c r="N2683" i="5"/>
  <c r="F2788" i="5"/>
  <c r="K2668" i="5"/>
  <c r="F2683" i="5"/>
  <c r="M2653" i="5"/>
  <c r="G2653" i="5"/>
  <c r="J2653" i="5"/>
  <c r="N2638" i="5"/>
  <c r="N2608" i="5"/>
  <c r="K2443" i="5"/>
  <c r="F2458" i="5"/>
  <c r="J2533" i="5"/>
  <c r="J2368" i="5"/>
  <c r="M2368" i="5"/>
  <c r="G2503" i="5"/>
  <c r="G2518" i="5"/>
  <c r="J2518" i="5"/>
  <c r="K2488" i="5"/>
  <c r="F2488" i="5"/>
  <c r="I2488" i="5"/>
  <c r="M2398" i="5"/>
  <c r="F2413" i="5"/>
  <c r="I2413" i="5"/>
  <c r="H2413" i="5" s="1"/>
  <c r="F2548" i="5"/>
  <c r="J2563" i="5"/>
  <c r="G2623" i="5"/>
  <c r="G2383" i="5"/>
  <c r="K2473" i="5"/>
  <c r="I2473" i="5"/>
  <c r="H2473" i="5" s="1"/>
  <c r="M2323" i="5"/>
  <c r="F2323" i="5"/>
  <c r="M2383" i="5"/>
  <c r="G2218" i="5"/>
  <c r="J2218" i="5"/>
  <c r="K2233" i="5"/>
  <c r="G2293" i="5"/>
  <c r="J2293" i="5"/>
  <c r="F2113" i="5"/>
  <c r="K2113" i="5"/>
  <c r="M2293" i="5"/>
  <c r="I2188" i="5"/>
  <c r="H2188" i="5" s="1"/>
  <c r="G2263" i="5"/>
  <c r="M2338" i="5"/>
  <c r="F2173" i="5"/>
  <c r="I2173" i="5"/>
  <c r="H2173" i="5" s="1"/>
  <c r="F2188" i="5"/>
  <c r="I2248" i="5"/>
  <c r="H2248" i="5" s="1"/>
  <c r="M2083" i="5"/>
  <c r="K2173" i="5"/>
  <c r="M2158" i="5"/>
  <c r="K2248" i="5"/>
  <c r="M1963" i="5"/>
  <c r="M2038" i="5"/>
  <c r="J2053" i="5"/>
  <c r="G1948" i="5"/>
  <c r="J1948" i="5"/>
  <c r="G1963" i="5"/>
  <c r="I1873" i="5"/>
  <c r="N1873" i="5"/>
  <c r="H1873" i="5"/>
  <c r="M2023" i="5"/>
  <c r="F1858" i="5"/>
  <c r="I1858" i="5"/>
  <c r="H1858" i="5" s="1"/>
  <c r="I1843" i="5"/>
  <c r="H1843" i="5" s="1"/>
  <c r="N1933" i="5"/>
  <c r="G1993" i="5"/>
  <c r="J1993" i="5"/>
  <c r="J2008" i="5"/>
  <c r="F1903" i="5"/>
  <c r="I1903" i="5"/>
  <c r="H1903" i="5" s="1"/>
  <c r="G1918" i="5"/>
  <c r="J1738" i="5"/>
  <c r="N1828" i="5"/>
  <c r="K1903" i="5"/>
  <c r="J1798" i="5"/>
  <c r="K1558" i="5"/>
  <c r="G1738" i="5"/>
  <c r="J1708" i="5"/>
  <c r="F1723" i="5"/>
  <c r="I1723" i="5"/>
  <c r="H1723" i="5" s="1"/>
  <c r="F1618" i="5"/>
  <c r="I1618" i="5"/>
  <c r="H1618" i="5" s="1"/>
  <c r="G1708" i="5"/>
  <c r="M3343" i="5"/>
  <c r="I3343" i="5"/>
  <c r="H3343" i="5" s="1"/>
  <c r="M3403" i="5"/>
  <c r="K3418" i="5"/>
  <c r="I3328" i="5"/>
  <c r="H3328" i="5" s="1"/>
  <c r="G3328" i="5"/>
  <c r="M3268" i="5"/>
  <c r="K3268" i="5"/>
  <c r="N3418" i="5"/>
  <c r="J3163" i="5"/>
  <c r="N3268" i="5"/>
  <c r="J3268" i="5"/>
  <c r="N3163" i="5"/>
  <c r="K3163" i="5"/>
  <c r="I3103" i="5"/>
  <c r="H3103" i="5" s="1"/>
  <c r="K3103" i="5"/>
  <c r="M3103" i="5"/>
  <c r="K3118" i="5"/>
  <c r="M3223" i="5"/>
  <c r="F3118" i="5"/>
  <c r="I3118" i="5"/>
  <c r="H3118" i="5" s="1"/>
  <c r="M3118" i="5"/>
  <c r="K3028" i="5"/>
  <c r="I3073" i="5"/>
  <c r="H3073" i="5" s="1"/>
  <c r="J2998" i="5"/>
  <c r="G3028" i="5"/>
  <c r="K3208" i="5"/>
  <c r="I3058" i="5"/>
  <c r="H3058" i="5" s="1"/>
  <c r="M3058" i="5"/>
  <c r="K2923" i="5"/>
  <c r="M2923" i="5"/>
  <c r="G3013" i="5"/>
  <c r="G2833" i="5"/>
  <c r="G2983" i="5"/>
  <c r="N2983" i="5"/>
  <c r="I2833" i="5"/>
  <c r="F2833" i="5"/>
  <c r="H2833" i="5"/>
  <c r="K2878" i="5"/>
  <c r="N2938" i="5"/>
  <c r="K2938" i="5"/>
  <c r="F2908" i="5"/>
  <c r="K2968" i="5"/>
  <c r="J2863" i="5"/>
  <c r="N2848" i="5"/>
  <c r="F2848" i="5"/>
  <c r="I2848" i="5"/>
  <c r="H2848" i="5" s="1"/>
  <c r="N2818" i="5"/>
  <c r="N2758" i="5"/>
  <c r="J2773" i="5"/>
  <c r="N2668" i="5"/>
  <c r="G2683" i="5"/>
  <c r="M2683" i="5"/>
  <c r="K2803" i="5"/>
  <c r="I2803" i="5"/>
  <c r="H2803" i="5" s="1"/>
  <c r="G2803" i="5"/>
  <c r="J2713" i="5"/>
  <c r="N2713" i="5"/>
  <c r="M2638" i="5"/>
  <c r="I2608" i="5"/>
  <c r="H2608" i="5" s="1"/>
  <c r="K2458" i="5"/>
  <c r="F2533" i="5"/>
  <c r="I2533" i="5"/>
  <c r="H2533" i="5" s="1"/>
  <c r="K2428" i="5"/>
  <c r="N2443" i="5"/>
  <c r="M2593" i="5"/>
  <c r="G2593" i="5"/>
  <c r="F2428" i="5"/>
  <c r="J2503" i="5"/>
  <c r="K2593" i="5"/>
  <c r="G2413" i="5"/>
  <c r="G2488" i="5"/>
  <c r="J2488" i="5"/>
  <c r="K2398" i="5"/>
  <c r="F2398" i="5"/>
  <c r="I2398" i="5"/>
  <c r="H2398" i="5" s="1"/>
  <c r="F2563" i="5"/>
  <c r="K2623" i="5"/>
  <c r="N2623" i="5"/>
  <c r="K2308" i="5"/>
  <c r="M2473" i="5"/>
  <c r="G2473" i="5"/>
  <c r="K2203" i="5"/>
  <c r="K2143" i="5"/>
  <c r="G2188" i="5"/>
  <c r="F2203" i="5"/>
  <c r="I2098" i="5"/>
  <c r="H2098" i="5" s="1"/>
  <c r="G2173" i="5"/>
  <c r="K2188" i="5"/>
  <c r="F2083" i="5"/>
  <c r="I2083" i="5"/>
  <c r="H2083" i="5" s="1"/>
  <c r="F2098" i="5"/>
  <c r="M2248" i="5"/>
  <c r="K2083" i="5"/>
  <c r="K2038" i="5"/>
  <c r="F2053" i="5"/>
  <c r="M1873" i="5"/>
  <c r="M1948" i="5"/>
  <c r="J1963" i="5"/>
  <c r="G1858" i="5"/>
  <c r="J1858" i="5"/>
  <c r="G1873" i="5"/>
  <c r="I1933" i="5"/>
  <c r="H1933" i="5" s="1"/>
  <c r="N2023" i="5"/>
  <c r="F1813" i="5"/>
  <c r="G1843" i="5"/>
  <c r="J1843" i="5"/>
  <c r="J1903" i="5"/>
  <c r="J1918" i="5"/>
  <c r="N2008" i="5"/>
  <c r="J2068" i="5"/>
  <c r="G1903" i="5"/>
  <c r="M1558" i="5"/>
  <c r="K1648" i="5"/>
  <c r="J1828" i="5"/>
  <c r="M1798" i="5"/>
  <c r="I1798" i="5"/>
  <c r="M1723" i="5"/>
  <c r="F1798" i="5"/>
  <c r="K1798" i="5"/>
  <c r="G1618" i="5"/>
  <c r="J1618" i="5"/>
  <c r="G1723" i="5"/>
  <c r="N3328" i="5"/>
  <c r="J3328" i="5"/>
  <c r="G3343" i="5"/>
  <c r="M3358" i="5"/>
  <c r="M3163" i="5"/>
  <c r="M3178" i="5"/>
  <c r="F3178" i="5"/>
  <c r="J3313" i="5"/>
  <c r="F3103" i="5"/>
  <c r="J3103" i="5"/>
  <c r="M3133" i="5"/>
  <c r="J3133" i="5"/>
  <c r="G3238" i="5"/>
  <c r="F3028" i="5"/>
  <c r="I3028" i="5"/>
  <c r="H3028" i="5" s="1"/>
  <c r="I3043" i="5"/>
  <c r="H3043" i="5" s="1"/>
  <c r="K2998" i="5"/>
  <c r="F2998" i="5"/>
  <c r="J3208" i="5"/>
  <c r="M3208" i="5"/>
  <c r="J3073" i="5"/>
  <c r="M3013" i="5"/>
  <c r="J2923" i="5"/>
  <c r="N3013" i="5"/>
  <c r="M2938" i="5"/>
  <c r="I2938" i="5"/>
  <c r="H2938" i="5" s="1"/>
  <c r="J2833" i="5"/>
  <c r="M2893" i="5"/>
  <c r="J2938" i="5"/>
  <c r="F2938" i="5"/>
  <c r="J2878" i="5"/>
  <c r="J2893" i="5"/>
  <c r="G2953" i="5"/>
  <c r="G2968" i="5"/>
  <c r="M2863" i="5"/>
  <c r="G2908" i="5"/>
  <c r="K2953" i="5"/>
  <c r="K2908" i="5"/>
  <c r="I2908" i="5"/>
  <c r="H2908" i="5" s="1"/>
  <c r="G2818" i="5"/>
  <c r="I2773" i="5"/>
  <c r="H2773" i="5" s="1"/>
  <c r="N2803" i="5"/>
  <c r="M2668" i="5"/>
  <c r="J2683" i="5"/>
  <c r="K2653" i="5"/>
  <c r="J2803" i="5"/>
  <c r="J2728" i="5"/>
  <c r="N2728" i="5"/>
  <c r="F2653" i="5"/>
  <c r="K2608" i="5"/>
  <c r="M2608" i="5"/>
  <c r="M2713" i="5"/>
  <c r="J2638" i="5"/>
  <c r="F2638" i="5"/>
  <c r="F2368" i="5"/>
  <c r="M2533" i="5"/>
  <c r="N2533" i="5"/>
  <c r="N2353" i="5"/>
  <c r="J2353" i="5"/>
  <c r="K2368" i="5"/>
  <c r="M2428" i="5"/>
  <c r="F2518" i="5"/>
  <c r="K2518" i="5"/>
  <c r="J2593" i="5"/>
  <c r="J2398" i="5"/>
  <c r="J2413" i="5"/>
  <c r="N2503" i="5"/>
  <c r="M2623" i="5"/>
  <c r="G2398" i="5"/>
  <c r="J2548" i="5"/>
  <c r="I2548" i="5"/>
  <c r="H2548" i="5" s="1"/>
  <c r="M2563" i="5"/>
  <c r="M2578" i="5"/>
  <c r="I2578" i="5"/>
  <c r="H2578" i="5" s="1"/>
  <c r="F2383" i="5"/>
  <c r="N2308" i="5"/>
  <c r="G2323" i="5"/>
  <c r="K2323" i="5"/>
  <c r="F2233" i="5"/>
  <c r="I2233" i="5"/>
  <c r="H2233" i="5" s="1"/>
  <c r="N2233" i="5"/>
  <c r="K2293" i="5"/>
  <c r="K2218" i="5"/>
  <c r="N2113" i="5"/>
  <c r="F2293" i="5"/>
  <c r="J2188" i="5"/>
  <c r="F2338" i="5"/>
  <c r="G2083" i="5"/>
  <c r="K2098" i="5"/>
  <c r="G2098" i="5"/>
  <c r="N2038" i="5"/>
  <c r="K2053" i="5"/>
  <c r="F2158" i="5"/>
  <c r="K1948" i="5"/>
  <c r="F1963" i="5"/>
  <c r="K1813" i="5"/>
  <c r="M1858" i="5"/>
  <c r="J1873" i="5"/>
  <c r="G1933" i="5"/>
  <c r="J1933" i="5"/>
  <c r="I2023" i="5"/>
  <c r="H2023" i="5" s="1"/>
  <c r="M2008" i="5"/>
  <c r="K2008" i="5"/>
  <c r="N2068" i="5"/>
  <c r="N1918" i="5"/>
  <c r="K1738" i="5"/>
  <c r="M2068" i="5"/>
  <c r="N1558" i="5"/>
  <c r="M1648" i="5"/>
  <c r="K1708" i="5"/>
  <c r="J1723" i="5"/>
  <c r="G1798" i="5"/>
  <c r="I3418" i="5"/>
  <c r="H3418" i="5" s="1"/>
  <c r="J3403" i="5"/>
  <c r="G3268" i="5"/>
  <c r="F3358" i="5"/>
  <c r="F3418" i="5"/>
  <c r="I3163" i="5"/>
  <c r="H3163" i="5" s="1"/>
  <c r="I3178" i="5"/>
  <c r="H3178" i="5" s="1"/>
  <c r="J3178" i="5"/>
  <c r="K3313" i="5"/>
  <c r="N3313" i="5"/>
  <c r="F3163" i="5"/>
  <c r="K3238" i="5"/>
  <c r="I3238" i="5"/>
  <c r="H3238" i="5" s="1"/>
  <c r="N3238" i="5"/>
  <c r="M3043" i="5"/>
  <c r="N3223" i="5"/>
  <c r="J3028" i="5"/>
  <c r="G3043" i="5"/>
  <c r="K3043" i="5"/>
  <c r="F3058" i="5"/>
  <c r="G3073" i="5"/>
  <c r="M3028" i="5"/>
  <c r="I3208" i="5"/>
  <c r="H3208" i="5" s="1"/>
  <c r="G3058" i="5"/>
  <c r="N3058" i="5"/>
  <c r="I3148" i="5"/>
  <c r="H3148" i="5" s="1"/>
  <c r="F3208" i="5"/>
  <c r="N3208" i="5"/>
  <c r="F2923" i="5"/>
  <c r="N3088" i="5"/>
  <c r="F2983" i="5"/>
  <c r="I2983" i="5"/>
  <c r="H2983" i="5" s="1"/>
  <c r="K2863" i="5"/>
  <c r="F2893" i="5"/>
  <c r="K2833" i="5"/>
  <c r="I2968" i="5"/>
  <c r="H2968" i="5" s="1"/>
  <c r="N2968" i="5"/>
  <c r="N2908" i="5"/>
  <c r="M2953" i="5"/>
  <c r="N2953" i="5"/>
  <c r="G2773" i="5"/>
  <c r="G2848" i="5"/>
  <c r="F2758" i="5"/>
  <c r="I2758" i="5"/>
  <c r="H2758" i="5" s="1"/>
  <c r="J2758" i="5"/>
  <c r="M2818" i="5"/>
  <c r="J2818" i="5"/>
  <c r="K2818" i="5"/>
  <c r="J2743" i="5"/>
  <c r="M2743" i="5"/>
  <c r="M2803" i="5"/>
  <c r="F2668" i="5"/>
  <c r="I2668" i="5"/>
  <c r="H2668" i="5" s="1"/>
  <c r="F2728" i="5"/>
  <c r="F2803" i="5"/>
  <c r="K2713" i="5"/>
  <c r="F2713" i="5"/>
  <c r="I2713" i="5"/>
  <c r="H2713" i="5" s="1"/>
  <c r="N2458" i="5"/>
  <c r="I2638" i="5"/>
  <c r="H2638" i="5" s="1"/>
  <c r="F2443" i="5"/>
  <c r="I2443" i="5"/>
  <c r="H2443" i="5" s="1"/>
  <c r="I2458" i="5"/>
  <c r="H2458" i="5" s="1"/>
  <c r="N2428" i="5"/>
  <c r="M2518" i="5"/>
  <c r="M2503" i="5"/>
  <c r="K2503" i="5"/>
  <c r="I2593" i="5"/>
  <c r="H2593" i="5" s="1"/>
  <c r="N2413" i="5"/>
  <c r="J2383" i="5"/>
  <c r="F2473" i="5"/>
  <c r="I2323" i="5"/>
  <c r="H2323" i="5" s="1"/>
  <c r="J2578" i="5"/>
  <c r="G2233" i="5"/>
  <c r="M2233" i="5"/>
  <c r="M2308" i="5"/>
  <c r="I2143" i="5"/>
  <c r="H2143" i="5" s="1"/>
  <c r="N2143" i="5"/>
  <c r="N2218" i="5"/>
  <c r="N2203" i="5"/>
  <c r="F2143" i="5"/>
  <c r="N2263" i="5"/>
  <c r="J2338" i="5"/>
  <c r="I2113" i="5"/>
  <c r="H2113" i="5" s="1"/>
  <c r="N2188" i="5"/>
  <c r="J2263" i="5"/>
  <c r="F2248" i="5"/>
  <c r="J2098" i="5"/>
  <c r="K1963" i="5"/>
  <c r="G2158" i="5"/>
  <c r="J2158" i="5"/>
  <c r="K1858" i="5"/>
  <c r="F1873" i="5"/>
  <c r="N1948" i="5"/>
  <c r="J2023" i="5"/>
  <c r="I1813" i="5"/>
  <c r="F1843" i="5"/>
  <c r="K1843" i="5"/>
  <c r="G2023" i="5"/>
  <c r="M1918" i="5"/>
  <c r="K1918" i="5"/>
  <c r="N1993" i="5"/>
  <c r="I1828" i="5"/>
  <c r="I2068" i="5"/>
  <c r="H2068" i="5" s="1"/>
  <c r="M1738" i="5"/>
  <c r="K1828" i="5"/>
  <c r="I1558" i="5"/>
  <c r="H1558" i="5" s="1"/>
  <c r="F1558" i="5"/>
  <c r="N1648" i="5"/>
  <c r="N1708" i="5"/>
  <c r="N1723" i="5"/>
  <c r="M1543" i="5"/>
  <c r="K1618" i="5"/>
  <c r="M3328" i="5"/>
  <c r="N3343" i="5"/>
  <c r="N3253" i="5"/>
  <c r="I3358" i="5"/>
  <c r="H3358" i="5" s="1"/>
  <c r="J3418" i="5"/>
  <c r="G3103" i="5"/>
  <c r="G3178" i="5"/>
  <c r="F3223" i="5"/>
  <c r="F3238" i="5"/>
  <c r="F3313" i="5"/>
  <c r="F3043" i="5"/>
  <c r="N3133" i="5"/>
  <c r="N2998" i="5"/>
  <c r="I2998" i="5"/>
  <c r="H2998" i="5" s="1"/>
  <c r="N3043" i="5"/>
  <c r="N3073" i="5"/>
  <c r="J3148" i="5"/>
  <c r="N3148" i="5"/>
  <c r="K3058" i="5"/>
  <c r="K3088" i="5"/>
  <c r="F3148" i="5"/>
  <c r="K3148" i="5"/>
  <c r="N2923" i="5"/>
  <c r="K3013" i="5"/>
  <c r="J3088" i="5"/>
  <c r="G2893" i="5"/>
  <c r="G2938" i="5"/>
  <c r="K2983" i="5"/>
  <c r="F2863" i="5"/>
  <c r="M2878" i="5"/>
  <c r="F2878" i="5"/>
  <c r="F2953" i="5"/>
  <c r="J2968" i="5"/>
  <c r="N2863" i="5"/>
  <c r="M2773" i="5"/>
  <c r="N2773" i="5"/>
  <c r="K2758" i="5"/>
  <c r="K2773" i="5"/>
  <c r="F2818" i="5"/>
  <c r="G2758" i="5"/>
  <c r="G2788" i="5"/>
  <c r="F2743" i="5"/>
  <c r="G2743" i="5"/>
  <c r="J2668" i="5"/>
  <c r="K2683" i="5"/>
  <c r="K2788" i="5"/>
  <c r="I2728" i="5"/>
  <c r="H2728" i="5" s="1"/>
  <c r="N2653" i="5"/>
  <c r="G2668" i="5"/>
  <c r="F2608" i="5"/>
  <c r="G2713" i="5"/>
  <c r="M2728" i="5"/>
  <c r="K2533" i="5"/>
  <c r="K2638" i="5"/>
  <c r="G2638" i="5"/>
  <c r="G2458" i="5"/>
  <c r="M2458" i="5"/>
  <c r="I2368" i="5"/>
  <c r="G2443" i="5"/>
  <c r="J2443" i="5"/>
  <c r="F2353" i="5"/>
  <c r="I2353" i="5"/>
  <c r="H2353" i="5" s="1"/>
  <c r="M2353" i="5"/>
  <c r="F2593" i="5"/>
  <c r="I2428" i="5"/>
  <c r="H2428" i="5" s="1"/>
  <c r="N2518" i="5"/>
  <c r="M2413" i="5"/>
  <c r="K2413" i="5"/>
  <c r="N2488" i="5"/>
  <c r="G2563" i="5"/>
  <c r="I2623" i="5"/>
  <c r="H2623" i="5" s="1"/>
  <c r="G2548" i="5"/>
  <c r="K2563" i="5"/>
  <c r="N2383" i="5"/>
  <c r="J2473" i="5"/>
  <c r="I2308" i="5"/>
  <c r="H2308" i="5" s="1"/>
  <c r="N2323" i="5"/>
  <c r="G2578" i="5"/>
  <c r="M2218" i="5"/>
  <c r="J2233" i="5"/>
  <c r="F2308" i="5"/>
  <c r="N2293" i="5"/>
  <c r="G2143" i="5"/>
  <c r="M2143" i="5"/>
  <c r="G2113" i="5"/>
  <c r="J2113" i="5"/>
  <c r="I2203" i="5"/>
  <c r="H2203" i="5" s="1"/>
  <c r="N2338" i="5"/>
  <c r="M2113" i="5"/>
  <c r="N2173" i="5"/>
  <c r="M2188" i="5"/>
  <c r="M2263" i="5"/>
  <c r="N2098" i="5"/>
  <c r="J2173" i="5"/>
  <c r="G2248" i="5"/>
  <c r="J2248" i="5"/>
  <c r="N2053" i="5"/>
  <c r="N2158" i="5"/>
  <c r="F2038" i="5"/>
  <c r="I2038" i="5"/>
  <c r="H2038" i="5" s="1"/>
  <c r="I2053" i="5"/>
  <c r="H2053" i="5" s="1"/>
  <c r="N1858" i="5"/>
  <c r="K1873" i="5"/>
  <c r="K1933" i="5"/>
  <c r="G1813" i="5"/>
  <c r="N1813" i="5"/>
  <c r="M1843" i="5"/>
  <c r="F1933" i="5"/>
  <c r="M1993" i="5"/>
  <c r="F2008" i="5"/>
  <c r="I2008" i="5"/>
  <c r="H2008" i="5" s="1"/>
  <c r="G1828" i="5"/>
  <c r="K2068" i="5"/>
  <c r="N1903" i="5"/>
  <c r="F1648" i="5"/>
  <c r="N1738" i="5"/>
  <c r="M1828" i="5"/>
  <c r="G1558" i="5"/>
  <c r="J1558" i="5"/>
  <c r="I1648" i="5"/>
  <c r="H1648" i="5" s="1"/>
  <c r="M1708" i="5"/>
  <c r="K1723" i="5"/>
  <c r="G3418" i="5"/>
  <c r="K3403" i="5"/>
  <c r="N1618" i="5"/>
  <c r="G3358" i="5"/>
  <c r="J3358" i="5"/>
  <c r="N3178" i="5"/>
  <c r="K3253" i="5"/>
  <c r="G3163" i="5"/>
  <c r="K3178" i="5"/>
  <c r="I3313" i="5"/>
  <c r="G3313" i="5"/>
  <c r="H3313" i="5"/>
  <c r="I3223" i="5"/>
  <c r="H3223" i="5" s="1"/>
  <c r="K3223" i="5"/>
  <c r="N3118" i="5"/>
  <c r="I3133" i="5"/>
  <c r="H3133" i="5" s="1"/>
  <c r="F3133" i="5"/>
  <c r="M3073" i="5"/>
  <c r="G2998" i="5"/>
  <c r="G3118" i="5"/>
  <c r="G3148" i="5"/>
  <c r="K3073" i="5"/>
  <c r="F3073" i="5"/>
  <c r="M3088" i="5"/>
  <c r="F3088" i="5"/>
  <c r="G3088" i="5"/>
  <c r="G2923" i="5"/>
  <c r="I2923" i="5"/>
  <c r="H2923" i="5" s="1"/>
  <c r="I3013" i="5"/>
  <c r="H3013" i="5" s="1"/>
  <c r="I2878" i="5"/>
  <c r="H2878" i="5" s="1"/>
  <c r="G2878" i="5"/>
  <c r="J2983" i="5"/>
  <c r="M2968" i="5"/>
  <c r="F2968" i="5"/>
  <c r="J2848" i="5"/>
  <c r="J2908" i="5"/>
  <c r="J2953" i="5"/>
  <c r="M2758" i="5"/>
  <c r="F2773" i="5"/>
  <c r="M2848" i="5"/>
  <c r="I2788" i="5"/>
  <c r="H2788" i="5" s="1"/>
  <c r="N2743" i="5"/>
  <c r="I2818" i="5"/>
  <c r="H2818" i="5" s="1"/>
  <c r="N2788" i="5"/>
  <c r="M2788" i="5"/>
  <c r="K2728" i="5"/>
  <c r="I2653" i="5"/>
  <c r="H2653" i="5" s="1"/>
  <c r="J2788" i="5"/>
  <c r="G2608" i="5"/>
  <c r="J2608" i="5"/>
  <c r="G2728" i="5"/>
  <c r="M2443" i="5"/>
  <c r="J2458" i="5"/>
  <c r="G2533" i="5"/>
  <c r="G2368" i="5"/>
  <c r="N2368" i="5"/>
  <c r="I2518" i="5"/>
  <c r="G2353" i="5"/>
  <c r="K2353" i="5"/>
  <c r="N2593" i="5"/>
  <c r="G2428" i="5"/>
  <c r="J2428" i="5"/>
  <c r="M2488" i="5"/>
  <c r="F2503" i="5"/>
  <c r="I2503" i="5"/>
  <c r="J2623" i="5"/>
  <c r="F2623" i="5"/>
  <c r="N2398" i="5"/>
  <c r="N2563" i="5"/>
  <c r="I2563" i="5"/>
  <c r="H2563" i="5"/>
  <c r="K2548" i="5"/>
  <c r="M2548" i="5"/>
  <c r="N2548" i="5"/>
  <c r="K2383" i="5"/>
  <c r="I2383" i="5"/>
  <c r="N2473" i="5"/>
  <c r="N2578" i="5"/>
  <c r="K2578" i="5"/>
  <c r="F2578" i="5"/>
  <c r="J2308" i="5"/>
  <c r="J2323" i="5"/>
  <c r="I2218" i="5"/>
  <c r="H2218" i="5" s="1"/>
  <c r="G2308" i="5"/>
  <c r="I2293" i="5"/>
  <c r="H2293" i="5" s="1"/>
  <c r="J2143" i="5"/>
  <c r="F2218" i="5"/>
  <c r="M2203" i="5"/>
  <c r="G2203" i="5"/>
  <c r="J2203" i="5"/>
  <c r="I2338" i="5"/>
  <c r="H2338" i="5" s="1"/>
  <c r="K2338" i="5"/>
  <c r="G2338" i="5"/>
  <c r="K2263" i="5"/>
  <c r="F2263" i="5"/>
  <c r="I2263" i="5"/>
  <c r="H2263" i="5" s="1"/>
  <c r="N2083" i="5"/>
  <c r="M2098" i="5"/>
  <c r="M2173" i="5"/>
  <c r="I2158" i="5"/>
  <c r="H2158" i="5" s="1"/>
  <c r="N2248" i="5"/>
  <c r="J2083" i="5"/>
  <c r="G2053" i="5"/>
  <c r="M2053" i="5"/>
  <c r="K2158" i="5"/>
  <c r="G2038" i="5"/>
  <c r="J2038" i="5"/>
  <c r="I1948" i="5"/>
  <c r="H1948" i="5" s="1"/>
  <c r="I1963" i="5"/>
  <c r="H1963" i="5" s="1"/>
  <c r="N1963" i="5"/>
  <c r="J1813" i="5"/>
  <c r="M1813" i="5"/>
  <c r="F1948" i="5"/>
  <c r="M1933" i="5"/>
  <c r="F2023" i="5"/>
  <c r="K2023" i="5"/>
  <c r="G2008" i="5"/>
  <c r="N1843" i="5"/>
  <c r="K1993" i="5"/>
  <c r="F1993" i="5"/>
  <c r="I1993" i="5"/>
  <c r="H1993" i="5" s="1"/>
  <c r="M1903" i="5"/>
  <c r="F1918" i="5"/>
  <c r="I1918" i="5"/>
  <c r="H1918" i="5" s="1"/>
  <c r="F1828" i="5"/>
  <c r="G2068" i="5"/>
  <c r="F2068" i="5"/>
  <c r="J1648" i="5"/>
  <c r="I1738" i="5"/>
  <c r="H1738" i="5" s="1"/>
  <c r="F1738" i="5"/>
  <c r="I1708" i="5"/>
  <c r="H1708" i="5" s="1"/>
  <c r="N1798" i="5"/>
  <c r="G1648" i="5"/>
  <c r="M1618" i="5"/>
  <c r="F1708" i="5"/>
  <c r="F1783" i="5"/>
  <c r="N1543" i="5"/>
  <c r="J1753" i="5"/>
  <c r="N1753" i="5"/>
  <c r="N1603" i="5"/>
  <c r="K1678" i="5"/>
  <c r="G1678" i="5"/>
  <c r="G1753" i="5"/>
  <c r="K1378" i="5"/>
  <c r="F1393" i="5"/>
  <c r="K1483" i="5"/>
  <c r="M1288" i="5"/>
  <c r="J1303" i="5"/>
  <c r="J1198" i="5"/>
  <c r="G1213" i="5"/>
  <c r="M1213" i="5"/>
  <c r="N1123" i="5"/>
  <c r="G1198" i="5"/>
  <c r="F1108" i="5"/>
  <c r="I1108" i="5"/>
  <c r="H1108" i="5" s="1"/>
  <c r="I1123" i="5"/>
  <c r="H1123" i="5" s="1"/>
  <c r="N1453" i="5"/>
  <c r="I1513" i="5"/>
  <c r="H1513" i="5" s="1"/>
  <c r="N1018" i="5"/>
  <c r="G1273" i="5"/>
  <c r="J1273" i="5"/>
  <c r="I1363" i="5"/>
  <c r="H1363" i="5" s="1"/>
  <c r="I1438" i="5"/>
  <c r="H1438" i="5" s="1"/>
  <c r="F1093" i="5"/>
  <c r="K1093" i="5"/>
  <c r="N1333" i="5"/>
  <c r="M1423" i="5"/>
  <c r="F1438" i="5"/>
  <c r="M1258" i="5"/>
  <c r="K1258" i="5"/>
  <c r="G1063" i="5"/>
  <c r="J1063" i="5"/>
  <c r="N1168" i="5"/>
  <c r="G1138" i="5"/>
  <c r="N1318" i="5"/>
  <c r="N1498" i="5"/>
  <c r="J988" i="5"/>
  <c r="M1138" i="5"/>
  <c r="K808" i="5"/>
  <c r="I898" i="5"/>
  <c r="H898" i="5" s="1"/>
  <c r="N898" i="5"/>
  <c r="J718" i="5"/>
  <c r="K793" i="5"/>
  <c r="M928" i="5"/>
  <c r="G943" i="5"/>
  <c r="K538" i="5"/>
  <c r="N763" i="5"/>
  <c r="M658" i="5"/>
  <c r="G673" i="5"/>
  <c r="J478" i="5"/>
  <c r="N493" i="5"/>
  <c r="M418" i="5"/>
  <c r="K1003" i="5"/>
  <c r="G478" i="5"/>
  <c r="M328" i="5"/>
  <c r="M148" i="5"/>
  <c r="M238" i="5"/>
  <c r="M58" i="5"/>
  <c r="J223" i="5"/>
  <c r="F388" i="5"/>
  <c r="I388" i="5"/>
  <c r="H388" i="5" s="1"/>
  <c r="I118" i="5"/>
  <c r="H118" i="5" s="1"/>
  <c r="F133" i="5"/>
  <c r="I133" i="5"/>
  <c r="H133" i="5" s="1"/>
  <c r="N28" i="5"/>
  <c r="K43" i="5"/>
  <c r="F118" i="5"/>
  <c r="G463" i="5"/>
  <c r="F463" i="5"/>
  <c r="I358" i="5"/>
  <c r="H358" i="5" s="1"/>
  <c r="M253" i="5"/>
  <c r="M268" i="5"/>
  <c r="F358" i="5"/>
  <c r="K1543" i="5"/>
  <c r="F88" i="5"/>
  <c r="I88" i="5"/>
  <c r="H88" i="5" s="1"/>
  <c r="I1603" i="5"/>
  <c r="H1603" i="5" s="1"/>
  <c r="N1693" i="5"/>
  <c r="N1768" i="5"/>
  <c r="K1603" i="5"/>
  <c r="J1663" i="5"/>
  <c r="N1663" i="5"/>
  <c r="M1753" i="5"/>
  <c r="N1378" i="5"/>
  <c r="K1393" i="5"/>
  <c r="G1663" i="5"/>
  <c r="K1288" i="5"/>
  <c r="F1303" i="5"/>
  <c r="M1123" i="5"/>
  <c r="M1198" i="5"/>
  <c r="J1213" i="5"/>
  <c r="G1108" i="5"/>
  <c r="J1108" i="5"/>
  <c r="G1123" i="5"/>
  <c r="I1033" i="5"/>
  <c r="N1033" i="5"/>
  <c r="H1033" i="5"/>
  <c r="I1453" i="5"/>
  <c r="H1453" i="5" s="1"/>
  <c r="G1513" i="5"/>
  <c r="J1513" i="5"/>
  <c r="K1183" i="5"/>
  <c r="G1363" i="5"/>
  <c r="J1363" i="5"/>
  <c r="M1093" i="5"/>
  <c r="F1183" i="5"/>
  <c r="F1423" i="5"/>
  <c r="I1423" i="5"/>
  <c r="H1423" i="5" s="1"/>
  <c r="G1438" i="5"/>
  <c r="F1348" i="5"/>
  <c r="I1348" i="5"/>
  <c r="H1348" i="5" s="1"/>
  <c r="K1423" i="5"/>
  <c r="M1168" i="5"/>
  <c r="K1168" i="5"/>
  <c r="M1333" i="5"/>
  <c r="J1498" i="5"/>
  <c r="F988" i="5"/>
  <c r="K1318" i="5"/>
  <c r="I1318" i="5"/>
  <c r="H1318" i="5" s="1"/>
  <c r="N793" i="5"/>
  <c r="G898" i="5"/>
  <c r="M898" i="5"/>
  <c r="F613" i="5"/>
  <c r="I613" i="5"/>
  <c r="H613" i="5" s="1"/>
  <c r="F718" i="5"/>
  <c r="K778" i="5"/>
  <c r="F868" i="5"/>
  <c r="K868" i="5"/>
  <c r="F688" i="5"/>
  <c r="K688" i="5"/>
  <c r="F778" i="5"/>
  <c r="K508" i="5"/>
  <c r="F598" i="5"/>
  <c r="K598" i="5"/>
  <c r="I928" i="5"/>
  <c r="H928" i="5" s="1"/>
  <c r="J943" i="5"/>
  <c r="F508" i="5"/>
  <c r="I853" i="5"/>
  <c r="H853" i="5" s="1"/>
  <c r="K928" i="5"/>
  <c r="F928" i="5"/>
  <c r="K763" i="5"/>
  <c r="N838" i="5"/>
  <c r="F853" i="5"/>
  <c r="I658" i="5"/>
  <c r="H658" i="5" s="1"/>
  <c r="J673" i="5"/>
  <c r="M763" i="5"/>
  <c r="I583" i="5"/>
  <c r="H583" i="5" s="1"/>
  <c r="K658" i="5"/>
  <c r="F658" i="5"/>
  <c r="K493" i="5"/>
  <c r="N568" i="5"/>
  <c r="F583" i="5"/>
  <c r="F913" i="5"/>
  <c r="J1003" i="5"/>
  <c r="M493" i="5"/>
  <c r="F553" i="5"/>
  <c r="F733" i="5"/>
  <c r="F823" i="5"/>
  <c r="N238" i="5"/>
  <c r="N328" i="5"/>
  <c r="N418" i="5"/>
  <c r="J388" i="5"/>
  <c r="N58" i="5"/>
  <c r="N148" i="5"/>
  <c r="N223" i="5"/>
  <c r="G388" i="5"/>
  <c r="M133" i="5"/>
  <c r="K208" i="5"/>
  <c r="G118" i="5"/>
  <c r="J118" i="5"/>
  <c r="G133" i="5"/>
  <c r="K463" i="5"/>
  <c r="I463" i="5"/>
  <c r="H463" i="5" s="1"/>
  <c r="M28" i="5"/>
  <c r="N13" i="5"/>
  <c r="N193" i="5"/>
  <c r="N283" i="5"/>
  <c r="N433" i="5"/>
  <c r="N448" i="5"/>
  <c r="G358" i="5"/>
  <c r="G433" i="5"/>
  <c r="J433" i="5"/>
  <c r="I253" i="5"/>
  <c r="H253" i="5" s="1"/>
  <c r="J268" i="5"/>
  <c r="K358" i="5"/>
  <c r="K253" i="5"/>
  <c r="F253" i="5"/>
  <c r="N163" i="5"/>
  <c r="N178" i="5"/>
  <c r="G88" i="5"/>
  <c r="G163" i="5"/>
  <c r="J163" i="5"/>
  <c r="I1693" i="5"/>
  <c r="H1693" i="5" s="1"/>
  <c r="N1783" i="5"/>
  <c r="K88" i="5"/>
  <c r="G1603" i="5"/>
  <c r="J1603" i="5"/>
  <c r="K1693" i="5"/>
  <c r="I1753" i="5"/>
  <c r="M1768" i="5"/>
  <c r="M1603" i="5"/>
  <c r="K1753" i="5"/>
  <c r="F1753" i="5"/>
  <c r="M1663" i="5"/>
  <c r="N1678" i="5"/>
  <c r="G1573" i="5"/>
  <c r="J1573" i="5"/>
  <c r="N1573" i="5"/>
  <c r="I1483" i="5"/>
  <c r="N1483" i="5"/>
  <c r="H1483" i="5"/>
  <c r="F1213" i="5"/>
  <c r="N1288" i="5"/>
  <c r="K1303" i="5"/>
  <c r="J1123" i="5"/>
  <c r="K1198" i="5"/>
  <c r="G1033" i="5"/>
  <c r="M1033" i="5"/>
  <c r="M1108" i="5"/>
  <c r="J1453" i="5"/>
  <c r="F1018" i="5"/>
  <c r="I1018" i="5"/>
  <c r="H1018" i="5" s="1"/>
  <c r="F1273" i="5"/>
  <c r="K1273" i="5"/>
  <c r="G1453" i="5"/>
  <c r="N1093" i="5"/>
  <c r="M1183" i="5"/>
  <c r="G1423" i="5"/>
  <c r="J1423" i="5"/>
  <c r="J1438" i="5"/>
  <c r="F1333" i="5"/>
  <c r="I1333" i="5"/>
  <c r="H1333" i="5" s="1"/>
  <c r="G1348" i="5"/>
  <c r="F1258" i="5"/>
  <c r="I1258" i="5"/>
  <c r="H1258" i="5" s="1"/>
  <c r="K1333" i="5"/>
  <c r="G1318" i="5"/>
  <c r="N1153" i="5"/>
  <c r="K988" i="5"/>
  <c r="F1138" i="5"/>
  <c r="M1318" i="5"/>
  <c r="N808" i="5"/>
  <c r="J898" i="5"/>
  <c r="J613" i="5"/>
  <c r="K718" i="5"/>
  <c r="I808" i="5"/>
  <c r="H808" i="5" s="1"/>
  <c r="N538" i="5"/>
  <c r="G613" i="5"/>
  <c r="M868" i="5"/>
  <c r="I538" i="5"/>
  <c r="H538" i="5" s="1"/>
  <c r="M688" i="5"/>
  <c r="M778" i="5"/>
  <c r="M598" i="5"/>
  <c r="M508" i="5"/>
  <c r="G928" i="5"/>
  <c r="J928" i="5"/>
  <c r="N943" i="5"/>
  <c r="M838" i="5"/>
  <c r="G853" i="5"/>
  <c r="G658" i="5"/>
  <c r="J658" i="5"/>
  <c r="N673" i="5"/>
  <c r="M568" i="5"/>
  <c r="G583" i="5"/>
  <c r="F1003" i="5"/>
  <c r="N1003" i="5"/>
  <c r="G1003" i="5"/>
  <c r="J913" i="5"/>
  <c r="J733" i="5"/>
  <c r="J823" i="5"/>
  <c r="F418" i="5"/>
  <c r="J553" i="5"/>
  <c r="I328" i="5"/>
  <c r="H328" i="5" s="1"/>
  <c r="F328" i="5"/>
  <c r="I418" i="5"/>
  <c r="H418" i="5" s="1"/>
  <c r="F148" i="5"/>
  <c r="I238" i="5"/>
  <c r="H238" i="5" s="1"/>
  <c r="F238" i="5"/>
  <c r="I58" i="5"/>
  <c r="H58" i="5" s="1"/>
  <c r="F58" i="5"/>
  <c r="I148" i="5"/>
  <c r="H148" i="5" s="1"/>
  <c r="J133" i="5"/>
  <c r="N208" i="5"/>
  <c r="K223" i="5"/>
  <c r="I28" i="5"/>
  <c r="H28" i="5" s="1"/>
  <c r="F43" i="5"/>
  <c r="I43" i="5"/>
  <c r="H43" i="5" s="1"/>
  <c r="I283" i="5"/>
  <c r="H283" i="5" s="1"/>
  <c r="J463" i="5"/>
  <c r="F28" i="5"/>
  <c r="K193" i="5"/>
  <c r="I193" i="5"/>
  <c r="H193" i="5" s="1"/>
  <c r="K283" i="5"/>
  <c r="M448" i="5"/>
  <c r="K13" i="5"/>
  <c r="I13" i="5"/>
  <c r="H13" i="5" s="1"/>
  <c r="F268" i="5"/>
  <c r="I268" i="5"/>
  <c r="H268" i="5" s="1"/>
  <c r="M433" i="5"/>
  <c r="I1543" i="5"/>
  <c r="H1543" i="5" s="1"/>
  <c r="M163" i="5"/>
  <c r="M178" i="5"/>
  <c r="K1783" i="5"/>
  <c r="I1783" i="5"/>
  <c r="F1543" i="5"/>
  <c r="M1693" i="5"/>
  <c r="G1693" i="5"/>
  <c r="J1693" i="5"/>
  <c r="I1663" i="5"/>
  <c r="H1663" i="5" s="1"/>
  <c r="M1678" i="5"/>
  <c r="J1768" i="5"/>
  <c r="K1663" i="5"/>
  <c r="F1663" i="5"/>
  <c r="G1483" i="5"/>
  <c r="M1483" i="5"/>
  <c r="M1573" i="5"/>
  <c r="I1393" i="5"/>
  <c r="N1393" i="5"/>
  <c r="H1393" i="5"/>
  <c r="K1213" i="5"/>
  <c r="F1378" i="5"/>
  <c r="I1378" i="5"/>
  <c r="H1378" i="5" s="1"/>
  <c r="K1108" i="5"/>
  <c r="F1123" i="5"/>
  <c r="N1198" i="5"/>
  <c r="J1018" i="5"/>
  <c r="J1033" i="5"/>
  <c r="F1513" i="5"/>
  <c r="K1513" i="5"/>
  <c r="G1018" i="5"/>
  <c r="M1273" i="5"/>
  <c r="F1363" i="5"/>
  <c r="K1363" i="5"/>
  <c r="I1093" i="5"/>
  <c r="H1093" i="5" s="1"/>
  <c r="N1183" i="5"/>
  <c r="J1348" i="5"/>
  <c r="N1438" i="5"/>
  <c r="G1258" i="5"/>
  <c r="G1333" i="5"/>
  <c r="J1333" i="5"/>
  <c r="M1153" i="5"/>
  <c r="F1168" i="5"/>
  <c r="I1168" i="5"/>
  <c r="H1168" i="5" s="1"/>
  <c r="K1498" i="5"/>
  <c r="I1498" i="5"/>
  <c r="H1498" i="5" s="1"/>
  <c r="N1063" i="5"/>
  <c r="F898" i="5"/>
  <c r="J1138" i="5"/>
  <c r="I793" i="5"/>
  <c r="H793" i="5" s="1"/>
  <c r="G808" i="5"/>
  <c r="M808" i="5"/>
  <c r="M538" i="5"/>
  <c r="M613" i="5"/>
  <c r="F793" i="5"/>
  <c r="N778" i="5"/>
  <c r="N868" i="5"/>
  <c r="G538" i="5"/>
  <c r="N508" i="5"/>
  <c r="N598" i="5"/>
  <c r="N688" i="5"/>
  <c r="J853" i="5"/>
  <c r="M943" i="5"/>
  <c r="K943" i="5"/>
  <c r="K838" i="5"/>
  <c r="F838" i="5"/>
  <c r="I838" i="5"/>
  <c r="H838" i="5" s="1"/>
  <c r="K673" i="5"/>
  <c r="F763" i="5"/>
  <c r="I763" i="5"/>
  <c r="H763" i="5" s="1"/>
  <c r="I568" i="5"/>
  <c r="H568" i="5" s="1"/>
  <c r="J583" i="5"/>
  <c r="M673" i="5"/>
  <c r="I493" i="5"/>
  <c r="H493" i="5" s="1"/>
  <c r="K568" i="5"/>
  <c r="F568" i="5"/>
  <c r="I1003" i="5"/>
  <c r="H1003" i="5" s="1"/>
  <c r="N478" i="5"/>
  <c r="F493" i="5"/>
  <c r="N733" i="5"/>
  <c r="N823" i="5"/>
  <c r="N913" i="5"/>
  <c r="G418" i="5"/>
  <c r="J418" i="5"/>
  <c r="N553" i="5"/>
  <c r="J238" i="5"/>
  <c r="G328" i="5"/>
  <c r="J328" i="5"/>
  <c r="G148" i="5"/>
  <c r="J148" i="5"/>
  <c r="G238" i="5"/>
  <c r="K388" i="5"/>
  <c r="G58" i="5"/>
  <c r="J58" i="5"/>
  <c r="M208" i="5"/>
  <c r="K118" i="5"/>
  <c r="N133" i="5"/>
  <c r="J28" i="5"/>
  <c r="G43" i="5"/>
  <c r="M43" i="5"/>
  <c r="J283" i="5"/>
  <c r="M463" i="5"/>
  <c r="G28" i="5"/>
  <c r="J193" i="5"/>
  <c r="M283" i="5"/>
  <c r="G283" i="5"/>
  <c r="J13" i="5"/>
  <c r="M193" i="5"/>
  <c r="G193" i="5"/>
  <c r="J448" i="5"/>
  <c r="M13" i="5"/>
  <c r="G13" i="5"/>
  <c r="K433" i="5"/>
  <c r="F433" i="5"/>
  <c r="I433" i="5"/>
  <c r="H433" i="5" s="1"/>
  <c r="N358" i="5"/>
  <c r="G343" i="5"/>
  <c r="J343" i="5"/>
  <c r="N343" i="5"/>
  <c r="J178" i="5"/>
  <c r="K268" i="5"/>
  <c r="G268" i="5"/>
  <c r="K163" i="5"/>
  <c r="F163" i="5"/>
  <c r="I163" i="5"/>
  <c r="H163" i="5" s="1"/>
  <c r="N88" i="5"/>
  <c r="G73" i="5"/>
  <c r="J73" i="5"/>
  <c r="N73" i="5"/>
  <c r="G1783" i="5"/>
  <c r="J1783" i="5"/>
  <c r="G1543" i="5"/>
  <c r="I1768" i="5"/>
  <c r="F1603" i="5"/>
  <c r="M1783" i="5"/>
  <c r="I1573" i="5"/>
  <c r="H1573" i="5" s="1"/>
  <c r="J1678" i="5"/>
  <c r="F1768" i="5"/>
  <c r="K1573" i="5"/>
  <c r="F1573" i="5"/>
  <c r="G1393" i="5"/>
  <c r="M1393" i="5"/>
  <c r="J1483" i="5"/>
  <c r="G1378" i="5"/>
  <c r="J1378" i="5"/>
  <c r="I1288" i="5"/>
  <c r="H1288" i="5" s="1"/>
  <c r="I1303" i="5"/>
  <c r="H1303" i="5" s="1"/>
  <c r="N1303" i="5"/>
  <c r="N1108" i="5"/>
  <c r="K1123" i="5"/>
  <c r="F1288" i="5"/>
  <c r="M1513" i="5"/>
  <c r="M1018" i="5"/>
  <c r="F1033" i="5"/>
  <c r="F1453" i="5"/>
  <c r="K1453" i="5"/>
  <c r="N1273" i="5"/>
  <c r="M1363" i="5"/>
  <c r="G1093" i="5"/>
  <c r="J1093" i="5"/>
  <c r="I1183" i="5"/>
  <c r="H1183" i="5" s="1"/>
  <c r="M1438" i="5"/>
  <c r="K1438" i="5"/>
  <c r="J1258" i="5"/>
  <c r="N1348" i="5"/>
  <c r="F1153" i="5"/>
  <c r="I1153" i="5"/>
  <c r="H1153" i="5" s="1"/>
  <c r="G1168" i="5"/>
  <c r="G1498" i="5"/>
  <c r="M1063" i="5"/>
  <c r="K1153" i="5"/>
  <c r="N1138" i="5"/>
  <c r="F1318" i="5"/>
  <c r="M1498" i="5"/>
  <c r="I988" i="5"/>
  <c r="N988" i="5"/>
  <c r="H988" i="5"/>
  <c r="J793" i="5"/>
  <c r="J808" i="5"/>
  <c r="K898" i="5"/>
  <c r="N718" i="5"/>
  <c r="G793" i="5"/>
  <c r="K613" i="5"/>
  <c r="I718" i="5"/>
  <c r="H718" i="5" s="1"/>
  <c r="I778" i="5"/>
  <c r="H778" i="5" s="1"/>
  <c r="I868" i="5"/>
  <c r="H868" i="5" s="1"/>
  <c r="J538" i="5"/>
  <c r="I508" i="5"/>
  <c r="H508" i="5" s="1"/>
  <c r="I598" i="5"/>
  <c r="H598" i="5" s="1"/>
  <c r="I688" i="5"/>
  <c r="H688" i="5" s="1"/>
  <c r="N853" i="5"/>
  <c r="G763" i="5"/>
  <c r="G838" i="5"/>
  <c r="J838" i="5"/>
  <c r="N583" i="5"/>
  <c r="G493" i="5"/>
  <c r="G568" i="5"/>
  <c r="J568" i="5"/>
  <c r="K913" i="5"/>
  <c r="I913" i="5"/>
  <c r="H913" i="5" s="1"/>
  <c r="M478" i="5"/>
  <c r="I733" i="5"/>
  <c r="H733" i="5" s="1"/>
  <c r="K823" i="5"/>
  <c r="I823" i="5"/>
  <c r="H823" i="5" s="1"/>
  <c r="K553" i="5"/>
  <c r="I553" i="5"/>
  <c r="H553" i="5" s="1"/>
  <c r="K733" i="5"/>
  <c r="F223" i="5"/>
  <c r="I223" i="5"/>
  <c r="H223" i="5" s="1"/>
  <c r="N388" i="5"/>
  <c r="K133" i="5"/>
  <c r="F208" i="5"/>
  <c r="I208" i="5"/>
  <c r="H208" i="5" s="1"/>
  <c r="N463" i="5"/>
  <c r="J43" i="5"/>
  <c r="N118" i="5"/>
  <c r="M358" i="5"/>
  <c r="F448" i="5"/>
  <c r="I448" i="5"/>
  <c r="H448" i="5" s="1"/>
  <c r="F178" i="5"/>
  <c r="I178" i="5"/>
  <c r="H178" i="5" s="1"/>
  <c r="M343" i="5"/>
  <c r="J1543" i="5"/>
  <c r="M73" i="5"/>
  <c r="M88" i="5"/>
  <c r="G1768" i="5"/>
  <c r="F1693" i="5"/>
  <c r="F1678" i="5"/>
  <c r="I1678" i="5"/>
  <c r="H1678" i="5" s="1"/>
  <c r="K1768" i="5"/>
  <c r="M1378" i="5"/>
  <c r="J1393" i="5"/>
  <c r="F1483" i="5"/>
  <c r="J1288" i="5"/>
  <c r="G1303" i="5"/>
  <c r="M1303" i="5"/>
  <c r="N1213" i="5"/>
  <c r="G1288" i="5"/>
  <c r="F1198" i="5"/>
  <c r="I1198" i="5"/>
  <c r="H1198" i="5" s="1"/>
  <c r="I1213" i="5"/>
  <c r="H1213" i="5" s="1"/>
  <c r="K1018" i="5"/>
  <c r="K1033" i="5"/>
  <c r="M1453" i="5"/>
  <c r="N1513" i="5"/>
  <c r="J1183" i="5"/>
  <c r="I1273" i="5"/>
  <c r="H1273" i="5" s="1"/>
  <c r="N1363" i="5"/>
  <c r="K1348" i="5"/>
  <c r="N1423" i="5"/>
  <c r="G1183" i="5"/>
  <c r="M1348" i="5"/>
  <c r="J1153" i="5"/>
  <c r="J1168" i="5"/>
  <c r="N1258" i="5"/>
  <c r="F1063" i="5"/>
  <c r="I1063" i="5"/>
  <c r="H1063" i="5" s="1"/>
  <c r="G1153" i="5"/>
  <c r="F1498" i="5"/>
  <c r="K1063" i="5"/>
  <c r="K1138" i="5"/>
  <c r="I1138" i="5"/>
  <c r="H1138" i="5" s="1"/>
  <c r="J1318" i="5"/>
  <c r="F808" i="5"/>
  <c r="G988" i="5"/>
  <c r="M988" i="5"/>
  <c r="G718" i="5"/>
  <c r="M718" i="5"/>
  <c r="M793" i="5"/>
  <c r="J868" i="5"/>
  <c r="F538" i="5"/>
  <c r="N613" i="5"/>
  <c r="G778" i="5"/>
  <c r="J778" i="5"/>
  <c r="G868" i="5"/>
  <c r="J598" i="5"/>
  <c r="G688" i="5"/>
  <c r="J688" i="5"/>
  <c r="G508" i="5"/>
  <c r="J508" i="5"/>
  <c r="G598" i="5"/>
  <c r="N928" i="5"/>
  <c r="F943" i="5"/>
  <c r="I943" i="5"/>
  <c r="H943" i="5" s="1"/>
  <c r="J763" i="5"/>
  <c r="M853" i="5"/>
  <c r="K853" i="5"/>
  <c r="N658" i="5"/>
  <c r="F673" i="5"/>
  <c r="I673" i="5"/>
  <c r="H673" i="5" s="1"/>
  <c r="J493" i="5"/>
  <c r="M583" i="5"/>
  <c r="K583" i="5"/>
  <c r="K478" i="5"/>
  <c r="F478" i="5"/>
  <c r="I478" i="5"/>
  <c r="H478" i="5" s="1"/>
  <c r="G913" i="5"/>
  <c r="M1003" i="5"/>
  <c r="M823" i="5"/>
  <c r="G823" i="5"/>
  <c r="M913" i="5"/>
  <c r="G553" i="5"/>
  <c r="M733" i="5"/>
  <c r="G733" i="5"/>
  <c r="K328" i="5"/>
  <c r="K418" i="5"/>
  <c r="M553" i="5"/>
  <c r="K58" i="5"/>
  <c r="K148" i="5"/>
  <c r="K238" i="5"/>
  <c r="G223" i="5"/>
  <c r="M223" i="5"/>
  <c r="M388" i="5"/>
  <c r="M118" i="5"/>
  <c r="G208" i="5"/>
  <c r="J208" i="5"/>
  <c r="K28" i="5"/>
  <c r="N43" i="5"/>
  <c r="F283" i="5"/>
  <c r="G448" i="5"/>
  <c r="F13" i="5"/>
  <c r="F193" i="5"/>
  <c r="I343" i="5"/>
  <c r="H343" i="5" s="1"/>
  <c r="J358" i="5"/>
  <c r="K448" i="5"/>
  <c r="K343" i="5"/>
  <c r="F343" i="5"/>
  <c r="N253" i="5"/>
  <c r="N268" i="5"/>
  <c r="G178" i="5"/>
  <c r="G253" i="5"/>
  <c r="J253" i="5"/>
  <c r="I73" i="5"/>
  <c r="H73" i="5" s="1"/>
  <c r="J88" i="5"/>
  <c r="K178" i="5"/>
  <c r="K73" i="5"/>
  <c r="F73" i="5"/>
  <c r="H3763" i="5"/>
  <c r="AA3759" i="5"/>
  <c r="S3759" i="5"/>
  <c r="W3759" i="5"/>
  <c r="H3553" i="5"/>
  <c r="S3549" i="5"/>
  <c r="AA3549" i="5"/>
  <c r="W3549" i="5"/>
  <c r="H3733" i="5"/>
  <c r="AA3729" i="5"/>
  <c r="S3729" i="5"/>
  <c r="W3729" i="5"/>
  <c r="H3808" i="5"/>
  <c r="AA3804" i="5"/>
  <c r="S3804" i="5"/>
  <c r="W3804" i="5"/>
  <c r="H3868" i="5"/>
  <c r="AA3864" i="5"/>
  <c r="W3864" i="5"/>
  <c r="S3864" i="5"/>
  <c r="H3703" i="5"/>
  <c r="AA3699" i="5"/>
  <c r="W3699" i="5"/>
  <c r="S3699" i="5"/>
  <c r="H3718" i="5"/>
  <c r="AA3714" i="5"/>
  <c r="S3714" i="5"/>
  <c r="W3714" i="5"/>
  <c r="H3643" i="5"/>
  <c r="W3639" i="5"/>
  <c r="AA3639" i="5"/>
  <c r="S3639" i="5"/>
  <c r="H3613" i="5"/>
  <c r="AA3609" i="5"/>
  <c r="S3609" i="5"/>
  <c r="W3609" i="5"/>
  <c r="H3568" i="5"/>
  <c r="AA3564" i="5"/>
  <c r="W3564" i="5"/>
  <c r="S3564" i="5"/>
  <c r="H3793" i="5"/>
  <c r="W3789" i="5"/>
  <c r="S3789" i="5"/>
  <c r="AA3789" i="5"/>
  <c r="H3658" i="5"/>
  <c r="S3654" i="5"/>
  <c r="W3654" i="5"/>
  <c r="AA3654" i="5"/>
  <c r="H3598" i="5"/>
  <c r="W3594" i="5"/>
  <c r="S3594" i="5"/>
  <c r="AA3594" i="5"/>
  <c r="H3583" i="5"/>
  <c r="AA3579" i="5"/>
  <c r="W3579" i="5"/>
  <c r="S3579" i="5"/>
  <c r="H3538" i="5"/>
  <c r="AA3534" i="5"/>
  <c r="S3534" i="5"/>
  <c r="W3534" i="5"/>
  <c r="H3748" i="5"/>
  <c r="AA3744" i="5"/>
  <c r="W3744" i="5"/>
  <c r="S3744" i="5"/>
  <c r="H3673" i="5"/>
  <c r="AA3669" i="5"/>
  <c r="S3669" i="5"/>
  <c r="W3669" i="5"/>
  <c r="H3778" i="5"/>
  <c r="AA3774" i="5"/>
  <c r="W3774" i="5"/>
  <c r="S3774" i="5"/>
  <c r="H3628" i="5"/>
  <c r="S3624" i="5"/>
  <c r="W3624" i="5"/>
  <c r="AA3624" i="5"/>
  <c r="H2863" i="5"/>
  <c r="AA2859" i="5"/>
  <c r="S2859" i="5"/>
  <c r="W2859" i="5"/>
  <c r="H2488" i="5"/>
  <c r="AA2484" i="5"/>
  <c r="S2484" i="5"/>
  <c r="W2484" i="5"/>
  <c r="H1798" i="5"/>
  <c r="S1794" i="5"/>
  <c r="AA1794" i="5"/>
  <c r="W1794" i="5"/>
  <c r="H1813" i="5"/>
  <c r="AA1809" i="5"/>
  <c r="W1809" i="5"/>
  <c r="S1809" i="5"/>
  <c r="H1828" i="5"/>
  <c r="S1824" i="5"/>
  <c r="AA1824" i="5"/>
  <c r="W1824" i="5"/>
  <c r="H2368" i="5"/>
  <c r="AA2364" i="5"/>
  <c r="W2364" i="5"/>
  <c r="S2364" i="5"/>
  <c r="H2518" i="5"/>
  <c r="AA2514" i="5"/>
  <c r="S2514" i="5"/>
  <c r="W2514" i="5"/>
  <c r="H2503" i="5"/>
  <c r="AA2499" i="5"/>
  <c r="S2499" i="5"/>
  <c r="W2499" i="5"/>
  <c r="H2383" i="5"/>
  <c r="AA2379" i="5"/>
  <c r="W2379" i="5"/>
  <c r="S2379" i="5"/>
  <c r="H1753" i="5"/>
  <c r="W1749" i="5"/>
  <c r="S1749" i="5"/>
  <c r="AA1749" i="5"/>
  <c r="H1783" i="5"/>
  <c r="W1779" i="5"/>
  <c r="S1779" i="5"/>
  <c r="AA1779" i="5"/>
  <c r="H1768" i="5"/>
  <c r="S1764" i="5"/>
  <c r="W1764" i="5"/>
  <c r="AA1764" i="5"/>
  <c r="C2" i="44" l="1"/>
  <c r="D8" i="44"/>
  <c r="E2" i="44"/>
  <c r="H2" i="44"/>
  <c r="I8" i="44"/>
  <c r="J2" i="44"/>
  <c r="M2" i="44"/>
  <c r="N8" i="44"/>
  <c r="O2" i="44"/>
  <c r="C3" i="44"/>
  <c r="E3" i="44"/>
  <c r="H3" i="44"/>
  <c r="J3" i="44"/>
  <c r="M3" i="44"/>
  <c r="O3" i="44"/>
  <c r="C4" i="44"/>
  <c r="E4" i="44"/>
  <c r="H4" i="44"/>
  <c r="J4" i="44"/>
  <c r="M4" i="44"/>
  <c r="O4" i="44"/>
  <c r="C5" i="44"/>
  <c r="E5" i="44"/>
  <c r="H5" i="44"/>
  <c r="J5" i="44"/>
  <c r="M5" i="44"/>
  <c r="O5" i="44"/>
  <c r="C6" i="44"/>
  <c r="E6" i="44"/>
  <c r="H6" i="44"/>
  <c r="J6" i="44"/>
  <c r="M6" i="44"/>
  <c r="O6" i="44"/>
  <c r="C7" i="44"/>
  <c r="E7" i="44"/>
  <c r="H7" i="44"/>
  <c r="J7" i="44"/>
  <c r="M7" i="44"/>
  <c r="O7" i="44"/>
  <c r="A3" i="5"/>
  <c r="A18" i="5"/>
  <c r="A33" i="5"/>
  <c r="A48" i="5"/>
  <c r="A63" i="5"/>
  <c r="A78" i="5"/>
  <c r="A93" i="5"/>
  <c r="A108" i="5"/>
  <c r="A123" i="5"/>
  <c r="A138" i="5"/>
  <c r="A153" i="5"/>
  <c r="A168" i="5"/>
  <c r="A183" i="5"/>
  <c r="A198" i="5"/>
  <c r="A213" i="5"/>
  <c r="A228" i="5"/>
  <c r="A243" i="5"/>
  <c r="A258" i="5"/>
  <c r="A273" i="5"/>
  <c r="A288" i="5"/>
  <c r="A303" i="5"/>
  <c r="A318" i="5"/>
  <c r="A333" i="5"/>
  <c r="A348" i="5"/>
  <c r="A363" i="5"/>
  <c r="A378" i="5"/>
  <c r="A393" i="5"/>
  <c r="A408" i="5"/>
  <c r="A423" i="5"/>
  <c r="A438" i="5"/>
  <c r="A453" i="5"/>
  <c r="A468" i="5"/>
  <c r="A483" i="5"/>
  <c r="A498" i="5"/>
  <c r="A513" i="5"/>
  <c r="A528" i="5"/>
  <c r="A543" i="5"/>
  <c r="A558" i="5"/>
  <c r="A573" i="5"/>
  <c r="A588" i="5"/>
  <c r="A603" i="5"/>
  <c r="A618" i="5"/>
  <c r="A633" i="5"/>
  <c r="A648" i="5"/>
  <c r="A663" i="5"/>
  <c r="A678" i="5"/>
  <c r="A693" i="5"/>
  <c r="A708" i="5"/>
  <c r="A723" i="5"/>
  <c r="A738" i="5"/>
  <c r="A753" i="5"/>
  <c r="A768" i="5"/>
  <c r="A783" i="5"/>
  <c r="A798" i="5"/>
  <c r="A813" i="5"/>
  <c r="A828" i="5"/>
  <c r="A843" i="5"/>
  <c r="A858" i="5"/>
  <c r="A873" i="5"/>
  <c r="A888" i="5"/>
  <c r="A903" i="5"/>
  <c r="A918" i="5"/>
  <c r="A933" i="5"/>
  <c r="A948" i="5"/>
  <c r="A963" i="5"/>
  <c r="A978" i="5"/>
  <c r="A993" i="5"/>
  <c r="A1008" i="5"/>
  <c r="A1023" i="5"/>
  <c r="A1038" i="5"/>
  <c r="A1053" i="5"/>
  <c r="A1068" i="5"/>
  <c r="A1083" i="5"/>
  <c r="A1098" i="5"/>
  <c r="A1113" i="5"/>
  <c r="A1128" i="5"/>
  <c r="A1143" i="5"/>
  <c r="A1158" i="5"/>
  <c r="A1173" i="5"/>
  <c r="A1188" i="5"/>
  <c r="A1203" i="5"/>
  <c r="A1218" i="5"/>
  <c r="A1233" i="5"/>
  <c r="A1248" i="5"/>
  <c r="A1263" i="5"/>
  <c r="A1278" i="5"/>
  <c r="A1293" i="5"/>
  <c r="A1308" i="5"/>
  <c r="A1323" i="5"/>
  <c r="A1338" i="5"/>
  <c r="A1353" i="5"/>
  <c r="A1368" i="5"/>
  <c r="A1383" i="5"/>
  <c r="A1398" i="5"/>
  <c r="A1413" i="5"/>
  <c r="A1428" i="5"/>
  <c r="A1443" i="5"/>
  <c r="A1458" i="5"/>
  <c r="A1473" i="5"/>
  <c r="A1488" i="5"/>
  <c r="A1518" i="5"/>
  <c r="A1533" i="5"/>
  <c r="A1548" i="5"/>
  <c r="A1563" i="5"/>
  <c r="A1578" i="5"/>
  <c r="A1593" i="5"/>
  <c r="A1608" i="5"/>
  <c r="A1623" i="5"/>
  <c r="A1638" i="5"/>
  <c r="A1653" i="5"/>
  <c r="A1668" i="5"/>
  <c r="A1683" i="5"/>
  <c r="A1698" i="5"/>
  <c r="A1713" i="5"/>
  <c r="A1728" i="5"/>
  <c r="A1743" i="5"/>
  <c r="A1758" i="5"/>
  <c r="A1773" i="5"/>
  <c r="A1788" i="5"/>
  <c r="A1803" i="5"/>
  <c r="A1818" i="5"/>
  <c r="A1848" i="5"/>
  <c r="A1863" i="5"/>
  <c r="A1878" i="5"/>
  <c r="A1893" i="5"/>
  <c r="A1908" i="5"/>
  <c r="A1923" i="5"/>
  <c r="A1938" i="5"/>
  <c r="A1953" i="5"/>
  <c r="A1968" i="5"/>
  <c r="A1983" i="5"/>
  <c r="A1998" i="5"/>
  <c r="A2013" i="5"/>
  <c r="A2028" i="5"/>
  <c r="A2043" i="5"/>
  <c r="A2058" i="5"/>
  <c r="A2073" i="5"/>
  <c r="A2088" i="5"/>
  <c r="A2103" i="5"/>
  <c r="A2118" i="5"/>
  <c r="A2133" i="5"/>
  <c r="A2148" i="5"/>
  <c r="A2163" i="5"/>
  <c r="A2178" i="5"/>
  <c r="A2193" i="5"/>
  <c r="A2208" i="5"/>
  <c r="A2223" i="5"/>
  <c r="A2238" i="5"/>
  <c r="A2253" i="5"/>
  <c r="A2268" i="5"/>
  <c r="A2283" i="5"/>
  <c r="A2298" i="5"/>
  <c r="A2313" i="5"/>
  <c r="A2328" i="5"/>
  <c r="A2343" i="5"/>
  <c r="A2358" i="5"/>
  <c r="A2373" i="5"/>
  <c r="A2388" i="5"/>
  <c r="A2403" i="5"/>
  <c r="A2418" i="5"/>
  <c r="A2433" i="5"/>
  <c r="A2448" i="5"/>
  <c r="A2463" i="5"/>
  <c r="A2478" i="5"/>
  <c r="A2493" i="5"/>
  <c r="A2508" i="5"/>
  <c r="A2523" i="5"/>
  <c r="A2538" i="5"/>
  <c r="A2553" i="5"/>
  <c r="A2568" i="5"/>
  <c r="A2583" i="5"/>
  <c r="A2598" i="5"/>
  <c r="A2613" i="5"/>
  <c r="A2628" i="5"/>
  <c r="A2643" i="5"/>
  <c r="A2658" i="5"/>
  <c r="A2673" i="5"/>
  <c r="A2688" i="5"/>
  <c r="A2703" i="5"/>
  <c r="A2718" i="5"/>
  <c r="A2733" i="5"/>
  <c r="A2748" i="5"/>
  <c r="A2763" i="5"/>
  <c r="A2778" i="5"/>
  <c r="A2793" i="5"/>
  <c r="A2808" i="5"/>
  <c r="A2823" i="5"/>
  <c r="A2838" i="5"/>
  <c r="A2853" i="5"/>
  <c r="A2868" i="5"/>
  <c r="A2883" i="5"/>
  <c r="A2898" i="5"/>
  <c r="A2913" i="5"/>
  <c r="A2928" i="5"/>
  <c r="A2943" i="5"/>
  <c r="A2958" i="5"/>
  <c r="A2973" i="5"/>
  <c r="A2988" i="5"/>
  <c r="A3003" i="5"/>
  <c r="A3018" i="5"/>
  <c r="A3033" i="5"/>
  <c r="A3048" i="5"/>
  <c r="A3063" i="5"/>
  <c r="A3078" i="5"/>
  <c r="A3093" i="5"/>
  <c r="A3108" i="5"/>
  <c r="A3123" i="5"/>
  <c r="A3138" i="5"/>
  <c r="A3153" i="5"/>
  <c r="A3168" i="5"/>
  <c r="A3183" i="5"/>
  <c r="A3198" i="5"/>
  <c r="A3213" i="5"/>
  <c r="A3228" i="5"/>
  <c r="A3243" i="5"/>
  <c r="A3258" i="5"/>
  <c r="A3273" i="5"/>
  <c r="A3288" i="5"/>
  <c r="A3303" i="5"/>
  <c r="A3318" i="5"/>
  <c r="A3333" i="5"/>
  <c r="A3348" i="5"/>
  <c r="A3363" i="5"/>
  <c r="A3378" i="5"/>
  <c r="A3393" i="5"/>
  <c r="A3408" i="5"/>
  <c r="A3423" i="5"/>
  <c r="A3438" i="5"/>
  <c r="A3453" i="5"/>
  <c r="A3468" i="5"/>
  <c r="A3483" i="5"/>
  <c r="A3498" i="5"/>
  <c r="A3513" i="5"/>
  <c r="A3528" i="5"/>
  <c r="A3543" i="5"/>
  <c r="A3558" i="5"/>
  <c r="A3573" i="5"/>
  <c r="A3588" i="5"/>
  <c r="A3603" i="5"/>
  <c r="A3618" i="5"/>
  <c r="A3633" i="5"/>
  <c r="A3648" i="5"/>
  <c r="A3663" i="5"/>
  <c r="A3678" i="5"/>
  <c r="A3693" i="5"/>
  <c r="A3708" i="5"/>
  <c r="A3723" i="5"/>
  <c r="A3738" i="5"/>
  <c r="A3753" i="5"/>
  <c r="A3768" i="5"/>
  <c r="A3783" i="5"/>
  <c r="A3798" i="5"/>
  <c r="A3813" i="5"/>
  <c r="A3828" i="5"/>
  <c r="A3843" i="5"/>
  <c r="A3858" i="5"/>
  <c r="G266" i="40"/>
  <c r="H2" i="40" s="1"/>
  <c r="G267" i="40"/>
  <c r="N266" i="40"/>
  <c r="O7" i="40" s="1"/>
  <c r="N267" i="40"/>
  <c r="O70" i="40" s="1"/>
  <c r="U266" i="40"/>
  <c r="V2" i="40" s="1"/>
  <c r="W2" i="40" s="1"/>
  <c r="X2" i="40" s="1"/>
  <c r="U267" i="40"/>
  <c r="AB266" i="40"/>
  <c r="AC69" i="40" s="1"/>
  <c r="AB267" i="40"/>
  <c r="AI266" i="40"/>
  <c r="AJ2" i="40" s="1"/>
  <c r="AK2" i="40" s="1"/>
  <c r="AI267" i="40"/>
  <c r="AJ3" i="40"/>
  <c r="AK3" i="40" s="1"/>
  <c r="AL3" i="40" s="1"/>
  <c r="AP266" i="40"/>
  <c r="AQ66" i="40" s="1"/>
  <c r="AP267" i="40"/>
  <c r="AQ8" i="40" s="1"/>
  <c r="AR8" i="40" s="1"/>
  <c r="AS8" i="40" s="1"/>
  <c r="AW266" i="40"/>
  <c r="AW267" i="40"/>
  <c r="AX67" i="40" s="1"/>
  <c r="AX2" i="40"/>
  <c r="AX14" i="40"/>
  <c r="BG266" i="40"/>
  <c r="BH2" i="40" s="1"/>
  <c r="BI2" i="40" s="1"/>
  <c r="BJ2" i="40" s="1"/>
  <c r="BG267" i="40"/>
  <c r="BM2" i="40"/>
  <c r="O3" i="40"/>
  <c r="P3" i="40" s="1"/>
  <c r="V3" i="40"/>
  <c r="W3" i="40" s="1"/>
  <c r="X3" i="40" s="1"/>
  <c r="AC3" i="40"/>
  <c r="AQ3" i="40"/>
  <c r="AR3" i="40" s="1"/>
  <c r="AX3" i="40"/>
  <c r="BH3" i="40"/>
  <c r="BI3" i="40" s="1"/>
  <c r="BJ3" i="40" s="1"/>
  <c r="BM3" i="40"/>
  <c r="H4" i="40"/>
  <c r="O4" i="40"/>
  <c r="P4" i="40" s="1"/>
  <c r="AC4" i="40"/>
  <c r="AJ4" i="40"/>
  <c r="AK4" i="40"/>
  <c r="AL4" i="40" s="1"/>
  <c r="AQ4" i="40"/>
  <c r="AX4" i="40"/>
  <c r="AY4" i="40" s="1"/>
  <c r="BH4" i="40"/>
  <c r="BI4" i="40" s="1"/>
  <c r="BJ4" i="40" s="1"/>
  <c r="BM4" i="40"/>
  <c r="H5" i="40"/>
  <c r="O5" i="40"/>
  <c r="P5" i="40" s="1"/>
  <c r="V5" i="40"/>
  <c r="W5" i="40"/>
  <c r="X5" i="40" s="1"/>
  <c r="AC5" i="40"/>
  <c r="AJ5" i="40"/>
  <c r="AK5" i="40" s="1"/>
  <c r="AQ5" i="40"/>
  <c r="AX5" i="40"/>
  <c r="AY5" i="40" s="1"/>
  <c r="BH5" i="40"/>
  <c r="BI5" i="40"/>
  <c r="BJ5" i="40" s="1"/>
  <c r="BM5" i="40"/>
  <c r="H6" i="40"/>
  <c r="O6" i="40"/>
  <c r="V6" i="40"/>
  <c r="W6" i="40" s="1"/>
  <c r="X6" i="40" s="1"/>
  <c r="AC6" i="40"/>
  <c r="AJ6" i="40"/>
  <c r="AK6" i="40" s="1"/>
  <c r="AL6" i="40" s="1"/>
  <c r="AX6" i="40"/>
  <c r="BH6" i="40"/>
  <c r="BI6" i="40" s="1"/>
  <c r="BJ6" i="40" s="1"/>
  <c r="BM6" i="40"/>
  <c r="H7" i="40"/>
  <c r="V7" i="40"/>
  <c r="W7" i="40" s="1"/>
  <c r="X7" i="40" s="1"/>
  <c r="AC7" i="40"/>
  <c r="AJ7" i="40"/>
  <c r="AK7" i="40" s="1"/>
  <c r="AL7" i="40" s="1"/>
  <c r="AQ7" i="40"/>
  <c r="AR7" i="40" s="1"/>
  <c r="AX7" i="40"/>
  <c r="BH7" i="40"/>
  <c r="BI7" i="40" s="1"/>
  <c r="BJ7" i="40" s="1"/>
  <c r="BM7" i="40"/>
  <c r="H8" i="40"/>
  <c r="O8" i="40"/>
  <c r="P8" i="40" s="1"/>
  <c r="AC8" i="40"/>
  <c r="AJ8" i="40"/>
  <c r="AK8" i="40" s="1"/>
  <c r="AL8" i="40" s="1"/>
  <c r="AX8" i="40"/>
  <c r="AY8" i="40" s="1"/>
  <c r="BH8" i="40"/>
  <c r="BI8" i="40"/>
  <c r="BJ8" i="40" s="1"/>
  <c r="BM8" i="40"/>
  <c r="H9" i="40"/>
  <c r="O9" i="40"/>
  <c r="P9" i="40" s="1"/>
  <c r="AJ9" i="40"/>
  <c r="AK9" i="40"/>
  <c r="AL9" i="40" s="1"/>
  <c r="AQ9" i="40"/>
  <c r="AX9" i="40"/>
  <c r="BH9" i="40"/>
  <c r="BI9" i="40" s="1"/>
  <c r="BJ9" i="40" s="1"/>
  <c r="BM9" i="40"/>
  <c r="H10" i="40"/>
  <c r="O10" i="40"/>
  <c r="V10" i="40"/>
  <c r="W10" i="40" s="1"/>
  <c r="X10" i="40" s="1"/>
  <c r="AC10" i="40"/>
  <c r="AJ10" i="40"/>
  <c r="AK10" i="40" s="1"/>
  <c r="AQ10" i="40"/>
  <c r="AR10" i="40" s="1"/>
  <c r="AS10" i="40" s="1"/>
  <c r="AX10" i="40"/>
  <c r="AY10" i="40" s="1"/>
  <c r="BH10" i="40"/>
  <c r="BI10" i="40"/>
  <c r="BJ10" i="40" s="1"/>
  <c r="BM10" i="40"/>
  <c r="H11" i="40"/>
  <c r="O11" i="40"/>
  <c r="P11" i="40" s="1"/>
  <c r="V11" i="40"/>
  <c r="W11" i="40" s="1"/>
  <c r="X11" i="40" s="1"/>
  <c r="AC11" i="40"/>
  <c r="AJ11" i="40"/>
  <c r="AK11" i="40"/>
  <c r="AL11" i="40" s="1"/>
  <c r="AX11" i="40"/>
  <c r="BH11" i="40"/>
  <c r="BI11" i="40" s="1"/>
  <c r="BJ11" i="40" s="1"/>
  <c r="BM11" i="40"/>
  <c r="H12" i="40"/>
  <c r="O12" i="40"/>
  <c r="P12" i="40" s="1"/>
  <c r="AC12" i="40"/>
  <c r="AJ12" i="40"/>
  <c r="AK12" i="40" s="1"/>
  <c r="AQ12" i="40"/>
  <c r="AX12" i="40"/>
  <c r="AY12" i="40" s="1"/>
  <c r="BH12" i="40"/>
  <c r="BI12" i="40"/>
  <c r="BJ12" i="40" s="1"/>
  <c r="BM12" i="40"/>
  <c r="H13" i="40"/>
  <c r="O13" i="40"/>
  <c r="AC13" i="40"/>
  <c r="AQ13" i="40"/>
  <c r="AX13" i="40"/>
  <c r="BH13" i="40"/>
  <c r="BI13" i="40" s="1"/>
  <c r="BJ13" i="40" s="1"/>
  <c r="BM13" i="40"/>
  <c r="H14" i="40"/>
  <c r="O14" i="40"/>
  <c r="AC14" i="40"/>
  <c r="AJ14" i="40"/>
  <c r="AK14" i="40"/>
  <c r="AL14" i="40" s="1"/>
  <c r="AQ14" i="40"/>
  <c r="BH14" i="40"/>
  <c r="BI14" i="40" s="1"/>
  <c r="BJ14" i="40" s="1"/>
  <c r="BM14" i="40"/>
  <c r="H15" i="40"/>
  <c r="O15" i="40"/>
  <c r="AC15" i="40"/>
  <c r="AJ15" i="40"/>
  <c r="AK15" i="40"/>
  <c r="AL15" i="40" s="1"/>
  <c r="AQ15" i="40"/>
  <c r="AR15" i="40" s="1"/>
  <c r="AS15" i="40" s="1"/>
  <c r="AX15" i="40"/>
  <c r="BH15" i="40"/>
  <c r="BI15" i="40" s="1"/>
  <c r="BJ15" i="40" s="1"/>
  <c r="BM15" i="40"/>
  <c r="H16" i="40"/>
  <c r="O16" i="40"/>
  <c r="P16" i="40" s="1"/>
  <c r="AC16" i="40"/>
  <c r="AQ16" i="40"/>
  <c r="BM16" i="40"/>
  <c r="O17" i="40"/>
  <c r="BM17" i="40"/>
  <c r="H18" i="40"/>
  <c r="O18" i="40"/>
  <c r="P18" i="40" s="1"/>
  <c r="AQ18" i="40"/>
  <c r="AR18" i="40" s="1"/>
  <c r="BM18" i="40"/>
  <c r="H19" i="40"/>
  <c r="V19" i="40"/>
  <c r="W19" i="40"/>
  <c r="X19" i="40" s="1"/>
  <c r="AC19" i="40"/>
  <c r="AJ19" i="40"/>
  <c r="AK19" i="40" s="1"/>
  <c r="AL19" i="40" s="1"/>
  <c r="AQ19" i="40"/>
  <c r="AX19" i="40"/>
  <c r="BH19" i="40"/>
  <c r="BI19" i="40" s="1"/>
  <c r="BJ19" i="40" s="1"/>
  <c r="BM19" i="40"/>
  <c r="H20" i="40"/>
  <c r="O20" i="40"/>
  <c r="V20" i="40"/>
  <c r="W20" i="40" s="1"/>
  <c r="X20" i="40" s="1"/>
  <c r="AC20" i="40"/>
  <c r="AJ20" i="40"/>
  <c r="AK20" i="40" s="1"/>
  <c r="AL20" i="40" s="1"/>
  <c r="AX20" i="40"/>
  <c r="BH20" i="40"/>
  <c r="BI20" i="40" s="1"/>
  <c r="BJ20" i="40" s="1"/>
  <c r="BM20" i="40"/>
  <c r="H21" i="40"/>
  <c r="O21" i="40"/>
  <c r="P21" i="40" s="1"/>
  <c r="V21" i="40"/>
  <c r="W21" i="40" s="1"/>
  <c r="X21" i="40" s="1"/>
  <c r="AC21" i="40"/>
  <c r="AJ21" i="40"/>
  <c r="AK21" i="40" s="1"/>
  <c r="AL21" i="40" s="1"/>
  <c r="AQ21" i="40"/>
  <c r="AR21" i="40" s="1"/>
  <c r="AX21" i="40"/>
  <c r="AY21" i="40" s="1"/>
  <c r="BH21" i="40"/>
  <c r="BI21" i="40"/>
  <c r="BJ21" i="40" s="1"/>
  <c r="BM21" i="40"/>
  <c r="H22" i="40"/>
  <c r="O22" i="40"/>
  <c r="P22" i="40" s="1"/>
  <c r="V22" i="40"/>
  <c r="W22" i="40"/>
  <c r="X22" i="40" s="1"/>
  <c r="AC22" i="40"/>
  <c r="AJ22" i="40"/>
  <c r="AK22" i="40" s="1"/>
  <c r="AL22" i="40" s="1"/>
  <c r="AQ22" i="40"/>
  <c r="AX22" i="40"/>
  <c r="BH22" i="40"/>
  <c r="BI22" i="40" s="1"/>
  <c r="BJ22" i="40" s="1"/>
  <c r="BM22" i="40"/>
  <c r="H23" i="40"/>
  <c r="O23" i="40"/>
  <c r="V23" i="40"/>
  <c r="W23" i="40" s="1"/>
  <c r="X23" i="40" s="1"/>
  <c r="AC23" i="40"/>
  <c r="AJ23" i="40"/>
  <c r="AK23" i="40" s="1"/>
  <c r="AL23" i="40" s="1"/>
  <c r="AQ23" i="40"/>
  <c r="AR23" i="40" s="1"/>
  <c r="AX23" i="40"/>
  <c r="AY23" i="40" s="1"/>
  <c r="BH23" i="40"/>
  <c r="BI23" i="40" s="1"/>
  <c r="BJ23" i="40" s="1"/>
  <c r="BM23" i="40"/>
  <c r="H24" i="40"/>
  <c r="O24" i="40"/>
  <c r="P24" i="40" s="1"/>
  <c r="V24" i="40"/>
  <c r="W24" i="40"/>
  <c r="X24" i="40" s="1"/>
  <c r="AC24" i="40"/>
  <c r="AJ24" i="40"/>
  <c r="AK24" i="40"/>
  <c r="AL24" i="40" s="1"/>
  <c r="AQ24" i="40"/>
  <c r="AX24" i="40"/>
  <c r="AY24" i="40" s="1"/>
  <c r="BH24" i="40"/>
  <c r="BI24" i="40" s="1"/>
  <c r="BJ24" i="40" s="1"/>
  <c r="BM24" i="40"/>
  <c r="H25" i="40"/>
  <c r="O25" i="40"/>
  <c r="V25" i="40"/>
  <c r="W25" i="40" s="1"/>
  <c r="X25" i="40" s="1"/>
  <c r="AC25" i="40"/>
  <c r="AJ25" i="40"/>
  <c r="AK25" i="40" s="1"/>
  <c r="AL25" i="40" s="1"/>
  <c r="AQ25" i="40"/>
  <c r="AR25" i="40" s="1"/>
  <c r="AS25" i="40" s="1"/>
  <c r="BH25" i="40"/>
  <c r="BI25" i="40" s="1"/>
  <c r="BJ25" i="40" s="1"/>
  <c r="BM25" i="40"/>
  <c r="H26" i="40"/>
  <c r="O26" i="40"/>
  <c r="V26" i="40"/>
  <c r="W26" i="40" s="1"/>
  <c r="X26" i="40" s="1"/>
  <c r="AC26" i="40"/>
  <c r="AJ26" i="40"/>
  <c r="AK26" i="40" s="1"/>
  <c r="AL26" i="40" s="1"/>
  <c r="AQ26" i="40"/>
  <c r="AR26" i="40" s="1"/>
  <c r="AX26" i="40"/>
  <c r="AY26" i="40" s="1"/>
  <c r="BH26" i="40"/>
  <c r="BI26" i="40" s="1"/>
  <c r="BJ26" i="40" s="1"/>
  <c r="BM26" i="40"/>
  <c r="H27" i="40"/>
  <c r="O27" i="40"/>
  <c r="P27" i="40" s="1"/>
  <c r="V27" i="40"/>
  <c r="W27" i="40"/>
  <c r="X27" i="40" s="1"/>
  <c r="AC27" i="40"/>
  <c r="AJ27" i="40"/>
  <c r="AK27" i="40"/>
  <c r="AL27" i="40" s="1"/>
  <c r="AQ27" i="40"/>
  <c r="AX27" i="40"/>
  <c r="AY27" i="40" s="1"/>
  <c r="BH27" i="40"/>
  <c r="BI27" i="40" s="1"/>
  <c r="BJ27" i="40" s="1"/>
  <c r="BM27" i="40"/>
  <c r="H28" i="40"/>
  <c r="O28" i="40"/>
  <c r="V28" i="40"/>
  <c r="W28" i="40" s="1"/>
  <c r="X28" i="40" s="1"/>
  <c r="AC28" i="40"/>
  <c r="AJ28" i="40"/>
  <c r="AK28" i="40" s="1"/>
  <c r="AL28" i="40" s="1"/>
  <c r="AQ28" i="40"/>
  <c r="AR28" i="40" s="1"/>
  <c r="AX28" i="40"/>
  <c r="AY28" i="40" s="1"/>
  <c r="BH28" i="40"/>
  <c r="BI28" i="40"/>
  <c r="BJ28" i="40" s="1"/>
  <c r="BM28" i="40"/>
  <c r="H29" i="40"/>
  <c r="O29" i="40"/>
  <c r="P29" i="40" s="1"/>
  <c r="V29" i="40"/>
  <c r="W29" i="40" s="1"/>
  <c r="X29" i="40" s="1"/>
  <c r="AC29" i="40"/>
  <c r="AJ29" i="40"/>
  <c r="AK29" i="40"/>
  <c r="AL29" i="40" s="1"/>
  <c r="AX29" i="40"/>
  <c r="AY29" i="40" s="1"/>
  <c r="BH29" i="40"/>
  <c r="BI29" i="40" s="1"/>
  <c r="BJ29" i="40" s="1"/>
  <c r="BM29" i="40"/>
  <c r="H30" i="40"/>
  <c r="O30" i="40"/>
  <c r="P30" i="40" s="1"/>
  <c r="AC30" i="40"/>
  <c r="AJ30" i="40"/>
  <c r="AK30" i="40" s="1"/>
  <c r="AL30" i="40" s="1"/>
  <c r="AQ30" i="40"/>
  <c r="AR30" i="40" s="1"/>
  <c r="BH30" i="40"/>
  <c r="BI30" i="40" s="1"/>
  <c r="BJ30" i="40" s="1"/>
  <c r="BM30" i="40"/>
  <c r="H31" i="40"/>
  <c r="O31" i="40"/>
  <c r="AC31" i="40"/>
  <c r="AJ31" i="40"/>
  <c r="AK31" i="40" s="1"/>
  <c r="AL31" i="40" s="1"/>
  <c r="AQ31" i="40"/>
  <c r="AX31" i="40"/>
  <c r="BH31" i="40"/>
  <c r="BI31" i="40" s="1"/>
  <c r="BJ31" i="40" s="1"/>
  <c r="BM31" i="40"/>
  <c r="H32" i="40"/>
  <c r="O32" i="40"/>
  <c r="V32" i="40"/>
  <c r="W32" i="40" s="1"/>
  <c r="X32" i="40" s="1"/>
  <c r="AC32" i="40"/>
  <c r="AJ32" i="40"/>
  <c r="AK32" i="40" s="1"/>
  <c r="AL32" i="40" s="1"/>
  <c r="AQ32" i="40"/>
  <c r="AR32" i="40" s="1"/>
  <c r="AX32" i="40"/>
  <c r="AY32" i="40" s="1"/>
  <c r="BH32" i="40"/>
  <c r="BI32" i="40" s="1"/>
  <c r="BJ32" i="40" s="1"/>
  <c r="BM32" i="40"/>
  <c r="H33" i="40"/>
  <c r="AC33" i="40"/>
  <c r="AJ33" i="40"/>
  <c r="AK33" i="40" s="1"/>
  <c r="AL33" i="40" s="1"/>
  <c r="AQ33" i="40"/>
  <c r="AR33" i="40" s="1"/>
  <c r="AX33" i="40"/>
  <c r="AY33" i="40" s="1"/>
  <c r="BM33" i="40"/>
  <c r="H34" i="40"/>
  <c r="O34" i="40"/>
  <c r="V34" i="40"/>
  <c r="W34" i="40" s="1"/>
  <c r="X34" i="40" s="1"/>
  <c r="AC34" i="40"/>
  <c r="AJ34" i="40"/>
  <c r="AK34" i="40" s="1"/>
  <c r="AL34" i="40" s="1"/>
  <c r="AQ34" i="40"/>
  <c r="AR34" i="40" s="1"/>
  <c r="AX34" i="40"/>
  <c r="AY34" i="40" s="1"/>
  <c r="BH34" i="40"/>
  <c r="BI34" i="40" s="1"/>
  <c r="BJ34" i="40" s="1"/>
  <c r="BM34" i="40"/>
  <c r="H35" i="40"/>
  <c r="O35" i="40"/>
  <c r="P35" i="40" s="1"/>
  <c r="AJ35" i="40"/>
  <c r="AK35" i="40"/>
  <c r="AL35" i="40" s="1"/>
  <c r="AQ35" i="40"/>
  <c r="AX35" i="40"/>
  <c r="AY35" i="40" s="1"/>
  <c r="BH35" i="40"/>
  <c r="BI35" i="40" s="1"/>
  <c r="BJ35" i="40" s="1"/>
  <c r="BM35" i="40"/>
  <c r="H36" i="40"/>
  <c r="O36" i="40"/>
  <c r="AC36" i="40"/>
  <c r="AJ36" i="40"/>
  <c r="AK36" i="40" s="1"/>
  <c r="AL36" i="40" s="1"/>
  <c r="AQ36" i="40"/>
  <c r="AX36" i="40"/>
  <c r="BH36" i="40"/>
  <c r="BI36" i="40" s="1"/>
  <c r="BJ36" i="40" s="1"/>
  <c r="BM36" i="40"/>
  <c r="O37" i="40"/>
  <c r="P37" i="40" s="1"/>
  <c r="AC37" i="40"/>
  <c r="AJ37" i="40"/>
  <c r="AK37" i="40" s="1"/>
  <c r="AL37" i="40" s="1"/>
  <c r="AX37" i="40"/>
  <c r="BH37" i="40"/>
  <c r="BI37" i="40" s="1"/>
  <c r="BJ37" i="40" s="1"/>
  <c r="BM37" i="40"/>
  <c r="O38" i="40"/>
  <c r="P38" i="40" s="1"/>
  <c r="AC38" i="40"/>
  <c r="BH38" i="40"/>
  <c r="BI38" i="40" s="1"/>
  <c r="BJ38" i="40" s="1"/>
  <c r="BM38" i="40"/>
  <c r="H39" i="40"/>
  <c r="V39" i="40"/>
  <c r="W39" i="40" s="1"/>
  <c r="X39" i="40" s="1"/>
  <c r="AC39" i="40"/>
  <c r="AJ39" i="40"/>
  <c r="AK39" i="40" s="1"/>
  <c r="AL39" i="40" s="1"/>
  <c r="AQ39" i="40"/>
  <c r="AR39" i="40" s="1"/>
  <c r="AX39" i="40"/>
  <c r="AY39" i="40" s="1"/>
  <c r="BH39" i="40"/>
  <c r="BI39" i="40" s="1"/>
  <c r="BJ39" i="40" s="1"/>
  <c r="BM39" i="40"/>
  <c r="H40" i="40"/>
  <c r="V40" i="40"/>
  <c r="W40" i="40"/>
  <c r="X40" i="40" s="1"/>
  <c r="AC40" i="40"/>
  <c r="AJ40" i="40"/>
  <c r="AK40" i="40" s="1"/>
  <c r="AL40" i="40" s="1"/>
  <c r="AQ40" i="40"/>
  <c r="AX40" i="40"/>
  <c r="BH40" i="40"/>
  <c r="BI40" i="40" s="1"/>
  <c r="BJ40" i="40" s="1"/>
  <c r="BM40" i="40"/>
  <c r="H41" i="40"/>
  <c r="O41" i="40"/>
  <c r="AC41" i="40"/>
  <c r="AJ41" i="40"/>
  <c r="AK41" i="40" s="1"/>
  <c r="AL41" i="40" s="1"/>
  <c r="AQ41" i="40"/>
  <c r="AR41" i="40" s="1"/>
  <c r="AX41" i="40"/>
  <c r="AY41" i="40" s="1"/>
  <c r="BH41" i="40"/>
  <c r="BI41" i="40"/>
  <c r="BJ41" i="40" s="1"/>
  <c r="BM41" i="40"/>
  <c r="H42" i="40"/>
  <c r="O42" i="40"/>
  <c r="P42" i="40" s="1"/>
  <c r="AC42" i="40"/>
  <c r="AJ42" i="40"/>
  <c r="AK42" i="40" s="1"/>
  <c r="AL42" i="40" s="1"/>
  <c r="AQ42" i="40"/>
  <c r="AR42" i="40" s="1"/>
  <c r="AX42" i="40"/>
  <c r="AY42" i="40" s="1"/>
  <c r="BH42" i="40"/>
  <c r="BI42" i="40"/>
  <c r="BJ42" i="40" s="1"/>
  <c r="BM42" i="40"/>
  <c r="H43" i="40"/>
  <c r="O43" i="40"/>
  <c r="P43" i="40" s="1"/>
  <c r="V43" i="40"/>
  <c r="W43" i="40" s="1"/>
  <c r="X43" i="40" s="1"/>
  <c r="AC43" i="40"/>
  <c r="AJ43" i="40"/>
  <c r="AK43" i="40"/>
  <c r="AL43" i="40" s="1"/>
  <c r="AQ43" i="40"/>
  <c r="AR43" i="40" s="1"/>
  <c r="AX43" i="40"/>
  <c r="BH43" i="40"/>
  <c r="BI43" i="40" s="1"/>
  <c r="BJ43" i="40" s="1"/>
  <c r="BM43" i="40"/>
  <c r="H44" i="40"/>
  <c r="O44" i="40"/>
  <c r="P44" i="40" s="1"/>
  <c r="AC44" i="40"/>
  <c r="AJ44" i="40"/>
  <c r="AK44" i="40"/>
  <c r="AL44" i="40" s="1"/>
  <c r="AQ44" i="40"/>
  <c r="AX44" i="40"/>
  <c r="AY44" i="40" s="1"/>
  <c r="BH44" i="40"/>
  <c r="BI44" i="40" s="1"/>
  <c r="BJ44" i="40" s="1"/>
  <c r="BM44" i="40"/>
  <c r="H45" i="40"/>
  <c r="O45" i="40"/>
  <c r="AC45" i="40"/>
  <c r="AJ45" i="40"/>
  <c r="AK45" i="40" s="1"/>
  <c r="AL45" i="40" s="1"/>
  <c r="AX45" i="40"/>
  <c r="AY45" i="40" s="1"/>
  <c r="BH45" i="40"/>
  <c r="BI45" i="40"/>
  <c r="BJ45" i="40" s="1"/>
  <c r="BM45" i="40"/>
  <c r="H46" i="40"/>
  <c r="O46" i="40"/>
  <c r="P46" i="40" s="1"/>
  <c r="AC46" i="40"/>
  <c r="AJ46" i="40"/>
  <c r="AK46" i="40" s="1"/>
  <c r="AL46" i="40" s="1"/>
  <c r="AQ46" i="40"/>
  <c r="AR46" i="40" s="1"/>
  <c r="AX46" i="40"/>
  <c r="AY46" i="40" s="1"/>
  <c r="BH46" i="40"/>
  <c r="BI46" i="40" s="1"/>
  <c r="BJ46" i="40" s="1"/>
  <c r="BM46" i="40"/>
  <c r="H47" i="40"/>
  <c r="O47" i="40"/>
  <c r="P47" i="40" s="1"/>
  <c r="V47" i="40"/>
  <c r="W47" i="40"/>
  <c r="X47" i="40" s="1"/>
  <c r="AC47" i="40"/>
  <c r="AJ47" i="40"/>
  <c r="AK47" i="40"/>
  <c r="AL47" i="40" s="1"/>
  <c r="AQ47" i="40"/>
  <c r="AX47" i="40"/>
  <c r="AY47" i="40" s="1"/>
  <c r="BH47" i="40"/>
  <c r="BI47" i="40" s="1"/>
  <c r="BJ47" i="40" s="1"/>
  <c r="BM47" i="40"/>
  <c r="H48" i="40"/>
  <c r="O48" i="40"/>
  <c r="AC48" i="40"/>
  <c r="AJ48" i="40"/>
  <c r="AK48" i="40" s="1"/>
  <c r="AL48" i="40" s="1"/>
  <c r="AQ48" i="40"/>
  <c r="AX48" i="40"/>
  <c r="BH48" i="40"/>
  <c r="BI48" i="40" s="1"/>
  <c r="BJ48" i="40" s="1"/>
  <c r="BM48" i="40"/>
  <c r="H49" i="40"/>
  <c r="O49" i="40"/>
  <c r="AC49" i="40"/>
  <c r="AQ49" i="40"/>
  <c r="AR49" i="40" s="1"/>
  <c r="AS49" i="40" s="1"/>
  <c r="AX49" i="40"/>
  <c r="AY49" i="40" s="1"/>
  <c r="BM49" i="40"/>
  <c r="H50" i="40"/>
  <c r="O50" i="40"/>
  <c r="P50" i="40" s="1"/>
  <c r="AC50" i="40"/>
  <c r="AJ50" i="40"/>
  <c r="AK50" i="40"/>
  <c r="AL50" i="40" s="1"/>
  <c r="AQ50" i="40"/>
  <c r="BH50" i="40"/>
  <c r="BI50" i="40"/>
  <c r="BJ50" i="40" s="1"/>
  <c r="BM50" i="40"/>
  <c r="H51" i="40"/>
  <c r="O51" i="40"/>
  <c r="P51" i="40" s="1"/>
  <c r="AC51" i="40"/>
  <c r="AJ51" i="40"/>
  <c r="AK51" i="40" s="1"/>
  <c r="AL51" i="40" s="1"/>
  <c r="AQ51" i="40"/>
  <c r="AR51" i="40" s="1"/>
  <c r="AX51" i="40"/>
  <c r="AY51" i="40" s="1"/>
  <c r="BH51" i="40"/>
  <c r="BI51" i="40"/>
  <c r="BJ51" i="40" s="1"/>
  <c r="BM51" i="40"/>
  <c r="H52" i="40"/>
  <c r="O52" i="40"/>
  <c r="P52" i="40" s="1"/>
  <c r="AJ52" i="40"/>
  <c r="AK52" i="40"/>
  <c r="AL52" i="40" s="1"/>
  <c r="AQ52" i="40"/>
  <c r="AR52" i="40" s="1"/>
  <c r="BH52" i="40"/>
  <c r="BI52" i="40" s="1"/>
  <c r="BJ52" i="40" s="1"/>
  <c r="BM52" i="40"/>
  <c r="H53" i="40"/>
  <c r="O53" i="40"/>
  <c r="P53" i="40" s="1"/>
  <c r="AC53" i="40"/>
  <c r="AJ53" i="40"/>
  <c r="AK53" i="40" s="1"/>
  <c r="AL53" i="40" s="1"/>
  <c r="AQ53" i="40"/>
  <c r="AR53" i="40" s="1"/>
  <c r="AX53" i="40"/>
  <c r="AY53" i="40" s="1"/>
  <c r="BM53" i="40"/>
  <c r="H54" i="40"/>
  <c r="O54" i="40"/>
  <c r="AC54" i="40"/>
  <c r="AJ54" i="40"/>
  <c r="AK54" i="40" s="1"/>
  <c r="AL54" i="40" s="1"/>
  <c r="AQ54" i="40"/>
  <c r="AX54" i="40"/>
  <c r="BH54" i="40"/>
  <c r="BI54" i="40" s="1"/>
  <c r="BJ54" i="40" s="1"/>
  <c r="BM54" i="40"/>
  <c r="H55" i="40"/>
  <c r="O55" i="40"/>
  <c r="AC55" i="40"/>
  <c r="AQ55" i="40"/>
  <c r="AR55" i="40" s="1"/>
  <c r="AX55" i="40"/>
  <c r="AY55" i="40" s="1"/>
  <c r="BM55" i="40"/>
  <c r="H56" i="40"/>
  <c r="O56" i="40"/>
  <c r="P56" i="40" s="1"/>
  <c r="AC56" i="40"/>
  <c r="AJ56" i="40"/>
  <c r="AK56" i="40"/>
  <c r="AL56" i="40" s="1"/>
  <c r="AQ56" i="40"/>
  <c r="AX56" i="40"/>
  <c r="AY56" i="40" s="1"/>
  <c r="BH56" i="40"/>
  <c r="BI56" i="40" s="1"/>
  <c r="BJ56" i="40" s="1"/>
  <c r="BM56" i="40"/>
  <c r="H57" i="40"/>
  <c r="O57" i="40"/>
  <c r="AC57" i="40"/>
  <c r="AJ57" i="40"/>
  <c r="AK57" i="40" s="1"/>
  <c r="AL57" i="40" s="1"/>
  <c r="AQ57" i="40"/>
  <c r="AX57" i="40"/>
  <c r="BH57" i="40"/>
  <c r="BI57" i="40" s="1"/>
  <c r="BJ57" i="40" s="1"/>
  <c r="BM57" i="40"/>
  <c r="H58" i="40"/>
  <c r="O58" i="40"/>
  <c r="AC58" i="40"/>
  <c r="AQ58" i="40"/>
  <c r="AR58" i="40" s="1"/>
  <c r="AX58" i="40"/>
  <c r="AY58" i="40" s="1"/>
  <c r="BM58" i="40"/>
  <c r="H59" i="40"/>
  <c r="O59" i="40"/>
  <c r="P59" i="40" s="1"/>
  <c r="V59" i="40"/>
  <c r="W59" i="40" s="1"/>
  <c r="X59" i="40" s="1"/>
  <c r="AC59" i="40"/>
  <c r="AJ59" i="40"/>
  <c r="AK59" i="40" s="1"/>
  <c r="AL59" i="40" s="1"/>
  <c r="BH59" i="40"/>
  <c r="BI59" i="40"/>
  <c r="BJ59" i="40" s="1"/>
  <c r="BM59" i="40"/>
  <c r="H60" i="40"/>
  <c r="O60" i="40"/>
  <c r="P60" i="40" s="1"/>
  <c r="AC60" i="40"/>
  <c r="AQ60" i="40"/>
  <c r="BM60" i="40"/>
  <c r="H61" i="40"/>
  <c r="O61" i="40"/>
  <c r="AQ61" i="40"/>
  <c r="AR61" i="40" s="1"/>
  <c r="BM61" i="40"/>
  <c r="H62" i="40"/>
  <c r="O62" i="40"/>
  <c r="P62" i="40" s="1"/>
  <c r="AQ62" i="40"/>
  <c r="BM62" i="40"/>
  <c r="H63" i="40"/>
  <c r="O63" i="40"/>
  <c r="AC63" i="40"/>
  <c r="AQ63" i="40"/>
  <c r="AR63" i="40" s="1"/>
  <c r="AS63" i="40" s="1"/>
  <c r="BM63" i="40"/>
  <c r="O64" i="40"/>
  <c r="AQ64" i="40"/>
  <c r="AR64" i="40" s="1"/>
  <c r="BM64" i="40"/>
  <c r="H65" i="40"/>
  <c r="V65" i="40"/>
  <c r="W65" i="40" s="1"/>
  <c r="X65" i="40" s="1"/>
  <c r="AC65" i="40"/>
  <c r="AJ65" i="40"/>
  <c r="AK65" i="40" s="1"/>
  <c r="AL65" i="40" s="1"/>
  <c r="AQ65" i="40"/>
  <c r="AR65" i="40" s="1"/>
  <c r="AX65" i="40"/>
  <c r="AY65" i="40" s="1"/>
  <c r="BH65" i="40"/>
  <c r="BI65" i="40"/>
  <c r="BJ65" i="40" s="1"/>
  <c r="BM65" i="40"/>
  <c r="O66" i="40"/>
  <c r="P66" i="40" s="1"/>
  <c r="V66" i="40"/>
  <c r="W66" i="40"/>
  <c r="X66" i="40" s="1"/>
  <c r="AJ66" i="40"/>
  <c r="AK66" i="40" s="1"/>
  <c r="AL66" i="40" s="1"/>
  <c r="AX66" i="40"/>
  <c r="BH66" i="40"/>
  <c r="BI66" i="40" s="1"/>
  <c r="BJ66" i="40" s="1"/>
  <c r="BM66" i="40"/>
  <c r="H67" i="40"/>
  <c r="O67" i="40"/>
  <c r="P67" i="40" s="1"/>
  <c r="V67" i="40"/>
  <c r="W67" i="40" s="1"/>
  <c r="X67" i="40" s="1"/>
  <c r="AC67" i="40"/>
  <c r="AJ67" i="40"/>
  <c r="AK67" i="40" s="1"/>
  <c r="AL67" i="40" s="1"/>
  <c r="AQ67" i="40"/>
  <c r="AR67" i="40" s="1"/>
  <c r="BH67" i="40"/>
  <c r="BI67" i="40" s="1"/>
  <c r="BJ67" i="40" s="1"/>
  <c r="BM67" i="40"/>
  <c r="H68" i="40"/>
  <c r="O68" i="40"/>
  <c r="V68" i="40"/>
  <c r="W68" i="40" s="1"/>
  <c r="X68" i="40" s="1"/>
  <c r="AC68" i="40"/>
  <c r="AJ68" i="40"/>
  <c r="AK68" i="40" s="1"/>
  <c r="AL68" i="40" s="1"/>
  <c r="AQ68" i="40"/>
  <c r="AR68" i="40" s="1"/>
  <c r="AX68" i="40"/>
  <c r="AY68" i="40" s="1"/>
  <c r="BH68" i="40"/>
  <c r="BI68" i="40" s="1"/>
  <c r="BJ68" i="40" s="1"/>
  <c r="BM68" i="40"/>
  <c r="H69" i="40"/>
  <c r="O69" i="40"/>
  <c r="P69" i="40" s="1"/>
  <c r="AJ69" i="40"/>
  <c r="AK69" i="40" s="1"/>
  <c r="AL69" i="40" s="1"/>
  <c r="AQ69" i="40"/>
  <c r="AR69" i="40" s="1"/>
  <c r="AS69" i="40" s="1"/>
  <c r="AX69" i="40"/>
  <c r="AY69" i="40" s="1"/>
  <c r="BH69" i="40"/>
  <c r="BI69" i="40" s="1"/>
  <c r="BJ69" i="40" s="1"/>
  <c r="BM69" i="40"/>
  <c r="AC70" i="40"/>
  <c r="AJ70" i="40"/>
  <c r="AK70" i="40" s="1"/>
  <c r="AL70" i="40" s="1"/>
  <c r="BM70" i="40"/>
  <c r="G263" i="40"/>
  <c r="H72" i="40" s="1"/>
  <c r="I72" i="40" s="1"/>
  <c r="J72" i="40" s="1"/>
  <c r="G264" i="40"/>
  <c r="H75" i="40" s="1"/>
  <c r="I75" i="40" s="1"/>
  <c r="J75" i="40" s="1"/>
  <c r="AW263" i="40"/>
  <c r="AX93" i="40" s="1"/>
  <c r="AY93" i="40" s="1"/>
  <c r="AZ93" i="40" s="1"/>
  <c r="AW264" i="40"/>
  <c r="AX71" i="40"/>
  <c r="AY71" i="40" s="1"/>
  <c r="BM71" i="40"/>
  <c r="N263" i="40"/>
  <c r="O72" i="40" s="1"/>
  <c r="P72" i="40" s="1"/>
  <c r="Q72" i="40" s="1"/>
  <c r="N264" i="40"/>
  <c r="O126" i="40"/>
  <c r="U263" i="40"/>
  <c r="U264" i="40"/>
  <c r="V72" i="40"/>
  <c r="W72" i="40" s="1"/>
  <c r="X72" i="40" s="1"/>
  <c r="AB263" i="40"/>
  <c r="AC83" i="40" s="1"/>
  <c r="AD93" i="40" s="1"/>
  <c r="AE93" i="40" s="1"/>
  <c r="AB264" i="40"/>
  <c r="AC72" i="40"/>
  <c r="AI263" i="40"/>
  <c r="AI264" i="40"/>
  <c r="AJ72" i="40" s="1"/>
  <c r="AK72" i="40" s="1"/>
  <c r="AP263" i="40"/>
  <c r="AQ85" i="40" s="1"/>
  <c r="AR85" i="40" s="1"/>
  <c r="AS85" i="40" s="1"/>
  <c r="AP264" i="40"/>
  <c r="AQ73" i="40" s="1"/>
  <c r="AR73" i="40" s="1"/>
  <c r="AS73" i="40" s="1"/>
  <c r="BG263" i="40"/>
  <c r="BG264" i="40"/>
  <c r="BH72" i="40" s="1"/>
  <c r="BI72" i="40" s="1"/>
  <c r="BM72" i="40"/>
  <c r="H73" i="40"/>
  <c r="I73" i="40" s="1"/>
  <c r="J73" i="40" s="1"/>
  <c r="O73" i="40"/>
  <c r="P73" i="40" s="1"/>
  <c r="Q73" i="40" s="1"/>
  <c r="BM73" i="40"/>
  <c r="H74" i="40"/>
  <c r="I74" i="40" s="1"/>
  <c r="J74" i="40" s="1"/>
  <c r="O74" i="40"/>
  <c r="P74" i="40" s="1"/>
  <c r="Q74" i="40" s="1"/>
  <c r="AC74" i="40"/>
  <c r="AX74" i="40"/>
  <c r="AY74" i="40" s="1"/>
  <c r="BH74" i="40"/>
  <c r="BI74" i="40" s="1"/>
  <c r="BM74" i="40"/>
  <c r="AC75" i="40"/>
  <c r="AJ75" i="40"/>
  <c r="AK75" i="40" s="1"/>
  <c r="AQ75" i="40"/>
  <c r="AR75" i="40" s="1"/>
  <c r="BM75" i="40"/>
  <c r="H76" i="40"/>
  <c r="I76" i="40" s="1"/>
  <c r="J76" i="40" s="1"/>
  <c r="O76" i="40"/>
  <c r="P76" i="40" s="1"/>
  <c r="Q76" i="40" s="1"/>
  <c r="AC76" i="40"/>
  <c r="AJ76" i="40"/>
  <c r="AK76" i="40" s="1"/>
  <c r="BM76" i="40"/>
  <c r="H77" i="40"/>
  <c r="I77" i="40" s="1"/>
  <c r="J77" i="40" s="1"/>
  <c r="O77" i="40"/>
  <c r="P77" i="40"/>
  <c r="Q77" i="40" s="1"/>
  <c r="V77" i="40"/>
  <c r="W77" i="40"/>
  <c r="X77" i="40" s="1"/>
  <c r="AC77" i="40"/>
  <c r="AX77" i="40"/>
  <c r="AY77" i="40" s="1"/>
  <c r="BH77" i="40"/>
  <c r="BI77" i="40" s="1"/>
  <c r="BM77" i="40"/>
  <c r="O78" i="40"/>
  <c r="P78" i="40"/>
  <c r="Q78" i="40" s="1"/>
  <c r="AC78" i="40"/>
  <c r="AJ78" i="40"/>
  <c r="AK78" i="40" s="1"/>
  <c r="AQ78" i="40"/>
  <c r="AR78" i="40" s="1"/>
  <c r="AS78" i="40" s="1"/>
  <c r="AX78" i="40"/>
  <c r="AY78" i="40" s="1"/>
  <c r="AZ78" i="40" s="1"/>
  <c r="BH78" i="40"/>
  <c r="BI78" i="40" s="1"/>
  <c r="BM78" i="40"/>
  <c r="H79" i="40"/>
  <c r="I79" i="40" s="1"/>
  <c r="J79" i="40" s="1"/>
  <c r="O79" i="40"/>
  <c r="P79" i="40" s="1"/>
  <c r="Q79" i="40" s="1"/>
  <c r="V79" i="40"/>
  <c r="W79" i="40" s="1"/>
  <c r="X79" i="40" s="1"/>
  <c r="AC79" i="40"/>
  <c r="AD79" i="40" s="1"/>
  <c r="AE79" i="40" s="1"/>
  <c r="AJ79" i="40"/>
  <c r="AK79" i="40" s="1"/>
  <c r="AQ79" i="40"/>
  <c r="AR79" i="40" s="1"/>
  <c r="AX79" i="40"/>
  <c r="AY79" i="40" s="1"/>
  <c r="AZ79" i="40" s="1"/>
  <c r="BM79" i="40"/>
  <c r="H80" i="40"/>
  <c r="I80" i="40" s="1"/>
  <c r="J80" i="40" s="1"/>
  <c r="O80" i="40"/>
  <c r="P80" i="40" s="1"/>
  <c r="Q80" i="40" s="1"/>
  <c r="AC80" i="40"/>
  <c r="AQ80" i="40"/>
  <c r="AR80" i="40" s="1"/>
  <c r="AX80" i="40"/>
  <c r="AY80" i="40"/>
  <c r="BH80" i="40"/>
  <c r="BI80" i="40" s="1"/>
  <c r="BM80" i="40"/>
  <c r="H81" i="40"/>
  <c r="I81" i="40"/>
  <c r="J81" i="40" s="1"/>
  <c r="O81" i="40"/>
  <c r="P81" i="40" s="1"/>
  <c r="Q81" i="40" s="1"/>
  <c r="AC81" i="40"/>
  <c r="AJ81" i="40"/>
  <c r="AK81" i="40" s="1"/>
  <c r="AQ81" i="40"/>
  <c r="AR81" i="40" s="1"/>
  <c r="AS81" i="40" s="1"/>
  <c r="AX81" i="40"/>
  <c r="AY81" i="40" s="1"/>
  <c r="AZ81" i="40" s="1"/>
  <c r="BM81" i="40"/>
  <c r="H82" i="40"/>
  <c r="I82" i="40" s="1"/>
  <c r="J82" i="40" s="1"/>
  <c r="O82" i="40"/>
  <c r="P82" i="40" s="1"/>
  <c r="Q82" i="40" s="1"/>
  <c r="AC82" i="40"/>
  <c r="AJ82" i="40"/>
  <c r="AK82" i="40"/>
  <c r="BH82" i="40"/>
  <c r="BI82" i="40" s="1"/>
  <c r="BM82" i="40"/>
  <c r="O83" i="40"/>
  <c r="P83" i="40" s="1"/>
  <c r="Q83" i="40" s="1"/>
  <c r="AJ83" i="40"/>
  <c r="AK83" i="40" s="1"/>
  <c r="AQ83" i="40"/>
  <c r="AR83" i="40" s="1"/>
  <c r="AS83" i="40" s="1"/>
  <c r="AX83" i="40"/>
  <c r="AY83" i="40" s="1"/>
  <c r="AZ83" i="40" s="1"/>
  <c r="BH83" i="40"/>
  <c r="BI83" i="40"/>
  <c r="BM83" i="40"/>
  <c r="H84" i="40"/>
  <c r="I84" i="40" s="1"/>
  <c r="J84" i="40" s="1"/>
  <c r="O84" i="40"/>
  <c r="P84" i="40" s="1"/>
  <c r="Q84" i="40" s="1"/>
  <c r="V84" i="40"/>
  <c r="W84" i="40" s="1"/>
  <c r="X84" i="40" s="1"/>
  <c r="AC84" i="40"/>
  <c r="AJ84" i="40"/>
  <c r="AK84" i="40" s="1"/>
  <c r="AQ84" i="40"/>
  <c r="AR84" i="40" s="1"/>
  <c r="AX84" i="40"/>
  <c r="AY84" i="40" s="1"/>
  <c r="AZ84" i="40" s="1"/>
  <c r="BH84" i="40"/>
  <c r="BI84" i="40" s="1"/>
  <c r="BM84" i="40"/>
  <c r="H85" i="40"/>
  <c r="I85" i="40" s="1"/>
  <c r="J85" i="40" s="1"/>
  <c r="O85" i="40"/>
  <c r="P85" i="40" s="1"/>
  <c r="Q85" i="40" s="1"/>
  <c r="AC85" i="40"/>
  <c r="AJ85" i="40"/>
  <c r="AK85" i="40" s="1"/>
  <c r="AX85" i="40"/>
  <c r="AY85" i="40" s="1"/>
  <c r="AZ85" i="40" s="1"/>
  <c r="BH85" i="40"/>
  <c r="BI85" i="40" s="1"/>
  <c r="BM85" i="40"/>
  <c r="H86" i="40"/>
  <c r="I86" i="40"/>
  <c r="J86" i="40" s="1"/>
  <c r="O86" i="40"/>
  <c r="P86" i="40"/>
  <c r="Q86" i="40" s="1"/>
  <c r="AC86" i="40"/>
  <c r="AQ86" i="40"/>
  <c r="AR86" i="40" s="1"/>
  <c r="AX86" i="40"/>
  <c r="AY86" i="40"/>
  <c r="AZ86" i="40" s="1"/>
  <c r="BH86" i="40"/>
  <c r="BI86" i="40" s="1"/>
  <c r="BM86" i="40"/>
  <c r="H87" i="40"/>
  <c r="I87" i="40"/>
  <c r="J87" i="40" s="1"/>
  <c r="O87" i="40"/>
  <c r="P87" i="40" s="1"/>
  <c r="Q87" i="40" s="1"/>
  <c r="AC87" i="40"/>
  <c r="AQ87" i="40"/>
  <c r="AR87" i="40"/>
  <c r="BH87" i="40"/>
  <c r="BI87" i="40"/>
  <c r="BM87" i="40"/>
  <c r="H88" i="40"/>
  <c r="I88" i="40" s="1"/>
  <c r="J88" i="40" s="1"/>
  <c r="O88" i="40"/>
  <c r="P88" i="40" s="1"/>
  <c r="Q88" i="40"/>
  <c r="AC88" i="40"/>
  <c r="AJ88" i="40"/>
  <c r="AK88" i="40"/>
  <c r="AQ88" i="40"/>
  <c r="AR88" i="40"/>
  <c r="AX88" i="40"/>
  <c r="AY88" i="40" s="1"/>
  <c r="AZ88" i="40" s="1"/>
  <c r="BH88" i="40"/>
  <c r="BI88" i="40" s="1"/>
  <c r="BM88" i="40"/>
  <c r="H89" i="40"/>
  <c r="I89" i="40"/>
  <c r="J89" i="40" s="1"/>
  <c r="O89" i="40"/>
  <c r="P89" i="40"/>
  <c r="Q89" i="40" s="1"/>
  <c r="AC89" i="40"/>
  <c r="AJ89" i="40"/>
  <c r="AK89" i="40" s="1"/>
  <c r="AQ89" i="40"/>
  <c r="AR89" i="40" s="1"/>
  <c r="AS89" i="40"/>
  <c r="BH89" i="40"/>
  <c r="BI89" i="40" s="1"/>
  <c r="BM89" i="40"/>
  <c r="H90" i="40"/>
  <c r="I90" i="40"/>
  <c r="J90" i="40" s="1"/>
  <c r="O90" i="40"/>
  <c r="P90" i="40" s="1"/>
  <c r="Q90" i="40" s="1"/>
  <c r="AC90" i="40"/>
  <c r="AJ90" i="40"/>
  <c r="AK90" i="40" s="1"/>
  <c r="AQ90" i="40"/>
  <c r="AR90" i="40" s="1"/>
  <c r="AS90" i="40"/>
  <c r="AX90" i="40"/>
  <c r="AY90" i="40" s="1"/>
  <c r="AZ90" i="40" s="1"/>
  <c r="BM90" i="40"/>
  <c r="H91" i="40"/>
  <c r="I91" i="40" s="1"/>
  <c r="J91" i="40" s="1"/>
  <c r="O91" i="40"/>
  <c r="P91" i="40"/>
  <c r="Q91" i="40" s="1"/>
  <c r="AC91" i="40"/>
  <c r="AJ91" i="40"/>
  <c r="AK91" i="40" s="1"/>
  <c r="AQ91" i="40"/>
  <c r="AR91" i="40" s="1"/>
  <c r="AX91" i="40"/>
  <c r="AY91" i="40" s="1"/>
  <c r="AZ91" i="40" s="1"/>
  <c r="BH91" i="40"/>
  <c r="BI91" i="40"/>
  <c r="BM91" i="40"/>
  <c r="H92" i="40"/>
  <c r="I92" i="40" s="1"/>
  <c r="J92" i="40"/>
  <c r="O92" i="40"/>
  <c r="P92" i="40" s="1"/>
  <c r="Q92" i="40" s="1"/>
  <c r="V92" i="40"/>
  <c r="W92" i="40" s="1"/>
  <c r="X92" i="40"/>
  <c r="AC92" i="40"/>
  <c r="AD92" i="40" s="1"/>
  <c r="AE92" i="40" s="1"/>
  <c r="AJ92" i="40"/>
  <c r="AK92" i="40" s="1"/>
  <c r="AQ92" i="40"/>
  <c r="AR92" i="40" s="1"/>
  <c r="AS92" i="40" s="1"/>
  <c r="AX92" i="40"/>
  <c r="AY92" i="40" s="1"/>
  <c r="AZ92" i="40"/>
  <c r="BH92" i="40"/>
  <c r="BI92" i="40" s="1"/>
  <c r="BM92" i="40"/>
  <c r="O93" i="40"/>
  <c r="P93" i="40" s="1"/>
  <c r="Q93" i="40" s="1"/>
  <c r="AC93" i="40"/>
  <c r="AJ93" i="40"/>
  <c r="AK93" i="40" s="1"/>
  <c r="BH93" i="40"/>
  <c r="BI93" i="40"/>
  <c r="BM93" i="40"/>
  <c r="H94" i="40"/>
  <c r="I94" i="40"/>
  <c r="J94" i="40" s="1"/>
  <c r="O94" i="40"/>
  <c r="P94" i="40"/>
  <c r="Q94" i="40" s="1"/>
  <c r="AC94" i="40"/>
  <c r="AD94" i="40" s="1"/>
  <c r="AE94" i="40" s="1"/>
  <c r="AJ94" i="40"/>
  <c r="AK94" i="40"/>
  <c r="AQ94" i="40"/>
  <c r="AR94" i="40" s="1"/>
  <c r="AS94" i="40"/>
  <c r="AX94" i="40"/>
  <c r="AY94" i="40" s="1"/>
  <c r="AZ94" i="40"/>
  <c r="BM94" i="40"/>
  <c r="H95" i="40"/>
  <c r="I95" i="40"/>
  <c r="J95" i="40" s="1"/>
  <c r="O95" i="40"/>
  <c r="P95" i="40" s="1"/>
  <c r="Q95" i="40" s="1"/>
  <c r="AC95" i="40"/>
  <c r="AD95" i="40"/>
  <c r="AE95" i="40" s="1"/>
  <c r="AJ95" i="40"/>
  <c r="AK95" i="40" s="1"/>
  <c r="AQ95" i="40"/>
  <c r="AR95" i="40" s="1"/>
  <c r="AS95" i="40" s="1"/>
  <c r="AX95" i="40"/>
  <c r="AY95" i="40"/>
  <c r="AZ95" i="40" s="1"/>
  <c r="BH95" i="40"/>
  <c r="BI95" i="40"/>
  <c r="BM95" i="40"/>
  <c r="H96" i="40"/>
  <c r="I96" i="40" s="1"/>
  <c r="J96" i="40"/>
  <c r="O96" i="40"/>
  <c r="P96" i="40" s="1"/>
  <c r="Q96" i="40"/>
  <c r="AC96" i="40"/>
  <c r="AQ96" i="40"/>
  <c r="AR96" i="40"/>
  <c r="AS96" i="40"/>
  <c r="BM96" i="40"/>
  <c r="H97" i="40"/>
  <c r="I97" i="40" s="1"/>
  <c r="J97" i="40"/>
  <c r="O97" i="40"/>
  <c r="P97" i="40" s="1"/>
  <c r="Q97" i="40" s="1"/>
  <c r="V97" i="40"/>
  <c r="W97" i="40" s="1"/>
  <c r="X97" i="40" s="1"/>
  <c r="AC97" i="40"/>
  <c r="AD97" i="40" s="1"/>
  <c r="AE97" i="40" s="1"/>
  <c r="AJ97" i="40"/>
  <c r="AK97" i="40" s="1"/>
  <c r="AQ97" i="40"/>
  <c r="AR97" i="40" s="1"/>
  <c r="AS97" i="40"/>
  <c r="BH97" i="40"/>
  <c r="BI97" i="40" s="1"/>
  <c r="BM97" i="40"/>
  <c r="H98" i="40"/>
  <c r="I98" i="40"/>
  <c r="J98" i="40" s="1"/>
  <c r="O98" i="40"/>
  <c r="P98" i="40"/>
  <c r="Q98" i="40" s="1"/>
  <c r="AC98" i="40"/>
  <c r="AJ98" i="40"/>
  <c r="AK98" i="40" s="1"/>
  <c r="AQ98" i="40"/>
  <c r="AR98" i="40" s="1"/>
  <c r="AX98" i="40"/>
  <c r="AY98" i="40"/>
  <c r="AZ98" i="40"/>
  <c r="BH98" i="40"/>
  <c r="BI98" i="40" s="1"/>
  <c r="BM98" i="40"/>
  <c r="H99" i="40"/>
  <c r="I99" i="40"/>
  <c r="J99" i="40" s="1"/>
  <c r="O99" i="40"/>
  <c r="P99" i="40"/>
  <c r="Q99" i="40" s="1"/>
  <c r="V99" i="40"/>
  <c r="W99" i="40" s="1"/>
  <c r="X99" i="40" s="1"/>
  <c r="AC99" i="40"/>
  <c r="AJ99" i="40"/>
  <c r="AK99" i="40"/>
  <c r="AQ99" i="40"/>
  <c r="AR99" i="40" s="1"/>
  <c r="AS99" i="40" s="1"/>
  <c r="BH99" i="40"/>
  <c r="BI99" i="40" s="1"/>
  <c r="BM99" i="40"/>
  <c r="H100" i="40"/>
  <c r="I100" i="40" s="1"/>
  <c r="J100" i="40" s="1"/>
  <c r="O100" i="40"/>
  <c r="P100" i="40" s="1"/>
  <c r="Q100" i="40" s="1"/>
  <c r="AC100" i="40"/>
  <c r="AD100" i="40"/>
  <c r="AE100" i="40" s="1"/>
  <c r="AJ100" i="40"/>
  <c r="AK100" i="40" s="1"/>
  <c r="AQ100" i="40"/>
  <c r="AR100" i="40"/>
  <c r="AS100" i="40" s="1"/>
  <c r="BH100" i="40"/>
  <c r="BI100" i="40"/>
  <c r="BM100" i="40"/>
  <c r="H101" i="40"/>
  <c r="I101" i="40" s="1"/>
  <c r="J101" i="40" s="1"/>
  <c r="O101" i="40"/>
  <c r="P101" i="40"/>
  <c r="Q101" i="40"/>
  <c r="AC101" i="40"/>
  <c r="AD101" i="40" s="1"/>
  <c r="AE101" i="40" s="1"/>
  <c r="AJ101" i="40"/>
  <c r="AK101" i="40"/>
  <c r="AX101" i="40"/>
  <c r="AY101" i="40" s="1"/>
  <c r="AZ101" i="40" s="1"/>
  <c r="BH101" i="40"/>
  <c r="BI101" i="40"/>
  <c r="BM101" i="40"/>
  <c r="H102" i="40"/>
  <c r="I102" i="40"/>
  <c r="J102" i="40"/>
  <c r="O102" i="40"/>
  <c r="P102" i="40" s="1"/>
  <c r="Q102" i="40" s="1"/>
  <c r="AC102" i="40"/>
  <c r="AQ102" i="40"/>
  <c r="AR102" i="40" s="1"/>
  <c r="AS102" i="40" s="1"/>
  <c r="BH102" i="40"/>
  <c r="BI102" i="40" s="1"/>
  <c r="BM102" i="40"/>
  <c r="H103" i="40"/>
  <c r="I103" i="40"/>
  <c r="J103" i="40" s="1"/>
  <c r="O103" i="40"/>
  <c r="P103" i="40" s="1"/>
  <c r="Q103" i="40" s="1"/>
  <c r="AC103" i="40"/>
  <c r="AD103" i="40" s="1"/>
  <c r="AE103" i="40" s="1"/>
  <c r="AQ103" i="40"/>
  <c r="AR103" i="40"/>
  <c r="AS103" i="40" s="1"/>
  <c r="BH103" i="40"/>
  <c r="BI103" i="40"/>
  <c r="BM103" i="40"/>
  <c r="H104" i="40"/>
  <c r="I104" i="40" s="1"/>
  <c r="J104" i="40" s="1"/>
  <c r="O104" i="40"/>
  <c r="P104" i="40"/>
  <c r="Q104" i="40"/>
  <c r="AJ104" i="40"/>
  <c r="AK104" i="40"/>
  <c r="AQ104" i="40"/>
  <c r="AR104" i="40" s="1"/>
  <c r="AS104" i="40" s="1"/>
  <c r="BH104" i="40"/>
  <c r="BI104" i="40" s="1"/>
  <c r="BM104" i="40"/>
  <c r="H105" i="40"/>
  <c r="I105" i="40"/>
  <c r="J105" i="40" s="1"/>
  <c r="O105" i="40"/>
  <c r="P105" i="40"/>
  <c r="Q105" i="40" s="1"/>
  <c r="AC105" i="40"/>
  <c r="AD105" i="40"/>
  <c r="AE105" i="40"/>
  <c r="AJ105" i="40"/>
  <c r="AK105" i="40" s="1"/>
  <c r="BH105" i="40"/>
  <c r="BI105" i="40" s="1"/>
  <c r="BM105" i="40"/>
  <c r="H106" i="40"/>
  <c r="I106" i="40" s="1"/>
  <c r="J106" i="40" s="1"/>
  <c r="O106" i="40"/>
  <c r="P106" i="40" s="1"/>
  <c r="Q106" i="40" s="1"/>
  <c r="AC106" i="40"/>
  <c r="AD106" i="40"/>
  <c r="AE106" i="40" s="1"/>
  <c r="AQ106" i="40"/>
  <c r="AR106" i="40"/>
  <c r="AS106" i="40"/>
  <c r="AX106" i="40"/>
  <c r="AY106" i="40" s="1"/>
  <c r="AZ106" i="40" s="1"/>
  <c r="BH106" i="40"/>
  <c r="BI106" i="40"/>
  <c r="BM106" i="40"/>
  <c r="H107" i="40"/>
  <c r="I107" i="40" s="1"/>
  <c r="J107" i="40" s="1"/>
  <c r="O107" i="40"/>
  <c r="P107" i="40"/>
  <c r="Q107" i="40"/>
  <c r="AC107" i="40"/>
  <c r="AD107" i="40" s="1"/>
  <c r="AE107" i="40" s="1"/>
  <c r="AQ107" i="40"/>
  <c r="AR107" i="40" s="1"/>
  <c r="AS107" i="40" s="1"/>
  <c r="BH107" i="40"/>
  <c r="BI107" i="40" s="1"/>
  <c r="BM107" i="40"/>
  <c r="O108" i="40"/>
  <c r="P108" i="40" s="1"/>
  <c r="Q108" i="40" s="1"/>
  <c r="AC108" i="40"/>
  <c r="AJ108" i="40"/>
  <c r="AK108" i="40"/>
  <c r="AQ108" i="40"/>
  <c r="AR108" i="40" s="1"/>
  <c r="AS108" i="40" s="1"/>
  <c r="AX108" i="40"/>
  <c r="AY108" i="40"/>
  <c r="AZ108" i="40" s="1"/>
  <c r="BH108" i="40"/>
  <c r="BI108" i="40" s="1"/>
  <c r="BM108" i="40"/>
  <c r="H109" i="40"/>
  <c r="I109" i="40"/>
  <c r="J109" i="40" s="1"/>
  <c r="O109" i="40"/>
  <c r="P109" i="40" s="1"/>
  <c r="Q109" i="40" s="1"/>
  <c r="AC109" i="40"/>
  <c r="AD109" i="40" s="1"/>
  <c r="AE109" i="40" s="1"/>
  <c r="AQ109" i="40"/>
  <c r="AR109" i="40"/>
  <c r="AS109" i="40" s="1"/>
  <c r="BM109" i="40"/>
  <c r="H110" i="40"/>
  <c r="I110" i="40" s="1"/>
  <c r="J110" i="40" s="1"/>
  <c r="O110" i="40"/>
  <c r="P110" i="40"/>
  <c r="Q110" i="40" s="1"/>
  <c r="AC110" i="40"/>
  <c r="AD110" i="40" s="1"/>
  <c r="AE110" i="40" s="1"/>
  <c r="AQ110" i="40"/>
  <c r="AR110" i="40"/>
  <c r="AS110" i="40" s="1"/>
  <c r="BH110" i="40"/>
  <c r="BI110" i="40"/>
  <c r="BM110" i="40"/>
  <c r="O111" i="40"/>
  <c r="P111" i="40"/>
  <c r="Q111" i="40" s="1"/>
  <c r="BM111" i="40"/>
  <c r="H112" i="40"/>
  <c r="I112" i="40"/>
  <c r="J112" i="40" s="1"/>
  <c r="O112" i="40"/>
  <c r="P112" i="40" s="1"/>
  <c r="Q112" i="40" s="1"/>
  <c r="BM112" i="40"/>
  <c r="H113" i="40"/>
  <c r="I113" i="40" s="1"/>
  <c r="J113" i="40" s="1"/>
  <c r="O113" i="40"/>
  <c r="P113" i="40"/>
  <c r="Q113" i="40" s="1"/>
  <c r="AC113" i="40"/>
  <c r="AD113" i="40" s="1"/>
  <c r="AE113" i="40" s="1"/>
  <c r="AQ113" i="40"/>
  <c r="AR113" i="40"/>
  <c r="AS113" i="40" s="1"/>
  <c r="BM113" i="40"/>
  <c r="H114" i="40"/>
  <c r="I114" i="40"/>
  <c r="J114" i="40" s="1"/>
  <c r="O114" i="40"/>
  <c r="P114" i="40"/>
  <c r="Q114" i="40" s="1"/>
  <c r="AQ114" i="40"/>
  <c r="AR114" i="40" s="1"/>
  <c r="AS114" i="40" s="1"/>
  <c r="BM114" i="40"/>
  <c r="H115" i="40"/>
  <c r="I115" i="40" s="1"/>
  <c r="J115" i="40" s="1"/>
  <c r="O115" i="40"/>
  <c r="P115" i="40" s="1"/>
  <c r="Q115" i="40" s="1"/>
  <c r="AQ115" i="40"/>
  <c r="AR115" i="40"/>
  <c r="AS115" i="40" s="1"/>
  <c r="BM115" i="40"/>
  <c r="O116" i="40"/>
  <c r="P116" i="40"/>
  <c r="Q116" i="40"/>
  <c r="AX116" i="40"/>
  <c r="AY116" i="40" s="1"/>
  <c r="AZ116" i="40" s="1"/>
  <c r="BM116" i="40"/>
  <c r="O117" i="40"/>
  <c r="P117" i="40" s="1"/>
  <c r="Q117" i="40" s="1"/>
  <c r="BM117" i="40"/>
  <c r="O118" i="40"/>
  <c r="P118" i="40" s="1"/>
  <c r="Q118" i="40" s="1"/>
  <c r="BM118" i="40"/>
  <c r="O119" i="40"/>
  <c r="P119" i="40"/>
  <c r="Q119" i="40"/>
  <c r="BM119" i="40"/>
  <c r="O120" i="40"/>
  <c r="P120" i="40"/>
  <c r="Q120" i="40" s="1"/>
  <c r="BM120" i="40"/>
  <c r="O121" i="40"/>
  <c r="P121" i="40" s="1"/>
  <c r="Q121" i="40" s="1"/>
  <c r="BM121" i="40"/>
  <c r="O122" i="40"/>
  <c r="P122" i="40"/>
  <c r="Q122" i="40" s="1"/>
  <c r="BM122" i="40"/>
  <c r="O123" i="40"/>
  <c r="P123" i="40" s="1"/>
  <c r="Q123" i="40" s="1"/>
  <c r="BM123" i="40"/>
  <c r="O124" i="40"/>
  <c r="P124" i="40" s="1"/>
  <c r="Q124" i="40" s="1"/>
  <c r="BM124" i="40"/>
  <c r="H125" i="40"/>
  <c r="I125" i="40" s="1"/>
  <c r="J125" i="40" s="1"/>
  <c r="O125" i="40"/>
  <c r="P125" i="40"/>
  <c r="Q125" i="40"/>
  <c r="AC125" i="40"/>
  <c r="AD125" i="40" s="1"/>
  <c r="AE125" i="40" s="1"/>
  <c r="AQ125" i="40"/>
  <c r="AR125" i="40"/>
  <c r="AS125" i="40" s="1"/>
  <c r="BH125" i="40"/>
  <c r="BI125" i="40"/>
  <c r="BM125" i="40"/>
  <c r="P126" i="40"/>
  <c r="Q126" i="40"/>
  <c r="AC126" i="40"/>
  <c r="AD126" i="40" s="1"/>
  <c r="AE126" i="40" s="1"/>
  <c r="AJ126" i="40"/>
  <c r="AK126" i="40"/>
  <c r="AQ126" i="40"/>
  <c r="AR126" i="40"/>
  <c r="AS126" i="40" s="1"/>
  <c r="AX126" i="40"/>
  <c r="AY126" i="40" s="1"/>
  <c r="AZ126" i="40" s="1"/>
  <c r="BM126" i="40"/>
  <c r="G260" i="40"/>
  <c r="H140" i="40" s="1"/>
  <c r="G261" i="40"/>
  <c r="H133" i="40" s="1"/>
  <c r="N260" i="40"/>
  <c r="O129" i="40" s="1"/>
  <c r="N261" i="40"/>
  <c r="V127" i="40"/>
  <c r="AB260" i="40"/>
  <c r="AC129" i="40" s="1"/>
  <c r="AD129" i="40" s="1"/>
  <c r="AE129" i="40" s="1"/>
  <c r="AB261" i="40"/>
  <c r="AC127" i="40"/>
  <c r="AD127" i="40"/>
  <c r="AE127" i="40" s="1"/>
  <c r="AI260" i="40"/>
  <c r="AJ155" i="40" s="1"/>
  <c r="AK155" i="40" s="1"/>
  <c r="AI261" i="40"/>
  <c r="AJ127" i="40"/>
  <c r="AK127" i="40" s="1"/>
  <c r="AL127" i="40" s="1"/>
  <c r="AJ203" i="40"/>
  <c r="AK136" i="40" s="1"/>
  <c r="AL136" i="40" s="1"/>
  <c r="AP260" i="40"/>
  <c r="AQ162" i="40" s="1"/>
  <c r="AR162" i="40" s="1"/>
  <c r="AP261" i="40"/>
  <c r="AW260" i="40"/>
  <c r="AX127" i="40" s="1"/>
  <c r="AY127" i="40" s="1"/>
  <c r="AW261" i="40"/>
  <c r="AX205" i="40"/>
  <c r="AY205" i="40" s="1"/>
  <c r="BG260" i="40"/>
  <c r="BH128" i="40" s="1"/>
  <c r="BG261" i="40"/>
  <c r="BH169" i="40" s="1"/>
  <c r="BM127" i="40"/>
  <c r="V128" i="40"/>
  <c r="AC128" i="40"/>
  <c r="AD128" i="40"/>
  <c r="AE128" i="40" s="1"/>
  <c r="AJ128" i="40"/>
  <c r="AK128" i="40" s="1"/>
  <c r="AL128" i="40" s="1"/>
  <c r="AX128" i="40"/>
  <c r="AY128" i="40"/>
  <c r="AZ128" i="40" s="1"/>
  <c r="BM128" i="40"/>
  <c r="V129" i="40"/>
  <c r="AJ129" i="40"/>
  <c r="AQ129" i="40"/>
  <c r="AR129" i="40" s="1"/>
  <c r="BM129" i="40"/>
  <c r="V130" i="40"/>
  <c r="AC130" i="40"/>
  <c r="AD130" i="40" s="1"/>
  <c r="AE130" i="40" s="1"/>
  <c r="AX130" i="40"/>
  <c r="AY130" i="40" s="1"/>
  <c r="BM130" i="40"/>
  <c r="V131" i="40"/>
  <c r="AC131" i="40"/>
  <c r="AD131" i="40"/>
  <c r="AE131" i="40" s="1"/>
  <c r="AJ131" i="40"/>
  <c r="AK131" i="40" s="1"/>
  <c r="AL131" i="40" s="1"/>
  <c r="AX131" i="40"/>
  <c r="AY131" i="40"/>
  <c r="AZ131" i="40" s="1"/>
  <c r="BM131" i="40"/>
  <c r="V132" i="40"/>
  <c r="AC132" i="40"/>
  <c r="AD132" i="40"/>
  <c r="AE132" i="40"/>
  <c r="AX132" i="40"/>
  <c r="AY132" i="40"/>
  <c r="BH132" i="40"/>
  <c r="BM132" i="40"/>
  <c r="V133" i="40"/>
  <c r="AC133" i="40"/>
  <c r="AD133" i="40" s="1"/>
  <c r="AE133" i="40" s="1"/>
  <c r="AJ133" i="40"/>
  <c r="AX133" i="40"/>
  <c r="AY133" i="40" s="1"/>
  <c r="AZ133" i="40" s="1"/>
  <c r="BM133" i="40"/>
  <c r="V134" i="40"/>
  <c r="AC134" i="40"/>
  <c r="AD134" i="40"/>
  <c r="AE134" i="40" s="1"/>
  <c r="BM134" i="40"/>
  <c r="V135" i="40"/>
  <c r="AC135" i="40"/>
  <c r="AD135" i="40"/>
  <c r="AE135" i="40"/>
  <c r="AJ135" i="40"/>
  <c r="AK135" i="40"/>
  <c r="AL135" i="40" s="1"/>
  <c r="AX135" i="40"/>
  <c r="AY135" i="40"/>
  <c r="BH135" i="40"/>
  <c r="BM135" i="40"/>
  <c r="O136" i="40"/>
  <c r="V136" i="40"/>
  <c r="AC136" i="40"/>
  <c r="AD136" i="40" s="1"/>
  <c r="AE136" i="40" s="1"/>
  <c r="AJ136" i="40"/>
  <c r="AX136" i="40"/>
  <c r="AY136" i="40" s="1"/>
  <c r="AZ136" i="40" s="1"/>
  <c r="BM136" i="40"/>
  <c r="V137" i="40"/>
  <c r="AC137" i="40"/>
  <c r="AD137" i="40"/>
  <c r="AE137" i="40" s="1"/>
  <c r="AJ137" i="40"/>
  <c r="AK137" i="40" s="1"/>
  <c r="AL137" i="40" s="1"/>
  <c r="AX137" i="40"/>
  <c r="AY137" i="40"/>
  <c r="AZ137" i="40" s="1"/>
  <c r="BM137" i="40"/>
  <c r="V138" i="40"/>
  <c r="W138" i="40" s="1"/>
  <c r="X138" i="40" s="1"/>
  <c r="V252" i="40"/>
  <c r="W157" i="40" s="1"/>
  <c r="X157" i="40" s="1"/>
  <c r="AC138" i="40"/>
  <c r="AD138" i="40"/>
  <c r="AE138" i="40"/>
  <c r="AJ138" i="40"/>
  <c r="AQ138" i="40"/>
  <c r="AR138" i="40" s="1"/>
  <c r="AX138" i="40"/>
  <c r="AY138" i="40"/>
  <c r="BM138" i="40"/>
  <c r="O139" i="40"/>
  <c r="V139" i="40"/>
  <c r="AC139" i="40"/>
  <c r="AD139" i="40" s="1"/>
  <c r="AE139" i="40" s="1"/>
  <c r="AJ139" i="40"/>
  <c r="AK139" i="40"/>
  <c r="AX139" i="40"/>
  <c r="AY139" i="40" s="1"/>
  <c r="AZ139" i="40" s="1"/>
  <c r="BM139" i="40"/>
  <c r="V140" i="40"/>
  <c r="AC140" i="40"/>
  <c r="AD140" i="40"/>
  <c r="AE140" i="40" s="1"/>
  <c r="AJ140" i="40"/>
  <c r="AK140" i="40" s="1"/>
  <c r="AL140" i="40" s="1"/>
  <c r="AX140" i="40"/>
  <c r="AY140" i="40"/>
  <c r="AZ140" i="40" s="1"/>
  <c r="BM140" i="40"/>
  <c r="H141" i="40"/>
  <c r="V141" i="40"/>
  <c r="AC141" i="40"/>
  <c r="AD141" i="40"/>
  <c r="AE141" i="40"/>
  <c r="AJ141" i="40"/>
  <c r="AQ141" i="40"/>
  <c r="AR141" i="40" s="1"/>
  <c r="BH141" i="40"/>
  <c r="BM141" i="40"/>
  <c r="H142" i="40"/>
  <c r="V142" i="40"/>
  <c r="AC142" i="40"/>
  <c r="AD142" i="40" s="1"/>
  <c r="AE142" i="40" s="1"/>
  <c r="AJ142" i="40"/>
  <c r="AQ142" i="40"/>
  <c r="AR142" i="40"/>
  <c r="BH142" i="40"/>
  <c r="BM142" i="40"/>
  <c r="V143" i="40"/>
  <c r="AC143" i="40"/>
  <c r="AD143" i="40"/>
  <c r="AE143" i="40" s="1"/>
  <c r="AJ143" i="40"/>
  <c r="AK143" i="40" s="1"/>
  <c r="AL143" i="40" s="1"/>
  <c r="AX143" i="40"/>
  <c r="AY143" i="40"/>
  <c r="AZ143" i="40" s="1"/>
  <c r="BM143" i="40"/>
  <c r="V144" i="40"/>
  <c r="AC144" i="40"/>
  <c r="AD144" i="40"/>
  <c r="AE144" i="40"/>
  <c r="AJ144" i="40"/>
  <c r="AK144" i="40"/>
  <c r="AL144" i="40" s="1"/>
  <c r="BM144" i="40"/>
  <c r="O145" i="40"/>
  <c r="V145" i="40"/>
  <c r="AC145" i="40"/>
  <c r="AD145" i="40" s="1"/>
  <c r="AE145" i="40" s="1"/>
  <c r="AJ145" i="40"/>
  <c r="AK145" i="40"/>
  <c r="BM145" i="40"/>
  <c r="V146" i="40"/>
  <c r="AC146" i="40"/>
  <c r="AD146" i="40"/>
  <c r="AE146" i="40" s="1"/>
  <c r="AJ146" i="40"/>
  <c r="AK146" i="40" s="1"/>
  <c r="AL146" i="40" s="1"/>
  <c r="AX146" i="40"/>
  <c r="AY146" i="40"/>
  <c r="AZ146" i="40" s="1"/>
  <c r="BM146" i="40"/>
  <c r="V147" i="40"/>
  <c r="AC147" i="40"/>
  <c r="AD147" i="40"/>
  <c r="AE147" i="40"/>
  <c r="AQ147" i="40"/>
  <c r="AR147" i="40" s="1"/>
  <c r="BH147" i="40"/>
  <c r="BM147" i="40"/>
  <c r="O148" i="40"/>
  <c r="V148" i="40"/>
  <c r="AC148" i="40"/>
  <c r="AD148" i="40" s="1"/>
  <c r="AE148" i="40" s="1"/>
  <c r="AQ148" i="40"/>
  <c r="AR148" i="40"/>
  <c r="AX148" i="40"/>
  <c r="AY148" i="40" s="1"/>
  <c r="AZ148" i="40" s="1"/>
  <c r="BM148" i="40"/>
  <c r="O149" i="40"/>
  <c r="V149" i="40"/>
  <c r="AC149" i="40"/>
  <c r="AD149" i="40"/>
  <c r="AE149" i="40" s="1"/>
  <c r="AJ149" i="40"/>
  <c r="AK149" i="40" s="1"/>
  <c r="AL149" i="40" s="1"/>
  <c r="AX149" i="40"/>
  <c r="AY149" i="40"/>
  <c r="AZ149" i="40" s="1"/>
  <c r="BM149" i="40"/>
  <c r="V150" i="40"/>
  <c r="AC150" i="40"/>
  <c r="AD150" i="40"/>
  <c r="AE150" i="40"/>
  <c r="BH150" i="40"/>
  <c r="BM150" i="40"/>
  <c r="H151" i="40"/>
  <c r="V151" i="40"/>
  <c r="AC151" i="40"/>
  <c r="AD151" i="40" s="1"/>
  <c r="AE151" i="40" s="1"/>
  <c r="AJ151" i="40"/>
  <c r="AQ151" i="40"/>
  <c r="AR151" i="40"/>
  <c r="AX151" i="40"/>
  <c r="AY151" i="40" s="1"/>
  <c r="AZ151" i="40" s="1"/>
  <c r="BM151" i="40"/>
  <c r="O152" i="40"/>
  <c r="V152" i="40"/>
  <c r="AC152" i="40"/>
  <c r="AD152" i="40"/>
  <c r="AE152" i="40" s="1"/>
  <c r="AJ152" i="40"/>
  <c r="AK152" i="40" s="1"/>
  <c r="AL152" i="40" s="1"/>
  <c r="AX152" i="40"/>
  <c r="AY152" i="40"/>
  <c r="AZ152" i="40" s="1"/>
  <c r="BM152" i="40"/>
  <c r="V153" i="40"/>
  <c r="AC153" i="40"/>
  <c r="AD153" i="40"/>
  <c r="AE153" i="40"/>
  <c r="AJ153" i="40"/>
  <c r="AQ153" i="40"/>
  <c r="AR153" i="40" s="1"/>
  <c r="AX153" i="40"/>
  <c r="AY153" i="40"/>
  <c r="BM153" i="40"/>
  <c r="O154" i="40"/>
  <c r="V154" i="40"/>
  <c r="W154" i="40"/>
  <c r="X154" i="40"/>
  <c r="AJ154" i="40"/>
  <c r="AK154" i="40" s="1"/>
  <c r="AL154" i="40" s="1"/>
  <c r="AX154" i="40"/>
  <c r="AY154" i="40"/>
  <c r="AZ154" i="40" s="1"/>
  <c r="BM154" i="40"/>
  <c r="V155" i="40"/>
  <c r="AC155" i="40"/>
  <c r="AD155" i="40"/>
  <c r="AE155" i="40"/>
  <c r="BM155" i="40"/>
  <c r="H156" i="40"/>
  <c r="V156" i="40"/>
  <c r="AC156" i="40"/>
  <c r="AD156" i="40"/>
  <c r="AE156" i="40"/>
  <c r="AJ156" i="40"/>
  <c r="AQ156" i="40"/>
  <c r="AR156" i="40" s="1"/>
  <c r="BM156" i="40"/>
  <c r="V157" i="40"/>
  <c r="AC157" i="40"/>
  <c r="AD157" i="40"/>
  <c r="AE157" i="40" s="1"/>
  <c r="AJ157" i="40"/>
  <c r="AK157" i="40" s="1"/>
  <c r="AL157" i="40" s="1"/>
  <c r="AX157" i="40"/>
  <c r="AY157" i="40"/>
  <c r="AZ157" i="40" s="1"/>
  <c r="BM157" i="40"/>
  <c r="H158" i="40"/>
  <c r="V158" i="40"/>
  <c r="AC158" i="40"/>
  <c r="AD158" i="40"/>
  <c r="AE158" i="40"/>
  <c r="AQ158" i="40"/>
  <c r="AR158" i="40" s="1"/>
  <c r="BH158" i="40"/>
  <c r="BM158" i="40"/>
  <c r="O159" i="40"/>
  <c r="V159" i="40"/>
  <c r="BM159" i="40"/>
  <c r="V160" i="40"/>
  <c r="BM160" i="40"/>
  <c r="H161" i="40"/>
  <c r="V161" i="40"/>
  <c r="AC161" i="40"/>
  <c r="AD161" i="40"/>
  <c r="AE161" i="40"/>
  <c r="AJ161" i="40"/>
  <c r="AK161" i="40"/>
  <c r="AL161" i="40" s="1"/>
  <c r="AX161" i="40"/>
  <c r="AY161" i="40"/>
  <c r="BH161" i="40"/>
  <c r="BM161" i="40"/>
  <c r="O162" i="40"/>
  <c r="V162" i="40"/>
  <c r="AX162" i="40"/>
  <c r="AY162" i="40"/>
  <c r="BH162" i="40"/>
  <c r="BM162" i="40"/>
  <c r="O163" i="40"/>
  <c r="V163" i="40"/>
  <c r="BM163" i="40"/>
  <c r="H164" i="40"/>
  <c r="O164" i="40"/>
  <c r="V164" i="40"/>
  <c r="AC164" i="40"/>
  <c r="AD164" i="40"/>
  <c r="AE164" i="40" s="1"/>
  <c r="BM164" i="40"/>
  <c r="H165" i="40"/>
  <c r="V165" i="40"/>
  <c r="AC165" i="40"/>
  <c r="AD165" i="40"/>
  <c r="AE165" i="40"/>
  <c r="AQ165" i="40"/>
  <c r="AR165" i="40" s="1"/>
  <c r="BM165" i="40"/>
  <c r="O166" i="40"/>
  <c r="V166" i="40"/>
  <c r="AQ166" i="40"/>
  <c r="AR166" i="40"/>
  <c r="BM166" i="40"/>
  <c r="O167" i="40"/>
  <c r="V167" i="40"/>
  <c r="BM167" i="40"/>
  <c r="O168" i="40"/>
  <c r="V168" i="40"/>
  <c r="BM168" i="40"/>
  <c r="H169" i="40"/>
  <c r="O169" i="40"/>
  <c r="V169" i="40"/>
  <c r="AC169" i="40"/>
  <c r="AD169" i="40"/>
  <c r="AE169" i="40" s="1"/>
  <c r="AJ169" i="40"/>
  <c r="AK169" i="40" s="1"/>
  <c r="AL169" i="40" s="1"/>
  <c r="AQ169" i="40"/>
  <c r="AR169" i="40"/>
  <c r="AX169" i="40"/>
  <c r="AY169" i="40"/>
  <c r="AZ169" i="40" s="1"/>
  <c r="BM169" i="40"/>
  <c r="H170" i="40"/>
  <c r="O170" i="40"/>
  <c r="V170" i="40"/>
  <c r="AC170" i="40"/>
  <c r="AD170" i="40"/>
  <c r="AE170" i="40"/>
  <c r="AJ170" i="40"/>
  <c r="AK170" i="40"/>
  <c r="AL170" i="40" s="1"/>
  <c r="AQ170" i="40"/>
  <c r="AR170" i="40" s="1"/>
  <c r="AX170" i="40"/>
  <c r="AY170" i="40"/>
  <c r="BH170" i="40"/>
  <c r="BM170" i="40"/>
  <c r="H171" i="40"/>
  <c r="O171" i="40"/>
  <c r="V171" i="40"/>
  <c r="AC171" i="40"/>
  <c r="AD171" i="40" s="1"/>
  <c r="AE171" i="40" s="1"/>
  <c r="AJ171" i="40"/>
  <c r="AK171" i="40"/>
  <c r="AQ171" i="40"/>
  <c r="AR171" i="40"/>
  <c r="AX171" i="40"/>
  <c r="AY171" i="40" s="1"/>
  <c r="AZ171" i="40" s="1"/>
  <c r="BH171" i="40"/>
  <c r="BM171" i="40"/>
  <c r="H172" i="40"/>
  <c r="O172" i="40"/>
  <c r="V172" i="40"/>
  <c r="AC172" i="40"/>
  <c r="AD172" i="40"/>
  <c r="AE172" i="40" s="1"/>
  <c r="AJ172" i="40"/>
  <c r="AK172" i="40" s="1"/>
  <c r="AL172" i="40" s="1"/>
  <c r="AQ172" i="40"/>
  <c r="AR172" i="40"/>
  <c r="AX172" i="40"/>
  <c r="AY172" i="40"/>
  <c r="AZ172" i="40" s="1"/>
  <c r="BM172" i="40"/>
  <c r="H173" i="40"/>
  <c r="O173" i="40"/>
  <c r="V173" i="40"/>
  <c r="AC173" i="40"/>
  <c r="AD173" i="40"/>
  <c r="AE173" i="40"/>
  <c r="AJ173" i="40"/>
  <c r="AK173" i="40"/>
  <c r="AL173" i="40" s="1"/>
  <c r="AQ173" i="40"/>
  <c r="AR173" i="40" s="1"/>
  <c r="BH173" i="40"/>
  <c r="BM173" i="40"/>
  <c r="O174" i="40"/>
  <c r="V174" i="40"/>
  <c r="AC174" i="40"/>
  <c r="AD174" i="40" s="1"/>
  <c r="AE174" i="40" s="1"/>
  <c r="AJ174" i="40"/>
  <c r="AK174" i="40"/>
  <c r="AQ174" i="40"/>
  <c r="AR174" i="40"/>
  <c r="BH174" i="40"/>
  <c r="BM174" i="40"/>
  <c r="H175" i="40"/>
  <c r="O175" i="40"/>
  <c r="V175" i="40"/>
  <c r="AC175" i="40"/>
  <c r="AD175" i="40"/>
  <c r="AE175" i="40" s="1"/>
  <c r="AJ175" i="40"/>
  <c r="AK175" i="40" s="1"/>
  <c r="AL175" i="40" s="1"/>
  <c r="AQ175" i="40"/>
  <c r="AR175" i="40"/>
  <c r="BH175" i="40"/>
  <c r="BM175" i="40"/>
  <c r="H176" i="40"/>
  <c r="O176" i="40"/>
  <c r="V176" i="40"/>
  <c r="W176" i="40"/>
  <c r="X176" i="40" s="1"/>
  <c r="AC176" i="40"/>
  <c r="AD176" i="40" s="1"/>
  <c r="AE176" i="40" s="1"/>
  <c r="AJ176" i="40"/>
  <c r="AQ176" i="40"/>
  <c r="AR176" i="40" s="1"/>
  <c r="AX176" i="40"/>
  <c r="AY176" i="40"/>
  <c r="BM176" i="40"/>
  <c r="H177" i="40"/>
  <c r="O177" i="40"/>
  <c r="V177" i="40"/>
  <c r="AC177" i="40"/>
  <c r="AD177" i="40" s="1"/>
  <c r="AE177" i="40" s="1"/>
  <c r="AJ177" i="40"/>
  <c r="AK177" i="40"/>
  <c r="AQ177" i="40"/>
  <c r="AR177" i="40"/>
  <c r="AX177" i="40"/>
  <c r="AY177" i="40" s="1"/>
  <c r="AZ177" i="40" s="1"/>
  <c r="BH177" i="40"/>
  <c r="BM177" i="40"/>
  <c r="H178" i="40"/>
  <c r="O178" i="40"/>
  <c r="V178" i="40"/>
  <c r="AC178" i="40"/>
  <c r="AD178" i="40"/>
  <c r="AE178" i="40" s="1"/>
  <c r="AJ178" i="40"/>
  <c r="AK178" i="40" s="1"/>
  <c r="AL178" i="40" s="1"/>
  <c r="AQ178" i="40"/>
  <c r="AR178" i="40"/>
  <c r="AX178" i="40"/>
  <c r="AY178" i="40"/>
  <c r="AZ178" i="40" s="1"/>
  <c r="BH178" i="40"/>
  <c r="BM178" i="40"/>
  <c r="H179" i="40"/>
  <c r="O179" i="40"/>
  <c r="V179" i="40"/>
  <c r="AC179" i="40"/>
  <c r="AD179" i="40"/>
  <c r="AE179" i="40"/>
  <c r="AJ179" i="40"/>
  <c r="AK179" i="40"/>
  <c r="AL179" i="40" s="1"/>
  <c r="AQ179" i="40"/>
  <c r="AR179" i="40" s="1"/>
  <c r="BM179" i="40"/>
  <c r="O180" i="40"/>
  <c r="V180" i="40"/>
  <c r="AC180" i="40"/>
  <c r="AD180" i="40" s="1"/>
  <c r="AE180" i="40" s="1"/>
  <c r="AQ180" i="40"/>
  <c r="AR180" i="40"/>
  <c r="BH180" i="40"/>
  <c r="BM180" i="40"/>
  <c r="O181" i="40"/>
  <c r="V181" i="40"/>
  <c r="AC181" i="40"/>
  <c r="AD181" i="40"/>
  <c r="AE181" i="40"/>
  <c r="AJ181" i="40"/>
  <c r="AK181" i="40"/>
  <c r="AL181" i="40" s="1"/>
  <c r="AQ181" i="40"/>
  <c r="AR181" i="40" s="1"/>
  <c r="BM181" i="40"/>
  <c r="O182" i="40"/>
  <c r="V182" i="40"/>
  <c r="AC182" i="40"/>
  <c r="AD182" i="40"/>
  <c r="AE182" i="40" s="1"/>
  <c r="AJ182" i="40"/>
  <c r="AK182" i="40" s="1"/>
  <c r="AL182" i="40" s="1"/>
  <c r="BH182" i="40"/>
  <c r="BM182" i="40"/>
  <c r="O183" i="40"/>
  <c r="V183" i="40"/>
  <c r="AC183" i="40"/>
  <c r="AD183" i="40"/>
  <c r="AE183" i="40"/>
  <c r="AX183" i="40"/>
  <c r="AY183" i="40"/>
  <c r="BM183" i="40"/>
  <c r="O184" i="40"/>
  <c r="V184" i="40"/>
  <c r="AC184" i="40"/>
  <c r="AD184" i="40" s="1"/>
  <c r="AE184" i="40" s="1"/>
  <c r="AQ184" i="40"/>
  <c r="AR184" i="40"/>
  <c r="AX184" i="40"/>
  <c r="AY184" i="40" s="1"/>
  <c r="AZ184" i="40" s="1"/>
  <c r="BM184" i="40"/>
  <c r="H185" i="40"/>
  <c r="O185" i="40"/>
  <c r="V185" i="40"/>
  <c r="AC185" i="40"/>
  <c r="AD185" i="40"/>
  <c r="AE185" i="40" s="1"/>
  <c r="AQ185" i="40"/>
  <c r="AR185" i="40"/>
  <c r="BH185" i="40"/>
  <c r="BM185" i="40"/>
  <c r="O186" i="40"/>
  <c r="V186" i="40"/>
  <c r="BM186" i="40"/>
  <c r="O187" i="40"/>
  <c r="V187" i="40"/>
  <c r="AJ187" i="40"/>
  <c r="AK187" i="40"/>
  <c r="AQ187" i="40"/>
  <c r="AR187" i="40"/>
  <c r="AX187" i="40"/>
  <c r="AY187" i="40" s="1"/>
  <c r="AZ187" i="40" s="1"/>
  <c r="BM187" i="40"/>
  <c r="O188" i="40"/>
  <c r="V188" i="40"/>
  <c r="AC188" i="40"/>
  <c r="AD188" i="40"/>
  <c r="AE188" i="40" s="1"/>
  <c r="AQ188" i="40"/>
  <c r="AR188" i="40"/>
  <c r="AX188" i="40"/>
  <c r="AY188" i="40"/>
  <c r="AZ188" i="40" s="1"/>
  <c r="BH188" i="40"/>
  <c r="BM188" i="40"/>
  <c r="O189" i="40"/>
  <c r="V189" i="40"/>
  <c r="AC189" i="40"/>
  <c r="AD189" i="40"/>
  <c r="AE189" i="40"/>
  <c r="AJ189" i="40"/>
  <c r="AK189" i="40"/>
  <c r="AL189" i="40" s="1"/>
  <c r="BM189" i="40"/>
  <c r="H190" i="40"/>
  <c r="O190" i="40"/>
  <c r="V190" i="40"/>
  <c r="AC190" i="40"/>
  <c r="AD190" i="40" s="1"/>
  <c r="AE190" i="40" s="1"/>
  <c r="AQ190" i="40"/>
  <c r="AR190" i="40"/>
  <c r="AX190" i="40"/>
  <c r="AY190" i="40" s="1"/>
  <c r="AZ190" i="40" s="1"/>
  <c r="BM190" i="40"/>
  <c r="O191" i="40"/>
  <c r="V191" i="40"/>
  <c r="AC191" i="40"/>
  <c r="AD191" i="40"/>
  <c r="AE191" i="40" s="1"/>
  <c r="AQ191" i="40"/>
  <c r="AR191" i="40"/>
  <c r="BM191" i="40"/>
  <c r="O192" i="40"/>
  <c r="V192" i="40"/>
  <c r="BM192" i="40"/>
  <c r="F193" i="40"/>
  <c r="H193" i="40"/>
  <c r="O193" i="40"/>
  <c r="V193" i="40"/>
  <c r="BM193" i="40"/>
  <c r="H194" i="40"/>
  <c r="O194" i="40"/>
  <c r="V194" i="40"/>
  <c r="W194" i="40" s="1"/>
  <c r="X194" i="40" s="1"/>
  <c r="AC194" i="40"/>
  <c r="AD194" i="40"/>
  <c r="AE194" i="40"/>
  <c r="AJ194" i="40"/>
  <c r="AK194" i="40"/>
  <c r="AL194" i="40" s="1"/>
  <c r="BH194" i="40"/>
  <c r="BM194" i="40"/>
  <c r="H195" i="40"/>
  <c r="O195" i="40"/>
  <c r="V195" i="40"/>
  <c r="AC195" i="40"/>
  <c r="AD195" i="40" s="1"/>
  <c r="AE195" i="40" s="1"/>
  <c r="AJ195" i="40"/>
  <c r="AK195" i="40"/>
  <c r="AQ195" i="40"/>
  <c r="AR195" i="40"/>
  <c r="AX195" i="40"/>
  <c r="AY195" i="40" s="1"/>
  <c r="AZ195" i="40" s="1"/>
  <c r="BH195" i="40"/>
  <c r="BM195" i="40"/>
  <c r="H196" i="40"/>
  <c r="O196" i="40"/>
  <c r="V196" i="40"/>
  <c r="W196" i="40" s="1"/>
  <c r="X196" i="40" s="1"/>
  <c r="AC196" i="40"/>
  <c r="AD196" i="40"/>
  <c r="AE196" i="40"/>
  <c r="AJ196" i="40"/>
  <c r="AK196" i="40"/>
  <c r="AL196" i="40" s="1"/>
  <c r="AX196" i="40"/>
  <c r="AY196" i="40"/>
  <c r="BH196" i="40"/>
  <c r="BM196" i="40"/>
  <c r="H197" i="40"/>
  <c r="O197" i="40"/>
  <c r="V197" i="40"/>
  <c r="AC197" i="40"/>
  <c r="AD197" i="40" s="1"/>
  <c r="AE197" i="40" s="1"/>
  <c r="AJ197" i="40"/>
  <c r="AK197" i="40"/>
  <c r="AQ197" i="40"/>
  <c r="AR197" i="40"/>
  <c r="AX197" i="40"/>
  <c r="AY197" i="40" s="1"/>
  <c r="AZ197" i="40" s="1"/>
  <c r="BH197" i="40"/>
  <c r="BM197" i="40"/>
  <c r="H198" i="40"/>
  <c r="O198" i="40"/>
  <c r="V198" i="40"/>
  <c r="AC198" i="40"/>
  <c r="AD198" i="40"/>
  <c r="AE198" i="40" s="1"/>
  <c r="AQ198" i="40"/>
  <c r="AR198" i="40"/>
  <c r="AX198" i="40"/>
  <c r="AY198" i="40"/>
  <c r="AZ198" i="40" s="1"/>
  <c r="BH198" i="40"/>
  <c r="BM198" i="40"/>
  <c r="H199" i="40"/>
  <c r="O199" i="40"/>
  <c r="V199" i="40"/>
  <c r="AC199" i="40"/>
  <c r="AD199" i="40"/>
  <c r="AE199" i="40"/>
  <c r="AJ199" i="40"/>
  <c r="AK199" i="40"/>
  <c r="AL199" i="40" s="1"/>
  <c r="AQ199" i="40"/>
  <c r="AR199" i="40" s="1"/>
  <c r="AX199" i="40"/>
  <c r="AY199" i="40"/>
  <c r="BH199" i="40"/>
  <c r="BM199" i="40"/>
  <c r="H200" i="40"/>
  <c r="O200" i="40"/>
  <c r="V200" i="40"/>
  <c r="AC200" i="40"/>
  <c r="AD200" i="40" s="1"/>
  <c r="AE200" i="40" s="1"/>
  <c r="AJ200" i="40"/>
  <c r="AK200" i="40"/>
  <c r="AQ200" i="40"/>
  <c r="AR200" i="40"/>
  <c r="BH200" i="40"/>
  <c r="BM200" i="40"/>
  <c r="H201" i="40"/>
  <c r="O201" i="40"/>
  <c r="V201" i="40"/>
  <c r="AC201" i="40"/>
  <c r="AD201" i="40"/>
  <c r="AE201" i="40" s="1"/>
  <c r="AQ201" i="40"/>
  <c r="AR201" i="40"/>
  <c r="AX201" i="40"/>
  <c r="AY201" i="40"/>
  <c r="AZ201" i="40" s="1"/>
  <c r="BH201" i="40"/>
  <c r="BM201" i="40"/>
  <c r="H202" i="40"/>
  <c r="O202" i="40"/>
  <c r="V202" i="40"/>
  <c r="AC202" i="40"/>
  <c r="AD202" i="40"/>
  <c r="AE202" i="40"/>
  <c r="AQ202" i="40"/>
  <c r="AR202" i="40" s="1"/>
  <c r="BH202" i="40"/>
  <c r="BM202" i="40"/>
  <c r="H203" i="40"/>
  <c r="O203" i="40"/>
  <c r="V203" i="40"/>
  <c r="W203" i="40"/>
  <c r="X203" i="40"/>
  <c r="AQ203" i="40"/>
  <c r="AR203" i="40"/>
  <c r="AX203" i="40"/>
  <c r="AY203" i="40"/>
  <c r="AZ203" i="40" s="1"/>
  <c r="BM203" i="40"/>
  <c r="H204" i="40"/>
  <c r="O204" i="40"/>
  <c r="V204" i="40"/>
  <c r="AC204" i="40"/>
  <c r="AD204" i="40"/>
  <c r="AE204" i="40"/>
  <c r="AJ204" i="40"/>
  <c r="AK204" i="40"/>
  <c r="AL204" i="40" s="1"/>
  <c r="AQ204" i="40"/>
  <c r="AR204" i="40" s="1"/>
  <c r="AX204" i="40"/>
  <c r="AY204" i="40"/>
  <c r="BH204" i="40"/>
  <c r="BM204" i="40"/>
  <c r="H205" i="40"/>
  <c r="O205" i="40"/>
  <c r="V205" i="40"/>
  <c r="AC205" i="40"/>
  <c r="AD205" i="40" s="1"/>
  <c r="AE205" i="40" s="1"/>
  <c r="AQ205" i="40"/>
  <c r="AR205" i="40"/>
  <c r="BH205" i="40"/>
  <c r="BM205" i="40"/>
  <c r="O206" i="40"/>
  <c r="V206" i="40"/>
  <c r="AC206" i="40"/>
  <c r="AD206" i="40" s="1"/>
  <c r="AE206" i="40" s="1"/>
  <c r="BH206" i="40"/>
  <c r="BM206" i="40"/>
  <c r="O207" i="40"/>
  <c r="V207" i="40"/>
  <c r="AC207" i="40"/>
  <c r="AD207" i="40"/>
  <c r="AE207" i="40" s="1"/>
  <c r="AJ207" i="40"/>
  <c r="AK207" i="40" s="1"/>
  <c r="AL207" i="40" s="1"/>
  <c r="AQ207" i="40"/>
  <c r="AR207" i="40"/>
  <c r="BM207" i="40"/>
  <c r="H208" i="40"/>
  <c r="O208" i="40"/>
  <c r="V208" i="40"/>
  <c r="AC208" i="40"/>
  <c r="AD208" i="40"/>
  <c r="AE208" i="40"/>
  <c r="AQ208" i="40"/>
  <c r="AR208" i="40" s="1"/>
  <c r="BH208" i="40"/>
  <c r="BM208" i="40"/>
  <c r="O209" i="40"/>
  <c r="V209" i="40"/>
  <c r="AC209" i="40"/>
  <c r="AD209" i="40" s="1"/>
  <c r="AE209" i="40" s="1"/>
  <c r="AQ209" i="40"/>
  <c r="AR209" i="40"/>
  <c r="BH209" i="40"/>
  <c r="BM209" i="40"/>
  <c r="H210" i="40"/>
  <c r="O210" i="40"/>
  <c r="V210" i="40"/>
  <c r="AC210" i="40"/>
  <c r="AD210" i="40"/>
  <c r="AE210" i="40" s="1"/>
  <c r="AQ210" i="40"/>
  <c r="AR210" i="40"/>
  <c r="BH210" i="40"/>
  <c r="BM210" i="40"/>
  <c r="O211" i="40"/>
  <c r="V211" i="40"/>
  <c r="AC211" i="40"/>
  <c r="AD211" i="40"/>
  <c r="AE211" i="40"/>
  <c r="BM211" i="40"/>
  <c r="H212" i="40"/>
  <c r="O212" i="40"/>
  <c r="V212" i="40"/>
  <c r="AC212" i="40"/>
  <c r="AD212" i="40" s="1"/>
  <c r="AE212" i="40" s="1"/>
  <c r="AQ212" i="40"/>
  <c r="AR212" i="40"/>
  <c r="BH212" i="40"/>
  <c r="BM212" i="40"/>
  <c r="O213" i="40"/>
  <c r="V213" i="40"/>
  <c r="AC213" i="40"/>
  <c r="AD213" i="40"/>
  <c r="AE213" i="40" s="1"/>
  <c r="AX213" i="40"/>
  <c r="AY213" i="40"/>
  <c r="AZ213" i="40" s="1"/>
  <c r="BH213" i="40"/>
  <c r="BM213" i="40"/>
  <c r="H214" i="40"/>
  <c r="O214" i="40"/>
  <c r="V214" i="40"/>
  <c r="AC214" i="40"/>
  <c r="AD214" i="40"/>
  <c r="AE214" i="40"/>
  <c r="AQ214" i="40"/>
  <c r="AR214" i="40" s="1"/>
  <c r="BH214" i="40"/>
  <c r="BM214" i="40"/>
  <c r="H215" i="40"/>
  <c r="O215" i="40"/>
  <c r="V215" i="40"/>
  <c r="AC215" i="40"/>
  <c r="AD215" i="40" s="1"/>
  <c r="AE215" i="40" s="1"/>
  <c r="AQ215" i="40"/>
  <c r="AR215" i="40"/>
  <c r="AX215" i="40"/>
  <c r="AY215" i="40" s="1"/>
  <c r="AZ215" i="40" s="1"/>
  <c r="BH215" i="40"/>
  <c r="BM215" i="40"/>
  <c r="O216" i="40"/>
  <c r="V216" i="40"/>
  <c r="AC216" i="40"/>
  <c r="AD216" i="40"/>
  <c r="AE216" i="40" s="1"/>
  <c r="BM216" i="40"/>
  <c r="O217" i="40"/>
  <c r="V217" i="40"/>
  <c r="AQ217" i="40"/>
  <c r="AR217" i="40" s="1"/>
  <c r="BM217" i="40"/>
  <c r="H218" i="40"/>
  <c r="O218" i="40"/>
  <c r="V218" i="40"/>
  <c r="AC218" i="40"/>
  <c r="AD218" i="40" s="1"/>
  <c r="AE218" i="40" s="1"/>
  <c r="AQ218" i="40"/>
  <c r="AR218" i="40"/>
  <c r="BH218" i="40"/>
  <c r="BM218" i="40"/>
  <c r="O219" i="40"/>
  <c r="V219" i="40"/>
  <c r="AC219" i="40"/>
  <c r="AD219" i="40"/>
  <c r="AE219" i="40" s="1"/>
  <c r="AQ219" i="40"/>
  <c r="AR219" i="40"/>
  <c r="BH219" i="40"/>
  <c r="BM219" i="40"/>
  <c r="O220" i="40"/>
  <c r="V220" i="40"/>
  <c r="AC220" i="40"/>
  <c r="AD220" i="40"/>
  <c r="AE220" i="40"/>
  <c r="BM220" i="40"/>
  <c r="H221" i="40"/>
  <c r="O221" i="40"/>
  <c r="V221" i="40"/>
  <c r="AC221" i="40"/>
  <c r="AD221" i="40" s="1"/>
  <c r="AE221" i="40" s="1"/>
  <c r="AQ221" i="40"/>
  <c r="AR221" i="40"/>
  <c r="BH221" i="40"/>
  <c r="BM221" i="40"/>
  <c r="O222" i="40"/>
  <c r="V222" i="40"/>
  <c r="AQ222" i="40"/>
  <c r="AR222" i="40"/>
  <c r="BM222" i="40"/>
  <c r="H223" i="40"/>
  <c r="O223" i="40"/>
  <c r="V223" i="40"/>
  <c r="AC223" i="40"/>
  <c r="AD223" i="40"/>
  <c r="AE223" i="40"/>
  <c r="AQ223" i="40"/>
  <c r="AR223" i="40" s="1"/>
  <c r="BH223" i="40"/>
  <c r="BM223" i="40"/>
  <c r="O224" i="40"/>
  <c r="V224" i="40"/>
  <c r="AC224" i="40"/>
  <c r="AD224" i="40" s="1"/>
  <c r="AE224" i="40" s="1"/>
  <c r="BM224" i="40"/>
  <c r="O225" i="40"/>
  <c r="V225" i="40"/>
  <c r="BM225" i="40"/>
  <c r="O226" i="40"/>
  <c r="V226" i="40"/>
  <c r="BM226" i="40"/>
  <c r="H227" i="40"/>
  <c r="O227" i="40"/>
  <c r="V227" i="40"/>
  <c r="AC227" i="40"/>
  <c r="AD227" i="40"/>
  <c r="AE227" i="40"/>
  <c r="AQ227" i="40"/>
  <c r="AR227" i="40" s="1"/>
  <c r="BH227" i="40"/>
  <c r="BM227" i="40"/>
  <c r="O228" i="40"/>
  <c r="V228" i="40"/>
  <c r="AC228" i="40"/>
  <c r="AD228" i="40" s="1"/>
  <c r="AE228" i="40" s="1"/>
  <c r="BH228" i="40"/>
  <c r="BM228" i="40"/>
  <c r="O229" i="40"/>
  <c r="V229" i="40"/>
  <c r="AC229" i="40"/>
  <c r="AD229" i="40"/>
  <c r="AE229" i="40" s="1"/>
  <c r="AQ229" i="40"/>
  <c r="AR229" i="40"/>
  <c r="AX229" i="40"/>
  <c r="AY229" i="40"/>
  <c r="AZ229" i="40" s="1"/>
  <c r="BH229" i="40"/>
  <c r="BM229" i="40"/>
  <c r="H230" i="40"/>
  <c r="O230" i="40"/>
  <c r="V230" i="40"/>
  <c r="AC230" i="40"/>
  <c r="AD230" i="40"/>
  <c r="AE230" i="40"/>
  <c r="AQ230" i="40"/>
  <c r="AR230" i="40" s="1"/>
  <c r="BM230" i="40"/>
  <c r="H231" i="40"/>
  <c r="O231" i="40"/>
  <c r="V231" i="40"/>
  <c r="AC231" i="40"/>
  <c r="AD231" i="40" s="1"/>
  <c r="AE231" i="40" s="1"/>
  <c r="AQ231" i="40"/>
  <c r="AR231" i="40"/>
  <c r="BM231" i="40"/>
  <c r="H232" i="40"/>
  <c r="O232" i="40"/>
  <c r="V232" i="40"/>
  <c r="AC232" i="40"/>
  <c r="AD232" i="40"/>
  <c r="AE232" i="40" s="1"/>
  <c r="AQ232" i="40"/>
  <c r="AR232" i="40"/>
  <c r="BM232" i="40"/>
  <c r="O233" i="40"/>
  <c r="V233" i="40"/>
  <c r="AC233" i="40"/>
  <c r="AD233" i="40"/>
  <c r="AE233" i="40"/>
  <c r="AQ233" i="40"/>
  <c r="AR233" i="40" s="1"/>
  <c r="BH233" i="40"/>
  <c r="BM233" i="40"/>
  <c r="O234" i="40"/>
  <c r="V234" i="40"/>
  <c r="AC234" i="40"/>
  <c r="AD234" i="40" s="1"/>
  <c r="AE234" i="40" s="1"/>
  <c r="AQ234" i="40"/>
  <c r="AR234" i="40"/>
  <c r="BH234" i="40"/>
  <c r="BM234" i="40"/>
  <c r="O235" i="40"/>
  <c r="V235" i="40"/>
  <c r="AC235" i="40"/>
  <c r="AD235" i="40"/>
  <c r="AE235" i="40" s="1"/>
  <c r="AQ235" i="40"/>
  <c r="AR235" i="40"/>
  <c r="BM235" i="40"/>
  <c r="O236" i="40"/>
  <c r="V236" i="40"/>
  <c r="AC236" i="40"/>
  <c r="AD236" i="40"/>
  <c r="AE236" i="40"/>
  <c r="AQ236" i="40"/>
  <c r="AR236" i="40" s="1"/>
  <c r="BM236" i="40"/>
  <c r="O237" i="40"/>
  <c r="V237" i="40"/>
  <c r="BM237" i="40"/>
  <c r="O238" i="40"/>
  <c r="V238" i="40"/>
  <c r="BM238" i="40"/>
  <c r="O239" i="40"/>
  <c r="V239" i="40"/>
  <c r="BM239" i="40"/>
  <c r="O240" i="40"/>
  <c r="V240" i="40"/>
  <c r="BM240" i="40"/>
  <c r="O241" i="40"/>
  <c r="V241" i="40"/>
  <c r="BM241" i="40"/>
  <c r="O242" i="40"/>
  <c r="V242" i="40"/>
  <c r="BM242" i="40"/>
  <c r="O243" i="40"/>
  <c r="V243" i="40"/>
  <c r="BM243" i="40"/>
  <c r="O244" i="40"/>
  <c r="V244" i="40"/>
  <c r="BM244" i="40"/>
  <c r="O245" i="40"/>
  <c r="V245" i="40"/>
  <c r="BM245" i="40"/>
  <c r="O246" i="40"/>
  <c r="V246" i="40"/>
  <c r="BM246" i="40"/>
  <c r="O247" i="40"/>
  <c r="V247" i="40"/>
  <c r="BM247" i="40"/>
  <c r="O248" i="40"/>
  <c r="V248" i="40"/>
  <c r="BM248" i="40"/>
  <c r="O249" i="40"/>
  <c r="V249" i="40"/>
  <c r="BM249" i="40"/>
  <c r="O250" i="40"/>
  <c r="V250" i="40"/>
  <c r="BM250" i="40"/>
  <c r="O251" i="40"/>
  <c r="V251" i="40"/>
  <c r="BM251" i="40"/>
  <c r="O252" i="40"/>
  <c r="BM252" i="40"/>
  <c r="O253" i="40"/>
  <c r="V253" i="40"/>
  <c r="BM253" i="40"/>
  <c r="O254" i="40"/>
  <c r="V254" i="40"/>
  <c r="BM254" i="40"/>
  <c r="O255" i="40"/>
  <c r="V255" i="40"/>
  <c r="BM255" i="40"/>
  <c r="H256" i="40"/>
  <c r="O256" i="40"/>
  <c r="V256" i="40"/>
  <c r="W256" i="40"/>
  <c r="X256" i="40" s="1"/>
  <c r="AQ256" i="40"/>
  <c r="AR256" i="40"/>
  <c r="AX256" i="40"/>
  <c r="AY256" i="40" s="1"/>
  <c r="AZ256" i="40" s="1"/>
  <c r="BH256" i="40"/>
  <c r="BM256" i="40"/>
  <c r="O257" i="40"/>
  <c r="V257" i="40"/>
  <c r="AC257" i="40"/>
  <c r="AD257" i="40"/>
  <c r="AE257" i="40" s="1"/>
  <c r="AJ257" i="40"/>
  <c r="AK257" i="40" s="1"/>
  <c r="AL257" i="40" s="1"/>
  <c r="BH257" i="40"/>
  <c r="BM257" i="40"/>
  <c r="O258" i="40"/>
  <c r="V258" i="40"/>
  <c r="AC258" i="40"/>
  <c r="AD258" i="40"/>
  <c r="AE258" i="40"/>
  <c r="BH258" i="40"/>
  <c r="BM258" i="40"/>
  <c r="V259" i="40"/>
  <c r="BM259" i="40"/>
  <c r="U260" i="40"/>
  <c r="U261" i="40"/>
  <c r="F129" i="45"/>
  <c r="E127" i="45"/>
  <c r="E122" i="45"/>
  <c r="E119" i="45"/>
  <c r="E114" i="45"/>
  <c r="E111" i="45"/>
  <c r="E106" i="45"/>
  <c r="E101" i="45"/>
  <c r="E98" i="45"/>
  <c r="F127" i="45"/>
  <c r="F122" i="45"/>
  <c r="F119" i="45"/>
  <c r="F114" i="45"/>
  <c r="F111" i="45"/>
  <c r="F106" i="45"/>
  <c r="F101" i="45"/>
  <c r="F98" i="45"/>
  <c r="F93" i="45"/>
  <c r="F90" i="45"/>
  <c r="F85" i="45"/>
  <c r="F80" i="45"/>
  <c r="F77" i="45"/>
  <c r="F72" i="45"/>
  <c r="F69" i="45"/>
  <c r="F64" i="45"/>
  <c r="F59" i="45"/>
  <c r="F54" i="45"/>
  <c r="F51" i="45"/>
  <c r="F46" i="45"/>
  <c r="F41" i="45"/>
  <c r="F38" i="45"/>
  <c r="F33" i="45"/>
  <c r="F28" i="45"/>
  <c r="F25" i="45"/>
  <c r="F20" i="45"/>
  <c r="F17" i="45"/>
  <c r="F12" i="45"/>
  <c r="F7" i="45"/>
  <c r="F4" i="45"/>
  <c r="A3867" i="5"/>
  <c r="E128" i="45"/>
  <c r="E125" i="45"/>
  <c r="E120" i="45"/>
  <c r="E115" i="45"/>
  <c r="E112" i="45"/>
  <c r="E107" i="45"/>
  <c r="E104" i="45"/>
  <c r="E99" i="45"/>
  <c r="E94" i="45"/>
  <c r="E91" i="45"/>
  <c r="E86" i="45"/>
  <c r="E83" i="45"/>
  <c r="E78" i="45"/>
  <c r="E73" i="45"/>
  <c r="E70" i="45"/>
  <c r="E65" i="45"/>
  <c r="E62" i="45"/>
  <c r="E55" i="45"/>
  <c r="E52" i="45"/>
  <c r="E47" i="45"/>
  <c r="E44" i="45"/>
  <c r="E39" i="45"/>
  <c r="E34" i="45"/>
  <c r="E31" i="45"/>
  <c r="E26" i="45"/>
  <c r="E21" i="45"/>
  <c r="E18" i="45"/>
  <c r="E13" i="45"/>
  <c r="E10" i="45"/>
  <c r="E5" i="45"/>
  <c r="A3859" i="5"/>
  <c r="R3857" i="5"/>
  <c r="A3851" i="5"/>
  <c r="S3837" i="5"/>
  <c r="A3836" i="5"/>
  <c r="F128" i="45"/>
  <c r="F125" i="45"/>
  <c r="F120" i="45"/>
  <c r="F115" i="45"/>
  <c r="F112" i="45"/>
  <c r="F107" i="45"/>
  <c r="F104" i="45"/>
  <c r="F99" i="45"/>
  <c r="F94" i="45"/>
  <c r="F91" i="45"/>
  <c r="F86" i="45"/>
  <c r="F83" i="45"/>
  <c r="F78" i="45"/>
  <c r="F73" i="45"/>
  <c r="F70" i="45"/>
  <c r="F65" i="45"/>
  <c r="F62" i="45"/>
  <c r="F55" i="45"/>
  <c r="F52" i="45"/>
  <c r="F47" i="45"/>
  <c r="F44" i="45"/>
  <c r="F39" i="45"/>
  <c r="F34" i="45"/>
  <c r="F31" i="45"/>
  <c r="F26" i="45"/>
  <c r="F21" i="45"/>
  <c r="F18" i="45"/>
  <c r="F13" i="45"/>
  <c r="F10" i="45"/>
  <c r="F5" i="45"/>
  <c r="V3857" i="5"/>
  <c r="A3844" i="5"/>
  <c r="A3852" i="5"/>
  <c r="A3829" i="5"/>
  <c r="S3822" i="5"/>
  <c r="E126" i="45"/>
  <c r="E121" i="45"/>
  <c r="E118" i="45"/>
  <c r="E113" i="45"/>
  <c r="E108" i="45"/>
  <c r="E105" i="45"/>
  <c r="E100" i="45"/>
  <c r="E97" i="45"/>
  <c r="E92" i="45"/>
  <c r="E87" i="45"/>
  <c r="E84" i="45"/>
  <c r="E79" i="45"/>
  <c r="E76" i="45"/>
  <c r="E71" i="45"/>
  <c r="E66" i="45"/>
  <c r="E63" i="45"/>
  <c r="E58" i="45"/>
  <c r="E53" i="45"/>
  <c r="E48" i="45"/>
  <c r="E45" i="45"/>
  <c r="E40" i="45"/>
  <c r="E37" i="45"/>
  <c r="E32" i="45"/>
  <c r="E27" i="45"/>
  <c r="E24" i="45"/>
  <c r="E19" i="45"/>
  <c r="E14" i="45"/>
  <c r="E11" i="45"/>
  <c r="E6" i="45"/>
  <c r="E3" i="45"/>
  <c r="R3842" i="5"/>
  <c r="A3837" i="5"/>
  <c r="R3827" i="5"/>
  <c r="E129" i="45"/>
  <c r="F105" i="45"/>
  <c r="E90" i="45"/>
  <c r="E77" i="45"/>
  <c r="E64" i="45"/>
  <c r="E51" i="45"/>
  <c r="E38" i="45"/>
  <c r="E25" i="45"/>
  <c r="E12" i="45"/>
  <c r="S3867" i="5"/>
  <c r="A3866" i="5"/>
  <c r="V3812" i="5"/>
  <c r="A3799" i="5"/>
  <c r="A3807" i="5"/>
  <c r="A3784" i="5"/>
  <c r="F126" i="45"/>
  <c r="F100" i="45"/>
  <c r="F84" i="45"/>
  <c r="F121" i="45"/>
  <c r="F97" i="45"/>
  <c r="E85" i="45"/>
  <c r="F118" i="45"/>
  <c r="F113" i="45"/>
  <c r="E93" i="45"/>
  <c r="E80" i="45"/>
  <c r="E69" i="45"/>
  <c r="E54" i="45"/>
  <c r="E41" i="45"/>
  <c r="E28" i="45"/>
  <c r="E17" i="45"/>
  <c r="E4" i="45"/>
  <c r="V3842" i="5"/>
  <c r="A3822" i="5"/>
  <c r="S3807" i="5"/>
  <c r="Z3782" i="5"/>
  <c r="R3752" i="5"/>
  <c r="A3747" i="5"/>
  <c r="R3737" i="5"/>
  <c r="A3732" i="5"/>
  <c r="S3717" i="5"/>
  <c r="F108" i="45"/>
  <c r="F92" i="45"/>
  <c r="F87" i="45"/>
  <c r="F79" i="45"/>
  <c r="F76" i="45"/>
  <c r="E59" i="45"/>
  <c r="F37" i="45"/>
  <c r="E20" i="45"/>
  <c r="Z3857" i="5"/>
  <c r="V3827" i="5"/>
  <c r="A3814" i="5"/>
  <c r="Z3812" i="5"/>
  <c r="A3806" i="5"/>
  <c r="Z3767" i="5"/>
  <c r="S3747" i="5"/>
  <c r="A3746" i="5"/>
  <c r="S3732" i="5"/>
  <c r="A3731" i="5"/>
  <c r="V3707" i="5"/>
  <c r="F71" i="45"/>
  <c r="F48" i="45"/>
  <c r="F27" i="45"/>
  <c r="E7" i="45"/>
  <c r="S3852" i="5"/>
  <c r="R3812" i="5"/>
  <c r="Z3797" i="5"/>
  <c r="E72" i="45"/>
  <c r="F45" i="45"/>
  <c r="F24" i="45"/>
  <c r="F3" i="45"/>
  <c r="Z3842" i="5"/>
  <c r="F66" i="45"/>
  <c r="E46" i="45"/>
  <c r="F19" i="45"/>
  <c r="A3792" i="5"/>
  <c r="S3777" i="5"/>
  <c r="F63" i="45"/>
  <c r="F40" i="45"/>
  <c r="F14" i="45"/>
  <c r="Z3827" i="5"/>
  <c r="V3782" i="5"/>
  <c r="F58" i="45"/>
  <c r="F32" i="45"/>
  <c r="F11" i="45"/>
  <c r="R3797" i="5"/>
  <c r="S3792" i="5"/>
  <c r="A3791" i="5"/>
  <c r="S3762" i="5"/>
  <c r="V3752" i="5"/>
  <c r="R3722" i="5"/>
  <c r="S3702" i="5"/>
  <c r="A3701" i="5"/>
  <c r="S3687" i="5"/>
  <c r="A3687" i="5"/>
  <c r="S3672" i="5"/>
  <c r="Z3647" i="5"/>
  <c r="R3617" i="5"/>
  <c r="F53" i="45"/>
  <c r="E33" i="45"/>
  <c r="F6" i="45"/>
  <c r="A3821" i="5"/>
  <c r="V3797" i="5"/>
  <c r="R3782" i="5"/>
  <c r="A3769" i="5"/>
  <c r="A3776" i="5"/>
  <c r="Z3752" i="5"/>
  <c r="V3767" i="5"/>
  <c r="A3739" i="5"/>
  <c r="A3724" i="5"/>
  <c r="Z3722" i="5"/>
  <c r="A3717" i="5"/>
  <c r="R3692" i="5"/>
  <c r="R3677" i="5"/>
  <c r="A3672" i="5"/>
  <c r="A3649" i="5"/>
  <c r="A3657" i="5"/>
  <c r="V3632" i="5"/>
  <c r="V3617" i="5"/>
  <c r="V3602" i="5"/>
  <c r="A3754" i="5"/>
  <c r="A3671" i="5"/>
  <c r="A3634" i="5"/>
  <c r="Z3632" i="5"/>
  <c r="S3627" i="5"/>
  <c r="Z3617" i="5"/>
  <c r="S3612" i="5"/>
  <c r="A3611" i="5"/>
  <c r="S3597" i="5"/>
  <c r="Z3587" i="5"/>
  <c r="V3572" i="5"/>
  <c r="A3777" i="5"/>
  <c r="V3737" i="5"/>
  <c r="R3767" i="5"/>
  <c r="Z3737" i="5"/>
  <c r="A3709" i="5"/>
  <c r="A3716" i="5"/>
  <c r="R3707" i="5"/>
  <c r="A3761" i="5"/>
  <c r="V3722" i="5"/>
  <c r="Z3707" i="5"/>
  <c r="A3762" i="5"/>
  <c r="A3694" i="5"/>
  <c r="Z3692" i="5"/>
  <c r="V3677" i="5"/>
  <c r="A3656" i="5"/>
  <c r="A3627" i="5"/>
  <c r="Z3602" i="5"/>
  <c r="R3572" i="5"/>
  <c r="A3567" i="5"/>
  <c r="R3557" i="5"/>
  <c r="A3552" i="5"/>
  <c r="S3537" i="5"/>
  <c r="Z3512" i="5"/>
  <c r="R3482" i="5"/>
  <c r="A3702" i="5"/>
  <c r="Z3677" i="5"/>
  <c r="R3662" i="5"/>
  <c r="A3641" i="5"/>
  <c r="A3604" i="5"/>
  <c r="R3587" i="5"/>
  <c r="Z3572" i="5"/>
  <c r="S3567" i="5"/>
  <c r="V3692" i="5"/>
  <c r="A3679" i="5"/>
  <c r="A3686" i="5"/>
  <c r="A3664" i="5"/>
  <c r="V3662" i="5"/>
  <c r="V3647" i="5"/>
  <c r="A3642" i="5"/>
  <c r="A3619" i="5"/>
  <c r="A3626" i="5"/>
  <c r="R3602" i="5"/>
  <c r="V3587" i="5"/>
  <c r="S3657" i="5"/>
  <c r="S3642" i="5"/>
  <c r="A3589" i="5"/>
  <c r="A3597" i="5"/>
  <c r="A3582" i="5"/>
  <c r="V3557" i="5"/>
  <c r="Z3527" i="5"/>
  <c r="S3522" i="5"/>
  <c r="A3521" i="5"/>
  <c r="S3507" i="5"/>
  <c r="A3506" i="5"/>
  <c r="S3492" i="5"/>
  <c r="Z3467" i="5"/>
  <c r="R3437" i="5"/>
  <c r="A3432" i="5"/>
  <c r="R3422" i="5"/>
  <c r="Z3662" i="5"/>
  <c r="R3632" i="5"/>
  <c r="A3544" i="5"/>
  <c r="Z3542" i="5"/>
  <c r="V3527" i="5"/>
  <c r="A3574" i="5"/>
  <c r="A3551" i="5"/>
  <c r="A3596" i="5"/>
  <c r="R3542" i="5"/>
  <c r="A3529" i="5"/>
  <c r="R3647" i="5"/>
  <c r="V3542" i="5"/>
  <c r="A3536" i="5"/>
  <c r="S3582" i="5"/>
  <c r="A3612" i="5"/>
  <c r="A3581" i="5"/>
  <c r="A3566" i="5"/>
  <c r="R3527" i="5"/>
  <c r="A3507" i="5"/>
  <c r="A3469" i="5"/>
  <c r="A3477" i="5"/>
  <c r="V3452" i="5"/>
  <c r="V3437" i="5"/>
  <c r="V3422" i="5"/>
  <c r="V3407" i="5"/>
  <c r="A3394" i="5"/>
  <c r="A3402" i="5"/>
  <c r="A3379" i="5"/>
  <c r="S3372" i="5"/>
  <c r="A3371" i="5"/>
  <c r="Z3347" i="5"/>
  <c r="A3522" i="5"/>
  <c r="V3482" i="5"/>
  <c r="S3477" i="5"/>
  <c r="A3462" i="5"/>
  <c r="A3439" i="5"/>
  <c r="A3424" i="5"/>
  <c r="Z3422" i="5"/>
  <c r="A3537" i="5"/>
  <c r="Z3482" i="5"/>
  <c r="R3452" i="5"/>
  <c r="A3431" i="5"/>
  <c r="A3514" i="5"/>
  <c r="V3512" i="5"/>
  <c r="V3467" i="5"/>
  <c r="S3462" i="5"/>
  <c r="A3446" i="5"/>
  <c r="A3559" i="5"/>
  <c r="Z3497" i="5"/>
  <c r="A3476" i="5"/>
  <c r="A3447" i="5"/>
  <c r="Z3557" i="5"/>
  <c r="R3512" i="5"/>
  <c r="A3499" i="5"/>
  <c r="R3497" i="5"/>
  <c r="A3484" i="5"/>
  <c r="A3491" i="5"/>
  <c r="S3552" i="5"/>
  <c r="V3497" i="5"/>
  <c r="A3492" i="5"/>
  <c r="R3467" i="5"/>
  <c r="A3461" i="5"/>
  <c r="V3392" i="5"/>
  <c r="V3377" i="5"/>
  <c r="Z3332" i="5"/>
  <c r="R3302" i="5"/>
  <c r="A3297" i="5"/>
  <c r="R3287" i="5"/>
  <c r="A3282" i="5"/>
  <c r="S3267" i="5"/>
  <c r="A3417" i="5"/>
  <c r="Z3377" i="5"/>
  <c r="A3357" i="5"/>
  <c r="A3319" i="5"/>
  <c r="A3304" i="5"/>
  <c r="Z3302" i="5"/>
  <c r="Z3287" i="5"/>
  <c r="Z3272" i="5"/>
  <c r="A3259" i="5"/>
  <c r="A3267" i="5"/>
  <c r="A3454" i="5"/>
  <c r="S3417" i="5"/>
  <c r="R3407" i="5"/>
  <c r="A3386" i="5"/>
  <c r="S3357" i="5"/>
  <c r="R3347" i="5"/>
  <c r="V3332" i="5"/>
  <c r="Z3317" i="5"/>
  <c r="S3297" i="5"/>
  <c r="A3296" i="5"/>
  <c r="S3282" i="5"/>
  <c r="A3281" i="5"/>
  <c r="R3257" i="5"/>
  <c r="Z3452" i="5"/>
  <c r="A3401" i="5"/>
  <c r="R3377" i="5"/>
  <c r="A3364" i="5"/>
  <c r="Z3362" i="5"/>
  <c r="V3347" i="5"/>
  <c r="S3342" i="5"/>
  <c r="A3341" i="5"/>
  <c r="S3327" i="5"/>
  <c r="A3326" i="5"/>
  <c r="S3312" i="5"/>
  <c r="R3272" i="5"/>
  <c r="V3257" i="5"/>
  <c r="S3447" i="5"/>
  <c r="R3392" i="5"/>
  <c r="A3372" i="5"/>
  <c r="A3327" i="5"/>
  <c r="Z3437" i="5"/>
  <c r="A3409" i="5"/>
  <c r="Z3407" i="5"/>
  <c r="S3402" i="5"/>
  <c r="Z3392" i="5"/>
  <c r="S3387" i="5"/>
  <c r="A3387" i="5"/>
  <c r="R3362" i="5"/>
  <c r="A3349" i="5"/>
  <c r="R3332" i="5"/>
  <c r="S3432" i="5"/>
  <c r="A3416" i="5"/>
  <c r="V3362" i="5"/>
  <c r="A3356" i="5"/>
  <c r="A3334" i="5"/>
  <c r="A3342" i="5"/>
  <c r="V3317" i="5"/>
  <c r="V3302" i="5"/>
  <c r="V3287" i="5"/>
  <c r="A3266" i="5"/>
  <c r="S3252" i="5"/>
  <c r="A3251" i="5"/>
  <c r="Z3227" i="5"/>
  <c r="V3212" i="5"/>
  <c r="A3184" i="5"/>
  <c r="R3182" i="5"/>
  <c r="A3176" i="5"/>
  <c r="S3162" i="5"/>
  <c r="A3161" i="5"/>
  <c r="Z3137" i="5"/>
  <c r="Z3257" i="5"/>
  <c r="R3242" i="5"/>
  <c r="R3227" i="5"/>
  <c r="A3222" i="5"/>
  <c r="A3199" i="5"/>
  <c r="A3207" i="5"/>
  <c r="A3169" i="5"/>
  <c r="V3167" i="5"/>
  <c r="V3152" i="5"/>
  <c r="A3124" i="5"/>
  <c r="A3132" i="5"/>
  <c r="A3109" i="5"/>
  <c r="S3102" i="5"/>
  <c r="A3101" i="5"/>
  <c r="Z3077" i="5"/>
  <c r="V3062" i="5"/>
  <c r="A3274" i="5"/>
  <c r="A3244" i="5"/>
  <c r="A3252" i="5"/>
  <c r="V3227" i="5"/>
  <c r="R3212" i="5"/>
  <c r="A3229" i="5"/>
  <c r="A3214" i="5"/>
  <c r="Z3212" i="5"/>
  <c r="R3317" i="5"/>
  <c r="V3242" i="5"/>
  <c r="S3207" i="5"/>
  <c r="A3311" i="5"/>
  <c r="V3272" i="5"/>
  <c r="Z3242" i="5"/>
  <c r="S3237" i="5"/>
  <c r="A3236" i="5"/>
  <c r="S3222" i="5"/>
  <c r="A3312" i="5"/>
  <c r="A3289" i="5"/>
  <c r="A3237" i="5"/>
  <c r="A3221" i="5"/>
  <c r="R3197" i="5"/>
  <c r="V3182" i="5"/>
  <c r="R3167" i="5"/>
  <c r="A3139" i="5"/>
  <c r="A3131" i="5"/>
  <c r="S3117" i="5"/>
  <c r="A3116" i="5"/>
  <c r="Z3092" i="5"/>
  <c r="V3077" i="5"/>
  <c r="A3049" i="5"/>
  <c r="R3047" i="5"/>
  <c r="A3041" i="5"/>
  <c r="S3027" i="5"/>
  <c r="A3026" i="5"/>
  <c r="Z3002" i="5"/>
  <c r="V2987" i="5"/>
  <c r="V3197" i="5"/>
  <c r="S3192" i="5"/>
  <c r="A3191" i="5"/>
  <c r="Z3167" i="5"/>
  <c r="R3152" i="5"/>
  <c r="S3132" i="5"/>
  <c r="R3122" i="5"/>
  <c r="V3107" i="5"/>
  <c r="A3102" i="5"/>
  <c r="A3087" i="5"/>
  <c r="A3064" i="5"/>
  <c r="Z3062" i="5"/>
  <c r="S3057" i="5"/>
  <c r="Z3047" i="5"/>
  <c r="A3012" i="5"/>
  <c r="A2996" i="5"/>
  <c r="Z2972" i="5"/>
  <c r="R2942" i="5"/>
  <c r="A2937" i="5"/>
  <c r="R2927" i="5"/>
  <c r="Z3197" i="5"/>
  <c r="A3192" i="5"/>
  <c r="V3122" i="5"/>
  <c r="Z3107" i="5"/>
  <c r="R3092" i="5"/>
  <c r="R3077" i="5"/>
  <c r="S3072" i="5"/>
  <c r="A3071" i="5"/>
  <c r="A3056" i="5"/>
  <c r="S3042" i="5"/>
  <c r="A3206" i="5"/>
  <c r="S3147" i="5"/>
  <c r="A3146" i="5"/>
  <c r="Z3122" i="5"/>
  <c r="R3107" i="5"/>
  <c r="V3092" i="5"/>
  <c r="A3057" i="5"/>
  <c r="A3042" i="5"/>
  <c r="A3019" i="5"/>
  <c r="A3027" i="5"/>
  <c r="A3162" i="5"/>
  <c r="A3147" i="5"/>
  <c r="R3062" i="5"/>
  <c r="V3047" i="5"/>
  <c r="R3032" i="5"/>
  <c r="S3177" i="5"/>
  <c r="Z3152" i="5"/>
  <c r="R3137" i="5"/>
  <c r="A3117" i="5"/>
  <c r="S3087" i="5"/>
  <c r="A3079" i="5"/>
  <c r="A3034" i="5"/>
  <c r="V3032" i="5"/>
  <c r="V3017" i="5"/>
  <c r="Z3182" i="5"/>
  <c r="A3177" i="5"/>
  <c r="A3154" i="5"/>
  <c r="V3137" i="5"/>
  <c r="A3094" i="5"/>
  <c r="A3086" i="5"/>
  <c r="A3072" i="5"/>
  <c r="Z3032" i="5"/>
  <c r="Z3017" i="5"/>
  <c r="S3012" i="5"/>
  <c r="A3011" i="5"/>
  <c r="S2997" i="5"/>
  <c r="V2972" i="5"/>
  <c r="V2957" i="5"/>
  <c r="A2944" i="5"/>
  <c r="A2952" i="5"/>
  <c r="A2929" i="5"/>
  <c r="S2922" i="5"/>
  <c r="A2921" i="5"/>
  <c r="Z2897" i="5"/>
  <c r="V2882" i="5"/>
  <c r="V2867" i="5"/>
  <c r="A2854" i="5"/>
  <c r="A2862" i="5"/>
  <c r="A2981" i="5"/>
  <c r="A2967" i="5"/>
  <c r="V2942" i="5"/>
  <c r="Z2927" i="5"/>
  <c r="R2912" i="5"/>
  <c r="A2907" i="5"/>
  <c r="A2884" i="5"/>
  <c r="A2892" i="5"/>
  <c r="V2852" i="5"/>
  <c r="A2839" i="5"/>
  <c r="S2832" i="5"/>
  <c r="A2831" i="5"/>
  <c r="Z2807" i="5"/>
  <c r="V2792" i="5"/>
  <c r="V2777" i="5"/>
  <c r="A2764" i="5"/>
  <c r="A2772" i="5"/>
  <c r="R2957" i="5"/>
  <c r="Z2942" i="5"/>
  <c r="S2937" i="5"/>
  <c r="A2936" i="5"/>
  <c r="V2912" i="5"/>
  <c r="R2897" i="5"/>
  <c r="A2869" i="5"/>
  <c r="Z2852" i="5"/>
  <c r="A2989" i="5"/>
  <c r="A2997" i="5"/>
  <c r="R2972" i="5"/>
  <c r="A2914" i="5"/>
  <c r="A2899" i="5"/>
  <c r="V2897" i="5"/>
  <c r="Z2882" i="5"/>
  <c r="Z2867" i="5"/>
  <c r="S2847" i="5"/>
  <c r="R2987" i="5"/>
  <c r="S2982" i="5"/>
  <c r="S2892" i="5"/>
  <c r="A2891" i="5"/>
  <c r="S2877" i="5"/>
  <c r="A2876" i="5"/>
  <c r="S2862" i="5"/>
  <c r="A3004" i="5"/>
  <c r="R3002" i="5"/>
  <c r="Z2987" i="5"/>
  <c r="A2982" i="5"/>
  <c r="Z2957" i="5"/>
  <c r="S2952" i="5"/>
  <c r="Z2912" i="5"/>
  <c r="S2907" i="5"/>
  <c r="A2877" i="5"/>
  <c r="A2861" i="5"/>
  <c r="R3017" i="5"/>
  <c r="V3002" i="5"/>
  <c r="A2974" i="5"/>
  <c r="S2967" i="5"/>
  <c r="A2959" i="5"/>
  <c r="A2966" i="5"/>
  <c r="A2951" i="5"/>
  <c r="V2927" i="5"/>
  <c r="A2922" i="5"/>
  <c r="A2906" i="5"/>
  <c r="R2882" i="5"/>
  <c r="R2867" i="5"/>
  <c r="R2852" i="5"/>
  <c r="A2846" i="5"/>
  <c r="Z2822" i="5"/>
  <c r="V2807" i="5"/>
  <c r="A2779" i="5"/>
  <c r="R2777" i="5"/>
  <c r="A2771" i="5"/>
  <c r="S2757" i="5"/>
  <c r="A2756" i="5"/>
  <c r="Z2732" i="5"/>
  <c r="A2824" i="5"/>
  <c r="A2816" i="5"/>
  <c r="A2802" i="5"/>
  <c r="Z2777" i="5"/>
  <c r="S2772" i="5"/>
  <c r="Z2747" i="5"/>
  <c r="S2742" i="5"/>
  <c r="A2741" i="5"/>
  <c r="S2727" i="5"/>
  <c r="R2717" i="5"/>
  <c r="A2712" i="5"/>
  <c r="R2702" i="5"/>
  <c r="A2697" i="5"/>
  <c r="S2682" i="5"/>
  <c r="Z2657" i="5"/>
  <c r="R2627" i="5"/>
  <c r="A2622" i="5"/>
  <c r="R2612" i="5"/>
  <c r="A2607" i="5"/>
  <c r="S2592" i="5"/>
  <c r="Z2567" i="5"/>
  <c r="R2537" i="5"/>
  <c r="A2832" i="5"/>
  <c r="A2817" i="5"/>
  <c r="A2794" i="5"/>
  <c r="Z2792" i="5"/>
  <c r="S2787" i="5"/>
  <c r="A2786" i="5"/>
  <c r="R2762" i="5"/>
  <c r="A2742" i="5"/>
  <c r="V2717" i="5"/>
  <c r="A2689" i="5"/>
  <c r="R2687" i="5"/>
  <c r="A2681" i="5"/>
  <c r="S2667" i="5"/>
  <c r="A2666" i="5"/>
  <c r="Z2642" i="5"/>
  <c r="V2627" i="5"/>
  <c r="A2599" i="5"/>
  <c r="A2847" i="5"/>
  <c r="R2822" i="5"/>
  <c r="R2807" i="5"/>
  <c r="S2802" i="5"/>
  <c r="A2801" i="5"/>
  <c r="A2787" i="5"/>
  <c r="V2762" i="5"/>
  <c r="R2747" i="5"/>
  <c r="R2732" i="5"/>
  <c r="Z2717" i="5"/>
  <c r="V2702" i="5"/>
  <c r="V2687" i="5"/>
  <c r="A2674" i="5"/>
  <c r="A2682" i="5"/>
  <c r="A2659" i="5"/>
  <c r="S2652" i="5"/>
  <c r="A2651" i="5"/>
  <c r="Z2627" i="5"/>
  <c r="V2612" i="5"/>
  <c r="V2837" i="5"/>
  <c r="V2822" i="5"/>
  <c r="Z2762" i="5"/>
  <c r="A2749" i="5"/>
  <c r="A2757" i="5"/>
  <c r="V2732" i="5"/>
  <c r="Z2702" i="5"/>
  <c r="R2672" i="5"/>
  <c r="A2667" i="5"/>
  <c r="R2657" i="5"/>
  <c r="A2652" i="5"/>
  <c r="S2637" i="5"/>
  <c r="Z2837" i="5"/>
  <c r="R2792" i="5"/>
  <c r="A2734" i="5"/>
  <c r="A2726" i="5"/>
  <c r="S2712" i="5"/>
  <c r="A2711" i="5"/>
  <c r="Z2687" i="5"/>
  <c r="V2672" i="5"/>
  <c r="A2644" i="5"/>
  <c r="R2642" i="5"/>
  <c r="R2837" i="5"/>
  <c r="S2817" i="5"/>
  <c r="A2809" i="5"/>
  <c r="V2747" i="5"/>
  <c r="A2719" i="5"/>
  <c r="A2727" i="5"/>
  <c r="A2704" i="5"/>
  <c r="S2697" i="5"/>
  <c r="A2696" i="5"/>
  <c r="Z2672" i="5"/>
  <c r="V2657" i="5"/>
  <c r="V2642" i="5"/>
  <c r="A2629" i="5"/>
  <c r="A2637" i="5"/>
  <c r="A2614" i="5"/>
  <c r="S2607" i="5"/>
  <c r="A2606" i="5"/>
  <c r="Z2582" i="5"/>
  <c r="V2567" i="5"/>
  <c r="V2552" i="5"/>
  <c r="A2539" i="5"/>
  <c r="A2547" i="5"/>
  <c r="A2636" i="5"/>
  <c r="V2597" i="5"/>
  <c r="V2582" i="5"/>
  <c r="R2552" i="5"/>
  <c r="Z2537" i="5"/>
  <c r="S2532" i="5"/>
  <c r="A2531" i="5"/>
  <c r="Z2507" i="5"/>
  <c r="V2492" i="5"/>
  <c r="A2464" i="5"/>
  <c r="R2462" i="5"/>
  <c r="A2456" i="5"/>
  <c r="S2442" i="5"/>
  <c r="A2441" i="5"/>
  <c r="Z2417" i="5"/>
  <c r="V2402" i="5"/>
  <c r="A2374" i="5"/>
  <c r="R2372" i="5"/>
  <c r="A2366" i="5"/>
  <c r="S2352" i="5"/>
  <c r="A2351" i="5"/>
  <c r="Z2327" i="5"/>
  <c r="R2567" i="5"/>
  <c r="A2524" i="5"/>
  <c r="S2517" i="5"/>
  <c r="A2516" i="5"/>
  <c r="Z2492" i="5"/>
  <c r="V2477" i="5"/>
  <c r="V2462" i="5"/>
  <c r="A2449" i="5"/>
  <c r="A2457" i="5"/>
  <c r="A2434" i="5"/>
  <c r="S2427" i="5"/>
  <c r="A2426" i="5"/>
  <c r="Z2402" i="5"/>
  <c r="V2387" i="5"/>
  <c r="V2372" i="5"/>
  <c r="A2359" i="5"/>
  <c r="A2367" i="5"/>
  <c r="A2344" i="5"/>
  <c r="S2337" i="5"/>
  <c r="A2584" i="5"/>
  <c r="A2532" i="5"/>
  <c r="R2522" i="5"/>
  <c r="A2517" i="5"/>
  <c r="S2502" i="5"/>
  <c r="Z2477" i="5"/>
  <c r="R2447" i="5"/>
  <c r="A2442" i="5"/>
  <c r="R2432" i="5"/>
  <c r="A2427" i="5"/>
  <c r="S2412" i="5"/>
  <c r="Z2387" i="5"/>
  <c r="Z2612" i="5"/>
  <c r="A2591" i="5"/>
  <c r="A2577" i="5"/>
  <c r="Z2552" i="5"/>
  <c r="S2547" i="5"/>
  <c r="A2509" i="5"/>
  <c r="R2507" i="5"/>
  <c r="A2501" i="5"/>
  <c r="S2487" i="5"/>
  <c r="A2486" i="5"/>
  <c r="Z2462" i="5"/>
  <c r="V2447" i="5"/>
  <c r="A2419" i="5"/>
  <c r="R2417" i="5"/>
  <c r="A2411" i="5"/>
  <c r="S2397" i="5"/>
  <c r="A2396" i="5"/>
  <c r="Z2372" i="5"/>
  <c r="V2357" i="5"/>
  <c r="A2329" i="5"/>
  <c r="R2327" i="5"/>
  <c r="S2622" i="5"/>
  <c r="A2621" i="5"/>
  <c r="Z2597" i="5"/>
  <c r="A2592" i="5"/>
  <c r="A2569" i="5"/>
  <c r="S2562" i="5"/>
  <c r="A2554" i="5"/>
  <c r="A2561" i="5"/>
  <c r="A2546" i="5"/>
  <c r="V2522" i="5"/>
  <c r="V2507" i="5"/>
  <c r="A2494" i="5"/>
  <c r="A2502" i="5"/>
  <c r="A2479" i="5"/>
  <c r="S2472" i="5"/>
  <c r="A2471" i="5"/>
  <c r="Z2447" i="5"/>
  <c r="V2432" i="5"/>
  <c r="V2417" i="5"/>
  <c r="A2404" i="5"/>
  <c r="A2412" i="5"/>
  <c r="A2389" i="5"/>
  <c r="S2382" i="5"/>
  <c r="A2381" i="5"/>
  <c r="Z2357" i="5"/>
  <c r="V2342" i="5"/>
  <c r="V2327" i="5"/>
  <c r="R2597" i="5"/>
  <c r="R2582" i="5"/>
  <c r="S2577" i="5"/>
  <c r="A2576" i="5"/>
  <c r="A2562" i="5"/>
  <c r="V2537" i="5"/>
  <c r="Z2522" i="5"/>
  <c r="R2492" i="5"/>
  <c r="A2487" i="5"/>
  <c r="R2477" i="5"/>
  <c r="A2472" i="5"/>
  <c r="S2457" i="5"/>
  <c r="Z2432" i="5"/>
  <c r="R2402" i="5"/>
  <c r="A2397" i="5"/>
  <c r="R2387" i="5"/>
  <c r="A2382" i="5"/>
  <c r="S2367" i="5"/>
  <c r="Z2342" i="5"/>
  <c r="R2342" i="5"/>
  <c r="Z2297" i="5"/>
  <c r="R2267" i="5"/>
  <c r="A2262" i="5"/>
  <c r="R2252" i="5"/>
  <c r="A2247" i="5"/>
  <c r="S2232" i="5"/>
  <c r="Z2207" i="5"/>
  <c r="R2177" i="5"/>
  <c r="A2172" i="5"/>
  <c r="R2162" i="5"/>
  <c r="A2157" i="5"/>
  <c r="S2142" i="5"/>
  <c r="Z2117" i="5"/>
  <c r="R2087" i="5"/>
  <c r="A2082" i="5"/>
  <c r="R2072" i="5"/>
  <c r="S2322" i="5"/>
  <c r="A2321" i="5"/>
  <c r="S2307" i="5"/>
  <c r="A2306" i="5"/>
  <c r="Z2282" i="5"/>
  <c r="V2267" i="5"/>
  <c r="A2239" i="5"/>
  <c r="R2237" i="5"/>
  <c r="A2231" i="5"/>
  <c r="S2217" i="5"/>
  <c r="A2216" i="5"/>
  <c r="Z2192" i="5"/>
  <c r="V2177" i="5"/>
  <c r="A2149" i="5"/>
  <c r="R2147" i="5"/>
  <c r="A2141" i="5"/>
  <c r="S2127" i="5"/>
  <c r="A2126" i="5"/>
  <c r="Z2102" i="5"/>
  <c r="V2087" i="5"/>
  <c r="A2314" i="5"/>
  <c r="A2322" i="5"/>
  <c r="A2299" i="5"/>
  <c r="S2292" i="5"/>
  <c r="A2291" i="5"/>
  <c r="Z2267" i="5"/>
  <c r="V2252" i="5"/>
  <c r="V2237" i="5"/>
  <c r="A2224" i="5"/>
  <c r="A2232" i="5"/>
  <c r="A2209" i="5"/>
  <c r="S2202" i="5"/>
  <c r="A2201" i="5"/>
  <c r="Z2177" i="5"/>
  <c r="V2162" i="5"/>
  <c r="V2147" i="5"/>
  <c r="A2134" i="5"/>
  <c r="A2142" i="5"/>
  <c r="A2119" i="5"/>
  <c r="S2112" i="5"/>
  <c r="A2111" i="5"/>
  <c r="Z2087" i="5"/>
  <c r="V2072" i="5"/>
  <c r="R2312" i="5"/>
  <c r="A2307" i="5"/>
  <c r="R2297" i="5"/>
  <c r="A2292" i="5"/>
  <c r="S2277" i="5"/>
  <c r="Z2252" i="5"/>
  <c r="R2222" i="5"/>
  <c r="A2217" i="5"/>
  <c r="R2207" i="5"/>
  <c r="A2202" i="5"/>
  <c r="S2187" i="5"/>
  <c r="Z2162" i="5"/>
  <c r="R2132" i="5"/>
  <c r="A2127" i="5"/>
  <c r="R2117" i="5"/>
  <c r="A2112" i="5"/>
  <c r="S2097" i="5"/>
  <c r="Z2072" i="5"/>
  <c r="R2357" i="5"/>
  <c r="A2336" i="5"/>
  <c r="V2312" i="5"/>
  <c r="A2284" i="5"/>
  <c r="R2282" i="5"/>
  <c r="A2276" i="5"/>
  <c r="S2262" i="5"/>
  <c r="A2261" i="5"/>
  <c r="Z2237" i="5"/>
  <c r="V2222" i="5"/>
  <c r="A2194" i="5"/>
  <c r="R2192" i="5"/>
  <c r="A2186" i="5"/>
  <c r="S2172" i="5"/>
  <c r="A2171" i="5"/>
  <c r="Z2147" i="5"/>
  <c r="V2132" i="5"/>
  <c r="A2104" i="5"/>
  <c r="R2102" i="5"/>
  <c r="A2096" i="5"/>
  <c r="S2082" i="5"/>
  <c r="A2081" i="5"/>
  <c r="A2352" i="5"/>
  <c r="A2337" i="5"/>
  <c r="Z2312" i="5"/>
  <c r="V2297" i="5"/>
  <c r="V2282" i="5"/>
  <c r="A2269" i="5"/>
  <c r="A2277" i="5"/>
  <c r="A2254" i="5"/>
  <c r="S2247" i="5"/>
  <c r="A2246" i="5"/>
  <c r="Z2222" i="5"/>
  <c r="V2207" i="5"/>
  <c r="V2192" i="5"/>
  <c r="A2179" i="5"/>
  <c r="A2187" i="5"/>
  <c r="A2164" i="5"/>
  <c r="S2157" i="5"/>
  <c r="A2156" i="5"/>
  <c r="Z2132" i="5"/>
  <c r="V2117" i="5"/>
  <c r="V2102" i="5"/>
  <c r="A2089" i="5"/>
  <c r="A2097" i="5"/>
  <c r="A2074" i="5"/>
  <c r="S2067" i="5"/>
  <c r="A2059" i="5"/>
  <c r="R2057" i="5"/>
  <c r="A2051" i="5"/>
  <c r="S2037" i="5"/>
  <c r="A2036" i="5"/>
  <c r="Z2012" i="5"/>
  <c r="V1997" i="5"/>
  <c r="A1969" i="5"/>
  <c r="R1967" i="5"/>
  <c r="A1961" i="5"/>
  <c r="S1947" i="5"/>
  <c r="A1946" i="5"/>
  <c r="Z1922" i="5"/>
  <c r="V1907" i="5"/>
  <c r="A1879" i="5"/>
  <c r="R1877" i="5"/>
  <c r="A1871" i="5"/>
  <c r="S1857" i="5"/>
  <c r="A1856" i="5"/>
  <c r="Z1832" i="5"/>
  <c r="A1819" i="5"/>
  <c r="R1817" i="5"/>
  <c r="A1811" i="5"/>
  <c r="S1797" i="5"/>
  <c r="V2057" i="5"/>
  <c r="A2044" i="5"/>
  <c r="A2052" i="5"/>
  <c r="A2029" i="5"/>
  <c r="S2022" i="5"/>
  <c r="A2021" i="5"/>
  <c r="Z1997" i="5"/>
  <c r="V1982" i="5"/>
  <c r="V1967" i="5"/>
  <c r="A1954" i="5"/>
  <c r="A1962" i="5"/>
  <c r="A1939" i="5"/>
  <c r="S1932" i="5"/>
  <c r="A1931" i="5"/>
  <c r="Z1907" i="5"/>
  <c r="V1892" i="5"/>
  <c r="V1877" i="5"/>
  <c r="A1864" i="5"/>
  <c r="A1872" i="5"/>
  <c r="A1849" i="5"/>
  <c r="S1842" i="5"/>
  <c r="A1841" i="5"/>
  <c r="V1817" i="5"/>
  <c r="A1804" i="5"/>
  <c r="R2042" i="5"/>
  <c r="A2037" i="5"/>
  <c r="R2027" i="5"/>
  <c r="A2022" i="5"/>
  <c r="S2007" i="5"/>
  <c r="Z1982" i="5"/>
  <c r="R1952" i="5"/>
  <c r="A1947" i="5"/>
  <c r="R1937" i="5"/>
  <c r="A1932" i="5"/>
  <c r="S1917" i="5"/>
  <c r="Z1892" i="5"/>
  <c r="R1862" i="5"/>
  <c r="A1857" i="5"/>
  <c r="R1847" i="5"/>
  <c r="A1842" i="5"/>
  <c r="R1802" i="5"/>
  <c r="Z2057" i="5"/>
  <c r="V2042" i="5"/>
  <c r="A2014" i="5"/>
  <c r="R2012" i="5"/>
  <c r="A2006" i="5"/>
  <c r="S1992" i="5"/>
  <c r="A1991" i="5"/>
  <c r="Z1967" i="5"/>
  <c r="V1952" i="5"/>
  <c r="A1924" i="5"/>
  <c r="R1922" i="5"/>
  <c r="A1916" i="5"/>
  <c r="S1902" i="5"/>
  <c r="A1901" i="5"/>
  <c r="Z1877" i="5"/>
  <c r="V1862" i="5"/>
  <c r="A1834" i="5"/>
  <c r="Z1817" i="5"/>
  <c r="V1802" i="5"/>
  <c r="A2066" i="5"/>
  <c r="Z2042" i="5"/>
  <c r="V2027" i="5"/>
  <c r="V2012" i="5"/>
  <c r="A1999" i="5"/>
  <c r="A2007" i="5"/>
  <c r="A1984" i="5"/>
  <c r="S1977" i="5"/>
  <c r="A1976" i="5"/>
  <c r="Z1952" i="5"/>
  <c r="V1937" i="5"/>
  <c r="V1922" i="5"/>
  <c r="A1909" i="5"/>
  <c r="A1917" i="5"/>
  <c r="A1894" i="5"/>
  <c r="S1887" i="5"/>
  <c r="A1886" i="5"/>
  <c r="Z1862" i="5"/>
  <c r="V1847" i="5"/>
  <c r="R1832" i="5"/>
  <c r="S1827" i="5"/>
  <c r="A1826" i="5"/>
  <c r="Z1802" i="5"/>
  <c r="A2067" i="5"/>
  <c r="S2052" i="5"/>
  <c r="Z2027" i="5"/>
  <c r="R1997" i="5"/>
  <c r="A1992" i="5"/>
  <c r="R1982" i="5"/>
  <c r="A1977" i="5"/>
  <c r="S1962" i="5"/>
  <c r="Z1937" i="5"/>
  <c r="R1907" i="5"/>
  <c r="A1902" i="5"/>
  <c r="R1892" i="5"/>
  <c r="A1887" i="5"/>
  <c r="S1872" i="5"/>
  <c r="Z1847" i="5"/>
  <c r="V1832" i="5"/>
  <c r="A1827" i="5"/>
  <c r="S1812" i="5"/>
  <c r="V1787" i="5"/>
  <c r="V1772" i="5"/>
  <c r="A1759" i="5"/>
  <c r="A1767" i="5"/>
  <c r="A1744" i="5"/>
  <c r="S1737" i="5"/>
  <c r="A1736" i="5"/>
  <c r="Z1712" i="5"/>
  <c r="V1697" i="5"/>
  <c r="V1682" i="5"/>
  <c r="A1669" i="5"/>
  <c r="A1677" i="5"/>
  <c r="A1654" i="5"/>
  <c r="S1647" i="5"/>
  <c r="A1646" i="5"/>
  <c r="Z1622" i="5"/>
  <c r="V1607" i="5"/>
  <c r="V1592" i="5"/>
  <c r="A1579" i="5"/>
  <c r="A1587" i="5"/>
  <c r="A1564" i="5"/>
  <c r="S1557" i="5"/>
  <c r="A1556" i="5"/>
  <c r="Z1532" i="5"/>
  <c r="A1812" i="5"/>
  <c r="Z1787" i="5"/>
  <c r="R1757" i="5"/>
  <c r="A1752" i="5"/>
  <c r="R1742" i="5"/>
  <c r="A1737" i="5"/>
  <c r="S1722" i="5"/>
  <c r="Z1697" i="5"/>
  <c r="R1667" i="5"/>
  <c r="A1662" i="5"/>
  <c r="R1652" i="5"/>
  <c r="A1647" i="5"/>
  <c r="S1632" i="5"/>
  <c r="Z1607" i="5"/>
  <c r="R1577" i="5"/>
  <c r="A1572" i="5"/>
  <c r="R1562" i="5"/>
  <c r="A1557" i="5"/>
  <c r="S1542" i="5"/>
  <c r="A1796" i="5"/>
  <c r="Z1772" i="5"/>
  <c r="V1757" i="5"/>
  <c r="A1729" i="5"/>
  <c r="R1727" i="5"/>
  <c r="A1721" i="5"/>
  <c r="S1707" i="5"/>
  <c r="A1706" i="5"/>
  <c r="Z1682" i="5"/>
  <c r="V1667" i="5"/>
  <c r="A1639" i="5"/>
  <c r="R1637" i="5"/>
  <c r="A1631" i="5"/>
  <c r="S1617" i="5"/>
  <c r="A1616" i="5"/>
  <c r="Z1592" i="5"/>
  <c r="V1577" i="5"/>
  <c r="A1549" i="5"/>
  <c r="R1547" i="5"/>
  <c r="A1541" i="5"/>
  <c r="S1527" i="5"/>
  <c r="A1789" i="5"/>
  <c r="S1782" i="5"/>
  <c r="A1781" i="5"/>
  <c r="Z1757" i="5"/>
  <c r="V1742" i="5"/>
  <c r="V1727" i="5"/>
  <c r="A1714" i="5"/>
  <c r="A1722" i="5"/>
  <c r="A1699" i="5"/>
  <c r="S1692" i="5"/>
  <c r="A1691" i="5"/>
  <c r="Z1667" i="5"/>
  <c r="V1652" i="5"/>
  <c r="V1637" i="5"/>
  <c r="A1624" i="5"/>
  <c r="A1632" i="5"/>
  <c r="A1609" i="5"/>
  <c r="S1602" i="5"/>
  <c r="A1601" i="5"/>
  <c r="Z1577" i="5"/>
  <c r="V1562" i="5"/>
  <c r="V1547" i="5"/>
  <c r="A1534" i="5"/>
  <c r="A1542" i="5"/>
  <c r="A1797" i="5"/>
  <c r="R1787" i="5"/>
  <c r="A1782" i="5"/>
  <c r="S1767" i="5"/>
  <c r="Z1742" i="5"/>
  <c r="R1712" i="5"/>
  <c r="A1707" i="5"/>
  <c r="R1697" i="5"/>
  <c r="A1692" i="5"/>
  <c r="S1677" i="5"/>
  <c r="Z1652" i="5"/>
  <c r="R1622" i="5"/>
  <c r="A1617" i="5"/>
  <c r="R1607" i="5"/>
  <c r="A1602" i="5"/>
  <c r="S1587" i="5"/>
  <c r="Z1562" i="5"/>
  <c r="R1532" i="5"/>
  <c r="A1774" i="5"/>
  <c r="R1772" i="5"/>
  <c r="A1766" i="5"/>
  <c r="S1752" i="5"/>
  <c r="A1751" i="5"/>
  <c r="Z1727" i="5"/>
  <c r="V1712" i="5"/>
  <c r="A1684" i="5"/>
  <c r="R1682" i="5"/>
  <c r="A1676" i="5"/>
  <c r="S1662" i="5"/>
  <c r="A1661" i="5"/>
  <c r="Z1637" i="5"/>
  <c r="V1622" i="5"/>
  <c r="A1594" i="5"/>
  <c r="R1592" i="5"/>
  <c r="A1586" i="5"/>
  <c r="S1572" i="5"/>
  <c r="A1571" i="5"/>
  <c r="Z1547" i="5"/>
  <c r="V1532" i="5"/>
  <c r="A1526" i="5"/>
  <c r="Z1502" i="5"/>
  <c r="A1489" i="5"/>
  <c r="R1487" i="5"/>
  <c r="A1481" i="5"/>
  <c r="S1467" i="5"/>
  <c r="A1466" i="5"/>
  <c r="Z1442" i="5"/>
  <c r="V1427" i="5"/>
  <c r="A1399" i="5"/>
  <c r="R1397" i="5"/>
  <c r="A1391" i="5"/>
  <c r="S1377" i="5"/>
  <c r="A1376" i="5"/>
  <c r="Z1352" i="5"/>
  <c r="V1337" i="5"/>
  <c r="A1309" i="5"/>
  <c r="R1307" i="5"/>
  <c r="A1301" i="5"/>
  <c r="S1287" i="5"/>
  <c r="A1286" i="5"/>
  <c r="Z1262" i="5"/>
  <c r="V1247" i="5"/>
  <c r="A1219" i="5"/>
  <c r="R1217" i="5"/>
  <c r="A1211" i="5"/>
  <c r="S1197" i="5"/>
  <c r="A1196" i="5"/>
  <c r="Z1172" i="5"/>
  <c r="V1157" i="5"/>
  <c r="A1129" i="5"/>
  <c r="R1127" i="5"/>
  <c r="A1121" i="5"/>
  <c r="S1107" i="5"/>
  <c r="A1106" i="5"/>
  <c r="Z1082" i="5"/>
  <c r="V1067" i="5"/>
  <c r="A1039" i="5"/>
  <c r="R1037" i="5"/>
  <c r="A1031" i="5"/>
  <c r="S1017" i="5"/>
  <c r="A1016" i="5"/>
  <c r="A1519" i="5"/>
  <c r="S1512" i="5"/>
  <c r="A1511" i="5"/>
  <c r="V1487" i="5"/>
  <c r="A1474" i="5"/>
  <c r="A1482" i="5"/>
  <c r="A1459" i="5"/>
  <c r="S1452" i="5"/>
  <c r="A1451" i="5"/>
  <c r="Z1427" i="5"/>
  <c r="V1412" i="5"/>
  <c r="V1397" i="5"/>
  <c r="A1384" i="5"/>
  <c r="A1392" i="5"/>
  <c r="A1369" i="5"/>
  <c r="S1362" i="5"/>
  <c r="A1361" i="5"/>
  <c r="Z1337" i="5"/>
  <c r="V1322" i="5"/>
  <c r="V1307" i="5"/>
  <c r="A1294" i="5"/>
  <c r="A1302" i="5"/>
  <c r="A1279" i="5"/>
  <c r="S1272" i="5"/>
  <c r="A1271" i="5"/>
  <c r="Z1247" i="5"/>
  <c r="V1232" i="5"/>
  <c r="V1217" i="5"/>
  <c r="A1204" i="5"/>
  <c r="A1212" i="5"/>
  <c r="A1189" i="5"/>
  <c r="S1182" i="5"/>
  <c r="A1181" i="5"/>
  <c r="Z1157" i="5"/>
  <c r="V1142" i="5"/>
  <c r="V1127" i="5"/>
  <c r="A1114" i="5"/>
  <c r="A1122" i="5"/>
  <c r="A1099" i="5"/>
  <c r="S1092" i="5"/>
  <c r="A1091" i="5"/>
  <c r="Z1067" i="5"/>
  <c r="V1052" i="5"/>
  <c r="V1037" i="5"/>
  <c r="A1024" i="5"/>
  <c r="A1032" i="5"/>
  <c r="A1009" i="5"/>
  <c r="S1002" i="5"/>
  <c r="A1527" i="5"/>
  <c r="R1517" i="5"/>
  <c r="A1512" i="5"/>
  <c r="R1472" i="5"/>
  <c r="A1467" i="5"/>
  <c r="R1457" i="5"/>
  <c r="A1452" i="5"/>
  <c r="S1437" i="5"/>
  <c r="Z1412" i="5"/>
  <c r="R1382" i="5"/>
  <c r="A1377" i="5"/>
  <c r="R1367" i="5"/>
  <c r="A1362" i="5"/>
  <c r="S1347" i="5"/>
  <c r="Z1322" i="5"/>
  <c r="R1292" i="5"/>
  <c r="A1287" i="5"/>
  <c r="R1277" i="5"/>
  <c r="A1272" i="5"/>
  <c r="S1257" i="5"/>
  <c r="Z1232" i="5"/>
  <c r="R1202" i="5"/>
  <c r="A1197" i="5"/>
  <c r="R1187" i="5"/>
  <c r="A1182" i="5"/>
  <c r="S1167" i="5"/>
  <c r="Z1142" i="5"/>
  <c r="R1112" i="5"/>
  <c r="A1107" i="5"/>
  <c r="R1097" i="5"/>
  <c r="A1092" i="5"/>
  <c r="S1077" i="5"/>
  <c r="Z1052" i="5"/>
  <c r="R1022" i="5"/>
  <c r="A1017" i="5"/>
  <c r="R1007" i="5"/>
  <c r="A1504" i="5"/>
  <c r="Z1487" i="5"/>
  <c r="V1472" i="5"/>
  <c r="A1444" i="5"/>
  <c r="R1442" i="5"/>
  <c r="A1436" i="5"/>
  <c r="S1422" i="5"/>
  <c r="A1421" i="5"/>
  <c r="Z1397" i="5"/>
  <c r="V1382" i="5"/>
  <c r="A1354" i="5"/>
  <c r="R1352" i="5"/>
  <c r="A1346" i="5"/>
  <c r="S1332" i="5"/>
  <c r="A1331" i="5"/>
  <c r="Z1307" i="5"/>
  <c r="V1292" i="5"/>
  <c r="A1264" i="5"/>
  <c r="R1262" i="5"/>
  <c r="A1256" i="5"/>
  <c r="S1242" i="5"/>
  <c r="A1241" i="5"/>
  <c r="Z1217" i="5"/>
  <c r="V1202" i="5"/>
  <c r="A1174" i="5"/>
  <c r="R1172" i="5"/>
  <c r="A1166" i="5"/>
  <c r="S1152" i="5"/>
  <c r="A1151" i="5"/>
  <c r="Z1127" i="5"/>
  <c r="V1112" i="5"/>
  <c r="A1084" i="5"/>
  <c r="R1082" i="5"/>
  <c r="A1076" i="5"/>
  <c r="S1062" i="5"/>
  <c r="A1061" i="5"/>
  <c r="Z1037" i="5"/>
  <c r="V1022" i="5"/>
  <c r="V1517" i="5"/>
  <c r="R1502" i="5"/>
  <c r="S1497" i="5"/>
  <c r="A1496" i="5"/>
  <c r="Z1472" i="5"/>
  <c r="V1457" i="5"/>
  <c r="V1442" i="5"/>
  <c r="A1429" i="5"/>
  <c r="A1437" i="5"/>
  <c r="A1414" i="5"/>
  <c r="S1407" i="5"/>
  <c r="A1406" i="5"/>
  <c r="Z1382" i="5"/>
  <c r="V1367" i="5"/>
  <c r="V1352" i="5"/>
  <c r="A1339" i="5"/>
  <c r="A1347" i="5"/>
  <c r="A1324" i="5"/>
  <c r="S1317" i="5"/>
  <c r="A1316" i="5"/>
  <c r="Z1292" i="5"/>
  <c r="V1277" i="5"/>
  <c r="V1262" i="5"/>
  <c r="A1249" i="5"/>
  <c r="A1257" i="5"/>
  <c r="A1234" i="5"/>
  <c r="S1227" i="5"/>
  <c r="A1226" i="5"/>
  <c r="Z1202" i="5"/>
  <c r="V1187" i="5"/>
  <c r="V1172" i="5"/>
  <c r="A1159" i="5"/>
  <c r="A1167" i="5"/>
  <c r="A1144" i="5"/>
  <c r="S1137" i="5"/>
  <c r="A1136" i="5"/>
  <c r="Z1112" i="5"/>
  <c r="V1097" i="5"/>
  <c r="V1082" i="5"/>
  <c r="A1069" i="5"/>
  <c r="A1077" i="5"/>
  <c r="A1054" i="5"/>
  <c r="S1047" i="5"/>
  <c r="A1046" i="5"/>
  <c r="Z1022" i="5"/>
  <c r="V1007" i="5"/>
  <c r="Z1517" i="5"/>
  <c r="V1502" i="5"/>
  <c r="A1497" i="5"/>
  <c r="S1482" i="5"/>
  <c r="Z1457" i="5"/>
  <c r="R1427" i="5"/>
  <c r="A1422" i="5"/>
  <c r="R1412" i="5"/>
  <c r="A1407" i="5"/>
  <c r="S1392" i="5"/>
  <c r="Z1367" i="5"/>
  <c r="R1337" i="5"/>
  <c r="A1332" i="5"/>
  <c r="R1322" i="5"/>
  <c r="A1317" i="5"/>
  <c r="S1302" i="5"/>
  <c r="Z1277" i="5"/>
  <c r="R1247" i="5"/>
  <c r="A1242" i="5"/>
  <c r="R1232" i="5"/>
  <c r="A1227" i="5"/>
  <c r="S1212" i="5"/>
  <c r="Z1187" i="5"/>
  <c r="R1157" i="5"/>
  <c r="A1152" i="5"/>
  <c r="R1142" i="5"/>
  <c r="A1137" i="5"/>
  <c r="S1122" i="5"/>
  <c r="Z1097" i="5"/>
  <c r="R1067" i="5"/>
  <c r="A1062" i="5"/>
  <c r="R1052" i="5"/>
  <c r="A1047" i="5"/>
  <c r="S1032" i="5"/>
  <c r="Z1007" i="5"/>
  <c r="A994" i="5"/>
  <c r="R992" i="5"/>
  <c r="A986" i="5"/>
  <c r="S972" i="5"/>
  <c r="A971" i="5"/>
  <c r="Z947" i="5"/>
  <c r="V932" i="5"/>
  <c r="A904" i="5"/>
  <c r="R902" i="5"/>
  <c r="A896" i="5"/>
  <c r="S882" i="5"/>
  <c r="A881" i="5"/>
  <c r="Z857" i="5"/>
  <c r="V842" i="5"/>
  <c r="A814" i="5"/>
  <c r="R812" i="5"/>
  <c r="A806" i="5"/>
  <c r="S792" i="5"/>
  <c r="A791" i="5"/>
  <c r="Z767" i="5"/>
  <c r="V752" i="5"/>
  <c r="A724" i="5"/>
  <c r="R722" i="5"/>
  <c r="A716" i="5"/>
  <c r="S702" i="5"/>
  <c r="A701" i="5"/>
  <c r="Z677" i="5"/>
  <c r="V662" i="5"/>
  <c r="A634" i="5"/>
  <c r="R632" i="5"/>
  <c r="A626" i="5"/>
  <c r="S612" i="5"/>
  <c r="A611" i="5"/>
  <c r="Z587" i="5"/>
  <c r="V572" i="5"/>
  <c r="A544" i="5"/>
  <c r="R542" i="5"/>
  <c r="A536" i="5"/>
  <c r="S522" i="5"/>
  <c r="A521" i="5"/>
  <c r="Z497" i="5"/>
  <c r="V482" i="5"/>
  <c r="V992" i="5"/>
  <c r="A979" i="5"/>
  <c r="A987" i="5"/>
  <c r="A964" i="5"/>
  <c r="S957" i="5"/>
  <c r="A956" i="5"/>
  <c r="Z932" i="5"/>
  <c r="V917" i="5"/>
  <c r="V902" i="5"/>
  <c r="A889" i="5"/>
  <c r="A897" i="5"/>
  <c r="A874" i="5"/>
  <c r="S867" i="5"/>
  <c r="A866" i="5"/>
  <c r="Z842" i="5"/>
  <c r="V827" i="5"/>
  <c r="V812" i="5"/>
  <c r="A799" i="5"/>
  <c r="A807" i="5"/>
  <c r="A784" i="5"/>
  <c r="S777" i="5"/>
  <c r="A776" i="5"/>
  <c r="Z752" i="5"/>
  <c r="V737" i="5"/>
  <c r="V722" i="5"/>
  <c r="A709" i="5"/>
  <c r="A717" i="5"/>
  <c r="A694" i="5"/>
  <c r="S687" i="5"/>
  <c r="A686" i="5"/>
  <c r="Z662" i="5"/>
  <c r="V647" i="5"/>
  <c r="V632" i="5"/>
  <c r="A619" i="5"/>
  <c r="A627" i="5"/>
  <c r="A604" i="5"/>
  <c r="S597" i="5"/>
  <c r="A596" i="5"/>
  <c r="Z572" i="5"/>
  <c r="V557" i="5"/>
  <c r="V542" i="5"/>
  <c r="A529" i="5"/>
  <c r="A537" i="5"/>
  <c r="A514" i="5"/>
  <c r="S507" i="5"/>
  <c r="A506" i="5"/>
  <c r="Z482" i="5"/>
  <c r="V467" i="5"/>
  <c r="R977" i="5"/>
  <c r="A972" i="5"/>
  <c r="R962" i="5"/>
  <c r="A957" i="5"/>
  <c r="S942" i="5"/>
  <c r="Z917" i="5"/>
  <c r="R887" i="5"/>
  <c r="A882" i="5"/>
  <c r="R872" i="5"/>
  <c r="A867" i="5"/>
  <c r="S852" i="5"/>
  <c r="Z827" i="5"/>
  <c r="R797" i="5"/>
  <c r="A792" i="5"/>
  <c r="R782" i="5"/>
  <c r="A777" i="5"/>
  <c r="S762" i="5"/>
  <c r="Z737" i="5"/>
  <c r="R707" i="5"/>
  <c r="A702" i="5"/>
  <c r="R692" i="5"/>
  <c r="A687" i="5"/>
  <c r="S672" i="5"/>
  <c r="Z647" i="5"/>
  <c r="R617" i="5"/>
  <c r="A612" i="5"/>
  <c r="R602" i="5"/>
  <c r="A597" i="5"/>
  <c r="S582" i="5"/>
  <c r="Z557" i="5"/>
  <c r="R527" i="5"/>
  <c r="A522" i="5"/>
  <c r="R512" i="5"/>
  <c r="A507" i="5"/>
  <c r="S492" i="5"/>
  <c r="Z467" i="5"/>
  <c r="Z992" i="5"/>
  <c r="V977" i="5"/>
  <c r="A949" i="5"/>
  <c r="R947" i="5"/>
  <c r="A941" i="5"/>
  <c r="S927" i="5"/>
  <c r="A926" i="5"/>
  <c r="Z902" i="5"/>
  <c r="V887" i="5"/>
  <c r="A859" i="5"/>
  <c r="R857" i="5"/>
  <c r="A851" i="5"/>
  <c r="S837" i="5"/>
  <c r="A836" i="5"/>
  <c r="Z812" i="5"/>
  <c r="V797" i="5"/>
  <c r="A769" i="5"/>
  <c r="R767" i="5"/>
  <c r="A761" i="5"/>
  <c r="S747" i="5"/>
  <c r="A746" i="5"/>
  <c r="Z722" i="5"/>
  <c r="V707" i="5"/>
  <c r="A679" i="5"/>
  <c r="R677" i="5"/>
  <c r="A671" i="5"/>
  <c r="S657" i="5"/>
  <c r="A656" i="5"/>
  <c r="Z632" i="5"/>
  <c r="V617" i="5"/>
  <c r="A589" i="5"/>
  <c r="R587" i="5"/>
  <c r="A581" i="5"/>
  <c r="S567" i="5"/>
  <c r="A566" i="5"/>
  <c r="Z542" i="5"/>
  <c r="V527" i="5"/>
  <c r="A499" i="5"/>
  <c r="R497" i="5"/>
  <c r="A491" i="5"/>
  <c r="S477" i="5"/>
  <c r="A476" i="5"/>
  <c r="A1001" i="5"/>
  <c r="Z977" i="5"/>
  <c r="V962" i="5"/>
  <c r="V947" i="5"/>
  <c r="A934" i="5"/>
  <c r="A942" i="5"/>
  <c r="A919" i="5"/>
  <c r="S912" i="5"/>
  <c r="A911" i="5"/>
  <c r="Z887" i="5"/>
  <c r="V872" i="5"/>
  <c r="V857" i="5"/>
  <c r="A844" i="5"/>
  <c r="A852" i="5"/>
  <c r="A829" i="5"/>
  <c r="S822" i="5"/>
  <c r="A821" i="5"/>
  <c r="Z797" i="5"/>
  <c r="V782" i="5"/>
  <c r="V767" i="5"/>
  <c r="A754" i="5"/>
  <c r="A762" i="5"/>
  <c r="A739" i="5"/>
  <c r="S732" i="5"/>
  <c r="A731" i="5"/>
  <c r="Z707" i="5"/>
  <c r="V692" i="5"/>
  <c r="V677" i="5"/>
  <c r="A664" i="5"/>
  <c r="A672" i="5"/>
  <c r="A649" i="5"/>
  <c r="S642" i="5"/>
  <c r="A641" i="5"/>
  <c r="Z617" i="5"/>
  <c r="V602" i="5"/>
  <c r="V587" i="5"/>
  <c r="A574" i="5"/>
  <c r="A582" i="5"/>
  <c r="A559" i="5"/>
  <c r="S552" i="5"/>
  <c r="A551" i="5"/>
  <c r="Z527" i="5"/>
  <c r="V512" i="5"/>
  <c r="V497" i="5"/>
  <c r="A484" i="5"/>
  <c r="A492" i="5"/>
  <c r="A469" i="5"/>
  <c r="S462" i="5"/>
  <c r="A1002" i="5"/>
  <c r="S987" i="5"/>
  <c r="Z962" i="5"/>
  <c r="R932" i="5"/>
  <c r="A927" i="5"/>
  <c r="R917" i="5"/>
  <c r="A912" i="5"/>
  <c r="S897" i="5"/>
  <c r="Z872" i="5"/>
  <c r="R842" i="5"/>
  <c r="A837" i="5"/>
  <c r="R827" i="5"/>
  <c r="A822" i="5"/>
  <c r="S807" i="5"/>
  <c r="Z782" i="5"/>
  <c r="R752" i="5"/>
  <c r="A747" i="5"/>
  <c r="R737" i="5"/>
  <c r="A732" i="5"/>
  <c r="S717" i="5"/>
  <c r="Z692" i="5"/>
  <c r="R662" i="5"/>
  <c r="A657" i="5"/>
  <c r="R647" i="5"/>
  <c r="A642" i="5"/>
  <c r="S627" i="5"/>
  <c r="Z602" i="5"/>
  <c r="R572" i="5"/>
  <c r="A567" i="5"/>
  <c r="R557" i="5"/>
  <c r="A552" i="5"/>
  <c r="S537" i="5"/>
  <c r="Z512" i="5"/>
  <c r="R482" i="5"/>
  <c r="A477" i="5"/>
  <c r="R467" i="5"/>
  <c r="V452" i="5"/>
  <c r="A439" i="5"/>
  <c r="A447" i="5"/>
  <c r="A424" i="5"/>
  <c r="S417" i="5"/>
  <c r="A416" i="5"/>
  <c r="Z392" i="5"/>
  <c r="V377" i="5"/>
  <c r="V362" i="5"/>
  <c r="A349" i="5"/>
  <c r="A357" i="5"/>
  <c r="A334" i="5"/>
  <c r="S327" i="5"/>
  <c r="A326" i="5"/>
  <c r="Z302" i="5"/>
  <c r="V287" i="5"/>
  <c r="V272" i="5"/>
  <c r="A259" i="5"/>
  <c r="A267" i="5"/>
  <c r="A244" i="5"/>
  <c r="S237" i="5"/>
  <c r="A236" i="5"/>
  <c r="Z212" i="5"/>
  <c r="V197" i="5"/>
  <c r="V182" i="5"/>
  <c r="A169" i="5"/>
  <c r="A177" i="5"/>
  <c r="A154" i="5"/>
  <c r="S147" i="5"/>
  <c r="A146" i="5"/>
  <c r="Z122" i="5"/>
  <c r="V107" i="5"/>
  <c r="V92" i="5"/>
  <c r="A79" i="5"/>
  <c r="A87" i="5"/>
  <c r="A64" i="5"/>
  <c r="S57" i="5"/>
  <c r="A56" i="5"/>
  <c r="Z32" i="5"/>
  <c r="V17" i="5"/>
  <c r="V2" i="5"/>
  <c r="E61" i="45" a="1"/>
  <c r="F68" i="45"/>
  <c r="F89" i="45" a="1"/>
  <c r="R437" i="5"/>
  <c r="A432" i="5"/>
  <c r="R422" i="5"/>
  <c r="A417" i="5"/>
  <c r="S402" i="5"/>
  <c r="Z377" i="5"/>
  <c r="R347" i="5"/>
  <c r="A342" i="5"/>
  <c r="R332" i="5"/>
  <c r="A327" i="5"/>
  <c r="S312" i="5"/>
  <c r="Z287" i="5"/>
  <c r="R257" i="5"/>
  <c r="A252" i="5"/>
  <c r="R242" i="5"/>
  <c r="A237" i="5"/>
  <c r="S222" i="5"/>
  <c r="Z197" i="5"/>
  <c r="R167" i="5"/>
  <c r="A162" i="5"/>
  <c r="R152" i="5"/>
  <c r="A147" i="5"/>
  <c r="S132" i="5"/>
  <c r="Z107" i="5"/>
  <c r="R77" i="5"/>
  <c r="A72" i="5"/>
  <c r="R62" i="5"/>
  <c r="A57" i="5"/>
  <c r="S42" i="5"/>
  <c r="Z17" i="5"/>
  <c r="E258" i="40" a="1"/>
  <c r="E255" i="40" a="1"/>
  <c r="E250" i="40" a="1"/>
  <c r="E253" i="40" a="1"/>
  <c r="E248" i="40" a="1"/>
  <c r="E243" i="40" a="1"/>
  <c r="E238" i="40" a="1"/>
  <c r="E241" i="40" a="1"/>
  <c r="E236" i="40" a="1"/>
  <c r="E231" i="40" a="1"/>
  <c r="E226" i="40" a="1"/>
  <c r="E229" i="40" a="1"/>
  <c r="E224" i="40" a="1"/>
  <c r="E219" i="40" a="1"/>
  <c r="E214" i="40" a="1"/>
  <c r="E217" i="40" a="1"/>
  <c r="E212" i="40" a="1"/>
  <c r="E207" i="40" a="1"/>
  <c r="E202" i="40" a="1"/>
  <c r="E205" i="40" a="1"/>
  <c r="E200" i="40" a="1"/>
  <c r="E195" i="40" a="1"/>
  <c r="E190" i="40" a="1"/>
  <c r="E193" i="40" a="1"/>
  <c r="E188" i="40" a="1"/>
  <c r="E183" i="40" a="1"/>
  <c r="E178" i="40" a="1"/>
  <c r="E181" i="40" a="1"/>
  <c r="E176" i="40" a="1"/>
  <c r="E171" i="40" a="1"/>
  <c r="E166" i="40" a="1"/>
  <c r="E169" i="40" a="1"/>
  <c r="E164" i="40" a="1"/>
  <c r="E159" i="40" a="1"/>
  <c r="E154" i="40" a="1"/>
  <c r="E157" i="40" a="1"/>
  <c r="E152" i="40" a="1"/>
  <c r="E147" i="40" a="1"/>
  <c r="E142" i="40" a="1"/>
  <c r="E145" i="40" a="1"/>
  <c r="E140" i="40" a="1"/>
  <c r="E135" i="40" a="1"/>
  <c r="E130" i="40" a="1"/>
  <c r="E133" i="40" a="1"/>
  <c r="E128" i="40" a="1"/>
  <c r="E123" i="40" a="1"/>
  <c r="E118" i="40" a="1"/>
  <c r="E121" i="40" a="1"/>
  <c r="E116" i="40" a="1"/>
  <c r="E111" i="40" a="1"/>
  <c r="E106" i="40" a="1"/>
  <c r="E109" i="40" a="1"/>
  <c r="E104" i="40" a="1"/>
  <c r="E99" i="40" a="1"/>
  <c r="E94" i="40" a="1"/>
  <c r="E97" i="40" a="1"/>
  <c r="E92" i="40" a="1"/>
  <c r="E87" i="40" a="1"/>
  <c r="E82" i="40" a="1"/>
  <c r="E85" i="40" a="1"/>
  <c r="E80" i="40" a="1"/>
  <c r="E75" i="40" a="1"/>
  <c r="E70" i="40" a="1"/>
  <c r="E73" i="40" a="1"/>
  <c r="E68" i="40" a="1"/>
  <c r="E63" i="40" a="1"/>
  <c r="E58" i="40" a="1"/>
  <c r="E61" i="40" a="1"/>
  <c r="E56" i="40" a="1"/>
  <c r="E51" i="40" a="1"/>
  <c r="E46" i="40" a="1"/>
  <c r="E49" i="40" a="1"/>
  <c r="E44" i="40" a="1"/>
  <c r="E39" i="40" a="1"/>
  <c r="E34" i="40" a="1"/>
  <c r="E37" i="40" a="1"/>
  <c r="E32" i="40" a="1"/>
  <c r="E27" i="40" a="1"/>
  <c r="E22" i="40" a="1"/>
  <c r="E25" i="40" a="1"/>
  <c r="E20" i="40" a="1"/>
  <c r="E15" i="40" a="1"/>
  <c r="E10" i="40" a="1"/>
  <c r="E13" i="40" a="1"/>
  <c r="E8" i="40" a="1"/>
  <c r="E3" i="40" a="1"/>
  <c r="E2" i="45"/>
  <c r="F16" i="45" a="1"/>
  <c r="E30" i="45" a="1"/>
  <c r="F36" i="45" a="1"/>
  <c r="E50" i="45" a="1"/>
  <c r="F57" i="45" a="1"/>
  <c r="Z452" i="5"/>
  <c r="V437" i="5"/>
  <c r="A409" i="5"/>
  <c r="R407" i="5"/>
  <c r="A401" i="5"/>
  <c r="S387" i="5"/>
  <c r="A386" i="5"/>
  <c r="Z362" i="5"/>
  <c r="V347" i="5"/>
  <c r="A319" i="5"/>
  <c r="R317" i="5"/>
  <c r="A311" i="5"/>
  <c r="S297" i="5"/>
  <c r="A296" i="5"/>
  <c r="Z272" i="5"/>
  <c r="V257" i="5"/>
  <c r="A229" i="5"/>
  <c r="R227" i="5"/>
  <c r="A221" i="5"/>
  <c r="S207" i="5"/>
  <c r="A206" i="5"/>
  <c r="Z182" i="5"/>
  <c r="V167" i="5"/>
  <c r="A139" i="5"/>
  <c r="R137" i="5"/>
  <c r="A131" i="5"/>
  <c r="S117" i="5"/>
  <c r="A116" i="5"/>
  <c r="Z92" i="5"/>
  <c r="V77" i="5"/>
  <c r="A49" i="5"/>
  <c r="R47" i="5"/>
  <c r="A41" i="5"/>
  <c r="S27" i="5"/>
  <c r="A26" i="5"/>
  <c r="Z2" i="5"/>
  <c r="F2" i="45"/>
  <c r="F61" i="45" a="1"/>
  <c r="E75" i="45" a="1"/>
  <c r="F82" i="45"/>
  <c r="A461" i="5"/>
  <c r="Z437" i="5"/>
  <c r="V422" i="5"/>
  <c r="V407" i="5"/>
  <c r="A394" i="5"/>
  <c r="A402" i="5"/>
  <c r="A379" i="5"/>
  <c r="S372" i="5"/>
  <c r="A371" i="5"/>
  <c r="Z347" i="5"/>
  <c r="V332" i="5"/>
  <c r="V317" i="5"/>
  <c r="A304" i="5"/>
  <c r="A312" i="5"/>
  <c r="A289" i="5"/>
  <c r="S282" i="5"/>
  <c r="A281" i="5"/>
  <c r="Z257" i="5"/>
  <c r="V242" i="5"/>
  <c r="V227" i="5"/>
  <c r="A214" i="5"/>
  <c r="A222" i="5"/>
  <c r="A199" i="5"/>
  <c r="S192" i="5"/>
  <c r="A191" i="5"/>
  <c r="Z167" i="5"/>
  <c r="V152" i="5"/>
  <c r="V137" i="5"/>
  <c r="A124" i="5"/>
  <c r="A132" i="5"/>
  <c r="A109" i="5"/>
  <c r="S102" i="5"/>
  <c r="A101" i="5"/>
  <c r="Z77" i="5"/>
  <c r="V62" i="5"/>
  <c r="V47" i="5"/>
  <c r="A34" i="5"/>
  <c r="A42" i="5"/>
  <c r="A19" i="5"/>
  <c r="S12" i="5"/>
  <c r="A11" i="5"/>
  <c r="E259" i="40" a="1"/>
  <c r="E256" i="40" a="1"/>
  <c r="E251" i="40" a="1"/>
  <c r="E246" i="40" a="1"/>
  <c r="E249" i="40" a="1"/>
  <c r="E244" i="40" a="1"/>
  <c r="E239" i="40" a="1"/>
  <c r="E234" i="40" a="1"/>
  <c r="E237" i="40" a="1"/>
  <c r="E232" i="40" a="1"/>
  <c r="E227" i="40" a="1"/>
  <c r="E222" i="40" a="1"/>
  <c r="E225" i="40" a="1"/>
  <c r="E220" i="40" a="1"/>
  <c r="E215" i="40" a="1"/>
  <c r="E210" i="40" a="1"/>
  <c r="E213" i="40" a="1"/>
  <c r="E208" i="40" a="1"/>
  <c r="E203" i="40" a="1"/>
  <c r="E198" i="40" a="1"/>
  <c r="E201" i="40" a="1"/>
  <c r="E196" i="40" a="1"/>
  <c r="E191" i="40" a="1"/>
  <c r="E186" i="40" a="1"/>
  <c r="E189" i="40" a="1"/>
  <c r="E184" i="40" a="1"/>
  <c r="E179" i="40" a="1"/>
  <c r="E174" i="40" a="1"/>
  <c r="E177" i="40" a="1"/>
  <c r="E172" i="40" a="1"/>
  <c r="E167" i="40" a="1"/>
  <c r="E162" i="40" a="1"/>
  <c r="E165" i="40" a="1"/>
  <c r="E160" i="40" a="1"/>
  <c r="E155" i="40" a="1"/>
  <c r="E150" i="40" a="1"/>
  <c r="E153" i="40" a="1"/>
  <c r="E148" i="40" a="1"/>
  <c r="E143" i="40" a="1"/>
  <c r="E138" i="40" a="1"/>
  <c r="E141" i="40" a="1"/>
  <c r="E136" i="40" a="1"/>
  <c r="E131" i="40" a="1"/>
  <c r="E126" i="40" a="1"/>
  <c r="E129" i="40" a="1"/>
  <c r="E124" i="40" a="1"/>
  <c r="E119" i="40" a="1"/>
  <c r="E114" i="40" a="1"/>
  <c r="E117" i="40" a="1"/>
  <c r="E112" i="40" a="1"/>
  <c r="E107" i="40" a="1"/>
  <c r="E102" i="40" a="1"/>
  <c r="E105" i="40" a="1"/>
  <c r="E100" i="40" a="1"/>
  <c r="E95" i="40" a="1"/>
  <c r="E90" i="40" a="1"/>
  <c r="E93" i="40" a="1"/>
  <c r="E88" i="40" a="1"/>
  <c r="E83" i="40" a="1"/>
  <c r="E78" i="40" a="1"/>
  <c r="E81" i="40" a="1"/>
  <c r="E76" i="40" a="1"/>
  <c r="E71" i="40" a="1"/>
  <c r="E66" i="40" a="1"/>
  <c r="E69" i="40" a="1"/>
  <c r="E64" i="40" a="1"/>
  <c r="E59" i="40" a="1"/>
  <c r="E54" i="40" a="1"/>
  <c r="E57" i="40" a="1"/>
  <c r="E52" i="40" a="1"/>
  <c r="E47" i="40" a="1"/>
  <c r="E42" i="40" a="1"/>
  <c r="E45" i="40" a="1"/>
  <c r="E40" i="40" a="1"/>
  <c r="E35" i="40" a="1"/>
  <c r="E30" i="40" a="1"/>
  <c r="E33" i="40" a="1"/>
  <c r="E28" i="40" a="1"/>
  <c r="E23" i="40" a="1"/>
  <c r="E18" i="40" a="1"/>
  <c r="E21" i="40" a="1"/>
  <c r="E16" i="40" a="1"/>
  <c r="E11" i="40" a="1"/>
  <c r="E6" i="40" a="1"/>
  <c r="E9" i="40" a="1"/>
  <c r="E4" i="40" a="1"/>
  <c r="E9" i="45"/>
  <c r="E23" i="45" a="1"/>
  <c r="F30" i="45" a="1"/>
  <c r="E43" i="45" a="1"/>
  <c r="F50" i="45" a="1"/>
  <c r="E103" i="45"/>
  <c r="A462" i="5"/>
  <c r="S447" i="5"/>
  <c r="Z422" i="5"/>
  <c r="R392" i="5"/>
  <c r="A387" i="5"/>
  <c r="R377" i="5"/>
  <c r="A372" i="5"/>
  <c r="S357" i="5"/>
  <c r="Z332" i="5"/>
  <c r="R302" i="5"/>
  <c r="A297" i="5"/>
  <c r="R287" i="5"/>
  <c r="A282" i="5"/>
  <c r="S267" i="5"/>
  <c r="Z242" i="5"/>
  <c r="R212" i="5"/>
  <c r="A207" i="5"/>
  <c r="R197" i="5"/>
  <c r="A192" i="5"/>
  <c r="S177" i="5"/>
  <c r="Z152" i="5"/>
  <c r="R122" i="5"/>
  <c r="A117" i="5"/>
  <c r="R107" i="5"/>
  <c r="A102" i="5"/>
  <c r="S87" i="5"/>
  <c r="Z62" i="5"/>
  <c r="R32" i="5"/>
  <c r="A27" i="5"/>
  <c r="R17" i="5"/>
  <c r="A12" i="5"/>
  <c r="F9" i="45"/>
  <c r="F103" i="45"/>
  <c r="F75" i="45" a="1"/>
  <c r="E89" i="45" a="1"/>
  <c r="A454" i="5"/>
  <c r="R452" i="5"/>
  <c r="A446" i="5"/>
  <c r="S432" i="5"/>
  <c r="A431" i="5"/>
  <c r="Z407" i="5"/>
  <c r="V392" i="5"/>
  <c r="A364" i="5"/>
  <c r="R362" i="5"/>
  <c r="A356" i="5"/>
  <c r="S342" i="5"/>
  <c r="A341" i="5"/>
  <c r="Z317" i="5"/>
  <c r="V302" i="5"/>
  <c r="A274" i="5"/>
  <c r="R272" i="5"/>
  <c r="A266" i="5"/>
  <c r="S252" i="5"/>
  <c r="A251" i="5"/>
  <c r="Z227" i="5"/>
  <c r="V212" i="5"/>
  <c r="A184" i="5"/>
  <c r="R182" i="5"/>
  <c r="A176" i="5"/>
  <c r="S162" i="5"/>
  <c r="A161" i="5"/>
  <c r="Z137" i="5"/>
  <c r="V122" i="5"/>
  <c r="A94" i="5"/>
  <c r="R92" i="5"/>
  <c r="A86" i="5"/>
  <c r="S72" i="5"/>
  <c r="A71" i="5"/>
  <c r="Z47" i="5"/>
  <c r="V32" i="5"/>
  <c r="A4" i="5"/>
  <c r="R2" i="5"/>
  <c r="E254" i="40" a="1"/>
  <c r="E257" i="40" a="1"/>
  <c r="E252" i="40" a="1"/>
  <c r="E247" i="40" a="1"/>
  <c r="E242" i="40" a="1"/>
  <c r="E245" i="40" a="1"/>
  <c r="E240" i="40" a="1"/>
  <c r="E235" i="40" a="1"/>
  <c r="E230" i="40" a="1"/>
  <c r="E233" i="40" a="1"/>
  <c r="E228" i="40" a="1"/>
  <c r="E223" i="40" a="1"/>
  <c r="E218" i="40" a="1"/>
  <c r="E221" i="40" a="1"/>
  <c r="E216" i="40" a="1"/>
  <c r="E211" i="40" a="1"/>
  <c r="E206" i="40" a="1"/>
  <c r="E209" i="40" a="1"/>
  <c r="E204" i="40" a="1"/>
  <c r="E199" i="40" a="1"/>
  <c r="E194" i="40" a="1"/>
  <c r="E197" i="40" a="1"/>
  <c r="E192" i="40" a="1"/>
  <c r="E187" i="40" a="1"/>
  <c r="E182" i="40" a="1"/>
  <c r="E185" i="40" a="1"/>
  <c r="E180" i="40" a="1"/>
  <c r="E175" i="40" a="1"/>
  <c r="E170" i="40" a="1"/>
  <c r="E173" i="40" a="1"/>
  <c r="E168" i="40" a="1"/>
  <c r="E163" i="40" a="1"/>
  <c r="E158" i="40" a="1"/>
  <c r="E161" i="40" a="1"/>
  <c r="E156" i="40" a="1"/>
  <c r="E151" i="40" a="1"/>
  <c r="E146" i="40" a="1"/>
  <c r="E149" i="40" a="1"/>
  <c r="E144" i="40" a="1"/>
  <c r="E139" i="40" a="1"/>
  <c r="E134" i="40" a="1"/>
  <c r="E137" i="40" a="1"/>
  <c r="E132" i="40" a="1"/>
  <c r="E127" i="40" a="1"/>
  <c r="E122" i="40" a="1"/>
  <c r="E125" i="40" a="1"/>
  <c r="E120" i="40" a="1"/>
  <c r="E115" i="40" a="1"/>
  <c r="E110" i="40" a="1"/>
  <c r="E113" i="40" a="1"/>
  <c r="E108" i="40" a="1"/>
  <c r="E103" i="40" a="1"/>
  <c r="E98" i="40" a="1"/>
  <c r="E101" i="40" a="1"/>
  <c r="E96" i="40" a="1"/>
  <c r="E91" i="40" a="1"/>
  <c r="E86" i="40" a="1"/>
  <c r="E89" i="40" a="1"/>
  <c r="E84" i="40" a="1"/>
  <c r="E79" i="40" a="1"/>
  <c r="E74" i="40" a="1"/>
  <c r="E77" i="40" a="1"/>
  <c r="E72" i="40" a="1"/>
  <c r="E67" i="40" a="1"/>
  <c r="E62" i="40" a="1"/>
  <c r="E65" i="40" a="1"/>
  <c r="E60" i="40" a="1"/>
  <c r="E55" i="40" a="1"/>
  <c r="E50" i="40" a="1"/>
  <c r="E53" i="40" a="1"/>
  <c r="E48" i="40" a="1"/>
  <c r="E43" i="40" a="1"/>
  <c r="E38" i="40" a="1"/>
  <c r="E41" i="40" a="1"/>
  <c r="E36" i="40" a="1"/>
  <c r="E31" i="40" a="1"/>
  <c r="E26" i="40" a="1"/>
  <c r="E29" i="40" a="1"/>
  <c r="E24" i="40" a="1"/>
  <c r="E19" i="40" a="1"/>
  <c r="E14" i="40" a="1"/>
  <c r="E17" i="40" a="1"/>
  <c r="E12" i="40" a="1"/>
  <c r="E7" i="40" a="1"/>
  <c r="E2" i="40" a="1"/>
  <c r="E5" i="40" a="1"/>
  <c r="E16" i="45" a="1"/>
  <c r="F23" i="45" a="1"/>
  <c r="E36" i="45" a="1"/>
  <c r="F43" i="45" a="1"/>
  <c r="E57" i="45" a="1"/>
  <c r="E68" i="45"/>
  <c r="F96" i="45"/>
  <c r="E124" i="45" a="1"/>
  <c r="E82" i="45"/>
  <c r="E117" i="45" a="1"/>
  <c r="E110" i="45" a="1"/>
  <c r="F124" i="45" a="1"/>
  <c r="F117" i="45" a="1"/>
  <c r="F110" i="45" a="1"/>
  <c r="E96" i="45"/>
  <c r="F110" i="45" l="1"/>
  <c r="F117" i="45"/>
  <c r="F124" i="45"/>
  <c r="E110" i="45"/>
  <c r="E117" i="45"/>
  <c r="E124" i="45"/>
  <c r="E57" i="45"/>
  <c r="F43" i="45"/>
  <c r="E36" i="45"/>
  <c r="F23" i="45"/>
  <c r="E16" i="45"/>
  <c r="E5" i="40"/>
  <c r="E2" i="40"/>
  <c r="E7" i="40"/>
  <c r="E12" i="40"/>
  <c r="E17" i="40"/>
  <c r="E14" i="40"/>
  <c r="E19" i="40"/>
  <c r="E24" i="40"/>
  <c r="E29" i="40"/>
  <c r="E26" i="40"/>
  <c r="E31" i="40"/>
  <c r="E36" i="40"/>
  <c r="E41" i="40"/>
  <c r="E38" i="40"/>
  <c r="E43" i="40"/>
  <c r="E48" i="40"/>
  <c r="E53" i="40"/>
  <c r="E50" i="40"/>
  <c r="E55" i="40"/>
  <c r="E60" i="40"/>
  <c r="E65" i="40"/>
  <c r="E62" i="40"/>
  <c r="E67" i="40"/>
  <c r="E72" i="40"/>
  <c r="E77" i="40"/>
  <c r="E74" i="40"/>
  <c r="E79" i="40"/>
  <c r="E84" i="40"/>
  <c r="E89" i="40"/>
  <c r="E86" i="40"/>
  <c r="E91" i="40"/>
  <c r="E96" i="40"/>
  <c r="E101" i="40"/>
  <c r="E98" i="40"/>
  <c r="E103" i="40"/>
  <c r="E108" i="40"/>
  <c r="E113" i="40"/>
  <c r="E110" i="40"/>
  <c r="E115" i="40"/>
  <c r="E120" i="40"/>
  <c r="E125" i="40"/>
  <c r="E122" i="40"/>
  <c r="E127" i="40"/>
  <c r="E132" i="40"/>
  <c r="E137" i="40"/>
  <c r="E134" i="40"/>
  <c r="E139" i="40"/>
  <c r="E144" i="40"/>
  <c r="E149" i="40"/>
  <c r="E146" i="40"/>
  <c r="E151" i="40"/>
  <c r="E156" i="40"/>
  <c r="E161" i="40"/>
  <c r="E158" i="40"/>
  <c r="E163" i="40"/>
  <c r="E168" i="40"/>
  <c r="E173" i="40"/>
  <c r="E170" i="40"/>
  <c r="E175" i="40"/>
  <c r="E180" i="40"/>
  <c r="E185" i="40"/>
  <c r="E182" i="40"/>
  <c r="E187" i="40"/>
  <c r="E192" i="40"/>
  <c r="E197" i="40"/>
  <c r="E194" i="40"/>
  <c r="E199" i="40"/>
  <c r="E204" i="40"/>
  <c r="E209" i="40"/>
  <c r="E206" i="40"/>
  <c r="E211" i="40"/>
  <c r="E216" i="40"/>
  <c r="E221" i="40"/>
  <c r="E218" i="40"/>
  <c r="E223" i="40"/>
  <c r="E228" i="40"/>
  <c r="E233" i="40"/>
  <c r="E230" i="40"/>
  <c r="E235" i="40"/>
  <c r="E240" i="40"/>
  <c r="E245" i="40"/>
  <c r="E242" i="40"/>
  <c r="E247" i="40"/>
  <c r="E252" i="40"/>
  <c r="E257" i="40"/>
  <c r="E254" i="40"/>
  <c r="BF39" i="40"/>
  <c r="BF25" i="40"/>
  <c r="BF28" i="40"/>
  <c r="BF54" i="40"/>
  <c r="BF6" i="40"/>
  <c r="E89" i="45"/>
  <c r="F75" i="45"/>
  <c r="BF41" i="40"/>
  <c r="BF43" i="40"/>
  <c r="BF23" i="40"/>
  <c r="BF24" i="40"/>
  <c r="BF17" i="40"/>
  <c r="F50" i="45"/>
  <c r="E43" i="45"/>
  <c r="F30" i="45"/>
  <c r="E23" i="45"/>
  <c r="E4" i="40"/>
  <c r="E9" i="40"/>
  <c r="E6" i="40"/>
  <c r="E11" i="40"/>
  <c r="E16" i="40"/>
  <c r="E21" i="40"/>
  <c r="E18" i="40"/>
  <c r="E23" i="40"/>
  <c r="E28" i="40"/>
  <c r="E33" i="40"/>
  <c r="E30" i="40"/>
  <c r="E35" i="40"/>
  <c r="E40" i="40"/>
  <c r="E45" i="40"/>
  <c r="E42" i="40"/>
  <c r="E47" i="40"/>
  <c r="E52" i="40"/>
  <c r="E57" i="40"/>
  <c r="E54" i="40"/>
  <c r="E59" i="40"/>
  <c r="E64" i="40"/>
  <c r="E69" i="40"/>
  <c r="E66" i="40"/>
  <c r="E71" i="40"/>
  <c r="E76" i="40"/>
  <c r="E81" i="40"/>
  <c r="E78" i="40"/>
  <c r="E83" i="40"/>
  <c r="E88" i="40"/>
  <c r="E93" i="40"/>
  <c r="E90" i="40"/>
  <c r="E95" i="40"/>
  <c r="E100" i="40"/>
  <c r="E105" i="40"/>
  <c r="E102" i="40"/>
  <c r="E107" i="40"/>
  <c r="E112" i="40"/>
  <c r="E117" i="40"/>
  <c r="E114" i="40"/>
  <c r="E119" i="40"/>
  <c r="E124" i="40"/>
  <c r="E129" i="40"/>
  <c r="E126" i="40"/>
  <c r="E131" i="40"/>
  <c r="E136" i="40"/>
  <c r="E141" i="40"/>
  <c r="E138" i="40"/>
  <c r="E143" i="40"/>
  <c r="E148" i="40"/>
  <c r="E153" i="40"/>
  <c r="E150" i="40"/>
  <c r="E155" i="40"/>
  <c r="E160" i="40"/>
  <c r="E165" i="40"/>
  <c r="E162" i="40"/>
  <c r="E167" i="40"/>
  <c r="E172" i="40"/>
  <c r="E177" i="40"/>
  <c r="E174" i="40"/>
  <c r="E179" i="40"/>
  <c r="E184" i="40"/>
  <c r="E189" i="40"/>
  <c r="E186" i="40"/>
  <c r="E191" i="40"/>
  <c r="E196" i="40"/>
  <c r="E201" i="40"/>
  <c r="E198" i="40"/>
  <c r="E203" i="40"/>
  <c r="E208" i="40"/>
  <c r="E213" i="40"/>
  <c r="E210" i="40"/>
  <c r="E215" i="40"/>
  <c r="E220" i="40"/>
  <c r="E225" i="40"/>
  <c r="E222" i="40"/>
  <c r="E227" i="40"/>
  <c r="E232" i="40"/>
  <c r="E237" i="40"/>
  <c r="E234" i="40"/>
  <c r="E239" i="40"/>
  <c r="E244" i="40"/>
  <c r="E249" i="40"/>
  <c r="E246" i="40"/>
  <c r="E251" i="40"/>
  <c r="E256" i="40"/>
  <c r="E259" i="40"/>
  <c r="BF65" i="40"/>
  <c r="BF2" i="40"/>
  <c r="BF10" i="40"/>
  <c r="BF36" i="40"/>
  <c r="BF55" i="40"/>
  <c r="E75" i="45"/>
  <c r="F61" i="45"/>
  <c r="BF40" i="40"/>
  <c r="BF42" i="40"/>
  <c r="BF21" i="40"/>
  <c r="BF44" i="40"/>
  <c r="BF4" i="40"/>
  <c r="F57" i="45"/>
  <c r="E50" i="45"/>
  <c r="F36" i="45"/>
  <c r="E30" i="45"/>
  <c r="F16" i="45"/>
  <c r="E3" i="40"/>
  <c r="E8" i="40"/>
  <c r="E13" i="40"/>
  <c r="E10" i="40"/>
  <c r="E15" i="40"/>
  <c r="E20" i="40"/>
  <c r="E25" i="40"/>
  <c r="E22" i="40"/>
  <c r="E27" i="40"/>
  <c r="E32" i="40"/>
  <c r="E37" i="40"/>
  <c r="E34" i="40"/>
  <c r="E39" i="40"/>
  <c r="E44" i="40"/>
  <c r="E49" i="40"/>
  <c r="E46" i="40"/>
  <c r="E51" i="40"/>
  <c r="E56" i="40"/>
  <c r="E61" i="40"/>
  <c r="E58" i="40"/>
  <c r="E63" i="40"/>
  <c r="E68" i="40"/>
  <c r="E73" i="40"/>
  <c r="E70" i="40"/>
  <c r="E75" i="40"/>
  <c r="E80" i="40"/>
  <c r="E85" i="40"/>
  <c r="E82" i="40"/>
  <c r="E87" i="40"/>
  <c r="E92" i="40"/>
  <c r="E97" i="40"/>
  <c r="E94" i="40"/>
  <c r="E99" i="40"/>
  <c r="E104" i="40"/>
  <c r="E109" i="40"/>
  <c r="E106" i="40"/>
  <c r="E111" i="40"/>
  <c r="E116" i="40"/>
  <c r="E121" i="40"/>
  <c r="E118" i="40"/>
  <c r="E123" i="40"/>
  <c r="E128" i="40"/>
  <c r="E133" i="40"/>
  <c r="E130" i="40"/>
  <c r="E135" i="40"/>
  <c r="E140" i="40"/>
  <c r="E145" i="40"/>
  <c r="E142" i="40"/>
  <c r="E147" i="40"/>
  <c r="E152" i="40"/>
  <c r="E157" i="40"/>
  <c r="E154" i="40"/>
  <c r="E159" i="40"/>
  <c r="E164" i="40"/>
  <c r="E169" i="40"/>
  <c r="E166" i="40"/>
  <c r="E171" i="40"/>
  <c r="E176" i="40"/>
  <c r="E181" i="40"/>
  <c r="E178" i="40"/>
  <c r="E183" i="40"/>
  <c r="E188" i="40"/>
  <c r="E193" i="40"/>
  <c r="E190" i="40"/>
  <c r="E195" i="40"/>
  <c r="E200" i="40"/>
  <c r="E205" i="40"/>
  <c r="E202" i="40"/>
  <c r="E207" i="40"/>
  <c r="E212" i="40"/>
  <c r="E217" i="40"/>
  <c r="E214" i="40"/>
  <c r="E219" i="40"/>
  <c r="E224" i="40"/>
  <c r="E229" i="40"/>
  <c r="E226" i="40"/>
  <c r="E231" i="40"/>
  <c r="E236" i="40"/>
  <c r="E241" i="40"/>
  <c r="E238" i="40"/>
  <c r="E243" i="40"/>
  <c r="E248" i="40"/>
  <c r="E253" i="40"/>
  <c r="E250" i="40"/>
  <c r="E255" i="40"/>
  <c r="E258" i="40"/>
  <c r="BF33" i="40"/>
  <c r="BF35" i="40"/>
  <c r="BF22" i="40"/>
  <c r="BF49" i="40"/>
  <c r="BF47" i="40"/>
  <c r="F89" i="45"/>
  <c r="E61" i="45"/>
  <c r="BF19" i="40"/>
  <c r="BF20" i="40"/>
  <c r="BF53" i="40"/>
  <c r="BF56" i="40"/>
  <c r="BF69" i="40"/>
  <c r="BF31" i="40"/>
  <c r="BF15" i="40"/>
  <c r="BF63" i="40"/>
  <c r="BF34" i="40"/>
  <c r="BF51" i="40"/>
  <c r="BF59" i="40"/>
  <c r="BF3" i="40"/>
  <c r="BF62" i="40"/>
  <c r="BF5" i="40"/>
  <c r="BF16" i="40"/>
  <c r="BF52" i="40"/>
  <c r="BF57" i="40"/>
  <c r="BF45" i="40"/>
  <c r="BF11" i="40"/>
  <c r="BF7" i="40"/>
  <c r="BF8" i="40"/>
  <c r="BF13" i="40"/>
  <c r="BF12" i="40"/>
  <c r="BF32" i="40"/>
  <c r="BF38" i="40"/>
  <c r="BF66" i="40"/>
  <c r="BF60" i="40"/>
  <c r="BF9" i="40"/>
  <c r="BF30" i="40"/>
  <c r="BF46" i="40"/>
  <c r="BF64" i="40"/>
  <c r="BF50" i="40"/>
  <c r="BF48" i="40"/>
  <c r="BF18" i="40"/>
  <c r="BF67" i="40"/>
  <c r="BF27" i="40"/>
  <c r="BF61" i="40"/>
  <c r="BF58" i="40"/>
  <c r="BF68" i="40"/>
  <c r="BF37" i="40"/>
  <c r="BF26" i="40"/>
  <c r="BF70" i="40"/>
  <c r="BF14" i="40"/>
  <c r="BF29" i="40"/>
  <c r="F8" i="45"/>
  <c r="F29" i="45"/>
  <c r="F42" i="45"/>
  <c r="F81" i="45"/>
  <c r="F35" i="45"/>
  <c r="F49" i="45"/>
  <c r="F67" i="45"/>
  <c r="F95" i="45"/>
  <c r="F109" i="45"/>
  <c r="F116" i="45"/>
  <c r="F130" i="45"/>
  <c r="F22" i="45"/>
  <c r="F56" i="45"/>
  <c r="F74" i="45"/>
  <c r="F88" i="45"/>
  <c r="F123" i="45"/>
  <c r="AZ138" i="40"/>
  <c r="AZ153" i="40"/>
  <c r="AZ161" i="40"/>
  <c r="AZ162" i="40"/>
  <c r="AZ183" i="40"/>
  <c r="AZ199" i="40"/>
  <c r="AZ205" i="40"/>
  <c r="AZ132" i="40"/>
  <c r="AZ135" i="40"/>
  <c r="AZ170" i="40"/>
  <c r="AZ176" i="40"/>
  <c r="AZ196" i="40"/>
  <c r="AZ204" i="40"/>
  <c r="AZ130" i="40"/>
  <c r="AZ127" i="40"/>
  <c r="AL226" i="40"/>
  <c r="AL155" i="40"/>
  <c r="AL139" i="40"/>
  <c r="AL145" i="40"/>
  <c r="AL177" i="40"/>
  <c r="AL187" i="40"/>
  <c r="AL195" i="40"/>
  <c r="AL200" i="40"/>
  <c r="AL171" i="40"/>
  <c r="AL174" i="40"/>
  <c r="AL197" i="40"/>
  <c r="AS166" i="40"/>
  <c r="AS177" i="40"/>
  <c r="AS180" i="40"/>
  <c r="AS187" i="40"/>
  <c r="AS190" i="40"/>
  <c r="AS195" i="40"/>
  <c r="AS200" i="40"/>
  <c r="AS205" i="40"/>
  <c r="AS212" i="40"/>
  <c r="AS218" i="40"/>
  <c r="AS221" i="40"/>
  <c r="AS231" i="40"/>
  <c r="AS234" i="40"/>
  <c r="AS256" i="40"/>
  <c r="AS227" i="40"/>
  <c r="AS230" i="40"/>
  <c r="AS233" i="40"/>
  <c r="AS236" i="40"/>
  <c r="AS165" i="40"/>
  <c r="AS170" i="40"/>
  <c r="AS173" i="40"/>
  <c r="AS176" i="40"/>
  <c r="AS202" i="40"/>
  <c r="AS204" i="40"/>
  <c r="AS214" i="40"/>
  <c r="AS217" i="40"/>
  <c r="AS223" i="40"/>
  <c r="AS175" i="40"/>
  <c r="AS178" i="40"/>
  <c r="AS198" i="40"/>
  <c r="AS201" i="40"/>
  <c r="AS203" i="40"/>
  <c r="AS222" i="40"/>
  <c r="AS229" i="40"/>
  <c r="AS142" i="40"/>
  <c r="AS148" i="40"/>
  <c r="AS151" i="40"/>
  <c r="AS171" i="40"/>
  <c r="AS174" i="40"/>
  <c r="AS184" i="40"/>
  <c r="AS197" i="40"/>
  <c r="AS209" i="40"/>
  <c r="AS215" i="40"/>
  <c r="AS129" i="40"/>
  <c r="AS138" i="40"/>
  <c r="AS141" i="40"/>
  <c r="AS147" i="40"/>
  <c r="AS153" i="40"/>
  <c r="AS156" i="40"/>
  <c r="AS158" i="40"/>
  <c r="AS162" i="40"/>
  <c r="AS179" i="40"/>
  <c r="AS181" i="40"/>
  <c r="AS199" i="40"/>
  <c r="AS208" i="40"/>
  <c r="AS169" i="40"/>
  <c r="AS172" i="40"/>
  <c r="AS185" i="40"/>
  <c r="AS188" i="40"/>
  <c r="AS191" i="40"/>
  <c r="AS207" i="40"/>
  <c r="AS210" i="40"/>
  <c r="AS219" i="40"/>
  <c r="AS232" i="40"/>
  <c r="AS235" i="40"/>
  <c r="O157" i="40"/>
  <c r="AK156" i="40"/>
  <c r="AL156" i="40" s="1"/>
  <c r="H155" i="40"/>
  <c r="BH153" i="40"/>
  <c r="AK153" i="40"/>
  <c r="AL153" i="40" s="1"/>
  <c r="O151" i="40"/>
  <c r="BH144" i="40"/>
  <c r="AQ144" i="40"/>
  <c r="AR144" i="40" s="1"/>
  <c r="AS144" i="40" s="1"/>
  <c r="O142" i="40"/>
  <c r="AK141" i="40"/>
  <c r="AL141" i="40" s="1"/>
  <c r="BH138" i="40"/>
  <c r="AK138" i="40"/>
  <c r="AL138" i="40" s="1"/>
  <c r="H138" i="40"/>
  <c r="AQ135" i="40"/>
  <c r="AR135" i="40" s="1"/>
  <c r="AS135" i="40" s="1"/>
  <c r="O133" i="40"/>
  <c r="H132" i="40"/>
  <c r="O130" i="40"/>
  <c r="BH129" i="40"/>
  <c r="AK129" i="40"/>
  <c r="AL129" i="40" s="1"/>
  <c r="O259" i="40"/>
  <c r="P195" i="40" s="1"/>
  <c r="Q195" i="40" s="1"/>
  <c r="AD91" i="40"/>
  <c r="AE91" i="40" s="1"/>
  <c r="AD78" i="40"/>
  <c r="AE78" i="40" s="1"/>
  <c r="AD77" i="40"/>
  <c r="AE77" i="40" s="1"/>
  <c r="AS75" i="40"/>
  <c r="AD74" i="40"/>
  <c r="AE74" i="40" s="1"/>
  <c r="AS65" i="40"/>
  <c r="AS64" i="40"/>
  <c r="AS61" i="40"/>
  <c r="AS58" i="40"/>
  <c r="AS43" i="40"/>
  <c r="AS30" i="40"/>
  <c r="AS28" i="40"/>
  <c r="AS23" i="40"/>
  <c r="AY14" i="40"/>
  <c r="AZ14" i="40" s="1"/>
  <c r="BH163" i="40"/>
  <c r="H162" i="40"/>
  <c r="O160" i="40"/>
  <c r="P160" i="40" s="1"/>
  <c r="Q160" i="40" s="1"/>
  <c r="H154" i="40"/>
  <c r="BH151" i="40"/>
  <c r="AK151" i="40"/>
  <c r="AL151" i="40" s="1"/>
  <c r="BH148" i="40"/>
  <c r="O146" i="40"/>
  <c r="P146" i="40" s="1"/>
  <c r="Q146" i="40" s="1"/>
  <c r="BH145" i="40"/>
  <c r="AQ145" i="40"/>
  <c r="AR145" i="40" s="1"/>
  <c r="AS145" i="40" s="1"/>
  <c r="H145" i="40"/>
  <c r="O143" i="40"/>
  <c r="P143" i="40" s="1"/>
  <c r="Q143" i="40" s="1"/>
  <c r="AK142" i="40"/>
  <c r="AL142" i="40" s="1"/>
  <c r="O140" i="40"/>
  <c r="P140" i="40" s="1"/>
  <c r="Q140" i="40" s="1"/>
  <c r="AQ139" i="40"/>
  <c r="AR139" i="40" s="1"/>
  <c r="AS139" i="40" s="1"/>
  <c r="H139" i="40"/>
  <c r="BH136" i="40"/>
  <c r="O134" i="40"/>
  <c r="P134" i="40" s="1"/>
  <c r="Q134" i="40" s="1"/>
  <c r="BH133" i="40"/>
  <c r="AK133" i="40"/>
  <c r="AL133" i="40" s="1"/>
  <c r="BH130" i="40"/>
  <c r="BI130" i="40" s="1"/>
  <c r="BJ130" i="40" s="1"/>
  <c r="BH181" i="40"/>
  <c r="BI161" i="40" s="1"/>
  <c r="BJ161" i="40" s="1"/>
  <c r="AQ127" i="40"/>
  <c r="AR127" i="40" s="1"/>
  <c r="AS127" i="40" s="1"/>
  <c r="O127" i="40"/>
  <c r="P127" i="40" s="1"/>
  <c r="Q127" i="40" s="1"/>
  <c r="H181" i="40"/>
  <c r="AD108" i="40"/>
  <c r="AE108" i="40" s="1"/>
  <c r="AD102" i="40"/>
  <c r="AE102" i="40" s="1"/>
  <c r="AD99" i="40"/>
  <c r="AE99" i="40" s="1"/>
  <c r="AS98" i="40"/>
  <c r="AD98" i="40"/>
  <c r="AE98" i="40" s="1"/>
  <c r="AD96" i="40"/>
  <c r="AE96" i="40" s="1"/>
  <c r="AD90" i="40"/>
  <c r="AE90" i="40" s="1"/>
  <c r="AD88" i="40"/>
  <c r="AE88" i="40" s="1"/>
  <c r="AD84" i="40"/>
  <c r="AE84" i="40" s="1"/>
  <c r="AS80" i="40"/>
  <c r="AS79" i="40"/>
  <c r="AS67" i="40"/>
  <c r="AS53" i="40"/>
  <c r="AZ45" i="40"/>
  <c r="AZ41" i="40"/>
  <c r="AS39" i="40"/>
  <c r="AS33" i="40"/>
  <c r="AZ32" i="40"/>
  <c r="AZ29" i="40"/>
  <c r="AZ26" i="40"/>
  <c r="AZ21" i="40"/>
  <c r="AZ4" i="40"/>
  <c r="AY2" i="40"/>
  <c r="AZ2" i="40" s="1"/>
  <c r="P14" i="40"/>
  <c r="P15" i="40"/>
  <c r="P20" i="40"/>
  <c r="P23" i="40"/>
  <c r="P26" i="40"/>
  <c r="P32" i="40"/>
  <c r="P34" i="40"/>
  <c r="P41" i="40"/>
  <c r="P49" i="40"/>
  <c r="P55" i="40"/>
  <c r="P58" i="40"/>
  <c r="P61" i="40"/>
  <c r="P64" i="40"/>
  <c r="P68" i="40"/>
  <c r="P13" i="40"/>
  <c r="P70" i="40"/>
  <c r="P6" i="40"/>
  <c r="P10" i="40"/>
  <c r="P17" i="40"/>
  <c r="P25" i="40"/>
  <c r="P28" i="40"/>
  <c r="P31" i="40"/>
  <c r="P36" i="40"/>
  <c r="P45" i="40"/>
  <c r="P48" i="40"/>
  <c r="P54" i="40"/>
  <c r="P57" i="40"/>
  <c r="P63" i="40"/>
  <c r="O161" i="40"/>
  <c r="P161" i="40" s="1"/>
  <c r="Q161" i="40" s="1"/>
  <c r="O158" i="40"/>
  <c r="P158" i="40" s="1"/>
  <c r="Q158" i="40" s="1"/>
  <c r="AQ157" i="40"/>
  <c r="AR157" i="40" s="1"/>
  <c r="AS157" i="40" s="1"/>
  <c r="BH155" i="40"/>
  <c r="BI155" i="40" s="1"/>
  <c r="BJ155" i="40" s="1"/>
  <c r="AQ155" i="40"/>
  <c r="AR155" i="40" s="1"/>
  <c r="AS155" i="40" s="1"/>
  <c r="O155" i="40"/>
  <c r="P155" i="40" s="1"/>
  <c r="Q155" i="40" s="1"/>
  <c r="AQ154" i="40"/>
  <c r="AR154" i="40" s="1"/>
  <c r="AS154" i="40" s="1"/>
  <c r="AQ152" i="40"/>
  <c r="AR152" i="40" s="1"/>
  <c r="AS152" i="40" s="1"/>
  <c r="H152" i="40"/>
  <c r="I152" i="40" s="1"/>
  <c r="J152" i="40" s="1"/>
  <c r="AQ149" i="40"/>
  <c r="AR149" i="40" s="1"/>
  <c r="AS149" i="40" s="1"/>
  <c r="H149" i="40"/>
  <c r="I149" i="40" s="1"/>
  <c r="J149" i="40" s="1"/>
  <c r="O147" i="40"/>
  <c r="P147" i="40" s="1"/>
  <c r="Q147" i="40" s="1"/>
  <c r="BH146" i="40"/>
  <c r="BI146" i="40" s="1"/>
  <c r="BJ146" i="40" s="1"/>
  <c r="O144" i="40"/>
  <c r="P144" i="40" s="1"/>
  <c r="Q144" i="40" s="1"/>
  <c r="BH143" i="40"/>
  <c r="BI143" i="40" s="1"/>
  <c r="BJ143" i="40" s="1"/>
  <c r="BH140" i="40"/>
  <c r="BI140" i="40" s="1"/>
  <c r="BJ140" i="40" s="1"/>
  <c r="O138" i="40"/>
  <c r="P138" i="40" s="1"/>
  <c r="Q138" i="40" s="1"/>
  <c r="AQ137" i="40"/>
  <c r="AR137" i="40" s="1"/>
  <c r="AS137" i="40" s="1"/>
  <c r="H137" i="40"/>
  <c r="I137" i="40" s="1"/>
  <c r="J137" i="40" s="1"/>
  <c r="O135" i="40"/>
  <c r="P135" i="40" s="1"/>
  <c r="Q135" i="40" s="1"/>
  <c r="BH134" i="40"/>
  <c r="BI134" i="40" s="1"/>
  <c r="BJ134" i="40" s="1"/>
  <c r="AQ134" i="40"/>
  <c r="AR134" i="40" s="1"/>
  <c r="AS134" i="40" s="1"/>
  <c r="O132" i="40"/>
  <c r="P132" i="40" s="1"/>
  <c r="Q132" i="40" s="1"/>
  <c r="AQ131" i="40"/>
  <c r="AR131" i="40" s="1"/>
  <c r="AS131" i="40" s="1"/>
  <c r="H131" i="40"/>
  <c r="I131" i="40" s="1"/>
  <c r="J131" i="40" s="1"/>
  <c r="AQ128" i="40"/>
  <c r="AR128" i="40" s="1"/>
  <c r="AS128" i="40" s="1"/>
  <c r="H128" i="40"/>
  <c r="I128" i="40" s="1"/>
  <c r="J128" i="40" s="1"/>
  <c r="BH127" i="40"/>
  <c r="BI127" i="40" s="1"/>
  <c r="BJ127" i="40" s="1"/>
  <c r="H127" i="40"/>
  <c r="I127" i="40" s="1"/>
  <c r="J127" i="40" s="1"/>
  <c r="AS91" i="40"/>
  <c r="AD89" i="40"/>
  <c r="AE89" i="40" s="1"/>
  <c r="AS88" i="40"/>
  <c r="AD87" i="40"/>
  <c r="AE87" i="40" s="1"/>
  <c r="AS86" i="40"/>
  <c r="AD80" i="40"/>
  <c r="AE80" i="40" s="1"/>
  <c r="AD75" i="40"/>
  <c r="AE75" i="40" s="1"/>
  <c r="AZ56" i="40"/>
  <c r="AS52" i="40"/>
  <c r="AZ49" i="40"/>
  <c r="AZ44" i="40"/>
  <c r="AS41" i="40"/>
  <c r="AZ35" i="40"/>
  <c r="AS32" i="40"/>
  <c r="AZ27" i="40"/>
  <c r="AS26" i="40"/>
  <c r="AS21" i="40"/>
  <c r="AS18" i="40"/>
  <c r="AY15" i="40"/>
  <c r="AZ15" i="40" s="1"/>
  <c r="AY20" i="40"/>
  <c r="AZ20" i="40" s="1"/>
  <c r="AY37" i="40"/>
  <c r="AZ37" i="40" s="1"/>
  <c r="AY43" i="40"/>
  <c r="AZ43" i="40" s="1"/>
  <c r="AY66" i="40"/>
  <c r="AZ66" i="40" s="1"/>
  <c r="AY3" i="40"/>
  <c r="AZ3" i="40" s="1"/>
  <c r="AY7" i="40"/>
  <c r="AZ7" i="40" s="1"/>
  <c r="AY9" i="40"/>
  <c r="AZ9" i="40" s="1"/>
  <c r="AY6" i="40"/>
  <c r="AZ6" i="40" s="1"/>
  <c r="AY13" i="40"/>
  <c r="AZ13" i="40" s="1"/>
  <c r="AY19" i="40"/>
  <c r="AZ19" i="40" s="1"/>
  <c r="AY22" i="40"/>
  <c r="AZ22" i="40" s="1"/>
  <c r="AY31" i="40"/>
  <c r="AZ31" i="40" s="1"/>
  <c r="AY36" i="40"/>
  <c r="AZ36" i="40" s="1"/>
  <c r="AY40" i="40"/>
  <c r="AZ40" i="40" s="1"/>
  <c r="AY48" i="40"/>
  <c r="AZ48" i="40" s="1"/>
  <c r="AY54" i="40"/>
  <c r="AZ54" i="40" s="1"/>
  <c r="AY57" i="40"/>
  <c r="AZ57" i="40" s="1"/>
  <c r="AY67" i="40"/>
  <c r="AZ67" i="40" s="1"/>
  <c r="AL2" i="40"/>
  <c r="P7" i="40"/>
  <c r="Q7" i="40" s="1"/>
  <c r="AD83" i="40"/>
  <c r="AE83" i="40" s="1"/>
  <c r="AD72" i="40"/>
  <c r="AE72" i="40" s="1"/>
  <c r="AD76" i="40"/>
  <c r="AE76" i="40" s="1"/>
  <c r="AD85" i="40"/>
  <c r="AE85" i="40" s="1"/>
  <c r="AZ69" i="40"/>
  <c r="Q62" i="40"/>
  <c r="Q38" i="40"/>
  <c r="Q37" i="40"/>
  <c r="Q30" i="40"/>
  <c r="Q27" i="40"/>
  <c r="Q18" i="40"/>
  <c r="AZ12" i="40"/>
  <c r="AZ10" i="40"/>
  <c r="AZ8" i="40"/>
  <c r="AZ5" i="40"/>
  <c r="Q5" i="40"/>
  <c r="BH139" i="40"/>
  <c r="BI139" i="40" s="1"/>
  <c r="BJ139" i="40" s="1"/>
  <c r="O137" i="40"/>
  <c r="P137" i="40" s="1"/>
  <c r="Q137" i="40" s="1"/>
  <c r="AQ133" i="40"/>
  <c r="AR133" i="40" s="1"/>
  <c r="AS133" i="40" s="1"/>
  <c r="O131" i="40"/>
  <c r="P131" i="40" s="1"/>
  <c r="Q131" i="40" s="1"/>
  <c r="O128" i="40"/>
  <c r="P128" i="40" s="1"/>
  <c r="Q128" i="40" s="1"/>
  <c r="AD82" i="40"/>
  <c r="AE82" i="40" s="1"/>
  <c r="AZ68" i="40"/>
  <c r="AZ55" i="40"/>
  <c r="Q53" i="40"/>
  <c r="AZ51" i="40"/>
  <c r="AZ46" i="40"/>
  <c r="AZ42" i="40"/>
  <c r="AZ34" i="40"/>
  <c r="Q16" i="40"/>
  <c r="Q11" i="40"/>
  <c r="Q9" i="40"/>
  <c r="BH172" i="40"/>
  <c r="BI172" i="40" s="1"/>
  <c r="BJ172" i="40" s="1"/>
  <c r="O165" i="40"/>
  <c r="P165" i="40" s="1"/>
  <c r="Q165" i="40" s="1"/>
  <c r="AQ164" i="40"/>
  <c r="AR164" i="40" s="1"/>
  <c r="AS164" i="40" s="1"/>
  <c r="BH157" i="40"/>
  <c r="BI157" i="40" s="1"/>
  <c r="BJ157" i="40" s="1"/>
  <c r="O156" i="40"/>
  <c r="P156" i="40" s="1"/>
  <c r="Q156" i="40" s="1"/>
  <c r="BH154" i="40"/>
  <c r="BI154" i="40" s="1"/>
  <c r="BJ154" i="40" s="1"/>
  <c r="O153" i="40"/>
  <c r="P153" i="40" s="1"/>
  <c r="Q153" i="40" s="1"/>
  <c r="BH152" i="40"/>
  <c r="BI152" i="40" s="1"/>
  <c r="BJ152" i="40" s="1"/>
  <c r="O150" i="40"/>
  <c r="P150" i="40" s="1"/>
  <c r="Q150" i="40" s="1"/>
  <c r="BH149" i="40"/>
  <c r="BI149" i="40" s="1"/>
  <c r="BJ149" i="40" s="1"/>
  <c r="AQ146" i="40"/>
  <c r="AR146" i="40" s="1"/>
  <c r="AS146" i="40" s="1"/>
  <c r="AQ143" i="40"/>
  <c r="AR143" i="40" s="1"/>
  <c r="AS143" i="40" s="1"/>
  <c r="H143" i="40"/>
  <c r="I143" i="40" s="1"/>
  <c r="J143" i="40" s="1"/>
  <c r="O141" i="40"/>
  <c r="P141" i="40" s="1"/>
  <c r="Q141" i="40" s="1"/>
  <c r="AQ140" i="40"/>
  <c r="AR140" i="40" s="1"/>
  <c r="AS140" i="40" s="1"/>
  <c r="BH137" i="40"/>
  <c r="BI137" i="40" s="1"/>
  <c r="BJ137" i="40" s="1"/>
  <c r="BH131" i="40"/>
  <c r="BI131" i="40" s="1"/>
  <c r="BJ131" i="40" s="1"/>
  <c r="AX129" i="40"/>
  <c r="AY129" i="40" s="1"/>
  <c r="AZ129" i="40" s="1"/>
  <c r="AS87" i="40"/>
  <c r="AD86" i="40"/>
  <c r="AE86" i="40" s="1"/>
  <c r="AS84" i="40"/>
  <c r="AD81" i="40"/>
  <c r="AE81" i="40" s="1"/>
  <c r="AZ80" i="40"/>
  <c r="AZ77" i="40"/>
  <c r="AZ74" i="40"/>
  <c r="AZ71" i="40"/>
  <c r="AS68" i="40"/>
  <c r="Q67" i="40"/>
  <c r="AZ65" i="40"/>
  <c r="AZ58" i="40"/>
  <c r="AS55" i="40"/>
  <c r="Q52" i="40"/>
  <c r="AS51" i="40"/>
  <c r="Q50" i="40"/>
  <c r="AZ47" i="40"/>
  <c r="AS46" i="40"/>
  <c r="Q43" i="40"/>
  <c r="AS42" i="40"/>
  <c r="AS34" i="40"/>
  <c r="AZ28" i="40"/>
  <c r="AZ23" i="40"/>
  <c r="AL12" i="40"/>
  <c r="AY11" i="40"/>
  <c r="AZ11" i="40" s="1"/>
  <c r="AL10" i="40"/>
  <c r="AS7" i="40"/>
  <c r="AL5" i="40"/>
  <c r="AS3" i="40"/>
  <c r="AR4" i="40"/>
  <c r="AS4" i="40" s="1"/>
  <c r="AR13" i="40"/>
  <c r="AS13" i="40" s="1"/>
  <c r="AR19" i="40"/>
  <c r="AS19" i="40" s="1"/>
  <c r="AR22" i="40"/>
  <c r="AS22" i="40" s="1"/>
  <c r="AR31" i="40"/>
  <c r="AS31" i="40" s="1"/>
  <c r="AR36" i="40"/>
  <c r="AS36" i="40" s="1"/>
  <c r="AR40" i="40"/>
  <c r="AS40" i="40" s="1"/>
  <c r="AR48" i="40"/>
  <c r="AS48" i="40" s="1"/>
  <c r="AR54" i="40"/>
  <c r="AS54" i="40" s="1"/>
  <c r="AR57" i="40"/>
  <c r="AS57" i="40" s="1"/>
  <c r="AR60" i="40"/>
  <c r="AS60" i="40" s="1"/>
  <c r="AR12" i="40"/>
  <c r="AS12" i="40" s="1"/>
  <c r="AR16" i="40"/>
  <c r="AS16" i="40" s="1"/>
  <c r="AR14" i="40"/>
  <c r="AS14" i="40" s="1"/>
  <c r="AR66" i="40"/>
  <c r="AS66" i="40" s="1"/>
  <c r="AR5" i="40"/>
  <c r="AS5" i="40" s="1"/>
  <c r="AR9" i="40"/>
  <c r="AS9" i="40" s="1"/>
  <c r="AR24" i="40"/>
  <c r="AS24" i="40" s="1"/>
  <c r="AR27" i="40"/>
  <c r="AS27" i="40" s="1"/>
  <c r="AR35" i="40"/>
  <c r="AS35" i="40" s="1"/>
  <c r="AR44" i="40"/>
  <c r="AS44" i="40" s="1"/>
  <c r="AR47" i="40"/>
  <c r="AS47" i="40" s="1"/>
  <c r="AR50" i="40"/>
  <c r="AS50" i="40" s="1"/>
  <c r="AR56" i="40"/>
  <c r="AS56" i="40" s="1"/>
  <c r="AR62" i="40"/>
  <c r="AS62" i="40" s="1"/>
  <c r="AC9" i="40"/>
  <c r="AD68" i="40" s="1"/>
  <c r="AQ77" i="40"/>
  <c r="AR77" i="40" s="1"/>
  <c r="AS77" i="40" s="1"/>
  <c r="AX76" i="40"/>
  <c r="AY76" i="40" s="1"/>
  <c r="AZ76" i="40" s="1"/>
  <c r="O75" i="40"/>
  <c r="P75" i="40" s="1"/>
  <c r="Q75" i="40" s="1"/>
  <c r="AQ74" i="40"/>
  <c r="AR74" i="40" s="1"/>
  <c r="AS74" i="40" s="1"/>
  <c r="AC73" i="40"/>
  <c r="AD73" i="40" s="1"/>
  <c r="AE73" i="40" s="1"/>
  <c r="AC2" i="40"/>
  <c r="AD2" i="40" s="1"/>
  <c r="O2" i="40"/>
  <c r="P2" i="40" s="1"/>
  <c r="Q2" i="40" s="1"/>
  <c r="H66" i="40"/>
  <c r="BH76" i="40"/>
  <c r="BI76" i="40" s="1"/>
  <c r="AX75" i="40"/>
  <c r="AY75" i="40" s="1"/>
  <c r="AZ75" i="40" s="1"/>
  <c r="AQ2" i="40"/>
  <c r="AR2" i="40" s="1"/>
  <c r="AS2" i="40" s="1"/>
  <c r="BH75" i="40"/>
  <c r="BI75" i="40" s="1"/>
  <c r="AJ73" i="40"/>
  <c r="AK73" i="40" s="1"/>
  <c r="AL73" i="40" s="1"/>
  <c r="BH126" i="40"/>
  <c r="BI126" i="40" s="1"/>
  <c r="BJ97" i="40" s="1"/>
  <c r="AQ72" i="40"/>
  <c r="AR72" i="40" s="1"/>
  <c r="AS72" i="40" s="1"/>
  <c r="AJ80" i="40"/>
  <c r="AK80" i="40" s="1"/>
  <c r="H71" i="40"/>
  <c r="I71" i="40" s="1"/>
  <c r="J71" i="40" s="1"/>
  <c r="H3" i="40"/>
  <c r="I43" i="40" s="1"/>
  <c r="BH81" i="40"/>
  <c r="BI81" i="40" s="1"/>
  <c r="BJ81" i="40" s="1"/>
  <c r="BH79" i="40"/>
  <c r="BI79" i="40" s="1"/>
  <c r="BJ79" i="40" s="1"/>
  <c r="H78" i="40"/>
  <c r="I78" i="40" s="1"/>
  <c r="J78" i="40" s="1"/>
  <c r="AJ77" i="40"/>
  <c r="AK77" i="40" s="1"/>
  <c r="AL77" i="40" s="1"/>
  <c r="AQ76" i="40"/>
  <c r="AR76" i="40" s="1"/>
  <c r="AS76" i="40" s="1"/>
  <c r="AJ74" i="40"/>
  <c r="AK74" i="40" s="1"/>
  <c r="AL74" i="40" s="1"/>
  <c r="BH73" i="40"/>
  <c r="BI73" i="40" s="1"/>
  <c r="BJ73" i="40" s="1"/>
  <c r="G64" i="5"/>
  <c r="J70" i="5"/>
  <c r="I66" i="5"/>
  <c r="M67" i="5"/>
  <c r="I68" i="5"/>
  <c r="I72" i="5"/>
  <c r="N67" i="5"/>
  <c r="K63" i="5"/>
  <c r="G66" i="5"/>
  <c r="M63" i="5"/>
  <c r="F85" i="5"/>
  <c r="I87" i="5"/>
  <c r="M82" i="5"/>
  <c r="J78" i="5"/>
  <c r="F81" i="5"/>
  <c r="K78" i="5"/>
  <c r="J84" i="5"/>
  <c r="M80" i="5"/>
  <c r="G87" i="5"/>
  <c r="G83" i="5"/>
  <c r="N79" i="5"/>
  <c r="M86" i="5"/>
  <c r="I82" i="5"/>
  <c r="J83" i="5"/>
  <c r="G162" i="5"/>
  <c r="F159" i="5"/>
  <c r="M161" i="5"/>
  <c r="I157" i="5"/>
  <c r="N159" i="5"/>
  <c r="J155" i="5"/>
  <c r="I153" i="5"/>
  <c r="G159" i="5"/>
  <c r="K154" i="5"/>
  <c r="J161" i="5"/>
  <c r="G157" i="5"/>
  <c r="N158" i="5"/>
  <c r="N160" i="5"/>
  <c r="F153" i="5"/>
  <c r="M174" i="5"/>
  <c r="N174" i="5"/>
  <c r="J169" i="5"/>
  <c r="F172" i="5"/>
  <c r="M173" i="5"/>
  <c r="J176" i="5"/>
  <c r="M168" i="5"/>
  <c r="K174" i="5"/>
  <c r="N170" i="5"/>
  <c r="F174" i="5"/>
  <c r="F170" i="5"/>
  <c r="M249" i="5"/>
  <c r="N245" i="5"/>
  <c r="F250" i="5"/>
  <c r="G245" i="5"/>
  <c r="N251" i="5"/>
  <c r="M246" i="5"/>
  <c r="I244" i="5"/>
  <c r="G251" i="5"/>
  <c r="K245" i="5"/>
  <c r="N252" i="5"/>
  <c r="F244" i="5"/>
  <c r="N266" i="5"/>
  <c r="K265" i="5"/>
  <c r="J260" i="5"/>
  <c r="M267" i="5"/>
  <c r="G264" i="5"/>
  <c r="I260" i="5"/>
  <c r="F263" i="5"/>
  <c r="M259" i="5"/>
  <c r="I266" i="5"/>
  <c r="N258" i="5"/>
  <c r="I261" i="5"/>
  <c r="G258" i="5"/>
  <c r="G334" i="5"/>
  <c r="J340" i="5"/>
  <c r="I336" i="5"/>
  <c r="M337" i="5"/>
  <c r="I338" i="5"/>
  <c r="I342" i="5"/>
  <c r="N337" i="5"/>
  <c r="K333" i="5"/>
  <c r="G336" i="5"/>
  <c r="M333" i="5"/>
  <c r="F355" i="5"/>
  <c r="I357" i="5"/>
  <c r="M352" i="5"/>
  <c r="J348" i="5"/>
  <c r="F351" i="5"/>
  <c r="K348" i="5"/>
  <c r="J354" i="5"/>
  <c r="M350" i="5"/>
  <c r="G357" i="5"/>
  <c r="G353" i="5"/>
  <c r="N349" i="5"/>
  <c r="M356" i="5"/>
  <c r="I352" i="5"/>
  <c r="J353" i="5"/>
  <c r="G432" i="5"/>
  <c r="F429" i="5"/>
  <c r="M431" i="5"/>
  <c r="I427" i="5"/>
  <c r="N429" i="5"/>
  <c r="J425" i="5"/>
  <c r="I423" i="5"/>
  <c r="G429" i="5"/>
  <c r="K424" i="5"/>
  <c r="J431" i="5"/>
  <c r="G427" i="5"/>
  <c r="N428" i="5"/>
  <c r="N430" i="5"/>
  <c r="F423" i="5"/>
  <c r="M444" i="5"/>
  <c r="N444" i="5"/>
  <c r="J439" i="5"/>
  <c r="F442" i="5"/>
  <c r="M443" i="5"/>
  <c r="J446" i="5"/>
  <c r="M438" i="5"/>
  <c r="K444" i="5"/>
  <c r="N440" i="5"/>
  <c r="F444" i="5"/>
  <c r="F440" i="5"/>
  <c r="K10" i="5"/>
  <c r="J3" i="5"/>
  <c r="M10" i="5"/>
  <c r="K5" i="5"/>
  <c r="N12" i="5"/>
  <c r="M8" i="5"/>
  <c r="N10" i="5"/>
  <c r="F4" i="5"/>
  <c r="G10" i="5"/>
  <c r="J6" i="5"/>
  <c r="N3" i="5"/>
  <c r="J10" i="5"/>
  <c r="K6" i="5"/>
  <c r="K100" i="5"/>
  <c r="J93" i="5"/>
  <c r="M100" i="5"/>
  <c r="K95" i="5"/>
  <c r="N102" i="5"/>
  <c r="F103" i="5"/>
  <c r="M98" i="5"/>
  <c r="N100" i="5"/>
  <c r="F94" i="5"/>
  <c r="G100" i="5"/>
  <c r="J96" i="5"/>
  <c r="N93" i="5"/>
  <c r="J100" i="5"/>
  <c r="K96" i="5"/>
  <c r="K190" i="5"/>
  <c r="J183" i="5"/>
  <c r="M190" i="5"/>
  <c r="K185" i="5"/>
  <c r="N192" i="5"/>
  <c r="M188" i="5"/>
  <c r="N190" i="5"/>
  <c r="F184" i="5"/>
  <c r="G190" i="5"/>
  <c r="J186" i="5"/>
  <c r="N183" i="5"/>
  <c r="J190" i="5"/>
  <c r="K186" i="5"/>
  <c r="K280" i="5"/>
  <c r="J273" i="5"/>
  <c r="M280" i="5"/>
  <c r="K275" i="5"/>
  <c r="N282" i="5"/>
  <c r="M278" i="5"/>
  <c r="N280" i="5"/>
  <c r="F274" i="5"/>
  <c r="G280" i="5"/>
  <c r="J276" i="5"/>
  <c r="N273" i="5"/>
  <c r="J280" i="5"/>
  <c r="K276" i="5"/>
  <c r="K370" i="5"/>
  <c r="J363" i="5"/>
  <c r="M370" i="5"/>
  <c r="K365" i="5"/>
  <c r="N372" i="5"/>
  <c r="F373" i="5"/>
  <c r="M368" i="5"/>
  <c r="N370" i="5"/>
  <c r="F364" i="5"/>
  <c r="G370" i="5"/>
  <c r="J366" i="5"/>
  <c r="N363" i="5"/>
  <c r="J370" i="5"/>
  <c r="K366" i="5"/>
  <c r="N461" i="5"/>
  <c r="M460" i="5"/>
  <c r="G462" i="5"/>
  <c r="F461" i="5"/>
  <c r="I455" i="5"/>
  <c r="K454" i="5"/>
  <c r="F458" i="5"/>
  <c r="M454" i="5"/>
  <c r="G457" i="5"/>
  <c r="N454" i="5"/>
  <c r="G454" i="5"/>
  <c r="K456" i="5"/>
  <c r="I25" i="5"/>
  <c r="M23" i="5"/>
  <c r="F23" i="5"/>
  <c r="I20" i="5"/>
  <c r="K26" i="5"/>
  <c r="N18" i="5"/>
  <c r="H25" i="5"/>
  <c r="G19" i="5"/>
  <c r="J25" i="5"/>
  <c r="I21" i="5"/>
  <c r="M22" i="5"/>
  <c r="I23" i="5"/>
  <c r="H23" i="5" s="1"/>
  <c r="F38" i="5"/>
  <c r="M34" i="5"/>
  <c r="I41" i="5"/>
  <c r="N33" i="5"/>
  <c r="I36" i="5"/>
  <c r="G33" i="5"/>
  <c r="K42" i="5"/>
  <c r="F41" i="5"/>
  <c r="I34" i="5"/>
  <c r="M40" i="5"/>
  <c r="N36" i="5"/>
  <c r="K34" i="5"/>
  <c r="N111" i="5"/>
  <c r="J114" i="5"/>
  <c r="F111" i="5"/>
  <c r="G113" i="5"/>
  <c r="N109" i="5"/>
  <c r="G117" i="5"/>
  <c r="F114" i="5"/>
  <c r="M116" i="5"/>
  <c r="I112" i="5"/>
  <c r="N114" i="5"/>
  <c r="J110" i="5"/>
  <c r="I108" i="5"/>
  <c r="D108" i="5" s="1"/>
  <c r="J129" i="5"/>
  <c r="M125" i="5"/>
  <c r="G132" i="5"/>
  <c r="G128" i="5"/>
  <c r="N124" i="5"/>
  <c r="M131" i="5"/>
  <c r="I127" i="5"/>
  <c r="J128" i="5"/>
  <c r="J130" i="5"/>
  <c r="K126" i="5"/>
  <c r="I130" i="5"/>
  <c r="I128" i="5"/>
  <c r="N127" i="5"/>
  <c r="D128" i="5" a="1"/>
  <c r="M207" i="5"/>
  <c r="F207" i="5"/>
  <c r="M205" i="5"/>
  <c r="F202" i="5"/>
  <c r="M199" i="5"/>
  <c r="K204" i="5"/>
  <c r="M200" i="5"/>
  <c r="M204" i="5"/>
  <c r="N200" i="5"/>
  <c r="F205" i="5"/>
  <c r="G200" i="5"/>
  <c r="N206" i="5"/>
  <c r="M201" i="5"/>
  <c r="I199" i="5"/>
  <c r="D199" i="5" s="1"/>
  <c r="J221" i="5"/>
  <c r="M213" i="5"/>
  <c r="K219" i="5"/>
  <c r="N215" i="5"/>
  <c r="F219" i="5"/>
  <c r="F215" i="5"/>
  <c r="J222" i="5"/>
  <c r="K217" i="5"/>
  <c r="K218" i="5"/>
  <c r="G221" i="5"/>
  <c r="M216" i="5"/>
  <c r="K215" i="5"/>
  <c r="I213" i="5"/>
  <c r="I295" i="5"/>
  <c r="M293" i="5"/>
  <c r="F293" i="5"/>
  <c r="I290" i="5"/>
  <c r="K296" i="5"/>
  <c r="N288" i="5"/>
  <c r="H295" i="5"/>
  <c r="G289" i="5"/>
  <c r="J295" i="5"/>
  <c r="I291" i="5"/>
  <c r="K298" i="5"/>
  <c r="M292" i="5"/>
  <c r="I293" i="5"/>
  <c r="H293" i="5" s="1"/>
  <c r="N313" i="5"/>
  <c r="F308" i="5"/>
  <c r="M304" i="5"/>
  <c r="I311" i="5"/>
  <c r="N303" i="5"/>
  <c r="I306" i="5"/>
  <c r="G303" i="5"/>
  <c r="K312" i="5"/>
  <c r="F311" i="5"/>
  <c r="I304" i="5"/>
  <c r="M310" i="5"/>
  <c r="N306" i="5"/>
  <c r="K304" i="5"/>
  <c r="N381" i="5"/>
  <c r="J384" i="5"/>
  <c r="F381" i="5"/>
  <c r="G383" i="5"/>
  <c r="N379" i="5"/>
  <c r="G387" i="5"/>
  <c r="F384" i="5"/>
  <c r="M386" i="5"/>
  <c r="I382" i="5"/>
  <c r="N384" i="5"/>
  <c r="J380" i="5"/>
  <c r="I378" i="5"/>
  <c r="D378" i="5" s="1"/>
  <c r="J399" i="5"/>
  <c r="M395" i="5"/>
  <c r="G402" i="5"/>
  <c r="G398" i="5"/>
  <c r="N394" i="5"/>
  <c r="M401" i="5"/>
  <c r="I397" i="5"/>
  <c r="J398" i="5"/>
  <c r="J400" i="5"/>
  <c r="K396" i="5"/>
  <c r="I400" i="5"/>
  <c r="I398" i="5"/>
  <c r="N397" i="5"/>
  <c r="D398" i="5" a="1"/>
  <c r="N55" i="5"/>
  <c r="F49" i="5"/>
  <c r="G55" i="5"/>
  <c r="J51" i="5"/>
  <c r="N48" i="5"/>
  <c r="J55" i="5"/>
  <c r="K51" i="5"/>
  <c r="M52" i="5"/>
  <c r="M57" i="5"/>
  <c r="F57" i="5"/>
  <c r="I49" i="5"/>
  <c r="M48" i="5"/>
  <c r="N145" i="5"/>
  <c r="F139" i="5"/>
  <c r="G145" i="5"/>
  <c r="J141" i="5"/>
  <c r="N138" i="5"/>
  <c r="J145" i="5"/>
  <c r="K141" i="5"/>
  <c r="M142" i="5"/>
  <c r="M147" i="5"/>
  <c r="F147" i="5"/>
  <c r="I139" i="5"/>
  <c r="M138" i="5"/>
  <c r="N235" i="5"/>
  <c r="F229" i="5"/>
  <c r="G235" i="5"/>
  <c r="J231" i="5"/>
  <c r="N228" i="5"/>
  <c r="J235" i="5"/>
  <c r="K231" i="5"/>
  <c r="M232" i="5"/>
  <c r="M237" i="5"/>
  <c r="F237" i="5"/>
  <c r="I229" i="5"/>
  <c r="M228" i="5"/>
  <c r="N325" i="5"/>
  <c r="F319" i="5"/>
  <c r="G325" i="5"/>
  <c r="J321" i="5"/>
  <c r="N318" i="5"/>
  <c r="J325" i="5"/>
  <c r="K321" i="5"/>
  <c r="M322" i="5"/>
  <c r="M327" i="5"/>
  <c r="F327" i="5"/>
  <c r="I319" i="5"/>
  <c r="M318" i="5"/>
  <c r="N415" i="5"/>
  <c r="F409" i="5"/>
  <c r="G415" i="5"/>
  <c r="J411" i="5"/>
  <c r="N408" i="5"/>
  <c r="J415" i="5"/>
  <c r="K411" i="5"/>
  <c r="M412" i="5"/>
  <c r="M417" i="5"/>
  <c r="F417" i="5"/>
  <c r="I409" i="5"/>
  <c r="M408" i="5"/>
  <c r="I547" i="5"/>
  <c r="F551" i="5"/>
  <c r="I545" i="5"/>
  <c r="K544" i="5"/>
  <c r="J551" i="5"/>
  <c r="F547" i="5"/>
  <c r="I549" i="5"/>
  <c r="H549" i="5" s="1"/>
  <c r="F545" i="5"/>
  <c r="D549" i="5" a="1"/>
  <c r="G545" i="5"/>
  <c r="I637" i="5"/>
  <c r="F641" i="5"/>
  <c r="I635" i="5"/>
  <c r="M643" i="5"/>
  <c r="K634" i="5"/>
  <c r="J641" i="5"/>
  <c r="F637" i="5"/>
  <c r="I639" i="5"/>
  <c r="H639" i="5" s="1"/>
  <c r="F635" i="5"/>
  <c r="G643" i="5"/>
  <c r="D639" i="5" a="1"/>
  <c r="G635" i="5"/>
  <c r="I727" i="5"/>
  <c r="F731" i="5"/>
  <c r="I725" i="5"/>
  <c r="K724" i="5"/>
  <c r="J731" i="5"/>
  <c r="F727" i="5"/>
  <c r="I729" i="5"/>
  <c r="H729" i="5" s="1"/>
  <c r="F725" i="5"/>
  <c r="D729" i="5" a="1"/>
  <c r="G725" i="5"/>
  <c r="I817" i="5"/>
  <c r="F821" i="5"/>
  <c r="I815" i="5"/>
  <c r="K814" i="5"/>
  <c r="J821" i="5"/>
  <c r="F817" i="5"/>
  <c r="I819" i="5"/>
  <c r="H819" i="5" s="1"/>
  <c r="F815" i="5"/>
  <c r="D819" i="5" a="1"/>
  <c r="G815" i="5"/>
  <c r="I907" i="5"/>
  <c r="F911" i="5"/>
  <c r="I905" i="5"/>
  <c r="K904" i="5"/>
  <c r="J911" i="5"/>
  <c r="F907" i="5"/>
  <c r="I909" i="5"/>
  <c r="H909" i="5" s="1"/>
  <c r="F905" i="5"/>
  <c r="D909" i="5" a="1"/>
  <c r="G905" i="5"/>
  <c r="K999" i="5"/>
  <c r="G996" i="5"/>
  <c r="I1001" i="5"/>
  <c r="H1001" i="5" s="1"/>
  <c r="K997" i="5"/>
  <c r="K1002" i="5"/>
  <c r="J993" i="5"/>
  <c r="M998" i="5"/>
  <c r="F994" i="5"/>
  <c r="M472" i="5"/>
  <c r="I473" i="5"/>
  <c r="I477" i="5"/>
  <c r="N472" i="5"/>
  <c r="K468" i="5"/>
  <c r="G471" i="5"/>
  <c r="M468" i="5"/>
  <c r="H477" i="5"/>
  <c r="I474" i="5"/>
  <c r="F470" i="5"/>
  <c r="J477" i="5"/>
  <c r="K472" i="5"/>
  <c r="K473" i="5"/>
  <c r="N487" i="5"/>
  <c r="N492" i="5"/>
  <c r="G487" i="5"/>
  <c r="G490" i="5"/>
  <c r="F483" i="5"/>
  <c r="I489" i="5"/>
  <c r="G485" i="5"/>
  <c r="F490" i="5"/>
  <c r="I492" i="5"/>
  <c r="D492" i="5" s="1" a="1"/>
  <c r="M487" i="5"/>
  <c r="J483" i="5"/>
  <c r="N564" i="5"/>
  <c r="J560" i="5"/>
  <c r="I558" i="5"/>
  <c r="G564" i="5"/>
  <c r="K559" i="5"/>
  <c r="J566" i="5"/>
  <c r="G562" i="5"/>
  <c r="N563" i="5"/>
  <c r="N565" i="5"/>
  <c r="F558" i="5"/>
  <c r="G565" i="5"/>
  <c r="J561" i="5"/>
  <c r="G558" i="5"/>
  <c r="K575" i="5"/>
  <c r="I573" i="5"/>
  <c r="F582" i="5"/>
  <c r="K581" i="5"/>
  <c r="F574" i="5"/>
  <c r="J576" i="5"/>
  <c r="G574" i="5"/>
  <c r="M579" i="5"/>
  <c r="N579" i="5"/>
  <c r="J574" i="5"/>
  <c r="N656" i="5"/>
  <c r="M651" i="5"/>
  <c r="I649" i="5"/>
  <c r="G656" i="5"/>
  <c r="K650" i="5"/>
  <c r="N657" i="5"/>
  <c r="F649" i="5"/>
  <c r="I656" i="5"/>
  <c r="J652" i="5"/>
  <c r="J653" i="5"/>
  <c r="D656" i="5" a="1"/>
  <c r="K651" i="5"/>
  <c r="M670" i="5"/>
  <c r="N666" i="5"/>
  <c r="K664" i="5"/>
  <c r="N670" i="5"/>
  <c r="G666" i="5"/>
  <c r="N668" i="5"/>
  <c r="J667" i="5"/>
  <c r="N671" i="5"/>
  <c r="K670" i="5"/>
  <c r="J665" i="5"/>
  <c r="K748" i="5"/>
  <c r="M742" i="5"/>
  <c r="I743" i="5"/>
  <c r="I747" i="5"/>
  <c r="N742" i="5"/>
  <c r="K738" i="5"/>
  <c r="G741" i="5"/>
  <c r="M738" i="5"/>
  <c r="F748" i="5"/>
  <c r="I748" i="5"/>
  <c r="H747" i="5"/>
  <c r="I744" i="5"/>
  <c r="F740" i="5"/>
  <c r="J747" i="5"/>
  <c r="K742" i="5"/>
  <c r="K743" i="5"/>
  <c r="N757" i="5"/>
  <c r="N762" i="5"/>
  <c r="G757" i="5"/>
  <c r="G760" i="5"/>
  <c r="F753" i="5"/>
  <c r="I759" i="5"/>
  <c r="G755" i="5"/>
  <c r="F760" i="5"/>
  <c r="I762" i="5"/>
  <c r="D762" i="5" s="1" a="1"/>
  <c r="M757" i="5"/>
  <c r="J753" i="5"/>
  <c r="N834" i="5"/>
  <c r="J830" i="5"/>
  <c r="I828" i="5"/>
  <c r="G834" i="5"/>
  <c r="K829" i="5"/>
  <c r="J836" i="5"/>
  <c r="G832" i="5"/>
  <c r="N833" i="5"/>
  <c r="N835" i="5"/>
  <c r="F828" i="5"/>
  <c r="G835" i="5"/>
  <c r="J831" i="5"/>
  <c r="G828" i="5"/>
  <c r="K845" i="5"/>
  <c r="I843" i="5"/>
  <c r="F852" i="5"/>
  <c r="K851" i="5"/>
  <c r="F844" i="5"/>
  <c r="J846" i="5"/>
  <c r="G844" i="5"/>
  <c r="M849" i="5"/>
  <c r="N849" i="5"/>
  <c r="J844" i="5"/>
  <c r="N926" i="5"/>
  <c r="M921" i="5"/>
  <c r="I919" i="5"/>
  <c r="G926" i="5"/>
  <c r="K920" i="5"/>
  <c r="N927" i="5"/>
  <c r="F919" i="5"/>
  <c r="I926" i="5"/>
  <c r="J922" i="5"/>
  <c r="J923" i="5"/>
  <c r="D926" i="5" a="1"/>
  <c r="K921" i="5"/>
  <c r="M940" i="5"/>
  <c r="N936" i="5"/>
  <c r="K934" i="5"/>
  <c r="N940" i="5"/>
  <c r="G936" i="5"/>
  <c r="N938" i="5"/>
  <c r="J937" i="5"/>
  <c r="N941" i="5"/>
  <c r="K940" i="5"/>
  <c r="J935" i="5"/>
  <c r="J506" i="5"/>
  <c r="F502" i="5"/>
  <c r="I504" i="5"/>
  <c r="F500" i="5"/>
  <c r="D504" i="5" a="1"/>
  <c r="G500" i="5"/>
  <c r="N504" i="5"/>
  <c r="N506" i="5"/>
  <c r="M501" i="5"/>
  <c r="J499" i="5"/>
  <c r="G506" i="5"/>
  <c r="N501" i="5"/>
  <c r="J596" i="5"/>
  <c r="F592" i="5"/>
  <c r="I594" i="5"/>
  <c r="F590" i="5"/>
  <c r="D594" i="5" a="1"/>
  <c r="G590" i="5"/>
  <c r="N594" i="5"/>
  <c r="N596" i="5"/>
  <c r="M591" i="5"/>
  <c r="J589" i="5"/>
  <c r="G596" i="5"/>
  <c r="N591" i="5"/>
  <c r="J686" i="5"/>
  <c r="F682" i="5"/>
  <c r="I684" i="5"/>
  <c r="F680" i="5"/>
  <c r="D684" i="5" a="1"/>
  <c r="G680" i="5"/>
  <c r="N684" i="5"/>
  <c r="N686" i="5"/>
  <c r="M681" i="5"/>
  <c r="J679" i="5"/>
  <c r="G686" i="5"/>
  <c r="N681" i="5"/>
  <c r="J776" i="5"/>
  <c r="F772" i="5"/>
  <c r="I774" i="5"/>
  <c r="F770" i="5"/>
  <c r="D774" i="5" a="1"/>
  <c r="G770" i="5"/>
  <c r="N774" i="5"/>
  <c r="N776" i="5"/>
  <c r="M771" i="5"/>
  <c r="J769" i="5"/>
  <c r="G776" i="5"/>
  <c r="N771" i="5"/>
  <c r="J866" i="5"/>
  <c r="F862" i="5"/>
  <c r="I864" i="5"/>
  <c r="F860" i="5"/>
  <c r="D864" i="5" a="1"/>
  <c r="G860" i="5"/>
  <c r="N864" i="5"/>
  <c r="N866" i="5"/>
  <c r="M861" i="5"/>
  <c r="J859" i="5"/>
  <c r="G866" i="5"/>
  <c r="N861" i="5"/>
  <c r="J956" i="5"/>
  <c r="F952" i="5"/>
  <c r="I954" i="5"/>
  <c r="F950" i="5"/>
  <c r="G958" i="5"/>
  <c r="D954" i="5" a="1"/>
  <c r="G950" i="5"/>
  <c r="J958" i="5"/>
  <c r="N954" i="5"/>
  <c r="N956" i="5"/>
  <c r="M951" i="5"/>
  <c r="J949" i="5"/>
  <c r="G956" i="5"/>
  <c r="N951" i="5"/>
  <c r="N520" i="5"/>
  <c r="F513" i="5"/>
  <c r="G520" i="5"/>
  <c r="J516" i="5"/>
  <c r="G513" i="5"/>
  <c r="K522" i="5"/>
  <c r="J514" i="5"/>
  <c r="N516" i="5"/>
  <c r="M523" i="5"/>
  <c r="J519" i="5"/>
  <c r="F516" i="5"/>
  <c r="I531" i="5"/>
  <c r="G528" i="5"/>
  <c r="K537" i="5"/>
  <c r="F536" i="5"/>
  <c r="I529" i="5"/>
  <c r="M535" i="5"/>
  <c r="N531" i="5"/>
  <c r="K529" i="5"/>
  <c r="N535" i="5"/>
  <c r="G531" i="5"/>
  <c r="N533" i="5"/>
  <c r="F604" i="5"/>
  <c r="I611" i="5"/>
  <c r="J607" i="5"/>
  <c r="J608" i="5"/>
  <c r="D611" i="5" a="1"/>
  <c r="K606" i="5"/>
  <c r="F611" i="5"/>
  <c r="M612" i="5"/>
  <c r="F612" i="5"/>
  <c r="M610" i="5"/>
  <c r="F607" i="5"/>
  <c r="M604" i="5"/>
  <c r="M626" i="5"/>
  <c r="I622" i="5"/>
  <c r="J623" i="5"/>
  <c r="J625" i="5"/>
  <c r="K621" i="5"/>
  <c r="I625" i="5"/>
  <c r="I623" i="5"/>
  <c r="N622" i="5"/>
  <c r="D623" i="5" a="1"/>
  <c r="N627" i="5"/>
  <c r="G622" i="5"/>
  <c r="G625" i="5"/>
  <c r="F618" i="5"/>
  <c r="F703" i="5"/>
  <c r="I703" i="5"/>
  <c r="I699" i="5"/>
  <c r="F695" i="5"/>
  <c r="J702" i="5"/>
  <c r="K697" i="5"/>
  <c r="K698" i="5"/>
  <c r="K700" i="5"/>
  <c r="J693" i="5"/>
  <c r="I700" i="5"/>
  <c r="M698" i="5"/>
  <c r="F698" i="5"/>
  <c r="I695" i="5"/>
  <c r="F714" i="5"/>
  <c r="F710" i="5"/>
  <c r="J717" i="5"/>
  <c r="K712" i="5"/>
  <c r="K713" i="5"/>
  <c r="G716" i="5"/>
  <c r="M711" i="5"/>
  <c r="K710" i="5"/>
  <c r="I708" i="5"/>
  <c r="F717" i="5"/>
  <c r="K716" i="5"/>
  <c r="F709" i="5"/>
  <c r="N790" i="5"/>
  <c r="F783" i="5"/>
  <c r="G790" i="5"/>
  <c r="J786" i="5"/>
  <c r="G783" i="5"/>
  <c r="K792" i="5"/>
  <c r="J784" i="5"/>
  <c r="N786" i="5"/>
  <c r="J789" i="5"/>
  <c r="F786" i="5"/>
  <c r="I801" i="5"/>
  <c r="G798" i="5"/>
  <c r="K807" i="5"/>
  <c r="F806" i="5"/>
  <c r="I799" i="5"/>
  <c r="M805" i="5"/>
  <c r="N801" i="5"/>
  <c r="K799" i="5"/>
  <c r="N805" i="5"/>
  <c r="G801" i="5"/>
  <c r="N803" i="5"/>
  <c r="N883" i="5"/>
  <c r="F874" i="5"/>
  <c r="I881" i="5"/>
  <c r="J877" i="5"/>
  <c r="J878" i="5"/>
  <c r="D881" i="5" a="1"/>
  <c r="K876" i="5"/>
  <c r="F881" i="5"/>
  <c r="M882" i="5"/>
  <c r="F882" i="5"/>
  <c r="M880" i="5"/>
  <c r="F877" i="5"/>
  <c r="M874" i="5"/>
  <c r="M896" i="5"/>
  <c r="I892" i="5"/>
  <c r="J893" i="5"/>
  <c r="J895" i="5"/>
  <c r="K891" i="5"/>
  <c r="I895" i="5"/>
  <c r="I893" i="5"/>
  <c r="N892" i="5"/>
  <c r="D893" i="5" a="1"/>
  <c r="N897" i="5"/>
  <c r="G892" i="5"/>
  <c r="G895" i="5"/>
  <c r="F888" i="5"/>
  <c r="F973" i="5"/>
  <c r="I973" i="5"/>
  <c r="I969" i="5"/>
  <c r="F965" i="5"/>
  <c r="J972" i="5"/>
  <c r="K967" i="5"/>
  <c r="K968" i="5"/>
  <c r="K970" i="5"/>
  <c r="J963" i="5"/>
  <c r="I970" i="5"/>
  <c r="M968" i="5"/>
  <c r="F968" i="5"/>
  <c r="I965" i="5"/>
  <c r="F984" i="5"/>
  <c r="F980" i="5"/>
  <c r="J987" i="5"/>
  <c r="K982" i="5"/>
  <c r="K983" i="5"/>
  <c r="G986" i="5"/>
  <c r="M981" i="5"/>
  <c r="K980" i="5"/>
  <c r="I978" i="5"/>
  <c r="F987" i="5"/>
  <c r="K986" i="5"/>
  <c r="F979" i="5"/>
  <c r="I1042" i="5"/>
  <c r="F1046" i="5"/>
  <c r="I1040" i="5"/>
  <c r="M1048" i="5"/>
  <c r="K1039" i="5"/>
  <c r="J1046" i="5"/>
  <c r="F1042" i="5"/>
  <c r="I1044" i="5"/>
  <c r="H1044" i="5" s="1"/>
  <c r="F1040" i="5"/>
  <c r="G1048" i="5"/>
  <c r="D1044" i="5" a="1"/>
  <c r="G1040" i="5"/>
  <c r="J1135" i="5"/>
  <c r="K1131" i="5"/>
  <c r="M1132" i="5"/>
  <c r="M1137" i="5"/>
  <c r="F1137" i="5"/>
  <c r="I1129" i="5"/>
  <c r="M1128" i="5"/>
  <c r="G1133" i="5"/>
  <c r="G1137" i="5"/>
  <c r="F1134" i="5"/>
  <c r="D1138" i="5" a="1"/>
  <c r="I1221" i="5"/>
  <c r="K1227" i="5"/>
  <c r="I1223" i="5"/>
  <c r="I1227" i="5"/>
  <c r="N1222" i="5"/>
  <c r="K1218" i="5"/>
  <c r="F1221" i="5"/>
  <c r="N1228" i="5"/>
  <c r="N1223" i="5"/>
  <c r="M1226" i="5"/>
  <c r="J1222" i="5"/>
  <c r="J1223" i="5"/>
  <c r="N1314" i="5"/>
  <c r="N1316" i="5"/>
  <c r="M1311" i="5"/>
  <c r="J1309" i="5"/>
  <c r="G1316" i="5"/>
  <c r="N1311" i="5"/>
  <c r="J1314" i="5"/>
  <c r="M1310" i="5"/>
  <c r="K1316" i="5"/>
  <c r="G1312" i="5"/>
  <c r="N1309" i="5"/>
  <c r="I1316" i="5"/>
  <c r="G1309" i="5"/>
  <c r="J1407" i="5"/>
  <c r="F1405" i="5"/>
  <c r="K1403" i="5"/>
  <c r="K1405" i="5"/>
  <c r="J1398" i="5"/>
  <c r="M1405" i="5"/>
  <c r="K1400" i="5"/>
  <c r="N1407" i="5"/>
  <c r="F1408" i="5"/>
  <c r="M1403" i="5"/>
  <c r="N1405" i="5"/>
  <c r="F1399" i="5"/>
  <c r="G1405" i="5"/>
  <c r="J1401" i="5"/>
  <c r="N1398" i="5"/>
  <c r="K1492" i="5"/>
  <c r="G1494" i="5"/>
  <c r="J1490" i="5"/>
  <c r="I1488" i="5"/>
  <c r="I1495" i="5"/>
  <c r="N1497" i="5"/>
  <c r="M1493" i="5"/>
  <c r="K1494" i="5"/>
  <c r="G1491" i="5"/>
  <c r="F1488" i="5"/>
  <c r="M1494" i="5"/>
  <c r="N1490" i="5"/>
  <c r="G1488" i="5"/>
  <c r="M1057" i="5"/>
  <c r="I1058" i="5"/>
  <c r="I1062" i="5"/>
  <c r="N1057" i="5"/>
  <c r="K1053" i="5"/>
  <c r="G1056" i="5"/>
  <c r="M1053" i="5"/>
  <c r="H1062" i="5"/>
  <c r="I1059" i="5"/>
  <c r="F1055" i="5"/>
  <c r="J1062" i="5"/>
  <c r="K1057" i="5"/>
  <c r="K1058" i="5"/>
  <c r="F1072" i="5"/>
  <c r="M1073" i="5"/>
  <c r="J1076" i="5"/>
  <c r="M1068" i="5"/>
  <c r="K1074" i="5"/>
  <c r="N1070" i="5"/>
  <c r="G1078" i="5"/>
  <c r="F1074" i="5"/>
  <c r="F1070" i="5"/>
  <c r="J1077" i="5"/>
  <c r="K1072" i="5"/>
  <c r="K1073" i="5"/>
  <c r="G1076" i="5"/>
  <c r="M1071" i="5"/>
  <c r="F1151" i="5"/>
  <c r="M1152" i="5"/>
  <c r="F1152" i="5"/>
  <c r="M1150" i="5"/>
  <c r="F1147" i="5"/>
  <c r="M1144" i="5"/>
  <c r="K1149" i="5"/>
  <c r="M1145" i="5"/>
  <c r="M1149" i="5"/>
  <c r="N1145" i="5"/>
  <c r="F1150" i="5"/>
  <c r="G1145" i="5"/>
  <c r="N1162" i="5"/>
  <c r="N1167" i="5"/>
  <c r="G1162" i="5"/>
  <c r="G1165" i="5"/>
  <c r="F1158" i="5"/>
  <c r="I1164" i="5"/>
  <c r="G1160" i="5"/>
  <c r="F1165" i="5"/>
  <c r="I1167" i="5"/>
  <c r="D1167" i="5" s="1" a="1"/>
  <c r="M1162" i="5"/>
  <c r="J1158" i="5"/>
  <c r="N1239" i="5"/>
  <c r="J1235" i="5"/>
  <c r="I1233" i="5"/>
  <c r="G1239" i="5"/>
  <c r="K1234" i="5"/>
  <c r="J1241" i="5"/>
  <c r="G1237" i="5"/>
  <c r="N1238" i="5"/>
  <c r="N1240" i="5"/>
  <c r="F1233" i="5"/>
  <c r="G1240" i="5"/>
  <c r="J1236" i="5"/>
  <c r="G1233" i="5"/>
  <c r="M1257" i="5"/>
  <c r="G1254" i="5"/>
  <c r="I1250" i="5"/>
  <c r="F1253" i="5"/>
  <c r="M1249" i="5"/>
  <c r="I1256" i="5"/>
  <c r="N1248" i="5"/>
  <c r="I1251" i="5"/>
  <c r="G1248" i="5"/>
  <c r="H1250" i="5"/>
  <c r="K1257" i="5"/>
  <c r="F1256" i="5"/>
  <c r="I1249" i="5"/>
  <c r="K1330" i="5"/>
  <c r="J1323" i="5"/>
  <c r="I1330" i="5"/>
  <c r="M1328" i="5"/>
  <c r="F1328" i="5"/>
  <c r="I1325" i="5"/>
  <c r="K1331" i="5"/>
  <c r="N1323" i="5"/>
  <c r="H1330" i="5"/>
  <c r="G1324" i="5"/>
  <c r="J1330" i="5"/>
  <c r="I1326" i="5"/>
  <c r="D1326" i="5" s="1" a="1"/>
  <c r="K1340" i="5"/>
  <c r="I1338" i="5"/>
  <c r="F1347" i="5"/>
  <c r="K1346" i="5"/>
  <c r="F1339" i="5"/>
  <c r="J1341" i="5"/>
  <c r="G1339" i="5"/>
  <c r="M1344" i="5"/>
  <c r="N1344" i="5"/>
  <c r="J1339" i="5"/>
  <c r="N1421" i="5"/>
  <c r="M1416" i="5"/>
  <c r="I1414" i="5"/>
  <c r="G1421" i="5"/>
  <c r="K1415" i="5"/>
  <c r="N1422" i="5"/>
  <c r="F1414" i="5"/>
  <c r="I1421" i="5"/>
  <c r="J1417" i="5"/>
  <c r="J1418" i="5"/>
  <c r="D1421" i="5" a="1"/>
  <c r="K1416" i="5"/>
  <c r="F1431" i="5"/>
  <c r="K1428" i="5"/>
  <c r="J1434" i="5"/>
  <c r="M1430" i="5"/>
  <c r="G1437" i="5"/>
  <c r="G1433" i="5"/>
  <c r="N1429" i="5"/>
  <c r="M1436" i="5"/>
  <c r="I1432" i="5"/>
  <c r="J1433" i="5"/>
  <c r="J1435" i="5"/>
  <c r="K1431" i="5"/>
  <c r="I1435" i="5"/>
  <c r="D1435" i="5" s="1" a="1"/>
  <c r="I1433" i="5"/>
  <c r="F1088" i="5"/>
  <c r="M1084" i="5"/>
  <c r="K1089" i="5"/>
  <c r="G1086" i="5"/>
  <c r="F1083" i="5"/>
  <c r="M1089" i="5"/>
  <c r="N1085" i="5"/>
  <c r="G1083" i="5"/>
  <c r="I1086" i="5"/>
  <c r="K1092" i="5"/>
  <c r="I1088" i="5"/>
  <c r="I1092" i="5"/>
  <c r="D1092" i="5" s="1" a="1"/>
  <c r="N1087" i="5"/>
  <c r="K1083" i="5"/>
  <c r="J1181" i="5"/>
  <c r="F1177" i="5"/>
  <c r="I1179" i="5"/>
  <c r="F1175" i="5"/>
  <c r="D1179" i="5" a="1"/>
  <c r="G1175" i="5"/>
  <c r="N1179" i="5"/>
  <c r="N1181" i="5"/>
  <c r="M1176" i="5"/>
  <c r="J1174" i="5"/>
  <c r="G1181" i="5"/>
  <c r="N1176" i="5"/>
  <c r="M1263" i="5"/>
  <c r="G1268" i="5"/>
  <c r="G1272" i="5"/>
  <c r="F1269" i="5"/>
  <c r="D1273" i="5" a="1"/>
  <c r="J1272" i="5"/>
  <c r="F1270" i="5"/>
  <c r="K1268" i="5"/>
  <c r="K1270" i="5"/>
  <c r="J1263" i="5"/>
  <c r="M1270" i="5"/>
  <c r="K1265" i="5"/>
  <c r="F1356" i="5"/>
  <c r="N1358" i="5"/>
  <c r="M1361" i="5"/>
  <c r="J1357" i="5"/>
  <c r="J1358" i="5"/>
  <c r="K1357" i="5"/>
  <c r="G1359" i="5"/>
  <c r="J1355" i="5"/>
  <c r="I1353" i="5"/>
  <c r="I1360" i="5"/>
  <c r="D1360" i="5" s="1" a="1"/>
  <c r="J1449" i="5"/>
  <c r="M1445" i="5"/>
  <c r="K1451" i="5"/>
  <c r="G1447" i="5"/>
  <c r="N1444" i="5"/>
  <c r="I1451" i="5"/>
  <c r="G1444" i="5"/>
  <c r="D1451" i="5" a="1"/>
  <c r="I1447" i="5"/>
  <c r="F1451" i="5"/>
  <c r="I1445" i="5"/>
  <c r="K1444" i="5"/>
  <c r="F1506" i="5"/>
  <c r="N1508" i="5"/>
  <c r="M1511" i="5"/>
  <c r="J1507" i="5"/>
  <c r="J1508" i="5"/>
  <c r="K1507" i="5"/>
  <c r="G1509" i="5"/>
  <c r="J1505" i="5"/>
  <c r="I1503" i="5"/>
  <c r="I1510" i="5"/>
  <c r="D1510" i="5" s="1" a="1"/>
  <c r="K1016" i="5"/>
  <c r="N1008" i="5"/>
  <c r="G1009" i="5"/>
  <c r="J1015" i="5"/>
  <c r="I1011" i="5"/>
  <c r="M1012" i="5"/>
  <c r="I1013" i="5"/>
  <c r="H1013" i="5" s="1"/>
  <c r="I1017" i="5"/>
  <c r="N1012" i="5"/>
  <c r="K1008" i="5"/>
  <c r="G1011" i="5"/>
  <c r="M1008" i="5"/>
  <c r="J1026" i="5"/>
  <c r="G1024" i="5"/>
  <c r="M1029" i="5"/>
  <c r="N1029" i="5"/>
  <c r="J1024" i="5"/>
  <c r="F1027" i="5"/>
  <c r="M1028" i="5"/>
  <c r="J1031" i="5"/>
  <c r="M1023" i="5"/>
  <c r="K1029" i="5"/>
  <c r="N1025" i="5"/>
  <c r="G1103" i="5"/>
  <c r="N1099" i="5"/>
  <c r="G1107" i="5"/>
  <c r="F1104" i="5"/>
  <c r="M1106" i="5"/>
  <c r="I1102" i="5"/>
  <c r="N1104" i="5"/>
  <c r="J1100" i="5"/>
  <c r="I1098" i="5"/>
  <c r="G1104" i="5"/>
  <c r="K1099" i="5"/>
  <c r="J1106" i="5"/>
  <c r="G1102" i="5"/>
  <c r="N1103" i="5"/>
  <c r="M1121" i="5"/>
  <c r="I1117" i="5"/>
  <c r="J1118" i="5"/>
  <c r="J1120" i="5"/>
  <c r="K1116" i="5"/>
  <c r="I1120" i="5"/>
  <c r="I1118" i="5"/>
  <c r="N1117" i="5"/>
  <c r="D1118" i="5" a="1"/>
  <c r="N1122" i="5"/>
  <c r="G1117" i="5"/>
  <c r="G1120" i="5"/>
  <c r="F1113" i="5"/>
  <c r="I1194" i="5"/>
  <c r="F1190" i="5"/>
  <c r="J1197" i="5"/>
  <c r="K1192" i="5"/>
  <c r="K1193" i="5"/>
  <c r="K1195" i="5"/>
  <c r="J1188" i="5"/>
  <c r="I1195" i="5"/>
  <c r="M1193" i="5"/>
  <c r="F1193" i="5"/>
  <c r="I1190" i="5"/>
  <c r="J1207" i="5"/>
  <c r="N1211" i="5"/>
  <c r="K1210" i="5"/>
  <c r="J1205" i="5"/>
  <c r="M1212" i="5"/>
  <c r="G1209" i="5"/>
  <c r="I1205" i="5"/>
  <c r="F1208" i="5"/>
  <c r="M1204" i="5"/>
  <c r="I1211" i="5"/>
  <c r="N1203" i="5"/>
  <c r="K1284" i="5"/>
  <c r="M1280" i="5"/>
  <c r="M1284" i="5"/>
  <c r="N1280" i="5"/>
  <c r="F1285" i="5"/>
  <c r="G1280" i="5"/>
  <c r="N1286" i="5"/>
  <c r="M1281" i="5"/>
  <c r="I1279" i="5"/>
  <c r="G1286" i="5"/>
  <c r="K1280" i="5"/>
  <c r="N1287" i="5"/>
  <c r="F1299" i="5"/>
  <c r="F1295" i="5"/>
  <c r="J1302" i="5"/>
  <c r="K1297" i="5"/>
  <c r="K1298" i="5"/>
  <c r="G1301" i="5"/>
  <c r="M1296" i="5"/>
  <c r="K1295" i="5"/>
  <c r="I1293" i="5"/>
  <c r="F1302" i="5"/>
  <c r="K1301" i="5"/>
  <c r="F1294" i="5"/>
  <c r="N1375" i="5"/>
  <c r="F1368" i="5"/>
  <c r="G1375" i="5"/>
  <c r="J1371" i="5"/>
  <c r="G1368" i="5"/>
  <c r="K1377" i="5"/>
  <c r="J1369" i="5"/>
  <c r="N1371" i="5"/>
  <c r="J1374" i="5"/>
  <c r="F1371" i="5"/>
  <c r="I1389" i="5"/>
  <c r="G1385" i="5"/>
  <c r="F1390" i="5"/>
  <c r="I1392" i="5"/>
  <c r="M1387" i="5"/>
  <c r="J1383" i="5"/>
  <c r="F1386" i="5"/>
  <c r="K1383" i="5"/>
  <c r="J1389" i="5"/>
  <c r="M1385" i="5"/>
  <c r="G1392" i="5"/>
  <c r="G1388" i="5"/>
  <c r="N1384" i="5"/>
  <c r="K1466" i="5"/>
  <c r="N1458" i="5"/>
  <c r="G1459" i="5"/>
  <c r="J1465" i="5"/>
  <c r="I1461" i="5"/>
  <c r="K1468" i="5"/>
  <c r="M1462" i="5"/>
  <c r="I1463" i="5"/>
  <c r="H1463" i="5" s="1"/>
  <c r="I1467" i="5"/>
  <c r="N1462" i="5"/>
  <c r="K1458" i="5"/>
  <c r="G1461" i="5"/>
  <c r="M1458" i="5"/>
  <c r="I1476" i="5"/>
  <c r="G1473" i="5"/>
  <c r="K1482" i="5"/>
  <c r="F1481" i="5"/>
  <c r="I1474" i="5"/>
  <c r="M1480" i="5"/>
  <c r="N1476" i="5"/>
  <c r="K1474" i="5"/>
  <c r="N1480" i="5"/>
  <c r="G1476" i="5"/>
  <c r="N1478" i="5"/>
  <c r="K1528" i="5"/>
  <c r="G1523" i="5"/>
  <c r="N1519" i="5"/>
  <c r="G1519" i="5"/>
  <c r="F1525" i="5"/>
  <c r="G1520" i="5"/>
  <c r="N1524" i="5"/>
  <c r="J1520" i="5"/>
  <c r="I1518" i="5"/>
  <c r="N1522" i="5"/>
  <c r="K1518" i="5"/>
  <c r="F1523" i="5"/>
  <c r="I1520" i="5"/>
  <c r="I1571" i="5"/>
  <c r="J1567" i="5"/>
  <c r="J1568" i="5"/>
  <c r="D1571" i="5" a="1"/>
  <c r="K1566" i="5"/>
  <c r="F1571" i="5"/>
  <c r="M1572" i="5"/>
  <c r="F1572" i="5"/>
  <c r="M1570" i="5"/>
  <c r="F1567" i="5"/>
  <c r="M1564" i="5"/>
  <c r="K1569" i="5"/>
  <c r="M1565" i="5"/>
  <c r="J1588" i="5"/>
  <c r="F1585" i="5"/>
  <c r="I1587" i="5"/>
  <c r="M1582" i="5"/>
  <c r="J1578" i="5"/>
  <c r="F1581" i="5"/>
  <c r="K1578" i="5"/>
  <c r="J1584" i="5"/>
  <c r="M1580" i="5"/>
  <c r="G1587" i="5"/>
  <c r="G1583" i="5"/>
  <c r="N1579" i="5"/>
  <c r="M1586" i="5"/>
  <c r="I1582" i="5"/>
  <c r="J1583" i="5"/>
  <c r="G1662" i="5"/>
  <c r="F1659" i="5"/>
  <c r="M1661" i="5"/>
  <c r="I1657" i="5"/>
  <c r="N1659" i="5"/>
  <c r="J1655" i="5"/>
  <c r="I1653" i="5"/>
  <c r="G1659" i="5"/>
  <c r="K1654" i="5"/>
  <c r="J1661" i="5"/>
  <c r="G1657" i="5"/>
  <c r="N1658" i="5"/>
  <c r="N1660" i="5"/>
  <c r="F1653" i="5"/>
  <c r="K1677" i="5"/>
  <c r="F1676" i="5"/>
  <c r="I1669" i="5"/>
  <c r="M1675" i="5"/>
  <c r="N1671" i="5"/>
  <c r="K1669" i="5"/>
  <c r="N1675" i="5"/>
  <c r="G1671" i="5"/>
  <c r="N1673" i="5"/>
  <c r="J1672" i="5"/>
  <c r="I1749" i="5"/>
  <c r="F1745" i="5"/>
  <c r="J1752" i="5"/>
  <c r="K1747" i="5"/>
  <c r="K1748" i="5"/>
  <c r="K1750" i="5"/>
  <c r="J1743" i="5"/>
  <c r="I1750" i="5"/>
  <c r="M1748" i="5"/>
  <c r="F1748" i="5"/>
  <c r="I1745" i="5"/>
  <c r="K1751" i="5"/>
  <c r="N1743" i="5"/>
  <c r="M1764" i="5"/>
  <c r="N1764" i="5"/>
  <c r="J1759" i="5"/>
  <c r="F1762" i="5"/>
  <c r="M1763" i="5"/>
  <c r="J1766" i="5"/>
  <c r="M1758" i="5"/>
  <c r="K1764" i="5"/>
  <c r="N1760" i="5"/>
  <c r="F1764" i="5"/>
  <c r="F1760" i="5"/>
  <c r="N1601" i="5"/>
  <c r="M1596" i="5"/>
  <c r="J1594" i="5"/>
  <c r="G1601" i="5"/>
  <c r="N1596" i="5"/>
  <c r="J1599" i="5"/>
  <c r="M1595" i="5"/>
  <c r="K1601" i="5"/>
  <c r="G1597" i="5"/>
  <c r="N1594" i="5"/>
  <c r="I1601" i="5"/>
  <c r="G1594" i="5"/>
  <c r="D1601" i="5" a="1"/>
  <c r="I1597" i="5"/>
  <c r="K1690" i="5"/>
  <c r="J1683" i="5"/>
  <c r="M1690" i="5"/>
  <c r="K1685" i="5"/>
  <c r="N1692" i="5"/>
  <c r="M1688" i="5"/>
  <c r="N1690" i="5"/>
  <c r="F1684" i="5"/>
  <c r="G1690" i="5"/>
  <c r="J1686" i="5"/>
  <c r="N1683" i="5"/>
  <c r="J1690" i="5"/>
  <c r="K1686" i="5"/>
  <c r="G1779" i="5"/>
  <c r="J1775" i="5"/>
  <c r="I1773" i="5"/>
  <c r="I1780" i="5"/>
  <c r="F1778" i="5"/>
  <c r="M1774" i="5"/>
  <c r="K1779" i="5"/>
  <c r="G1776" i="5"/>
  <c r="F1773" i="5"/>
  <c r="M1779" i="5"/>
  <c r="N1775" i="5"/>
  <c r="G1773" i="5"/>
  <c r="H1780" i="5"/>
  <c r="I1776" i="5"/>
  <c r="N1542" i="5"/>
  <c r="G1537" i="5"/>
  <c r="G1540" i="5"/>
  <c r="F1533" i="5"/>
  <c r="I1539" i="5"/>
  <c r="G1535" i="5"/>
  <c r="F1540" i="5"/>
  <c r="G70" i="5"/>
  <c r="J66" i="5"/>
  <c r="G63" i="5"/>
  <c r="K72" i="5"/>
  <c r="J64" i="5"/>
  <c r="N66" i="5"/>
  <c r="J69" i="5"/>
  <c r="F66" i="5"/>
  <c r="G68" i="5"/>
  <c r="N64" i="5"/>
  <c r="J87" i="5"/>
  <c r="K82" i="5"/>
  <c r="K83" i="5"/>
  <c r="G86" i="5"/>
  <c r="M81" i="5"/>
  <c r="K80" i="5"/>
  <c r="I78" i="5"/>
  <c r="F87" i="5"/>
  <c r="K86" i="5"/>
  <c r="H82" i="5"/>
  <c r="F79" i="5"/>
  <c r="J81" i="5"/>
  <c r="G79" i="5"/>
  <c r="I161" i="5"/>
  <c r="J157" i="5"/>
  <c r="J158" i="5"/>
  <c r="D161" i="5" a="1"/>
  <c r="K156" i="5"/>
  <c r="H153" i="5"/>
  <c r="F161" i="5"/>
  <c r="M162" i="5"/>
  <c r="F162" i="5"/>
  <c r="M160" i="5"/>
  <c r="F157" i="5"/>
  <c r="M154" i="5"/>
  <c r="K159" i="5"/>
  <c r="M155" i="5"/>
  <c r="K177" i="5"/>
  <c r="F176" i="5"/>
  <c r="I169" i="5"/>
  <c r="M175" i="5"/>
  <c r="N171" i="5"/>
  <c r="K169" i="5"/>
  <c r="N175" i="5"/>
  <c r="G171" i="5"/>
  <c r="N173" i="5"/>
  <c r="J172" i="5"/>
  <c r="I249" i="5"/>
  <c r="H249" i="5" s="1"/>
  <c r="F245" i="5"/>
  <c r="J252" i="5"/>
  <c r="K247" i="5"/>
  <c r="K248" i="5"/>
  <c r="K250" i="5"/>
  <c r="J243" i="5"/>
  <c r="I250" i="5"/>
  <c r="M248" i="5"/>
  <c r="F248" i="5"/>
  <c r="I245" i="5"/>
  <c r="D245" i="5" s="1" a="1"/>
  <c r="K251" i="5"/>
  <c r="N243" i="5"/>
  <c r="J265" i="5"/>
  <c r="K261" i="5"/>
  <c r="I265" i="5"/>
  <c r="H265" i="5" s="1"/>
  <c r="I263" i="5"/>
  <c r="N262" i="5"/>
  <c r="D263" i="5" a="1"/>
  <c r="N267" i="5"/>
  <c r="G262" i="5"/>
  <c r="G265" i="5"/>
  <c r="H261" i="5"/>
  <c r="F258" i="5"/>
  <c r="I264" i="5"/>
  <c r="G260" i="5"/>
  <c r="G340" i="5"/>
  <c r="J336" i="5"/>
  <c r="G333" i="5"/>
  <c r="K342" i="5"/>
  <c r="J334" i="5"/>
  <c r="N336" i="5"/>
  <c r="J339" i="5"/>
  <c r="F336" i="5"/>
  <c r="G338" i="5"/>
  <c r="N334" i="5"/>
  <c r="J357" i="5"/>
  <c r="K352" i="5"/>
  <c r="K353" i="5"/>
  <c r="G356" i="5"/>
  <c r="M351" i="5"/>
  <c r="K350" i="5"/>
  <c r="I348" i="5"/>
  <c r="F357" i="5"/>
  <c r="K356" i="5"/>
  <c r="H352" i="5"/>
  <c r="F349" i="5"/>
  <c r="J351" i="5"/>
  <c r="G349" i="5"/>
  <c r="I431" i="5"/>
  <c r="J427" i="5"/>
  <c r="J428" i="5"/>
  <c r="D431" i="5" a="1"/>
  <c r="K426" i="5"/>
  <c r="H423" i="5"/>
  <c r="F431" i="5"/>
  <c r="M432" i="5"/>
  <c r="F432" i="5"/>
  <c r="M430" i="5"/>
  <c r="F427" i="5"/>
  <c r="M424" i="5"/>
  <c r="K429" i="5"/>
  <c r="M425" i="5"/>
  <c r="K447" i="5"/>
  <c r="F446" i="5"/>
  <c r="I439" i="5"/>
  <c r="M445" i="5"/>
  <c r="N441" i="5"/>
  <c r="K439" i="5"/>
  <c r="N445" i="5"/>
  <c r="G441" i="5"/>
  <c r="N443" i="5"/>
  <c r="J442" i="5"/>
  <c r="G9" i="5"/>
  <c r="J5" i="5"/>
  <c r="I3" i="5"/>
  <c r="I10" i="5"/>
  <c r="F8" i="5"/>
  <c r="M4" i="5"/>
  <c r="K9" i="5"/>
  <c r="G6" i="5"/>
  <c r="F3" i="5"/>
  <c r="M9" i="5"/>
  <c r="N5" i="5"/>
  <c r="G3" i="5"/>
  <c r="H10" i="5"/>
  <c r="I6" i="5"/>
  <c r="G99" i="5"/>
  <c r="J95" i="5"/>
  <c r="I93" i="5"/>
  <c r="I100" i="5"/>
  <c r="F98" i="5"/>
  <c r="M94" i="5"/>
  <c r="K99" i="5"/>
  <c r="G96" i="5"/>
  <c r="F93" i="5"/>
  <c r="M99" i="5"/>
  <c r="N95" i="5"/>
  <c r="G93" i="5"/>
  <c r="H100" i="5"/>
  <c r="I96" i="5"/>
  <c r="G189" i="5"/>
  <c r="J185" i="5"/>
  <c r="I183" i="5"/>
  <c r="I190" i="5"/>
  <c r="F188" i="5"/>
  <c r="M184" i="5"/>
  <c r="K189" i="5"/>
  <c r="G186" i="5"/>
  <c r="F183" i="5"/>
  <c r="M189" i="5"/>
  <c r="N185" i="5"/>
  <c r="G183" i="5"/>
  <c r="H190" i="5"/>
  <c r="I186" i="5"/>
  <c r="G279" i="5"/>
  <c r="J275" i="5"/>
  <c r="I273" i="5"/>
  <c r="I280" i="5"/>
  <c r="F278" i="5"/>
  <c r="M274" i="5"/>
  <c r="K279" i="5"/>
  <c r="G276" i="5"/>
  <c r="F273" i="5"/>
  <c r="M279" i="5"/>
  <c r="N275" i="5"/>
  <c r="G273" i="5"/>
  <c r="H280" i="5"/>
  <c r="I276" i="5"/>
  <c r="G369" i="5"/>
  <c r="J365" i="5"/>
  <c r="I363" i="5"/>
  <c r="I370" i="5"/>
  <c r="F368" i="5"/>
  <c r="M364" i="5"/>
  <c r="K369" i="5"/>
  <c r="G366" i="5"/>
  <c r="F363" i="5"/>
  <c r="M369" i="5"/>
  <c r="N365" i="5"/>
  <c r="G363" i="5"/>
  <c r="H370" i="5"/>
  <c r="I366" i="5"/>
  <c r="J460" i="5"/>
  <c r="K460" i="5"/>
  <c r="I460" i="5"/>
  <c r="D460" i="5" s="1" a="1"/>
  <c r="M461" i="5"/>
  <c r="M457" i="5"/>
  <c r="F462" i="5"/>
  <c r="I454" i="5"/>
  <c r="F457" i="5"/>
  <c r="D454" i="5"/>
  <c r="F454" i="5"/>
  <c r="J456" i="5"/>
  <c r="N453" i="5"/>
  <c r="I456" i="5"/>
  <c r="H456" i="5" s="1"/>
  <c r="G24" i="5"/>
  <c r="K19" i="5"/>
  <c r="J26" i="5"/>
  <c r="G22" i="5"/>
  <c r="N23" i="5"/>
  <c r="N25" i="5"/>
  <c r="H21" i="5"/>
  <c r="F18" i="5"/>
  <c r="G25" i="5"/>
  <c r="J21" i="5"/>
  <c r="G18" i="5"/>
  <c r="H20" i="5"/>
  <c r="K27" i="5"/>
  <c r="J19" i="5"/>
  <c r="N42" i="5"/>
  <c r="G37" i="5"/>
  <c r="D34" i="5"/>
  <c r="G40" i="5"/>
  <c r="H36" i="5"/>
  <c r="F33" i="5"/>
  <c r="I39" i="5"/>
  <c r="D39" i="5" s="1" a="1"/>
  <c r="G35" i="5"/>
  <c r="F40" i="5"/>
  <c r="I42" i="5"/>
  <c r="M37" i="5"/>
  <c r="J33" i="5"/>
  <c r="F36" i="5"/>
  <c r="K33" i="5"/>
  <c r="G116" i="5"/>
  <c r="K110" i="5"/>
  <c r="N117" i="5"/>
  <c r="H112" i="5"/>
  <c r="F109" i="5"/>
  <c r="I116" i="5"/>
  <c r="H116" i="5" s="1"/>
  <c r="J112" i="5"/>
  <c r="J113" i="5"/>
  <c r="D116" i="5" a="1"/>
  <c r="K111" i="5"/>
  <c r="H108" i="5"/>
  <c r="F116" i="5"/>
  <c r="F132" i="5"/>
  <c r="K131" i="5"/>
  <c r="H127" i="5"/>
  <c r="F124" i="5"/>
  <c r="J126" i="5"/>
  <c r="G124" i="5"/>
  <c r="M129" i="5"/>
  <c r="N129" i="5"/>
  <c r="J124" i="5"/>
  <c r="F127" i="5"/>
  <c r="M128" i="5"/>
  <c r="I207" i="5"/>
  <c r="N202" i="5"/>
  <c r="K198" i="5"/>
  <c r="G201" i="5"/>
  <c r="M198" i="5"/>
  <c r="H207" i="5"/>
  <c r="I204" i="5"/>
  <c r="F200" i="5"/>
  <c r="J207" i="5"/>
  <c r="K202" i="5"/>
  <c r="K203" i="5"/>
  <c r="K205" i="5"/>
  <c r="J198" i="5"/>
  <c r="N220" i="5"/>
  <c r="G216" i="5"/>
  <c r="D213" i="5"/>
  <c r="N218" i="5"/>
  <c r="J217" i="5"/>
  <c r="N221" i="5"/>
  <c r="K220" i="5"/>
  <c r="J215" i="5"/>
  <c r="M222" i="5"/>
  <c r="G219" i="5"/>
  <c r="I215" i="5"/>
  <c r="G294" i="5"/>
  <c r="K289" i="5"/>
  <c r="J296" i="5"/>
  <c r="G292" i="5"/>
  <c r="N293" i="5"/>
  <c r="N295" i="5"/>
  <c r="H291" i="5"/>
  <c r="F288" i="5"/>
  <c r="G295" i="5"/>
  <c r="J291" i="5"/>
  <c r="G288" i="5"/>
  <c r="H290" i="5"/>
  <c r="K297" i="5"/>
  <c r="J289" i="5"/>
  <c r="N312" i="5"/>
  <c r="G307" i="5"/>
  <c r="D304" i="5"/>
  <c r="G310" i="5"/>
  <c r="H306" i="5"/>
  <c r="F303" i="5"/>
  <c r="I309" i="5"/>
  <c r="D309" i="5" s="1" a="1"/>
  <c r="G305" i="5"/>
  <c r="J313" i="5"/>
  <c r="F310" i="5"/>
  <c r="I312" i="5"/>
  <c r="M307" i="5"/>
  <c r="J303" i="5"/>
  <c r="F306" i="5"/>
  <c r="K303" i="5"/>
  <c r="G386" i="5"/>
  <c r="K380" i="5"/>
  <c r="N387" i="5"/>
  <c r="H382" i="5"/>
  <c r="F379" i="5"/>
  <c r="I386" i="5"/>
  <c r="H386" i="5" s="1"/>
  <c r="J382" i="5"/>
  <c r="J383" i="5"/>
  <c r="D386" i="5" a="1"/>
  <c r="K381" i="5"/>
  <c r="H378" i="5"/>
  <c r="F386" i="5"/>
  <c r="F402" i="5"/>
  <c r="K401" i="5"/>
  <c r="H397" i="5"/>
  <c r="F394" i="5"/>
  <c r="J396" i="5"/>
  <c r="G394" i="5"/>
  <c r="M399" i="5"/>
  <c r="K403" i="5"/>
  <c r="N399" i="5"/>
  <c r="J394" i="5"/>
  <c r="F397" i="5"/>
  <c r="M398" i="5"/>
  <c r="K54" i="5"/>
  <c r="G51" i="5"/>
  <c r="F48" i="5"/>
  <c r="M54" i="5"/>
  <c r="N50" i="5"/>
  <c r="G48" i="5"/>
  <c r="I51" i="5"/>
  <c r="H51" i="5" s="1"/>
  <c r="K57" i="5"/>
  <c r="I53" i="5"/>
  <c r="I57" i="5"/>
  <c r="N52" i="5"/>
  <c r="K48" i="5"/>
  <c r="F51" i="5"/>
  <c r="K144" i="5"/>
  <c r="G141" i="5"/>
  <c r="F138" i="5"/>
  <c r="M144" i="5"/>
  <c r="N140" i="5"/>
  <c r="G138" i="5"/>
  <c r="I141" i="5"/>
  <c r="H141" i="5" s="1"/>
  <c r="K147" i="5"/>
  <c r="I143" i="5"/>
  <c r="I147" i="5"/>
  <c r="N142" i="5"/>
  <c r="K138" i="5"/>
  <c r="F141" i="5"/>
  <c r="K234" i="5"/>
  <c r="G231" i="5"/>
  <c r="F228" i="5"/>
  <c r="M234" i="5"/>
  <c r="N230" i="5"/>
  <c r="G228" i="5"/>
  <c r="I231" i="5"/>
  <c r="H231" i="5" s="1"/>
  <c r="K237" i="5"/>
  <c r="I233" i="5"/>
  <c r="I237" i="5"/>
  <c r="N232" i="5"/>
  <c r="K228" i="5"/>
  <c r="F231" i="5"/>
  <c r="K324" i="5"/>
  <c r="G321" i="5"/>
  <c r="F318" i="5"/>
  <c r="M324" i="5"/>
  <c r="N320" i="5"/>
  <c r="G318" i="5"/>
  <c r="I321" i="5"/>
  <c r="H321" i="5" s="1"/>
  <c r="K327" i="5"/>
  <c r="I323" i="5"/>
  <c r="I327" i="5"/>
  <c r="N322" i="5"/>
  <c r="K318" i="5"/>
  <c r="F321" i="5"/>
  <c r="K414" i="5"/>
  <c r="G411" i="5"/>
  <c r="F408" i="5"/>
  <c r="M414" i="5"/>
  <c r="N410" i="5"/>
  <c r="G408" i="5"/>
  <c r="I411" i="5"/>
  <c r="H411" i="5" s="1"/>
  <c r="K417" i="5"/>
  <c r="I413" i="5"/>
  <c r="I417" i="5"/>
  <c r="N412" i="5"/>
  <c r="K408" i="5"/>
  <c r="F411" i="5"/>
  <c r="J550" i="5"/>
  <c r="K546" i="5"/>
  <c r="M547" i="5"/>
  <c r="M552" i="5"/>
  <c r="F552" i="5"/>
  <c r="I544" i="5"/>
  <c r="D544" i="5" s="1"/>
  <c r="M543" i="5"/>
  <c r="G548" i="5"/>
  <c r="G552" i="5"/>
  <c r="F549" i="5"/>
  <c r="D553" i="5" a="1"/>
  <c r="J640" i="5"/>
  <c r="K636" i="5"/>
  <c r="K643" i="5"/>
  <c r="M637" i="5"/>
  <c r="M642" i="5"/>
  <c r="F642" i="5"/>
  <c r="I634" i="5"/>
  <c r="D634" i="5" s="1"/>
  <c r="M633" i="5"/>
  <c r="G638" i="5"/>
  <c r="I643" i="5"/>
  <c r="G642" i="5"/>
  <c r="F639" i="5"/>
  <c r="D643" i="5" a="1"/>
  <c r="J730" i="5"/>
  <c r="K726" i="5"/>
  <c r="M727" i="5"/>
  <c r="M732" i="5"/>
  <c r="F732" i="5"/>
  <c r="I724" i="5"/>
  <c r="D724" i="5" s="1"/>
  <c r="M723" i="5"/>
  <c r="G728" i="5"/>
  <c r="G732" i="5"/>
  <c r="F729" i="5"/>
  <c r="D733" i="5" a="1"/>
  <c r="J820" i="5"/>
  <c r="K816" i="5"/>
  <c r="M817" i="5"/>
  <c r="M822" i="5"/>
  <c r="F822" i="5"/>
  <c r="I814" i="5"/>
  <c r="D814" i="5" s="1"/>
  <c r="M813" i="5"/>
  <c r="G818" i="5"/>
  <c r="G822" i="5"/>
  <c r="F819" i="5"/>
  <c r="D823" i="5" a="1"/>
  <c r="J910" i="5"/>
  <c r="K906" i="5"/>
  <c r="M907" i="5"/>
  <c r="M912" i="5"/>
  <c r="F912" i="5"/>
  <c r="I904" i="5"/>
  <c r="D904" i="5" s="1"/>
  <c r="M903" i="5"/>
  <c r="G908" i="5"/>
  <c r="G912" i="5"/>
  <c r="F909" i="5"/>
  <c r="D913" i="5" a="1"/>
  <c r="F996" i="5"/>
  <c r="I999" i="5"/>
  <c r="H999" i="5" s="1"/>
  <c r="F995" i="5"/>
  <c r="G1000" i="5"/>
  <c r="J996" i="5"/>
  <c r="D1001" i="5" a="1"/>
  <c r="I997" i="5"/>
  <c r="D997" i="5" s="1" a="1"/>
  <c r="N1001" i="5"/>
  <c r="M996" i="5"/>
  <c r="M1002" i="5"/>
  <c r="F1002" i="5"/>
  <c r="K998" i="5"/>
  <c r="I993" i="5"/>
  <c r="M994" i="5"/>
  <c r="F993" i="5"/>
  <c r="K477" i="5"/>
  <c r="J469" i="5"/>
  <c r="N471" i="5"/>
  <c r="J474" i="5"/>
  <c r="F471" i="5"/>
  <c r="G473" i="5"/>
  <c r="N469" i="5"/>
  <c r="G477" i="5"/>
  <c r="F474" i="5"/>
  <c r="D478" i="5" a="1"/>
  <c r="M476" i="5"/>
  <c r="I472" i="5"/>
  <c r="D472" i="5" s="1" a="1"/>
  <c r="F487" i="5"/>
  <c r="M488" i="5"/>
  <c r="J491" i="5"/>
  <c r="M483" i="5"/>
  <c r="K489" i="5"/>
  <c r="N485" i="5"/>
  <c r="F489" i="5"/>
  <c r="F485" i="5"/>
  <c r="J492" i="5"/>
  <c r="K487" i="5"/>
  <c r="K488" i="5"/>
  <c r="G491" i="5"/>
  <c r="M486" i="5"/>
  <c r="F566" i="5"/>
  <c r="M567" i="5"/>
  <c r="F567" i="5"/>
  <c r="M565" i="5"/>
  <c r="F562" i="5"/>
  <c r="M559" i="5"/>
  <c r="K564" i="5"/>
  <c r="M560" i="5"/>
  <c r="M564" i="5"/>
  <c r="N560" i="5"/>
  <c r="F565" i="5"/>
  <c r="G560" i="5"/>
  <c r="M582" i="5"/>
  <c r="G579" i="5"/>
  <c r="I575" i="5"/>
  <c r="D575" i="5" s="1" a="1"/>
  <c r="F578" i="5"/>
  <c r="M574" i="5"/>
  <c r="I581" i="5"/>
  <c r="D581" i="5" s="1" a="1"/>
  <c r="N573" i="5"/>
  <c r="I576" i="5"/>
  <c r="D576" i="5" s="1" a="1"/>
  <c r="G573" i="5"/>
  <c r="H575" i="5"/>
  <c r="K582" i="5"/>
  <c r="F581" i="5"/>
  <c r="I574" i="5"/>
  <c r="K655" i="5"/>
  <c r="J648" i="5"/>
  <c r="I655" i="5"/>
  <c r="M653" i="5"/>
  <c r="F653" i="5"/>
  <c r="I650" i="5"/>
  <c r="D650" i="5" s="1" a="1"/>
  <c r="K656" i="5"/>
  <c r="N648" i="5"/>
  <c r="H655" i="5"/>
  <c r="G649" i="5"/>
  <c r="J655" i="5"/>
  <c r="I651" i="5"/>
  <c r="D651" i="5" s="1" a="1"/>
  <c r="F666" i="5"/>
  <c r="K663" i="5"/>
  <c r="J669" i="5"/>
  <c r="M665" i="5"/>
  <c r="G672" i="5"/>
  <c r="G668" i="5"/>
  <c r="N664" i="5"/>
  <c r="M671" i="5"/>
  <c r="I667" i="5"/>
  <c r="D667" i="5" s="1" a="1"/>
  <c r="J668" i="5"/>
  <c r="J670" i="5"/>
  <c r="K666" i="5"/>
  <c r="I670" i="5"/>
  <c r="D670" i="5" s="1" a="1"/>
  <c r="I668" i="5"/>
  <c r="K747" i="5"/>
  <c r="J739" i="5"/>
  <c r="N741" i="5"/>
  <c r="M748" i="5"/>
  <c r="J744" i="5"/>
  <c r="F741" i="5"/>
  <c r="G743" i="5"/>
  <c r="N739" i="5"/>
  <c r="G747" i="5"/>
  <c r="F744" i="5"/>
  <c r="D748" i="5" a="1"/>
  <c r="M746" i="5"/>
  <c r="I742" i="5"/>
  <c r="D742" i="5" s="1" a="1"/>
  <c r="F757" i="5"/>
  <c r="M758" i="5"/>
  <c r="J761" i="5"/>
  <c r="M753" i="5"/>
  <c r="K759" i="5"/>
  <c r="N755" i="5"/>
  <c r="F759" i="5"/>
  <c r="F755" i="5"/>
  <c r="J762" i="5"/>
  <c r="K757" i="5"/>
  <c r="K758" i="5"/>
  <c r="G761" i="5"/>
  <c r="M756" i="5"/>
  <c r="F836" i="5"/>
  <c r="M837" i="5"/>
  <c r="F837" i="5"/>
  <c r="M835" i="5"/>
  <c r="F832" i="5"/>
  <c r="M829" i="5"/>
  <c r="K834" i="5"/>
  <c r="M830" i="5"/>
  <c r="M834" i="5"/>
  <c r="N830" i="5"/>
  <c r="F835" i="5"/>
  <c r="G830" i="5"/>
  <c r="M852" i="5"/>
  <c r="G849" i="5"/>
  <c r="I845" i="5"/>
  <c r="D845" i="5" s="1" a="1"/>
  <c r="F848" i="5"/>
  <c r="M844" i="5"/>
  <c r="I851" i="5"/>
  <c r="D851" i="5" s="1" a="1"/>
  <c r="N843" i="5"/>
  <c r="I846" i="5"/>
  <c r="D846" i="5" s="1" a="1"/>
  <c r="G843" i="5"/>
  <c r="H845" i="5"/>
  <c r="K852" i="5"/>
  <c r="F851" i="5"/>
  <c r="I844" i="5"/>
  <c r="K925" i="5"/>
  <c r="J918" i="5"/>
  <c r="I925" i="5"/>
  <c r="M923" i="5"/>
  <c r="F923" i="5"/>
  <c r="I920" i="5"/>
  <c r="D920" i="5" s="1" a="1"/>
  <c r="K926" i="5"/>
  <c r="N918" i="5"/>
  <c r="H925" i="5"/>
  <c r="G919" i="5"/>
  <c r="J925" i="5"/>
  <c r="I921" i="5"/>
  <c r="D921" i="5" s="1" a="1"/>
  <c r="F936" i="5"/>
  <c r="K933" i="5"/>
  <c r="J939" i="5"/>
  <c r="M935" i="5"/>
  <c r="G942" i="5"/>
  <c r="G938" i="5"/>
  <c r="N934" i="5"/>
  <c r="M941" i="5"/>
  <c r="I937" i="5"/>
  <c r="D937" i="5" s="1" a="1"/>
  <c r="J938" i="5"/>
  <c r="J940" i="5"/>
  <c r="K936" i="5"/>
  <c r="I940" i="5"/>
  <c r="D940" i="5" s="1" a="1"/>
  <c r="I938" i="5"/>
  <c r="M498" i="5"/>
  <c r="G503" i="5"/>
  <c r="G507" i="5"/>
  <c r="F504" i="5"/>
  <c r="D508" i="5" a="1"/>
  <c r="J507" i="5"/>
  <c r="F505" i="5"/>
  <c r="K503" i="5"/>
  <c r="K505" i="5"/>
  <c r="J498" i="5"/>
  <c r="M505" i="5"/>
  <c r="K500" i="5"/>
  <c r="M588" i="5"/>
  <c r="G593" i="5"/>
  <c r="G597" i="5"/>
  <c r="F594" i="5"/>
  <c r="D598" i="5" a="1"/>
  <c r="J597" i="5"/>
  <c r="F595" i="5"/>
  <c r="K593" i="5"/>
  <c r="K595" i="5"/>
  <c r="J588" i="5"/>
  <c r="M595" i="5"/>
  <c r="K590" i="5"/>
  <c r="M678" i="5"/>
  <c r="G683" i="5"/>
  <c r="G687" i="5"/>
  <c r="F684" i="5"/>
  <c r="D688" i="5" a="1"/>
  <c r="J687" i="5"/>
  <c r="F685" i="5"/>
  <c r="K683" i="5"/>
  <c r="K685" i="5"/>
  <c r="J678" i="5"/>
  <c r="M685" i="5"/>
  <c r="K680" i="5"/>
  <c r="M768" i="5"/>
  <c r="G773" i="5"/>
  <c r="G777" i="5"/>
  <c r="F774" i="5"/>
  <c r="D778" i="5" a="1"/>
  <c r="J777" i="5"/>
  <c r="F775" i="5"/>
  <c r="K773" i="5"/>
  <c r="K775" i="5"/>
  <c r="J768" i="5"/>
  <c r="M775" i="5"/>
  <c r="K770" i="5"/>
  <c r="M858" i="5"/>
  <c r="G863" i="5"/>
  <c r="G867" i="5"/>
  <c r="F864" i="5"/>
  <c r="D868" i="5" a="1"/>
  <c r="J867" i="5"/>
  <c r="F865" i="5"/>
  <c r="K863" i="5"/>
  <c r="K865" i="5"/>
  <c r="J858" i="5"/>
  <c r="M865" i="5"/>
  <c r="K860" i="5"/>
  <c r="M948" i="5"/>
  <c r="G953" i="5"/>
  <c r="I958" i="5"/>
  <c r="G957" i="5"/>
  <c r="F954" i="5"/>
  <c r="D958" i="5" a="1"/>
  <c r="J957" i="5"/>
  <c r="F955" i="5"/>
  <c r="K953" i="5"/>
  <c r="K955" i="5"/>
  <c r="J948" i="5"/>
  <c r="M955" i="5"/>
  <c r="K950" i="5"/>
  <c r="K519" i="5"/>
  <c r="M515" i="5"/>
  <c r="G523" i="5"/>
  <c r="M519" i="5"/>
  <c r="N515" i="5"/>
  <c r="J523" i="5"/>
  <c r="F520" i="5"/>
  <c r="G515" i="5"/>
  <c r="N521" i="5"/>
  <c r="M516" i="5"/>
  <c r="I514" i="5"/>
  <c r="G521" i="5"/>
  <c r="K515" i="5"/>
  <c r="N522" i="5"/>
  <c r="I534" i="5"/>
  <c r="D534" i="5" s="1" a="1"/>
  <c r="G530" i="5"/>
  <c r="F535" i="5"/>
  <c r="I537" i="5"/>
  <c r="M532" i="5"/>
  <c r="J528" i="5"/>
  <c r="F531" i="5"/>
  <c r="K528" i="5"/>
  <c r="J534" i="5"/>
  <c r="M530" i="5"/>
  <c r="G537" i="5"/>
  <c r="G533" i="5"/>
  <c r="N529" i="5"/>
  <c r="K611" i="5"/>
  <c r="N603" i="5"/>
  <c r="G604" i="5"/>
  <c r="J610" i="5"/>
  <c r="I606" i="5"/>
  <c r="M607" i="5"/>
  <c r="I608" i="5"/>
  <c r="I612" i="5"/>
  <c r="N607" i="5"/>
  <c r="K603" i="5"/>
  <c r="G606" i="5"/>
  <c r="M603" i="5"/>
  <c r="J621" i="5"/>
  <c r="G619" i="5"/>
  <c r="M624" i="5"/>
  <c r="K628" i="5"/>
  <c r="N624" i="5"/>
  <c r="J619" i="5"/>
  <c r="F622" i="5"/>
  <c r="M623" i="5"/>
  <c r="J626" i="5"/>
  <c r="H623" i="5"/>
  <c r="M618" i="5"/>
  <c r="K624" i="5"/>
  <c r="N620" i="5"/>
  <c r="G698" i="5"/>
  <c r="N694" i="5"/>
  <c r="G702" i="5"/>
  <c r="F699" i="5"/>
  <c r="D703" i="5" a="1"/>
  <c r="M701" i="5"/>
  <c r="I697" i="5"/>
  <c r="N699" i="5"/>
  <c r="J695" i="5"/>
  <c r="I693" i="5"/>
  <c r="G699" i="5"/>
  <c r="K694" i="5"/>
  <c r="J701" i="5"/>
  <c r="G697" i="5"/>
  <c r="N698" i="5"/>
  <c r="J712" i="5"/>
  <c r="N716" i="5"/>
  <c r="K715" i="5"/>
  <c r="J710" i="5"/>
  <c r="M717" i="5"/>
  <c r="G714" i="5"/>
  <c r="I710" i="5"/>
  <c r="D710" i="5" s="1" a="1"/>
  <c r="F713" i="5"/>
  <c r="M709" i="5"/>
  <c r="I716" i="5"/>
  <c r="N708" i="5"/>
  <c r="K789" i="5"/>
  <c r="M785" i="5"/>
  <c r="M789" i="5"/>
  <c r="N785" i="5"/>
  <c r="F790" i="5"/>
  <c r="G785" i="5"/>
  <c r="N791" i="5"/>
  <c r="M786" i="5"/>
  <c r="I784" i="5"/>
  <c r="G791" i="5"/>
  <c r="K785" i="5"/>
  <c r="N792" i="5"/>
  <c r="I804" i="5"/>
  <c r="D804" i="5" s="1" a="1"/>
  <c r="G800" i="5"/>
  <c r="F805" i="5"/>
  <c r="I807" i="5"/>
  <c r="M802" i="5"/>
  <c r="J798" i="5"/>
  <c r="F801" i="5"/>
  <c r="K798" i="5"/>
  <c r="J804" i="5"/>
  <c r="M800" i="5"/>
  <c r="G807" i="5"/>
  <c r="G803" i="5"/>
  <c r="N799" i="5"/>
  <c r="K881" i="5"/>
  <c r="N873" i="5"/>
  <c r="G874" i="5"/>
  <c r="J880" i="5"/>
  <c r="I876" i="5"/>
  <c r="K883" i="5"/>
  <c r="M877" i="5"/>
  <c r="I878" i="5"/>
  <c r="I882" i="5"/>
  <c r="N877" i="5"/>
  <c r="K873" i="5"/>
  <c r="G876" i="5"/>
  <c r="M873" i="5"/>
  <c r="J891" i="5"/>
  <c r="G889" i="5"/>
  <c r="M894" i="5"/>
  <c r="N894" i="5"/>
  <c r="J889" i="5"/>
  <c r="F892" i="5"/>
  <c r="M893" i="5"/>
  <c r="J896" i="5"/>
  <c r="H893" i="5"/>
  <c r="M888" i="5"/>
  <c r="K894" i="5"/>
  <c r="N890" i="5"/>
  <c r="G968" i="5"/>
  <c r="N964" i="5"/>
  <c r="G972" i="5"/>
  <c r="F969" i="5"/>
  <c r="D973" i="5" a="1"/>
  <c r="M971" i="5"/>
  <c r="I967" i="5"/>
  <c r="N969" i="5"/>
  <c r="J965" i="5"/>
  <c r="I963" i="5"/>
  <c r="G969" i="5"/>
  <c r="K964" i="5"/>
  <c r="J971" i="5"/>
  <c r="G967" i="5"/>
  <c r="N968" i="5"/>
  <c r="J982" i="5"/>
  <c r="N986" i="5"/>
  <c r="K985" i="5"/>
  <c r="J980" i="5"/>
  <c r="M987" i="5"/>
  <c r="G984" i="5"/>
  <c r="I980" i="5"/>
  <c r="D980" i="5" s="1" a="1"/>
  <c r="F983" i="5"/>
  <c r="M979" i="5"/>
  <c r="I986" i="5"/>
  <c r="N978" i="5"/>
  <c r="J1045" i="5"/>
  <c r="K1041" i="5"/>
  <c r="K1048" i="5"/>
  <c r="M1042" i="5"/>
  <c r="M1047" i="5"/>
  <c r="F1047" i="5"/>
  <c r="I1039" i="5"/>
  <c r="D1039" i="5" s="1"/>
  <c r="M1038" i="5"/>
  <c r="G1043" i="5"/>
  <c r="I1048" i="5"/>
  <c r="G1047" i="5"/>
  <c r="F1044" i="5"/>
  <c r="D1048" i="5" a="1"/>
  <c r="I1131" i="5"/>
  <c r="K1137" i="5"/>
  <c r="I1133" i="5"/>
  <c r="I1137" i="5"/>
  <c r="N1132" i="5"/>
  <c r="K1128" i="5"/>
  <c r="F1131" i="5"/>
  <c r="N1133" i="5"/>
  <c r="M1136" i="5"/>
  <c r="J1132" i="5"/>
  <c r="J1133" i="5"/>
  <c r="J1228" i="5"/>
  <c r="N1224" i="5"/>
  <c r="N1226" i="5"/>
  <c r="M1221" i="5"/>
  <c r="J1219" i="5"/>
  <c r="G1226" i="5"/>
  <c r="N1221" i="5"/>
  <c r="J1224" i="5"/>
  <c r="M1220" i="5"/>
  <c r="K1226" i="5"/>
  <c r="G1222" i="5"/>
  <c r="N1219" i="5"/>
  <c r="I1226" i="5"/>
  <c r="G1219" i="5"/>
  <c r="J1317" i="5"/>
  <c r="F1315" i="5"/>
  <c r="K1313" i="5"/>
  <c r="K1315" i="5"/>
  <c r="J1308" i="5"/>
  <c r="M1315" i="5"/>
  <c r="K1310" i="5"/>
  <c r="N1317" i="5"/>
  <c r="M1313" i="5"/>
  <c r="N1315" i="5"/>
  <c r="F1309" i="5"/>
  <c r="G1315" i="5"/>
  <c r="J1311" i="5"/>
  <c r="N1308" i="5"/>
  <c r="K1402" i="5"/>
  <c r="G1404" i="5"/>
  <c r="J1400" i="5"/>
  <c r="I1398" i="5"/>
  <c r="I1405" i="5"/>
  <c r="F1403" i="5"/>
  <c r="M1399" i="5"/>
  <c r="K1404" i="5"/>
  <c r="G1401" i="5"/>
  <c r="F1398" i="5"/>
  <c r="M1404" i="5"/>
  <c r="N1400" i="5"/>
  <c r="G1398" i="5"/>
  <c r="I1492" i="5"/>
  <c r="H1488" i="5"/>
  <c r="F1496" i="5"/>
  <c r="I1490" i="5"/>
  <c r="D1490" i="5" s="1" a="1"/>
  <c r="K1489" i="5"/>
  <c r="F1493" i="5"/>
  <c r="M1489" i="5"/>
  <c r="I1494" i="5"/>
  <c r="H1494" i="5" s="1"/>
  <c r="F1490" i="5"/>
  <c r="D1494" i="5" a="1"/>
  <c r="G1490" i="5"/>
  <c r="K1062" i="5"/>
  <c r="J1054" i="5"/>
  <c r="N1056" i="5"/>
  <c r="J1059" i="5"/>
  <c r="F1056" i="5"/>
  <c r="G1058" i="5"/>
  <c r="N1054" i="5"/>
  <c r="G1062" i="5"/>
  <c r="F1059" i="5"/>
  <c r="D1063" i="5" a="1"/>
  <c r="M1061" i="5"/>
  <c r="I1057" i="5"/>
  <c r="D1057" i="5" s="1" a="1"/>
  <c r="M1075" i="5"/>
  <c r="N1071" i="5"/>
  <c r="K1069" i="5"/>
  <c r="N1075" i="5"/>
  <c r="G1071" i="5"/>
  <c r="F1078" i="5"/>
  <c r="N1073" i="5"/>
  <c r="J1072" i="5"/>
  <c r="I1078" i="5"/>
  <c r="N1076" i="5"/>
  <c r="K1075" i="5"/>
  <c r="J1070" i="5"/>
  <c r="M1147" i="5"/>
  <c r="I1148" i="5"/>
  <c r="D1148" i="5" s="1" a="1"/>
  <c r="I1152" i="5"/>
  <c r="N1147" i="5"/>
  <c r="K1143" i="5"/>
  <c r="G1146" i="5"/>
  <c r="M1143" i="5"/>
  <c r="H1152" i="5"/>
  <c r="I1149" i="5"/>
  <c r="F1145" i="5"/>
  <c r="J1152" i="5"/>
  <c r="K1147" i="5"/>
  <c r="K1148" i="5"/>
  <c r="F1162" i="5"/>
  <c r="M1163" i="5"/>
  <c r="J1166" i="5"/>
  <c r="M1158" i="5"/>
  <c r="K1164" i="5"/>
  <c r="N1160" i="5"/>
  <c r="F1164" i="5"/>
  <c r="F1160" i="5"/>
  <c r="J1167" i="5"/>
  <c r="K1162" i="5"/>
  <c r="K1163" i="5"/>
  <c r="G1166" i="5"/>
  <c r="M1161" i="5"/>
  <c r="F1241" i="5"/>
  <c r="M1242" i="5"/>
  <c r="F1242" i="5"/>
  <c r="M1240" i="5"/>
  <c r="F1237" i="5"/>
  <c r="M1234" i="5"/>
  <c r="K1239" i="5"/>
  <c r="M1235" i="5"/>
  <c r="G1243" i="5"/>
  <c r="M1239" i="5"/>
  <c r="N1235" i="5"/>
  <c r="J1243" i="5"/>
  <c r="F1240" i="5"/>
  <c r="G1235" i="5"/>
  <c r="N1252" i="5"/>
  <c r="N1257" i="5"/>
  <c r="G1252" i="5"/>
  <c r="D1249" i="5"/>
  <c r="G1255" i="5"/>
  <c r="H1251" i="5"/>
  <c r="F1248" i="5"/>
  <c r="I1254" i="5"/>
  <c r="D1254" i="5" s="1" a="1"/>
  <c r="G1250" i="5"/>
  <c r="F1255" i="5"/>
  <c r="I1257" i="5"/>
  <c r="D1257" i="5" s="1" a="1"/>
  <c r="M1252" i="5"/>
  <c r="J1248" i="5"/>
  <c r="N1329" i="5"/>
  <c r="J1325" i="5"/>
  <c r="I1323" i="5"/>
  <c r="G1329" i="5"/>
  <c r="K1324" i="5"/>
  <c r="J1331" i="5"/>
  <c r="G1327" i="5"/>
  <c r="N1328" i="5"/>
  <c r="N1330" i="5"/>
  <c r="H1326" i="5"/>
  <c r="F1323" i="5"/>
  <c r="G1330" i="5"/>
  <c r="J1326" i="5"/>
  <c r="G1323" i="5"/>
  <c r="H1325" i="5"/>
  <c r="M1347" i="5"/>
  <c r="G1344" i="5"/>
  <c r="I1340" i="5"/>
  <c r="D1340" i="5" s="1" a="1"/>
  <c r="F1343" i="5"/>
  <c r="M1339" i="5"/>
  <c r="I1346" i="5"/>
  <c r="D1346" i="5" s="1" a="1"/>
  <c r="N1338" i="5"/>
  <c r="I1341" i="5"/>
  <c r="D1341" i="5" s="1" a="1"/>
  <c r="G1338" i="5"/>
  <c r="H1340" i="5"/>
  <c r="K1347" i="5"/>
  <c r="F1346" i="5"/>
  <c r="I1339" i="5"/>
  <c r="K1420" i="5"/>
  <c r="J1413" i="5"/>
  <c r="I1420" i="5"/>
  <c r="M1418" i="5"/>
  <c r="F1418" i="5"/>
  <c r="I1415" i="5"/>
  <c r="D1415" i="5" s="1" a="1"/>
  <c r="K1421" i="5"/>
  <c r="N1413" i="5"/>
  <c r="H1420" i="5"/>
  <c r="G1414" i="5"/>
  <c r="J1420" i="5"/>
  <c r="I1416" i="5"/>
  <c r="D1416" i="5" s="1" a="1"/>
  <c r="K1430" i="5"/>
  <c r="I1428" i="5"/>
  <c r="H1428" i="5" s="1"/>
  <c r="F1437" i="5"/>
  <c r="K1436" i="5"/>
  <c r="H1432" i="5"/>
  <c r="F1429" i="5"/>
  <c r="J1431" i="5"/>
  <c r="G1429" i="5"/>
  <c r="M1434" i="5"/>
  <c r="N1434" i="5"/>
  <c r="J1429" i="5"/>
  <c r="J1091" i="5"/>
  <c r="F1087" i="5"/>
  <c r="I1089" i="5"/>
  <c r="F1085" i="5"/>
  <c r="D1089" i="5" a="1"/>
  <c r="G1085" i="5"/>
  <c r="N1089" i="5"/>
  <c r="N1091" i="5"/>
  <c r="M1086" i="5"/>
  <c r="J1084" i="5"/>
  <c r="G1091" i="5"/>
  <c r="N1086" i="5"/>
  <c r="M1173" i="5"/>
  <c r="G1178" i="5"/>
  <c r="G1182" i="5"/>
  <c r="F1179" i="5"/>
  <c r="D1183" i="5" a="1"/>
  <c r="J1182" i="5"/>
  <c r="F1180" i="5"/>
  <c r="K1178" i="5"/>
  <c r="K1180" i="5"/>
  <c r="J1173" i="5"/>
  <c r="M1180" i="5"/>
  <c r="K1175" i="5"/>
  <c r="F1266" i="5"/>
  <c r="N1268" i="5"/>
  <c r="M1271" i="5"/>
  <c r="J1267" i="5"/>
  <c r="J1268" i="5"/>
  <c r="K1267" i="5"/>
  <c r="G1269" i="5"/>
  <c r="J1265" i="5"/>
  <c r="I1263" i="5"/>
  <c r="I1270" i="5"/>
  <c r="D1270" i="5" s="1" a="1"/>
  <c r="J1359" i="5"/>
  <c r="M1355" i="5"/>
  <c r="K1361" i="5"/>
  <c r="G1357" i="5"/>
  <c r="N1354" i="5"/>
  <c r="I1361" i="5"/>
  <c r="G1354" i="5"/>
  <c r="D1361" i="5" a="1"/>
  <c r="I1357" i="5"/>
  <c r="H1357" i="5" s="1"/>
  <c r="H1353" i="5"/>
  <c r="F1361" i="5"/>
  <c r="I1355" i="5"/>
  <c r="D1355" i="5" s="1" a="1"/>
  <c r="K1354" i="5"/>
  <c r="N1452" i="5"/>
  <c r="M1448" i="5"/>
  <c r="N1450" i="5"/>
  <c r="F1444" i="5"/>
  <c r="G1450" i="5"/>
  <c r="J1446" i="5"/>
  <c r="N1443" i="5"/>
  <c r="J1450" i="5"/>
  <c r="K1446" i="5"/>
  <c r="M1447" i="5"/>
  <c r="M1452" i="5"/>
  <c r="F1452" i="5"/>
  <c r="I1444" i="5"/>
  <c r="J1509" i="5"/>
  <c r="M1505" i="5"/>
  <c r="K1511" i="5"/>
  <c r="G1507" i="5"/>
  <c r="N1504" i="5"/>
  <c r="I1511" i="5"/>
  <c r="G1504" i="5"/>
  <c r="D1511" i="5" a="1"/>
  <c r="I1507" i="5"/>
  <c r="H1507" i="5" s="1"/>
  <c r="H1503" i="5"/>
  <c r="F1511" i="5"/>
  <c r="I1505" i="5"/>
  <c r="D1505" i="5" s="1" a="1"/>
  <c r="K1504" i="5"/>
  <c r="N1015" i="5"/>
  <c r="H1011" i="5"/>
  <c r="F1008" i="5"/>
  <c r="G1015" i="5"/>
  <c r="J1011" i="5"/>
  <c r="G1008" i="5"/>
  <c r="K1017" i="5"/>
  <c r="J1009" i="5"/>
  <c r="N1011" i="5"/>
  <c r="J1014" i="5"/>
  <c r="F1011" i="5"/>
  <c r="I1026" i="5"/>
  <c r="D1026" i="5" s="1" a="1"/>
  <c r="G1023" i="5"/>
  <c r="K1032" i="5"/>
  <c r="F1031" i="5"/>
  <c r="I1024" i="5"/>
  <c r="M1030" i="5"/>
  <c r="N1026" i="5"/>
  <c r="K1024" i="5"/>
  <c r="N1030" i="5"/>
  <c r="G1026" i="5"/>
  <c r="N1028" i="5"/>
  <c r="H1102" i="5"/>
  <c r="F1099" i="5"/>
  <c r="I1106" i="5"/>
  <c r="J1102" i="5"/>
  <c r="J1103" i="5"/>
  <c r="D1106" i="5" a="1"/>
  <c r="K1101" i="5"/>
  <c r="H1098" i="5"/>
  <c r="F1106" i="5"/>
  <c r="M1107" i="5"/>
  <c r="F1107" i="5"/>
  <c r="M1105" i="5"/>
  <c r="F1102" i="5"/>
  <c r="M1099" i="5"/>
  <c r="J1116" i="5"/>
  <c r="G1114" i="5"/>
  <c r="M1119" i="5"/>
  <c r="N1119" i="5"/>
  <c r="J1114" i="5"/>
  <c r="F1117" i="5"/>
  <c r="M1118" i="5"/>
  <c r="J1121" i="5"/>
  <c r="H1118" i="5"/>
  <c r="M1113" i="5"/>
  <c r="K1119" i="5"/>
  <c r="N1115" i="5"/>
  <c r="G1193" i="5"/>
  <c r="N1189" i="5"/>
  <c r="G1197" i="5"/>
  <c r="F1194" i="5"/>
  <c r="D1198" i="5" a="1"/>
  <c r="M1196" i="5"/>
  <c r="I1192" i="5"/>
  <c r="N1194" i="5"/>
  <c r="J1190" i="5"/>
  <c r="I1188" i="5"/>
  <c r="G1194" i="5"/>
  <c r="K1189" i="5"/>
  <c r="J1196" i="5"/>
  <c r="G1192" i="5"/>
  <c r="N1193" i="5"/>
  <c r="M1211" i="5"/>
  <c r="I1207" i="5"/>
  <c r="D1207" i="5" s="1" a="1"/>
  <c r="J1208" i="5"/>
  <c r="J1210" i="5"/>
  <c r="K1206" i="5"/>
  <c r="I1210" i="5"/>
  <c r="I1208" i="5"/>
  <c r="N1207" i="5"/>
  <c r="D1208" i="5" a="1"/>
  <c r="N1212" i="5"/>
  <c r="G1207" i="5"/>
  <c r="G1210" i="5"/>
  <c r="F1203" i="5"/>
  <c r="I1284" i="5"/>
  <c r="H1284" i="5" s="1"/>
  <c r="F1280" i="5"/>
  <c r="J1287" i="5"/>
  <c r="K1282" i="5"/>
  <c r="K1283" i="5"/>
  <c r="K1285" i="5"/>
  <c r="J1278" i="5"/>
  <c r="I1285" i="5"/>
  <c r="M1283" i="5"/>
  <c r="F1283" i="5"/>
  <c r="I1280" i="5"/>
  <c r="D1280" i="5" s="1" a="1"/>
  <c r="J1297" i="5"/>
  <c r="N1301" i="5"/>
  <c r="K1300" i="5"/>
  <c r="J1295" i="5"/>
  <c r="M1302" i="5"/>
  <c r="G1299" i="5"/>
  <c r="I1295" i="5"/>
  <c r="D1295" i="5" s="1" a="1"/>
  <c r="F1298" i="5"/>
  <c r="M1294" i="5"/>
  <c r="I1301" i="5"/>
  <c r="N1293" i="5"/>
  <c r="K1374" i="5"/>
  <c r="M1370" i="5"/>
  <c r="M1374" i="5"/>
  <c r="N1370" i="5"/>
  <c r="F1375" i="5"/>
  <c r="G1370" i="5"/>
  <c r="N1376" i="5"/>
  <c r="M1371" i="5"/>
  <c r="I1369" i="5"/>
  <c r="G1376" i="5"/>
  <c r="K1370" i="5"/>
  <c r="N1377" i="5"/>
  <c r="F1389" i="5"/>
  <c r="F1385" i="5"/>
  <c r="J1392" i="5"/>
  <c r="K1387" i="5"/>
  <c r="K1388" i="5"/>
  <c r="G1391" i="5"/>
  <c r="M1386" i="5"/>
  <c r="H1389" i="5"/>
  <c r="K1385" i="5"/>
  <c r="I1383" i="5"/>
  <c r="F1392" i="5"/>
  <c r="K1391" i="5"/>
  <c r="F1384" i="5"/>
  <c r="N1465" i="5"/>
  <c r="H1461" i="5"/>
  <c r="F1458" i="5"/>
  <c r="G1465" i="5"/>
  <c r="J1461" i="5"/>
  <c r="G1458" i="5"/>
  <c r="K1467" i="5"/>
  <c r="J1459" i="5"/>
  <c r="N1461" i="5"/>
  <c r="M1468" i="5"/>
  <c r="J1464" i="5"/>
  <c r="F1461" i="5"/>
  <c r="I1479" i="5"/>
  <c r="D1479" i="5" s="1" a="1"/>
  <c r="G1475" i="5"/>
  <c r="F1480" i="5"/>
  <c r="I1482" i="5"/>
  <c r="M1477" i="5"/>
  <c r="J1473" i="5"/>
  <c r="F1476" i="5"/>
  <c r="K1473" i="5"/>
  <c r="J1479" i="5"/>
  <c r="M1475" i="5"/>
  <c r="G1482" i="5"/>
  <c r="G1478" i="5"/>
  <c r="N1474" i="5"/>
  <c r="N1528" i="5"/>
  <c r="K1527" i="5"/>
  <c r="F1519" i="5"/>
  <c r="G1525" i="5"/>
  <c r="J1521" i="5"/>
  <c r="G1518" i="5"/>
  <c r="K1522" i="5"/>
  <c r="K1523" i="5"/>
  <c r="F1526" i="5"/>
  <c r="N1521" i="5"/>
  <c r="J1526" i="5"/>
  <c r="G1522" i="5"/>
  <c r="N1523" i="5"/>
  <c r="G1564" i="5"/>
  <c r="J1570" i="5"/>
  <c r="I1566" i="5"/>
  <c r="M1567" i="5"/>
  <c r="I1568" i="5"/>
  <c r="D1568" i="5" s="1" a="1"/>
  <c r="I1572" i="5"/>
  <c r="N1567" i="5"/>
  <c r="K1563" i="5"/>
  <c r="G1566" i="5"/>
  <c r="M1563" i="5"/>
  <c r="J1587" i="5"/>
  <c r="K1582" i="5"/>
  <c r="K1583" i="5"/>
  <c r="G1586" i="5"/>
  <c r="M1581" i="5"/>
  <c r="M1588" i="5"/>
  <c r="K1580" i="5"/>
  <c r="I1578" i="5"/>
  <c r="F1587" i="5"/>
  <c r="K1586" i="5"/>
  <c r="H1582" i="5"/>
  <c r="F1579" i="5"/>
  <c r="J1581" i="5"/>
  <c r="G1579" i="5"/>
  <c r="I1661" i="5"/>
  <c r="J1657" i="5"/>
  <c r="J1658" i="5"/>
  <c r="D1661" i="5" a="1"/>
  <c r="K1656" i="5"/>
  <c r="H1653" i="5"/>
  <c r="F1661" i="5"/>
  <c r="M1662" i="5"/>
  <c r="F1662" i="5"/>
  <c r="M1660" i="5"/>
  <c r="F1657" i="5"/>
  <c r="M1654" i="5"/>
  <c r="K1659" i="5"/>
  <c r="M1655" i="5"/>
  <c r="F1675" i="5"/>
  <c r="D1678" i="5" a="1"/>
  <c r="I1677" i="5"/>
  <c r="H1677" i="5" s="1"/>
  <c r="M1672" i="5"/>
  <c r="J1668" i="5"/>
  <c r="F1671" i="5"/>
  <c r="K1668" i="5"/>
  <c r="J1674" i="5"/>
  <c r="M1670" i="5"/>
  <c r="G1677" i="5"/>
  <c r="G1673" i="5"/>
  <c r="N1669" i="5"/>
  <c r="M1676" i="5"/>
  <c r="I1672" i="5"/>
  <c r="J1673" i="5"/>
  <c r="G1752" i="5"/>
  <c r="F1749" i="5"/>
  <c r="M1751" i="5"/>
  <c r="I1747" i="5"/>
  <c r="N1749" i="5"/>
  <c r="J1745" i="5"/>
  <c r="I1743" i="5"/>
  <c r="G1749" i="5"/>
  <c r="K1744" i="5"/>
  <c r="J1751" i="5"/>
  <c r="G1747" i="5"/>
  <c r="N1748" i="5"/>
  <c r="N1750" i="5"/>
  <c r="F1743" i="5"/>
  <c r="K1767" i="5"/>
  <c r="F1766" i="5"/>
  <c r="I1759" i="5"/>
  <c r="M1765" i="5"/>
  <c r="N1761" i="5"/>
  <c r="K1759" i="5"/>
  <c r="N1765" i="5"/>
  <c r="G1761" i="5"/>
  <c r="N1763" i="5"/>
  <c r="J1762" i="5"/>
  <c r="K1600" i="5"/>
  <c r="J1593" i="5"/>
  <c r="M1600" i="5"/>
  <c r="K1595" i="5"/>
  <c r="N1602" i="5"/>
  <c r="M1598" i="5"/>
  <c r="N1600" i="5"/>
  <c r="F1594" i="5"/>
  <c r="G1600" i="5"/>
  <c r="J1596" i="5"/>
  <c r="N1593" i="5"/>
  <c r="J1600" i="5"/>
  <c r="K1596" i="5"/>
  <c r="G1689" i="5"/>
  <c r="J1685" i="5"/>
  <c r="I1683" i="5"/>
  <c r="I1690" i="5"/>
  <c r="F1688" i="5"/>
  <c r="M1684" i="5"/>
  <c r="K1689" i="5"/>
  <c r="G1686" i="5"/>
  <c r="F1683" i="5"/>
  <c r="M1689" i="5"/>
  <c r="N1685" i="5"/>
  <c r="G1683" i="5"/>
  <c r="H1690" i="5"/>
  <c r="I1686" i="5"/>
  <c r="F1781" i="5"/>
  <c r="I1775" i="5"/>
  <c r="D1775" i="5" s="1" a="1"/>
  <c r="K1774" i="5"/>
  <c r="J1781" i="5"/>
  <c r="F1777" i="5"/>
  <c r="I1779" i="5"/>
  <c r="H1779" i="5" s="1"/>
  <c r="F1775" i="5"/>
  <c r="D1779" i="5" a="1"/>
  <c r="G1775" i="5"/>
  <c r="N1779" i="5"/>
  <c r="H1775" i="5"/>
  <c r="J1541" i="5"/>
  <c r="M1533" i="5"/>
  <c r="K1539" i="5"/>
  <c r="N1535" i="5"/>
  <c r="F1539" i="5"/>
  <c r="F1535" i="5"/>
  <c r="J1542" i="5"/>
  <c r="K1537" i="5"/>
  <c r="K1538" i="5"/>
  <c r="M69" i="5"/>
  <c r="N65" i="5"/>
  <c r="F70" i="5"/>
  <c r="G65" i="5"/>
  <c r="N71" i="5"/>
  <c r="M66" i="5"/>
  <c r="I64" i="5"/>
  <c r="G71" i="5"/>
  <c r="K65" i="5"/>
  <c r="N72" i="5"/>
  <c r="F64" i="5"/>
  <c r="N86" i="5"/>
  <c r="D82" i="5" a="1"/>
  <c r="K85" i="5"/>
  <c r="J80" i="5"/>
  <c r="M87" i="5"/>
  <c r="G84" i="5"/>
  <c r="I80" i="5"/>
  <c r="D80" i="5" s="1" a="1"/>
  <c r="F83" i="5"/>
  <c r="M79" i="5"/>
  <c r="I86" i="5"/>
  <c r="D86" i="5" s="1" a="1"/>
  <c r="N78" i="5"/>
  <c r="I81" i="5"/>
  <c r="G78" i="5"/>
  <c r="G154" i="5"/>
  <c r="J160" i="5"/>
  <c r="I156" i="5"/>
  <c r="H156" i="5" s="1"/>
  <c r="M157" i="5"/>
  <c r="I158" i="5"/>
  <c r="D158" i="5" s="1" a="1"/>
  <c r="I162" i="5"/>
  <c r="N157" i="5"/>
  <c r="K153" i="5"/>
  <c r="G156" i="5"/>
  <c r="M153" i="5"/>
  <c r="F175" i="5"/>
  <c r="D178" i="5" a="1"/>
  <c r="I177" i="5"/>
  <c r="H177" i="5" s="1"/>
  <c r="M172" i="5"/>
  <c r="J168" i="5"/>
  <c r="F171" i="5"/>
  <c r="K168" i="5"/>
  <c r="J174" i="5"/>
  <c r="M170" i="5"/>
  <c r="G177" i="5"/>
  <c r="G173" i="5"/>
  <c r="N169" i="5"/>
  <c r="M176" i="5"/>
  <c r="I172" i="5"/>
  <c r="J173" i="5"/>
  <c r="G252" i="5"/>
  <c r="F249" i="5"/>
  <c r="M251" i="5"/>
  <c r="I247" i="5"/>
  <c r="H247" i="5" s="1"/>
  <c r="H244" i="5"/>
  <c r="N249" i="5"/>
  <c r="J245" i="5"/>
  <c r="I243" i="5"/>
  <c r="G249" i="5"/>
  <c r="K244" i="5"/>
  <c r="J251" i="5"/>
  <c r="G247" i="5"/>
  <c r="N248" i="5"/>
  <c r="N250" i="5"/>
  <c r="F243" i="5"/>
  <c r="M264" i="5"/>
  <c r="D261" i="5" a="1"/>
  <c r="N264" i="5"/>
  <c r="J259" i="5"/>
  <c r="H266" i="5"/>
  <c r="F262" i="5"/>
  <c r="M263" i="5"/>
  <c r="J266" i="5"/>
  <c r="H263" i="5"/>
  <c r="M258" i="5"/>
  <c r="K264" i="5"/>
  <c r="N260" i="5"/>
  <c r="F264" i="5"/>
  <c r="F260" i="5"/>
  <c r="M339" i="5"/>
  <c r="N335" i="5"/>
  <c r="F340" i="5"/>
  <c r="G335" i="5"/>
  <c r="N341" i="5"/>
  <c r="M336" i="5"/>
  <c r="I334" i="5"/>
  <c r="G341" i="5"/>
  <c r="K335" i="5"/>
  <c r="N342" i="5"/>
  <c r="F334" i="5"/>
  <c r="N356" i="5"/>
  <c r="D352" i="5" a="1"/>
  <c r="K355" i="5"/>
  <c r="J350" i="5"/>
  <c r="M357" i="5"/>
  <c r="G354" i="5"/>
  <c r="I350" i="5"/>
  <c r="D350" i="5" s="1" a="1"/>
  <c r="F353" i="5"/>
  <c r="M349" i="5"/>
  <c r="I356" i="5"/>
  <c r="D356" i="5" s="1" a="1"/>
  <c r="N348" i="5"/>
  <c r="I351" i="5"/>
  <c r="G348" i="5"/>
  <c r="G424" i="5"/>
  <c r="J430" i="5"/>
  <c r="I426" i="5"/>
  <c r="H426" i="5" s="1"/>
  <c r="M427" i="5"/>
  <c r="I428" i="5"/>
  <c r="D428" i="5" s="1" a="1"/>
  <c r="I432" i="5"/>
  <c r="N427" i="5"/>
  <c r="K423" i="5"/>
  <c r="G426" i="5"/>
  <c r="M423" i="5"/>
  <c r="F445" i="5"/>
  <c r="D448" i="5" a="1"/>
  <c r="I447" i="5"/>
  <c r="H447" i="5" s="1"/>
  <c r="M442" i="5"/>
  <c r="J438" i="5"/>
  <c r="F441" i="5"/>
  <c r="K438" i="5"/>
  <c r="J444" i="5"/>
  <c r="M440" i="5"/>
  <c r="G447" i="5"/>
  <c r="G443" i="5"/>
  <c r="N439" i="5"/>
  <c r="M446" i="5"/>
  <c r="I442" i="5"/>
  <c r="J443" i="5"/>
  <c r="F11" i="5"/>
  <c r="I5" i="5"/>
  <c r="D5" i="5" s="1" a="1"/>
  <c r="K4" i="5"/>
  <c r="J11" i="5"/>
  <c r="F7" i="5"/>
  <c r="I9" i="5"/>
  <c r="H9" i="5" s="1"/>
  <c r="F5" i="5"/>
  <c r="D9" i="5" a="1"/>
  <c r="G5" i="5"/>
  <c r="N9" i="5"/>
  <c r="H5" i="5"/>
  <c r="F101" i="5"/>
  <c r="I95" i="5"/>
  <c r="D95" i="5" s="1" a="1"/>
  <c r="M103" i="5"/>
  <c r="K94" i="5"/>
  <c r="J101" i="5"/>
  <c r="F97" i="5"/>
  <c r="I99" i="5"/>
  <c r="H99" i="5" s="1"/>
  <c r="F95" i="5"/>
  <c r="G103" i="5"/>
  <c r="D99" i="5" a="1"/>
  <c r="G95" i="5"/>
  <c r="J103" i="5"/>
  <c r="N99" i="5"/>
  <c r="H95" i="5"/>
  <c r="F191" i="5"/>
  <c r="I185" i="5"/>
  <c r="D185" i="5" s="1" a="1"/>
  <c r="K184" i="5"/>
  <c r="J191" i="5"/>
  <c r="F187" i="5"/>
  <c r="I189" i="5"/>
  <c r="H189" i="5" s="1"/>
  <c r="F185" i="5"/>
  <c r="D189" i="5" a="1"/>
  <c r="G185" i="5"/>
  <c r="N189" i="5"/>
  <c r="H185" i="5"/>
  <c r="F281" i="5"/>
  <c r="I275" i="5"/>
  <c r="D275" i="5" s="1" a="1"/>
  <c r="K274" i="5"/>
  <c r="J281" i="5"/>
  <c r="F277" i="5"/>
  <c r="I279" i="5"/>
  <c r="H279" i="5" s="1"/>
  <c r="F275" i="5"/>
  <c r="D279" i="5" a="1"/>
  <c r="G275" i="5"/>
  <c r="N279" i="5"/>
  <c r="H275" i="5"/>
  <c r="F371" i="5"/>
  <c r="I365" i="5"/>
  <c r="D365" i="5" s="1" a="1"/>
  <c r="M373" i="5"/>
  <c r="K364" i="5"/>
  <c r="J371" i="5"/>
  <c r="F367" i="5"/>
  <c r="I369" i="5"/>
  <c r="H369" i="5" s="1"/>
  <c r="F365" i="5"/>
  <c r="G373" i="5"/>
  <c r="D369" i="5" a="1"/>
  <c r="G365" i="5"/>
  <c r="J373" i="5"/>
  <c r="N369" i="5"/>
  <c r="H365" i="5"/>
  <c r="H460" i="5"/>
  <c r="N462" i="5"/>
  <c r="K461" i="5"/>
  <c r="I461" i="5"/>
  <c r="D461" i="5" s="1" a="1"/>
  <c r="I458" i="5"/>
  <c r="D458" i="5" s="1" a="1"/>
  <c r="N457" i="5"/>
  <c r="K453" i="5"/>
  <c r="H458" i="5"/>
  <c r="M453" i="5"/>
  <c r="G456" i="5"/>
  <c r="F453" i="5"/>
  <c r="N455" i="5"/>
  <c r="G453" i="5"/>
  <c r="H455" i="5"/>
  <c r="M27" i="5"/>
  <c r="F27" i="5"/>
  <c r="M25" i="5"/>
  <c r="F22" i="5"/>
  <c r="M19" i="5"/>
  <c r="K24" i="5"/>
  <c r="M20" i="5"/>
  <c r="M24" i="5"/>
  <c r="N20" i="5"/>
  <c r="F25" i="5"/>
  <c r="G20" i="5"/>
  <c r="N26" i="5"/>
  <c r="M21" i="5"/>
  <c r="I19" i="5"/>
  <c r="D19" i="5" s="1"/>
  <c r="J41" i="5"/>
  <c r="M33" i="5"/>
  <c r="K39" i="5"/>
  <c r="N35" i="5"/>
  <c r="F39" i="5"/>
  <c r="F35" i="5"/>
  <c r="J42" i="5"/>
  <c r="K37" i="5"/>
  <c r="K38" i="5"/>
  <c r="G41" i="5"/>
  <c r="M36" i="5"/>
  <c r="H39" i="5"/>
  <c r="K35" i="5"/>
  <c r="I33" i="5"/>
  <c r="I115" i="5"/>
  <c r="M113" i="5"/>
  <c r="F113" i="5"/>
  <c r="I110" i="5"/>
  <c r="D110" i="5" s="1" a="1"/>
  <c r="K116" i="5"/>
  <c r="N108" i="5"/>
  <c r="H115" i="5"/>
  <c r="G109" i="5"/>
  <c r="J115" i="5"/>
  <c r="I111" i="5"/>
  <c r="M112" i="5"/>
  <c r="I113" i="5"/>
  <c r="F128" i="5"/>
  <c r="M124" i="5"/>
  <c r="I131" i="5"/>
  <c r="N123" i="5"/>
  <c r="H130" i="5"/>
  <c r="I126" i="5"/>
  <c r="D126" i="5" s="1" a="1"/>
  <c r="G123" i="5"/>
  <c r="K132" i="5"/>
  <c r="F131" i="5"/>
  <c r="I124" i="5"/>
  <c r="M130" i="5"/>
  <c r="N126" i="5"/>
  <c r="K124" i="5"/>
  <c r="N201" i="5"/>
  <c r="J204" i="5"/>
  <c r="F201" i="5"/>
  <c r="G203" i="5"/>
  <c r="N199" i="5"/>
  <c r="G207" i="5"/>
  <c r="F204" i="5"/>
  <c r="D208" i="5" a="1"/>
  <c r="M206" i="5"/>
  <c r="I202" i="5"/>
  <c r="H199" i="5"/>
  <c r="N204" i="5"/>
  <c r="J200" i="5"/>
  <c r="I198" i="5"/>
  <c r="D198" i="5" s="1"/>
  <c r="J219" i="5"/>
  <c r="M215" i="5"/>
  <c r="G222" i="5"/>
  <c r="G218" i="5"/>
  <c r="N214" i="5"/>
  <c r="M221" i="5"/>
  <c r="I217" i="5"/>
  <c r="D217" i="5" s="1" a="1"/>
  <c r="J218" i="5"/>
  <c r="J220" i="5"/>
  <c r="K216" i="5"/>
  <c r="H213" i="5"/>
  <c r="I220" i="5"/>
  <c r="I218" i="5"/>
  <c r="H218" i="5" s="1"/>
  <c r="N217" i="5"/>
  <c r="D218" i="5" a="1"/>
  <c r="M297" i="5"/>
  <c r="F297" i="5"/>
  <c r="M295" i="5"/>
  <c r="F292" i="5"/>
  <c r="M289" i="5"/>
  <c r="K294" i="5"/>
  <c r="M290" i="5"/>
  <c r="G298" i="5"/>
  <c r="M294" i="5"/>
  <c r="N290" i="5"/>
  <c r="J298" i="5"/>
  <c r="F295" i="5"/>
  <c r="G290" i="5"/>
  <c r="N296" i="5"/>
  <c r="M291" i="5"/>
  <c r="I289" i="5"/>
  <c r="D289" i="5" s="1"/>
  <c r="J311" i="5"/>
  <c r="M303" i="5"/>
  <c r="K309" i="5"/>
  <c r="N305" i="5"/>
  <c r="G313" i="5"/>
  <c r="F309" i="5"/>
  <c r="F305" i="5"/>
  <c r="J312" i="5"/>
  <c r="K307" i="5"/>
  <c r="K308" i="5"/>
  <c r="G311" i="5"/>
  <c r="M306" i="5"/>
  <c r="M313" i="5"/>
  <c r="H309" i="5"/>
  <c r="K305" i="5"/>
  <c r="I303" i="5"/>
  <c r="I385" i="5"/>
  <c r="M383" i="5"/>
  <c r="F383" i="5"/>
  <c r="I380" i="5"/>
  <c r="D380" i="5" s="1" a="1"/>
  <c r="K386" i="5"/>
  <c r="N378" i="5"/>
  <c r="H385" i="5"/>
  <c r="G379" i="5"/>
  <c r="J385" i="5"/>
  <c r="I381" i="5"/>
  <c r="M382" i="5"/>
  <c r="I383" i="5"/>
  <c r="N403" i="5"/>
  <c r="F398" i="5"/>
  <c r="M394" i="5"/>
  <c r="I401" i="5"/>
  <c r="N393" i="5"/>
  <c r="H400" i="5"/>
  <c r="I396" i="5"/>
  <c r="D396" i="5" s="1" a="1"/>
  <c r="G393" i="5"/>
  <c r="K402" i="5"/>
  <c r="F401" i="5"/>
  <c r="I394" i="5"/>
  <c r="M400" i="5"/>
  <c r="N396" i="5"/>
  <c r="K394" i="5"/>
  <c r="I54" i="5"/>
  <c r="F50" i="5"/>
  <c r="D54" i="5" a="1"/>
  <c r="G50" i="5"/>
  <c r="N54" i="5"/>
  <c r="N56" i="5"/>
  <c r="M51" i="5"/>
  <c r="J49" i="5"/>
  <c r="G56" i="5"/>
  <c r="N51" i="5"/>
  <c r="J54" i="5"/>
  <c r="M50" i="5"/>
  <c r="I144" i="5"/>
  <c r="F140" i="5"/>
  <c r="D144" i="5" a="1"/>
  <c r="G140" i="5"/>
  <c r="N144" i="5"/>
  <c r="N146" i="5"/>
  <c r="M141" i="5"/>
  <c r="J139" i="5"/>
  <c r="G146" i="5"/>
  <c r="N141" i="5"/>
  <c r="J144" i="5"/>
  <c r="M140" i="5"/>
  <c r="I234" i="5"/>
  <c r="F230" i="5"/>
  <c r="D234" i="5" a="1"/>
  <c r="G230" i="5"/>
  <c r="N234" i="5"/>
  <c r="N236" i="5"/>
  <c r="M231" i="5"/>
  <c r="J229" i="5"/>
  <c r="G236" i="5"/>
  <c r="N231" i="5"/>
  <c r="J234" i="5"/>
  <c r="M230" i="5"/>
  <c r="I324" i="5"/>
  <c r="F320" i="5"/>
  <c r="D324" i="5" a="1"/>
  <c r="G320" i="5"/>
  <c r="N324" i="5"/>
  <c r="N326" i="5"/>
  <c r="M321" i="5"/>
  <c r="J319" i="5"/>
  <c r="G326" i="5"/>
  <c r="N321" i="5"/>
  <c r="J324" i="5"/>
  <c r="M320" i="5"/>
  <c r="I414" i="5"/>
  <c r="F410" i="5"/>
  <c r="D414" i="5" a="1"/>
  <c r="G410" i="5"/>
  <c r="N414" i="5"/>
  <c r="N416" i="5"/>
  <c r="M411" i="5"/>
  <c r="J409" i="5"/>
  <c r="G416" i="5"/>
  <c r="N411" i="5"/>
  <c r="J414" i="5"/>
  <c r="M410" i="5"/>
  <c r="I546" i="5"/>
  <c r="K552" i="5"/>
  <c r="D547" i="5" a="1"/>
  <c r="I548" i="5"/>
  <c r="I552" i="5"/>
  <c r="N547" i="5"/>
  <c r="K543" i="5"/>
  <c r="F546" i="5"/>
  <c r="H547" i="5"/>
  <c r="N548" i="5"/>
  <c r="M551" i="5"/>
  <c r="J547" i="5"/>
  <c r="J548" i="5"/>
  <c r="I636" i="5"/>
  <c r="K642" i="5"/>
  <c r="D637" i="5" a="1"/>
  <c r="I638" i="5"/>
  <c r="I642" i="5"/>
  <c r="N637" i="5"/>
  <c r="K633" i="5"/>
  <c r="F636" i="5"/>
  <c r="N643" i="5"/>
  <c r="H637" i="5"/>
  <c r="N638" i="5"/>
  <c r="M641" i="5"/>
  <c r="J637" i="5"/>
  <c r="J638" i="5"/>
  <c r="I726" i="5"/>
  <c r="K732" i="5"/>
  <c r="D727" i="5" a="1"/>
  <c r="I728" i="5"/>
  <c r="I732" i="5"/>
  <c r="N727" i="5"/>
  <c r="K723" i="5"/>
  <c r="F726" i="5"/>
  <c r="H727" i="5"/>
  <c r="N728" i="5"/>
  <c r="M731" i="5"/>
  <c r="J727" i="5"/>
  <c r="J728" i="5"/>
  <c r="I816" i="5"/>
  <c r="K822" i="5"/>
  <c r="D817" i="5" a="1"/>
  <c r="I818" i="5"/>
  <c r="I822" i="5"/>
  <c r="N817" i="5"/>
  <c r="K813" i="5"/>
  <c r="F816" i="5"/>
  <c r="H817" i="5"/>
  <c r="N818" i="5"/>
  <c r="M821" i="5"/>
  <c r="J817" i="5"/>
  <c r="J818" i="5"/>
  <c r="I906" i="5"/>
  <c r="K912" i="5"/>
  <c r="D907" i="5" a="1"/>
  <c r="I908" i="5"/>
  <c r="I912" i="5"/>
  <c r="N907" i="5"/>
  <c r="K903" i="5"/>
  <c r="F906" i="5"/>
  <c r="H907" i="5"/>
  <c r="N908" i="5"/>
  <c r="M911" i="5"/>
  <c r="J907" i="5"/>
  <c r="J908" i="5"/>
  <c r="J999" i="5"/>
  <c r="M995" i="5"/>
  <c r="G998" i="5"/>
  <c r="M999" i="5"/>
  <c r="N995" i="5"/>
  <c r="J1000" i="5"/>
  <c r="K996" i="5"/>
  <c r="K1000" i="5"/>
  <c r="I1002" i="5"/>
  <c r="H1002" i="5" s="1"/>
  <c r="N997" i="5"/>
  <c r="K994" i="5"/>
  <c r="J998" i="5"/>
  <c r="N476" i="5"/>
  <c r="M471" i="5"/>
  <c r="I469" i="5"/>
  <c r="H469" i="5" s="1"/>
  <c r="G476" i="5"/>
  <c r="K470" i="5"/>
  <c r="N477" i="5"/>
  <c r="H474" i="5"/>
  <c r="H472" i="5"/>
  <c r="F469" i="5"/>
  <c r="I476" i="5"/>
  <c r="H476" i="5" s="1"/>
  <c r="J472" i="5"/>
  <c r="J473" i="5"/>
  <c r="D476" i="5" a="1"/>
  <c r="K471" i="5"/>
  <c r="M490" i="5"/>
  <c r="N486" i="5"/>
  <c r="K484" i="5"/>
  <c r="N490" i="5"/>
  <c r="G486" i="5"/>
  <c r="N488" i="5"/>
  <c r="H492" i="5"/>
  <c r="J487" i="5"/>
  <c r="N491" i="5"/>
  <c r="K490" i="5"/>
  <c r="J485" i="5"/>
  <c r="M562" i="5"/>
  <c r="I563" i="5"/>
  <c r="D563" i="5" s="1" a="1"/>
  <c r="I567" i="5"/>
  <c r="N562" i="5"/>
  <c r="K558" i="5"/>
  <c r="G561" i="5"/>
  <c r="M558" i="5"/>
  <c r="H567" i="5"/>
  <c r="I564" i="5"/>
  <c r="D564" i="5" s="1" a="1"/>
  <c r="F560" i="5"/>
  <c r="J567" i="5"/>
  <c r="K562" i="5"/>
  <c r="K563" i="5"/>
  <c r="N577" i="5"/>
  <c r="N582" i="5"/>
  <c r="G577" i="5"/>
  <c r="D574" i="5"/>
  <c r="G580" i="5"/>
  <c r="H576" i="5"/>
  <c r="F573" i="5"/>
  <c r="I579" i="5"/>
  <c r="G575" i="5"/>
  <c r="F580" i="5"/>
  <c r="I582" i="5"/>
  <c r="D582" i="5" s="1" a="1"/>
  <c r="M577" i="5"/>
  <c r="J573" i="5"/>
  <c r="N654" i="5"/>
  <c r="J650" i="5"/>
  <c r="I648" i="5"/>
  <c r="H648" i="5" s="1"/>
  <c r="G654" i="5"/>
  <c r="K649" i="5"/>
  <c r="J656" i="5"/>
  <c r="G652" i="5"/>
  <c r="N653" i="5"/>
  <c r="N655" i="5"/>
  <c r="H651" i="5"/>
  <c r="F648" i="5"/>
  <c r="G655" i="5"/>
  <c r="J651" i="5"/>
  <c r="G648" i="5"/>
  <c r="H650" i="5"/>
  <c r="K665" i="5"/>
  <c r="I663" i="5"/>
  <c r="F672" i="5"/>
  <c r="K671" i="5"/>
  <c r="H667" i="5"/>
  <c r="F664" i="5"/>
  <c r="J666" i="5"/>
  <c r="G664" i="5"/>
  <c r="M669" i="5"/>
  <c r="N669" i="5"/>
  <c r="J664" i="5"/>
  <c r="N746" i="5"/>
  <c r="M741" i="5"/>
  <c r="I739" i="5"/>
  <c r="H739" i="5" s="1"/>
  <c r="G746" i="5"/>
  <c r="K740" i="5"/>
  <c r="N747" i="5"/>
  <c r="H744" i="5"/>
  <c r="N748" i="5"/>
  <c r="H742" i="5"/>
  <c r="F739" i="5"/>
  <c r="I746" i="5"/>
  <c r="H746" i="5" s="1"/>
  <c r="J742" i="5"/>
  <c r="J743" i="5"/>
  <c r="D746" i="5" a="1"/>
  <c r="K741" i="5"/>
  <c r="M760" i="5"/>
  <c r="N756" i="5"/>
  <c r="K754" i="5"/>
  <c r="N760" i="5"/>
  <c r="G756" i="5"/>
  <c r="N758" i="5"/>
  <c r="H762" i="5"/>
  <c r="J757" i="5"/>
  <c r="N761" i="5"/>
  <c r="K760" i="5"/>
  <c r="J755" i="5"/>
  <c r="M832" i="5"/>
  <c r="I833" i="5"/>
  <c r="D833" i="5" s="1" a="1"/>
  <c r="I837" i="5"/>
  <c r="N832" i="5"/>
  <c r="K828" i="5"/>
  <c r="G831" i="5"/>
  <c r="M828" i="5"/>
  <c r="H837" i="5"/>
  <c r="I834" i="5"/>
  <c r="D834" i="5" s="1" a="1"/>
  <c r="F830" i="5"/>
  <c r="J837" i="5"/>
  <c r="K832" i="5"/>
  <c r="K833" i="5"/>
  <c r="N847" i="5"/>
  <c r="N852" i="5"/>
  <c r="G847" i="5"/>
  <c r="D844" i="5"/>
  <c r="G850" i="5"/>
  <c r="H846" i="5"/>
  <c r="F843" i="5"/>
  <c r="I849" i="5"/>
  <c r="G845" i="5"/>
  <c r="F850" i="5"/>
  <c r="I852" i="5"/>
  <c r="D852" i="5" s="1" a="1"/>
  <c r="M847" i="5"/>
  <c r="J843" i="5"/>
  <c r="N924" i="5"/>
  <c r="J920" i="5"/>
  <c r="I918" i="5"/>
  <c r="H918" i="5" s="1"/>
  <c r="G924" i="5"/>
  <c r="K919" i="5"/>
  <c r="J926" i="5"/>
  <c r="G922" i="5"/>
  <c r="N923" i="5"/>
  <c r="N925" i="5"/>
  <c r="H921" i="5"/>
  <c r="F918" i="5"/>
  <c r="G925" i="5"/>
  <c r="J921" i="5"/>
  <c r="G918" i="5"/>
  <c r="H920" i="5"/>
  <c r="K935" i="5"/>
  <c r="I933" i="5"/>
  <c r="F942" i="5"/>
  <c r="K941" i="5"/>
  <c r="H937" i="5"/>
  <c r="F934" i="5"/>
  <c r="J936" i="5"/>
  <c r="G934" i="5"/>
  <c r="M939" i="5"/>
  <c r="N939" i="5"/>
  <c r="J934" i="5"/>
  <c r="F501" i="5"/>
  <c r="N503" i="5"/>
  <c r="M506" i="5"/>
  <c r="J502" i="5"/>
  <c r="J503" i="5"/>
  <c r="K502" i="5"/>
  <c r="G504" i="5"/>
  <c r="J500" i="5"/>
  <c r="I498" i="5"/>
  <c r="D498" i="5" s="1"/>
  <c r="I505" i="5"/>
  <c r="D505" i="5" s="1" a="1"/>
  <c r="F591" i="5"/>
  <c r="N593" i="5"/>
  <c r="M596" i="5"/>
  <c r="J592" i="5"/>
  <c r="J593" i="5"/>
  <c r="K592" i="5"/>
  <c r="G594" i="5"/>
  <c r="J590" i="5"/>
  <c r="I588" i="5"/>
  <c r="D588" i="5" s="1"/>
  <c r="I595" i="5"/>
  <c r="D595" i="5" s="1" a="1"/>
  <c r="F681" i="5"/>
  <c r="N683" i="5"/>
  <c r="M686" i="5"/>
  <c r="J682" i="5"/>
  <c r="J683" i="5"/>
  <c r="K682" i="5"/>
  <c r="G684" i="5"/>
  <c r="J680" i="5"/>
  <c r="I678" i="5"/>
  <c r="D678" i="5" s="1"/>
  <c r="I685" i="5"/>
  <c r="D685" i="5" s="1" a="1"/>
  <c r="F771" i="5"/>
  <c r="N773" i="5"/>
  <c r="M776" i="5"/>
  <c r="J772" i="5"/>
  <c r="J773" i="5"/>
  <c r="K772" i="5"/>
  <c r="G774" i="5"/>
  <c r="J770" i="5"/>
  <c r="I768" i="5"/>
  <c r="D768" i="5" s="1"/>
  <c r="I775" i="5"/>
  <c r="D775" i="5" s="1" a="1"/>
  <c r="F861" i="5"/>
  <c r="N863" i="5"/>
  <c r="M866" i="5"/>
  <c r="J862" i="5"/>
  <c r="J863" i="5"/>
  <c r="K862" i="5"/>
  <c r="G864" i="5"/>
  <c r="J860" i="5"/>
  <c r="I858" i="5"/>
  <c r="D858" i="5" s="1"/>
  <c r="I865" i="5"/>
  <c r="D865" i="5" s="1" a="1"/>
  <c r="F951" i="5"/>
  <c r="N958" i="5"/>
  <c r="N953" i="5"/>
  <c r="M956" i="5"/>
  <c r="J952" i="5"/>
  <c r="J953" i="5"/>
  <c r="K952" i="5"/>
  <c r="G954" i="5"/>
  <c r="J950" i="5"/>
  <c r="I948" i="5"/>
  <c r="D948" i="5" s="1"/>
  <c r="I955" i="5"/>
  <c r="D955" i="5" s="1" a="1"/>
  <c r="F523" i="5"/>
  <c r="I523" i="5"/>
  <c r="I519" i="5"/>
  <c r="F515" i="5"/>
  <c r="J522" i="5"/>
  <c r="K517" i="5"/>
  <c r="K518" i="5"/>
  <c r="K520" i="5"/>
  <c r="J513" i="5"/>
  <c r="I520" i="5"/>
  <c r="M518" i="5"/>
  <c r="F518" i="5"/>
  <c r="I515" i="5"/>
  <c r="F534" i="5"/>
  <c r="F530" i="5"/>
  <c r="J537" i="5"/>
  <c r="K532" i="5"/>
  <c r="K533" i="5"/>
  <c r="G536" i="5"/>
  <c r="M531" i="5"/>
  <c r="H534" i="5"/>
  <c r="K530" i="5"/>
  <c r="I528" i="5"/>
  <c r="D528" i="5" s="1"/>
  <c r="F537" i="5"/>
  <c r="K536" i="5"/>
  <c r="F529" i="5"/>
  <c r="N610" i="5"/>
  <c r="H606" i="5"/>
  <c r="F603" i="5"/>
  <c r="G610" i="5"/>
  <c r="J606" i="5"/>
  <c r="G603" i="5"/>
  <c r="K612" i="5"/>
  <c r="J604" i="5"/>
  <c r="H611" i="5"/>
  <c r="N606" i="5"/>
  <c r="J609" i="5"/>
  <c r="F606" i="5"/>
  <c r="H625" i="5"/>
  <c r="I621" i="5"/>
  <c r="G618" i="5"/>
  <c r="K627" i="5"/>
  <c r="F626" i="5"/>
  <c r="I619" i="5"/>
  <c r="D619" i="5" s="1"/>
  <c r="M625" i="5"/>
  <c r="N621" i="5"/>
  <c r="K619" i="5"/>
  <c r="N625" i="5"/>
  <c r="G621" i="5"/>
  <c r="F628" i="5"/>
  <c r="N623" i="5"/>
  <c r="N703" i="5"/>
  <c r="H697" i="5"/>
  <c r="F694" i="5"/>
  <c r="I701" i="5"/>
  <c r="J697" i="5"/>
  <c r="J698" i="5"/>
  <c r="D701" i="5" a="1"/>
  <c r="K696" i="5"/>
  <c r="H693" i="5"/>
  <c r="F701" i="5"/>
  <c r="M702" i="5"/>
  <c r="F702" i="5"/>
  <c r="M700" i="5"/>
  <c r="F697" i="5"/>
  <c r="M694" i="5"/>
  <c r="M716" i="5"/>
  <c r="I712" i="5"/>
  <c r="J713" i="5"/>
  <c r="J715" i="5"/>
  <c r="K711" i="5"/>
  <c r="H708" i="5"/>
  <c r="I715" i="5"/>
  <c r="I713" i="5"/>
  <c r="N712" i="5"/>
  <c r="D713" i="5" a="1"/>
  <c r="N717" i="5"/>
  <c r="G712" i="5"/>
  <c r="G715" i="5"/>
  <c r="F708" i="5"/>
  <c r="I789" i="5"/>
  <c r="F785" i="5"/>
  <c r="J792" i="5"/>
  <c r="K787" i="5"/>
  <c r="K788" i="5"/>
  <c r="K790" i="5"/>
  <c r="J783" i="5"/>
  <c r="I790" i="5"/>
  <c r="M788" i="5"/>
  <c r="F788" i="5"/>
  <c r="I785" i="5"/>
  <c r="F804" i="5"/>
  <c r="F800" i="5"/>
  <c r="J807" i="5"/>
  <c r="K802" i="5"/>
  <c r="K803" i="5"/>
  <c r="G806" i="5"/>
  <c r="M801" i="5"/>
  <c r="H804" i="5"/>
  <c r="K800" i="5"/>
  <c r="I798" i="5"/>
  <c r="D798" i="5" s="1"/>
  <c r="F807" i="5"/>
  <c r="K806" i="5"/>
  <c r="F799" i="5"/>
  <c r="N880" i="5"/>
  <c r="H876" i="5"/>
  <c r="F873" i="5"/>
  <c r="G880" i="5"/>
  <c r="J876" i="5"/>
  <c r="G873" i="5"/>
  <c r="K882" i="5"/>
  <c r="J874" i="5"/>
  <c r="H881" i="5"/>
  <c r="N876" i="5"/>
  <c r="M883" i="5"/>
  <c r="J879" i="5"/>
  <c r="F876" i="5"/>
  <c r="H895" i="5"/>
  <c r="I891" i="5"/>
  <c r="G888" i="5"/>
  <c r="K897" i="5"/>
  <c r="F896" i="5"/>
  <c r="I889" i="5"/>
  <c r="D889" i="5" s="1"/>
  <c r="M895" i="5"/>
  <c r="N891" i="5"/>
  <c r="K889" i="5"/>
  <c r="N895" i="5"/>
  <c r="G891" i="5"/>
  <c r="N893" i="5"/>
  <c r="N973" i="5"/>
  <c r="H967" i="5"/>
  <c r="F964" i="5"/>
  <c r="I971" i="5"/>
  <c r="J967" i="5"/>
  <c r="J968" i="5"/>
  <c r="D971" i="5" a="1"/>
  <c r="K966" i="5"/>
  <c r="H963" i="5"/>
  <c r="F971" i="5"/>
  <c r="M972" i="5"/>
  <c r="F972" i="5"/>
  <c r="M970" i="5"/>
  <c r="F967" i="5"/>
  <c r="M964" i="5"/>
  <c r="M986" i="5"/>
  <c r="I982" i="5"/>
  <c r="J983" i="5"/>
  <c r="J985" i="5"/>
  <c r="K981" i="5"/>
  <c r="H978" i="5"/>
  <c r="I985" i="5"/>
  <c r="I983" i="5"/>
  <c r="N982" i="5"/>
  <c r="D983" i="5" a="1"/>
  <c r="N987" i="5"/>
  <c r="G982" i="5"/>
  <c r="G985" i="5"/>
  <c r="F978" i="5"/>
  <c r="I1041" i="5"/>
  <c r="K1047" i="5"/>
  <c r="D1042" i="5" a="1"/>
  <c r="I1043" i="5"/>
  <c r="I1047" i="5"/>
  <c r="N1042" i="5"/>
  <c r="K1038" i="5"/>
  <c r="F1041" i="5"/>
  <c r="N1048" i="5"/>
  <c r="H1042" i="5"/>
  <c r="N1043" i="5"/>
  <c r="M1046" i="5"/>
  <c r="J1042" i="5"/>
  <c r="J1043" i="5"/>
  <c r="N1134" i="5"/>
  <c r="N1136" i="5"/>
  <c r="M1131" i="5"/>
  <c r="J1129" i="5"/>
  <c r="G1136" i="5"/>
  <c r="N1131" i="5"/>
  <c r="J1134" i="5"/>
  <c r="M1130" i="5"/>
  <c r="K1136" i="5"/>
  <c r="G1132" i="5"/>
  <c r="N1129" i="5"/>
  <c r="I1136" i="5"/>
  <c r="H1136" i="5" s="1"/>
  <c r="G1129" i="5"/>
  <c r="J1227" i="5"/>
  <c r="F1225" i="5"/>
  <c r="K1223" i="5"/>
  <c r="K1225" i="5"/>
  <c r="D1221" i="5" a="1"/>
  <c r="J1218" i="5"/>
  <c r="M1225" i="5"/>
  <c r="K1220" i="5"/>
  <c r="N1227" i="5"/>
  <c r="F1228" i="5"/>
  <c r="M1223" i="5"/>
  <c r="N1225" i="5"/>
  <c r="H1221" i="5"/>
  <c r="F1219" i="5"/>
  <c r="G1225" i="5"/>
  <c r="J1221" i="5"/>
  <c r="N1218" i="5"/>
  <c r="K1312" i="5"/>
  <c r="G1314" i="5"/>
  <c r="J1310" i="5"/>
  <c r="I1308" i="5"/>
  <c r="D1308" i="5" s="1"/>
  <c r="I1315" i="5"/>
  <c r="F1313" i="5"/>
  <c r="M1309" i="5"/>
  <c r="K1314" i="5"/>
  <c r="G1311" i="5"/>
  <c r="F1308" i="5"/>
  <c r="M1314" i="5"/>
  <c r="N1310" i="5"/>
  <c r="G1308" i="5"/>
  <c r="I1402" i="5"/>
  <c r="H1398" i="5"/>
  <c r="F1406" i="5"/>
  <c r="I1400" i="5"/>
  <c r="D1400" i="5" s="1" a="1"/>
  <c r="M1408" i="5"/>
  <c r="K1399" i="5"/>
  <c r="J1406" i="5"/>
  <c r="F1402" i="5"/>
  <c r="I1404" i="5"/>
  <c r="H1404" i="5" s="1"/>
  <c r="F1400" i="5"/>
  <c r="G1408" i="5"/>
  <c r="D1404" i="5" a="1"/>
  <c r="G1400" i="5"/>
  <c r="J1495" i="5"/>
  <c r="K1491" i="5"/>
  <c r="M1492" i="5"/>
  <c r="M1497" i="5"/>
  <c r="F1497" i="5"/>
  <c r="I1489" i="5"/>
  <c r="H1489" i="5" s="1"/>
  <c r="J1496" i="5"/>
  <c r="F1492" i="5"/>
  <c r="D1489" i="5"/>
  <c r="G1493" i="5"/>
  <c r="G1497" i="5"/>
  <c r="F1494" i="5"/>
  <c r="D1498" i="5" a="1"/>
  <c r="N1061" i="5"/>
  <c r="M1056" i="5"/>
  <c r="I1054" i="5"/>
  <c r="H1054" i="5" s="1"/>
  <c r="G1061" i="5"/>
  <c r="K1055" i="5"/>
  <c r="N1062" i="5"/>
  <c r="H1059" i="5"/>
  <c r="H1057" i="5"/>
  <c r="F1054" i="5"/>
  <c r="I1061" i="5"/>
  <c r="H1061" i="5" s="1"/>
  <c r="J1057" i="5"/>
  <c r="J1058" i="5"/>
  <c r="D1061" i="5" a="1"/>
  <c r="K1056" i="5"/>
  <c r="F1071" i="5"/>
  <c r="K1068" i="5"/>
  <c r="J1074" i="5"/>
  <c r="M1070" i="5"/>
  <c r="G1077" i="5"/>
  <c r="G1073" i="5"/>
  <c r="N1069" i="5"/>
  <c r="M1076" i="5"/>
  <c r="I1072" i="5"/>
  <c r="D1072" i="5" s="1" a="1"/>
  <c r="J1073" i="5"/>
  <c r="J1075" i="5"/>
  <c r="K1071" i="5"/>
  <c r="I1075" i="5"/>
  <c r="D1075" i="5" s="1" a="1"/>
  <c r="I1073" i="5"/>
  <c r="H1073" i="5" s="1"/>
  <c r="K1152" i="5"/>
  <c r="J1144" i="5"/>
  <c r="N1146" i="5"/>
  <c r="J1149" i="5"/>
  <c r="F1146" i="5"/>
  <c r="G1148" i="5"/>
  <c r="N1144" i="5"/>
  <c r="G1152" i="5"/>
  <c r="F1149" i="5"/>
  <c r="D1153" i="5" a="1"/>
  <c r="M1151" i="5"/>
  <c r="I1147" i="5"/>
  <c r="D1147" i="5" s="1" a="1"/>
  <c r="M1165" i="5"/>
  <c r="N1161" i="5"/>
  <c r="K1159" i="5"/>
  <c r="N1165" i="5"/>
  <c r="G1161" i="5"/>
  <c r="N1163" i="5"/>
  <c r="H1167" i="5"/>
  <c r="J1162" i="5"/>
  <c r="N1166" i="5"/>
  <c r="K1165" i="5"/>
  <c r="J1160" i="5"/>
  <c r="K1243" i="5"/>
  <c r="M1237" i="5"/>
  <c r="I1238" i="5"/>
  <c r="D1238" i="5" s="1" a="1"/>
  <c r="I1242" i="5"/>
  <c r="N1237" i="5"/>
  <c r="K1233" i="5"/>
  <c r="G1236" i="5"/>
  <c r="M1233" i="5"/>
  <c r="F1243" i="5"/>
  <c r="I1243" i="5"/>
  <c r="H1242" i="5"/>
  <c r="I1239" i="5"/>
  <c r="D1239" i="5" s="1" a="1"/>
  <c r="F1235" i="5"/>
  <c r="J1242" i="5"/>
  <c r="K1237" i="5"/>
  <c r="K1238" i="5"/>
  <c r="H1256" i="5"/>
  <c r="F1252" i="5"/>
  <c r="M1253" i="5"/>
  <c r="J1256" i="5"/>
  <c r="M1248" i="5"/>
  <c r="K1254" i="5"/>
  <c r="N1250" i="5"/>
  <c r="F1254" i="5"/>
  <c r="F1250" i="5"/>
  <c r="J1257" i="5"/>
  <c r="K1252" i="5"/>
  <c r="K1253" i="5"/>
  <c r="G1256" i="5"/>
  <c r="M1251" i="5"/>
  <c r="F1331" i="5"/>
  <c r="M1332" i="5"/>
  <c r="F1332" i="5"/>
  <c r="M1330" i="5"/>
  <c r="F1327" i="5"/>
  <c r="M1324" i="5"/>
  <c r="K1329" i="5"/>
  <c r="M1325" i="5"/>
  <c r="M1329" i="5"/>
  <c r="N1325" i="5"/>
  <c r="F1330" i="5"/>
  <c r="G1325" i="5"/>
  <c r="N1342" i="5"/>
  <c r="N1347" i="5"/>
  <c r="G1342" i="5"/>
  <c r="D1339" i="5"/>
  <c r="G1345" i="5"/>
  <c r="H1341" i="5"/>
  <c r="F1338" i="5"/>
  <c r="I1344" i="5"/>
  <c r="G1340" i="5"/>
  <c r="F1345" i="5"/>
  <c r="I1347" i="5"/>
  <c r="D1347" i="5" s="1" a="1"/>
  <c r="M1342" i="5"/>
  <c r="J1338" i="5"/>
  <c r="N1419" i="5"/>
  <c r="J1415" i="5"/>
  <c r="I1413" i="5"/>
  <c r="H1413" i="5" s="1"/>
  <c r="G1419" i="5"/>
  <c r="K1414" i="5"/>
  <c r="J1421" i="5"/>
  <c r="G1417" i="5"/>
  <c r="N1418" i="5"/>
  <c r="N1420" i="5"/>
  <c r="H1416" i="5"/>
  <c r="F1413" i="5"/>
  <c r="G1420" i="5"/>
  <c r="J1416" i="5"/>
  <c r="G1413" i="5"/>
  <c r="H1415" i="5"/>
  <c r="M1437" i="5"/>
  <c r="G1434" i="5"/>
  <c r="I1430" i="5"/>
  <c r="D1430" i="5" s="1" a="1"/>
  <c r="F1433" i="5"/>
  <c r="M1429" i="5"/>
  <c r="I1436" i="5"/>
  <c r="D1436" i="5" s="1" a="1"/>
  <c r="N1428" i="5"/>
  <c r="H1435" i="5"/>
  <c r="I1431" i="5"/>
  <c r="D1431" i="5" s="1" a="1"/>
  <c r="G1428" i="5"/>
  <c r="H1430" i="5"/>
  <c r="K1437" i="5"/>
  <c r="F1436" i="5"/>
  <c r="I1429" i="5"/>
  <c r="H1088" i="5"/>
  <c r="M1083" i="5"/>
  <c r="G1088" i="5"/>
  <c r="G1092" i="5"/>
  <c r="F1089" i="5"/>
  <c r="D1093" i="5" a="1"/>
  <c r="J1092" i="5"/>
  <c r="F1090" i="5"/>
  <c r="K1088" i="5"/>
  <c r="K1090" i="5"/>
  <c r="D1086" i="5" a="1"/>
  <c r="J1083" i="5"/>
  <c r="M1090" i="5"/>
  <c r="K1085" i="5"/>
  <c r="F1176" i="5"/>
  <c r="N1178" i="5"/>
  <c r="M1181" i="5"/>
  <c r="J1177" i="5"/>
  <c r="J1178" i="5"/>
  <c r="K1177" i="5"/>
  <c r="G1179" i="5"/>
  <c r="J1175" i="5"/>
  <c r="I1173" i="5"/>
  <c r="D1173" i="5" s="1"/>
  <c r="I1180" i="5"/>
  <c r="D1180" i="5" s="1" a="1"/>
  <c r="J1269" i="5"/>
  <c r="M1265" i="5"/>
  <c r="K1271" i="5"/>
  <c r="G1267" i="5"/>
  <c r="N1264" i="5"/>
  <c r="I1271" i="5"/>
  <c r="H1271" i="5" s="1"/>
  <c r="G1264" i="5"/>
  <c r="D1271" i="5" a="1"/>
  <c r="I1267" i="5"/>
  <c r="H1267" i="5" s="1"/>
  <c r="H1263" i="5"/>
  <c r="F1271" i="5"/>
  <c r="I1265" i="5"/>
  <c r="D1265" i="5" s="1" a="1"/>
  <c r="K1264" i="5"/>
  <c r="N1362" i="5"/>
  <c r="M1358" i="5"/>
  <c r="N1360" i="5"/>
  <c r="F1354" i="5"/>
  <c r="G1360" i="5"/>
  <c r="J1356" i="5"/>
  <c r="N1353" i="5"/>
  <c r="J1360" i="5"/>
  <c r="K1356" i="5"/>
  <c r="M1357" i="5"/>
  <c r="M1362" i="5"/>
  <c r="F1362" i="5"/>
  <c r="I1354" i="5"/>
  <c r="H1354" i="5" s="1"/>
  <c r="F1448" i="5"/>
  <c r="M1444" i="5"/>
  <c r="K1449" i="5"/>
  <c r="G1446" i="5"/>
  <c r="F1443" i="5"/>
  <c r="M1449" i="5"/>
  <c r="N1445" i="5"/>
  <c r="G1443" i="5"/>
  <c r="I1446" i="5"/>
  <c r="H1446" i="5" s="1"/>
  <c r="K1452" i="5"/>
  <c r="D1447" i="5" a="1"/>
  <c r="I1448" i="5"/>
  <c r="D1448" i="5" s="1" a="1"/>
  <c r="I1452" i="5"/>
  <c r="D1452" i="5" s="1" a="1"/>
  <c r="N1447" i="5"/>
  <c r="K1443" i="5"/>
  <c r="N1512" i="5"/>
  <c r="M1508" i="5"/>
  <c r="N1510" i="5"/>
  <c r="F1504" i="5"/>
  <c r="G1510" i="5"/>
  <c r="J1506" i="5"/>
  <c r="N1503" i="5"/>
  <c r="J1510" i="5"/>
  <c r="K1506" i="5"/>
  <c r="M1507" i="5"/>
  <c r="M1512" i="5"/>
  <c r="F1512" i="5"/>
  <c r="I1504" i="5"/>
  <c r="H1504" i="5" s="1"/>
  <c r="K1014" i="5"/>
  <c r="M1010" i="5"/>
  <c r="M1014" i="5"/>
  <c r="N1010" i="5"/>
  <c r="F1015" i="5"/>
  <c r="G1010" i="5"/>
  <c r="N1016" i="5"/>
  <c r="M1011" i="5"/>
  <c r="I1009" i="5"/>
  <c r="G1016" i="5"/>
  <c r="K1010" i="5"/>
  <c r="N1017" i="5"/>
  <c r="I1029" i="5"/>
  <c r="D1029" i="5" s="1" a="1"/>
  <c r="G1025" i="5"/>
  <c r="F1030" i="5"/>
  <c r="I1032" i="5"/>
  <c r="M1027" i="5"/>
  <c r="J1023" i="5"/>
  <c r="F1026" i="5"/>
  <c r="K1023" i="5"/>
  <c r="J1029" i="5"/>
  <c r="M1025" i="5"/>
  <c r="G1032" i="5"/>
  <c r="G1028" i="5"/>
  <c r="N1024" i="5"/>
  <c r="K1106" i="5"/>
  <c r="N1098" i="5"/>
  <c r="G1099" i="5"/>
  <c r="J1105" i="5"/>
  <c r="I1101" i="5"/>
  <c r="M1102" i="5"/>
  <c r="I1103" i="5"/>
  <c r="I1107" i="5"/>
  <c r="N1102" i="5"/>
  <c r="K1098" i="5"/>
  <c r="G1101" i="5"/>
  <c r="M1098" i="5"/>
  <c r="H1120" i="5"/>
  <c r="I1116" i="5"/>
  <c r="G1113" i="5"/>
  <c r="K1122" i="5"/>
  <c r="F1121" i="5"/>
  <c r="I1114" i="5"/>
  <c r="D1114" i="5" s="1"/>
  <c r="M1120" i="5"/>
  <c r="N1116" i="5"/>
  <c r="K1114" i="5"/>
  <c r="N1120" i="5"/>
  <c r="G1116" i="5"/>
  <c r="N1118" i="5"/>
  <c r="H1192" i="5"/>
  <c r="F1189" i="5"/>
  <c r="I1196" i="5"/>
  <c r="J1192" i="5"/>
  <c r="J1193" i="5"/>
  <c r="D1196" i="5" a="1"/>
  <c r="K1191" i="5"/>
  <c r="H1188" i="5"/>
  <c r="F1196" i="5"/>
  <c r="M1197" i="5"/>
  <c r="F1197" i="5"/>
  <c r="M1195" i="5"/>
  <c r="F1192" i="5"/>
  <c r="M1189" i="5"/>
  <c r="D1211" i="5" a="1"/>
  <c r="J1206" i="5"/>
  <c r="G1204" i="5"/>
  <c r="M1209" i="5"/>
  <c r="N1209" i="5"/>
  <c r="J1204" i="5"/>
  <c r="H1211" i="5"/>
  <c r="F1207" i="5"/>
  <c r="M1208" i="5"/>
  <c r="J1211" i="5"/>
  <c r="H1208" i="5"/>
  <c r="M1203" i="5"/>
  <c r="K1209" i="5"/>
  <c r="N1205" i="5"/>
  <c r="G1283" i="5"/>
  <c r="N1279" i="5"/>
  <c r="G1287" i="5"/>
  <c r="F1284" i="5"/>
  <c r="D1288" i="5" a="1"/>
  <c r="M1286" i="5"/>
  <c r="I1282" i="5"/>
  <c r="H1279" i="5"/>
  <c r="N1284" i="5"/>
  <c r="J1280" i="5"/>
  <c r="I1278" i="5"/>
  <c r="G1284" i="5"/>
  <c r="K1279" i="5"/>
  <c r="J1286" i="5"/>
  <c r="G1282" i="5"/>
  <c r="N1283" i="5"/>
  <c r="M1301" i="5"/>
  <c r="I1297" i="5"/>
  <c r="J1298" i="5"/>
  <c r="J1300" i="5"/>
  <c r="K1296" i="5"/>
  <c r="H1293" i="5"/>
  <c r="I1300" i="5"/>
  <c r="I1298" i="5"/>
  <c r="N1297" i="5"/>
  <c r="D1298" i="5" a="1"/>
  <c r="N1302" i="5"/>
  <c r="G1297" i="5"/>
  <c r="G1300" i="5"/>
  <c r="F1293" i="5"/>
  <c r="I1374" i="5"/>
  <c r="F1370" i="5"/>
  <c r="J1377" i="5"/>
  <c r="K1372" i="5"/>
  <c r="K1373" i="5"/>
  <c r="K1375" i="5"/>
  <c r="J1368" i="5"/>
  <c r="I1375" i="5"/>
  <c r="M1373" i="5"/>
  <c r="F1373" i="5"/>
  <c r="I1370" i="5"/>
  <c r="H1392" i="5"/>
  <c r="J1387" i="5"/>
  <c r="N1391" i="5"/>
  <c r="K1390" i="5"/>
  <c r="J1385" i="5"/>
  <c r="M1392" i="5"/>
  <c r="G1389" i="5"/>
  <c r="I1385" i="5"/>
  <c r="D1385" i="5" s="1" a="1"/>
  <c r="F1388" i="5"/>
  <c r="M1384" i="5"/>
  <c r="I1391" i="5"/>
  <c r="N1383" i="5"/>
  <c r="K1464" i="5"/>
  <c r="M1460" i="5"/>
  <c r="G1468" i="5"/>
  <c r="M1464" i="5"/>
  <c r="N1460" i="5"/>
  <c r="J1468" i="5"/>
  <c r="F1465" i="5"/>
  <c r="G1460" i="5"/>
  <c r="N1466" i="5"/>
  <c r="M1461" i="5"/>
  <c r="I1459" i="5"/>
  <c r="G1466" i="5"/>
  <c r="K1460" i="5"/>
  <c r="N1467" i="5"/>
  <c r="F1479" i="5"/>
  <c r="F1475" i="5"/>
  <c r="J1482" i="5"/>
  <c r="K1477" i="5"/>
  <c r="K1478" i="5"/>
  <c r="G1481" i="5"/>
  <c r="M1476" i="5"/>
  <c r="H1479" i="5"/>
  <c r="K1475" i="5"/>
  <c r="I1473" i="5"/>
  <c r="D1473" i="5" s="1"/>
  <c r="F1482" i="5"/>
  <c r="K1481" i="5"/>
  <c r="F1474" i="5"/>
  <c r="M1527" i="5"/>
  <c r="G1528" i="5"/>
  <c r="K1526" i="5"/>
  <c r="N1518" i="5"/>
  <c r="M1524" i="5"/>
  <c r="N1520" i="5"/>
  <c r="M1526" i="5"/>
  <c r="I1522" i="5"/>
  <c r="H1522" i="5" s="1"/>
  <c r="M1522" i="5"/>
  <c r="I1523" i="5"/>
  <c r="G1526" i="5"/>
  <c r="K1520" i="5"/>
  <c r="M1525" i="5"/>
  <c r="F1522" i="5"/>
  <c r="M1519" i="5"/>
  <c r="G1570" i="5"/>
  <c r="J1566" i="5"/>
  <c r="G1563" i="5"/>
  <c r="K1572" i="5"/>
  <c r="J1564" i="5"/>
  <c r="H1571" i="5"/>
  <c r="N1566" i="5"/>
  <c r="J1569" i="5"/>
  <c r="F1566" i="5"/>
  <c r="G1568" i="5"/>
  <c r="N1564" i="5"/>
  <c r="N1586" i="5"/>
  <c r="D1582" i="5" a="1"/>
  <c r="K1585" i="5"/>
  <c r="J1580" i="5"/>
  <c r="M1587" i="5"/>
  <c r="G1584" i="5"/>
  <c r="I1580" i="5"/>
  <c r="D1580" i="5" s="1" a="1"/>
  <c r="N1588" i="5"/>
  <c r="F1583" i="5"/>
  <c r="M1579" i="5"/>
  <c r="I1586" i="5"/>
  <c r="D1586" i="5" s="1" a="1"/>
  <c r="N1578" i="5"/>
  <c r="I1581" i="5"/>
  <c r="G1578" i="5"/>
  <c r="G1654" i="5"/>
  <c r="J1660" i="5"/>
  <c r="I1656" i="5"/>
  <c r="H1656" i="5" s="1"/>
  <c r="M1657" i="5"/>
  <c r="I1658" i="5"/>
  <c r="D1658" i="5" s="1" a="1"/>
  <c r="I1662" i="5"/>
  <c r="N1657" i="5"/>
  <c r="K1653" i="5"/>
  <c r="G1656" i="5"/>
  <c r="M1653" i="5"/>
  <c r="J1677" i="5"/>
  <c r="K1672" i="5"/>
  <c r="K1673" i="5"/>
  <c r="G1676" i="5"/>
  <c r="M1671" i="5"/>
  <c r="K1670" i="5"/>
  <c r="I1668" i="5"/>
  <c r="D1668" i="5" s="1"/>
  <c r="F1677" i="5"/>
  <c r="K1676" i="5"/>
  <c r="H1672" i="5"/>
  <c r="F1669" i="5"/>
  <c r="J1671" i="5"/>
  <c r="G1669" i="5"/>
  <c r="I1751" i="5"/>
  <c r="J1747" i="5"/>
  <c r="J1748" i="5"/>
  <c r="D1751" i="5" a="1"/>
  <c r="K1746" i="5"/>
  <c r="H1743" i="5"/>
  <c r="F1751" i="5"/>
  <c r="M1752" i="5"/>
  <c r="F1752" i="5"/>
  <c r="M1750" i="5"/>
  <c r="F1747" i="5"/>
  <c r="M1744" i="5"/>
  <c r="K1749" i="5"/>
  <c r="M1745" i="5"/>
  <c r="F1765" i="5"/>
  <c r="D1768" i="5" a="1"/>
  <c r="I1767" i="5"/>
  <c r="H1767" i="5" s="1"/>
  <c r="M1762" i="5"/>
  <c r="J1758" i="5"/>
  <c r="F1761" i="5"/>
  <c r="K1758" i="5"/>
  <c r="J1764" i="5"/>
  <c r="M1760" i="5"/>
  <c r="G1767" i="5"/>
  <c r="G1763" i="5"/>
  <c r="N1759" i="5"/>
  <c r="M1766" i="5"/>
  <c r="I1762" i="5"/>
  <c r="J1763" i="5"/>
  <c r="G1599" i="5"/>
  <c r="J1595" i="5"/>
  <c r="I1593" i="5"/>
  <c r="I1600" i="5"/>
  <c r="F1598" i="5"/>
  <c r="M1594" i="5"/>
  <c r="K1599" i="5"/>
  <c r="G1596" i="5"/>
  <c r="F1593" i="5"/>
  <c r="M1599" i="5"/>
  <c r="N1595" i="5"/>
  <c r="G1593" i="5"/>
  <c r="H1600" i="5"/>
  <c r="I1596" i="5"/>
  <c r="F1691" i="5"/>
  <c r="I1685" i="5"/>
  <c r="D1685" i="5" s="1" a="1"/>
  <c r="K1684" i="5"/>
  <c r="J1691" i="5"/>
  <c r="F1687" i="5"/>
  <c r="I1689" i="5"/>
  <c r="H1689" i="5" s="1"/>
  <c r="F1685" i="5"/>
  <c r="D1689" i="5" a="1"/>
  <c r="G1685" i="5"/>
  <c r="N1689" i="5"/>
  <c r="H1685" i="5"/>
  <c r="M1777" i="5"/>
  <c r="M1782" i="5"/>
  <c r="F1782" i="5"/>
  <c r="I1774" i="5"/>
  <c r="D1774" i="5" s="1"/>
  <c r="M1773" i="5"/>
  <c r="G1778" i="5"/>
  <c r="G1782" i="5"/>
  <c r="F1779" i="5"/>
  <c r="D1783" i="5" a="1"/>
  <c r="J1782" i="5"/>
  <c r="F1780" i="5"/>
  <c r="K1778" i="5"/>
  <c r="N1540" i="5"/>
  <c r="G1536" i="5"/>
  <c r="N1538" i="5"/>
  <c r="J1537" i="5"/>
  <c r="N1541" i="5"/>
  <c r="H72" i="5"/>
  <c r="I69" i="5"/>
  <c r="F65" i="5"/>
  <c r="J72" i="5"/>
  <c r="K67" i="5"/>
  <c r="K68" i="5"/>
  <c r="K70" i="5"/>
  <c r="D66" i="5" a="1"/>
  <c r="J63" i="5"/>
  <c r="I70" i="5"/>
  <c r="M68" i="5"/>
  <c r="D72" i="5" a="1"/>
  <c r="F68" i="5"/>
  <c r="I65" i="5"/>
  <c r="K71" i="5"/>
  <c r="H68" i="5"/>
  <c r="N63" i="5"/>
  <c r="J85" i="5"/>
  <c r="K81" i="5"/>
  <c r="H78" i="5"/>
  <c r="I85" i="5"/>
  <c r="I83" i="5"/>
  <c r="D87" i="5" a="1"/>
  <c r="N82" i="5"/>
  <c r="D83" i="5" a="1"/>
  <c r="N87" i="5"/>
  <c r="G82" i="5"/>
  <c r="G85" i="5"/>
  <c r="H81" i="5"/>
  <c r="F78" i="5"/>
  <c r="I84" i="5"/>
  <c r="H84" i="5" s="1"/>
  <c r="G80" i="5"/>
  <c r="G160" i="5"/>
  <c r="J156" i="5"/>
  <c r="G153" i="5"/>
  <c r="K162" i="5"/>
  <c r="D157" i="5" a="1"/>
  <c r="J154" i="5"/>
  <c r="H161" i="5"/>
  <c r="N156" i="5"/>
  <c r="J159" i="5"/>
  <c r="F156" i="5"/>
  <c r="D153" i="5"/>
  <c r="G158" i="5"/>
  <c r="N154" i="5"/>
  <c r="J177" i="5"/>
  <c r="K172" i="5"/>
  <c r="K173" i="5"/>
  <c r="G176" i="5"/>
  <c r="M171" i="5"/>
  <c r="K170" i="5"/>
  <c r="I168" i="5"/>
  <c r="D168" i="5" s="1"/>
  <c r="F177" i="5"/>
  <c r="K176" i="5"/>
  <c r="H172" i="5"/>
  <c r="F169" i="5"/>
  <c r="J171" i="5"/>
  <c r="G169" i="5"/>
  <c r="I251" i="5"/>
  <c r="J247" i="5"/>
  <c r="J248" i="5"/>
  <c r="D251" i="5" a="1"/>
  <c r="K246" i="5"/>
  <c r="H243" i="5"/>
  <c r="F251" i="5"/>
  <c r="M252" i="5"/>
  <c r="F252" i="5"/>
  <c r="D244" i="5"/>
  <c r="M250" i="5"/>
  <c r="F247" i="5"/>
  <c r="M244" i="5"/>
  <c r="K249" i="5"/>
  <c r="M245" i="5"/>
  <c r="D264" i="5" a="1"/>
  <c r="H260" i="5"/>
  <c r="K267" i="5"/>
  <c r="F266" i="5"/>
  <c r="I259" i="5"/>
  <c r="M265" i="5"/>
  <c r="N261" i="5"/>
  <c r="K259" i="5"/>
  <c r="N265" i="5"/>
  <c r="G261" i="5"/>
  <c r="N263" i="5"/>
  <c r="J262" i="5"/>
  <c r="H342" i="5"/>
  <c r="I339" i="5"/>
  <c r="F335" i="5"/>
  <c r="J342" i="5"/>
  <c r="K337" i="5"/>
  <c r="K338" i="5"/>
  <c r="K340" i="5"/>
  <c r="D336" i="5" a="1"/>
  <c r="J333" i="5"/>
  <c r="I340" i="5"/>
  <c r="M338" i="5"/>
  <c r="D342" i="5" a="1"/>
  <c r="F338" i="5"/>
  <c r="I335" i="5"/>
  <c r="K341" i="5"/>
  <c r="H338" i="5"/>
  <c r="N333" i="5"/>
  <c r="J355" i="5"/>
  <c r="K351" i="5"/>
  <c r="H348" i="5"/>
  <c r="I355" i="5"/>
  <c r="I353" i="5"/>
  <c r="D357" i="5" a="1"/>
  <c r="N352" i="5"/>
  <c r="D353" i="5" a="1"/>
  <c r="N357" i="5"/>
  <c r="G352" i="5"/>
  <c r="G355" i="5"/>
  <c r="H351" i="5"/>
  <c r="F348" i="5"/>
  <c r="I354" i="5"/>
  <c r="H354" i="5" s="1"/>
  <c r="G350" i="5"/>
  <c r="G430" i="5"/>
  <c r="J426" i="5"/>
  <c r="G423" i="5"/>
  <c r="K432" i="5"/>
  <c r="D427" i="5" a="1"/>
  <c r="J424" i="5"/>
  <c r="H431" i="5"/>
  <c r="N426" i="5"/>
  <c r="J429" i="5"/>
  <c r="F426" i="5"/>
  <c r="D423" i="5"/>
  <c r="G428" i="5"/>
  <c r="N424" i="5"/>
  <c r="J447" i="5"/>
  <c r="K442" i="5"/>
  <c r="K443" i="5"/>
  <c r="G446" i="5"/>
  <c r="M441" i="5"/>
  <c r="K440" i="5"/>
  <c r="I438" i="5"/>
  <c r="D438" i="5" s="1"/>
  <c r="F447" i="5"/>
  <c r="K446" i="5"/>
  <c r="H442" i="5"/>
  <c r="F439" i="5"/>
  <c r="J441" i="5"/>
  <c r="G439" i="5"/>
  <c r="M7" i="5"/>
  <c r="M12" i="5"/>
  <c r="F12" i="5"/>
  <c r="I4" i="5"/>
  <c r="D4" i="5" s="1"/>
  <c r="M3" i="5"/>
  <c r="G8" i="5"/>
  <c r="G12" i="5"/>
  <c r="F9" i="5"/>
  <c r="D13" i="5" a="1"/>
  <c r="J12" i="5"/>
  <c r="F10" i="5"/>
  <c r="K8" i="5"/>
  <c r="K103" i="5"/>
  <c r="M97" i="5"/>
  <c r="M102" i="5"/>
  <c r="F102" i="5"/>
  <c r="I94" i="5"/>
  <c r="D94" i="5" s="1"/>
  <c r="M93" i="5"/>
  <c r="G98" i="5"/>
  <c r="I103" i="5"/>
  <c r="G102" i="5"/>
  <c r="F99" i="5"/>
  <c r="D103" i="5" a="1"/>
  <c r="J102" i="5"/>
  <c r="F100" i="5"/>
  <c r="K98" i="5"/>
  <c r="M187" i="5"/>
  <c r="M192" i="5"/>
  <c r="F192" i="5"/>
  <c r="I184" i="5"/>
  <c r="D184" i="5" s="1"/>
  <c r="M183" i="5"/>
  <c r="G188" i="5"/>
  <c r="G192" i="5"/>
  <c r="F189" i="5"/>
  <c r="D193" i="5" a="1"/>
  <c r="J192" i="5"/>
  <c r="F190" i="5"/>
  <c r="K188" i="5"/>
  <c r="M277" i="5"/>
  <c r="M282" i="5"/>
  <c r="F282" i="5"/>
  <c r="I274" i="5"/>
  <c r="D274" i="5" s="1"/>
  <c r="M273" i="5"/>
  <c r="G278" i="5"/>
  <c r="G282" i="5"/>
  <c r="F279" i="5"/>
  <c r="D283" i="5" a="1"/>
  <c r="J282" i="5"/>
  <c r="F280" i="5"/>
  <c r="K278" i="5"/>
  <c r="K373" i="5"/>
  <c r="M367" i="5"/>
  <c r="M372" i="5"/>
  <c r="F372" i="5"/>
  <c r="I364" i="5"/>
  <c r="D364" i="5" s="1"/>
  <c r="M363" i="5"/>
  <c r="G368" i="5"/>
  <c r="I373" i="5"/>
  <c r="G372" i="5"/>
  <c r="F369" i="5"/>
  <c r="D373" i="5" a="1"/>
  <c r="J372" i="5"/>
  <c r="F370" i="5"/>
  <c r="K368" i="5"/>
  <c r="N459" i="5"/>
  <c r="M462" i="5"/>
  <c r="N460" i="5"/>
  <c r="G460" i="5"/>
  <c r="M456" i="5"/>
  <c r="J454" i="5"/>
  <c r="N456" i="5"/>
  <c r="F456" i="5"/>
  <c r="I459" i="5"/>
  <c r="H459" i="5" s="1"/>
  <c r="F455" i="5"/>
  <c r="D459" i="5" a="1"/>
  <c r="G455" i="5"/>
  <c r="F460" i="5"/>
  <c r="K458" i="5"/>
  <c r="I27" i="5"/>
  <c r="D27" i="5" s="1" a="1"/>
  <c r="N22" i="5"/>
  <c r="K18" i="5"/>
  <c r="D25" i="5" a="1"/>
  <c r="G21" i="5"/>
  <c r="M18" i="5"/>
  <c r="H27" i="5"/>
  <c r="I24" i="5"/>
  <c r="D24" i="5" s="1" a="1"/>
  <c r="F20" i="5"/>
  <c r="J27" i="5"/>
  <c r="K22" i="5"/>
  <c r="K23" i="5"/>
  <c r="K25" i="5"/>
  <c r="D21" i="5" a="1"/>
  <c r="J18" i="5"/>
  <c r="N40" i="5"/>
  <c r="G36" i="5"/>
  <c r="D33" i="5"/>
  <c r="N38" i="5"/>
  <c r="H42" i="5"/>
  <c r="J37" i="5"/>
  <c r="N41" i="5"/>
  <c r="H34" i="5"/>
  <c r="K40" i="5"/>
  <c r="J35" i="5"/>
  <c r="M42" i="5"/>
  <c r="G39" i="5"/>
  <c r="I35" i="5"/>
  <c r="H35" i="5" s="1"/>
  <c r="G114" i="5"/>
  <c r="K109" i="5"/>
  <c r="J116" i="5"/>
  <c r="G112" i="5"/>
  <c r="N113" i="5"/>
  <c r="N115" i="5"/>
  <c r="H111" i="5"/>
  <c r="F108" i="5"/>
  <c r="G115" i="5"/>
  <c r="J111" i="5"/>
  <c r="G108" i="5"/>
  <c r="H110" i="5"/>
  <c r="K117" i="5"/>
  <c r="D112" i="5" a="1"/>
  <c r="J109" i="5"/>
  <c r="N132" i="5"/>
  <c r="G127" i="5"/>
  <c r="D124" i="5"/>
  <c r="G130" i="5"/>
  <c r="H126" i="5"/>
  <c r="F123" i="5"/>
  <c r="I129" i="5"/>
  <c r="D129" i="5" s="1" a="1"/>
  <c r="G125" i="5"/>
  <c r="F130" i="5"/>
  <c r="I132" i="5"/>
  <c r="D132" i="5" s="1" a="1"/>
  <c r="M127" i="5"/>
  <c r="J123" i="5"/>
  <c r="D130" i="5" a="1"/>
  <c r="F126" i="5"/>
  <c r="K123" i="5"/>
  <c r="G206" i="5"/>
  <c r="K200" i="5"/>
  <c r="N207" i="5"/>
  <c r="H204" i="5"/>
  <c r="H202" i="5"/>
  <c r="F199" i="5"/>
  <c r="I206" i="5"/>
  <c r="H206" i="5" s="1"/>
  <c r="J202" i="5"/>
  <c r="J203" i="5"/>
  <c r="D206" i="5" a="1"/>
  <c r="K201" i="5"/>
  <c r="H198" i="5"/>
  <c r="F206" i="5"/>
  <c r="F222" i="5"/>
  <c r="D215" i="5" a="1"/>
  <c r="K221" i="5"/>
  <c r="H217" i="5"/>
  <c r="F214" i="5"/>
  <c r="J216" i="5"/>
  <c r="G214" i="5"/>
  <c r="M219" i="5"/>
  <c r="N219" i="5"/>
  <c r="J214" i="5"/>
  <c r="F217" i="5"/>
  <c r="M218" i="5"/>
  <c r="I297" i="5"/>
  <c r="D297" i="5" s="1" a="1"/>
  <c r="N292" i="5"/>
  <c r="K288" i="5"/>
  <c r="D295" i="5" a="1"/>
  <c r="G291" i="5"/>
  <c r="M288" i="5"/>
  <c r="F298" i="5"/>
  <c r="I298" i="5"/>
  <c r="H297" i="5"/>
  <c r="I294" i="5"/>
  <c r="D294" i="5" s="1" a="1"/>
  <c r="F290" i="5"/>
  <c r="J297" i="5"/>
  <c r="K292" i="5"/>
  <c r="K293" i="5"/>
  <c r="K295" i="5"/>
  <c r="D291" i="5" a="1"/>
  <c r="J288" i="5"/>
  <c r="N310" i="5"/>
  <c r="G306" i="5"/>
  <c r="D303" i="5"/>
  <c r="F313" i="5"/>
  <c r="N308" i="5"/>
  <c r="H312" i="5"/>
  <c r="J307" i="5"/>
  <c r="I313" i="5"/>
  <c r="N311" i="5"/>
  <c r="H304" i="5"/>
  <c r="K310" i="5"/>
  <c r="J305" i="5"/>
  <c r="M312" i="5"/>
  <c r="G309" i="5"/>
  <c r="I305" i="5"/>
  <c r="H305" i="5" s="1"/>
  <c r="G384" i="5"/>
  <c r="K379" i="5"/>
  <c r="J386" i="5"/>
  <c r="G382" i="5"/>
  <c r="N383" i="5"/>
  <c r="N385" i="5"/>
  <c r="H381" i="5"/>
  <c r="F378" i="5"/>
  <c r="G385" i="5"/>
  <c r="J381" i="5"/>
  <c r="G378" i="5"/>
  <c r="H380" i="5"/>
  <c r="K387" i="5"/>
  <c r="D382" i="5" a="1"/>
  <c r="J379" i="5"/>
  <c r="N402" i="5"/>
  <c r="G397" i="5"/>
  <c r="D394" i="5"/>
  <c r="G400" i="5"/>
  <c r="H396" i="5"/>
  <c r="F393" i="5"/>
  <c r="I399" i="5"/>
  <c r="D399" i="5" s="1" a="1"/>
  <c r="G395" i="5"/>
  <c r="J403" i="5"/>
  <c r="F400" i="5"/>
  <c r="I402" i="5"/>
  <c r="D402" i="5" s="1" a="1"/>
  <c r="M397" i="5"/>
  <c r="J393" i="5"/>
  <c r="D400" i="5" a="1"/>
  <c r="F396" i="5"/>
  <c r="K393" i="5"/>
  <c r="G53" i="5"/>
  <c r="G57" i="5"/>
  <c r="F54" i="5"/>
  <c r="D58" i="5" a="1"/>
  <c r="J57" i="5"/>
  <c r="F55" i="5"/>
  <c r="K53" i="5"/>
  <c r="K55" i="5"/>
  <c r="D51" i="5" a="1"/>
  <c r="J48" i="5"/>
  <c r="M55" i="5"/>
  <c r="K50" i="5"/>
  <c r="N57" i="5"/>
  <c r="M53" i="5"/>
  <c r="G143" i="5"/>
  <c r="G147" i="5"/>
  <c r="F144" i="5"/>
  <c r="D148" i="5" a="1"/>
  <c r="J147" i="5"/>
  <c r="F145" i="5"/>
  <c r="K143" i="5"/>
  <c r="K145" i="5"/>
  <c r="D141" i="5" a="1"/>
  <c r="J138" i="5"/>
  <c r="M145" i="5"/>
  <c r="K140" i="5"/>
  <c r="N147" i="5"/>
  <c r="M143" i="5"/>
  <c r="G233" i="5"/>
  <c r="G237" i="5"/>
  <c r="F234" i="5"/>
  <c r="D238" i="5" a="1"/>
  <c r="J237" i="5"/>
  <c r="F235" i="5"/>
  <c r="K233" i="5"/>
  <c r="K235" i="5"/>
  <c r="D231" i="5" a="1"/>
  <c r="J228" i="5"/>
  <c r="M235" i="5"/>
  <c r="K230" i="5"/>
  <c r="N237" i="5"/>
  <c r="M233" i="5"/>
  <c r="G323" i="5"/>
  <c r="G327" i="5"/>
  <c r="F324" i="5"/>
  <c r="D328" i="5" a="1"/>
  <c r="J327" i="5"/>
  <c r="F325" i="5"/>
  <c r="K323" i="5"/>
  <c r="K325" i="5"/>
  <c r="D321" i="5" a="1"/>
  <c r="J318" i="5"/>
  <c r="M325" i="5"/>
  <c r="K320" i="5"/>
  <c r="N327" i="5"/>
  <c r="M323" i="5"/>
  <c r="G413" i="5"/>
  <c r="G417" i="5"/>
  <c r="F414" i="5"/>
  <c r="D418" i="5" a="1"/>
  <c r="J417" i="5"/>
  <c r="F415" i="5"/>
  <c r="K413" i="5"/>
  <c r="K415" i="5"/>
  <c r="D411" i="5" a="1"/>
  <c r="J408" i="5"/>
  <c r="M415" i="5"/>
  <c r="K410" i="5"/>
  <c r="N417" i="5"/>
  <c r="M413" i="5"/>
  <c r="N549" i="5"/>
  <c r="H545" i="5"/>
  <c r="N551" i="5"/>
  <c r="M546" i="5"/>
  <c r="J544" i="5"/>
  <c r="G551" i="5"/>
  <c r="N546" i="5"/>
  <c r="J549" i="5"/>
  <c r="M545" i="5"/>
  <c r="K551" i="5"/>
  <c r="G547" i="5"/>
  <c r="N544" i="5"/>
  <c r="I551" i="5"/>
  <c r="G544" i="5"/>
  <c r="J643" i="5"/>
  <c r="N639" i="5"/>
  <c r="H635" i="5"/>
  <c r="N641" i="5"/>
  <c r="M636" i="5"/>
  <c r="J634" i="5"/>
  <c r="G641" i="5"/>
  <c r="N636" i="5"/>
  <c r="J639" i="5"/>
  <c r="M635" i="5"/>
  <c r="K641" i="5"/>
  <c r="G637" i="5"/>
  <c r="N634" i="5"/>
  <c r="I641" i="5"/>
  <c r="H643" i="5"/>
  <c r="G634" i="5"/>
  <c r="N729" i="5"/>
  <c r="H725" i="5"/>
  <c r="N731" i="5"/>
  <c r="M726" i="5"/>
  <c r="J724" i="5"/>
  <c r="G731" i="5"/>
  <c r="N726" i="5"/>
  <c r="J729" i="5"/>
  <c r="M725" i="5"/>
  <c r="K731" i="5"/>
  <c r="G727" i="5"/>
  <c r="N724" i="5"/>
  <c r="I731" i="5"/>
  <c r="G724" i="5"/>
  <c r="N819" i="5"/>
  <c r="H815" i="5"/>
  <c r="N821" i="5"/>
  <c r="M816" i="5"/>
  <c r="J814" i="5"/>
  <c r="G821" i="5"/>
  <c r="N816" i="5"/>
  <c r="J819" i="5"/>
  <c r="M815" i="5"/>
  <c r="K821" i="5"/>
  <c r="G817" i="5"/>
  <c r="N814" i="5"/>
  <c r="I821" i="5"/>
  <c r="G814" i="5"/>
  <c r="N909" i="5"/>
  <c r="H905" i="5"/>
  <c r="N911" i="5"/>
  <c r="M906" i="5"/>
  <c r="J904" i="5"/>
  <c r="G911" i="5"/>
  <c r="N906" i="5"/>
  <c r="J909" i="5"/>
  <c r="M905" i="5"/>
  <c r="K911" i="5"/>
  <c r="G907" i="5"/>
  <c r="N904" i="5"/>
  <c r="I911" i="5"/>
  <c r="G904" i="5"/>
  <c r="N1002" i="5"/>
  <c r="H997" i="5"/>
  <c r="D999" i="5" a="1"/>
  <c r="G995" i="5"/>
  <c r="I996" i="5"/>
  <c r="D996" i="5" s="1" a="1"/>
  <c r="G999" i="5"/>
  <c r="J995" i="5"/>
  <c r="G1001" i="5"/>
  <c r="N996" i="5"/>
  <c r="H993" i="5"/>
  <c r="I994" i="5"/>
  <c r="M993" i="5"/>
  <c r="G994" i="5"/>
  <c r="K475" i="5"/>
  <c r="J468" i="5"/>
  <c r="I475" i="5"/>
  <c r="D475" i="5" s="1" a="1"/>
  <c r="M473" i="5"/>
  <c r="D477" i="5" a="1"/>
  <c r="F473" i="5"/>
  <c r="I470" i="5"/>
  <c r="D470" i="5" s="1" a="1"/>
  <c r="K476" i="5"/>
  <c r="H473" i="5"/>
  <c r="N468" i="5"/>
  <c r="H475" i="5"/>
  <c r="G469" i="5"/>
  <c r="J475" i="5"/>
  <c r="I471" i="5"/>
  <c r="D471" i="5" s="1" a="1"/>
  <c r="F486" i="5"/>
  <c r="K483" i="5"/>
  <c r="J489" i="5"/>
  <c r="M485" i="5"/>
  <c r="G492" i="5"/>
  <c r="G488" i="5"/>
  <c r="N484" i="5"/>
  <c r="M491" i="5"/>
  <c r="I487" i="5"/>
  <c r="D487" i="5" s="1" a="1"/>
  <c r="J488" i="5"/>
  <c r="J490" i="5"/>
  <c r="K486" i="5"/>
  <c r="I490" i="5"/>
  <c r="D490" i="5" s="1" a="1"/>
  <c r="I488" i="5"/>
  <c r="K567" i="5"/>
  <c r="J559" i="5"/>
  <c r="N561" i="5"/>
  <c r="J564" i="5"/>
  <c r="F561" i="5"/>
  <c r="D558" i="5"/>
  <c r="G563" i="5"/>
  <c r="N559" i="5"/>
  <c r="G567" i="5"/>
  <c r="F564" i="5"/>
  <c r="D568" i="5" a="1"/>
  <c r="M566" i="5"/>
  <c r="I562" i="5"/>
  <c r="D562" i="5" s="1" a="1"/>
  <c r="H581" i="5"/>
  <c r="F577" i="5"/>
  <c r="M578" i="5"/>
  <c r="J581" i="5"/>
  <c r="M573" i="5"/>
  <c r="K579" i="5"/>
  <c r="N575" i="5"/>
  <c r="F579" i="5"/>
  <c r="F575" i="5"/>
  <c r="J582" i="5"/>
  <c r="K577" i="5"/>
  <c r="K578" i="5"/>
  <c r="G581" i="5"/>
  <c r="M576" i="5"/>
  <c r="F656" i="5"/>
  <c r="M657" i="5"/>
  <c r="F657" i="5"/>
  <c r="D649" i="5"/>
  <c r="M655" i="5"/>
  <c r="F652" i="5"/>
  <c r="M649" i="5"/>
  <c r="K654" i="5"/>
  <c r="M650" i="5"/>
  <c r="M654" i="5"/>
  <c r="N650" i="5"/>
  <c r="F655" i="5"/>
  <c r="G650" i="5"/>
  <c r="M672" i="5"/>
  <c r="G669" i="5"/>
  <c r="I665" i="5"/>
  <c r="D665" i="5" s="1" a="1"/>
  <c r="F668" i="5"/>
  <c r="M664" i="5"/>
  <c r="I671" i="5"/>
  <c r="D671" i="5" s="1" a="1"/>
  <c r="N663" i="5"/>
  <c r="H670" i="5"/>
  <c r="I666" i="5"/>
  <c r="D666" i="5" s="1" a="1"/>
  <c r="G663" i="5"/>
  <c r="H665" i="5"/>
  <c r="K672" i="5"/>
  <c r="F671" i="5"/>
  <c r="I664" i="5"/>
  <c r="H664" i="5" s="1"/>
  <c r="K745" i="5"/>
  <c r="J738" i="5"/>
  <c r="I745" i="5"/>
  <c r="D745" i="5" s="1" a="1"/>
  <c r="M743" i="5"/>
  <c r="D747" i="5" a="1"/>
  <c r="F743" i="5"/>
  <c r="I740" i="5"/>
  <c r="D740" i="5" s="1" a="1"/>
  <c r="K746" i="5"/>
  <c r="H743" i="5"/>
  <c r="N738" i="5"/>
  <c r="H745" i="5"/>
  <c r="H748" i="5"/>
  <c r="G739" i="5"/>
  <c r="J745" i="5"/>
  <c r="I741" i="5"/>
  <c r="D741" i="5" s="1" a="1"/>
  <c r="F756" i="5"/>
  <c r="K753" i="5"/>
  <c r="J759" i="5"/>
  <c r="M755" i="5"/>
  <c r="G762" i="5"/>
  <c r="G758" i="5"/>
  <c r="N754" i="5"/>
  <c r="M761" i="5"/>
  <c r="I757" i="5"/>
  <c r="D757" i="5" s="1" a="1"/>
  <c r="J758" i="5"/>
  <c r="J760" i="5"/>
  <c r="K756" i="5"/>
  <c r="I760" i="5"/>
  <c r="D760" i="5" s="1" a="1"/>
  <c r="I758" i="5"/>
  <c r="K837" i="5"/>
  <c r="J829" i="5"/>
  <c r="N831" i="5"/>
  <c r="J834" i="5"/>
  <c r="F831" i="5"/>
  <c r="D828" i="5"/>
  <c r="G833" i="5"/>
  <c r="N829" i="5"/>
  <c r="G837" i="5"/>
  <c r="F834" i="5"/>
  <c r="D838" i="5" a="1"/>
  <c r="M836" i="5"/>
  <c r="I832" i="5"/>
  <c r="D832" i="5" s="1" a="1"/>
  <c r="H851" i="5"/>
  <c r="F847" i="5"/>
  <c r="M848" i="5"/>
  <c r="J851" i="5"/>
  <c r="M843" i="5"/>
  <c r="K849" i="5"/>
  <c r="N845" i="5"/>
  <c r="F849" i="5"/>
  <c r="F845" i="5"/>
  <c r="J852" i="5"/>
  <c r="K847" i="5"/>
  <c r="K848" i="5"/>
  <c r="G851" i="5"/>
  <c r="M846" i="5"/>
  <c r="F926" i="5"/>
  <c r="M927" i="5"/>
  <c r="F927" i="5"/>
  <c r="D919" i="5"/>
  <c r="M925" i="5"/>
  <c r="F922" i="5"/>
  <c r="M919" i="5"/>
  <c r="K924" i="5"/>
  <c r="M920" i="5"/>
  <c r="M924" i="5"/>
  <c r="N920" i="5"/>
  <c r="F925" i="5"/>
  <c r="G920" i="5"/>
  <c r="M942" i="5"/>
  <c r="G939" i="5"/>
  <c r="I935" i="5"/>
  <c r="D935" i="5" s="1" a="1"/>
  <c r="F938" i="5"/>
  <c r="M934" i="5"/>
  <c r="I941" i="5"/>
  <c r="D941" i="5" s="1" a="1"/>
  <c r="N933" i="5"/>
  <c r="H940" i="5"/>
  <c r="I936" i="5"/>
  <c r="D936" i="5" s="1" a="1"/>
  <c r="G933" i="5"/>
  <c r="H935" i="5"/>
  <c r="K942" i="5"/>
  <c r="F941" i="5"/>
  <c r="I934" i="5"/>
  <c r="H934" i="5" s="1"/>
  <c r="J504" i="5"/>
  <c r="M500" i="5"/>
  <c r="K506" i="5"/>
  <c r="G502" i="5"/>
  <c r="N499" i="5"/>
  <c r="I506" i="5"/>
  <c r="H506" i="5" s="1"/>
  <c r="G499" i="5"/>
  <c r="D506" i="5" a="1"/>
  <c r="I502" i="5"/>
  <c r="H502" i="5" s="1"/>
  <c r="H498" i="5"/>
  <c r="F506" i="5"/>
  <c r="I500" i="5"/>
  <c r="H504" i="5"/>
  <c r="K499" i="5"/>
  <c r="J594" i="5"/>
  <c r="M590" i="5"/>
  <c r="K596" i="5"/>
  <c r="G592" i="5"/>
  <c r="N589" i="5"/>
  <c r="I596" i="5"/>
  <c r="H596" i="5" s="1"/>
  <c r="G589" i="5"/>
  <c r="D596" i="5" a="1"/>
  <c r="I592" i="5"/>
  <c r="H592" i="5" s="1"/>
  <c r="H588" i="5"/>
  <c r="F596" i="5"/>
  <c r="I590" i="5"/>
  <c r="H594" i="5"/>
  <c r="K589" i="5"/>
  <c r="J684" i="5"/>
  <c r="M680" i="5"/>
  <c r="K686" i="5"/>
  <c r="G682" i="5"/>
  <c r="N679" i="5"/>
  <c r="I686" i="5"/>
  <c r="H686" i="5" s="1"/>
  <c r="G679" i="5"/>
  <c r="D686" i="5" a="1"/>
  <c r="I682" i="5"/>
  <c r="H682" i="5" s="1"/>
  <c r="H678" i="5"/>
  <c r="F686" i="5"/>
  <c r="I680" i="5"/>
  <c r="H684" i="5"/>
  <c r="K679" i="5"/>
  <c r="J774" i="5"/>
  <c r="M770" i="5"/>
  <c r="K776" i="5"/>
  <c r="G772" i="5"/>
  <c r="N769" i="5"/>
  <c r="I776" i="5"/>
  <c r="H776" i="5" s="1"/>
  <c r="G769" i="5"/>
  <c r="D776" i="5" a="1"/>
  <c r="I772" i="5"/>
  <c r="H772" i="5" s="1"/>
  <c r="H768" i="5"/>
  <c r="F776" i="5"/>
  <c r="I770" i="5"/>
  <c r="H774" i="5"/>
  <c r="K769" i="5"/>
  <c r="J864" i="5"/>
  <c r="M860" i="5"/>
  <c r="K866" i="5"/>
  <c r="G862" i="5"/>
  <c r="N859" i="5"/>
  <c r="I866" i="5"/>
  <c r="H866" i="5" s="1"/>
  <c r="G859" i="5"/>
  <c r="D866" i="5" a="1"/>
  <c r="I862" i="5"/>
  <c r="H862" i="5" s="1"/>
  <c r="H858" i="5"/>
  <c r="F866" i="5"/>
  <c r="I860" i="5"/>
  <c r="H864" i="5"/>
  <c r="K859" i="5"/>
  <c r="J954" i="5"/>
  <c r="M950" i="5"/>
  <c r="K956" i="5"/>
  <c r="G952" i="5"/>
  <c r="N949" i="5"/>
  <c r="I956" i="5"/>
  <c r="H956" i="5" s="1"/>
  <c r="H958" i="5"/>
  <c r="G949" i="5"/>
  <c r="D956" i="5" a="1"/>
  <c r="I952" i="5"/>
  <c r="H952" i="5" s="1"/>
  <c r="H948" i="5"/>
  <c r="F956" i="5"/>
  <c r="I950" i="5"/>
  <c r="M958" i="5"/>
  <c r="H954" i="5"/>
  <c r="K949" i="5"/>
  <c r="G518" i="5"/>
  <c r="N514" i="5"/>
  <c r="G522" i="5"/>
  <c r="F519" i="5"/>
  <c r="D523" i="5" a="1"/>
  <c r="M521" i="5"/>
  <c r="I517" i="5"/>
  <c r="D517" i="5" s="1" a="1"/>
  <c r="H514" i="5"/>
  <c r="N519" i="5"/>
  <c r="J515" i="5"/>
  <c r="I513" i="5"/>
  <c r="D513" i="5" s="1"/>
  <c r="G519" i="5"/>
  <c r="K514" i="5"/>
  <c r="J521" i="5"/>
  <c r="G517" i="5"/>
  <c r="N518" i="5"/>
  <c r="H537" i="5"/>
  <c r="J532" i="5"/>
  <c r="N536" i="5"/>
  <c r="H529" i="5"/>
  <c r="K535" i="5"/>
  <c r="J530" i="5"/>
  <c r="M537" i="5"/>
  <c r="G534" i="5"/>
  <c r="I530" i="5"/>
  <c r="F533" i="5"/>
  <c r="M529" i="5"/>
  <c r="I536" i="5"/>
  <c r="N528" i="5"/>
  <c r="K609" i="5"/>
  <c r="M605" i="5"/>
  <c r="M609" i="5"/>
  <c r="N605" i="5"/>
  <c r="F610" i="5"/>
  <c r="G605" i="5"/>
  <c r="N611" i="5"/>
  <c r="M606" i="5"/>
  <c r="I604" i="5"/>
  <c r="D604" i="5" s="1"/>
  <c r="G611" i="5"/>
  <c r="K605" i="5"/>
  <c r="N612" i="5"/>
  <c r="I624" i="5"/>
  <c r="D624" i="5" s="1" a="1"/>
  <c r="G620" i="5"/>
  <c r="J628" i="5"/>
  <c r="F625" i="5"/>
  <c r="I627" i="5"/>
  <c r="D627" i="5" s="1" a="1"/>
  <c r="M622" i="5"/>
  <c r="J618" i="5"/>
  <c r="D625" i="5" a="1"/>
  <c r="F621" i="5"/>
  <c r="K618" i="5"/>
  <c r="J624" i="5"/>
  <c r="M620" i="5"/>
  <c r="G627" i="5"/>
  <c r="G623" i="5"/>
  <c r="N619" i="5"/>
  <c r="K701" i="5"/>
  <c r="N693" i="5"/>
  <c r="H700" i="5"/>
  <c r="H703" i="5"/>
  <c r="G694" i="5"/>
  <c r="J700" i="5"/>
  <c r="I696" i="5"/>
  <c r="D696" i="5" s="1" a="1"/>
  <c r="K703" i="5"/>
  <c r="M697" i="5"/>
  <c r="I698" i="5"/>
  <c r="I702" i="5"/>
  <c r="N697" i="5"/>
  <c r="K693" i="5"/>
  <c r="D700" i="5" a="1"/>
  <c r="G696" i="5"/>
  <c r="M693" i="5"/>
  <c r="D716" i="5" a="1"/>
  <c r="J711" i="5"/>
  <c r="G709" i="5"/>
  <c r="M714" i="5"/>
  <c r="N714" i="5"/>
  <c r="J709" i="5"/>
  <c r="H716" i="5"/>
  <c r="F712" i="5"/>
  <c r="M713" i="5"/>
  <c r="J716" i="5"/>
  <c r="H713" i="5"/>
  <c r="M708" i="5"/>
  <c r="K714" i="5"/>
  <c r="N710" i="5"/>
  <c r="G788" i="5"/>
  <c r="N784" i="5"/>
  <c r="G792" i="5"/>
  <c r="F789" i="5"/>
  <c r="D793" i="5" a="1"/>
  <c r="M791" i="5"/>
  <c r="I787" i="5"/>
  <c r="D787" i="5" s="1" a="1"/>
  <c r="H784" i="5"/>
  <c r="N789" i="5"/>
  <c r="J785" i="5"/>
  <c r="I783" i="5"/>
  <c r="D783" i="5" s="1"/>
  <c r="G789" i="5"/>
  <c r="K784" i="5"/>
  <c r="J791" i="5"/>
  <c r="G787" i="5"/>
  <c r="N788" i="5"/>
  <c r="H807" i="5"/>
  <c r="J802" i="5"/>
  <c r="N806" i="5"/>
  <c r="H799" i="5"/>
  <c r="K805" i="5"/>
  <c r="J800" i="5"/>
  <c r="M807" i="5"/>
  <c r="G804" i="5"/>
  <c r="I800" i="5"/>
  <c r="F803" i="5"/>
  <c r="M799" i="5"/>
  <c r="I806" i="5"/>
  <c r="N798" i="5"/>
  <c r="K879" i="5"/>
  <c r="M875" i="5"/>
  <c r="G883" i="5"/>
  <c r="M879" i="5"/>
  <c r="N875" i="5"/>
  <c r="J883" i="5"/>
  <c r="F880" i="5"/>
  <c r="G875" i="5"/>
  <c r="N881" i="5"/>
  <c r="M876" i="5"/>
  <c r="I874" i="5"/>
  <c r="D874" i="5" s="1"/>
  <c r="G881" i="5"/>
  <c r="K875" i="5"/>
  <c r="N882" i="5"/>
  <c r="I894" i="5"/>
  <c r="D894" i="5" s="1" a="1"/>
  <c r="G890" i="5"/>
  <c r="F895" i="5"/>
  <c r="I897" i="5"/>
  <c r="D897" i="5" s="1" a="1"/>
  <c r="M892" i="5"/>
  <c r="J888" i="5"/>
  <c r="D895" i="5" a="1"/>
  <c r="F891" i="5"/>
  <c r="K888" i="5"/>
  <c r="J894" i="5"/>
  <c r="M890" i="5"/>
  <c r="G897" i="5"/>
  <c r="G893" i="5"/>
  <c r="N889" i="5"/>
  <c r="K971" i="5"/>
  <c r="N963" i="5"/>
  <c r="H970" i="5"/>
  <c r="H973" i="5"/>
  <c r="G964" i="5"/>
  <c r="J970" i="5"/>
  <c r="I966" i="5"/>
  <c r="D966" i="5" s="1" a="1"/>
  <c r="K973" i="5"/>
  <c r="M967" i="5"/>
  <c r="I968" i="5"/>
  <c r="I972" i="5"/>
  <c r="N967" i="5"/>
  <c r="K963" i="5"/>
  <c r="D970" i="5" a="1"/>
  <c r="G966" i="5"/>
  <c r="M963" i="5"/>
  <c r="D986" i="5" a="1"/>
  <c r="J981" i="5"/>
  <c r="G979" i="5"/>
  <c r="M984" i="5"/>
  <c r="N984" i="5"/>
  <c r="J979" i="5"/>
  <c r="H986" i="5"/>
  <c r="F982" i="5"/>
  <c r="M983" i="5"/>
  <c r="J986" i="5"/>
  <c r="H983" i="5"/>
  <c r="M978" i="5"/>
  <c r="K984" i="5"/>
  <c r="N980" i="5"/>
  <c r="J1048" i="5"/>
  <c r="N1044" i="5"/>
  <c r="H1040" i="5"/>
  <c r="N1046" i="5"/>
  <c r="M1041" i="5"/>
  <c r="J1039" i="5"/>
  <c r="G1046" i="5"/>
  <c r="N1041" i="5"/>
  <c r="J1044" i="5"/>
  <c r="M1040" i="5"/>
  <c r="K1046" i="5"/>
  <c r="G1042" i="5"/>
  <c r="N1039" i="5"/>
  <c r="I1046" i="5"/>
  <c r="H1048" i="5"/>
  <c r="G1039" i="5"/>
  <c r="J1137" i="5"/>
  <c r="F1135" i="5"/>
  <c r="K1133" i="5"/>
  <c r="K1135" i="5"/>
  <c r="D1131" i="5" a="1"/>
  <c r="J1128" i="5"/>
  <c r="M1135" i="5"/>
  <c r="K1130" i="5"/>
  <c r="N1137" i="5"/>
  <c r="M1133" i="5"/>
  <c r="N1135" i="5"/>
  <c r="H1131" i="5"/>
  <c r="F1129" i="5"/>
  <c r="G1135" i="5"/>
  <c r="J1131" i="5"/>
  <c r="N1128" i="5"/>
  <c r="H1227" i="5"/>
  <c r="K1222" i="5"/>
  <c r="G1224" i="5"/>
  <c r="J1220" i="5"/>
  <c r="I1218" i="5"/>
  <c r="D1218" i="5" s="1"/>
  <c r="I1225" i="5"/>
  <c r="D1227" i="5" a="1"/>
  <c r="F1223" i="5"/>
  <c r="M1219" i="5"/>
  <c r="K1224" i="5"/>
  <c r="G1221" i="5"/>
  <c r="F1218" i="5"/>
  <c r="M1224" i="5"/>
  <c r="N1220" i="5"/>
  <c r="G1218" i="5"/>
  <c r="D1316" i="5" a="1"/>
  <c r="I1312" i="5"/>
  <c r="H1308" i="5"/>
  <c r="F1316" i="5"/>
  <c r="I1310" i="5"/>
  <c r="K1309" i="5"/>
  <c r="J1316" i="5"/>
  <c r="F1312" i="5"/>
  <c r="I1314" i="5"/>
  <c r="H1314" i="5" s="1"/>
  <c r="F1310" i="5"/>
  <c r="D1314" i="5" a="1"/>
  <c r="G1310" i="5"/>
  <c r="J1405" i="5"/>
  <c r="K1401" i="5"/>
  <c r="K1408" i="5"/>
  <c r="M1402" i="5"/>
  <c r="M1407" i="5"/>
  <c r="F1407" i="5"/>
  <c r="I1399" i="5"/>
  <c r="M1398" i="5"/>
  <c r="G1403" i="5"/>
  <c r="I1408" i="5"/>
  <c r="G1407" i="5"/>
  <c r="F1404" i="5"/>
  <c r="D1408" i="5" a="1"/>
  <c r="H1495" i="5"/>
  <c r="I1491" i="5"/>
  <c r="K1497" i="5"/>
  <c r="D1492" i="5" a="1"/>
  <c r="I1493" i="5"/>
  <c r="D1493" i="5" s="1" a="1"/>
  <c r="I1497" i="5"/>
  <c r="N1492" i="5"/>
  <c r="K1488" i="5"/>
  <c r="H1493" i="5"/>
  <c r="M1488" i="5"/>
  <c r="H1492" i="5"/>
  <c r="N1493" i="5"/>
  <c r="M1496" i="5"/>
  <c r="J1492" i="5"/>
  <c r="J1493" i="5"/>
  <c r="K1060" i="5"/>
  <c r="J1053" i="5"/>
  <c r="I1060" i="5"/>
  <c r="D1060" i="5" s="1" a="1"/>
  <c r="M1058" i="5"/>
  <c r="D1062" i="5" a="1"/>
  <c r="F1058" i="5"/>
  <c r="I1055" i="5"/>
  <c r="D1055" i="5" s="1" a="1"/>
  <c r="K1061" i="5"/>
  <c r="H1058" i="5"/>
  <c r="N1053" i="5"/>
  <c r="H1060" i="5"/>
  <c r="G1054" i="5"/>
  <c r="J1060" i="5"/>
  <c r="I1056" i="5"/>
  <c r="D1056" i="5" s="1" a="1"/>
  <c r="M1078" i="5"/>
  <c r="K1070" i="5"/>
  <c r="I1068" i="5"/>
  <c r="F1077" i="5"/>
  <c r="K1076" i="5"/>
  <c r="H1072" i="5"/>
  <c r="F1069" i="5"/>
  <c r="J1071" i="5"/>
  <c r="G1069" i="5"/>
  <c r="M1074" i="5"/>
  <c r="K1078" i="5"/>
  <c r="N1074" i="5"/>
  <c r="J1069" i="5"/>
  <c r="N1151" i="5"/>
  <c r="M1146" i="5"/>
  <c r="I1144" i="5"/>
  <c r="G1151" i="5"/>
  <c r="K1145" i="5"/>
  <c r="N1152" i="5"/>
  <c r="H1149" i="5"/>
  <c r="H1147" i="5"/>
  <c r="F1144" i="5"/>
  <c r="I1151" i="5"/>
  <c r="H1151" i="5" s="1"/>
  <c r="J1147" i="5"/>
  <c r="J1148" i="5"/>
  <c r="D1151" i="5" a="1"/>
  <c r="K1146" i="5"/>
  <c r="F1161" i="5"/>
  <c r="K1158" i="5"/>
  <c r="J1164" i="5"/>
  <c r="M1160" i="5"/>
  <c r="G1167" i="5"/>
  <c r="G1163" i="5"/>
  <c r="N1159" i="5"/>
  <c r="M1166" i="5"/>
  <c r="I1162" i="5"/>
  <c r="D1162" i="5" s="1" a="1"/>
  <c r="J1163" i="5"/>
  <c r="J1165" i="5"/>
  <c r="K1161" i="5"/>
  <c r="I1165" i="5"/>
  <c r="D1165" i="5" s="1" a="1"/>
  <c r="I1163" i="5"/>
  <c r="K1242" i="5"/>
  <c r="J1234" i="5"/>
  <c r="N1236" i="5"/>
  <c r="M1243" i="5"/>
  <c r="J1239" i="5"/>
  <c r="F1236" i="5"/>
  <c r="D1233" i="5"/>
  <c r="G1238" i="5"/>
  <c r="N1234" i="5"/>
  <c r="G1242" i="5"/>
  <c r="F1239" i="5"/>
  <c r="D1243" i="5" a="1"/>
  <c r="M1241" i="5"/>
  <c r="I1237" i="5"/>
  <c r="D1237" i="5" s="1" a="1"/>
  <c r="M1255" i="5"/>
  <c r="N1251" i="5"/>
  <c r="K1249" i="5"/>
  <c r="N1255" i="5"/>
  <c r="G1251" i="5"/>
  <c r="N1253" i="5"/>
  <c r="H1257" i="5"/>
  <c r="J1252" i="5"/>
  <c r="N1256" i="5"/>
  <c r="H1249" i="5"/>
  <c r="K1255" i="5"/>
  <c r="J1250" i="5"/>
  <c r="M1327" i="5"/>
  <c r="I1328" i="5"/>
  <c r="I1332" i="5"/>
  <c r="D1332" i="5" s="1" a="1"/>
  <c r="N1327" i="5"/>
  <c r="K1323" i="5"/>
  <c r="D1330" i="5" a="1"/>
  <c r="G1326" i="5"/>
  <c r="M1323" i="5"/>
  <c r="H1332" i="5"/>
  <c r="I1329" i="5"/>
  <c r="D1329" i="5" s="1" a="1"/>
  <c r="F1325" i="5"/>
  <c r="J1332" i="5"/>
  <c r="K1327" i="5"/>
  <c r="K1328" i="5"/>
  <c r="H1346" i="5"/>
  <c r="F1342" i="5"/>
  <c r="M1343" i="5"/>
  <c r="J1346" i="5"/>
  <c r="M1338" i="5"/>
  <c r="K1344" i="5"/>
  <c r="N1340" i="5"/>
  <c r="F1344" i="5"/>
  <c r="F1340" i="5"/>
  <c r="J1347" i="5"/>
  <c r="K1342" i="5"/>
  <c r="K1343" i="5"/>
  <c r="G1346" i="5"/>
  <c r="M1341" i="5"/>
  <c r="F1421" i="5"/>
  <c r="M1422" i="5"/>
  <c r="F1422" i="5"/>
  <c r="D1414" i="5"/>
  <c r="M1420" i="5"/>
  <c r="F1417" i="5"/>
  <c r="M1414" i="5"/>
  <c r="K1419" i="5"/>
  <c r="M1415" i="5"/>
  <c r="M1419" i="5"/>
  <c r="N1415" i="5"/>
  <c r="F1420" i="5"/>
  <c r="G1415" i="5"/>
  <c r="N1432" i="5"/>
  <c r="D1433" i="5" a="1"/>
  <c r="N1437" i="5"/>
  <c r="G1432" i="5"/>
  <c r="D1429" i="5"/>
  <c r="G1435" i="5"/>
  <c r="H1431" i="5"/>
  <c r="F1428" i="5"/>
  <c r="I1434" i="5"/>
  <c r="G1430" i="5"/>
  <c r="F1435" i="5"/>
  <c r="I1437" i="5"/>
  <c r="D1437" i="5" s="1" a="1"/>
  <c r="M1432" i="5"/>
  <c r="J1428" i="5"/>
  <c r="F1086" i="5"/>
  <c r="N1088" i="5"/>
  <c r="M1091" i="5"/>
  <c r="J1087" i="5"/>
  <c r="J1088" i="5"/>
  <c r="H1092" i="5"/>
  <c r="K1087" i="5"/>
  <c r="G1089" i="5"/>
  <c r="J1085" i="5"/>
  <c r="I1083" i="5"/>
  <c r="D1083" i="5" s="1"/>
  <c r="I1090" i="5"/>
  <c r="J1179" i="5"/>
  <c r="M1175" i="5"/>
  <c r="K1181" i="5"/>
  <c r="G1177" i="5"/>
  <c r="N1174" i="5"/>
  <c r="I1181" i="5"/>
  <c r="H1181" i="5" s="1"/>
  <c r="G1174" i="5"/>
  <c r="D1181" i="5" a="1"/>
  <c r="I1177" i="5"/>
  <c r="H1177" i="5" s="1"/>
  <c r="H1173" i="5"/>
  <c r="F1181" i="5"/>
  <c r="I1175" i="5"/>
  <c r="H1179" i="5"/>
  <c r="K1174" i="5"/>
  <c r="N1272" i="5"/>
  <c r="M1268" i="5"/>
  <c r="N1270" i="5"/>
  <c r="F1264" i="5"/>
  <c r="G1270" i="5"/>
  <c r="J1266" i="5"/>
  <c r="N1263" i="5"/>
  <c r="J1270" i="5"/>
  <c r="K1266" i="5"/>
  <c r="M1267" i="5"/>
  <c r="M1272" i="5"/>
  <c r="F1272" i="5"/>
  <c r="I1264" i="5"/>
  <c r="H1264" i="5" s="1"/>
  <c r="F1358" i="5"/>
  <c r="M1354" i="5"/>
  <c r="K1359" i="5"/>
  <c r="G1356" i="5"/>
  <c r="F1353" i="5"/>
  <c r="M1359" i="5"/>
  <c r="N1355" i="5"/>
  <c r="G1353" i="5"/>
  <c r="H1360" i="5"/>
  <c r="I1356" i="5"/>
  <c r="H1356" i="5" s="1"/>
  <c r="K1362" i="5"/>
  <c r="D1357" i="5" a="1"/>
  <c r="I1358" i="5"/>
  <c r="D1358" i="5" s="1" a="1"/>
  <c r="I1362" i="5"/>
  <c r="N1357" i="5"/>
  <c r="K1353" i="5"/>
  <c r="J1451" i="5"/>
  <c r="F1447" i="5"/>
  <c r="D1444" i="5"/>
  <c r="I1449" i="5"/>
  <c r="H1449" i="5" s="1"/>
  <c r="F1445" i="5"/>
  <c r="D1449" i="5" a="1"/>
  <c r="G1445" i="5"/>
  <c r="N1449" i="5"/>
  <c r="H1445" i="5"/>
  <c r="N1451" i="5"/>
  <c r="M1446" i="5"/>
  <c r="J1444" i="5"/>
  <c r="G1451" i="5"/>
  <c r="N1446" i="5"/>
  <c r="F1508" i="5"/>
  <c r="M1504" i="5"/>
  <c r="K1509" i="5"/>
  <c r="G1506" i="5"/>
  <c r="F1503" i="5"/>
  <c r="M1509" i="5"/>
  <c r="N1505" i="5"/>
  <c r="G1503" i="5"/>
  <c r="H1510" i="5"/>
  <c r="I1506" i="5"/>
  <c r="H1506" i="5" s="1"/>
  <c r="K1512" i="5"/>
  <c r="D1507" i="5" a="1"/>
  <c r="I1508" i="5"/>
  <c r="D1508" i="5" s="1" a="1"/>
  <c r="I1512" i="5"/>
  <c r="N1507" i="5"/>
  <c r="K1503" i="5"/>
  <c r="H1017" i="5"/>
  <c r="I1014" i="5"/>
  <c r="F1010" i="5"/>
  <c r="J1017" i="5"/>
  <c r="K1012" i="5"/>
  <c r="K1013" i="5"/>
  <c r="K1015" i="5"/>
  <c r="D1011" i="5" a="1"/>
  <c r="J1008" i="5"/>
  <c r="I1015" i="5"/>
  <c r="M1013" i="5"/>
  <c r="D1017" i="5" a="1"/>
  <c r="F1013" i="5"/>
  <c r="I1010" i="5"/>
  <c r="F1029" i="5"/>
  <c r="F1025" i="5"/>
  <c r="J1032" i="5"/>
  <c r="K1027" i="5"/>
  <c r="K1028" i="5"/>
  <c r="G1031" i="5"/>
  <c r="M1026" i="5"/>
  <c r="H1029" i="5"/>
  <c r="K1025" i="5"/>
  <c r="I1023" i="5"/>
  <c r="D1023" i="5" s="1"/>
  <c r="F1032" i="5"/>
  <c r="K1031" i="5"/>
  <c r="F1024" i="5"/>
  <c r="N1105" i="5"/>
  <c r="H1101" i="5"/>
  <c r="F1098" i="5"/>
  <c r="G1105" i="5"/>
  <c r="J1101" i="5"/>
  <c r="G1098" i="5"/>
  <c r="K1107" i="5"/>
  <c r="D1102" i="5" a="1"/>
  <c r="J1099" i="5"/>
  <c r="H1106" i="5"/>
  <c r="N1101" i="5"/>
  <c r="J1104" i="5"/>
  <c r="F1101" i="5"/>
  <c r="D1098" i="5"/>
  <c r="I1119" i="5"/>
  <c r="D1119" i="5" s="1" a="1"/>
  <c r="G1115" i="5"/>
  <c r="F1120" i="5"/>
  <c r="I1122" i="5"/>
  <c r="D1122" i="5" s="1" a="1"/>
  <c r="M1117" i="5"/>
  <c r="J1113" i="5"/>
  <c r="D1120" i="5" a="1"/>
  <c r="F1116" i="5"/>
  <c r="K1113" i="5"/>
  <c r="J1119" i="5"/>
  <c r="M1115" i="5"/>
  <c r="G1122" i="5"/>
  <c r="G1118" i="5"/>
  <c r="N1114" i="5"/>
  <c r="K1196" i="5"/>
  <c r="N1188" i="5"/>
  <c r="H1195" i="5"/>
  <c r="G1189" i="5"/>
  <c r="J1195" i="5"/>
  <c r="I1191" i="5"/>
  <c r="D1191" i="5" s="1" a="1"/>
  <c r="M1192" i="5"/>
  <c r="I1193" i="5"/>
  <c r="I1197" i="5"/>
  <c r="N1192" i="5"/>
  <c r="K1188" i="5"/>
  <c r="D1195" i="5" a="1"/>
  <c r="G1191" i="5"/>
  <c r="M1188" i="5"/>
  <c r="H1210" i="5"/>
  <c r="I1206" i="5"/>
  <c r="G1203" i="5"/>
  <c r="H1205" i="5"/>
  <c r="K1212" i="5"/>
  <c r="F1211" i="5"/>
  <c r="I1204" i="5"/>
  <c r="M1210" i="5"/>
  <c r="N1206" i="5"/>
  <c r="K1204" i="5"/>
  <c r="N1210" i="5"/>
  <c r="G1206" i="5"/>
  <c r="N1208" i="5"/>
  <c r="H1282" i="5"/>
  <c r="F1279" i="5"/>
  <c r="I1286" i="5"/>
  <c r="J1282" i="5"/>
  <c r="J1283" i="5"/>
  <c r="D1286" i="5" a="1"/>
  <c r="K1281" i="5"/>
  <c r="H1278" i="5"/>
  <c r="F1286" i="5"/>
  <c r="M1287" i="5"/>
  <c r="F1287" i="5"/>
  <c r="D1279" i="5"/>
  <c r="M1285" i="5"/>
  <c r="F1282" i="5"/>
  <c r="M1279" i="5"/>
  <c r="D1301" i="5" a="1"/>
  <c r="J1296" i="5"/>
  <c r="G1294" i="5"/>
  <c r="M1299" i="5"/>
  <c r="N1299" i="5"/>
  <c r="J1294" i="5"/>
  <c r="H1301" i="5"/>
  <c r="F1297" i="5"/>
  <c r="M1298" i="5"/>
  <c r="J1301" i="5"/>
  <c r="H1298" i="5"/>
  <c r="M1293" i="5"/>
  <c r="K1299" i="5"/>
  <c r="N1295" i="5"/>
  <c r="G1373" i="5"/>
  <c r="N1369" i="5"/>
  <c r="G1377" i="5"/>
  <c r="F1374" i="5"/>
  <c r="D1378" i="5" a="1"/>
  <c r="M1376" i="5"/>
  <c r="I1372" i="5"/>
  <c r="D1372" i="5" s="1" a="1"/>
  <c r="H1369" i="5"/>
  <c r="N1374" i="5"/>
  <c r="J1370" i="5"/>
  <c r="I1368" i="5"/>
  <c r="D1368" i="5" s="1"/>
  <c r="G1374" i="5"/>
  <c r="K1369" i="5"/>
  <c r="J1376" i="5"/>
  <c r="G1372" i="5"/>
  <c r="N1373" i="5"/>
  <c r="M1391" i="5"/>
  <c r="I1387" i="5"/>
  <c r="J1388" i="5"/>
  <c r="J1390" i="5"/>
  <c r="K1386" i="5"/>
  <c r="H1383" i="5"/>
  <c r="I1390" i="5"/>
  <c r="D1390" i="5" s="1" a="1"/>
  <c r="I1388" i="5"/>
  <c r="D1392" i="5" a="1"/>
  <c r="N1387" i="5"/>
  <c r="D1388" i="5" a="1"/>
  <c r="N1392" i="5"/>
  <c r="G1387" i="5"/>
  <c r="G1390" i="5"/>
  <c r="F1383" i="5"/>
  <c r="F1468" i="5"/>
  <c r="I1468" i="5"/>
  <c r="H1467" i="5"/>
  <c r="I1464" i="5"/>
  <c r="F1460" i="5"/>
  <c r="J1467" i="5"/>
  <c r="K1462" i="5"/>
  <c r="K1463" i="5"/>
  <c r="K1465" i="5"/>
  <c r="D1461" i="5" a="1"/>
  <c r="J1458" i="5"/>
  <c r="I1465" i="5"/>
  <c r="M1463" i="5"/>
  <c r="D1467" i="5" a="1"/>
  <c r="F1463" i="5"/>
  <c r="I1460" i="5"/>
  <c r="H1482" i="5"/>
  <c r="J1477" i="5"/>
  <c r="N1481" i="5"/>
  <c r="H1474" i="5"/>
  <c r="K1480" i="5"/>
  <c r="J1475" i="5"/>
  <c r="M1482" i="5"/>
  <c r="G1479" i="5"/>
  <c r="I1475" i="5"/>
  <c r="F1478" i="5"/>
  <c r="M1474" i="5"/>
  <c r="I1481" i="5"/>
  <c r="N1473" i="5"/>
  <c r="I1527" i="5"/>
  <c r="D1527" i="5" s="1" a="1"/>
  <c r="H1527" i="5"/>
  <c r="N1525" i="5"/>
  <c r="F1518" i="5"/>
  <c r="I1524" i="5"/>
  <c r="F1520" i="5"/>
  <c r="K1521" i="5"/>
  <c r="H1518" i="5"/>
  <c r="D1522" i="5" a="1"/>
  <c r="J1519" i="5"/>
  <c r="I1525" i="5"/>
  <c r="H1525" i="5" s="1"/>
  <c r="M1523" i="5"/>
  <c r="D1525" i="5" a="1"/>
  <c r="G1521" i="5"/>
  <c r="M1518" i="5"/>
  <c r="M1569" i="5"/>
  <c r="N1565" i="5"/>
  <c r="F1570" i="5"/>
  <c r="G1565" i="5"/>
  <c r="N1571" i="5"/>
  <c r="M1566" i="5"/>
  <c r="I1564" i="5"/>
  <c r="D1564" i="5" s="1"/>
  <c r="G1571" i="5"/>
  <c r="K1565" i="5"/>
  <c r="N1572" i="5"/>
  <c r="F1564" i="5"/>
  <c r="J1585" i="5"/>
  <c r="K1581" i="5"/>
  <c r="H1578" i="5"/>
  <c r="I1585" i="5"/>
  <c r="I1583" i="5"/>
  <c r="D1587" i="5" a="1"/>
  <c r="N1582" i="5"/>
  <c r="D1583" i="5" a="1"/>
  <c r="N1587" i="5"/>
  <c r="G1582" i="5"/>
  <c r="G1585" i="5"/>
  <c r="H1581" i="5"/>
  <c r="F1578" i="5"/>
  <c r="I1584" i="5"/>
  <c r="H1584" i="5" s="1"/>
  <c r="G1580" i="5"/>
  <c r="G1660" i="5"/>
  <c r="J1656" i="5"/>
  <c r="G1653" i="5"/>
  <c r="K1662" i="5"/>
  <c r="D1657" i="5" a="1"/>
  <c r="J1654" i="5"/>
  <c r="H1661" i="5"/>
  <c r="N1656" i="5"/>
  <c r="J1659" i="5"/>
  <c r="F1656" i="5"/>
  <c r="D1653" i="5"/>
  <c r="G1658" i="5"/>
  <c r="N1654" i="5"/>
  <c r="N1676" i="5"/>
  <c r="D1672" i="5" a="1"/>
  <c r="H1669" i="5"/>
  <c r="K1675" i="5"/>
  <c r="J1670" i="5"/>
  <c r="M1677" i="5"/>
  <c r="G1674" i="5"/>
  <c r="I1670" i="5"/>
  <c r="F1673" i="5"/>
  <c r="M1669" i="5"/>
  <c r="I1676" i="5"/>
  <c r="D1676" i="5" s="1" a="1"/>
  <c r="N1668" i="5"/>
  <c r="I1671" i="5"/>
  <c r="G1668" i="5"/>
  <c r="H1750" i="5"/>
  <c r="G1744" i="5"/>
  <c r="J1750" i="5"/>
  <c r="I1746" i="5"/>
  <c r="M1747" i="5"/>
  <c r="I1748" i="5"/>
  <c r="I1752" i="5"/>
  <c r="N1747" i="5"/>
  <c r="K1743" i="5"/>
  <c r="D1750" i="5" a="1"/>
  <c r="G1746" i="5"/>
  <c r="M1743" i="5"/>
  <c r="J1767" i="5"/>
  <c r="K1762" i="5"/>
  <c r="K1763" i="5"/>
  <c r="G1766" i="5"/>
  <c r="M1761" i="5"/>
  <c r="K1760" i="5"/>
  <c r="I1758" i="5"/>
  <c r="D1758" i="5" s="1"/>
  <c r="F1767" i="5"/>
  <c r="K1766" i="5"/>
  <c r="H1762" i="5"/>
  <c r="F1759" i="5"/>
  <c r="J1761" i="5"/>
  <c r="G1759" i="5"/>
  <c r="F1601" i="5"/>
  <c r="I1595" i="5"/>
  <c r="D1595" i="5" s="1" a="1"/>
  <c r="K1594" i="5"/>
  <c r="J1601" i="5"/>
  <c r="F1597" i="5"/>
  <c r="I1599" i="5"/>
  <c r="H1599" i="5" s="1"/>
  <c r="F1595" i="5"/>
  <c r="D1599" i="5" a="1"/>
  <c r="G1595" i="5"/>
  <c r="N1599" i="5"/>
  <c r="H1595" i="5"/>
  <c r="M1687" i="5"/>
  <c r="M1692" i="5"/>
  <c r="F1692" i="5"/>
  <c r="I1684" i="5"/>
  <c r="D1684" i="5" s="1"/>
  <c r="M1683" i="5"/>
  <c r="G1688" i="5"/>
  <c r="G1692" i="5"/>
  <c r="F1689" i="5"/>
  <c r="D1693" i="5" a="1"/>
  <c r="J1692" i="5"/>
  <c r="F1690" i="5"/>
  <c r="K1688" i="5"/>
  <c r="K1782" i="5"/>
  <c r="I1778" i="5"/>
  <c r="I1782" i="5"/>
  <c r="D1782" i="5" s="1" a="1"/>
  <c r="N1777" i="5"/>
  <c r="K1773" i="5"/>
  <c r="D1780" i="5" a="1"/>
  <c r="F1776" i="5"/>
  <c r="N1778" i="5"/>
  <c r="M1781" i="5"/>
  <c r="J1777" i="5"/>
  <c r="J1778" i="5"/>
  <c r="H1782" i="5"/>
  <c r="K1777" i="5"/>
  <c r="H1774" i="5"/>
  <c r="J1539" i="5"/>
  <c r="M1535" i="5"/>
  <c r="G1542" i="5"/>
  <c r="G1538" i="5"/>
  <c r="N1534" i="5"/>
  <c r="M1541" i="5"/>
  <c r="I1537" i="5"/>
  <c r="D1537" i="5" s="1" a="1"/>
  <c r="J1538" i="5"/>
  <c r="J1540" i="5"/>
  <c r="K1536" i="5"/>
  <c r="G72" i="5"/>
  <c r="F69" i="5"/>
  <c r="D73" i="5" a="1"/>
  <c r="M71" i="5"/>
  <c r="I67" i="5"/>
  <c r="H64" i="5"/>
  <c r="N69" i="5"/>
  <c r="J65" i="5"/>
  <c r="I63" i="5"/>
  <c r="D63" i="5" s="1"/>
  <c r="G69" i="5"/>
  <c r="K64" i="5"/>
  <c r="J71" i="5"/>
  <c r="G67" i="5"/>
  <c r="N68" i="5"/>
  <c r="N70" i="5"/>
  <c r="H66" i="5"/>
  <c r="F63" i="5"/>
  <c r="M84" i="5"/>
  <c r="D81" i="5" a="1"/>
  <c r="N84" i="5"/>
  <c r="J79" i="5"/>
  <c r="H86" i="5"/>
  <c r="F82" i="5"/>
  <c r="M83" i="5"/>
  <c r="J86" i="5"/>
  <c r="H83" i="5"/>
  <c r="M78" i="5"/>
  <c r="K84" i="5"/>
  <c r="N80" i="5"/>
  <c r="F84" i="5"/>
  <c r="F80" i="5"/>
  <c r="M159" i="5"/>
  <c r="N155" i="5"/>
  <c r="F160" i="5"/>
  <c r="G155" i="5"/>
  <c r="N161" i="5"/>
  <c r="M156" i="5"/>
  <c r="I154" i="5"/>
  <c r="G161" i="5"/>
  <c r="K155" i="5"/>
  <c r="N162" i="5"/>
  <c r="H157" i="5"/>
  <c r="F154" i="5"/>
  <c r="N176" i="5"/>
  <c r="D172" i="5" a="1"/>
  <c r="H169" i="5"/>
  <c r="K175" i="5"/>
  <c r="J170" i="5"/>
  <c r="M177" i="5"/>
  <c r="G174" i="5"/>
  <c r="I170" i="5"/>
  <c r="F173" i="5"/>
  <c r="M169" i="5"/>
  <c r="I176" i="5"/>
  <c r="N168" i="5"/>
  <c r="I171" i="5"/>
  <c r="D171" i="5" s="1" a="1"/>
  <c r="G168" i="5"/>
  <c r="H250" i="5"/>
  <c r="G244" i="5"/>
  <c r="J250" i="5"/>
  <c r="I246" i="5"/>
  <c r="M247" i="5"/>
  <c r="I248" i="5"/>
  <c r="I252" i="5"/>
  <c r="N247" i="5"/>
  <c r="K243" i="5"/>
  <c r="D250" i="5" a="1"/>
  <c r="G246" i="5"/>
  <c r="M243" i="5"/>
  <c r="F265" i="5"/>
  <c r="D268" i="5" a="1"/>
  <c r="I267" i="5"/>
  <c r="M262" i="5"/>
  <c r="J258" i="5"/>
  <c r="D265" i="5" a="1"/>
  <c r="F261" i="5"/>
  <c r="K258" i="5"/>
  <c r="J264" i="5"/>
  <c r="M260" i="5"/>
  <c r="G267" i="5"/>
  <c r="G263" i="5"/>
  <c r="N259" i="5"/>
  <c r="M266" i="5"/>
  <c r="I262" i="5"/>
  <c r="D262" i="5" s="1" a="1"/>
  <c r="J263" i="5"/>
  <c r="G342" i="5"/>
  <c r="F339" i="5"/>
  <c r="D343" i="5" a="1"/>
  <c r="M341" i="5"/>
  <c r="I337" i="5"/>
  <c r="H334" i="5"/>
  <c r="N339" i="5"/>
  <c r="J335" i="5"/>
  <c r="I333" i="5"/>
  <c r="D333" i="5" s="1"/>
  <c r="G339" i="5"/>
  <c r="K334" i="5"/>
  <c r="J341" i="5"/>
  <c r="G337" i="5"/>
  <c r="N338" i="5"/>
  <c r="N340" i="5"/>
  <c r="H336" i="5"/>
  <c r="F333" i="5"/>
  <c r="M354" i="5"/>
  <c r="D351" i="5" a="1"/>
  <c r="N354" i="5"/>
  <c r="J349" i="5"/>
  <c r="H356" i="5"/>
  <c r="F352" i="5"/>
  <c r="M353" i="5"/>
  <c r="J356" i="5"/>
  <c r="H353" i="5"/>
  <c r="M348" i="5"/>
  <c r="K354" i="5"/>
  <c r="N350" i="5"/>
  <c r="F354" i="5"/>
  <c r="F350" i="5"/>
  <c r="M429" i="5"/>
  <c r="N425" i="5"/>
  <c r="F430" i="5"/>
  <c r="G425" i="5"/>
  <c r="N431" i="5"/>
  <c r="M426" i="5"/>
  <c r="I424" i="5"/>
  <c r="G431" i="5"/>
  <c r="K425" i="5"/>
  <c r="N432" i="5"/>
  <c r="H427" i="5"/>
  <c r="F424" i="5"/>
  <c r="N446" i="5"/>
  <c r="D442" i="5" a="1"/>
  <c r="H439" i="5"/>
  <c r="K445" i="5"/>
  <c r="J440" i="5"/>
  <c r="M447" i="5"/>
  <c r="G444" i="5"/>
  <c r="I440" i="5"/>
  <c r="F443" i="5"/>
  <c r="M439" i="5"/>
  <c r="I446" i="5"/>
  <c r="N438" i="5"/>
  <c r="I441" i="5"/>
  <c r="D441" i="5" s="1" a="1"/>
  <c r="G438" i="5"/>
  <c r="K12" i="5"/>
  <c r="I8" i="5"/>
  <c r="I12" i="5"/>
  <c r="D12" i="5" s="1" a="1"/>
  <c r="N7" i="5"/>
  <c r="K3" i="5"/>
  <c r="D10" i="5" a="1"/>
  <c r="F6" i="5"/>
  <c r="N8" i="5"/>
  <c r="M11" i="5"/>
  <c r="J7" i="5"/>
  <c r="J8" i="5"/>
  <c r="H12" i="5"/>
  <c r="K7" i="5"/>
  <c r="H4" i="5"/>
  <c r="K102" i="5"/>
  <c r="I98" i="5"/>
  <c r="I102" i="5"/>
  <c r="D102" i="5" s="1" a="1"/>
  <c r="N97" i="5"/>
  <c r="K93" i="5"/>
  <c r="D100" i="5" a="1"/>
  <c r="F96" i="5"/>
  <c r="N103" i="5"/>
  <c r="N98" i="5"/>
  <c r="M101" i="5"/>
  <c r="J97" i="5"/>
  <c r="J98" i="5"/>
  <c r="H102" i="5"/>
  <c r="K97" i="5"/>
  <c r="H94" i="5"/>
  <c r="K192" i="5"/>
  <c r="I188" i="5"/>
  <c r="I192" i="5"/>
  <c r="D192" i="5" s="1" a="1"/>
  <c r="N187" i="5"/>
  <c r="K183" i="5"/>
  <c r="D190" i="5" a="1"/>
  <c r="F186" i="5"/>
  <c r="N188" i="5"/>
  <c r="M191" i="5"/>
  <c r="J187" i="5"/>
  <c r="J188" i="5"/>
  <c r="H192" i="5"/>
  <c r="K187" i="5"/>
  <c r="H184" i="5"/>
  <c r="K282" i="5"/>
  <c r="I278" i="5"/>
  <c r="I282" i="5"/>
  <c r="D282" i="5" s="1" a="1"/>
  <c r="N277" i="5"/>
  <c r="K273" i="5"/>
  <c r="D280" i="5" a="1"/>
  <c r="F276" i="5"/>
  <c r="N278" i="5"/>
  <c r="M281" i="5"/>
  <c r="J277" i="5"/>
  <c r="J278" i="5"/>
  <c r="H282" i="5"/>
  <c r="K277" i="5"/>
  <c r="H274" i="5"/>
  <c r="K372" i="5"/>
  <c r="I368" i="5"/>
  <c r="I372" i="5"/>
  <c r="D372" i="5" s="1" a="1"/>
  <c r="N367" i="5"/>
  <c r="K363" i="5"/>
  <c r="D370" i="5" a="1"/>
  <c r="F366" i="5"/>
  <c r="N373" i="5"/>
  <c r="N368" i="5"/>
  <c r="M371" i="5"/>
  <c r="J367" i="5"/>
  <c r="J368" i="5"/>
  <c r="H372" i="5"/>
  <c r="K367" i="5"/>
  <c r="H364" i="5"/>
  <c r="J462" i="5"/>
  <c r="I462" i="5"/>
  <c r="D462" i="5" s="1" a="1"/>
  <c r="J461" i="5"/>
  <c r="K459" i="5"/>
  <c r="M459" i="5"/>
  <c r="D456" i="5" a="1"/>
  <c r="J453" i="5"/>
  <c r="K455" i="5"/>
  <c r="J459" i="5"/>
  <c r="M455" i="5"/>
  <c r="G458" i="5"/>
  <c r="F459" i="5"/>
  <c r="D463" i="5" a="1"/>
  <c r="K457" i="5"/>
  <c r="H454" i="5"/>
  <c r="N21" i="5"/>
  <c r="J24" i="5"/>
  <c r="F21" i="5"/>
  <c r="G23" i="5"/>
  <c r="N19" i="5"/>
  <c r="G27" i="5"/>
  <c r="F24" i="5"/>
  <c r="D28" i="5" a="1"/>
  <c r="M26" i="5"/>
  <c r="I22" i="5"/>
  <c r="D22" i="5" s="1" a="1"/>
  <c r="H19" i="5"/>
  <c r="N24" i="5"/>
  <c r="J20" i="5"/>
  <c r="I18" i="5"/>
  <c r="D18" i="5" s="1"/>
  <c r="J39" i="5"/>
  <c r="M35" i="5"/>
  <c r="G42" i="5"/>
  <c r="G38" i="5"/>
  <c r="N34" i="5"/>
  <c r="M41" i="5"/>
  <c r="I37" i="5"/>
  <c r="D37" i="5" s="1" a="1"/>
  <c r="J38" i="5"/>
  <c r="J40" i="5"/>
  <c r="K36" i="5"/>
  <c r="H33" i="5"/>
  <c r="I40" i="5"/>
  <c r="I38" i="5"/>
  <c r="H38" i="5" s="1"/>
  <c r="D42" i="5" a="1"/>
  <c r="N37" i="5"/>
  <c r="D38" i="5" a="1"/>
  <c r="M117" i="5"/>
  <c r="F117" i="5"/>
  <c r="M115" i="5"/>
  <c r="F112" i="5"/>
  <c r="M109" i="5"/>
  <c r="K114" i="5"/>
  <c r="M110" i="5"/>
  <c r="M114" i="5"/>
  <c r="N110" i="5"/>
  <c r="F115" i="5"/>
  <c r="G110" i="5"/>
  <c r="N116" i="5"/>
  <c r="M111" i="5"/>
  <c r="I109" i="5"/>
  <c r="J131" i="5"/>
  <c r="H128" i="5"/>
  <c r="M123" i="5"/>
  <c r="K129" i="5"/>
  <c r="N125" i="5"/>
  <c r="F129" i="5"/>
  <c r="F125" i="5"/>
  <c r="J132" i="5"/>
  <c r="K127" i="5"/>
  <c r="K128" i="5"/>
  <c r="G131" i="5"/>
  <c r="M126" i="5"/>
  <c r="H129" i="5"/>
  <c r="K125" i="5"/>
  <c r="I123" i="5"/>
  <c r="H123" i="5" s="1"/>
  <c r="I205" i="5"/>
  <c r="D205" i="5" s="1" a="1"/>
  <c r="M203" i="5"/>
  <c r="D207" i="5" a="1"/>
  <c r="F203" i="5"/>
  <c r="I200" i="5"/>
  <c r="D200" i="5" s="1" a="1"/>
  <c r="K206" i="5"/>
  <c r="N198" i="5"/>
  <c r="H205" i="5"/>
  <c r="G199" i="5"/>
  <c r="J205" i="5"/>
  <c r="I201" i="5"/>
  <c r="D201" i="5" s="1" a="1"/>
  <c r="M202" i="5"/>
  <c r="I203" i="5"/>
  <c r="F218" i="5"/>
  <c r="M214" i="5"/>
  <c r="I221" i="5"/>
  <c r="N213" i="5"/>
  <c r="H220" i="5"/>
  <c r="I216" i="5"/>
  <c r="D216" i="5" s="1" a="1"/>
  <c r="G213" i="5"/>
  <c r="H215" i="5"/>
  <c r="K222" i="5"/>
  <c r="F221" i="5"/>
  <c r="I214" i="5"/>
  <c r="H214" i="5" s="1"/>
  <c r="M220" i="5"/>
  <c r="N216" i="5"/>
  <c r="K214" i="5"/>
  <c r="N291" i="5"/>
  <c r="M298" i="5"/>
  <c r="J294" i="5"/>
  <c r="F291" i="5"/>
  <c r="G293" i="5"/>
  <c r="N289" i="5"/>
  <c r="G297" i="5"/>
  <c r="F294" i="5"/>
  <c r="D298" i="5" a="1"/>
  <c r="M296" i="5"/>
  <c r="I292" i="5"/>
  <c r="D292" i="5" s="1" a="1"/>
  <c r="H289" i="5"/>
  <c r="N294" i="5"/>
  <c r="J290" i="5"/>
  <c r="I288" i="5"/>
  <c r="D288" i="5" s="1"/>
  <c r="J309" i="5"/>
  <c r="M305" i="5"/>
  <c r="G312" i="5"/>
  <c r="G308" i="5"/>
  <c r="N304" i="5"/>
  <c r="M311" i="5"/>
  <c r="I307" i="5"/>
  <c r="D307" i="5" s="1" a="1"/>
  <c r="J308" i="5"/>
  <c r="J310" i="5"/>
  <c r="K306" i="5"/>
  <c r="H303" i="5"/>
  <c r="I310" i="5"/>
  <c r="I308" i="5"/>
  <c r="H308" i="5" s="1"/>
  <c r="D312" i="5" a="1"/>
  <c r="N307" i="5"/>
  <c r="D308" i="5" a="1"/>
  <c r="M387" i="5"/>
  <c r="F387" i="5"/>
  <c r="M385" i="5"/>
  <c r="F382" i="5"/>
  <c r="M379" i="5"/>
  <c r="K384" i="5"/>
  <c r="M380" i="5"/>
  <c r="M384" i="5"/>
  <c r="N380" i="5"/>
  <c r="F385" i="5"/>
  <c r="G380" i="5"/>
  <c r="N386" i="5"/>
  <c r="M381" i="5"/>
  <c r="I379" i="5"/>
  <c r="J401" i="5"/>
  <c r="H398" i="5"/>
  <c r="M393" i="5"/>
  <c r="K399" i="5"/>
  <c r="N395" i="5"/>
  <c r="G403" i="5"/>
  <c r="F399" i="5"/>
  <c r="F395" i="5"/>
  <c r="J402" i="5"/>
  <c r="K397" i="5"/>
  <c r="K398" i="5"/>
  <c r="G401" i="5"/>
  <c r="M396" i="5"/>
  <c r="M403" i="5"/>
  <c r="H399" i="5"/>
  <c r="K395" i="5"/>
  <c r="I393" i="5"/>
  <c r="H393" i="5" s="1"/>
  <c r="N53" i="5"/>
  <c r="M56" i="5"/>
  <c r="J52" i="5"/>
  <c r="J53" i="5"/>
  <c r="H57" i="5"/>
  <c r="K52" i="5"/>
  <c r="H49" i="5"/>
  <c r="G54" i="5"/>
  <c r="J50" i="5"/>
  <c r="I48" i="5"/>
  <c r="D48" i="5" s="1"/>
  <c r="I55" i="5"/>
  <c r="D57" i="5" a="1"/>
  <c r="F53" i="5"/>
  <c r="M49" i="5"/>
  <c r="N143" i="5"/>
  <c r="M146" i="5"/>
  <c r="J142" i="5"/>
  <c r="J143" i="5"/>
  <c r="H147" i="5"/>
  <c r="K142" i="5"/>
  <c r="H139" i="5"/>
  <c r="G144" i="5"/>
  <c r="J140" i="5"/>
  <c r="I138" i="5"/>
  <c r="D138" i="5" s="1"/>
  <c r="I145" i="5"/>
  <c r="D147" i="5" a="1"/>
  <c r="F143" i="5"/>
  <c r="M139" i="5"/>
  <c r="N233" i="5"/>
  <c r="M236" i="5"/>
  <c r="J232" i="5"/>
  <c r="J233" i="5"/>
  <c r="H237" i="5"/>
  <c r="K232" i="5"/>
  <c r="H229" i="5"/>
  <c r="G234" i="5"/>
  <c r="J230" i="5"/>
  <c r="I228" i="5"/>
  <c r="D228" i="5" s="1"/>
  <c r="I235" i="5"/>
  <c r="D237" i="5" a="1"/>
  <c r="F233" i="5"/>
  <c r="M229" i="5"/>
  <c r="N323" i="5"/>
  <c r="M326" i="5"/>
  <c r="J322" i="5"/>
  <c r="J323" i="5"/>
  <c r="H327" i="5"/>
  <c r="K322" i="5"/>
  <c r="H319" i="5"/>
  <c r="G324" i="5"/>
  <c r="J320" i="5"/>
  <c r="I318" i="5"/>
  <c r="D318" i="5" s="1"/>
  <c r="I325" i="5"/>
  <c r="D327" i="5" a="1"/>
  <c r="F323" i="5"/>
  <c r="M319" i="5"/>
  <c r="N413" i="5"/>
  <c r="M416" i="5"/>
  <c r="J412" i="5"/>
  <c r="J413" i="5"/>
  <c r="H417" i="5"/>
  <c r="K412" i="5"/>
  <c r="H409" i="5"/>
  <c r="G414" i="5"/>
  <c r="J410" i="5"/>
  <c r="I408" i="5"/>
  <c r="D408" i="5" s="1"/>
  <c r="I415" i="5"/>
  <c r="D417" i="5" a="1"/>
  <c r="F413" i="5"/>
  <c r="M409" i="5"/>
  <c r="J552" i="5"/>
  <c r="F550" i="5"/>
  <c r="K548" i="5"/>
  <c r="K550" i="5"/>
  <c r="D546" i="5" a="1"/>
  <c r="J543" i="5"/>
  <c r="M550" i="5"/>
  <c r="K545" i="5"/>
  <c r="N552" i="5"/>
  <c r="M548" i="5"/>
  <c r="N550" i="5"/>
  <c r="H546" i="5"/>
  <c r="F544" i="5"/>
  <c r="G550" i="5"/>
  <c r="J546" i="5"/>
  <c r="N543" i="5"/>
  <c r="J642" i="5"/>
  <c r="F640" i="5"/>
  <c r="K638" i="5"/>
  <c r="K640" i="5"/>
  <c r="D636" i="5" a="1"/>
  <c r="J633" i="5"/>
  <c r="M640" i="5"/>
  <c r="K635" i="5"/>
  <c r="N642" i="5"/>
  <c r="F643" i="5"/>
  <c r="M638" i="5"/>
  <c r="N640" i="5"/>
  <c r="H636" i="5"/>
  <c r="F634" i="5"/>
  <c r="G640" i="5"/>
  <c r="J636" i="5"/>
  <c r="N633" i="5"/>
  <c r="J732" i="5"/>
  <c r="F730" i="5"/>
  <c r="K728" i="5"/>
  <c r="K730" i="5"/>
  <c r="D726" i="5" a="1"/>
  <c r="J723" i="5"/>
  <c r="M730" i="5"/>
  <c r="K725" i="5"/>
  <c r="N732" i="5"/>
  <c r="M728" i="5"/>
  <c r="N730" i="5"/>
  <c r="H726" i="5"/>
  <c r="F724" i="5"/>
  <c r="G730" i="5"/>
  <c r="J726" i="5"/>
  <c r="N723" i="5"/>
  <c r="J822" i="5"/>
  <c r="F820" i="5"/>
  <c r="K818" i="5"/>
  <c r="K820" i="5"/>
  <c r="D816" i="5" a="1"/>
  <c r="J813" i="5"/>
  <c r="M820" i="5"/>
  <c r="K815" i="5"/>
  <c r="N822" i="5"/>
  <c r="M818" i="5"/>
  <c r="N820" i="5"/>
  <c r="H816" i="5"/>
  <c r="F814" i="5"/>
  <c r="G820" i="5"/>
  <c r="J816" i="5"/>
  <c r="N813" i="5"/>
  <c r="J912" i="5"/>
  <c r="F910" i="5"/>
  <c r="K908" i="5"/>
  <c r="K910" i="5"/>
  <c r="D906" i="5" a="1"/>
  <c r="J903" i="5"/>
  <c r="M910" i="5"/>
  <c r="K905" i="5"/>
  <c r="N912" i="5"/>
  <c r="M908" i="5"/>
  <c r="N910" i="5"/>
  <c r="H906" i="5"/>
  <c r="F904" i="5"/>
  <c r="G910" i="5"/>
  <c r="J906" i="5"/>
  <c r="N903" i="5"/>
  <c r="D1002" i="5" a="1"/>
  <c r="F998" i="5"/>
  <c r="K1001" i="5"/>
  <c r="G997" i="5"/>
  <c r="G1002" i="5"/>
  <c r="F999" i="5"/>
  <c r="N999" i="5"/>
  <c r="F1001" i="5"/>
  <c r="I995" i="5"/>
  <c r="H995" i="5" s="1"/>
  <c r="M1000" i="5"/>
  <c r="K995" i="5"/>
  <c r="I998" i="5"/>
  <c r="H998" i="5" s="1"/>
  <c r="K993" i="5"/>
  <c r="N998" i="5"/>
  <c r="N993" i="5"/>
  <c r="N474" i="5"/>
  <c r="J470" i="5"/>
  <c r="I468" i="5"/>
  <c r="G474" i="5"/>
  <c r="K469" i="5"/>
  <c r="J476" i="5"/>
  <c r="G472" i="5"/>
  <c r="N473" i="5"/>
  <c r="N475" i="5"/>
  <c r="H471" i="5"/>
  <c r="F468" i="5"/>
  <c r="G475" i="5"/>
  <c r="J471" i="5"/>
  <c r="G468" i="5"/>
  <c r="D474" i="5" a="1"/>
  <c r="H470" i="5"/>
  <c r="H489" i="5"/>
  <c r="K485" i="5"/>
  <c r="I483" i="5"/>
  <c r="F492" i="5"/>
  <c r="K491" i="5"/>
  <c r="H487" i="5"/>
  <c r="F484" i="5"/>
  <c r="J486" i="5"/>
  <c r="G484" i="5"/>
  <c r="M489" i="5"/>
  <c r="N489" i="5"/>
  <c r="J484" i="5"/>
  <c r="N566" i="5"/>
  <c r="M561" i="5"/>
  <c r="I559" i="5"/>
  <c r="G566" i="5"/>
  <c r="K560" i="5"/>
  <c r="N567" i="5"/>
  <c r="H564" i="5"/>
  <c r="H562" i="5"/>
  <c r="F559" i="5"/>
  <c r="I566" i="5"/>
  <c r="H566" i="5" s="1"/>
  <c r="J562" i="5"/>
  <c r="J563" i="5"/>
  <c r="D566" i="5" a="1"/>
  <c r="K561" i="5"/>
  <c r="H558" i="5"/>
  <c r="M580" i="5"/>
  <c r="N576" i="5"/>
  <c r="K574" i="5"/>
  <c r="N580" i="5"/>
  <c r="G576" i="5"/>
  <c r="D573" i="5"/>
  <c r="N578" i="5"/>
  <c r="H582" i="5"/>
  <c r="J577" i="5"/>
  <c r="N581" i="5"/>
  <c r="H574" i="5"/>
  <c r="K580" i="5"/>
  <c r="J575" i="5"/>
  <c r="M652" i="5"/>
  <c r="I653" i="5"/>
  <c r="I657" i="5"/>
  <c r="D657" i="5" s="1" a="1"/>
  <c r="N652" i="5"/>
  <c r="K648" i="5"/>
  <c r="D655" i="5" a="1"/>
  <c r="G651" i="5"/>
  <c r="M648" i="5"/>
  <c r="H657" i="5"/>
  <c r="I654" i="5"/>
  <c r="F650" i="5"/>
  <c r="J657" i="5"/>
  <c r="K652" i="5"/>
  <c r="K653" i="5"/>
  <c r="N667" i="5"/>
  <c r="D668" i="5" a="1"/>
  <c r="N672" i="5"/>
  <c r="G667" i="5"/>
  <c r="D664" i="5"/>
  <c r="G670" i="5"/>
  <c r="H666" i="5"/>
  <c r="F663" i="5"/>
  <c r="I669" i="5"/>
  <c r="G665" i="5"/>
  <c r="F670" i="5"/>
  <c r="D673" i="5" a="1"/>
  <c r="I672" i="5"/>
  <c r="M667" i="5"/>
  <c r="J663" i="5"/>
  <c r="N744" i="5"/>
  <c r="J740" i="5"/>
  <c r="I738" i="5"/>
  <c r="G744" i="5"/>
  <c r="K739" i="5"/>
  <c r="J746" i="5"/>
  <c r="G742" i="5"/>
  <c r="N743" i="5"/>
  <c r="N745" i="5"/>
  <c r="H741" i="5"/>
  <c r="F738" i="5"/>
  <c r="G745" i="5"/>
  <c r="J741" i="5"/>
  <c r="G738" i="5"/>
  <c r="D744" i="5" a="1"/>
  <c r="H740" i="5"/>
  <c r="H759" i="5"/>
  <c r="K755" i="5"/>
  <c r="I753" i="5"/>
  <c r="F762" i="5"/>
  <c r="K761" i="5"/>
  <c r="H757" i="5"/>
  <c r="F754" i="5"/>
  <c r="J756" i="5"/>
  <c r="G754" i="5"/>
  <c r="M759" i="5"/>
  <c r="N759" i="5"/>
  <c r="J754" i="5"/>
  <c r="N836" i="5"/>
  <c r="M831" i="5"/>
  <c r="I829" i="5"/>
  <c r="G836" i="5"/>
  <c r="K830" i="5"/>
  <c r="N837" i="5"/>
  <c r="H834" i="5"/>
  <c r="H832" i="5"/>
  <c r="F829" i="5"/>
  <c r="I836" i="5"/>
  <c r="H836" i="5" s="1"/>
  <c r="J832" i="5"/>
  <c r="J833" i="5"/>
  <c r="D836" i="5" a="1"/>
  <c r="K831" i="5"/>
  <c r="H828" i="5"/>
  <c r="M850" i="5"/>
  <c r="N846" i="5"/>
  <c r="K844" i="5"/>
  <c r="N850" i="5"/>
  <c r="G846" i="5"/>
  <c r="D843" i="5"/>
  <c r="N848" i="5"/>
  <c r="H852" i="5"/>
  <c r="J847" i="5"/>
  <c r="N851" i="5"/>
  <c r="H844" i="5"/>
  <c r="K850" i="5"/>
  <c r="J845" i="5"/>
  <c r="M922" i="5"/>
  <c r="I923" i="5"/>
  <c r="I927" i="5"/>
  <c r="D927" i="5" s="1" a="1"/>
  <c r="N922" i="5"/>
  <c r="K918" i="5"/>
  <c r="D925" i="5" a="1"/>
  <c r="G921" i="5"/>
  <c r="M918" i="5"/>
  <c r="H927" i="5"/>
  <c r="I924" i="5"/>
  <c r="F920" i="5"/>
  <c r="J927" i="5"/>
  <c r="K922" i="5"/>
  <c r="K923" i="5"/>
  <c r="N937" i="5"/>
  <c r="D938" i="5" a="1"/>
  <c r="N942" i="5"/>
  <c r="G937" i="5"/>
  <c r="D934" i="5"/>
  <c r="G940" i="5"/>
  <c r="H936" i="5"/>
  <c r="F933" i="5"/>
  <c r="I939" i="5"/>
  <c r="G935" i="5"/>
  <c r="F940" i="5"/>
  <c r="D943" i="5" a="1"/>
  <c r="I942" i="5"/>
  <c r="M937" i="5"/>
  <c r="J933" i="5"/>
  <c r="N507" i="5"/>
  <c r="M503" i="5"/>
  <c r="N505" i="5"/>
  <c r="F499" i="5"/>
  <c r="G505" i="5"/>
  <c r="J501" i="5"/>
  <c r="N498" i="5"/>
  <c r="J505" i="5"/>
  <c r="K501" i="5"/>
  <c r="M502" i="5"/>
  <c r="M507" i="5"/>
  <c r="F507" i="5"/>
  <c r="I499" i="5"/>
  <c r="N597" i="5"/>
  <c r="M593" i="5"/>
  <c r="N595" i="5"/>
  <c r="F589" i="5"/>
  <c r="G595" i="5"/>
  <c r="J591" i="5"/>
  <c r="N588" i="5"/>
  <c r="J595" i="5"/>
  <c r="K591" i="5"/>
  <c r="M592" i="5"/>
  <c r="M597" i="5"/>
  <c r="F597" i="5"/>
  <c r="I589" i="5"/>
  <c r="N687" i="5"/>
  <c r="M683" i="5"/>
  <c r="N685" i="5"/>
  <c r="F679" i="5"/>
  <c r="G685" i="5"/>
  <c r="J681" i="5"/>
  <c r="N678" i="5"/>
  <c r="J685" i="5"/>
  <c r="K681" i="5"/>
  <c r="M682" i="5"/>
  <c r="M687" i="5"/>
  <c r="F687" i="5"/>
  <c r="I679" i="5"/>
  <c r="N777" i="5"/>
  <c r="M773" i="5"/>
  <c r="N775" i="5"/>
  <c r="F769" i="5"/>
  <c r="G775" i="5"/>
  <c r="J771" i="5"/>
  <c r="N768" i="5"/>
  <c r="J775" i="5"/>
  <c r="K771" i="5"/>
  <c r="M772" i="5"/>
  <c r="M777" i="5"/>
  <c r="F777" i="5"/>
  <c r="I769" i="5"/>
  <c r="N867" i="5"/>
  <c r="M863" i="5"/>
  <c r="N865" i="5"/>
  <c r="F859" i="5"/>
  <c r="G865" i="5"/>
  <c r="J861" i="5"/>
  <c r="N858" i="5"/>
  <c r="J865" i="5"/>
  <c r="K861" i="5"/>
  <c r="M862" i="5"/>
  <c r="M867" i="5"/>
  <c r="F867" i="5"/>
  <c r="I859" i="5"/>
  <c r="N957" i="5"/>
  <c r="F958" i="5"/>
  <c r="M953" i="5"/>
  <c r="N955" i="5"/>
  <c r="F949" i="5"/>
  <c r="G955" i="5"/>
  <c r="J951" i="5"/>
  <c r="N948" i="5"/>
  <c r="J955" i="5"/>
  <c r="K951" i="5"/>
  <c r="K958" i="5"/>
  <c r="M952" i="5"/>
  <c r="M957" i="5"/>
  <c r="F957" i="5"/>
  <c r="I949" i="5"/>
  <c r="N523" i="5"/>
  <c r="H517" i="5"/>
  <c r="F514" i="5"/>
  <c r="I521" i="5"/>
  <c r="H521" i="5" s="1"/>
  <c r="J517" i="5"/>
  <c r="J518" i="5"/>
  <c r="D521" i="5" a="1"/>
  <c r="K516" i="5"/>
  <c r="H513" i="5"/>
  <c r="F521" i="5"/>
  <c r="M522" i="5"/>
  <c r="F522" i="5"/>
  <c r="D514" i="5"/>
  <c r="M520" i="5"/>
  <c r="F517" i="5"/>
  <c r="M514" i="5"/>
  <c r="M536" i="5"/>
  <c r="I532" i="5"/>
  <c r="J533" i="5"/>
  <c r="J535" i="5"/>
  <c r="K531" i="5"/>
  <c r="H528" i="5"/>
  <c r="I535" i="5"/>
  <c r="I533" i="5"/>
  <c r="D537" i="5" a="1"/>
  <c r="N532" i="5"/>
  <c r="D533" i="5" a="1"/>
  <c r="N537" i="5"/>
  <c r="G532" i="5"/>
  <c r="D529" i="5"/>
  <c r="G535" i="5"/>
  <c r="H531" i="5"/>
  <c r="F528" i="5"/>
  <c r="H612" i="5"/>
  <c r="I609" i="5"/>
  <c r="F605" i="5"/>
  <c r="J612" i="5"/>
  <c r="K607" i="5"/>
  <c r="K608" i="5"/>
  <c r="K610" i="5"/>
  <c r="D606" i="5" a="1"/>
  <c r="J603" i="5"/>
  <c r="I610" i="5"/>
  <c r="M608" i="5"/>
  <c r="D612" i="5" a="1"/>
  <c r="F608" i="5"/>
  <c r="I605" i="5"/>
  <c r="G628" i="5"/>
  <c r="F624" i="5"/>
  <c r="F620" i="5"/>
  <c r="J627" i="5"/>
  <c r="K622" i="5"/>
  <c r="K623" i="5"/>
  <c r="G626" i="5"/>
  <c r="M621" i="5"/>
  <c r="M628" i="5"/>
  <c r="H624" i="5"/>
  <c r="K620" i="5"/>
  <c r="I618" i="5"/>
  <c r="F627" i="5"/>
  <c r="K626" i="5"/>
  <c r="H622" i="5"/>
  <c r="F619" i="5"/>
  <c r="N700" i="5"/>
  <c r="H696" i="5"/>
  <c r="F693" i="5"/>
  <c r="G700" i="5"/>
  <c r="J696" i="5"/>
  <c r="G693" i="5"/>
  <c r="D699" i="5" a="1"/>
  <c r="H695" i="5"/>
  <c r="K702" i="5"/>
  <c r="D697" i="5" a="1"/>
  <c r="J694" i="5"/>
  <c r="H701" i="5"/>
  <c r="N696" i="5"/>
  <c r="M703" i="5"/>
  <c r="J699" i="5"/>
  <c r="F696" i="5"/>
  <c r="D693" i="5"/>
  <c r="H715" i="5"/>
  <c r="I711" i="5"/>
  <c r="G708" i="5"/>
  <c r="H710" i="5"/>
  <c r="K717" i="5"/>
  <c r="F716" i="5"/>
  <c r="I709" i="5"/>
  <c r="M715" i="5"/>
  <c r="N711" i="5"/>
  <c r="K709" i="5"/>
  <c r="N715" i="5"/>
  <c r="G711" i="5"/>
  <c r="D708" i="5"/>
  <c r="N713" i="5"/>
  <c r="H787" i="5"/>
  <c r="F784" i="5"/>
  <c r="I791" i="5"/>
  <c r="H791" i="5" s="1"/>
  <c r="J787" i="5"/>
  <c r="J788" i="5"/>
  <c r="D791" i="5" a="1"/>
  <c r="K786" i="5"/>
  <c r="H783" i="5"/>
  <c r="F791" i="5"/>
  <c r="M792" i="5"/>
  <c r="F792" i="5"/>
  <c r="D784" i="5"/>
  <c r="M790" i="5"/>
  <c r="F787" i="5"/>
  <c r="M784" i="5"/>
  <c r="M806" i="5"/>
  <c r="I802" i="5"/>
  <c r="J803" i="5"/>
  <c r="J805" i="5"/>
  <c r="K801" i="5"/>
  <c r="H798" i="5"/>
  <c r="I805" i="5"/>
  <c r="I803" i="5"/>
  <c r="D807" i="5" a="1"/>
  <c r="N802" i="5"/>
  <c r="D803" i="5" a="1"/>
  <c r="N807" i="5"/>
  <c r="G802" i="5"/>
  <c r="D799" i="5"/>
  <c r="G805" i="5"/>
  <c r="H801" i="5"/>
  <c r="F798" i="5"/>
  <c r="F883" i="5"/>
  <c r="I883" i="5"/>
  <c r="H882" i="5"/>
  <c r="I879" i="5"/>
  <c r="F875" i="5"/>
  <c r="J882" i="5"/>
  <c r="K877" i="5"/>
  <c r="K878" i="5"/>
  <c r="K880" i="5"/>
  <c r="D876" i="5" a="1"/>
  <c r="J873" i="5"/>
  <c r="I880" i="5"/>
  <c r="M878" i="5"/>
  <c r="D882" i="5" a="1"/>
  <c r="F878" i="5"/>
  <c r="I875" i="5"/>
  <c r="F894" i="5"/>
  <c r="F890" i="5"/>
  <c r="J897" i="5"/>
  <c r="K892" i="5"/>
  <c r="K893" i="5"/>
  <c r="G896" i="5"/>
  <c r="M891" i="5"/>
  <c r="H894" i="5"/>
  <c r="K890" i="5"/>
  <c r="I888" i="5"/>
  <c r="F897" i="5"/>
  <c r="K896" i="5"/>
  <c r="H892" i="5"/>
  <c r="F889" i="5"/>
  <c r="N970" i="5"/>
  <c r="H966" i="5"/>
  <c r="F963" i="5"/>
  <c r="G970" i="5"/>
  <c r="J966" i="5"/>
  <c r="G963" i="5"/>
  <c r="D969" i="5" a="1"/>
  <c r="H965" i="5"/>
  <c r="K972" i="5"/>
  <c r="D967" i="5" a="1"/>
  <c r="J964" i="5"/>
  <c r="H971" i="5"/>
  <c r="N966" i="5"/>
  <c r="M973" i="5"/>
  <c r="J969" i="5"/>
  <c r="F966" i="5"/>
  <c r="D963" i="5"/>
  <c r="H985" i="5"/>
  <c r="I981" i="5"/>
  <c r="G978" i="5"/>
  <c r="H980" i="5"/>
  <c r="K987" i="5"/>
  <c r="F986" i="5"/>
  <c r="I979" i="5"/>
  <c r="M985" i="5"/>
  <c r="N981" i="5"/>
  <c r="K979" i="5"/>
  <c r="N985" i="5"/>
  <c r="G981" i="5"/>
  <c r="D978" i="5"/>
  <c r="N983" i="5"/>
  <c r="J1047" i="5"/>
  <c r="F1045" i="5"/>
  <c r="K1043" i="5"/>
  <c r="K1045" i="5"/>
  <c r="D1041" i="5" a="1"/>
  <c r="J1038" i="5"/>
  <c r="M1045" i="5"/>
  <c r="K1040" i="5"/>
  <c r="N1047" i="5"/>
  <c r="F1048" i="5"/>
  <c r="M1043" i="5"/>
  <c r="N1045" i="5"/>
  <c r="H1041" i="5"/>
  <c r="F1039" i="5"/>
  <c r="G1045" i="5"/>
  <c r="J1041" i="5"/>
  <c r="N1038" i="5"/>
  <c r="H1137" i="5"/>
  <c r="K1132" i="5"/>
  <c r="H1129" i="5"/>
  <c r="G1134" i="5"/>
  <c r="J1130" i="5"/>
  <c r="I1128" i="5"/>
  <c r="D1128" i="5" s="1"/>
  <c r="I1135" i="5"/>
  <c r="D1137" i="5" a="1"/>
  <c r="F1133" i="5"/>
  <c r="M1129" i="5"/>
  <c r="K1134" i="5"/>
  <c r="G1131" i="5"/>
  <c r="F1128" i="5"/>
  <c r="M1134" i="5"/>
  <c r="N1130" i="5"/>
  <c r="G1128" i="5"/>
  <c r="D1226" i="5" a="1"/>
  <c r="I1222" i="5"/>
  <c r="H1218" i="5"/>
  <c r="F1226" i="5"/>
  <c r="I1220" i="5"/>
  <c r="M1228" i="5"/>
  <c r="K1219" i="5"/>
  <c r="J1226" i="5"/>
  <c r="F1222" i="5"/>
  <c r="I1224" i="5"/>
  <c r="H1224" i="5" s="1"/>
  <c r="F1220" i="5"/>
  <c r="G1228" i="5"/>
  <c r="D1224" i="5" a="1"/>
  <c r="G1220" i="5"/>
  <c r="J1315" i="5"/>
  <c r="K1311" i="5"/>
  <c r="M1312" i="5"/>
  <c r="M1317" i="5"/>
  <c r="F1317" i="5"/>
  <c r="I1309" i="5"/>
  <c r="H1316" i="5"/>
  <c r="M1308" i="5"/>
  <c r="G1313" i="5"/>
  <c r="G1317" i="5"/>
  <c r="F1314" i="5"/>
  <c r="D1318" i="5" a="1"/>
  <c r="H1405" i="5"/>
  <c r="I1401" i="5"/>
  <c r="K1407" i="5"/>
  <c r="D1402" i="5" a="1"/>
  <c r="I1403" i="5"/>
  <c r="I1407" i="5"/>
  <c r="N1402" i="5"/>
  <c r="K1398" i="5"/>
  <c r="D1405" i="5" a="1"/>
  <c r="F1401" i="5"/>
  <c r="N1408" i="5"/>
  <c r="H1402" i="5"/>
  <c r="N1403" i="5"/>
  <c r="M1406" i="5"/>
  <c r="J1402" i="5"/>
  <c r="J1403" i="5"/>
  <c r="N1494" i="5"/>
  <c r="H1490" i="5"/>
  <c r="N1496" i="5"/>
  <c r="M1491" i="5"/>
  <c r="J1489" i="5"/>
  <c r="G1496" i="5"/>
  <c r="N1491" i="5"/>
  <c r="D1488" i="5"/>
  <c r="D1495" i="5" a="1"/>
  <c r="F1491" i="5"/>
  <c r="K1496" i="5"/>
  <c r="G1492" i="5"/>
  <c r="N1489" i="5"/>
  <c r="I1496" i="5"/>
  <c r="G1489" i="5"/>
  <c r="N1059" i="5"/>
  <c r="J1055" i="5"/>
  <c r="I1053" i="5"/>
  <c r="G1059" i="5"/>
  <c r="K1054" i="5"/>
  <c r="J1061" i="5"/>
  <c r="G1057" i="5"/>
  <c r="N1058" i="5"/>
  <c r="N1060" i="5"/>
  <c r="H1056" i="5"/>
  <c r="F1053" i="5"/>
  <c r="G1060" i="5"/>
  <c r="J1056" i="5"/>
  <c r="G1053" i="5"/>
  <c r="D1059" i="5" a="1"/>
  <c r="H1055" i="5"/>
  <c r="M1077" i="5"/>
  <c r="G1074" i="5"/>
  <c r="I1070" i="5"/>
  <c r="D1070" i="5" s="1" a="1"/>
  <c r="N1078" i="5"/>
  <c r="F1073" i="5"/>
  <c r="M1069" i="5"/>
  <c r="I1076" i="5"/>
  <c r="H1078" i="5"/>
  <c r="N1068" i="5"/>
  <c r="H1075" i="5"/>
  <c r="I1071" i="5"/>
  <c r="D1071" i="5" s="1" a="1"/>
  <c r="G1068" i="5"/>
  <c r="H1070" i="5"/>
  <c r="K1077" i="5"/>
  <c r="F1076" i="5"/>
  <c r="I1069" i="5"/>
  <c r="H1069" i="5" s="1"/>
  <c r="K1150" i="5"/>
  <c r="J1143" i="5"/>
  <c r="I1150" i="5"/>
  <c r="D1150" i="5" s="1" a="1"/>
  <c r="M1148" i="5"/>
  <c r="D1152" i="5" a="1"/>
  <c r="F1148" i="5"/>
  <c r="I1145" i="5"/>
  <c r="D1145" i="5" s="1" a="1"/>
  <c r="K1151" i="5"/>
  <c r="H1148" i="5"/>
  <c r="N1143" i="5"/>
  <c r="H1150" i="5"/>
  <c r="G1144" i="5"/>
  <c r="J1150" i="5"/>
  <c r="I1146" i="5"/>
  <c r="D1146" i="5" s="1" a="1"/>
  <c r="H1164" i="5"/>
  <c r="K1160" i="5"/>
  <c r="I1158" i="5"/>
  <c r="F1167" i="5"/>
  <c r="K1166" i="5"/>
  <c r="H1162" i="5"/>
  <c r="F1159" i="5"/>
  <c r="J1161" i="5"/>
  <c r="G1159" i="5"/>
  <c r="M1164" i="5"/>
  <c r="N1164" i="5"/>
  <c r="J1159" i="5"/>
  <c r="N1241" i="5"/>
  <c r="M1236" i="5"/>
  <c r="I1234" i="5"/>
  <c r="G1241" i="5"/>
  <c r="K1235" i="5"/>
  <c r="N1242" i="5"/>
  <c r="H1239" i="5"/>
  <c r="N1243" i="5"/>
  <c r="H1237" i="5"/>
  <c r="F1234" i="5"/>
  <c r="I1241" i="5"/>
  <c r="H1241" i="5" s="1"/>
  <c r="J1237" i="5"/>
  <c r="J1238" i="5"/>
  <c r="D1241" i="5" a="1"/>
  <c r="K1236" i="5"/>
  <c r="H1233" i="5"/>
  <c r="F1251" i="5"/>
  <c r="K1248" i="5"/>
  <c r="J1254" i="5"/>
  <c r="M1250" i="5"/>
  <c r="G1257" i="5"/>
  <c r="G1253" i="5"/>
  <c r="N1249" i="5"/>
  <c r="M1256" i="5"/>
  <c r="I1252" i="5"/>
  <c r="D1252" i="5" s="1" a="1"/>
  <c r="J1253" i="5"/>
  <c r="J1255" i="5"/>
  <c r="K1251" i="5"/>
  <c r="I1255" i="5"/>
  <c r="I1253" i="5"/>
  <c r="K1332" i="5"/>
  <c r="J1324" i="5"/>
  <c r="N1326" i="5"/>
  <c r="J1329" i="5"/>
  <c r="F1326" i="5"/>
  <c r="D1323" i="5"/>
  <c r="G1328" i="5"/>
  <c r="N1324" i="5"/>
  <c r="G1332" i="5"/>
  <c r="F1329" i="5"/>
  <c r="D1333" i="5" a="1"/>
  <c r="M1331" i="5"/>
  <c r="I1327" i="5"/>
  <c r="D1327" i="5" s="1" a="1"/>
  <c r="M1345" i="5"/>
  <c r="N1341" i="5"/>
  <c r="K1339" i="5"/>
  <c r="N1345" i="5"/>
  <c r="G1341" i="5"/>
  <c r="D1338" i="5"/>
  <c r="N1343" i="5"/>
  <c r="H1347" i="5"/>
  <c r="J1342" i="5"/>
  <c r="N1346" i="5"/>
  <c r="H1339" i="5"/>
  <c r="K1345" i="5"/>
  <c r="J1340" i="5"/>
  <c r="M1417" i="5"/>
  <c r="I1418" i="5"/>
  <c r="I1422" i="5"/>
  <c r="D1422" i="5" s="1" a="1"/>
  <c r="N1417" i="5"/>
  <c r="K1413" i="5"/>
  <c r="D1420" i="5" a="1"/>
  <c r="G1416" i="5"/>
  <c r="M1413" i="5"/>
  <c r="H1422" i="5"/>
  <c r="I1419" i="5"/>
  <c r="F1415" i="5"/>
  <c r="J1422" i="5"/>
  <c r="K1417" i="5"/>
  <c r="K1418" i="5"/>
  <c r="H1436" i="5"/>
  <c r="F1432" i="5"/>
  <c r="M1433" i="5"/>
  <c r="J1436" i="5"/>
  <c r="H1433" i="5"/>
  <c r="M1428" i="5"/>
  <c r="K1434" i="5"/>
  <c r="N1430" i="5"/>
  <c r="F1434" i="5"/>
  <c r="F1430" i="5"/>
  <c r="J1437" i="5"/>
  <c r="K1432" i="5"/>
  <c r="K1433" i="5"/>
  <c r="G1436" i="5"/>
  <c r="M1431" i="5"/>
  <c r="J1089" i="5"/>
  <c r="M1085" i="5"/>
  <c r="K1091" i="5"/>
  <c r="G1087" i="5"/>
  <c r="N1084" i="5"/>
  <c r="I1091" i="5"/>
  <c r="H1091" i="5" s="1"/>
  <c r="G1084" i="5"/>
  <c r="D1091" i="5" a="1"/>
  <c r="I1087" i="5"/>
  <c r="H1083" i="5"/>
  <c r="F1091" i="5"/>
  <c r="I1085" i="5"/>
  <c r="H1089" i="5"/>
  <c r="K1084" i="5"/>
  <c r="N1182" i="5"/>
  <c r="M1178" i="5"/>
  <c r="N1180" i="5"/>
  <c r="F1174" i="5"/>
  <c r="G1180" i="5"/>
  <c r="J1176" i="5"/>
  <c r="N1173" i="5"/>
  <c r="J1180" i="5"/>
  <c r="K1176" i="5"/>
  <c r="M1177" i="5"/>
  <c r="M1182" i="5"/>
  <c r="F1182" i="5"/>
  <c r="I1174" i="5"/>
  <c r="F1268" i="5"/>
  <c r="M1264" i="5"/>
  <c r="K1269" i="5"/>
  <c r="G1266" i="5"/>
  <c r="F1263" i="5"/>
  <c r="M1269" i="5"/>
  <c r="N1265" i="5"/>
  <c r="G1263" i="5"/>
  <c r="H1270" i="5"/>
  <c r="I1266" i="5"/>
  <c r="K1272" i="5"/>
  <c r="D1267" i="5" a="1"/>
  <c r="I1268" i="5"/>
  <c r="I1272" i="5"/>
  <c r="N1267" i="5"/>
  <c r="K1263" i="5"/>
  <c r="J1361" i="5"/>
  <c r="F1357" i="5"/>
  <c r="D1354" i="5"/>
  <c r="I1359" i="5"/>
  <c r="H1359" i="5" s="1"/>
  <c r="F1355" i="5"/>
  <c r="D1359" i="5" a="1"/>
  <c r="G1355" i="5"/>
  <c r="N1359" i="5"/>
  <c r="H1355" i="5"/>
  <c r="N1361" i="5"/>
  <c r="M1356" i="5"/>
  <c r="J1354" i="5"/>
  <c r="G1361" i="5"/>
  <c r="N1356" i="5"/>
  <c r="D1353" i="5"/>
  <c r="H1451" i="5"/>
  <c r="H1448" i="5"/>
  <c r="M1443" i="5"/>
  <c r="G1448" i="5"/>
  <c r="G1452" i="5"/>
  <c r="F1449" i="5"/>
  <c r="D1453" i="5" a="1"/>
  <c r="J1452" i="5"/>
  <c r="F1450" i="5"/>
  <c r="K1448" i="5"/>
  <c r="K1450" i="5"/>
  <c r="D1446" i="5" a="1"/>
  <c r="J1443" i="5"/>
  <c r="M1450" i="5"/>
  <c r="K1445" i="5"/>
  <c r="J1511" i="5"/>
  <c r="F1507" i="5"/>
  <c r="D1504" i="5"/>
  <c r="I1509" i="5"/>
  <c r="H1509" i="5" s="1"/>
  <c r="F1505" i="5"/>
  <c r="D1509" i="5" a="1"/>
  <c r="G1505" i="5"/>
  <c r="N1509" i="5"/>
  <c r="H1505" i="5"/>
  <c r="N1511" i="5"/>
  <c r="M1506" i="5"/>
  <c r="J1504" i="5"/>
  <c r="G1511" i="5"/>
  <c r="N1506" i="5"/>
  <c r="D1503" i="5"/>
  <c r="G1013" i="5"/>
  <c r="N1009" i="5"/>
  <c r="G1017" i="5"/>
  <c r="F1014" i="5"/>
  <c r="D1018" i="5" a="1"/>
  <c r="M1016" i="5"/>
  <c r="I1012" i="5"/>
  <c r="D1012" i="5" s="1" a="1"/>
  <c r="H1009" i="5"/>
  <c r="N1014" i="5"/>
  <c r="J1010" i="5"/>
  <c r="I1008" i="5"/>
  <c r="D1008" i="5" s="1"/>
  <c r="G1014" i="5"/>
  <c r="K1009" i="5"/>
  <c r="J1016" i="5"/>
  <c r="G1012" i="5"/>
  <c r="N1013" i="5"/>
  <c r="H1032" i="5"/>
  <c r="J1027" i="5"/>
  <c r="N1031" i="5"/>
  <c r="H1024" i="5"/>
  <c r="K1030" i="5"/>
  <c r="J1025" i="5"/>
  <c r="M1032" i="5"/>
  <c r="G1029" i="5"/>
  <c r="I1025" i="5"/>
  <c r="F1028" i="5"/>
  <c r="M1024" i="5"/>
  <c r="I1031" i="5"/>
  <c r="N1023" i="5"/>
  <c r="K1104" i="5"/>
  <c r="M1100" i="5"/>
  <c r="M1104" i="5"/>
  <c r="N1100" i="5"/>
  <c r="F1105" i="5"/>
  <c r="G1100" i="5"/>
  <c r="N1106" i="5"/>
  <c r="M1101" i="5"/>
  <c r="I1099" i="5"/>
  <c r="G1106" i="5"/>
  <c r="K1100" i="5"/>
  <c r="N1107" i="5"/>
  <c r="F1119" i="5"/>
  <c r="F1115" i="5"/>
  <c r="J1122" i="5"/>
  <c r="K1117" i="5"/>
  <c r="K1118" i="5"/>
  <c r="G1121" i="5"/>
  <c r="M1116" i="5"/>
  <c r="H1119" i="5"/>
  <c r="K1115" i="5"/>
  <c r="I1113" i="5"/>
  <c r="F1122" i="5"/>
  <c r="K1121" i="5"/>
  <c r="H1117" i="5"/>
  <c r="F1114" i="5"/>
  <c r="N1195" i="5"/>
  <c r="H1191" i="5"/>
  <c r="F1188" i="5"/>
  <c r="G1195" i="5"/>
  <c r="J1191" i="5"/>
  <c r="G1188" i="5"/>
  <c r="D1194" i="5" a="1"/>
  <c r="H1190" i="5"/>
  <c r="K1197" i="5"/>
  <c r="D1192" i="5" a="1"/>
  <c r="J1189" i="5"/>
  <c r="H1196" i="5"/>
  <c r="N1191" i="5"/>
  <c r="J1194" i="5"/>
  <c r="F1191" i="5"/>
  <c r="D1188" i="5"/>
  <c r="I1209" i="5"/>
  <c r="D1209" i="5" s="1" a="1"/>
  <c r="G1205" i="5"/>
  <c r="F1210" i="5"/>
  <c r="D1213" i="5" a="1"/>
  <c r="I1212" i="5"/>
  <c r="M1207" i="5"/>
  <c r="J1203" i="5"/>
  <c r="D1210" i="5" a="1"/>
  <c r="F1206" i="5"/>
  <c r="K1203" i="5"/>
  <c r="J1209" i="5"/>
  <c r="M1205" i="5"/>
  <c r="G1212" i="5"/>
  <c r="G1208" i="5"/>
  <c r="N1204" i="5"/>
  <c r="K1286" i="5"/>
  <c r="N1278" i="5"/>
  <c r="H1285" i="5"/>
  <c r="G1279" i="5"/>
  <c r="J1285" i="5"/>
  <c r="I1281" i="5"/>
  <c r="D1281" i="5" s="1" a="1"/>
  <c r="M1282" i="5"/>
  <c r="I1283" i="5"/>
  <c r="I1287" i="5"/>
  <c r="N1282" i="5"/>
  <c r="K1278" i="5"/>
  <c r="D1285" i="5" a="1"/>
  <c r="G1281" i="5"/>
  <c r="M1278" i="5"/>
  <c r="H1300" i="5"/>
  <c r="I1296" i="5"/>
  <c r="G1293" i="5"/>
  <c r="H1295" i="5"/>
  <c r="K1302" i="5"/>
  <c r="F1301" i="5"/>
  <c r="I1294" i="5"/>
  <c r="M1300" i="5"/>
  <c r="N1296" i="5"/>
  <c r="K1294" i="5"/>
  <c r="N1300" i="5"/>
  <c r="G1296" i="5"/>
  <c r="D1293" i="5"/>
  <c r="N1298" i="5"/>
  <c r="H1372" i="5"/>
  <c r="F1369" i="5"/>
  <c r="I1376" i="5"/>
  <c r="H1376" i="5" s="1"/>
  <c r="J1372" i="5"/>
  <c r="J1373" i="5"/>
  <c r="D1376" i="5" a="1"/>
  <c r="K1371" i="5"/>
  <c r="H1368" i="5"/>
  <c r="F1376" i="5"/>
  <c r="M1377" i="5"/>
  <c r="F1377" i="5"/>
  <c r="D1369" i="5"/>
  <c r="M1375" i="5"/>
  <c r="F1372" i="5"/>
  <c r="M1369" i="5"/>
  <c r="D1391" i="5" a="1"/>
  <c r="J1386" i="5"/>
  <c r="G1384" i="5"/>
  <c r="M1389" i="5"/>
  <c r="N1389" i="5"/>
  <c r="J1384" i="5"/>
  <c r="H1391" i="5"/>
  <c r="F1387" i="5"/>
  <c r="M1388" i="5"/>
  <c r="J1391" i="5"/>
  <c r="H1388" i="5"/>
  <c r="M1383" i="5"/>
  <c r="K1389" i="5"/>
  <c r="N1385" i="5"/>
  <c r="G1463" i="5"/>
  <c r="N1459" i="5"/>
  <c r="G1467" i="5"/>
  <c r="F1464" i="5"/>
  <c r="D1468" i="5" a="1"/>
  <c r="M1466" i="5"/>
  <c r="I1462" i="5"/>
  <c r="D1462" i="5" s="1" a="1"/>
  <c r="H1459" i="5"/>
  <c r="N1464" i="5"/>
  <c r="J1460" i="5"/>
  <c r="I1458" i="5"/>
  <c r="D1458" i="5" s="1"/>
  <c r="G1464" i="5"/>
  <c r="K1459" i="5"/>
  <c r="J1466" i="5"/>
  <c r="G1462" i="5"/>
  <c r="N1463" i="5"/>
  <c r="M1481" i="5"/>
  <c r="I1477" i="5"/>
  <c r="J1478" i="5"/>
  <c r="J1480" i="5"/>
  <c r="K1476" i="5"/>
  <c r="H1473" i="5"/>
  <c r="I1480" i="5"/>
  <c r="I1478" i="5"/>
  <c r="D1482" i="5" a="1"/>
  <c r="N1477" i="5"/>
  <c r="D1478" i="5" a="1"/>
  <c r="N1482" i="5"/>
  <c r="G1477" i="5"/>
  <c r="D1474" i="5"/>
  <c r="G1480" i="5"/>
  <c r="H1476" i="5"/>
  <c r="F1473" i="5"/>
  <c r="M1528" i="5"/>
  <c r="J1528" i="5"/>
  <c r="K1524" i="5"/>
  <c r="M1520" i="5"/>
  <c r="G1527" i="5"/>
  <c r="F1524" i="5"/>
  <c r="J1525" i="5"/>
  <c r="I1521" i="5"/>
  <c r="H1521" i="5" s="1"/>
  <c r="N1526" i="5"/>
  <c r="M1521" i="5"/>
  <c r="I1519" i="5"/>
  <c r="H1519" i="5" s="1"/>
  <c r="G1524" i="5"/>
  <c r="K1519" i="5"/>
  <c r="J1524" i="5"/>
  <c r="F1521" i="5"/>
  <c r="D1518" i="5"/>
  <c r="H1572" i="5"/>
  <c r="I1569" i="5"/>
  <c r="F1565" i="5"/>
  <c r="J1572" i="5"/>
  <c r="K1567" i="5"/>
  <c r="K1568" i="5"/>
  <c r="K1570" i="5"/>
  <c r="D1566" i="5" a="1"/>
  <c r="J1563" i="5"/>
  <c r="I1570" i="5"/>
  <c r="M1568" i="5"/>
  <c r="D1572" i="5" a="1"/>
  <c r="F1568" i="5"/>
  <c r="I1565" i="5"/>
  <c r="K1571" i="5"/>
  <c r="H1568" i="5"/>
  <c r="N1563" i="5"/>
  <c r="M1584" i="5"/>
  <c r="D1581" i="5" a="1"/>
  <c r="K1588" i="5"/>
  <c r="N1584" i="5"/>
  <c r="J1579" i="5"/>
  <c r="H1586" i="5"/>
  <c r="F1582" i="5"/>
  <c r="M1583" i="5"/>
  <c r="J1586" i="5"/>
  <c r="H1583" i="5"/>
  <c r="M1578" i="5"/>
  <c r="K1584" i="5"/>
  <c r="N1580" i="5"/>
  <c r="G1588" i="5"/>
  <c r="F1584" i="5"/>
  <c r="F1580" i="5"/>
  <c r="M1659" i="5"/>
  <c r="N1655" i="5"/>
  <c r="F1660" i="5"/>
  <c r="G1655" i="5"/>
  <c r="N1661" i="5"/>
  <c r="M1656" i="5"/>
  <c r="I1654" i="5"/>
  <c r="G1661" i="5"/>
  <c r="K1655" i="5"/>
  <c r="N1662" i="5"/>
  <c r="H1657" i="5"/>
  <c r="F1654" i="5"/>
  <c r="J1675" i="5"/>
  <c r="K1671" i="5"/>
  <c r="H1668" i="5"/>
  <c r="I1675" i="5"/>
  <c r="I1673" i="5"/>
  <c r="D1677" i="5" a="1"/>
  <c r="N1672" i="5"/>
  <c r="D1673" i="5" a="1"/>
  <c r="N1677" i="5"/>
  <c r="G1672" i="5"/>
  <c r="D1669" i="5"/>
  <c r="G1675" i="5"/>
  <c r="H1671" i="5"/>
  <c r="F1668" i="5"/>
  <c r="I1674" i="5"/>
  <c r="G1670" i="5"/>
  <c r="G1750" i="5"/>
  <c r="J1746" i="5"/>
  <c r="G1743" i="5"/>
  <c r="D1749" i="5" a="1"/>
  <c r="H1745" i="5"/>
  <c r="K1752" i="5"/>
  <c r="D1747" i="5" a="1"/>
  <c r="J1744" i="5"/>
  <c r="H1751" i="5"/>
  <c r="N1746" i="5"/>
  <c r="J1749" i="5"/>
  <c r="F1746" i="5"/>
  <c r="D1743" i="5"/>
  <c r="G1748" i="5"/>
  <c r="N1744" i="5"/>
  <c r="N1766" i="5"/>
  <c r="D1762" i="5" a="1"/>
  <c r="H1759" i="5"/>
  <c r="K1765" i="5"/>
  <c r="J1760" i="5"/>
  <c r="M1767" i="5"/>
  <c r="G1764" i="5"/>
  <c r="I1760" i="5"/>
  <c r="F1763" i="5"/>
  <c r="M1759" i="5"/>
  <c r="I1766" i="5"/>
  <c r="N1758" i="5"/>
  <c r="I1761" i="5"/>
  <c r="D1761" i="5" s="1" a="1"/>
  <c r="G1758" i="5"/>
  <c r="M1597" i="5"/>
  <c r="M1602" i="5"/>
  <c r="F1602" i="5"/>
  <c r="I1594" i="5"/>
  <c r="D1594" i="5" s="1"/>
  <c r="H1601" i="5"/>
  <c r="M1593" i="5"/>
  <c r="G1598" i="5"/>
  <c r="G1602" i="5"/>
  <c r="F1599" i="5"/>
  <c r="D1603" i="5" a="1"/>
  <c r="J1602" i="5"/>
  <c r="F1600" i="5"/>
  <c r="K1598" i="5"/>
  <c r="K1692" i="5"/>
  <c r="I1688" i="5"/>
  <c r="I1692" i="5"/>
  <c r="D1692" i="5" s="1" a="1"/>
  <c r="N1687" i="5"/>
  <c r="K1683" i="5"/>
  <c r="D1690" i="5" a="1"/>
  <c r="F1686" i="5"/>
  <c r="N1688" i="5"/>
  <c r="M1691" i="5"/>
  <c r="J1687" i="5"/>
  <c r="J1688" i="5"/>
  <c r="H1692" i="5"/>
  <c r="K1687" i="5"/>
  <c r="H1684" i="5"/>
  <c r="N1781" i="5"/>
  <c r="M1776" i="5"/>
  <c r="J1774" i="5"/>
  <c r="G1781" i="5"/>
  <c r="N1776" i="5"/>
  <c r="D1773" i="5"/>
  <c r="J1779" i="5"/>
  <c r="M1775" i="5"/>
  <c r="K1781" i="5"/>
  <c r="G1777" i="5"/>
  <c r="N1774" i="5"/>
  <c r="I1781" i="5"/>
  <c r="H1781" i="5" s="1"/>
  <c r="G1774" i="5"/>
  <c r="D1781" i="5" a="1"/>
  <c r="I1777" i="5"/>
  <c r="H1773" i="5"/>
  <c r="F1542" i="5"/>
  <c r="K1541" i="5"/>
  <c r="H1537" i="5"/>
  <c r="F1534" i="5"/>
  <c r="J1536" i="5"/>
  <c r="G1534" i="5"/>
  <c r="M1539" i="5"/>
  <c r="I71" i="5"/>
  <c r="H71" i="5" s="1"/>
  <c r="J67" i="5"/>
  <c r="J68" i="5"/>
  <c r="D71" i="5" a="1"/>
  <c r="K66" i="5"/>
  <c r="H63" i="5"/>
  <c r="F71" i="5"/>
  <c r="D68" i="5" a="1"/>
  <c r="M72" i="5"/>
  <c r="F72" i="5"/>
  <c r="D64" i="5"/>
  <c r="M70" i="5"/>
  <c r="F67" i="5"/>
  <c r="M64" i="5"/>
  <c r="K69" i="5"/>
  <c r="M65" i="5"/>
  <c r="D84" i="5" a="1"/>
  <c r="H80" i="5"/>
  <c r="K87" i="5"/>
  <c r="F86" i="5"/>
  <c r="I79" i="5"/>
  <c r="M85" i="5"/>
  <c r="N81" i="5"/>
  <c r="K79" i="5"/>
  <c r="N85" i="5"/>
  <c r="G81" i="5"/>
  <c r="D78" i="5"/>
  <c r="N83" i="5"/>
  <c r="H87" i="5"/>
  <c r="J82" i="5"/>
  <c r="H162" i="5"/>
  <c r="I159" i="5"/>
  <c r="F155" i="5"/>
  <c r="J162" i="5"/>
  <c r="K157" i="5"/>
  <c r="K158" i="5"/>
  <c r="K160" i="5"/>
  <c r="D156" i="5" a="1"/>
  <c r="J153" i="5"/>
  <c r="I160" i="5"/>
  <c r="M158" i="5"/>
  <c r="D162" i="5" a="1"/>
  <c r="F158" i="5"/>
  <c r="I155" i="5"/>
  <c r="K161" i="5"/>
  <c r="H158" i="5"/>
  <c r="N153" i="5"/>
  <c r="J175" i="5"/>
  <c r="K171" i="5"/>
  <c r="H168" i="5"/>
  <c r="I175" i="5"/>
  <c r="I173" i="5"/>
  <c r="H173" i="5" s="1"/>
  <c r="D177" i="5" a="1"/>
  <c r="N172" i="5"/>
  <c r="D173" i="5" a="1"/>
  <c r="N177" i="5"/>
  <c r="G172" i="5"/>
  <c r="D169" i="5"/>
  <c r="G175" i="5"/>
  <c r="H171" i="5"/>
  <c r="F168" i="5"/>
  <c r="I174" i="5"/>
  <c r="G170" i="5"/>
  <c r="G250" i="5"/>
  <c r="J246" i="5"/>
  <c r="G243" i="5"/>
  <c r="D249" i="5" a="1"/>
  <c r="H245" i="5"/>
  <c r="K252" i="5"/>
  <c r="D247" i="5" a="1"/>
  <c r="J244" i="5"/>
  <c r="H251" i="5"/>
  <c r="N246" i="5"/>
  <c r="J249" i="5"/>
  <c r="F246" i="5"/>
  <c r="D243" i="5"/>
  <c r="G248" i="5"/>
  <c r="N244" i="5"/>
  <c r="J267" i="5"/>
  <c r="K262" i="5"/>
  <c r="K263" i="5"/>
  <c r="G266" i="5"/>
  <c r="M261" i="5"/>
  <c r="H264" i="5"/>
  <c r="K260" i="5"/>
  <c r="I258" i="5"/>
  <c r="F267" i="5"/>
  <c r="D260" i="5" a="1"/>
  <c r="K266" i="5"/>
  <c r="H262" i="5"/>
  <c r="F259" i="5"/>
  <c r="D266" i="5" a="1"/>
  <c r="J261" i="5"/>
  <c r="G259" i="5"/>
  <c r="I341" i="5"/>
  <c r="H341" i="5" s="1"/>
  <c r="J337" i="5"/>
  <c r="J338" i="5"/>
  <c r="D341" i="5" a="1"/>
  <c r="K336" i="5"/>
  <c r="H333" i="5"/>
  <c r="F341" i="5"/>
  <c r="D338" i="5" a="1"/>
  <c r="M342" i="5"/>
  <c r="F342" i="5"/>
  <c r="D334" i="5"/>
  <c r="M340" i="5"/>
  <c r="F337" i="5"/>
  <c r="M334" i="5"/>
  <c r="K339" i="5"/>
  <c r="M335" i="5"/>
  <c r="D354" i="5" a="1"/>
  <c r="H350" i="5"/>
  <c r="K357" i="5"/>
  <c r="F356" i="5"/>
  <c r="I349" i="5"/>
  <c r="M355" i="5"/>
  <c r="N351" i="5"/>
  <c r="K349" i="5"/>
  <c r="N355" i="5"/>
  <c r="G351" i="5"/>
  <c r="D348" i="5"/>
  <c r="N353" i="5"/>
  <c r="H357" i="5"/>
  <c r="J352" i="5"/>
  <c r="H432" i="5"/>
  <c r="I429" i="5"/>
  <c r="F425" i="5"/>
  <c r="J432" i="5"/>
  <c r="K427" i="5"/>
  <c r="K428" i="5"/>
  <c r="K430" i="5"/>
  <c r="D426" i="5" a="1"/>
  <c r="J423" i="5"/>
  <c r="I430" i="5"/>
  <c r="M428" i="5"/>
  <c r="D432" i="5" a="1"/>
  <c r="F428" i="5"/>
  <c r="I425" i="5"/>
  <c r="K431" i="5"/>
  <c r="H428" i="5"/>
  <c r="N423" i="5"/>
  <c r="J445" i="5"/>
  <c r="K441" i="5"/>
  <c r="H438" i="5"/>
  <c r="I445" i="5"/>
  <c r="I443" i="5"/>
  <c r="H443" i="5" s="1"/>
  <c r="D447" i="5" a="1"/>
  <c r="N442" i="5"/>
  <c r="D443" i="5" a="1"/>
  <c r="N447" i="5"/>
  <c r="G442" i="5"/>
  <c r="D439" i="5"/>
  <c r="G445" i="5"/>
  <c r="H441" i="5"/>
  <c r="F438" i="5"/>
  <c r="I444" i="5"/>
  <c r="G440" i="5"/>
  <c r="N11" i="5"/>
  <c r="M6" i="5"/>
  <c r="J4" i="5"/>
  <c r="G11" i="5"/>
  <c r="N6" i="5"/>
  <c r="D3" i="5"/>
  <c r="J9" i="5"/>
  <c r="M5" i="5"/>
  <c r="K11" i="5"/>
  <c r="G7" i="5"/>
  <c r="N4" i="5"/>
  <c r="I11" i="5"/>
  <c r="H11" i="5" s="1"/>
  <c r="G4" i="5"/>
  <c r="D11" i="5" a="1"/>
  <c r="I7" i="5"/>
  <c r="H3" i="5"/>
  <c r="N101" i="5"/>
  <c r="M96" i="5"/>
  <c r="J94" i="5"/>
  <c r="G101" i="5"/>
  <c r="N96" i="5"/>
  <c r="D93" i="5"/>
  <c r="J99" i="5"/>
  <c r="M95" i="5"/>
  <c r="K101" i="5"/>
  <c r="G97" i="5"/>
  <c r="N94" i="5"/>
  <c r="I101" i="5"/>
  <c r="H101" i="5" s="1"/>
  <c r="H103" i="5"/>
  <c r="G94" i="5"/>
  <c r="D101" i="5" a="1"/>
  <c r="I97" i="5"/>
  <c r="H93" i="5"/>
  <c r="N191" i="5"/>
  <c r="M186" i="5"/>
  <c r="J184" i="5"/>
  <c r="G191" i="5"/>
  <c r="N186" i="5"/>
  <c r="D183" i="5"/>
  <c r="J189" i="5"/>
  <c r="M185" i="5"/>
  <c r="K191" i="5"/>
  <c r="G187" i="5"/>
  <c r="N184" i="5"/>
  <c r="I191" i="5"/>
  <c r="H191" i="5" s="1"/>
  <c r="G184" i="5"/>
  <c r="D191" i="5" a="1"/>
  <c r="I187" i="5"/>
  <c r="H183" i="5"/>
  <c r="N281" i="5"/>
  <c r="M276" i="5"/>
  <c r="J274" i="5"/>
  <c r="G281" i="5"/>
  <c r="N276" i="5"/>
  <c r="D273" i="5"/>
  <c r="J279" i="5"/>
  <c r="M275" i="5"/>
  <c r="K281" i="5"/>
  <c r="G277" i="5"/>
  <c r="N274" i="5"/>
  <c r="I281" i="5"/>
  <c r="H281" i="5" s="1"/>
  <c r="G274" i="5"/>
  <c r="D281" i="5" a="1"/>
  <c r="I277" i="5"/>
  <c r="H273" i="5"/>
  <c r="N371" i="5"/>
  <c r="M366" i="5"/>
  <c r="J364" i="5"/>
  <c r="G371" i="5"/>
  <c r="N366" i="5"/>
  <c r="D363" i="5"/>
  <c r="J369" i="5"/>
  <c r="M365" i="5"/>
  <c r="K371" i="5"/>
  <c r="G367" i="5"/>
  <c r="N364" i="5"/>
  <c r="I371" i="5"/>
  <c r="H371" i="5" s="1"/>
  <c r="H373" i="5"/>
  <c r="G364" i="5"/>
  <c r="D371" i="5" a="1"/>
  <c r="I367" i="5"/>
  <c r="H363" i="5"/>
  <c r="H462" i="5"/>
  <c r="K462" i="5"/>
  <c r="G461" i="5"/>
  <c r="H461" i="5"/>
  <c r="G459" i="5"/>
  <c r="J455" i="5"/>
  <c r="I453" i="5"/>
  <c r="D453" i="5" s="1"/>
  <c r="D455" i="5" a="1"/>
  <c r="M458" i="5"/>
  <c r="N458" i="5"/>
  <c r="J457" i="5"/>
  <c r="J458" i="5"/>
  <c r="I457" i="5"/>
  <c r="H453" i="5"/>
  <c r="G26" i="5"/>
  <c r="K20" i="5"/>
  <c r="N27" i="5"/>
  <c r="H24" i="5"/>
  <c r="D20" i="5" a="1"/>
  <c r="H22" i="5"/>
  <c r="F19" i="5"/>
  <c r="I26" i="5"/>
  <c r="H26" i="5" s="1"/>
  <c r="J22" i="5"/>
  <c r="J23" i="5"/>
  <c r="D26" i="5" a="1"/>
  <c r="K21" i="5"/>
  <c r="H18" i="5"/>
  <c r="F26" i="5"/>
  <c r="D23" i="5" a="1"/>
  <c r="F42" i="5"/>
  <c r="D35" i="5" a="1"/>
  <c r="K41" i="5"/>
  <c r="H37" i="5"/>
  <c r="F34" i="5"/>
  <c r="D41" i="5" a="1"/>
  <c r="J36" i="5"/>
  <c r="G34" i="5"/>
  <c r="M39" i="5"/>
  <c r="D36" i="5" a="1"/>
  <c r="N39" i="5"/>
  <c r="J34" i="5"/>
  <c r="H41" i="5"/>
  <c r="F37" i="5"/>
  <c r="M38" i="5"/>
  <c r="I117" i="5"/>
  <c r="D117" i="5" s="1" a="1"/>
  <c r="N112" i="5"/>
  <c r="K108" i="5"/>
  <c r="D115" i="5" a="1"/>
  <c r="G111" i="5"/>
  <c r="M108" i="5"/>
  <c r="H117" i="5"/>
  <c r="I114" i="5"/>
  <c r="F110" i="5"/>
  <c r="J117" i="5"/>
  <c r="K112" i="5"/>
  <c r="K113" i="5"/>
  <c r="K115" i="5"/>
  <c r="D111" i="5" a="1"/>
  <c r="J108" i="5"/>
  <c r="N130" i="5"/>
  <c r="G126" i="5"/>
  <c r="D123" i="5"/>
  <c r="N128" i="5"/>
  <c r="H132" i="5"/>
  <c r="J127" i="5"/>
  <c r="N131" i="5"/>
  <c r="D127" i="5" a="1"/>
  <c r="H124" i="5"/>
  <c r="K130" i="5"/>
  <c r="J125" i="5"/>
  <c r="M132" i="5"/>
  <c r="G129" i="5"/>
  <c r="I125" i="5"/>
  <c r="G204" i="5"/>
  <c r="K199" i="5"/>
  <c r="J206" i="5"/>
  <c r="G202" i="5"/>
  <c r="N203" i="5"/>
  <c r="N205" i="5"/>
  <c r="H201" i="5"/>
  <c r="F198" i="5"/>
  <c r="G205" i="5"/>
  <c r="J201" i="5"/>
  <c r="G198" i="5"/>
  <c r="D204" i="5" a="1"/>
  <c r="H200" i="5"/>
  <c r="K207" i="5"/>
  <c r="D202" i="5" a="1"/>
  <c r="J199" i="5"/>
  <c r="N222" i="5"/>
  <c r="G217" i="5"/>
  <c r="D214" i="5"/>
  <c r="G220" i="5"/>
  <c r="H216" i="5"/>
  <c r="F213" i="5"/>
  <c r="I219" i="5"/>
  <c r="G215" i="5"/>
  <c r="F220" i="5"/>
  <c r="D223" i="5" a="1"/>
  <c r="I222" i="5"/>
  <c r="M217" i="5"/>
  <c r="J213" i="5"/>
  <c r="D220" i="5" a="1"/>
  <c r="F216" i="5"/>
  <c r="K213" i="5"/>
  <c r="G296" i="5"/>
  <c r="K290" i="5"/>
  <c r="N297" i="5"/>
  <c r="H294" i="5"/>
  <c r="D290" i="5" a="1"/>
  <c r="N298" i="5"/>
  <c r="H292" i="5"/>
  <c r="F289" i="5"/>
  <c r="I296" i="5"/>
  <c r="H296" i="5" s="1"/>
  <c r="J292" i="5"/>
  <c r="J293" i="5"/>
  <c r="D296" i="5" a="1"/>
  <c r="K291" i="5"/>
  <c r="H288" i="5"/>
  <c r="F296" i="5"/>
  <c r="D293" i="5" a="1"/>
  <c r="F312" i="5"/>
  <c r="D305" i="5" a="1"/>
  <c r="K311" i="5"/>
  <c r="H307" i="5"/>
  <c r="F304" i="5"/>
  <c r="D311" i="5" a="1"/>
  <c r="J306" i="5"/>
  <c r="G304" i="5"/>
  <c r="M309" i="5"/>
  <c r="D306" i="5" a="1"/>
  <c r="K313" i="5"/>
  <c r="N309" i="5"/>
  <c r="J304" i="5"/>
  <c r="H311" i="5"/>
  <c r="F307" i="5"/>
  <c r="M308" i="5"/>
  <c r="I387" i="5"/>
  <c r="D387" i="5" s="1" a="1"/>
  <c r="N382" i="5"/>
  <c r="K378" i="5"/>
  <c r="D385" i="5" a="1"/>
  <c r="G381" i="5"/>
  <c r="M378" i="5"/>
  <c r="H387" i="5"/>
  <c r="I384" i="5"/>
  <c r="F380" i="5"/>
  <c r="J387" i="5"/>
  <c r="K382" i="5"/>
  <c r="K383" i="5"/>
  <c r="K385" i="5"/>
  <c r="D381" i="5" a="1"/>
  <c r="J378" i="5"/>
  <c r="N400" i="5"/>
  <c r="G396" i="5"/>
  <c r="D393" i="5"/>
  <c r="F403" i="5"/>
  <c r="N398" i="5"/>
  <c r="H402" i="5"/>
  <c r="J397" i="5"/>
  <c r="I403" i="5"/>
  <c r="N401" i="5"/>
  <c r="D397" i="5" a="1"/>
  <c r="H394" i="5"/>
  <c r="K400" i="5"/>
  <c r="J395" i="5"/>
  <c r="M402" i="5"/>
  <c r="G399" i="5"/>
  <c r="I395" i="5"/>
  <c r="K56" i="5"/>
  <c r="G52" i="5"/>
  <c r="N49" i="5"/>
  <c r="I56" i="5"/>
  <c r="H56" i="5" s="1"/>
  <c r="G49" i="5"/>
  <c r="D56" i="5" a="1"/>
  <c r="I52" i="5"/>
  <c r="H48" i="5"/>
  <c r="F56" i="5"/>
  <c r="I50" i="5"/>
  <c r="H54" i="5"/>
  <c r="K49" i="5"/>
  <c r="J56" i="5"/>
  <c r="F52" i="5"/>
  <c r="D49" i="5"/>
  <c r="K146" i="5"/>
  <c r="G142" i="5"/>
  <c r="N139" i="5"/>
  <c r="I146" i="5"/>
  <c r="H146" i="5" s="1"/>
  <c r="G139" i="5"/>
  <c r="D146" i="5" a="1"/>
  <c r="I142" i="5"/>
  <c r="H138" i="5"/>
  <c r="F146" i="5"/>
  <c r="I140" i="5"/>
  <c r="H144" i="5"/>
  <c r="K139" i="5"/>
  <c r="J146" i="5"/>
  <c r="F142" i="5"/>
  <c r="D139" i="5"/>
  <c r="K236" i="5"/>
  <c r="G232" i="5"/>
  <c r="N229" i="5"/>
  <c r="I236" i="5"/>
  <c r="H236" i="5" s="1"/>
  <c r="G229" i="5"/>
  <c r="D236" i="5" a="1"/>
  <c r="I232" i="5"/>
  <c r="H228" i="5"/>
  <c r="F236" i="5"/>
  <c r="I230" i="5"/>
  <c r="H234" i="5"/>
  <c r="K229" i="5"/>
  <c r="J236" i="5"/>
  <c r="F232" i="5"/>
  <c r="D229" i="5"/>
  <c r="K326" i="5"/>
  <c r="G322" i="5"/>
  <c r="N319" i="5"/>
  <c r="I326" i="5"/>
  <c r="H326" i="5" s="1"/>
  <c r="G319" i="5"/>
  <c r="D326" i="5" a="1"/>
  <c r="I322" i="5"/>
  <c r="H318" i="5"/>
  <c r="F326" i="5"/>
  <c r="I320" i="5"/>
  <c r="H324" i="5"/>
  <c r="K319" i="5"/>
  <c r="J326" i="5"/>
  <c r="F322" i="5"/>
  <c r="D319" i="5"/>
  <c r="K416" i="5"/>
  <c r="G412" i="5"/>
  <c r="N409" i="5"/>
  <c r="I416" i="5"/>
  <c r="H416" i="5" s="1"/>
  <c r="G409" i="5"/>
  <c r="D416" i="5" a="1"/>
  <c r="I412" i="5"/>
  <c r="H408" i="5"/>
  <c r="F416" i="5"/>
  <c r="I410" i="5"/>
  <c r="H414" i="5"/>
  <c r="K409" i="5"/>
  <c r="J416" i="5"/>
  <c r="F412" i="5"/>
  <c r="D409" i="5"/>
  <c r="H552" i="5"/>
  <c r="K547" i="5"/>
  <c r="H544" i="5"/>
  <c r="G549" i="5"/>
  <c r="J545" i="5"/>
  <c r="I543" i="5"/>
  <c r="I550" i="5"/>
  <c r="D545" i="5" a="1"/>
  <c r="D552" i="5" a="1"/>
  <c r="F548" i="5"/>
  <c r="M544" i="5"/>
  <c r="K549" i="5"/>
  <c r="G546" i="5"/>
  <c r="F543" i="5"/>
  <c r="M549" i="5"/>
  <c r="N545" i="5"/>
  <c r="G543" i="5"/>
  <c r="H642" i="5"/>
  <c r="K637" i="5"/>
  <c r="H634" i="5"/>
  <c r="G639" i="5"/>
  <c r="J635" i="5"/>
  <c r="I633" i="5"/>
  <c r="I640" i="5"/>
  <c r="D635" i="5" a="1"/>
  <c r="D642" i="5" a="1"/>
  <c r="F638" i="5"/>
  <c r="M634" i="5"/>
  <c r="K639" i="5"/>
  <c r="G636" i="5"/>
  <c r="F633" i="5"/>
  <c r="M639" i="5"/>
  <c r="N635" i="5"/>
  <c r="G633" i="5"/>
  <c r="H732" i="5"/>
  <c r="K727" i="5"/>
  <c r="H724" i="5"/>
  <c r="G729" i="5"/>
  <c r="J725" i="5"/>
  <c r="I723" i="5"/>
  <c r="I730" i="5"/>
  <c r="D725" i="5" a="1"/>
  <c r="D732" i="5" a="1"/>
  <c r="F728" i="5"/>
  <c r="M724" i="5"/>
  <c r="K729" i="5"/>
  <c r="G726" i="5"/>
  <c r="F723" i="5"/>
  <c r="M729" i="5"/>
  <c r="N725" i="5"/>
  <c r="G723" i="5"/>
  <c r="H822" i="5"/>
  <c r="K817" i="5"/>
  <c r="H814" i="5"/>
  <c r="G819" i="5"/>
  <c r="J815" i="5"/>
  <c r="I813" i="5"/>
  <c r="I820" i="5"/>
  <c r="D815" i="5" a="1"/>
  <c r="D822" i="5" a="1"/>
  <c r="F818" i="5"/>
  <c r="M814" i="5"/>
  <c r="K819" i="5"/>
  <c r="G816" i="5"/>
  <c r="F813" i="5"/>
  <c r="M819" i="5"/>
  <c r="N815" i="5"/>
  <c r="G813" i="5"/>
  <c r="H912" i="5"/>
  <c r="K907" i="5"/>
  <c r="H904" i="5"/>
  <c r="G909" i="5"/>
  <c r="J905" i="5"/>
  <c r="I903" i="5"/>
  <c r="I910" i="5"/>
  <c r="D905" i="5" a="1"/>
  <c r="D912" i="5" a="1"/>
  <c r="F908" i="5"/>
  <c r="M904" i="5"/>
  <c r="K909" i="5"/>
  <c r="G906" i="5"/>
  <c r="F903" i="5"/>
  <c r="M909" i="5"/>
  <c r="N905" i="5"/>
  <c r="G903" i="5"/>
  <c r="J1001" i="5"/>
  <c r="F997" i="5"/>
  <c r="N1000" i="5"/>
  <c r="H996" i="5"/>
  <c r="M1001" i="5"/>
  <c r="J997" i="5"/>
  <c r="J1002" i="5"/>
  <c r="F1000" i="5"/>
  <c r="M997" i="5"/>
  <c r="D998" i="5" a="1"/>
  <c r="I1000" i="5"/>
  <c r="D995" i="5" a="1"/>
  <c r="J994" i="5"/>
  <c r="D993" i="5"/>
  <c r="N994" i="5"/>
  <c r="G993" i="5"/>
  <c r="F476" i="5"/>
  <c r="D473" i="5" a="1"/>
  <c r="M477" i="5"/>
  <c r="F477" i="5"/>
  <c r="D469" i="5"/>
  <c r="M475" i="5"/>
  <c r="F472" i="5"/>
  <c r="M469" i="5"/>
  <c r="K474" i="5"/>
  <c r="M470" i="5"/>
  <c r="M474" i="5"/>
  <c r="N470" i="5"/>
  <c r="F475" i="5"/>
  <c r="G470" i="5"/>
  <c r="M492" i="5"/>
  <c r="G489" i="5"/>
  <c r="I485" i="5"/>
  <c r="D485" i="5" s="1" a="1"/>
  <c r="F488" i="5"/>
  <c r="M484" i="5"/>
  <c r="I491" i="5"/>
  <c r="N483" i="5"/>
  <c r="H490" i="5"/>
  <c r="I486" i="5"/>
  <c r="G483" i="5"/>
  <c r="D489" i="5" a="1"/>
  <c r="H485" i="5"/>
  <c r="K492" i="5"/>
  <c r="F491" i="5"/>
  <c r="I484" i="5"/>
  <c r="K565" i="5"/>
  <c r="J558" i="5"/>
  <c r="I565" i="5"/>
  <c r="D565" i="5" s="1" a="1"/>
  <c r="M563" i="5"/>
  <c r="D567" i="5" a="1"/>
  <c r="F563" i="5"/>
  <c r="I560" i="5"/>
  <c r="K566" i="5"/>
  <c r="H563" i="5"/>
  <c r="N558" i="5"/>
  <c r="H565" i="5"/>
  <c r="G559" i="5"/>
  <c r="J565" i="5"/>
  <c r="I561" i="5"/>
  <c r="F576" i="5"/>
  <c r="K573" i="5"/>
  <c r="J579" i="5"/>
  <c r="M575" i="5"/>
  <c r="G582" i="5"/>
  <c r="G578" i="5"/>
  <c r="N574" i="5"/>
  <c r="M581" i="5"/>
  <c r="I577" i="5"/>
  <c r="J578" i="5"/>
  <c r="J580" i="5"/>
  <c r="K576" i="5"/>
  <c r="H573" i="5"/>
  <c r="I580" i="5"/>
  <c r="I578" i="5"/>
  <c r="K657" i="5"/>
  <c r="J649" i="5"/>
  <c r="H656" i="5"/>
  <c r="N651" i="5"/>
  <c r="J654" i="5"/>
  <c r="F651" i="5"/>
  <c r="D648" i="5"/>
  <c r="G653" i="5"/>
  <c r="N649" i="5"/>
  <c r="G657" i="5"/>
  <c r="F654" i="5"/>
  <c r="D658" i="5" a="1"/>
  <c r="M656" i="5"/>
  <c r="I652" i="5"/>
  <c r="H649" i="5"/>
  <c r="H671" i="5"/>
  <c r="F667" i="5"/>
  <c r="M668" i="5"/>
  <c r="J671" i="5"/>
  <c r="H668" i="5"/>
  <c r="M663" i="5"/>
  <c r="K669" i="5"/>
  <c r="N665" i="5"/>
  <c r="F669" i="5"/>
  <c r="F665" i="5"/>
  <c r="J672" i="5"/>
  <c r="K667" i="5"/>
  <c r="K668" i="5"/>
  <c r="G671" i="5"/>
  <c r="M666" i="5"/>
  <c r="F746" i="5"/>
  <c r="D743" i="5" a="1"/>
  <c r="M747" i="5"/>
  <c r="F747" i="5"/>
  <c r="D739" i="5"/>
  <c r="M745" i="5"/>
  <c r="F742" i="5"/>
  <c r="M739" i="5"/>
  <c r="K744" i="5"/>
  <c r="M740" i="5"/>
  <c r="G748" i="5"/>
  <c r="M744" i="5"/>
  <c r="N740" i="5"/>
  <c r="J748" i="5"/>
  <c r="F745" i="5"/>
  <c r="G740" i="5"/>
  <c r="M762" i="5"/>
  <c r="G759" i="5"/>
  <c r="I755" i="5"/>
  <c r="D755" i="5" s="1" a="1"/>
  <c r="F758" i="5"/>
  <c r="M754" i="5"/>
  <c r="I761" i="5"/>
  <c r="N753" i="5"/>
  <c r="H760" i="5"/>
  <c r="I756" i="5"/>
  <c r="G753" i="5"/>
  <c r="D759" i="5" a="1"/>
  <c r="H755" i="5"/>
  <c r="K762" i="5"/>
  <c r="F761" i="5"/>
  <c r="I754" i="5"/>
  <c r="K835" i="5"/>
  <c r="J828" i="5"/>
  <c r="I835" i="5"/>
  <c r="D835" i="5" s="1" a="1"/>
  <c r="M833" i="5"/>
  <c r="D837" i="5" a="1"/>
  <c r="F833" i="5"/>
  <c r="I830" i="5"/>
  <c r="K836" i="5"/>
  <c r="H833" i="5"/>
  <c r="N828" i="5"/>
  <c r="H835" i="5"/>
  <c r="G829" i="5"/>
  <c r="J835" i="5"/>
  <c r="I831" i="5"/>
  <c r="F846" i="5"/>
  <c r="K843" i="5"/>
  <c r="J849" i="5"/>
  <c r="M845" i="5"/>
  <c r="G852" i="5"/>
  <c r="G848" i="5"/>
  <c r="N844" i="5"/>
  <c r="M851" i="5"/>
  <c r="I847" i="5"/>
  <c r="J848" i="5"/>
  <c r="J850" i="5"/>
  <c r="K846" i="5"/>
  <c r="H843" i="5"/>
  <c r="I850" i="5"/>
  <c r="I848" i="5"/>
  <c r="K927" i="5"/>
  <c r="J919" i="5"/>
  <c r="H926" i="5"/>
  <c r="N921" i="5"/>
  <c r="J924" i="5"/>
  <c r="F921" i="5"/>
  <c r="D918" i="5"/>
  <c r="G923" i="5"/>
  <c r="N919" i="5"/>
  <c r="G927" i="5"/>
  <c r="F924" i="5"/>
  <c r="D928" i="5" a="1"/>
  <c r="M926" i="5"/>
  <c r="I922" i="5"/>
  <c r="H919" i="5"/>
  <c r="H941" i="5"/>
  <c r="F937" i="5"/>
  <c r="M938" i="5"/>
  <c r="J941" i="5"/>
  <c r="H938" i="5"/>
  <c r="M933" i="5"/>
  <c r="K939" i="5"/>
  <c r="N935" i="5"/>
  <c r="F939" i="5"/>
  <c r="F935" i="5"/>
  <c r="J942" i="5"/>
  <c r="K937" i="5"/>
  <c r="K938" i="5"/>
  <c r="G941" i="5"/>
  <c r="M936" i="5"/>
  <c r="F503" i="5"/>
  <c r="M499" i="5"/>
  <c r="K504" i="5"/>
  <c r="G501" i="5"/>
  <c r="F498" i="5"/>
  <c r="M504" i="5"/>
  <c r="N500" i="5"/>
  <c r="G498" i="5"/>
  <c r="H505" i="5"/>
  <c r="I501" i="5"/>
  <c r="K507" i="5"/>
  <c r="D502" i="5" a="1"/>
  <c r="I503" i="5"/>
  <c r="I507" i="5"/>
  <c r="N502" i="5"/>
  <c r="K498" i="5"/>
  <c r="F593" i="5"/>
  <c r="M589" i="5"/>
  <c r="K594" i="5"/>
  <c r="G591" i="5"/>
  <c r="F588" i="5"/>
  <c r="M594" i="5"/>
  <c r="N590" i="5"/>
  <c r="G588" i="5"/>
  <c r="H595" i="5"/>
  <c r="I591" i="5"/>
  <c r="K597" i="5"/>
  <c r="D592" i="5" a="1"/>
  <c r="I593" i="5"/>
  <c r="I597" i="5"/>
  <c r="N592" i="5"/>
  <c r="K588" i="5"/>
  <c r="F683" i="5"/>
  <c r="M679" i="5"/>
  <c r="K684" i="5"/>
  <c r="G681" i="5"/>
  <c r="F678" i="5"/>
  <c r="M684" i="5"/>
  <c r="N680" i="5"/>
  <c r="G678" i="5"/>
  <c r="H685" i="5"/>
  <c r="I681" i="5"/>
  <c r="K687" i="5"/>
  <c r="D682" i="5" a="1"/>
  <c r="I683" i="5"/>
  <c r="I687" i="5"/>
  <c r="N682" i="5"/>
  <c r="K678" i="5"/>
  <c r="F773" i="5"/>
  <c r="M769" i="5"/>
  <c r="K774" i="5"/>
  <c r="G771" i="5"/>
  <c r="F768" i="5"/>
  <c r="M774" i="5"/>
  <c r="N770" i="5"/>
  <c r="G768" i="5"/>
  <c r="H775" i="5"/>
  <c r="I771" i="5"/>
  <c r="K777" i="5"/>
  <c r="D772" i="5" a="1"/>
  <c r="I773" i="5"/>
  <c r="I777" i="5"/>
  <c r="N772" i="5"/>
  <c r="K768" i="5"/>
  <c r="F863" i="5"/>
  <c r="M859" i="5"/>
  <c r="K864" i="5"/>
  <c r="G861" i="5"/>
  <c r="F858" i="5"/>
  <c r="M864" i="5"/>
  <c r="N860" i="5"/>
  <c r="G858" i="5"/>
  <c r="H865" i="5"/>
  <c r="I861" i="5"/>
  <c r="K867" i="5"/>
  <c r="D862" i="5" a="1"/>
  <c r="I863" i="5"/>
  <c r="I867" i="5"/>
  <c r="N862" i="5"/>
  <c r="K858" i="5"/>
  <c r="F953" i="5"/>
  <c r="M949" i="5"/>
  <c r="K954" i="5"/>
  <c r="G951" i="5"/>
  <c r="F948" i="5"/>
  <c r="M954" i="5"/>
  <c r="N950" i="5"/>
  <c r="G948" i="5"/>
  <c r="H955" i="5"/>
  <c r="I951" i="5"/>
  <c r="K957" i="5"/>
  <c r="D952" i="5" a="1"/>
  <c r="I953" i="5"/>
  <c r="I957" i="5"/>
  <c r="N952" i="5"/>
  <c r="K948" i="5"/>
  <c r="K521" i="5"/>
  <c r="N513" i="5"/>
  <c r="H520" i="5"/>
  <c r="H523" i="5"/>
  <c r="G514" i="5"/>
  <c r="J520" i="5"/>
  <c r="I516" i="5"/>
  <c r="K523" i="5"/>
  <c r="M517" i="5"/>
  <c r="I518" i="5"/>
  <c r="I522" i="5"/>
  <c r="N517" i="5"/>
  <c r="K513" i="5"/>
  <c r="D520" i="5" a="1"/>
  <c r="G516" i="5"/>
  <c r="M513" i="5"/>
  <c r="D536" i="5" a="1"/>
  <c r="J531" i="5"/>
  <c r="G529" i="5"/>
  <c r="M534" i="5"/>
  <c r="D531" i="5" a="1"/>
  <c r="N534" i="5"/>
  <c r="J529" i="5"/>
  <c r="H536" i="5"/>
  <c r="F532" i="5"/>
  <c r="M533" i="5"/>
  <c r="J536" i="5"/>
  <c r="H533" i="5"/>
  <c r="M528" i="5"/>
  <c r="K534" i="5"/>
  <c r="N530" i="5"/>
  <c r="G608" i="5"/>
  <c r="N604" i="5"/>
  <c r="G612" i="5"/>
  <c r="F609" i="5"/>
  <c r="D613" i="5" a="1"/>
  <c r="M611" i="5"/>
  <c r="I607" i="5"/>
  <c r="H604" i="5"/>
  <c r="N609" i="5"/>
  <c r="J605" i="5"/>
  <c r="I603" i="5"/>
  <c r="G609" i="5"/>
  <c r="K604" i="5"/>
  <c r="J611" i="5"/>
  <c r="G607" i="5"/>
  <c r="N608" i="5"/>
  <c r="H627" i="5"/>
  <c r="J622" i="5"/>
  <c r="I628" i="5"/>
  <c r="N626" i="5"/>
  <c r="D622" i="5" a="1"/>
  <c r="H619" i="5"/>
  <c r="K625" i="5"/>
  <c r="J620" i="5"/>
  <c r="M627" i="5"/>
  <c r="G624" i="5"/>
  <c r="I620" i="5"/>
  <c r="N628" i="5"/>
  <c r="F623" i="5"/>
  <c r="M619" i="5"/>
  <c r="I626" i="5"/>
  <c r="H628" i="5"/>
  <c r="N618" i="5"/>
  <c r="K699" i="5"/>
  <c r="M695" i="5"/>
  <c r="G703" i="5"/>
  <c r="M699" i="5"/>
  <c r="N695" i="5"/>
  <c r="J703" i="5"/>
  <c r="F700" i="5"/>
  <c r="G695" i="5"/>
  <c r="N701" i="5"/>
  <c r="M696" i="5"/>
  <c r="I694" i="5"/>
  <c r="G701" i="5"/>
  <c r="K695" i="5"/>
  <c r="N702" i="5"/>
  <c r="H699" i="5"/>
  <c r="D695" i="5" a="1"/>
  <c r="I714" i="5"/>
  <c r="G710" i="5"/>
  <c r="F715" i="5"/>
  <c r="D718" i="5" a="1"/>
  <c r="I717" i="5"/>
  <c r="M712" i="5"/>
  <c r="J708" i="5"/>
  <c r="D715" i="5" a="1"/>
  <c r="F711" i="5"/>
  <c r="K708" i="5"/>
  <c r="J714" i="5"/>
  <c r="M710" i="5"/>
  <c r="G717" i="5"/>
  <c r="G713" i="5"/>
  <c r="N709" i="5"/>
  <c r="K791" i="5"/>
  <c r="N783" i="5"/>
  <c r="H790" i="5"/>
  <c r="G784" i="5"/>
  <c r="J790" i="5"/>
  <c r="I786" i="5"/>
  <c r="M787" i="5"/>
  <c r="I788" i="5"/>
  <c r="I792" i="5"/>
  <c r="N787" i="5"/>
  <c r="K783" i="5"/>
  <c r="D790" i="5" a="1"/>
  <c r="G786" i="5"/>
  <c r="M783" i="5"/>
  <c r="D806" i="5" a="1"/>
  <c r="J801" i="5"/>
  <c r="G799" i="5"/>
  <c r="M804" i="5"/>
  <c r="D801" i="5" a="1"/>
  <c r="N804" i="5"/>
  <c r="J799" i="5"/>
  <c r="H806" i="5"/>
  <c r="F802" i="5"/>
  <c r="M803" i="5"/>
  <c r="J806" i="5"/>
  <c r="H803" i="5"/>
  <c r="M798" i="5"/>
  <c r="K804" i="5"/>
  <c r="N800" i="5"/>
  <c r="G878" i="5"/>
  <c r="N874" i="5"/>
  <c r="G882" i="5"/>
  <c r="F879" i="5"/>
  <c r="D883" i="5" a="1"/>
  <c r="M881" i="5"/>
  <c r="I877" i="5"/>
  <c r="H874" i="5"/>
  <c r="N879" i="5"/>
  <c r="J875" i="5"/>
  <c r="I873" i="5"/>
  <c r="G879" i="5"/>
  <c r="K874" i="5"/>
  <c r="J881" i="5"/>
  <c r="G877" i="5"/>
  <c r="N878" i="5"/>
  <c r="H897" i="5"/>
  <c r="J892" i="5"/>
  <c r="N896" i="5"/>
  <c r="D892" i="5" a="1"/>
  <c r="H889" i="5"/>
  <c r="K895" i="5"/>
  <c r="J890" i="5"/>
  <c r="M897" i="5"/>
  <c r="G894" i="5"/>
  <c r="I890" i="5"/>
  <c r="F893" i="5"/>
  <c r="M889" i="5"/>
  <c r="I896" i="5"/>
  <c r="N888" i="5"/>
  <c r="K969" i="5"/>
  <c r="M965" i="5"/>
  <c r="G973" i="5"/>
  <c r="M969" i="5"/>
  <c r="N965" i="5"/>
  <c r="J973" i="5"/>
  <c r="F970" i="5"/>
  <c r="G965" i="5"/>
  <c r="N971" i="5"/>
  <c r="M966" i="5"/>
  <c r="I964" i="5"/>
  <c r="G971" i="5"/>
  <c r="K965" i="5"/>
  <c r="N972" i="5"/>
  <c r="H969" i="5"/>
  <c r="D965" i="5" a="1"/>
  <c r="I984" i="5"/>
  <c r="G980" i="5"/>
  <c r="F985" i="5"/>
  <c r="D988" i="5" a="1"/>
  <c r="I987" i="5"/>
  <c r="M982" i="5"/>
  <c r="J978" i="5"/>
  <c r="D985" i="5" a="1"/>
  <c r="F981" i="5"/>
  <c r="K978" i="5"/>
  <c r="J984" i="5"/>
  <c r="M980" i="5"/>
  <c r="G987" i="5"/>
  <c r="G983" i="5"/>
  <c r="N979" i="5"/>
  <c r="H1047" i="5"/>
  <c r="K1042" i="5"/>
  <c r="H1039" i="5"/>
  <c r="G1044" i="5"/>
  <c r="J1040" i="5"/>
  <c r="I1038" i="5"/>
  <c r="I1045" i="5"/>
  <c r="D1040" i="5" a="1"/>
  <c r="D1047" i="5" a="1"/>
  <c r="F1043" i="5"/>
  <c r="M1039" i="5"/>
  <c r="K1044" i="5"/>
  <c r="G1041" i="5"/>
  <c r="F1038" i="5"/>
  <c r="M1044" i="5"/>
  <c r="N1040" i="5"/>
  <c r="G1038" i="5"/>
  <c r="D1136" i="5" a="1"/>
  <c r="I1132" i="5"/>
  <c r="H1128" i="5"/>
  <c r="F1136" i="5"/>
  <c r="I1130" i="5"/>
  <c r="K1129" i="5"/>
  <c r="J1136" i="5"/>
  <c r="F1132" i="5"/>
  <c r="D1129" i="5"/>
  <c r="I1134" i="5"/>
  <c r="H1134" i="5" s="1"/>
  <c r="F1130" i="5"/>
  <c r="D1134" i="5" a="1"/>
  <c r="G1130" i="5"/>
  <c r="J1225" i="5"/>
  <c r="K1221" i="5"/>
  <c r="K1228" i="5"/>
  <c r="M1222" i="5"/>
  <c r="D1223" i="5" a="1"/>
  <c r="M1227" i="5"/>
  <c r="F1227" i="5"/>
  <c r="I1219" i="5"/>
  <c r="H1226" i="5"/>
  <c r="H1223" i="5"/>
  <c r="M1218" i="5"/>
  <c r="G1223" i="5"/>
  <c r="I1228" i="5"/>
  <c r="G1227" i="5"/>
  <c r="F1224" i="5"/>
  <c r="D1228" i="5" a="1"/>
  <c r="H1315" i="5"/>
  <c r="I1311" i="5"/>
  <c r="K1317" i="5"/>
  <c r="D1312" i="5" a="1"/>
  <c r="I1313" i="5"/>
  <c r="I1317" i="5"/>
  <c r="N1312" i="5"/>
  <c r="K1308" i="5"/>
  <c r="D1315" i="5" a="1"/>
  <c r="F1311" i="5"/>
  <c r="H1312" i="5"/>
  <c r="N1313" i="5"/>
  <c r="M1316" i="5"/>
  <c r="J1312" i="5"/>
  <c r="J1313" i="5"/>
  <c r="J1408" i="5"/>
  <c r="N1404" i="5"/>
  <c r="H1400" i="5"/>
  <c r="N1406" i="5"/>
  <c r="M1401" i="5"/>
  <c r="J1399" i="5"/>
  <c r="G1406" i="5"/>
  <c r="N1401" i="5"/>
  <c r="D1398" i="5"/>
  <c r="J1404" i="5"/>
  <c r="M1400" i="5"/>
  <c r="K1406" i="5"/>
  <c r="G1402" i="5"/>
  <c r="N1399" i="5"/>
  <c r="I1406" i="5"/>
  <c r="H1408" i="5"/>
  <c r="G1399" i="5"/>
  <c r="J1497" i="5"/>
  <c r="F1495" i="5"/>
  <c r="K1493" i="5"/>
  <c r="K1495" i="5"/>
  <c r="D1491" i="5" a="1"/>
  <c r="J1488" i="5"/>
  <c r="M1495" i="5"/>
  <c r="K1490" i="5"/>
  <c r="J1494" i="5"/>
  <c r="M1490" i="5"/>
  <c r="N1495" i="5"/>
  <c r="H1491" i="5"/>
  <c r="F1489" i="5"/>
  <c r="G1495" i="5"/>
  <c r="J1491" i="5"/>
  <c r="N1488" i="5"/>
  <c r="F1061" i="5"/>
  <c r="D1058" i="5" a="1"/>
  <c r="M1062" i="5"/>
  <c r="F1062" i="5"/>
  <c r="D1054" i="5"/>
  <c r="M1060" i="5"/>
  <c r="F1057" i="5"/>
  <c r="M1054" i="5"/>
  <c r="K1059" i="5"/>
  <c r="M1055" i="5"/>
  <c r="M1059" i="5"/>
  <c r="N1055" i="5"/>
  <c r="F1060" i="5"/>
  <c r="G1055" i="5"/>
  <c r="N1072" i="5"/>
  <c r="D1073" i="5" a="1"/>
  <c r="N1077" i="5"/>
  <c r="G1072" i="5"/>
  <c r="D1069" i="5"/>
  <c r="G1075" i="5"/>
  <c r="H1071" i="5"/>
  <c r="F1068" i="5"/>
  <c r="I1074" i="5"/>
  <c r="G1070" i="5"/>
  <c r="J1078" i="5"/>
  <c r="F1075" i="5"/>
  <c r="D1078" i="5" a="1"/>
  <c r="I1077" i="5"/>
  <c r="M1072" i="5"/>
  <c r="J1068" i="5"/>
  <c r="N1149" i="5"/>
  <c r="J1145" i="5"/>
  <c r="I1143" i="5"/>
  <c r="G1149" i="5"/>
  <c r="K1144" i="5"/>
  <c r="J1151" i="5"/>
  <c r="G1147" i="5"/>
  <c r="N1148" i="5"/>
  <c r="N1150" i="5"/>
  <c r="H1146" i="5"/>
  <c r="F1143" i="5"/>
  <c r="G1150" i="5"/>
  <c r="J1146" i="5"/>
  <c r="G1143" i="5"/>
  <c r="D1149" i="5" a="1"/>
  <c r="H1145" i="5"/>
  <c r="M1167" i="5"/>
  <c r="G1164" i="5"/>
  <c r="I1160" i="5"/>
  <c r="D1160" i="5" s="1" a="1"/>
  <c r="F1163" i="5"/>
  <c r="M1159" i="5"/>
  <c r="I1166" i="5"/>
  <c r="N1158" i="5"/>
  <c r="H1165" i="5"/>
  <c r="I1161" i="5"/>
  <c r="G1158" i="5"/>
  <c r="D1164" i="5" a="1"/>
  <c r="H1160" i="5"/>
  <c r="K1167" i="5"/>
  <c r="F1166" i="5"/>
  <c r="I1159" i="5"/>
  <c r="K1240" i="5"/>
  <c r="J1233" i="5"/>
  <c r="I1240" i="5"/>
  <c r="D1240" i="5" s="1" a="1"/>
  <c r="M1238" i="5"/>
  <c r="D1242" i="5" a="1"/>
  <c r="F1238" i="5"/>
  <c r="I1235" i="5"/>
  <c r="K1241" i="5"/>
  <c r="H1238" i="5"/>
  <c r="N1233" i="5"/>
  <c r="H1240" i="5"/>
  <c r="H1243" i="5"/>
  <c r="G1234" i="5"/>
  <c r="J1240" i="5"/>
  <c r="I1236" i="5"/>
  <c r="H1254" i="5"/>
  <c r="K1250" i="5"/>
  <c r="I1248" i="5"/>
  <c r="F1257" i="5"/>
  <c r="D1250" i="5" a="1"/>
  <c r="K1256" i="5"/>
  <c r="H1252" i="5"/>
  <c r="F1249" i="5"/>
  <c r="D1256" i="5" a="1"/>
  <c r="J1251" i="5"/>
  <c r="G1249" i="5"/>
  <c r="M1254" i="5"/>
  <c r="D1251" i="5" a="1"/>
  <c r="N1254" i="5"/>
  <c r="J1249" i="5"/>
  <c r="N1331" i="5"/>
  <c r="M1326" i="5"/>
  <c r="I1324" i="5"/>
  <c r="G1331" i="5"/>
  <c r="K1325" i="5"/>
  <c r="N1332" i="5"/>
  <c r="H1329" i="5"/>
  <c r="D1325" i="5" a="1"/>
  <c r="H1327" i="5"/>
  <c r="F1324" i="5"/>
  <c r="I1331" i="5"/>
  <c r="H1331" i="5" s="1"/>
  <c r="J1327" i="5"/>
  <c r="J1328" i="5"/>
  <c r="D1331" i="5" a="1"/>
  <c r="K1326" i="5"/>
  <c r="H1323" i="5"/>
  <c r="F1341" i="5"/>
  <c r="K1338" i="5"/>
  <c r="J1344" i="5"/>
  <c r="M1340" i="5"/>
  <c r="G1347" i="5"/>
  <c r="G1343" i="5"/>
  <c r="N1339" i="5"/>
  <c r="M1346" i="5"/>
  <c r="I1342" i="5"/>
  <c r="J1343" i="5"/>
  <c r="J1345" i="5"/>
  <c r="K1341" i="5"/>
  <c r="H1338" i="5"/>
  <c r="I1345" i="5"/>
  <c r="I1343" i="5"/>
  <c r="K1422" i="5"/>
  <c r="J1414" i="5"/>
  <c r="H1421" i="5"/>
  <c r="N1416" i="5"/>
  <c r="J1419" i="5"/>
  <c r="F1416" i="5"/>
  <c r="D1413" i="5"/>
  <c r="G1418" i="5"/>
  <c r="N1414" i="5"/>
  <c r="G1422" i="5"/>
  <c r="F1419" i="5"/>
  <c r="D1423" i="5" a="1"/>
  <c r="M1421" i="5"/>
  <c r="I1417" i="5"/>
  <c r="H1414" i="5"/>
  <c r="M1435" i="5"/>
  <c r="N1431" i="5"/>
  <c r="K1429" i="5"/>
  <c r="N1435" i="5"/>
  <c r="G1431" i="5"/>
  <c r="D1428" i="5"/>
  <c r="N1433" i="5"/>
  <c r="H1437" i="5"/>
  <c r="J1432" i="5"/>
  <c r="N1436" i="5"/>
  <c r="D1432" i="5" a="1"/>
  <c r="H1429" i="5"/>
  <c r="K1435" i="5"/>
  <c r="J1430" i="5"/>
  <c r="N1092" i="5"/>
  <c r="M1088" i="5"/>
  <c r="N1090" i="5"/>
  <c r="H1086" i="5"/>
  <c r="F1084" i="5"/>
  <c r="G1090" i="5"/>
  <c r="J1086" i="5"/>
  <c r="N1083" i="5"/>
  <c r="J1090" i="5"/>
  <c r="K1086" i="5"/>
  <c r="M1087" i="5"/>
  <c r="D1088" i="5" a="1"/>
  <c r="M1092" i="5"/>
  <c r="F1092" i="5"/>
  <c r="I1084" i="5"/>
  <c r="F1178" i="5"/>
  <c r="M1174" i="5"/>
  <c r="K1179" i="5"/>
  <c r="G1176" i="5"/>
  <c r="F1173" i="5"/>
  <c r="M1179" i="5"/>
  <c r="N1175" i="5"/>
  <c r="G1173" i="5"/>
  <c r="H1180" i="5"/>
  <c r="I1176" i="5"/>
  <c r="K1182" i="5"/>
  <c r="D1177" i="5" a="1"/>
  <c r="I1178" i="5"/>
  <c r="I1182" i="5"/>
  <c r="N1177" i="5"/>
  <c r="K1173" i="5"/>
  <c r="J1271" i="5"/>
  <c r="F1267" i="5"/>
  <c r="D1264" i="5"/>
  <c r="I1269" i="5"/>
  <c r="H1269" i="5" s="1"/>
  <c r="F1265" i="5"/>
  <c r="D1269" i="5" a="1"/>
  <c r="G1265" i="5"/>
  <c r="N1269" i="5"/>
  <c r="H1265" i="5"/>
  <c r="N1271" i="5"/>
  <c r="M1266" i="5"/>
  <c r="J1264" i="5"/>
  <c r="G1271" i="5"/>
  <c r="N1266" i="5"/>
  <c r="D1263" i="5"/>
  <c r="H1361" i="5"/>
  <c r="H1358" i="5"/>
  <c r="M1353" i="5"/>
  <c r="G1358" i="5"/>
  <c r="G1362" i="5"/>
  <c r="F1359" i="5"/>
  <c r="D1363" i="5" a="1"/>
  <c r="J1362" i="5"/>
  <c r="F1360" i="5"/>
  <c r="K1358" i="5"/>
  <c r="K1360" i="5"/>
  <c r="D1356" i="5" a="1"/>
  <c r="J1353" i="5"/>
  <c r="M1360" i="5"/>
  <c r="K1355" i="5"/>
  <c r="F1446" i="5"/>
  <c r="H1447" i="5"/>
  <c r="N1448" i="5"/>
  <c r="M1451" i="5"/>
  <c r="J1447" i="5"/>
  <c r="J1448" i="5"/>
  <c r="H1452" i="5"/>
  <c r="K1447" i="5"/>
  <c r="H1444" i="5"/>
  <c r="G1449" i="5"/>
  <c r="J1445" i="5"/>
  <c r="I1443" i="5"/>
  <c r="I1450" i="5"/>
  <c r="D1445" i="5" a="1"/>
  <c r="H1511" i="5"/>
  <c r="H1508" i="5"/>
  <c r="M1503" i="5"/>
  <c r="G1508" i="5"/>
  <c r="G1512" i="5"/>
  <c r="F1509" i="5"/>
  <c r="D1513" i="5" a="1"/>
  <c r="J1512" i="5"/>
  <c r="F1510" i="5"/>
  <c r="K1508" i="5"/>
  <c r="K1510" i="5"/>
  <c r="D1506" i="5" a="1"/>
  <c r="J1503" i="5"/>
  <c r="M1510" i="5"/>
  <c r="K1505" i="5"/>
  <c r="H1012" i="5"/>
  <c r="F1009" i="5"/>
  <c r="I1016" i="5"/>
  <c r="H1016" i="5" s="1"/>
  <c r="J1012" i="5"/>
  <c r="J1013" i="5"/>
  <c r="D1016" i="5" a="1"/>
  <c r="K1011" i="5"/>
  <c r="H1008" i="5"/>
  <c r="F1016" i="5"/>
  <c r="D1013" i="5" a="1"/>
  <c r="M1017" i="5"/>
  <c r="F1017" i="5"/>
  <c r="D1009" i="5"/>
  <c r="M1015" i="5"/>
  <c r="F1012" i="5"/>
  <c r="M1009" i="5"/>
  <c r="M1031" i="5"/>
  <c r="I1027" i="5"/>
  <c r="J1028" i="5"/>
  <c r="J1030" i="5"/>
  <c r="K1026" i="5"/>
  <c r="H1023" i="5"/>
  <c r="I1030" i="5"/>
  <c r="I1028" i="5"/>
  <c r="H1028" i="5" s="1"/>
  <c r="D1032" i="5" a="1"/>
  <c r="N1027" i="5"/>
  <c r="D1028" i="5" a="1"/>
  <c r="N1032" i="5"/>
  <c r="G1027" i="5"/>
  <c r="D1024" i="5"/>
  <c r="G1030" i="5"/>
  <c r="H1026" i="5"/>
  <c r="F1023" i="5"/>
  <c r="H1107" i="5"/>
  <c r="I1104" i="5"/>
  <c r="F1100" i="5"/>
  <c r="J1107" i="5"/>
  <c r="K1102" i="5"/>
  <c r="K1103" i="5"/>
  <c r="K1105" i="5"/>
  <c r="D1101" i="5" a="1"/>
  <c r="J1098" i="5"/>
  <c r="I1105" i="5"/>
  <c r="M1103" i="5"/>
  <c r="D1107" i="5" a="1"/>
  <c r="F1103" i="5"/>
  <c r="I1100" i="5"/>
  <c r="H1122" i="5"/>
  <c r="J1117" i="5"/>
  <c r="N1121" i="5"/>
  <c r="D1117" i="5" a="1"/>
  <c r="H1114" i="5"/>
  <c r="K1120" i="5"/>
  <c r="J1115" i="5"/>
  <c r="M1122" i="5"/>
  <c r="G1119" i="5"/>
  <c r="I1115" i="5"/>
  <c r="F1118" i="5"/>
  <c r="M1114" i="5"/>
  <c r="I1121" i="5"/>
  <c r="N1113" i="5"/>
  <c r="K1194" i="5"/>
  <c r="M1190" i="5"/>
  <c r="M1194" i="5"/>
  <c r="N1190" i="5"/>
  <c r="F1195" i="5"/>
  <c r="G1190" i="5"/>
  <c r="N1196" i="5"/>
  <c r="M1191" i="5"/>
  <c r="I1189" i="5"/>
  <c r="G1196" i="5"/>
  <c r="K1190" i="5"/>
  <c r="N1197" i="5"/>
  <c r="H1194" i="5"/>
  <c r="D1190" i="5" a="1"/>
  <c r="F1209" i="5"/>
  <c r="F1205" i="5"/>
  <c r="J1212" i="5"/>
  <c r="K1207" i="5"/>
  <c r="K1208" i="5"/>
  <c r="G1211" i="5"/>
  <c r="M1206" i="5"/>
  <c r="H1209" i="5"/>
  <c r="K1205" i="5"/>
  <c r="I1203" i="5"/>
  <c r="F1212" i="5"/>
  <c r="D1205" i="5" a="1"/>
  <c r="K1211" i="5"/>
  <c r="H1207" i="5"/>
  <c r="F1204" i="5"/>
  <c r="N1285" i="5"/>
  <c r="H1281" i="5"/>
  <c r="F1278" i="5"/>
  <c r="G1285" i="5"/>
  <c r="J1281" i="5"/>
  <c r="G1278" i="5"/>
  <c r="D1284" i="5" a="1"/>
  <c r="H1280" i="5"/>
  <c r="K1287" i="5"/>
  <c r="D1282" i="5" a="1"/>
  <c r="J1279" i="5"/>
  <c r="H1286" i="5"/>
  <c r="N1281" i="5"/>
  <c r="J1284" i="5"/>
  <c r="F1281" i="5"/>
  <c r="D1278" i="5"/>
  <c r="I1299" i="5"/>
  <c r="G1295" i="5"/>
  <c r="F1300" i="5"/>
  <c r="D1303" i="5" a="1"/>
  <c r="I1302" i="5"/>
  <c r="M1297" i="5"/>
  <c r="J1293" i="5"/>
  <c r="D1300" i="5" a="1"/>
  <c r="F1296" i="5"/>
  <c r="K1293" i="5"/>
  <c r="J1299" i="5"/>
  <c r="M1295" i="5"/>
  <c r="G1302" i="5"/>
  <c r="G1298" i="5"/>
  <c r="N1294" i="5"/>
  <c r="K1376" i="5"/>
  <c r="N1368" i="5"/>
  <c r="H1375" i="5"/>
  <c r="G1369" i="5"/>
  <c r="J1375" i="5"/>
  <c r="I1371" i="5"/>
  <c r="M1372" i="5"/>
  <c r="I1373" i="5"/>
  <c r="I1377" i="5"/>
  <c r="N1372" i="5"/>
  <c r="K1368" i="5"/>
  <c r="D1375" i="5" a="1"/>
  <c r="G1371" i="5"/>
  <c r="M1368" i="5"/>
  <c r="H1390" i="5"/>
  <c r="I1386" i="5"/>
  <c r="G1383" i="5"/>
  <c r="D1389" i="5" a="1"/>
  <c r="H1385" i="5"/>
  <c r="K1392" i="5"/>
  <c r="F1391" i="5"/>
  <c r="I1384" i="5"/>
  <c r="M1390" i="5"/>
  <c r="N1386" i="5"/>
  <c r="K1384" i="5"/>
  <c r="N1390" i="5"/>
  <c r="G1386" i="5"/>
  <c r="D1383" i="5"/>
  <c r="N1388" i="5"/>
  <c r="N1468" i="5"/>
  <c r="H1462" i="5"/>
  <c r="F1459" i="5"/>
  <c r="I1466" i="5"/>
  <c r="H1466" i="5" s="1"/>
  <c r="J1462" i="5"/>
  <c r="J1463" i="5"/>
  <c r="D1466" i="5" a="1"/>
  <c r="K1461" i="5"/>
  <c r="H1458" i="5"/>
  <c r="F1466" i="5"/>
  <c r="D1463" i="5" a="1"/>
  <c r="M1467" i="5"/>
  <c r="F1467" i="5"/>
  <c r="D1459" i="5"/>
  <c r="M1465" i="5"/>
  <c r="F1462" i="5"/>
  <c r="M1459" i="5"/>
  <c r="D1481" i="5" a="1"/>
  <c r="J1476" i="5"/>
  <c r="G1474" i="5"/>
  <c r="M1479" i="5"/>
  <c r="D1476" i="5" a="1"/>
  <c r="N1479" i="5"/>
  <c r="J1474" i="5"/>
  <c r="H1481" i="5"/>
  <c r="F1477" i="5"/>
  <c r="M1478" i="5"/>
  <c r="J1481" i="5"/>
  <c r="H1478" i="5"/>
  <c r="M1473" i="5"/>
  <c r="K1479" i="5"/>
  <c r="N1475" i="5"/>
  <c r="N1527" i="5"/>
  <c r="J1527" i="5"/>
  <c r="F1528" i="5"/>
  <c r="I1528" i="5"/>
  <c r="I1526" i="5"/>
  <c r="J1522" i="5"/>
  <c r="J1523" i="5"/>
  <c r="D1524" i="5" a="1"/>
  <c r="H1520" i="5"/>
  <c r="K1525" i="5"/>
  <c r="D1521" i="5" a="1"/>
  <c r="J1518" i="5"/>
  <c r="F1527" i="5"/>
  <c r="D1519" i="5"/>
  <c r="H1524" i="5"/>
  <c r="D1520" i="5" a="1"/>
  <c r="G1572" i="5"/>
  <c r="F1569" i="5"/>
  <c r="D1573" i="5" a="1"/>
  <c r="M1571" i="5"/>
  <c r="I1567" i="5"/>
  <c r="H1564" i="5"/>
  <c r="N1569" i="5"/>
  <c r="J1565" i="5"/>
  <c r="I1563" i="5"/>
  <c r="G1569" i="5"/>
  <c r="K1564" i="5"/>
  <c r="J1571" i="5"/>
  <c r="G1567" i="5"/>
  <c r="N1568" i="5"/>
  <c r="N1570" i="5"/>
  <c r="H1566" i="5"/>
  <c r="F1563" i="5"/>
  <c r="D1584" i="5" a="1"/>
  <c r="H1580" i="5"/>
  <c r="K1587" i="5"/>
  <c r="F1586" i="5"/>
  <c r="I1579" i="5"/>
  <c r="M1585" i="5"/>
  <c r="N1581" i="5"/>
  <c r="K1579" i="5"/>
  <c r="N1585" i="5"/>
  <c r="G1581" i="5"/>
  <c r="D1578" i="5"/>
  <c r="F1588" i="5"/>
  <c r="N1583" i="5"/>
  <c r="H1587" i="5"/>
  <c r="J1582" i="5"/>
  <c r="I1588" i="5"/>
  <c r="H1662" i="5"/>
  <c r="I1659" i="5"/>
  <c r="F1655" i="5"/>
  <c r="J1662" i="5"/>
  <c r="K1657" i="5"/>
  <c r="K1658" i="5"/>
  <c r="K1660" i="5"/>
  <c r="D1656" i="5" a="1"/>
  <c r="J1653" i="5"/>
  <c r="I1660" i="5"/>
  <c r="M1658" i="5"/>
  <c r="D1662" i="5" a="1"/>
  <c r="F1658" i="5"/>
  <c r="I1655" i="5"/>
  <c r="K1661" i="5"/>
  <c r="H1658" i="5"/>
  <c r="N1653" i="5"/>
  <c r="M1674" i="5"/>
  <c r="D1671" i="5" a="1"/>
  <c r="N1674" i="5"/>
  <c r="J1669" i="5"/>
  <c r="H1676" i="5"/>
  <c r="F1672" i="5"/>
  <c r="M1673" i="5"/>
  <c r="J1676" i="5"/>
  <c r="H1673" i="5"/>
  <c r="M1668" i="5"/>
  <c r="K1674" i="5"/>
  <c r="N1670" i="5"/>
  <c r="F1674" i="5"/>
  <c r="F1670" i="5"/>
  <c r="M1749" i="5"/>
  <c r="N1745" i="5"/>
  <c r="F1750" i="5"/>
  <c r="G1745" i="5"/>
  <c r="N1751" i="5"/>
  <c r="M1746" i="5"/>
  <c r="I1744" i="5"/>
  <c r="G1751" i="5"/>
  <c r="K1745" i="5"/>
  <c r="N1752" i="5"/>
  <c r="H1749" i="5"/>
  <c r="D1745" i="5" a="1"/>
  <c r="H1747" i="5"/>
  <c r="F1744" i="5"/>
  <c r="J1765" i="5"/>
  <c r="K1761" i="5"/>
  <c r="H1758" i="5"/>
  <c r="I1765" i="5"/>
  <c r="I1763" i="5"/>
  <c r="H1763" i="5" s="1"/>
  <c r="D1767" i="5" a="1"/>
  <c r="N1762" i="5"/>
  <c r="D1763" i="5" a="1"/>
  <c r="N1767" i="5"/>
  <c r="G1762" i="5"/>
  <c r="D1759" i="5"/>
  <c r="G1765" i="5"/>
  <c r="H1761" i="5"/>
  <c r="F1758" i="5"/>
  <c r="I1764" i="5"/>
  <c r="G1760" i="5"/>
  <c r="K1602" i="5"/>
  <c r="D1597" i="5" a="1"/>
  <c r="I1598" i="5"/>
  <c r="I1602" i="5"/>
  <c r="D1602" i="5" s="1" a="1"/>
  <c r="N1597" i="5"/>
  <c r="K1593" i="5"/>
  <c r="D1600" i="5" a="1"/>
  <c r="F1596" i="5"/>
  <c r="H1597" i="5"/>
  <c r="N1598" i="5"/>
  <c r="M1601" i="5"/>
  <c r="J1597" i="5"/>
  <c r="J1598" i="5"/>
  <c r="H1602" i="5"/>
  <c r="K1597" i="5"/>
  <c r="H1594" i="5"/>
  <c r="N1691" i="5"/>
  <c r="M1686" i="5"/>
  <c r="J1684" i="5"/>
  <c r="G1691" i="5"/>
  <c r="N1686" i="5"/>
  <c r="D1683" i="5"/>
  <c r="J1689" i="5"/>
  <c r="M1685" i="5"/>
  <c r="K1691" i="5"/>
  <c r="G1687" i="5"/>
  <c r="N1684" i="5"/>
  <c r="I1691" i="5"/>
  <c r="H1691" i="5" s="1"/>
  <c r="G1684" i="5"/>
  <c r="D1691" i="5" a="1"/>
  <c r="I1687" i="5"/>
  <c r="H1683" i="5"/>
  <c r="K1780" i="5"/>
  <c r="D1776" i="5" a="1"/>
  <c r="J1773" i="5"/>
  <c r="M1780" i="5"/>
  <c r="K1775" i="5"/>
  <c r="N1782" i="5"/>
  <c r="M1778" i="5"/>
  <c r="N1780" i="5"/>
  <c r="H1776" i="5"/>
  <c r="F1774" i="5"/>
  <c r="G1780" i="5"/>
  <c r="J1776" i="5"/>
  <c r="N1773" i="5"/>
  <c r="J1780" i="5"/>
  <c r="K1776" i="5"/>
  <c r="F1538" i="5"/>
  <c r="M1534" i="5"/>
  <c r="I1541" i="5"/>
  <c r="D1541" i="5" s="1" a="1"/>
  <c r="N1533" i="5"/>
  <c r="I1536" i="5"/>
  <c r="G1533" i="5"/>
  <c r="D1539" i="5" a="1"/>
  <c r="K1542" i="5"/>
  <c r="F1541" i="5"/>
  <c r="I1534" i="5"/>
  <c r="D1534" i="5" s="1"/>
  <c r="M1540" i="5"/>
  <c r="N1536" i="5"/>
  <c r="K1534" i="5"/>
  <c r="N1611" i="5"/>
  <c r="J1614" i="5"/>
  <c r="F1611" i="5"/>
  <c r="G1613" i="5"/>
  <c r="N1609" i="5"/>
  <c r="G1617" i="5"/>
  <c r="F1614" i="5"/>
  <c r="M1616" i="5"/>
  <c r="I1612" i="5"/>
  <c r="N1614" i="5"/>
  <c r="J1610" i="5"/>
  <c r="I1608" i="5"/>
  <c r="D1608" i="5" s="1"/>
  <c r="F1632" i="5"/>
  <c r="K1631" i="5"/>
  <c r="F1624" i="5"/>
  <c r="J1626" i="5"/>
  <c r="G1624" i="5"/>
  <c r="M1629" i="5"/>
  <c r="K1633" i="5"/>
  <c r="N1629" i="5"/>
  <c r="J1624" i="5"/>
  <c r="F1627" i="5"/>
  <c r="M1628" i="5"/>
  <c r="I1707" i="5"/>
  <c r="N1702" i="5"/>
  <c r="K1698" i="5"/>
  <c r="G1701" i="5"/>
  <c r="M1698" i="5"/>
  <c r="H1707" i="5"/>
  <c r="I1704" i="5"/>
  <c r="F1700" i="5"/>
  <c r="J1707" i="5"/>
  <c r="K1702" i="5"/>
  <c r="K1703" i="5"/>
  <c r="K1705" i="5"/>
  <c r="J1698" i="5"/>
  <c r="J1719" i="5"/>
  <c r="M1715" i="5"/>
  <c r="G1722" i="5"/>
  <c r="G1718" i="5"/>
  <c r="N1714" i="5"/>
  <c r="M1721" i="5"/>
  <c r="I1717" i="5"/>
  <c r="J1718" i="5"/>
  <c r="J1720" i="5"/>
  <c r="K1716" i="5"/>
  <c r="I1720" i="5"/>
  <c r="I1718" i="5"/>
  <c r="N1717" i="5"/>
  <c r="D1718" i="5" a="1"/>
  <c r="J1797" i="5"/>
  <c r="N1796" i="5"/>
  <c r="K1789" i="5"/>
  <c r="F1792" i="5"/>
  <c r="M1789" i="5"/>
  <c r="F1789" i="5"/>
  <c r="J1792" i="5"/>
  <c r="J1793" i="5"/>
  <c r="I1792" i="5"/>
  <c r="H1792" i="5" s="1"/>
  <c r="M1791" i="5"/>
  <c r="I1789" i="5"/>
  <c r="H1789" i="5" s="1"/>
  <c r="K1554" i="5"/>
  <c r="G1551" i="5"/>
  <c r="F1548" i="5"/>
  <c r="M1554" i="5"/>
  <c r="N1550" i="5"/>
  <c r="G1548" i="5"/>
  <c r="I1551" i="5"/>
  <c r="K1557" i="5"/>
  <c r="I1553" i="5"/>
  <c r="I1557" i="5"/>
  <c r="N1552" i="5"/>
  <c r="K1548" i="5"/>
  <c r="F1551" i="5"/>
  <c r="I1644" i="5"/>
  <c r="F1640" i="5"/>
  <c r="D1644" i="5" a="1"/>
  <c r="G1640" i="5"/>
  <c r="N1644" i="5"/>
  <c r="N1646" i="5"/>
  <c r="M1641" i="5"/>
  <c r="J1639" i="5"/>
  <c r="G1646" i="5"/>
  <c r="N1641" i="5"/>
  <c r="J1644" i="5"/>
  <c r="M1640" i="5"/>
  <c r="G1733" i="5"/>
  <c r="G1737" i="5"/>
  <c r="F1734" i="5"/>
  <c r="D1738" i="5" a="1"/>
  <c r="J1737" i="5"/>
  <c r="F1735" i="5"/>
  <c r="K1733" i="5"/>
  <c r="K1735" i="5"/>
  <c r="J1728" i="5"/>
  <c r="M1735" i="5"/>
  <c r="K1730" i="5"/>
  <c r="N1737" i="5"/>
  <c r="M1733" i="5"/>
  <c r="K1822" i="5"/>
  <c r="G1824" i="5"/>
  <c r="J1820" i="5"/>
  <c r="I1818" i="5"/>
  <c r="I1825" i="5"/>
  <c r="N1827" i="5"/>
  <c r="M1823" i="5"/>
  <c r="K1824" i="5"/>
  <c r="G1821" i="5"/>
  <c r="F1818" i="5"/>
  <c r="M1824" i="5"/>
  <c r="N1820" i="5"/>
  <c r="G1818" i="5"/>
  <c r="J1885" i="5"/>
  <c r="K1881" i="5"/>
  <c r="K1888" i="5"/>
  <c r="M1882" i="5"/>
  <c r="M1887" i="5"/>
  <c r="F1887" i="5"/>
  <c r="I1879" i="5"/>
  <c r="M1878" i="5"/>
  <c r="G1883" i="5"/>
  <c r="I1888" i="5"/>
  <c r="G1887" i="5"/>
  <c r="F1884" i="5"/>
  <c r="D1888" i="5" a="1"/>
  <c r="I1971" i="5"/>
  <c r="K1977" i="5"/>
  <c r="I1973" i="5"/>
  <c r="I1977" i="5"/>
  <c r="N1972" i="5"/>
  <c r="K1968" i="5"/>
  <c r="F1971" i="5"/>
  <c r="N1978" i="5"/>
  <c r="N1973" i="5"/>
  <c r="M1976" i="5"/>
  <c r="J1972" i="5"/>
  <c r="J1973" i="5"/>
  <c r="K2062" i="5"/>
  <c r="F2066" i="5"/>
  <c r="G2066" i="5"/>
  <c r="N2067" i="5"/>
  <c r="K2064" i="5"/>
  <c r="K2061" i="5"/>
  <c r="M2061" i="5"/>
  <c r="J2059" i="5"/>
  <c r="K2059" i="5"/>
  <c r="M2060" i="5"/>
  <c r="G2061" i="5"/>
  <c r="F2058" i="5"/>
  <c r="G2059" i="5"/>
  <c r="K1902" i="5"/>
  <c r="J1894" i="5"/>
  <c r="N1896" i="5"/>
  <c r="J1899" i="5"/>
  <c r="F1896" i="5"/>
  <c r="G1898" i="5"/>
  <c r="N1894" i="5"/>
  <c r="G1902" i="5"/>
  <c r="F1899" i="5"/>
  <c r="M1901" i="5"/>
  <c r="I1897" i="5"/>
  <c r="D1897" i="5" s="1" a="1"/>
  <c r="M1915" i="5"/>
  <c r="N1911" i="5"/>
  <c r="K1909" i="5"/>
  <c r="N1915" i="5"/>
  <c r="G1911" i="5"/>
  <c r="N1913" i="5"/>
  <c r="J1912" i="5"/>
  <c r="N1916" i="5"/>
  <c r="K1915" i="5"/>
  <c r="J1910" i="5"/>
  <c r="M1987" i="5"/>
  <c r="I1988" i="5"/>
  <c r="I1992" i="5"/>
  <c r="N1987" i="5"/>
  <c r="K1983" i="5"/>
  <c r="G1986" i="5"/>
  <c r="M1983" i="5"/>
  <c r="H1992" i="5"/>
  <c r="I1989" i="5"/>
  <c r="F1985" i="5"/>
  <c r="J1992" i="5"/>
  <c r="K1987" i="5"/>
  <c r="K1988" i="5"/>
  <c r="F2002" i="5"/>
  <c r="M2003" i="5"/>
  <c r="J2006" i="5"/>
  <c r="M1998" i="5"/>
  <c r="K2004" i="5"/>
  <c r="N2000" i="5"/>
  <c r="F2004" i="5"/>
  <c r="F2000" i="5"/>
  <c r="J2007" i="5"/>
  <c r="K2002" i="5"/>
  <c r="K2003" i="5"/>
  <c r="G2006" i="5"/>
  <c r="M2001" i="5"/>
  <c r="F1836" i="5"/>
  <c r="N1838" i="5"/>
  <c r="M1841" i="5"/>
  <c r="J1837" i="5"/>
  <c r="J1838" i="5"/>
  <c r="K1837" i="5"/>
  <c r="G1839" i="5"/>
  <c r="J1835" i="5"/>
  <c r="I1833" i="5"/>
  <c r="I1840" i="5"/>
  <c r="D1840" i="5" s="1" a="1"/>
  <c r="J1929" i="5"/>
  <c r="M1925" i="5"/>
  <c r="K1931" i="5"/>
  <c r="G1927" i="5"/>
  <c r="N1924" i="5"/>
  <c r="I1931" i="5"/>
  <c r="G1924" i="5"/>
  <c r="D1931" i="5" a="1"/>
  <c r="I1927" i="5"/>
  <c r="F1931" i="5"/>
  <c r="I1925" i="5"/>
  <c r="K1924" i="5"/>
  <c r="N2022" i="5"/>
  <c r="M2018" i="5"/>
  <c r="N2020" i="5"/>
  <c r="F2014" i="5"/>
  <c r="G2020" i="5"/>
  <c r="J2016" i="5"/>
  <c r="N2013" i="5"/>
  <c r="J2020" i="5"/>
  <c r="K2016" i="5"/>
  <c r="M2017" i="5"/>
  <c r="M2022" i="5"/>
  <c r="F2022" i="5"/>
  <c r="I2014" i="5"/>
  <c r="I1809" i="5"/>
  <c r="G1805" i="5"/>
  <c r="F1810" i="5"/>
  <c r="G1811" i="5"/>
  <c r="M1806" i="5"/>
  <c r="H1809" i="5"/>
  <c r="K1805" i="5"/>
  <c r="I1803" i="5"/>
  <c r="F1812" i="5"/>
  <c r="K1811" i="5"/>
  <c r="F1804" i="5"/>
  <c r="G1853" i="5"/>
  <c r="N1849" i="5"/>
  <c r="G1857" i="5"/>
  <c r="F1854" i="5"/>
  <c r="M1856" i="5"/>
  <c r="I1852" i="5"/>
  <c r="N1854" i="5"/>
  <c r="J1850" i="5"/>
  <c r="I1848" i="5"/>
  <c r="G1854" i="5"/>
  <c r="K1849" i="5"/>
  <c r="J1856" i="5"/>
  <c r="G1852" i="5"/>
  <c r="N1853" i="5"/>
  <c r="M1871" i="5"/>
  <c r="I1867" i="5"/>
  <c r="J1868" i="5"/>
  <c r="J1870" i="5"/>
  <c r="K1866" i="5"/>
  <c r="I1870" i="5"/>
  <c r="I1868" i="5"/>
  <c r="N1867" i="5"/>
  <c r="D1868" i="5" a="1"/>
  <c r="N1872" i="5"/>
  <c r="G1867" i="5"/>
  <c r="G1870" i="5"/>
  <c r="F1863" i="5"/>
  <c r="I1944" i="5"/>
  <c r="F1940" i="5"/>
  <c r="J1947" i="5"/>
  <c r="K1942" i="5"/>
  <c r="K1943" i="5"/>
  <c r="K1945" i="5"/>
  <c r="J1938" i="5"/>
  <c r="I1945" i="5"/>
  <c r="M1943" i="5"/>
  <c r="F1943" i="5"/>
  <c r="I1940" i="5"/>
  <c r="J1957" i="5"/>
  <c r="N1961" i="5"/>
  <c r="K1960" i="5"/>
  <c r="J1955" i="5"/>
  <c r="M1962" i="5"/>
  <c r="G1959" i="5"/>
  <c r="I1955" i="5"/>
  <c r="F1958" i="5"/>
  <c r="M1954" i="5"/>
  <c r="I1961" i="5"/>
  <c r="N1953" i="5"/>
  <c r="K2034" i="5"/>
  <c r="M2030" i="5"/>
  <c r="M2034" i="5"/>
  <c r="N2030" i="5"/>
  <c r="F2035" i="5"/>
  <c r="G2030" i="5"/>
  <c r="N2036" i="5"/>
  <c r="M2031" i="5"/>
  <c r="I2029" i="5"/>
  <c r="G2036" i="5"/>
  <c r="K2030" i="5"/>
  <c r="N2037" i="5"/>
  <c r="F2049" i="5"/>
  <c r="F2045" i="5"/>
  <c r="J2052" i="5"/>
  <c r="K2047" i="5"/>
  <c r="K2048" i="5"/>
  <c r="G2051" i="5"/>
  <c r="M2046" i="5"/>
  <c r="K2045" i="5"/>
  <c r="I2043" i="5"/>
  <c r="F2052" i="5"/>
  <c r="K2051" i="5"/>
  <c r="F2044" i="5"/>
  <c r="G2155" i="5"/>
  <c r="J2151" i="5"/>
  <c r="N2148" i="5"/>
  <c r="J2155" i="5"/>
  <c r="K2151" i="5"/>
  <c r="M2152" i="5"/>
  <c r="M2157" i="5"/>
  <c r="F2157" i="5"/>
  <c r="I2149" i="5"/>
  <c r="M2148" i="5"/>
  <c r="G2153" i="5"/>
  <c r="M2244" i="5"/>
  <c r="N2240" i="5"/>
  <c r="G2238" i="5"/>
  <c r="I2241" i="5"/>
  <c r="K2247" i="5"/>
  <c r="I2243" i="5"/>
  <c r="I2247" i="5"/>
  <c r="N2242" i="5"/>
  <c r="K2238" i="5"/>
  <c r="F2241" i="5"/>
  <c r="N2243" i="5"/>
  <c r="F2080" i="5"/>
  <c r="G2075" i="5"/>
  <c r="N2081" i="5"/>
  <c r="M2076" i="5"/>
  <c r="I2074" i="5"/>
  <c r="G2081" i="5"/>
  <c r="K2075" i="5"/>
  <c r="N2082" i="5"/>
  <c r="F2074" i="5"/>
  <c r="I2081" i="5"/>
  <c r="J2077" i="5"/>
  <c r="J2078" i="5"/>
  <c r="G2096" i="5"/>
  <c r="M2091" i="5"/>
  <c r="K2090" i="5"/>
  <c r="I2088" i="5"/>
  <c r="F2097" i="5"/>
  <c r="K2096" i="5"/>
  <c r="F2089" i="5"/>
  <c r="J2091" i="5"/>
  <c r="G2089" i="5"/>
  <c r="M2094" i="5"/>
  <c r="K2172" i="5"/>
  <c r="J2164" i="5"/>
  <c r="N2166" i="5"/>
  <c r="J2169" i="5"/>
  <c r="F2166" i="5"/>
  <c r="G2168" i="5"/>
  <c r="N2164" i="5"/>
  <c r="G2172" i="5"/>
  <c r="F2169" i="5"/>
  <c r="I2187" i="5"/>
  <c r="M2182" i="5"/>
  <c r="J2178" i="5"/>
  <c r="F2181" i="5"/>
  <c r="K2178" i="5"/>
  <c r="J2184" i="5"/>
  <c r="M2180" i="5"/>
  <c r="G2187" i="5"/>
  <c r="G2183" i="5"/>
  <c r="N2179" i="5"/>
  <c r="M2186" i="5"/>
  <c r="I2182" i="5"/>
  <c r="J2183" i="5"/>
  <c r="J2185" i="5"/>
  <c r="K2181" i="5"/>
  <c r="J2260" i="5"/>
  <c r="I2256" i="5"/>
  <c r="M2257" i="5"/>
  <c r="I2258" i="5"/>
  <c r="I2262" i="5"/>
  <c r="N2257" i="5"/>
  <c r="K2253" i="5"/>
  <c r="G2256" i="5"/>
  <c r="M2253" i="5"/>
  <c r="H2262" i="5"/>
  <c r="I2259" i="5"/>
  <c r="F2255" i="5"/>
  <c r="K2277" i="5"/>
  <c r="F2276" i="5"/>
  <c r="I2269" i="5"/>
  <c r="M2275" i="5"/>
  <c r="N2271" i="5"/>
  <c r="K2269" i="5"/>
  <c r="N2275" i="5"/>
  <c r="G2271" i="5"/>
  <c r="F2278" i="5"/>
  <c r="N2273" i="5"/>
  <c r="J2272" i="5"/>
  <c r="I2278" i="5"/>
  <c r="N2276" i="5"/>
  <c r="H2269" i="5"/>
  <c r="M2328" i="5"/>
  <c r="G2333" i="5"/>
  <c r="J2335" i="5"/>
  <c r="K2331" i="5"/>
  <c r="M2332" i="5"/>
  <c r="M2337" i="5"/>
  <c r="F2337" i="5"/>
  <c r="I2329" i="5"/>
  <c r="D2338" i="5" a="1"/>
  <c r="I2336" i="5"/>
  <c r="H2336" i="5" s="1"/>
  <c r="I2110" i="5"/>
  <c r="F2108" i="5"/>
  <c r="M2104" i="5"/>
  <c r="K2109" i="5"/>
  <c r="G2106" i="5"/>
  <c r="F2103" i="5"/>
  <c r="M2109" i="5"/>
  <c r="N2105" i="5"/>
  <c r="G2103" i="5"/>
  <c r="H2110" i="5"/>
  <c r="I2106" i="5"/>
  <c r="K2112" i="5"/>
  <c r="I2108" i="5"/>
  <c r="K2194" i="5"/>
  <c r="J2201" i="5"/>
  <c r="F2197" i="5"/>
  <c r="I2199" i="5"/>
  <c r="H2199" i="5" s="1"/>
  <c r="F2195" i="5"/>
  <c r="D2199" i="5" a="1"/>
  <c r="G2195" i="5"/>
  <c r="N2199" i="5"/>
  <c r="N2201" i="5"/>
  <c r="M2196" i="5"/>
  <c r="J2194" i="5"/>
  <c r="M2292" i="5"/>
  <c r="F2292" i="5"/>
  <c r="I2284" i="5"/>
  <c r="M2283" i="5"/>
  <c r="G2288" i="5"/>
  <c r="G2292" i="5"/>
  <c r="F2289" i="5"/>
  <c r="D2293" i="5" a="1"/>
  <c r="J2292" i="5"/>
  <c r="F2290" i="5"/>
  <c r="K2288" i="5"/>
  <c r="K2290" i="5"/>
  <c r="J2283" i="5"/>
  <c r="M2128" i="5"/>
  <c r="J2124" i="5"/>
  <c r="F2121" i="5"/>
  <c r="G2123" i="5"/>
  <c r="N2119" i="5"/>
  <c r="G2127" i="5"/>
  <c r="F2124" i="5"/>
  <c r="M2126" i="5"/>
  <c r="I2122" i="5"/>
  <c r="N2124" i="5"/>
  <c r="J2120" i="5"/>
  <c r="I2118" i="5"/>
  <c r="D2118" i="5" s="1"/>
  <c r="G2124" i="5"/>
  <c r="K2119" i="5"/>
  <c r="G2140" i="5"/>
  <c r="F2133" i="5"/>
  <c r="I2139" i="5"/>
  <c r="G2135" i="5"/>
  <c r="F2140" i="5"/>
  <c r="I2142" i="5"/>
  <c r="M2137" i="5"/>
  <c r="J2133" i="5"/>
  <c r="F2136" i="5"/>
  <c r="K2133" i="5"/>
  <c r="J2139" i="5"/>
  <c r="M2135" i="5"/>
  <c r="G2211" i="5"/>
  <c r="M2208" i="5"/>
  <c r="I2214" i="5"/>
  <c r="F2210" i="5"/>
  <c r="J2217" i="5"/>
  <c r="K2212" i="5"/>
  <c r="K2213" i="5"/>
  <c r="K2215" i="5"/>
  <c r="J2208" i="5"/>
  <c r="I2215" i="5"/>
  <c r="D2215" i="5" s="1" a="1"/>
  <c r="M2213" i="5"/>
  <c r="I2231" i="5"/>
  <c r="N2223" i="5"/>
  <c r="I2226" i="5"/>
  <c r="G2223" i="5"/>
  <c r="K2232" i="5"/>
  <c r="F2231" i="5"/>
  <c r="I2224" i="5"/>
  <c r="M2230" i="5"/>
  <c r="N2226" i="5"/>
  <c r="K2224" i="5"/>
  <c r="N2230" i="5"/>
  <c r="G2226" i="5"/>
  <c r="M2305" i="5"/>
  <c r="F2302" i="5"/>
  <c r="M2299" i="5"/>
  <c r="K2304" i="5"/>
  <c r="M2300" i="5"/>
  <c r="M2304" i="5"/>
  <c r="N2300" i="5"/>
  <c r="F2305" i="5"/>
  <c r="G2300" i="5"/>
  <c r="N2306" i="5"/>
  <c r="M2301" i="5"/>
  <c r="I2299" i="5"/>
  <c r="G2306" i="5"/>
  <c r="K2300" i="5"/>
  <c r="M2322" i="5"/>
  <c r="G2321" i="5"/>
  <c r="G2318" i="5"/>
  <c r="N2314" i="5"/>
  <c r="I2319" i="5"/>
  <c r="G2315" i="5"/>
  <c r="N2322" i="5"/>
  <c r="K2317" i="5"/>
  <c r="K2318" i="5"/>
  <c r="N2319" i="5"/>
  <c r="J2314" i="5"/>
  <c r="G2319" i="5"/>
  <c r="I2315" i="5"/>
  <c r="K2321" i="5"/>
  <c r="M2313" i="5"/>
  <c r="J2576" i="5"/>
  <c r="G2572" i="5"/>
  <c r="N2573" i="5"/>
  <c r="N2571" i="5"/>
  <c r="F2568" i="5"/>
  <c r="F2576" i="5"/>
  <c r="I2569" i="5"/>
  <c r="I2572" i="5"/>
  <c r="H2572" i="5" s="1"/>
  <c r="J2570" i="5"/>
  <c r="J2380" i="5"/>
  <c r="K2376" i="5"/>
  <c r="M2377" i="5"/>
  <c r="M2382" i="5"/>
  <c r="F2382" i="5"/>
  <c r="I2374" i="5"/>
  <c r="M2373" i="5"/>
  <c r="G2378" i="5"/>
  <c r="G2382" i="5"/>
  <c r="F2379" i="5"/>
  <c r="D2383" i="5" a="1"/>
  <c r="I2466" i="5"/>
  <c r="K2472" i="5"/>
  <c r="I2468" i="5"/>
  <c r="I2472" i="5"/>
  <c r="N2467" i="5"/>
  <c r="K2463" i="5"/>
  <c r="F2466" i="5"/>
  <c r="N2468" i="5"/>
  <c r="M2471" i="5"/>
  <c r="J2467" i="5"/>
  <c r="J2468" i="5"/>
  <c r="N2544" i="5"/>
  <c r="J2539" i="5"/>
  <c r="J2545" i="5"/>
  <c r="K2541" i="5"/>
  <c r="F2542" i="5"/>
  <c r="G2542" i="5"/>
  <c r="F2538" i="5"/>
  <c r="G2541" i="5"/>
  <c r="M2545" i="5"/>
  <c r="N2543" i="5"/>
  <c r="G2561" i="5"/>
  <c r="N2556" i="5"/>
  <c r="F2561" i="5"/>
  <c r="I2555" i="5"/>
  <c r="I2557" i="5"/>
  <c r="M2555" i="5"/>
  <c r="N2554" i="5"/>
  <c r="F2620" i="5"/>
  <c r="G2615" i="5"/>
  <c r="N2621" i="5"/>
  <c r="M2616" i="5"/>
  <c r="I2614" i="5"/>
  <c r="G2621" i="5"/>
  <c r="K2615" i="5"/>
  <c r="I2619" i="5"/>
  <c r="F2615" i="5"/>
  <c r="G2617" i="5"/>
  <c r="K2619" i="5"/>
  <c r="M2620" i="5"/>
  <c r="G2616" i="5"/>
  <c r="N2396" i="5"/>
  <c r="M2391" i="5"/>
  <c r="I2389" i="5"/>
  <c r="G2396" i="5"/>
  <c r="K2390" i="5"/>
  <c r="N2397" i="5"/>
  <c r="F2389" i="5"/>
  <c r="I2396" i="5"/>
  <c r="J2392" i="5"/>
  <c r="J2393" i="5"/>
  <c r="D2396" i="5" a="1"/>
  <c r="K2391" i="5"/>
  <c r="F2406" i="5"/>
  <c r="K2403" i="5"/>
  <c r="J2409" i="5"/>
  <c r="M2405" i="5"/>
  <c r="G2412" i="5"/>
  <c r="G2408" i="5"/>
  <c r="N2404" i="5"/>
  <c r="M2411" i="5"/>
  <c r="I2407" i="5"/>
  <c r="J2408" i="5"/>
  <c r="J2410" i="5"/>
  <c r="K2406" i="5"/>
  <c r="I2410" i="5"/>
  <c r="D2410" i="5" s="1" a="1"/>
  <c r="I2408" i="5"/>
  <c r="K2487" i="5"/>
  <c r="J2479" i="5"/>
  <c r="N2481" i="5"/>
  <c r="J2484" i="5"/>
  <c r="F2481" i="5"/>
  <c r="G2483" i="5"/>
  <c r="N2479" i="5"/>
  <c r="G2487" i="5"/>
  <c r="F2484" i="5"/>
  <c r="M2486" i="5"/>
  <c r="I2482" i="5"/>
  <c r="D2482" i="5" s="1" a="1"/>
  <c r="M2500" i="5"/>
  <c r="N2496" i="5"/>
  <c r="K2494" i="5"/>
  <c r="N2500" i="5"/>
  <c r="G2496" i="5"/>
  <c r="N2498" i="5"/>
  <c r="J2497" i="5"/>
  <c r="N2501" i="5"/>
  <c r="K2500" i="5"/>
  <c r="J2495" i="5"/>
  <c r="K2589" i="5"/>
  <c r="N2585" i="5"/>
  <c r="F2588" i="5"/>
  <c r="M2584" i="5"/>
  <c r="M2590" i="5"/>
  <c r="I2585" i="5"/>
  <c r="G2591" i="5"/>
  <c r="F2585" i="5"/>
  <c r="K2585" i="5"/>
  <c r="G2585" i="5"/>
  <c r="I2586" i="5"/>
  <c r="J2426" i="5"/>
  <c r="F2422" i="5"/>
  <c r="I2424" i="5"/>
  <c r="F2420" i="5"/>
  <c r="D2424" i="5" a="1"/>
  <c r="G2420" i="5"/>
  <c r="N2424" i="5"/>
  <c r="N2426" i="5"/>
  <c r="M2421" i="5"/>
  <c r="J2419" i="5"/>
  <c r="G2426" i="5"/>
  <c r="N2421" i="5"/>
  <c r="M2508" i="5"/>
  <c r="G2513" i="5"/>
  <c r="G2517" i="5"/>
  <c r="F2514" i="5"/>
  <c r="D2518" i="5" a="1"/>
  <c r="J2517" i="5"/>
  <c r="F2515" i="5"/>
  <c r="K2513" i="5"/>
  <c r="K2515" i="5"/>
  <c r="J2508" i="5"/>
  <c r="M2515" i="5"/>
  <c r="K2510" i="5"/>
  <c r="K2349" i="5"/>
  <c r="M2345" i="5"/>
  <c r="M2349" i="5"/>
  <c r="N2345" i="5"/>
  <c r="M2347" i="5"/>
  <c r="I2348" i="5"/>
  <c r="I2352" i="5"/>
  <c r="N2347" i="5"/>
  <c r="K2343" i="5"/>
  <c r="G2346" i="5"/>
  <c r="M2343" i="5"/>
  <c r="K2347" i="5"/>
  <c r="F2364" i="5"/>
  <c r="F2360" i="5"/>
  <c r="J2367" i="5"/>
  <c r="K2362" i="5"/>
  <c r="K2363" i="5"/>
  <c r="G2366" i="5"/>
  <c r="M2367" i="5"/>
  <c r="G2364" i="5"/>
  <c r="I2360" i="5"/>
  <c r="F2363" i="5"/>
  <c r="M2359" i="5"/>
  <c r="I2366" i="5"/>
  <c r="N2358" i="5"/>
  <c r="I2359" i="5"/>
  <c r="N2440" i="5"/>
  <c r="F2433" i="5"/>
  <c r="G2440" i="5"/>
  <c r="J2436" i="5"/>
  <c r="G2433" i="5"/>
  <c r="K2442" i="5"/>
  <c r="J2434" i="5"/>
  <c r="N2436" i="5"/>
  <c r="J2439" i="5"/>
  <c r="F2436" i="5"/>
  <c r="I2454" i="5"/>
  <c r="G2450" i="5"/>
  <c r="F2455" i="5"/>
  <c r="I2457" i="5"/>
  <c r="M2452" i="5"/>
  <c r="J2448" i="5"/>
  <c r="F2451" i="5"/>
  <c r="K2448" i="5"/>
  <c r="J2454" i="5"/>
  <c r="M2450" i="5"/>
  <c r="G2457" i="5"/>
  <c r="G2453" i="5"/>
  <c r="N2449" i="5"/>
  <c r="F2524" i="5"/>
  <c r="I2531" i="5"/>
  <c r="J2527" i="5"/>
  <c r="J2528" i="5"/>
  <c r="D2531" i="5" a="1"/>
  <c r="K2526" i="5"/>
  <c r="F2531" i="5"/>
  <c r="M2532" i="5"/>
  <c r="F2532" i="5"/>
  <c r="G2526" i="5"/>
  <c r="M2523" i="5"/>
  <c r="I2635" i="5"/>
  <c r="I2633" i="5"/>
  <c r="N2632" i="5"/>
  <c r="D2633" i="5" a="1"/>
  <c r="N2637" i="5"/>
  <c r="G2632" i="5"/>
  <c r="J2635" i="5"/>
  <c r="K2631" i="5"/>
  <c r="J2633" i="5"/>
  <c r="K2636" i="5"/>
  <c r="J2632" i="5"/>
  <c r="G2600" i="5"/>
  <c r="N2604" i="5"/>
  <c r="K2605" i="5"/>
  <c r="K2606" i="5"/>
  <c r="G2602" i="5"/>
  <c r="N2599" i="5"/>
  <c r="F2602" i="5"/>
  <c r="F2607" i="5"/>
  <c r="I2605" i="5"/>
  <c r="D2605" i="5" s="1" a="1"/>
  <c r="F2601" i="5"/>
  <c r="K2600" i="5"/>
  <c r="G2697" i="5"/>
  <c r="F2694" i="5"/>
  <c r="J2697" i="5"/>
  <c r="F2695" i="5"/>
  <c r="K2693" i="5"/>
  <c r="K2695" i="5"/>
  <c r="J2688" i="5"/>
  <c r="M2695" i="5"/>
  <c r="K2690" i="5"/>
  <c r="N2697" i="5"/>
  <c r="F2698" i="5"/>
  <c r="M2693" i="5"/>
  <c r="N2695" i="5"/>
  <c r="F2689" i="5"/>
  <c r="M2711" i="5"/>
  <c r="I2707" i="5"/>
  <c r="N2709" i="5"/>
  <c r="J2705" i="5"/>
  <c r="I2703" i="5"/>
  <c r="G2709" i="5"/>
  <c r="K2704" i="5"/>
  <c r="J2711" i="5"/>
  <c r="G2707" i="5"/>
  <c r="N2708" i="5"/>
  <c r="N2710" i="5"/>
  <c r="F2703" i="5"/>
  <c r="G2710" i="5"/>
  <c r="J2706" i="5"/>
  <c r="G2703" i="5"/>
  <c r="F2721" i="5"/>
  <c r="N2726" i="5"/>
  <c r="N2720" i="5"/>
  <c r="M2722" i="5"/>
  <c r="K2719" i="5"/>
  <c r="G2725" i="5"/>
  <c r="I2726" i="5"/>
  <c r="F2727" i="5"/>
  <c r="J2723" i="5"/>
  <c r="I2725" i="5"/>
  <c r="D2725" i="5" s="1" a="1"/>
  <c r="M2720" i="5"/>
  <c r="M2652" i="5"/>
  <c r="F2652" i="5"/>
  <c r="I2644" i="5"/>
  <c r="M2643" i="5"/>
  <c r="G2648" i="5"/>
  <c r="G2652" i="5"/>
  <c r="F2649" i="5"/>
  <c r="D2653" i="5" a="1"/>
  <c r="J2652" i="5"/>
  <c r="F2650" i="5"/>
  <c r="K2648" i="5"/>
  <c r="K2650" i="5"/>
  <c r="J2643" i="5"/>
  <c r="I2800" i="5"/>
  <c r="M2798" i="5"/>
  <c r="N2801" i="5"/>
  <c r="M2796" i="5"/>
  <c r="I2794" i="5"/>
  <c r="G2798" i="5"/>
  <c r="N2793" i="5"/>
  <c r="F2799" i="5"/>
  <c r="M2801" i="5"/>
  <c r="F2794" i="5"/>
  <c r="J2799" i="5"/>
  <c r="N2798" i="5"/>
  <c r="J2800" i="5"/>
  <c r="G2795" i="5"/>
  <c r="I2801" i="5"/>
  <c r="N2795" i="5"/>
  <c r="J2666" i="5"/>
  <c r="G2662" i="5"/>
  <c r="N2663" i="5"/>
  <c r="N2665" i="5"/>
  <c r="F2658" i="5"/>
  <c r="G2665" i="5"/>
  <c r="J2661" i="5"/>
  <c r="G2658" i="5"/>
  <c r="K2667" i="5"/>
  <c r="J2659" i="5"/>
  <c r="N2661" i="5"/>
  <c r="G2682" i="5"/>
  <c r="G2678" i="5"/>
  <c r="N2674" i="5"/>
  <c r="M2681" i="5"/>
  <c r="I2677" i="5"/>
  <c r="J2678" i="5"/>
  <c r="J2680" i="5"/>
  <c r="K2676" i="5"/>
  <c r="I2680" i="5"/>
  <c r="I2678" i="5"/>
  <c r="N2677" i="5"/>
  <c r="D2678" i="5" a="1"/>
  <c r="N2682" i="5"/>
  <c r="G2677" i="5"/>
  <c r="F2786" i="5"/>
  <c r="I2780" i="5"/>
  <c r="N2784" i="5"/>
  <c r="H2780" i="5"/>
  <c r="M2780" i="5"/>
  <c r="I2785" i="5"/>
  <c r="K2778" i="5"/>
  <c r="F2778" i="5"/>
  <c r="J2782" i="5"/>
  <c r="J2739" i="5"/>
  <c r="M2735" i="5"/>
  <c r="M2736" i="5"/>
  <c r="F2740" i="5"/>
  <c r="I2734" i="5"/>
  <c r="M2737" i="5"/>
  <c r="F2734" i="5"/>
  <c r="G2740" i="5"/>
  <c r="I2736" i="5"/>
  <c r="M2742" i="5"/>
  <c r="G2734" i="5"/>
  <c r="G2738" i="5"/>
  <c r="J2738" i="5"/>
  <c r="J2816" i="5"/>
  <c r="M2808" i="5"/>
  <c r="M2815" i="5"/>
  <c r="N2811" i="5"/>
  <c r="K2809" i="5"/>
  <c r="I2815" i="5"/>
  <c r="J2813" i="5"/>
  <c r="K2817" i="5"/>
  <c r="M2814" i="5"/>
  <c r="F2809" i="5"/>
  <c r="N2814" i="5"/>
  <c r="G2809" i="5"/>
  <c r="F2815" i="5"/>
  <c r="F2808" i="5"/>
  <c r="G2755" i="5"/>
  <c r="N2755" i="5"/>
  <c r="F2748" i="5"/>
  <c r="M2751" i="5"/>
  <c r="M2757" i="5"/>
  <c r="N2751" i="5"/>
  <c r="N2757" i="5"/>
  <c r="G2751" i="5"/>
  <c r="G2748" i="5"/>
  <c r="F2752" i="5"/>
  <c r="G2752" i="5"/>
  <c r="I2750" i="5"/>
  <c r="N2771" i="5"/>
  <c r="I2766" i="5"/>
  <c r="G2763" i="5"/>
  <c r="F2763" i="5"/>
  <c r="J2764" i="5"/>
  <c r="G2768" i="5"/>
  <c r="N2763" i="5"/>
  <c r="F2772" i="5"/>
  <c r="J2763" i="5"/>
  <c r="I2763" i="5"/>
  <c r="F2771" i="5"/>
  <c r="D2763" i="5"/>
  <c r="M2847" i="5"/>
  <c r="I2844" i="5"/>
  <c r="F2840" i="5"/>
  <c r="K2841" i="5"/>
  <c r="J2839" i="5"/>
  <c r="N2846" i="5"/>
  <c r="N2841" i="5"/>
  <c r="H2844" i="5"/>
  <c r="I2847" i="5"/>
  <c r="F2839" i="5"/>
  <c r="J2904" i="5"/>
  <c r="M2900" i="5"/>
  <c r="F2902" i="5"/>
  <c r="G2898" i="5"/>
  <c r="N2902" i="5"/>
  <c r="N2899" i="5"/>
  <c r="K2901" i="5"/>
  <c r="G2907" i="5"/>
  <c r="I2898" i="5"/>
  <c r="F2904" i="5"/>
  <c r="J2899" i="5"/>
  <c r="M2905" i="5"/>
  <c r="G2900" i="5"/>
  <c r="G2951" i="5"/>
  <c r="M2946" i="5"/>
  <c r="F2950" i="5"/>
  <c r="M2950" i="5"/>
  <c r="N2948" i="5"/>
  <c r="F2952" i="5"/>
  <c r="F2944" i="5"/>
  <c r="J2949" i="5"/>
  <c r="M2944" i="5"/>
  <c r="K2949" i="5"/>
  <c r="N2944" i="5"/>
  <c r="F2948" i="5"/>
  <c r="K2959" i="5"/>
  <c r="N2966" i="5"/>
  <c r="M2961" i="5"/>
  <c r="J2959" i="5"/>
  <c r="G2959" i="5"/>
  <c r="K2964" i="5"/>
  <c r="G2958" i="5"/>
  <c r="N2967" i="5"/>
  <c r="F2962" i="5"/>
  <c r="K2961" i="5"/>
  <c r="N2861" i="5"/>
  <c r="N2859" i="5"/>
  <c r="N2854" i="5"/>
  <c r="M2856" i="5"/>
  <c r="I2853" i="5"/>
  <c r="J2859" i="5"/>
  <c r="J2854" i="5"/>
  <c r="K2859" i="5"/>
  <c r="F2855" i="5"/>
  <c r="I2862" i="5"/>
  <c r="K2862" i="5"/>
  <c r="G2853" i="5"/>
  <c r="N2876" i="5"/>
  <c r="M2871" i="5"/>
  <c r="J2869" i="5"/>
  <c r="N2875" i="5"/>
  <c r="J2871" i="5"/>
  <c r="N2873" i="5"/>
  <c r="I2875" i="5"/>
  <c r="M2875" i="5"/>
  <c r="F2870" i="5"/>
  <c r="F2875" i="5"/>
  <c r="F2868" i="5"/>
  <c r="F2872" i="5"/>
  <c r="G2868" i="5"/>
  <c r="G2889" i="5"/>
  <c r="K2884" i="5"/>
  <c r="N2890" i="5"/>
  <c r="J2886" i="5"/>
  <c r="I2886" i="5"/>
  <c r="I2883" i="5"/>
  <c r="G2888" i="5"/>
  <c r="J2888" i="5"/>
  <c r="K2890" i="5"/>
  <c r="F2886" i="5"/>
  <c r="F2883" i="5"/>
  <c r="F2890" i="5"/>
  <c r="I2888" i="5"/>
  <c r="K2931" i="5"/>
  <c r="G2935" i="5"/>
  <c r="J2931" i="5"/>
  <c r="G2928" i="5"/>
  <c r="M2932" i="5"/>
  <c r="J2928" i="5"/>
  <c r="M2933" i="5"/>
  <c r="K2935" i="5"/>
  <c r="K2936" i="5"/>
  <c r="M2930" i="5"/>
  <c r="J2929" i="5"/>
  <c r="G2933" i="5"/>
  <c r="K2831" i="5"/>
  <c r="G2827" i="5"/>
  <c r="N2824" i="5"/>
  <c r="J2831" i="5"/>
  <c r="F2827" i="5"/>
  <c r="F2830" i="5"/>
  <c r="I2832" i="5"/>
  <c r="G2825" i="5"/>
  <c r="G2830" i="5"/>
  <c r="K2823" i="5"/>
  <c r="I2825" i="5"/>
  <c r="I2830" i="5"/>
  <c r="K2828" i="5"/>
  <c r="F2829" i="5"/>
  <c r="N2823" i="5"/>
  <c r="G2977" i="5"/>
  <c r="N2978" i="5"/>
  <c r="M2981" i="5"/>
  <c r="N2976" i="5"/>
  <c r="F2974" i="5"/>
  <c r="I2979" i="5"/>
  <c r="G2974" i="5"/>
  <c r="F2980" i="5"/>
  <c r="J2977" i="5"/>
  <c r="G2973" i="5"/>
  <c r="J2975" i="5"/>
  <c r="G2915" i="5"/>
  <c r="G2918" i="5"/>
  <c r="I2922" i="5"/>
  <c r="K2920" i="5"/>
  <c r="M2914" i="5"/>
  <c r="M2920" i="5"/>
  <c r="J2918" i="5"/>
  <c r="G2921" i="5"/>
  <c r="D2923" i="5" a="1"/>
  <c r="I2918" i="5"/>
  <c r="D2918" i="5" s="1" a="1"/>
  <c r="F3008" i="5"/>
  <c r="M3004" i="5"/>
  <c r="M3010" i="5"/>
  <c r="G3006" i="5"/>
  <c r="K3012" i="5"/>
  <c r="N3007" i="5"/>
  <c r="N3003" i="5"/>
  <c r="G3009" i="5"/>
  <c r="F3009" i="5"/>
  <c r="J3004" i="5"/>
  <c r="N3011" i="5"/>
  <c r="I3003" i="5"/>
  <c r="J3084" i="5"/>
  <c r="M3080" i="5"/>
  <c r="K3080" i="5"/>
  <c r="I3078" i="5"/>
  <c r="M3086" i="5"/>
  <c r="J3079" i="5"/>
  <c r="H3078" i="5"/>
  <c r="F3084" i="5"/>
  <c r="J3078" i="5"/>
  <c r="I3082" i="5"/>
  <c r="H3082" i="5" s="1"/>
  <c r="J3144" i="5"/>
  <c r="M3140" i="5"/>
  <c r="M3146" i="5"/>
  <c r="G3144" i="5"/>
  <c r="I3145" i="5"/>
  <c r="G3138" i="5"/>
  <c r="K3145" i="5"/>
  <c r="G3141" i="5"/>
  <c r="I3144" i="5"/>
  <c r="K3138" i="5"/>
  <c r="N3141" i="5"/>
  <c r="N3206" i="5"/>
  <c r="M3201" i="5"/>
  <c r="I3199" i="5"/>
  <c r="N3205" i="5"/>
  <c r="J3201" i="5"/>
  <c r="K3206" i="5"/>
  <c r="I3201" i="5"/>
  <c r="J3202" i="5"/>
  <c r="I3205" i="5"/>
  <c r="F3201" i="5"/>
  <c r="D3205" i="5" a="1"/>
  <c r="J3207" i="5"/>
  <c r="F3202" i="5"/>
  <c r="N3198" i="5"/>
  <c r="J3203" i="5"/>
  <c r="K3199" i="5"/>
  <c r="F3198" i="5"/>
  <c r="F3056" i="5"/>
  <c r="J3057" i="5"/>
  <c r="F3055" i="5"/>
  <c r="K3053" i="5"/>
  <c r="I3054" i="5"/>
  <c r="J3049" i="5"/>
  <c r="F3053" i="5"/>
  <c r="I3049" i="5"/>
  <c r="K3054" i="5"/>
  <c r="I3050" i="5"/>
  <c r="H3054" i="5"/>
  <c r="N3049" i="5"/>
  <c r="G3055" i="5"/>
  <c r="N3053" i="5"/>
  <c r="N3066" i="5"/>
  <c r="M3067" i="5"/>
  <c r="I3068" i="5"/>
  <c r="G3072" i="5"/>
  <c r="J3066" i="5"/>
  <c r="G3067" i="5"/>
  <c r="F3070" i="5"/>
  <c r="M3069" i="5"/>
  <c r="J3068" i="5"/>
  <c r="G3068" i="5"/>
  <c r="N3063" i="5"/>
  <c r="M2997" i="5"/>
  <c r="G2994" i="5"/>
  <c r="I2990" i="5"/>
  <c r="M2992" i="5"/>
  <c r="F2994" i="5"/>
  <c r="J2989" i="5"/>
  <c r="F2997" i="5"/>
  <c r="J2988" i="5"/>
  <c r="J2990" i="5"/>
  <c r="G2995" i="5"/>
  <c r="M2989" i="5"/>
  <c r="J2995" i="5"/>
  <c r="G2997" i="5"/>
  <c r="J3193" i="5"/>
  <c r="N3189" i="5"/>
  <c r="J3191" i="5"/>
  <c r="G3187" i="5"/>
  <c r="N3183" i="5"/>
  <c r="F3191" i="5"/>
  <c r="M3184" i="5"/>
  <c r="F3189" i="5"/>
  <c r="M3191" i="5"/>
  <c r="I3193" i="5"/>
  <c r="N3186" i="5"/>
  <c r="G3191" i="5"/>
  <c r="F3193" i="5"/>
  <c r="G3185" i="5"/>
  <c r="K3026" i="5"/>
  <c r="N3018" i="5"/>
  <c r="J3024" i="5"/>
  <c r="F3020" i="5"/>
  <c r="N3026" i="5"/>
  <c r="G3021" i="5"/>
  <c r="G3025" i="5"/>
  <c r="J3026" i="5"/>
  <c r="J3020" i="5"/>
  <c r="J3022" i="5"/>
  <c r="K3023" i="5"/>
  <c r="M3018" i="5"/>
  <c r="I3036" i="5"/>
  <c r="G3033" i="5"/>
  <c r="J3039" i="5"/>
  <c r="J3034" i="5"/>
  <c r="K3039" i="5"/>
  <c r="I3042" i="5"/>
  <c r="K3042" i="5"/>
  <c r="G3037" i="5"/>
  <c r="F3034" i="5"/>
  <c r="N3039" i="5"/>
  <c r="N3034" i="5"/>
  <c r="M3114" i="5"/>
  <c r="N3110" i="5"/>
  <c r="F3109" i="5"/>
  <c r="G3114" i="5"/>
  <c r="N3117" i="5"/>
  <c r="F3112" i="5"/>
  <c r="J3117" i="5"/>
  <c r="G3110" i="5"/>
  <c r="J3116" i="5"/>
  <c r="F3111" i="5"/>
  <c r="I3117" i="5"/>
  <c r="N3111" i="5"/>
  <c r="J3109" i="5"/>
  <c r="N3132" i="5"/>
  <c r="J3127" i="5"/>
  <c r="F3128" i="5"/>
  <c r="M3130" i="5"/>
  <c r="N3128" i="5"/>
  <c r="N3129" i="5"/>
  <c r="I3123" i="5"/>
  <c r="G3127" i="5"/>
  <c r="J3132" i="5"/>
  <c r="F3126" i="5"/>
  <c r="N3217" i="5"/>
  <c r="I3222" i="5"/>
  <c r="D3222" i="5" s="1" a="1"/>
  <c r="K3222" i="5"/>
  <c r="J3216" i="5"/>
  <c r="F3222" i="5"/>
  <c r="J3218" i="5"/>
  <c r="J3219" i="5"/>
  <c r="K3220" i="5"/>
  <c r="F3215" i="5"/>
  <c r="J3222" i="5"/>
  <c r="N3213" i="5"/>
  <c r="J3234" i="5"/>
  <c r="M3230" i="5"/>
  <c r="N3236" i="5"/>
  <c r="K3237" i="5"/>
  <c r="N3232" i="5"/>
  <c r="N3228" i="5"/>
  <c r="J3230" i="5"/>
  <c r="M3236" i="5"/>
  <c r="F3234" i="5"/>
  <c r="J3229" i="5"/>
  <c r="K3234" i="5"/>
  <c r="G3230" i="5"/>
  <c r="K3310" i="5"/>
  <c r="J3305" i="5"/>
  <c r="N3312" i="5"/>
  <c r="G3308" i="5"/>
  <c r="J3308" i="5"/>
  <c r="J3309" i="5"/>
  <c r="M3310" i="5"/>
  <c r="N3305" i="5"/>
  <c r="I3311" i="5"/>
  <c r="J3306" i="5"/>
  <c r="J3311" i="5"/>
  <c r="M3308" i="5"/>
  <c r="K3101" i="5"/>
  <c r="G3097" i="5"/>
  <c r="N3094" i="5"/>
  <c r="M3093" i="5"/>
  <c r="J3102" i="5"/>
  <c r="M3099" i="5"/>
  <c r="J3098" i="5"/>
  <c r="M3100" i="5"/>
  <c r="G3100" i="5"/>
  <c r="G3101" i="5"/>
  <c r="K3094" i="5"/>
  <c r="N3160" i="5"/>
  <c r="F3153" i="5"/>
  <c r="G3159" i="5"/>
  <c r="I3155" i="5"/>
  <c r="J3161" i="5"/>
  <c r="J3155" i="5"/>
  <c r="I3159" i="5"/>
  <c r="D3155" i="5" a="1"/>
  <c r="M3160" i="5"/>
  <c r="M3158" i="5"/>
  <c r="F3159" i="5"/>
  <c r="I3160" i="5"/>
  <c r="J3154" i="5"/>
  <c r="I3174" i="5"/>
  <c r="G3170" i="5"/>
  <c r="F3173" i="5"/>
  <c r="K3177" i="5"/>
  <c r="G3172" i="5"/>
  <c r="F3169" i="5"/>
  <c r="G3173" i="5"/>
  <c r="G3177" i="5"/>
  <c r="M3170" i="5"/>
  <c r="M3172" i="5"/>
  <c r="H3174" i="5"/>
  <c r="I3169" i="5"/>
  <c r="F3176" i="5"/>
  <c r="I3249" i="5"/>
  <c r="G3248" i="5"/>
  <c r="N3244" i="5"/>
  <c r="I3250" i="5"/>
  <c r="G3245" i="5"/>
  <c r="G3249" i="5"/>
  <c r="H3249" i="5"/>
  <c r="J3248" i="5"/>
  <c r="F3250" i="5"/>
  <c r="I3244" i="5"/>
  <c r="F3251" i="5"/>
  <c r="D3244" i="5"/>
  <c r="N3266" i="5"/>
  <c r="I3265" i="5"/>
  <c r="I3263" i="5"/>
  <c r="F3262" i="5"/>
  <c r="M3263" i="5"/>
  <c r="M3266" i="5"/>
  <c r="I3262" i="5"/>
  <c r="D3262" i="5" s="1" a="1"/>
  <c r="J3263" i="5"/>
  <c r="H3263" i="5"/>
  <c r="G3263" i="5"/>
  <c r="G3262" i="5"/>
  <c r="K3264" i="5"/>
  <c r="N3357" i="5"/>
  <c r="G3352" i="5"/>
  <c r="I3355" i="5"/>
  <c r="K3350" i="5"/>
  <c r="N3351" i="5"/>
  <c r="J3357" i="5"/>
  <c r="F3352" i="5"/>
  <c r="J3348" i="5"/>
  <c r="I3352" i="5"/>
  <c r="H3352" i="5" s="1"/>
  <c r="N3356" i="5"/>
  <c r="J3353" i="5"/>
  <c r="I3413" i="5"/>
  <c r="J3416" i="5"/>
  <c r="F3417" i="5"/>
  <c r="M3413" i="5"/>
  <c r="M3415" i="5"/>
  <c r="I3409" i="5"/>
  <c r="M3417" i="5"/>
  <c r="K3411" i="5"/>
  <c r="N3415" i="5"/>
  <c r="N3416" i="5"/>
  <c r="G3410" i="5"/>
  <c r="I3325" i="5"/>
  <c r="I3318" i="5"/>
  <c r="J3322" i="5"/>
  <c r="F3324" i="5"/>
  <c r="K3323" i="5"/>
  <c r="D3325" i="5" a="1"/>
  <c r="G3321" i="5"/>
  <c r="N3326" i="5"/>
  <c r="N3320" i="5"/>
  <c r="N3325" i="5"/>
  <c r="J3321" i="5"/>
  <c r="H3318" i="5"/>
  <c r="F3338" i="5"/>
  <c r="I3335" i="5"/>
  <c r="I3342" i="5"/>
  <c r="D3342" i="5" s="1" a="1"/>
  <c r="I3336" i="5"/>
  <c r="M3342" i="5"/>
  <c r="J3337" i="5"/>
  <c r="F3339" i="5"/>
  <c r="K3333" i="5"/>
  <c r="I3339" i="5"/>
  <c r="J3334" i="5"/>
  <c r="G3341" i="5"/>
  <c r="G3335" i="5"/>
  <c r="K3342" i="5"/>
  <c r="N3337" i="5"/>
  <c r="F3334" i="5"/>
  <c r="M3399" i="5"/>
  <c r="F3398" i="5"/>
  <c r="J3393" i="5"/>
  <c r="I3397" i="5"/>
  <c r="N3402" i="5"/>
  <c r="G3401" i="5"/>
  <c r="I1542" i="5"/>
  <c r="H1542" i="5" s="1"/>
  <c r="M1537" i="5"/>
  <c r="J1533" i="5"/>
  <c r="F1536" i="5"/>
  <c r="K1533" i="5"/>
  <c r="G1616" i="5"/>
  <c r="K1610" i="5"/>
  <c r="N1617" i="5"/>
  <c r="H1612" i="5"/>
  <c r="F1609" i="5"/>
  <c r="I1616" i="5"/>
  <c r="H1616" i="5" s="1"/>
  <c r="J1612" i="5"/>
  <c r="J1613" i="5"/>
  <c r="D1616" i="5" a="1"/>
  <c r="K1611" i="5"/>
  <c r="H1608" i="5"/>
  <c r="F1616" i="5"/>
  <c r="N1633" i="5"/>
  <c r="F1628" i="5"/>
  <c r="M1624" i="5"/>
  <c r="I1631" i="5"/>
  <c r="N1623" i="5"/>
  <c r="I1626" i="5"/>
  <c r="D1626" i="5" s="1" a="1"/>
  <c r="G1623" i="5"/>
  <c r="K1632" i="5"/>
  <c r="F1631" i="5"/>
  <c r="I1624" i="5"/>
  <c r="M1630" i="5"/>
  <c r="N1626" i="5"/>
  <c r="K1624" i="5"/>
  <c r="N1701" i="5"/>
  <c r="J1704" i="5"/>
  <c r="F1701" i="5"/>
  <c r="G1703" i="5"/>
  <c r="N1699" i="5"/>
  <c r="G1707" i="5"/>
  <c r="F1704" i="5"/>
  <c r="D1708" i="5" a="1"/>
  <c r="M1706" i="5"/>
  <c r="I1702" i="5"/>
  <c r="N1704" i="5"/>
  <c r="J1700" i="5"/>
  <c r="I1698" i="5"/>
  <c r="D1698" i="5" s="1"/>
  <c r="F1722" i="5"/>
  <c r="K1721" i="5"/>
  <c r="H1717" i="5"/>
  <c r="F1714" i="5"/>
  <c r="J1716" i="5"/>
  <c r="G1714" i="5"/>
  <c r="M1719" i="5"/>
  <c r="N1719" i="5"/>
  <c r="J1714" i="5"/>
  <c r="F1717" i="5"/>
  <c r="M1718" i="5"/>
  <c r="K1796" i="5"/>
  <c r="M1796" i="5"/>
  <c r="K1795" i="5"/>
  <c r="G1796" i="5"/>
  <c r="J1796" i="5"/>
  <c r="F1797" i="5"/>
  <c r="D1789" i="5"/>
  <c r="G1791" i="5"/>
  <c r="M1788" i="5"/>
  <c r="N1788" i="5"/>
  <c r="G1789" i="5"/>
  <c r="K1791" i="5"/>
  <c r="J1788" i="5"/>
  <c r="I1554" i="5"/>
  <c r="F1550" i="5"/>
  <c r="D1554" i="5" a="1"/>
  <c r="G1550" i="5"/>
  <c r="N1554" i="5"/>
  <c r="N1556" i="5"/>
  <c r="M1551" i="5"/>
  <c r="J1549" i="5"/>
  <c r="G1556" i="5"/>
  <c r="N1551" i="5"/>
  <c r="J1554" i="5"/>
  <c r="M1550" i="5"/>
  <c r="G1643" i="5"/>
  <c r="G1647" i="5"/>
  <c r="F1644" i="5"/>
  <c r="D1648" i="5" a="1"/>
  <c r="J1647" i="5"/>
  <c r="F1645" i="5"/>
  <c r="K1643" i="5"/>
  <c r="K1645" i="5"/>
  <c r="J1638" i="5"/>
  <c r="M1645" i="5"/>
  <c r="K1640" i="5"/>
  <c r="N1647" i="5"/>
  <c r="M1643" i="5"/>
  <c r="N1733" i="5"/>
  <c r="M1736" i="5"/>
  <c r="J1732" i="5"/>
  <c r="J1733" i="5"/>
  <c r="K1732" i="5"/>
  <c r="G1734" i="5"/>
  <c r="J1730" i="5"/>
  <c r="I1728" i="5"/>
  <c r="I1735" i="5"/>
  <c r="F1733" i="5"/>
  <c r="M1729" i="5"/>
  <c r="I1822" i="5"/>
  <c r="H1818" i="5"/>
  <c r="F1826" i="5"/>
  <c r="I1820" i="5"/>
  <c r="D1820" i="5" s="1" a="1"/>
  <c r="K1819" i="5"/>
  <c r="F1823" i="5"/>
  <c r="M1819" i="5"/>
  <c r="I1824" i="5"/>
  <c r="H1824" i="5" s="1"/>
  <c r="F1820" i="5"/>
  <c r="D1824" i="5" a="1"/>
  <c r="G1820" i="5"/>
  <c r="I1881" i="5"/>
  <c r="K1887" i="5"/>
  <c r="I1883" i="5"/>
  <c r="I1887" i="5"/>
  <c r="N1882" i="5"/>
  <c r="K1878" i="5"/>
  <c r="F1881" i="5"/>
  <c r="N1888" i="5"/>
  <c r="N1883" i="5"/>
  <c r="M1886" i="5"/>
  <c r="J1882" i="5"/>
  <c r="J1883" i="5"/>
  <c r="J1978" i="5"/>
  <c r="N1974" i="5"/>
  <c r="N1976" i="5"/>
  <c r="M1971" i="5"/>
  <c r="J1969" i="5"/>
  <c r="G1976" i="5"/>
  <c r="N1971" i="5"/>
  <c r="J1974" i="5"/>
  <c r="M1970" i="5"/>
  <c r="K1976" i="5"/>
  <c r="G1972" i="5"/>
  <c r="N1969" i="5"/>
  <c r="I1976" i="5"/>
  <c r="G1969" i="5"/>
  <c r="G2067" i="5"/>
  <c r="F2064" i="5"/>
  <c r="M2062" i="5"/>
  <c r="M2065" i="5"/>
  <c r="F2063" i="5"/>
  <c r="I2064" i="5"/>
  <c r="D2064" i="5" s="1" a="1"/>
  <c r="I2061" i="5"/>
  <c r="D2061" i="5" a="1"/>
  <c r="J2058" i="5"/>
  <c r="I2059" i="5"/>
  <c r="M2063" i="5"/>
  <c r="F2060" i="5"/>
  <c r="J2061" i="5"/>
  <c r="N2058" i="5"/>
  <c r="N1901" i="5"/>
  <c r="M1896" i="5"/>
  <c r="I1894" i="5"/>
  <c r="H1894" i="5" s="1"/>
  <c r="G1901" i="5"/>
  <c r="K1895" i="5"/>
  <c r="N1902" i="5"/>
  <c r="H1897" i="5"/>
  <c r="F1894" i="5"/>
  <c r="I1901" i="5"/>
  <c r="H1901" i="5" s="1"/>
  <c r="J1897" i="5"/>
  <c r="J1898" i="5"/>
  <c r="D1901" i="5" a="1"/>
  <c r="K1896" i="5"/>
  <c r="F1911" i="5"/>
  <c r="K1908" i="5"/>
  <c r="J1914" i="5"/>
  <c r="M1910" i="5"/>
  <c r="G1917" i="5"/>
  <c r="G1913" i="5"/>
  <c r="N1909" i="5"/>
  <c r="M1916" i="5"/>
  <c r="I1912" i="5"/>
  <c r="D1912" i="5" s="1" a="1"/>
  <c r="J1913" i="5"/>
  <c r="J1915" i="5"/>
  <c r="K1911" i="5"/>
  <c r="I1915" i="5"/>
  <c r="D1915" i="5" s="1" a="1"/>
  <c r="I1913" i="5"/>
  <c r="K1992" i="5"/>
  <c r="J1984" i="5"/>
  <c r="N1986" i="5"/>
  <c r="J1989" i="5"/>
  <c r="F1986" i="5"/>
  <c r="G1988" i="5"/>
  <c r="N1984" i="5"/>
  <c r="G1992" i="5"/>
  <c r="F1989" i="5"/>
  <c r="D1993" i="5" a="1"/>
  <c r="M1991" i="5"/>
  <c r="I1987" i="5"/>
  <c r="D1987" i="5" s="1" a="1"/>
  <c r="M2005" i="5"/>
  <c r="N2001" i="5"/>
  <c r="K1999" i="5"/>
  <c r="N2005" i="5"/>
  <c r="G2001" i="5"/>
  <c r="N2003" i="5"/>
  <c r="J2002" i="5"/>
  <c r="N2006" i="5"/>
  <c r="K2005" i="5"/>
  <c r="J2000" i="5"/>
  <c r="J1839" i="5"/>
  <c r="M1835" i="5"/>
  <c r="K1841" i="5"/>
  <c r="G1837" i="5"/>
  <c r="N1834" i="5"/>
  <c r="I1841" i="5"/>
  <c r="G1834" i="5"/>
  <c r="D1841" i="5" a="1"/>
  <c r="I1837" i="5"/>
  <c r="H1837" i="5" s="1"/>
  <c r="H1833" i="5"/>
  <c r="F1841" i="5"/>
  <c r="I1835" i="5"/>
  <c r="D1835" i="5" s="1" a="1"/>
  <c r="K1834" i="5"/>
  <c r="N1932" i="5"/>
  <c r="M1928" i="5"/>
  <c r="N1930" i="5"/>
  <c r="F1924" i="5"/>
  <c r="G1930" i="5"/>
  <c r="J1926" i="5"/>
  <c r="N1923" i="5"/>
  <c r="J1930" i="5"/>
  <c r="K1926" i="5"/>
  <c r="M1927" i="5"/>
  <c r="M1932" i="5"/>
  <c r="F1932" i="5"/>
  <c r="I1924" i="5"/>
  <c r="F2018" i="5"/>
  <c r="M2014" i="5"/>
  <c r="K2019" i="5"/>
  <c r="G2016" i="5"/>
  <c r="F2013" i="5"/>
  <c r="M2019" i="5"/>
  <c r="N2015" i="5"/>
  <c r="G2013" i="5"/>
  <c r="I2016" i="5"/>
  <c r="H2016" i="5" s="1"/>
  <c r="K2022" i="5"/>
  <c r="I2018" i="5"/>
  <c r="D2018" i="5" s="1" a="1"/>
  <c r="I2022" i="5"/>
  <c r="D2022" i="5" s="1" a="1"/>
  <c r="N2017" i="5"/>
  <c r="K2013" i="5"/>
  <c r="F1809" i="5"/>
  <c r="F1805" i="5"/>
  <c r="J1812" i="5"/>
  <c r="K1807" i="5"/>
  <c r="K1808" i="5"/>
  <c r="K1810" i="5"/>
  <c r="J1805" i="5"/>
  <c r="M1812" i="5"/>
  <c r="G1809" i="5"/>
  <c r="I1805" i="5"/>
  <c r="D1805" i="5" s="1" a="1"/>
  <c r="F1808" i="5"/>
  <c r="M1804" i="5"/>
  <c r="I1811" i="5"/>
  <c r="N1803" i="5"/>
  <c r="H1852" i="5"/>
  <c r="F1849" i="5"/>
  <c r="I1856" i="5"/>
  <c r="J1852" i="5"/>
  <c r="J1853" i="5"/>
  <c r="D1856" i="5" a="1"/>
  <c r="K1851" i="5"/>
  <c r="H1848" i="5"/>
  <c r="F1856" i="5"/>
  <c r="M1857" i="5"/>
  <c r="F1857" i="5"/>
  <c r="M1855" i="5"/>
  <c r="F1852" i="5"/>
  <c r="M1849" i="5"/>
  <c r="J1866" i="5"/>
  <c r="G1864" i="5"/>
  <c r="M1869" i="5"/>
  <c r="N1869" i="5"/>
  <c r="J1864" i="5"/>
  <c r="F1867" i="5"/>
  <c r="M1868" i="5"/>
  <c r="J1871" i="5"/>
  <c r="H1868" i="5"/>
  <c r="M1863" i="5"/>
  <c r="K1869" i="5"/>
  <c r="N1865" i="5"/>
  <c r="G1943" i="5"/>
  <c r="N1939" i="5"/>
  <c r="G1947" i="5"/>
  <c r="F1944" i="5"/>
  <c r="D1948" i="5" a="1"/>
  <c r="M1946" i="5"/>
  <c r="I1942" i="5"/>
  <c r="N1944" i="5"/>
  <c r="J1940" i="5"/>
  <c r="I1938" i="5"/>
  <c r="G1944" i="5"/>
  <c r="K1939" i="5"/>
  <c r="J1946" i="5"/>
  <c r="G1942" i="5"/>
  <c r="N1943" i="5"/>
  <c r="M1961" i="5"/>
  <c r="I1957" i="5"/>
  <c r="D1957" i="5" s="1" a="1"/>
  <c r="J1958" i="5"/>
  <c r="J1960" i="5"/>
  <c r="K1956" i="5"/>
  <c r="I1960" i="5"/>
  <c r="I1958" i="5"/>
  <c r="N1957" i="5"/>
  <c r="D1958" i="5" a="1"/>
  <c r="N1962" i="5"/>
  <c r="G1957" i="5"/>
  <c r="G1960" i="5"/>
  <c r="F1953" i="5"/>
  <c r="I2034" i="5"/>
  <c r="H2034" i="5" s="1"/>
  <c r="F2030" i="5"/>
  <c r="J2037" i="5"/>
  <c r="K2032" i="5"/>
  <c r="K2033" i="5"/>
  <c r="K2035" i="5"/>
  <c r="J2028" i="5"/>
  <c r="I2035" i="5"/>
  <c r="M2033" i="5"/>
  <c r="F2033" i="5"/>
  <c r="I2030" i="5"/>
  <c r="D2030" i="5" s="1" a="1"/>
  <c r="J2047" i="5"/>
  <c r="N2051" i="5"/>
  <c r="K2050" i="5"/>
  <c r="J2045" i="5"/>
  <c r="M2052" i="5"/>
  <c r="G2049" i="5"/>
  <c r="I2045" i="5"/>
  <c r="D2045" i="5" s="1" a="1"/>
  <c r="F2048" i="5"/>
  <c r="M2044" i="5"/>
  <c r="I2051" i="5"/>
  <c r="N2043" i="5"/>
  <c r="M2154" i="5"/>
  <c r="N2150" i="5"/>
  <c r="G2148" i="5"/>
  <c r="I2151" i="5"/>
  <c r="K2157" i="5"/>
  <c r="I2153" i="5"/>
  <c r="I2157" i="5"/>
  <c r="N2152" i="5"/>
  <c r="K2148" i="5"/>
  <c r="F2151" i="5"/>
  <c r="N2153" i="5"/>
  <c r="G2240" i="5"/>
  <c r="N2244" i="5"/>
  <c r="N2246" i="5"/>
  <c r="M2241" i="5"/>
  <c r="J2239" i="5"/>
  <c r="G2246" i="5"/>
  <c r="N2241" i="5"/>
  <c r="J2244" i="5"/>
  <c r="M2240" i="5"/>
  <c r="K2246" i="5"/>
  <c r="G2242" i="5"/>
  <c r="N2239" i="5"/>
  <c r="J2082" i="5"/>
  <c r="K2077" i="5"/>
  <c r="K2078" i="5"/>
  <c r="K2080" i="5"/>
  <c r="J2073" i="5"/>
  <c r="I2080" i="5"/>
  <c r="M2078" i="5"/>
  <c r="F2078" i="5"/>
  <c r="I2075" i="5"/>
  <c r="D2075" i="5" s="1" a="1"/>
  <c r="K2081" i="5"/>
  <c r="N2073" i="5"/>
  <c r="H2080" i="5"/>
  <c r="G2074" i="5"/>
  <c r="K2095" i="5"/>
  <c r="J2090" i="5"/>
  <c r="M2097" i="5"/>
  <c r="G2094" i="5"/>
  <c r="I2090" i="5"/>
  <c r="D2090" i="5" s="1" a="1"/>
  <c r="F2093" i="5"/>
  <c r="M2089" i="5"/>
  <c r="I2096" i="5"/>
  <c r="D2096" i="5" s="1" a="1"/>
  <c r="N2088" i="5"/>
  <c r="I2091" i="5"/>
  <c r="D2091" i="5" s="1" a="1"/>
  <c r="G2088" i="5"/>
  <c r="H2090" i="5"/>
  <c r="F2170" i="5"/>
  <c r="G2165" i="5"/>
  <c r="N2171" i="5"/>
  <c r="M2166" i="5"/>
  <c r="I2164" i="5"/>
  <c r="G2171" i="5"/>
  <c r="K2165" i="5"/>
  <c r="N2172" i="5"/>
  <c r="F2164" i="5"/>
  <c r="I2171" i="5"/>
  <c r="H2171" i="5" s="1"/>
  <c r="J2167" i="5"/>
  <c r="J2168" i="5"/>
  <c r="G2186" i="5"/>
  <c r="M2181" i="5"/>
  <c r="K2180" i="5"/>
  <c r="I2178" i="5"/>
  <c r="H2178" i="5" s="1"/>
  <c r="F2187" i="5"/>
  <c r="K2186" i="5"/>
  <c r="H2182" i="5"/>
  <c r="F2179" i="5"/>
  <c r="J2181" i="5"/>
  <c r="G2179" i="5"/>
  <c r="M2184" i="5"/>
  <c r="D2259" i="5" a="1"/>
  <c r="K2262" i="5"/>
  <c r="J2254" i="5"/>
  <c r="N2256" i="5"/>
  <c r="J2259" i="5"/>
  <c r="F2256" i="5"/>
  <c r="G2258" i="5"/>
  <c r="N2254" i="5"/>
  <c r="G2262" i="5"/>
  <c r="F2259" i="5"/>
  <c r="D2263" i="5" a="1"/>
  <c r="I2277" i="5"/>
  <c r="H2277" i="5" s="1"/>
  <c r="M2272" i="5"/>
  <c r="J2268" i="5"/>
  <c r="F2271" i="5"/>
  <c r="K2268" i="5"/>
  <c r="J2274" i="5"/>
  <c r="M2270" i="5"/>
  <c r="G2277" i="5"/>
  <c r="G2273" i="5"/>
  <c r="N2269" i="5"/>
  <c r="M2276" i="5"/>
  <c r="I2272" i="5"/>
  <c r="D2272" i="5" s="1" a="1"/>
  <c r="J2273" i="5"/>
  <c r="J2275" i="5"/>
  <c r="K2271" i="5"/>
  <c r="F2331" i="5"/>
  <c r="N2333" i="5"/>
  <c r="I2331" i="5"/>
  <c r="K2337" i="5"/>
  <c r="I2333" i="5"/>
  <c r="I2337" i="5"/>
  <c r="N2332" i="5"/>
  <c r="K2328" i="5"/>
  <c r="F2328" i="5"/>
  <c r="K2104" i="5"/>
  <c r="J2111" i="5"/>
  <c r="F2107" i="5"/>
  <c r="I2109" i="5"/>
  <c r="H2109" i="5" s="1"/>
  <c r="F2105" i="5"/>
  <c r="D2109" i="5" a="1"/>
  <c r="G2105" i="5"/>
  <c r="N2109" i="5"/>
  <c r="N2111" i="5"/>
  <c r="M2106" i="5"/>
  <c r="J2104" i="5"/>
  <c r="M2202" i="5"/>
  <c r="F2202" i="5"/>
  <c r="I2194" i="5"/>
  <c r="D2194" i="5" s="1"/>
  <c r="M2193" i="5"/>
  <c r="G2198" i="5"/>
  <c r="G2202" i="5"/>
  <c r="F2199" i="5"/>
  <c r="D2203" i="5" a="1"/>
  <c r="J2202" i="5"/>
  <c r="F2200" i="5"/>
  <c r="K2198" i="5"/>
  <c r="K2200" i="5"/>
  <c r="J2193" i="5"/>
  <c r="I2292" i="5"/>
  <c r="N2287" i="5"/>
  <c r="K2283" i="5"/>
  <c r="F2286" i="5"/>
  <c r="N2288" i="5"/>
  <c r="M2291" i="5"/>
  <c r="J2287" i="5"/>
  <c r="J2288" i="5"/>
  <c r="H2292" i="5"/>
  <c r="K2287" i="5"/>
  <c r="H2284" i="5"/>
  <c r="G2289" i="5"/>
  <c r="J2285" i="5"/>
  <c r="I2283" i="5"/>
  <c r="N2127" i="5"/>
  <c r="N2128" i="5"/>
  <c r="H2122" i="5"/>
  <c r="F2119" i="5"/>
  <c r="I2126" i="5"/>
  <c r="J2122" i="5"/>
  <c r="J2123" i="5"/>
  <c r="D2126" i="5" a="1"/>
  <c r="K2121" i="5"/>
  <c r="H2118" i="5"/>
  <c r="F2126" i="5"/>
  <c r="M2127" i="5"/>
  <c r="F2127" i="5"/>
  <c r="K2139" i="5"/>
  <c r="N2135" i="5"/>
  <c r="F2139" i="5"/>
  <c r="F2135" i="5"/>
  <c r="J2142" i="5"/>
  <c r="K2137" i="5"/>
  <c r="K2138" i="5"/>
  <c r="G2141" i="5"/>
  <c r="M2136" i="5"/>
  <c r="H2139" i="5"/>
  <c r="K2135" i="5"/>
  <c r="I2133" i="5"/>
  <c r="F2142" i="5"/>
  <c r="J2214" i="5"/>
  <c r="F2211" i="5"/>
  <c r="G2213" i="5"/>
  <c r="N2209" i="5"/>
  <c r="G2217" i="5"/>
  <c r="F2214" i="5"/>
  <c r="D2218" i="5" a="1"/>
  <c r="M2216" i="5"/>
  <c r="I2212" i="5"/>
  <c r="N2214" i="5"/>
  <c r="J2210" i="5"/>
  <c r="I2208" i="5"/>
  <c r="D2208" i="5" s="1"/>
  <c r="G2214" i="5"/>
  <c r="K2209" i="5"/>
  <c r="G2230" i="5"/>
  <c r="H2226" i="5"/>
  <c r="F2223" i="5"/>
  <c r="I2229" i="5"/>
  <c r="D2229" i="5" s="1" a="1"/>
  <c r="G2225" i="5"/>
  <c r="F2230" i="5"/>
  <c r="I2232" i="5"/>
  <c r="M2227" i="5"/>
  <c r="J2223" i="5"/>
  <c r="F2226" i="5"/>
  <c r="K2223" i="5"/>
  <c r="J2229" i="5"/>
  <c r="M2225" i="5"/>
  <c r="G2301" i="5"/>
  <c r="M2298" i="5"/>
  <c r="I2304" i="5"/>
  <c r="F2300" i="5"/>
  <c r="J2307" i="5"/>
  <c r="K2302" i="5"/>
  <c r="K2303" i="5"/>
  <c r="K2305" i="5"/>
  <c r="J2298" i="5"/>
  <c r="I2305" i="5"/>
  <c r="D2305" i="5" s="1" a="1"/>
  <c r="M2303" i="5"/>
  <c r="J2322" i="5"/>
  <c r="F2314" i="5"/>
  <c r="F2319" i="5"/>
  <c r="F2315" i="5"/>
  <c r="F2321" i="5"/>
  <c r="I2314" i="5"/>
  <c r="H2314" i="5" s="1"/>
  <c r="N2317" i="5"/>
  <c r="N2320" i="5"/>
  <c r="G2316" i="5"/>
  <c r="M2575" i="5"/>
  <c r="F2572" i="5"/>
  <c r="M2569" i="5"/>
  <c r="G2576" i="5"/>
  <c r="K2570" i="5"/>
  <c r="N2576" i="5"/>
  <c r="J2577" i="5"/>
  <c r="K2571" i="5"/>
  <c r="J2572" i="5"/>
  <c r="G2568" i="5"/>
  <c r="G2577" i="5"/>
  <c r="K2572" i="5"/>
  <c r="I2376" i="5"/>
  <c r="K2382" i="5"/>
  <c r="I2378" i="5"/>
  <c r="I2382" i="5"/>
  <c r="N2377" i="5"/>
  <c r="K2373" i="5"/>
  <c r="F2376" i="5"/>
  <c r="N2378" i="5"/>
  <c r="M2381" i="5"/>
  <c r="J2377" i="5"/>
  <c r="J2378" i="5"/>
  <c r="N2469" i="5"/>
  <c r="N2471" i="5"/>
  <c r="M2466" i="5"/>
  <c r="J2464" i="5"/>
  <c r="G2471" i="5"/>
  <c r="N2466" i="5"/>
  <c r="J2469" i="5"/>
  <c r="M2465" i="5"/>
  <c r="K2471" i="5"/>
  <c r="G2467" i="5"/>
  <c r="N2464" i="5"/>
  <c r="I2471" i="5"/>
  <c r="G2464" i="5"/>
  <c r="K2547" i="5"/>
  <c r="F2546" i="5"/>
  <c r="I2539" i="5"/>
  <c r="M2544" i="5"/>
  <c r="N2547" i="5"/>
  <c r="I2541" i="5"/>
  <c r="D2541" i="5" s="1" a="1"/>
  <c r="G2547" i="5"/>
  <c r="J2541" i="5"/>
  <c r="F2541" i="5"/>
  <c r="G2540" i="5"/>
  <c r="G2544" i="5"/>
  <c r="K2539" i="5"/>
  <c r="M2560" i="5"/>
  <c r="K2555" i="5"/>
  <c r="M2557" i="5"/>
  <c r="J2562" i="5"/>
  <c r="G2556" i="5"/>
  <c r="M2561" i="5"/>
  <c r="N2555" i="5"/>
  <c r="N2559" i="5"/>
  <c r="K2558" i="5"/>
  <c r="G2560" i="5"/>
  <c r="D2563" i="5" a="1"/>
  <c r="I2559" i="5"/>
  <c r="F2556" i="5"/>
  <c r="J2622" i="5"/>
  <c r="K2617" i="5"/>
  <c r="K2618" i="5"/>
  <c r="K2620" i="5"/>
  <c r="J2613" i="5"/>
  <c r="I2620" i="5"/>
  <c r="M2618" i="5"/>
  <c r="G2622" i="5"/>
  <c r="F2619" i="5"/>
  <c r="F2616" i="5"/>
  <c r="H2619" i="5"/>
  <c r="I2615" i="5"/>
  <c r="K2395" i="5"/>
  <c r="J2388" i="5"/>
  <c r="I2395" i="5"/>
  <c r="M2393" i="5"/>
  <c r="F2393" i="5"/>
  <c r="I2390" i="5"/>
  <c r="D2390" i="5" s="1" a="1"/>
  <c r="K2396" i="5"/>
  <c r="N2388" i="5"/>
  <c r="H2395" i="5"/>
  <c r="G2389" i="5"/>
  <c r="J2395" i="5"/>
  <c r="I2391" i="5"/>
  <c r="D2391" i="5" s="1" a="1"/>
  <c r="K2405" i="5"/>
  <c r="I2403" i="5"/>
  <c r="H2403" i="5" s="1"/>
  <c r="F2412" i="5"/>
  <c r="K2411" i="5"/>
  <c r="H2407" i="5"/>
  <c r="F2404" i="5"/>
  <c r="J2406" i="5"/>
  <c r="G2404" i="5"/>
  <c r="M2409" i="5"/>
  <c r="N2409" i="5"/>
  <c r="J2404" i="5"/>
  <c r="N2486" i="5"/>
  <c r="M2481" i="5"/>
  <c r="I2479" i="5"/>
  <c r="H2479" i="5" s="1"/>
  <c r="G2486" i="5"/>
  <c r="K2480" i="5"/>
  <c r="N2487" i="5"/>
  <c r="H2482" i="5"/>
  <c r="F2479" i="5"/>
  <c r="I2486" i="5"/>
  <c r="H2486" i="5" s="1"/>
  <c r="J2482" i="5"/>
  <c r="J2483" i="5"/>
  <c r="D2486" i="5" a="1"/>
  <c r="K2481" i="5"/>
  <c r="F2496" i="5"/>
  <c r="K2493" i="5"/>
  <c r="J2499" i="5"/>
  <c r="M2495" i="5"/>
  <c r="G2502" i="5"/>
  <c r="G2498" i="5"/>
  <c r="N2494" i="5"/>
  <c r="M2501" i="5"/>
  <c r="I2497" i="5"/>
  <c r="D2497" i="5" s="1" a="1"/>
  <c r="J2498" i="5"/>
  <c r="J2500" i="5"/>
  <c r="K2496" i="5"/>
  <c r="I2500" i="5"/>
  <c r="D2500" i="5" s="1" a="1"/>
  <c r="I2498" i="5"/>
  <c r="N2588" i="5"/>
  <c r="N2592" i="5"/>
  <c r="G2587" i="5"/>
  <c r="M2589" i="5"/>
  <c r="K2588" i="5"/>
  <c r="I2588" i="5"/>
  <c r="J2590" i="5"/>
  <c r="I2590" i="5"/>
  <c r="H2590" i="5" s="1"/>
  <c r="J2588" i="5"/>
  <c r="N2587" i="5"/>
  <c r="K2583" i="5"/>
  <c r="J2585" i="5"/>
  <c r="M2418" i="5"/>
  <c r="G2423" i="5"/>
  <c r="G2427" i="5"/>
  <c r="F2424" i="5"/>
  <c r="D2428" i="5" a="1"/>
  <c r="J2427" i="5"/>
  <c r="F2425" i="5"/>
  <c r="K2423" i="5"/>
  <c r="K2425" i="5"/>
  <c r="J2418" i="5"/>
  <c r="M2425" i="5"/>
  <c r="K2420" i="5"/>
  <c r="F2511" i="5"/>
  <c r="N2513" i="5"/>
  <c r="M2516" i="5"/>
  <c r="J2512" i="5"/>
  <c r="J2513" i="5"/>
  <c r="K2512" i="5"/>
  <c r="G2514" i="5"/>
  <c r="J2510" i="5"/>
  <c r="I2508" i="5"/>
  <c r="I2515" i="5"/>
  <c r="D2515" i="5" s="1" a="1"/>
  <c r="H2352" i="5"/>
  <c r="I2349" i="5"/>
  <c r="F2345" i="5"/>
  <c r="K2352" i="5"/>
  <c r="J2344" i="5"/>
  <c r="N2346" i="5"/>
  <c r="J2349" i="5"/>
  <c r="F2346" i="5"/>
  <c r="I2346" i="5"/>
  <c r="J2362" i="5"/>
  <c r="N2366" i="5"/>
  <c r="H2359" i="5"/>
  <c r="K2365" i="5"/>
  <c r="N2362" i="5"/>
  <c r="N2367" i="5"/>
  <c r="G2362" i="5"/>
  <c r="D2359" i="5"/>
  <c r="G2365" i="5"/>
  <c r="F2358" i="5"/>
  <c r="J2358" i="5"/>
  <c r="K2439" i="5"/>
  <c r="M2435" i="5"/>
  <c r="M2439" i="5"/>
  <c r="N2435" i="5"/>
  <c r="F2440" i="5"/>
  <c r="G2435" i="5"/>
  <c r="N2441" i="5"/>
  <c r="M2436" i="5"/>
  <c r="I2434" i="5"/>
  <c r="G2441" i="5"/>
  <c r="K2435" i="5"/>
  <c r="N2442" i="5"/>
  <c r="F2454" i="5"/>
  <c r="F2450" i="5"/>
  <c r="J2457" i="5"/>
  <c r="K2452" i="5"/>
  <c r="K2453" i="5"/>
  <c r="G2456" i="5"/>
  <c r="M2451" i="5"/>
  <c r="H2454" i="5"/>
  <c r="K2450" i="5"/>
  <c r="I2448" i="5"/>
  <c r="F2457" i="5"/>
  <c r="K2456" i="5"/>
  <c r="F2449" i="5"/>
  <c r="K2531" i="5"/>
  <c r="N2523" i="5"/>
  <c r="G2524" i="5"/>
  <c r="J2530" i="5"/>
  <c r="I2526" i="5"/>
  <c r="M2527" i="5"/>
  <c r="I2528" i="5"/>
  <c r="I2532" i="5"/>
  <c r="N2527" i="5"/>
  <c r="K2523" i="5"/>
  <c r="J2529" i="5"/>
  <c r="F2526" i="5"/>
  <c r="N2634" i="5"/>
  <c r="J2629" i="5"/>
  <c r="F2632" i="5"/>
  <c r="M2633" i="5"/>
  <c r="J2636" i="5"/>
  <c r="H2633" i="5"/>
  <c r="M2628" i="5"/>
  <c r="M2634" i="5"/>
  <c r="G2637" i="5"/>
  <c r="H2635" i="5"/>
  <c r="G2633" i="5"/>
  <c r="I2631" i="5"/>
  <c r="D2631" i="5" s="1" a="1"/>
  <c r="N2630" i="5"/>
  <c r="G2607" i="5"/>
  <c r="F2604" i="5"/>
  <c r="J2607" i="5"/>
  <c r="F2605" i="5"/>
  <c r="K2603" i="5"/>
  <c r="G2604" i="5"/>
  <c r="J2600" i="5"/>
  <c r="N2605" i="5"/>
  <c r="F2599" i="5"/>
  <c r="M2600" i="5"/>
  <c r="N2601" i="5"/>
  <c r="N2602" i="5"/>
  <c r="M2603" i="5"/>
  <c r="K2599" i="5"/>
  <c r="M2696" i="5"/>
  <c r="J2692" i="5"/>
  <c r="J2693" i="5"/>
  <c r="K2692" i="5"/>
  <c r="G2694" i="5"/>
  <c r="J2690" i="5"/>
  <c r="I2688" i="5"/>
  <c r="I2695" i="5"/>
  <c r="F2693" i="5"/>
  <c r="M2689" i="5"/>
  <c r="K2694" i="5"/>
  <c r="G2691" i="5"/>
  <c r="F2688" i="5"/>
  <c r="K2706" i="5"/>
  <c r="H2703" i="5"/>
  <c r="F2711" i="5"/>
  <c r="M2712" i="5"/>
  <c r="F2712" i="5"/>
  <c r="M2710" i="5"/>
  <c r="F2707" i="5"/>
  <c r="M2704" i="5"/>
  <c r="K2709" i="5"/>
  <c r="M2705" i="5"/>
  <c r="M2709" i="5"/>
  <c r="N2705" i="5"/>
  <c r="K2720" i="5"/>
  <c r="K2725" i="5"/>
  <c r="F2720" i="5"/>
  <c r="J2727" i="5"/>
  <c r="K2718" i="5"/>
  <c r="M2719" i="5"/>
  <c r="H2725" i="5"/>
  <c r="J2720" i="5"/>
  <c r="N2727" i="5"/>
  <c r="G2723" i="5"/>
  <c r="G2719" i="5"/>
  <c r="J2724" i="5"/>
  <c r="I2652" i="5"/>
  <c r="N2647" i="5"/>
  <c r="K2643" i="5"/>
  <c r="F2646" i="5"/>
  <c r="N2648" i="5"/>
  <c r="M2651" i="5"/>
  <c r="J2647" i="5"/>
  <c r="J2648" i="5"/>
  <c r="H2652" i="5"/>
  <c r="K2647" i="5"/>
  <c r="H2644" i="5"/>
  <c r="G2649" i="5"/>
  <c r="J2645" i="5"/>
  <c r="I2643" i="5"/>
  <c r="G2799" i="5"/>
  <c r="K2794" i="5"/>
  <c r="K2800" i="5"/>
  <c r="J2793" i="5"/>
  <c r="I2797" i="5"/>
  <c r="N2802" i="5"/>
  <c r="F2797" i="5"/>
  <c r="N2800" i="5"/>
  <c r="I2799" i="5"/>
  <c r="G2794" i="5"/>
  <c r="K2799" i="5"/>
  <c r="N2794" i="5"/>
  <c r="D2800" i="5" a="1"/>
  <c r="I2795" i="5"/>
  <c r="M2665" i="5"/>
  <c r="F2662" i="5"/>
  <c r="M2659" i="5"/>
  <c r="K2664" i="5"/>
  <c r="M2660" i="5"/>
  <c r="M2664" i="5"/>
  <c r="N2660" i="5"/>
  <c r="F2665" i="5"/>
  <c r="G2660" i="5"/>
  <c r="N2666" i="5"/>
  <c r="M2661" i="5"/>
  <c r="I2659" i="5"/>
  <c r="G2666" i="5"/>
  <c r="K2660" i="5"/>
  <c r="K2681" i="5"/>
  <c r="H2677" i="5"/>
  <c r="F2674" i="5"/>
  <c r="J2676" i="5"/>
  <c r="G2674" i="5"/>
  <c r="M2679" i="5"/>
  <c r="N2679" i="5"/>
  <c r="J2674" i="5"/>
  <c r="F2677" i="5"/>
  <c r="M2678" i="5"/>
  <c r="J2681" i="5"/>
  <c r="H2678" i="5"/>
  <c r="M2673" i="5"/>
  <c r="M2782" i="5"/>
  <c r="J2787" i="5"/>
  <c r="F2785" i="5"/>
  <c r="K2783" i="5"/>
  <c r="G2785" i="5"/>
  <c r="D2788" i="5" a="1"/>
  <c r="I2784" i="5"/>
  <c r="F2781" i="5"/>
  <c r="M2787" i="5"/>
  <c r="N2781" i="5"/>
  <c r="G2786" i="5"/>
  <c r="K2779" i="5"/>
  <c r="N2742" i="5"/>
  <c r="M2738" i="5"/>
  <c r="K2740" i="5"/>
  <c r="F2735" i="5"/>
  <c r="F2733" i="5"/>
  <c r="H2736" i="5"/>
  <c r="G2733" i="5"/>
  <c r="N2739" i="5"/>
  <c r="I2735" i="5"/>
  <c r="K2741" i="5"/>
  <c r="I2733" i="5"/>
  <c r="J2737" i="5"/>
  <c r="H2734" i="5"/>
  <c r="N2815" i="5"/>
  <c r="G2811" i="5"/>
  <c r="D2815" i="5" a="1"/>
  <c r="F2811" i="5"/>
  <c r="K2808" i="5"/>
  <c r="I2814" i="5"/>
  <c r="I2809" i="5"/>
  <c r="M2816" i="5"/>
  <c r="J2809" i="5"/>
  <c r="F2814" i="5"/>
  <c r="J2808" i="5"/>
  <c r="M2754" i="5"/>
  <c r="K2754" i="5"/>
  <c r="M2750" i="5"/>
  <c r="D2750" i="5" a="1"/>
  <c r="M2756" i="5"/>
  <c r="F2751" i="5"/>
  <c r="N2756" i="5"/>
  <c r="N2750" i="5"/>
  <c r="J2757" i="5"/>
  <c r="J2751" i="5"/>
  <c r="K2757" i="5"/>
  <c r="I2748" i="5"/>
  <c r="H2748" i="5" s="1"/>
  <c r="F2757" i="5"/>
  <c r="J2753" i="5"/>
  <c r="J2770" i="5"/>
  <c r="K2766" i="5"/>
  <c r="H2763" i="5"/>
  <c r="I2769" i="5"/>
  <c r="G2765" i="5"/>
  <c r="F2766" i="5"/>
  <c r="K2772" i="5"/>
  <c r="M2763" i="5"/>
  <c r="N2766" i="5"/>
  <c r="M2767" i="5"/>
  <c r="F2767" i="5"/>
  <c r="G2767" i="5"/>
  <c r="D2847" i="5" a="1"/>
  <c r="F2844" i="5"/>
  <c r="J2845" i="5"/>
  <c r="I2841" i="5"/>
  <c r="M2846" i="5"/>
  <c r="M2841" i="5"/>
  <c r="I2839" i="5"/>
  <c r="G2846" i="5"/>
  <c r="K2840" i="5"/>
  <c r="K2847" i="5"/>
  <c r="F2843" i="5"/>
  <c r="I2840" i="5"/>
  <c r="D2840" i="5" s="1" a="1"/>
  <c r="J2846" i="5"/>
  <c r="N2838" i="5"/>
  <c r="F2907" i="5"/>
  <c r="I2907" i="5"/>
  <c r="K2907" i="5"/>
  <c r="G2899" i="5"/>
  <c r="J2905" i="5"/>
  <c r="I2900" i="5"/>
  <c r="D2900" i="5" s="1" a="1"/>
  <c r="M2906" i="5"/>
  <c r="M2901" i="5"/>
  <c r="H2907" i="5"/>
  <c r="K2902" i="5"/>
  <c r="K2898" i="5"/>
  <c r="I2904" i="5"/>
  <c r="K2950" i="5"/>
  <c r="J2945" i="5"/>
  <c r="J2952" i="5"/>
  <c r="K2947" i="5"/>
  <c r="K2948" i="5"/>
  <c r="G2949" i="5"/>
  <c r="K2944" i="5"/>
  <c r="J2947" i="5"/>
  <c r="G2943" i="5"/>
  <c r="I2943" i="5"/>
  <c r="F2949" i="5"/>
  <c r="G2944" i="5"/>
  <c r="N2947" i="5"/>
  <c r="K2943" i="5"/>
  <c r="I2947" i="5"/>
  <c r="M2967" i="5"/>
  <c r="F2967" i="5"/>
  <c r="I2959" i="5"/>
  <c r="H2959" i="5" s="1"/>
  <c r="K2965" i="5"/>
  <c r="J2958" i="5"/>
  <c r="F2963" i="5"/>
  <c r="M2958" i="5"/>
  <c r="F2958" i="5"/>
  <c r="J2962" i="5"/>
  <c r="I2961" i="5"/>
  <c r="G2967" i="5"/>
  <c r="J2961" i="5"/>
  <c r="N2965" i="5"/>
  <c r="F2960" i="5"/>
  <c r="J2860" i="5"/>
  <c r="K2856" i="5"/>
  <c r="H2853" i="5"/>
  <c r="G2859" i="5"/>
  <c r="G2854" i="5"/>
  <c r="I2860" i="5"/>
  <c r="K2855" i="5"/>
  <c r="K2853" i="5"/>
  <c r="F2859" i="5"/>
  <c r="I2858" i="5"/>
  <c r="H2858" i="5" s="1"/>
  <c r="D2862" i="5" a="1"/>
  <c r="I2856" i="5"/>
  <c r="H2856" i="5" s="1"/>
  <c r="K2875" i="5"/>
  <c r="J2868" i="5"/>
  <c r="G2875" i="5"/>
  <c r="I2871" i="5"/>
  <c r="D2871" i="5" s="1" a="1"/>
  <c r="G2869" i="5"/>
  <c r="J2874" i="5"/>
  <c r="J2873" i="5"/>
  <c r="I2874" i="5"/>
  <c r="H2874" i="5" s="1"/>
  <c r="D2878" i="5" a="1"/>
  <c r="J2877" i="5"/>
  <c r="H2871" i="5"/>
  <c r="M2892" i="5"/>
  <c r="F2892" i="5"/>
  <c r="G2890" i="5"/>
  <c r="K2891" i="5"/>
  <c r="J2885" i="5"/>
  <c r="N2892" i="5"/>
  <c r="J2887" i="5"/>
  <c r="J2889" i="5"/>
  <c r="M2891" i="5"/>
  <c r="G2886" i="5"/>
  <c r="M2887" i="5"/>
  <c r="M2884" i="5"/>
  <c r="J2935" i="5"/>
  <c r="I2931" i="5"/>
  <c r="M2934" i="5"/>
  <c r="N2930" i="5"/>
  <c r="N2937" i="5"/>
  <c r="F2932" i="5"/>
  <c r="F2929" i="5"/>
  <c r="J2934" i="5"/>
  <c r="N2933" i="5"/>
  <c r="I2935" i="5"/>
  <c r="D2935" i="5" s="1" a="1"/>
  <c r="N2929" i="5"/>
  <c r="F2933" i="5"/>
  <c r="M2928" i="5"/>
  <c r="H2931" i="5"/>
  <c r="N2830" i="5"/>
  <c r="F2824" i="5"/>
  <c r="J2830" i="5"/>
  <c r="M2823" i="5"/>
  <c r="K2826" i="5"/>
  <c r="M2830" i="5"/>
  <c r="K2832" i="5"/>
  <c r="J2828" i="5"/>
  <c r="F2832" i="5"/>
  <c r="I2824" i="5"/>
  <c r="D2824" i="5" s="1"/>
  <c r="I2823" i="5"/>
  <c r="M2980" i="5"/>
  <c r="F2977" i="5"/>
  <c r="M2974" i="5"/>
  <c r="G2981" i="5"/>
  <c r="K2975" i="5"/>
  <c r="N2980" i="5"/>
  <c r="M2977" i="5"/>
  <c r="J2973" i="5"/>
  <c r="F2973" i="5"/>
  <c r="M2976" i="5"/>
  <c r="I2982" i="5"/>
  <c r="D2982" i="5" s="1" a="1"/>
  <c r="G2922" i="5"/>
  <c r="F2919" i="5"/>
  <c r="N2918" i="5"/>
  <c r="J2920" i="5"/>
  <c r="K2914" i="5"/>
  <c r="F2921" i="5"/>
  <c r="N2913" i="5"/>
  <c r="N2919" i="5"/>
  <c r="M2918" i="5"/>
  <c r="G2919" i="5"/>
  <c r="K2918" i="5"/>
  <c r="J2919" i="5"/>
  <c r="I2914" i="5"/>
  <c r="H2914" i="5" s="1"/>
  <c r="J3011" i="5"/>
  <c r="F3007" i="5"/>
  <c r="K3009" i="5"/>
  <c r="G3005" i="5"/>
  <c r="I3012" i="5"/>
  <c r="D3012" i="5" s="1" a="1"/>
  <c r="G3007" i="5"/>
  <c r="F3012" i="5"/>
  <c r="N3008" i="5"/>
  <c r="G3008" i="5"/>
  <c r="G3012" i="5"/>
  <c r="K3007" i="5"/>
  <c r="K3003" i="5"/>
  <c r="K3004" i="5"/>
  <c r="N3005" i="5"/>
  <c r="J3003" i="5"/>
  <c r="F3087" i="5"/>
  <c r="M3087" i="5"/>
  <c r="G3084" i="5"/>
  <c r="I3080" i="5"/>
  <c r="D3080" i="5" s="1" a="1"/>
  <c r="H3080" i="5"/>
  <c r="K3085" i="5"/>
  <c r="G3078" i="5"/>
  <c r="K3082" i="5"/>
  <c r="M3082" i="5"/>
  <c r="J3087" i="5"/>
  <c r="K3081" i="5"/>
  <c r="I3087" i="5"/>
  <c r="M3081" i="5"/>
  <c r="N3147" i="5"/>
  <c r="M3143" i="5"/>
  <c r="J3145" i="5"/>
  <c r="K3140" i="5"/>
  <c r="F3147" i="5"/>
  <c r="N3143" i="5"/>
  <c r="K3142" i="5"/>
  <c r="J3141" i="5"/>
  <c r="M3144" i="5"/>
  <c r="I3147" i="5"/>
  <c r="I3140" i="5"/>
  <c r="D3140" i="5" s="1" a="1"/>
  <c r="M3142" i="5"/>
  <c r="I3141" i="5"/>
  <c r="D3141" i="5" s="1" a="1"/>
  <c r="K3205" i="5"/>
  <c r="D3201" i="5" a="1"/>
  <c r="J3198" i="5"/>
  <c r="G3205" i="5"/>
  <c r="H3205" i="5"/>
  <c r="N3207" i="5"/>
  <c r="K3201" i="5"/>
  <c r="J3204" i="5"/>
  <c r="K3204" i="5"/>
  <c r="H3201" i="5"/>
  <c r="G3198" i="5"/>
  <c r="M3198" i="5"/>
  <c r="K3198" i="5"/>
  <c r="M3052" i="5"/>
  <c r="K3052" i="5"/>
  <c r="H3049" i="5"/>
  <c r="N3052" i="5"/>
  <c r="K3048" i="5"/>
  <c r="M3048" i="5"/>
  <c r="F3057" i="5"/>
  <c r="K3049" i="5"/>
  <c r="M3054" i="5"/>
  <c r="M3049" i="5"/>
  <c r="G3053" i="5"/>
  <c r="N3048" i="5"/>
  <c r="J3054" i="5"/>
  <c r="G3049" i="5"/>
  <c r="G3071" i="5"/>
  <c r="K3065" i="5"/>
  <c r="K3072" i="5"/>
  <c r="J3064" i="5"/>
  <c r="M3070" i="5"/>
  <c r="K3067" i="5"/>
  <c r="F3063" i="5"/>
  <c r="F3068" i="5"/>
  <c r="M3063" i="5"/>
  <c r="I3067" i="5"/>
  <c r="N2992" i="5"/>
  <c r="J2997" i="5"/>
  <c r="N2988" i="5"/>
  <c r="K2992" i="5"/>
  <c r="M2988" i="5"/>
  <c r="G2992" i="5"/>
  <c r="N2994" i="5"/>
  <c r="K2997" i="5"/>
  <c r="I2996" i="5"/>
  <c r="J3192" i="5"/>
  <c r="F3190" i="5"/>
  <c r="K3188" i="5"/>
  <c r="N3190" i="5"/>
  <c r="J3186" i="5"/>
  <c r="I3183" i="5"/>
  <c r="D3183" i="5" s="1"/>
  <c r="N3187" i="5"/>
  <c r="F3184" i="5"/>
  <c r="H3193" i="5"/>
  <c r="K3184" i="5"/>
  <c r="K3185" i="5"/>
  <c r="I3190" i="5"/>
  <c r="D3190" i="5" s="1" a="1"/>
  <c r="J3184" i="5"/>
  <c r="N3192" i="5"/>
  <c r="J3188" i="5"/>
  <c r="N3025" i="5"/>
  <c r="F3018" i="5"/>
  <c r="I3024" i="5"/>
  <c r="H3024" i="5" s="1"/>
  <c r="J3019" i="5"/>
  <c r="G3026" i="5"/>
  <c r="N3020" i="5"/>
  <c r="D3024" i="5" a="1"/>
  <c r="N3023" i="5"/>
  <c r="I3026" i="5"/>
  <c r="K3021" i="5"/>
  <c r="J3018" i="5"/>
  <c r="F3024" i="5"/>
  <c r="I3019" i="5"/>
  <c r="H3019" i="5" s="1"/>
  <c r="G3018" i="5"/>
  <c r="I3039" i="5"/>
  <c r="H3039" i="5" s="1"/>
  <c r="G3035" i="5"/>
  <c r="K3033" i="5"/>
  <c r="F3040" i="5"/>
  <c r="I3038" i="5"/>
  <c r="H3038" i="5" s="1"/>
  <c r="H3036" i="5"/>
  <c r="D3042" i="5" a="1"/>
  <c r="G3039" i="5"/>
  <c r="J3033" i="5"/>
  <c r="F3042" i="5"/>
  <c r="N3038" i="5"/>
  <c r="H3117" i="5"/>
  <c r="I3114" i="5"/>
  <c r="F3110" i="5"/>
  <c r="K3116" i="5"/>
  <c r="N3108" i="5"/>
  <c r="K3112" i="5"/>
  <c r="N3116" i="5"/>
  <c r="M3113" i="5"/>
  <c r="K3115" i="5"/>
  <c r="F3113" i="5"/>
  <c r="M3108" i="5"/>
  <c r="F3130" i="5"/>
  <c r="D3133" i="5" a="1"/>
  <c r="K3131" i="5"/>
  <c r="I3127" i="5"/>
  <c r="J3128" i="5"/>
  <c r="G3126" i="5"/>
  <c r="G3129" i="5"/>
  <c r="K3124" i="5"/>
  <c r="F3132" i="5"/>
  <c r="J3123" i="5"/>
  <c r="F3127" i="5"/>
  <c r="M3126" i="5"/>
  <c r="I3131" i="5"/>
  <c r="H3131" i="5" s="1"/>
  <c r="N3125" i="5"/>
  <c r="F3217" i="5"/>
  <c r="M3218" i="5"/>
  <c r="J3221" i="5"/>
  <c r="I3216" i="5"/>
  <c r="I3221" i="5"/>
  <c r="H3221" i="5" s="1"/>
  <c r="D3216" i="5" a="1"/>
  <c r="N3222" i="5"/>
  <c r="G3218" i="5"/>
  <c r="J3213" i="5"/>
  <c r="K3219" i="5"/>
  <c r="K3218" i="5"/>
  <c r="G3221" i="5"/>
  <c r="H3216" i="5"/>
  <c r="N3237" i="5"/>
  <c r="M3233" i="5"/>
  <c r="G3236" i="5"/>
  <c r="I3237" i="5"/>
  <c r="G3232" i="5"/>
  <c r="G3234" i="5"/>
  <c r="J3235" i="5"/>
  <c r="K3230" i="5"/>
  <c r="G3237" i="5"/>
  <c r="K3232" i="5"/>
  <c r="K3228" i="5"/>
  <c r="I3233" i="5"/>
  <c r="D3233" i="5" s="1" a="1"/>
  <c r="I3310" i="5"/>
  <c r="I3308" i="5"/>
  <c r="K3311" i="5"/>
  <c r="I3307" i="5"/>
  <c r="I3303" i="5"/>
  <c r="K3309" i="5"/>
  <c r="F3305" i="5"/>
  <c r="J3312" i="5"/>
  <c r="H3310" i="5"/>
  <c r="F3307" i="5"/>
  <c r="F3304" i="5"/>
  <c r="D3308" i="5" a="1"/>
  <c r="N3100" i="5"/>
  <c r="F3094" i="5"/>
  <c r="F3096" i="5"/>
  <c r="I3102" i="5"/>
  <c r="F3101" i="5"/>
  <c r="J3094" i="5"/>
  <c r="N3099" i="5"/>
  <c r="K3098" i="5"/>
  <c r="G3099" i="5"/>
  <c r="I3098" i="5"/>
  <c r="H3098" i="5" s="1"/>
  <c r="K3159" i="5"/>
  <c r="M3155" i="5"/>
  <c r="M3162" i="5"/>
  <c r="F3158" i="5"/>
  <c r="J3158" i="5"/>
  <c r="H3160" i="5"/>
  <c r="N3158" i="5"/>
  <c r="D3160" i="5" a="1"/>
  <c r="K3154" i="5"/>
  <c r="N3157" i="5"/>
  <c r="G3162" i="5"/>
  <c r="I3158" i="5"/>
  <c r="J3159" i="5"/>
  <c r="G3155" i="5"/>
  <c r="D3159" i="5" a="1"/>
  <c r="F3174" i="5"/>
  <c r="F3170" i="5"/>
  <c r="M3177" i="5"/>
  <c r="N3171" i="5"/>
  <c r="J3169" i="5"/>
  <c r="M3171" i="5"/>
  <c r="I3177" i="5"/>
  <c r="D3177" i="5" s="1" a="1"/>
  <c r="K3173" i="5"/>
  <c r="F3175" i="5"/>
  <c r="F3168" i="5"/>
  <c r="G3252" i="5"/>
  <c r="F3249" i="5"/>
  <c r="F3244" i="5"/>
  <c r="D3249" i="5" a="1"/>
  <c r="I3248" i="5"/>
  <c r="D3248" i="5" s="1" a="1"/>
  <c r="D3250" i="5" a="1"/>
  <c r="M3248" i="5"/>
  <c r="K3247" i="5"/>
  <c r="I3243" i="5"/>
  <c r="H3243" i="5" s="1"/>
  <c r="M3247" i="5"/>
  <c r="H3244" i="5"/>
  <c r="N3247" i="5"/>
  <c r="K3243" i="5"/>
  <c r="G3247" i="5"/>
  <c r="D3243" i="5"/>
  <c r="J3265" i="5"/>
  <c r="K3261" i="5"/>
  <c r="N3264" i="5"/>
  <c r="J3259" i="5"/>
  <c r="M3265" i="5"/>
  <c r="N3261" i="5"/>
  <c r="K3259" i="5"/>
  <c r="J3261" i="5"/>
  <c r="G3259" i="5"/>
  <c r="F3259" i="5"/>
  <c r="M3260" i="5"/>
  <c r="H3262" i="5"/>
  <c r="J3356" i="5"/>
  <c r="M3348" i="5"/>
  <c r="G3356" i="5"/>
  <c r="I3351" i="5"/>
  <c r="D3351" i="5" a="1"/>
  <c r="I3357" i="5"/>
  <c r="H3357" i="5" s="1"/>
  <c r="J3351" i="5"/>
  <c r="D3357" i="5" a="1"/>
  <c r="K3351" i="5"/>
  <c r="K3357" i="5"/>
  <c r="F3351" i="5"/>
  <c r="M3355" i="5"/>
  <c r="K3348" i="5"/>
  <c r="G3417" i="5"/>
  <c r="K3416" i="5"/>
  <c r="M3411" i="5"/>
  <c r="J3409" i="5"/>
  <c r="F3413" i="5"/>
  <c r="N3409" i="5"/>
  <c r="M3414" i="5"/>
  <c r="N3413" i="5"/>
  <c r="G3413" i="5"/>
  <c r="F3408" i="5"/>
  <c r="K3410" i="5"/>
  <c r="M3410" i="5"/>
  <c r="K3415" i="5"/>
  <c r="G3409" i="5"/>
  <c r="K3319" i="5"/>
  <c r="K3326" i="5"/>
  <c r="N3327" i="5"/>
  <c r="I3322" i="5"/>
  <c r="H3322" i="5" s="1"/>
  <c r="J3318" i="5"/>
  <c r="K3322" i="5"/>
  <c r="J3319" i="5"/>
  <c r="K3324" i="5"/>
  <c r="G3320" i="5"/>
  <c r="G3325" i="5"/>
  <c r="I3321" i="5"/>
  <c r="M3319" i="5"/>
  <c r="J3341" i="5"/>
  <c r="G3337" i="5"/>
  <c r="N3338" i="5"/>
  <c r="K3341" i="5"/>
  <c r="J3335" i="5"/>
  <c r="I3341" i="5"/>
  <c r="K3336" i="5"/>
  <c r="J3333" i="5"/>
  <c r="I3337" i="5"/>
  <c r="K3337" i="5"/>
  <c r="M3339" i="5"/>
  <c r="I3338" i="5"/>
  <c r="H3341" i="5"/>
  <c r="H3338" i="5"/>
  <c r="M3402" i="5"/>
  <c r="H3397" i="5"/>
  <c r="K3402" i="5"/>
  <c r="F3396" i="5"/>
  <c r="M3401" i="5"/>
  <c r="J3398" i="5"/>
  <c r="N3400" i="5"/>
  <c r="G1541" i="5"/>
  <c r="M1536" i="5"/>
  <c r="H1539" i="5"/>
  <c r="K1535" i="5"/>
  <c r="I1533" i="5"/>
  <c r="I1615" i="5"/>
  <c r="M1613" i="5"/>
  <c r="F1613" i="5"/>
  <c r="I1610" i="5"/>
  <c r="D1610" i="5" s="1" a="1"/>
  <c r="K1616" i="5"/>
  <c r="N1608" i="5"/>
  <c r="H1615" i="5"/>
  <c r="G1609" i="5"/>
  <c r="J1615" i="5"/>
  <c r="I1611" i="5"/>
  <c r="M1612" i="5"/>
  <c r="I1613" i="5"/>
  <c r="N1632" i="5"/>
  <c r="G1627" i="5"/>
  <c r="D1624" i="5"/>
  <c r="G1630" i="5"/>
  <c r="H1626" i="5"/>
  <c r="F1623" i="5"/>
  <c r="I1629" i="5"/>
  <c r="D1629" i="5" s="1" a="1"/>
  <c r="G1625" i="5"/>
  <c r="J1633" i="5"/>
  <c r="F1630" i="5"/>
  <c r="I1632" i="5"/>
  <c r="M1627" i="5"/>
  <c r="J1623" i="5"/>
  <c r="F1626" i="5"/>
  <c r="K1623" i="5"/>
  <c r="G1706" i="5"/>
  <c r="K1700" i="5"/>
  <c r="N1707" i="5"/>
  <c r="H1704" i="5"/>
  <c r="H1702" i="5"/>
  <c r="F1699" i="5"/>
  <c r="I1706" i="5"/>
  <c r="H1706" i="5" s="1"/>
  <c r="J1702" i="5"/>
  <c r="J1703" i="5"/>
  <c r="D1706" i="5" a="1"/>
  <c r="K1701" i="5"/>
  <c r="H1698" i="5"/>
  <c r="F1706" i="5"/>
  <c r="F1718" i="5"/>
  <c r="M1714" i="5"/>
  <c r="I1721" i="5"/>
  <c r="N1713" i="5"/>
  <c r="H1720" i="5"/>
  <c r="I1716" i="5"/>
  <c r="D1716" i="5" s="1" a="1"/>
  <c r="G1713" i="5"/>
  <c r="K1722" i="5"/>
  <c r="F1721" i="5"/>
  <c r="I1714" i="5"/>
  <c r="M1720" i="5"/>
  <c r="N1716" i="5"/>
  <c r="K1714" i="5"/>
  <c r="N1795" i="5"/>
  <c r="N1794" i="5"/>
  <c r="I1795" i="5"/>
  <c r="H1795" i="5" s="1"/>
  <c r="M1795" i="5"/>
  <c r="N1792" i="5"/>
  <c r="K1788" i="5"/>
  <c r="F1791" i="5"/>
  <c r="F1788" i="5"/>
  <c r="J1791" i="5"/>
  <c r="G1788" i="5"/>
  <c r="I1791" i="5"/>
  <c r="I1796" i="5"/>
  <c r="J1790" i="5"/>
  <c r="I1788" i="5"/>
  <c r="G1553" i="5"/>
  <c r="G1557" i="5"/>
  <c r="F1554" i="5"/>
  <c r="D1558" i="5" a="1"/>
  <c r="J1557" i="5"/>
  <c r="F1555" i="5"/>
  <c r="K1553" i="5"/>
  <c r="K1555" i="5"/>
  <c r="D1551" i="5" a="1"/>
  <c r="J1548" i="5"/>
  <c r="M1555" i="5"/>
  <c r="K1550" i="5"/>
  <c r="N1557" i="5"/>
  <c r="M1553" i="5"/>
  <c r="N1643" i="5"/>
  <c r="M1646" i="5"/>
  <c r="J1642" i="5"/>
  <c r="J1643" i="5"/>
  <c r="K1642" i="5"/>
  <c r="G1644" i="5"/>
  <c r="J1640" i="5"/>
  <c r="I1638" i="5"/>
  <c r="D1638" i="5" s="1"/>
  <c r="I1645" i="5"/>
  <c r="F1643" i="5"/>
  <c r="M1639" i="5"/>
  <c r="K1736" i="5"/>
  <c r="G1732" i="5"/>
  <c r="N1729" i="5"/>
  <c r="I1736" i="5"/>
  <c r="G1729" i="5"/>
  <c r="D1736" i="5" a="1"/>
  <c r="I1732" i="5"/>
  <c r="H1732" i="5" s="1"/>
  <c r="H1728" i="5"/>
  <c r="F1736" i="5"/>
  <c r="I1730" i="5"/>
  <c r="D1730" i="5" s="1" a="1"/>
  <c r="K1729" i="5"/>
  <c r="J1736" i="5"/>
  <c r="F1732" i="5"/>
  <c r="J1825" i="5"/>
  <c r="K1821" i="5"/>
  <c r="M1822" i="5"/>
  <c r="M1827" i="5"/>
  <c r="F1827" i="5"/>
  <c r="I1819" i="5"/>
  <c r="H1819" i="5" s="1"/>
  <c r="J1826" i="5"/>
  <c r="F1822" i="5"/>
  <c r="D1819" i="5"/>
  <c r="G1823" i="5"/>
  <c r="G1827" i="5"/>
  <c r="F1824" i="5"/>
  <c r="D1828" i="5" a="1"/>
  <c r="J1888" i="5"/>
  <c r="N1884" i="5"/>
  <c r="N1886" i="5"/>
  <c r="M1881" i="5"/>
  <c r="J1879" i="5"/>
  <c r="G1886" i="5"/>
  <c r="N1881" i="5"/>
  <c r="J1884" i="5"/>
  <c r="M1880" i="5"/>
  <c r="K1886" i="5"/>
  <c r="G1882" i="5"/>
  <c r="N1879" i="5"/>
  <c r="I1886" i="5"/>
  <c r="H1886" i="5" s="1"/>
  <c r="H1888" i="5"/>
  <c r="G1879" i="5"/>
  <c r="J1977" i="5"/>
  <c r="F1975" i="5"/>
  <c r="K1973" i="5"/>
  <c r="K1975" i="5"/>
  <c r="D1971" i="5" a="1"/>
  <c r="J1968" i="5"/>
  <c r="M1975" i="5"/>
  <c r="K1970" i="5"/>
  <c r="N1977" i="5"/>
  <c r="F1978" i="5"/>
  <c r="M1973" i="5"/>
  <c r="N1975" i="5"/>
  <c r="H1971" i="5"/>
  <c r="F1969" i="5"/>
  <c r="G1975" i="5"/>
  <c r="J1971" i="5"/>
  <c r="N1968" i="5"/>
  <c r="M2066" i="5"/>
  <c r="J2062" i="5"/>
  <c r="J2065" i="5"/>
  <c r="K2067" i="5"/>
  <c r="I2065" i="5"/>
  <c r="J2066" i="5"/>
  <c r="F2062" i="5"/>
  <c r="G2063" i="5"/>
  <c r="J2060" i="5"/>
  <c r="I2058" i="5"/>
  <c r="K2058" i="5"/>
  <c r="M2059" i="5"/>
  <c r="N2060" i="5"/>
  <c r="G2058" i="5"/>
  <c r="K1900" i="5"/>
  <c r="J1893" i="5"/>
  <c r="I1900" i="5"/>
  <c r="M1898" i="5"/>
  <c r="F1898" i="5"/>
  <c r="I1895" i="5"/>
  <c r="D1895" i="5" s="1" a="1"/>
  <c r="K1901" i="5"/>
  <c r="N1893" i="5"/>
  <c r="H1900" i="5"/>
  <c r="G1894" i="5"/>
  <c r="J1900" i="5"/>
  <c r="I1896" i="5"/>
  <c r="D1896" i="5" s="1" a="1"/>
  <c r="K1910" i="5"/>
  <c r="I1908" i="5"/>
  <c r="F1917" i="5"/>
  <c r="K1916" i="5"/>
  <c r="H1912" i="5"/>
  <c r="F1909" i="5"/>
  <c r="J1911" i="5"/>
  <c r="G1909" i="5"/>
  <c r="M1914" i="5"/>
  <c r="N1914" i="5"/>
  <c r="J1909" i="5"/>
  <c r="N1991" i="5"/>
  <c r="M1986" i="5"/>
  <c r="I1984" i="5"/>
  <c r="H1984" i="5" s="1"/>
  <c r="G1991" i="5"/>
  <c r="K1985" i="5"/>
  <c r="N1992" i="5"/>
  <c r="H1989" i="5"/>
  <c r="H1987" i="5"/>
  <c r="F1984" i="5"/>
  <c r="I1991" i="5"/>
  <c r="H1991" i="5" s="1"/>
  <c r="J1987" i="5"/>
  <c r="J1988" i="5"/>
  <c r="D1991" i="5" a="1"/>
  <c r="K1986" i="5"/>
  <c r="F2001" i="5"/>
  <c r="K1998" i="5"/>
  <c r="J2004" i="5"/>
  <c r="M2000" i="5"/>
  <c r="G2007" i="5"/>
  <c r="G2003" i="5"/>
  <c r="N1999" i="5"/>
  <c r="M2006" i="5"/>
  <c r="I2002" i="5"/>
  <c r="D2002" i="5" s="1" a="1"/>
  <c r="J2003" i="5"/>
  <c r="J2005" i="5"/>
  <c r="K2001" i="5"/>
  <c r="I2005" i="5"/>
  <c r="D2005" i="5" s="1" a="1"/>
  <c r="I2003" i="5"/>
  <c r="H2003" i="5" s="1"/>
  <c r="N1842" i="5"/>
  <c r="M1838" i="5"/>
  <c r="N1840" i="5"/>
  <c r="F1834" i="5"/>
  <c r="G1840" i="5"/>
  <c r="J1836" i="5"/>
  <c r="N1833" i="5"/>
  <c r="J1840" i="5"/>
  <c r="K1836" i="5"/>
  <c r="M1837" i="5"/>
  <c r="M1842" i="5"/>
  <c r="F1842" i="5"/>
  <c r="I1834" i="5"/>
  <c r="H1834" i="5" s="1"/>
  <c r="F1928" i="5"/>
  <c r="M1924" i="5"/>
  <c r="K1929" i="5"/>
  <c r="G1926" i="5"/>
  <c r="F1923" i="5"/>
  <c r="M1929" i="5"/>
  <c r="N1925" i="5"/>
  <c r="G1923" i="5"/>
  <c r="I1926" i="5"/>
  <c r="H1926" i="5" s="1"/>
  <c r="K1932" i="5"/>
  <c r="D1927" i="5" a="1"/>
  <c r="I1928" i="5"/>
  <c r="D1928" i="5" s="1" a="1"/>
  <c r="I1932" i="5"/>
  <c r="D1932" i="5" s="1" a="1"/>
  <c r="N1927" i="5"/>
  <c r="K1923" i="5"/>
  <c r="J2021" i="5"/>
  <c r="F2017" i="5"/>
  <c r="D2014" i="5"/>
  <c r="I2019" i="5"/>
  <c r="F2015" i="5"/>
  <c r="D2019" i="5" a="1"/>
  <c r="G2015" i="5"/>
  <c r="N2019" i="5"/>
  <c r="N2021" i="5"/>
  <c r="M2016" i="5"/>
  <c r="J2014" i="5"/>
  <c r="G2021" i="5"/>
  <c r="N2016" i="5"/>
  <c r="J1807" i="5"/>
  <c r="N1811" i="5"/>
  <c r="I1810" i="5"/>
  <c r="I1808" i="5"/>
  <c r="N1807" i="5"/>
  <c r="D1808" i="5" a="1"/>
  <c r="N1812" i="5"/>
  <c r="G1807" i="5"/>
  <c r="G1810" i="5"/>
  <c r="F1803" i="5"/>
  <c r="K1856" i="5"/>
  <c r="N1848" i="5"/>
  <c r="G1849" i="5"/>
  <c r="J1855" i="5"/>
  <c r="I1851" i="5"/>
  <c r="M1852" i="5"/>
  <c r="I1853" i="5"/>
  <c r="I1857" i="5"/>
  <c r="N1852" i="5"/>
  <c r="K1848" i="5"/>
  <c r="G1851" i="5"/>
  <c r="M1848" i="5"/>
  <c r="H1870" i="5"/>
  <c r="I1866" i="5"/>
  <c r="G1863" i="5"/>
  <c r="K1872" i="5"/>
  <c r="F1871" i="5"/>
  <c r="I1864" i="5"/>
  <c r="D1864" i="5" s="1"/>
  <c r="M1870" i="5"/>
  <c r="N1866" i="5"/>
  <c r="K1864" i="5"/>
  <c r="N1870" i="5"/>
  <c r="G1866" i="5"/>
  <c r="N1868" i="5"/>
  <c r="H1942" i="5"/>
  <c r="F1939" i="5"/>
  <c r="I1946" i="5"/>
  <c r="J1942" i="5"/>
  <c r="J1943" i="5"/>
  <c r="D1946" i="5" a="1"/>
  <c r="K1941" i="5"/>
  <c r="H1938" i="5"/>
  <c r="F1946" i="5"/>
  <c r="M1947" i="5"/>
  <c r="F1947" i="5"/>
  <c r="M1945" i="5"/>
  <c r="F1942" i="5"/>
  <c r="M1939" i="5"/>
  <c r="D1961" i="5" a="1"/>
  <c r="J1956" i="5"/>
  <c r="G1954" i="5"/>
  <c r="M1959" i="5"/>
  <c r="N1959" i="5"/>
  <c r="J1954" i="5"/>
  <c r="H1961" i="5"/>
  <c r="F1957" i="5"/>
  <c r="M1958" i="5"/>
  <c r="J1961" i="5"/>
  <c r="H1958" i="5"/>
  <c r="M1953" i="5"/>
  <c r="K1959" i="5"/>
  <c r="N1955" i="5"/>
  <c r="G2033" i="5"/>
  <c r="N2029" i="5"/>
  <c r="G2037" i="5"/>
  <c r="F2034" i="5"/>
  <c r="D2038" i="5" a="1"/>
  <c r="M2036" i="5"/>
  <c r="I2032" i="5"/>
  <c r="H2029" i="5"/>
  <c r="N2034" i="5"/>
  <c r="J2030" i="5"/>
  <c r="I2028" i="5"/>
  <c r="G2034" i="5"/>
  <c r="K2029" i="5"/>
  <c r="J2036" i="5"/>
  <c r="G2032" i="5"/>
  <c r="N2033" i="5"/>
  <c r="M2051" i="5"/>
  <c r="I2047" i="5"/>
  <c r="J2048" i="5"/>
  <c r="J2050" i="5"/>
  <c r="K2046" i="5"/>
  <c r="H2043" i="5"/>
  <c r="I2050" i="5"/>
  <c r="I2048" i="5"/>
  <c r="N2047" i="5"/>
  <c r="D2048" i="5" a="1"/>
  <c r="N2052" i="5"/>
  <c r="G2047" i="5"/>
  <c r="G2050" i="5"/>
  <c r="F2043" i="5"/>
  <c r="G2150" i="5"/>
  <c r="N2154" i="5"/>
  <c r="N2156" i="5"/>
  <c r="M2151" i="5"/>
  <c r="J2149" i="5"/>
  <c r="G2156" i="5"/>
  <c r="N2151" i="5"/>
  <c r="J2154" i="5"/>
  <c r="M2150" i="5"/>
  <c r="K2156" i="5"/>
  <c r="G2152" i="5"/>
  <c r="N2149" i="5"/>
  <c r="G2247" i="5"/>
  <c r="F2244" i="5"/>
  <c r="J2247" i="5"/>
  <c r="F2245" i="5"/>
  <c r="K2243" i="5"/>
  <c r="K2245" i="5"/>
  <c r="D2241" i="5" a="1"/>
  <c r="J2238" i="5"/>
  <c r="M2245" i="5"/>
  <c r="K2240" i="5"/>
  <c r="N2247" i="5"/>
  <c r="M2243" i="5"/>
  <c r="N2245" i="5"/>
  <c r="H2241" i="5"/>
  <c r="F2239" i="5"/>
  <c r="M2081" i="5"/>
  <c r="I2077" i="5"/>
  <c r="H2077" i="5" s="1"/>
  <c r="H2074" i="5"/>
  <c r="N2079" i="5"/>
  <c r="J2075" i="5"/>
  <c r="I2073" i="5"/>
  <c r="G2079" i="5"/>
  <c r="K2074" i="5"/>
  <c r="J2081" i="5"/>
  <c r="G2077" i="5"/>
  <c r="N2078" i="5"/>
  <c r="N2080" i="5"/>
  <c r="F2073" i="5"/>
  <c r="G2080" i="5"/>
  <c r="J2076" i="5"/>
  <c r="G2073" i="5"/>
  <c r="I2095" i="5"/>
  <c r="H2095" i="5" s="1"/>
  <c r="I2093" i="5"/>
  <c r="N2092" i="5"/>
  <c r="D2093" i="5" a="1"/>
  <c r="N2097" i="5"/>
  <c r="G2092" i="5"/>
  <c r="G2095" i="5"/>
  <c r="H2091" i="5"/>
  <c r="F2088" i="5"/>
  <c r="I2094" i="5"/>
  <c r="G2090" i="5"/>
  <c r="F2095" i="5"/>
  <c r="J2172" i="5"/>
  <c r="K2167" i="5"/>
  <c r="K2168" i="5"/>
  <c r="K2170" i="5"/>
  <c r="J2163" i="5"/>
  <c r="I2170" i="5"/>
  <c r="M2168" i="5"/>
  <c r="F2168" i="5"/>
  <c r="I2165" i="5"/>
  <c r="K2171" i="5"/>
  <c r="N2163" i="5"/>
  <c r="H2170" i="5"/>
  <c r="G2164" i="5"/>
  <c r="K2185" i="5"/>
  <c r="J2180" i="5"/>
  <c r="M2187" i="5"/>
  <c r="G2184" i="5"/>
  <c r="I2180" i="5"/>
  <c r="D2180" i="5" s="1" a="1"/>
  <c r="F2183" i="5"/>
  <c r="M2179" i="5"/>
  <c r="I2186" i="5"/>
  <c r="D2186" i="5" s="1" a="1"/>
  <c r="N2178" i="5"/>
  <c r="I2181" i="5"/>
  <c r="D2181" i="5" s="1" a="1"/>
  <c r="G2178" i="5"/>
  <c r="H2180" i="5"/>
  <c r="F2260" i="5"/>
  <c r="G2255" i="5"/>
  <c r="N2261" i="5"/>
  <c r="M2256" i="5"/>
  <c r="I2254" i="5"/>
  <c r="G2261" i="5"/>
  <c r="K2255" i="5"/>
  <c r="N2262" i="5"/>
  <c r="H2259" i="5"/>
  <c r="F2254" i="5"/>
  <c r="I2261" i="5"/>
  <c r="H2261" i="5" s="1"/>
  <c r="J2257" i="5"/>
  <c r="J2258" i="5"/>
  <c r="G2276" i="5"/>
  <c r="M2271" i="5"/>
  <c r="M2278" i="5"/>
  <c r="K2270" i="5"/>
  <c r="I2268" i="5"/>
  <c r="F2277" i="5"/>
  <c r="K2276" i="5"/>
  <c r="H2272" i="5"/>
  <c r="F2269" i="5"/>
  <c r="J2271" i="5"/>
  <c r="G2269" i="5"/>
  <c r="M2274" i="5"/>
  <c r="J2334" i="5"/>
  <c r="M2330" i="5"/>
  <c r="K2336" i="5"/>
  <c r="G2332" i="5"/>
  <c r="N2334" i="5"/>
  <c r="N2336" i="5"/>
  <c r="M2331" i="5"/>
  <c r="J2329" i="5"/>
  <c r="G2336" i="5"/>
  <c r="N2331" i="5"/>
  <c r="G2330" i="5"/>
  <c r="M2336" i="5"/>
  <c r="N2329" i="5"/>
  <c r="M2112" i="5"/>
  <c r="F2112" i="5"/>
  <c r="I2104" i="5"/>
  <c r="D2104" i="5" s="1"/>
  <c r="H2108" i="5"/>
  <c r="M2103" i="5"/>
  <c r="G2108" i="5"/>
  <c r="G2112" i="5"/>
  <c r="F2109" i="5"/>
  <c r="D2113" i="5" a="1"/>
  <c r="J2112" i="5"/>
  <c r="F2110" i="5"/>
  <c r="K2108" i="5"/>
  <c r="K2110" i="5"/>
  <c r="D2106" i="5" a="1"/>
  <c r="J2103" i="5"/>
  <c r="I2202" i="5"/>
  <c r="N2197" i="5"/>
  <c r="K2193" i="5"/>
  <c r="F2196" i="5"/>
  <c r="N2198" i="5"/>
  <c r="M2201" i="5"/>
  <c r="J2197" i="5"/>
  <c r="J2198" i="5"/>
  <c r="H2202" i="5"/>
  <c r="K2197" i="5"/>
  <c r="H2194" i="5"/>
  <c r="G2199" i="5"/>
  <c r="J2195" i="5"/>
  <c r="I2193" i="5"/>
  <c r="G2291" i="5"/>
  <c r="N2286" i="5"/>
  <c r="D2283" i="5"/>
  <c r="J2289" i="5"/>
  <c r="M2285" i="5"/>
  <c r="K2291" i="5"/>
  <c r="G2287" i="5"/>
  <c r="N2284" i="5"/>
  <c r="I2291" i="5"/>
  <c r="H2291" i="5" s="1"/>
  <c r="G2284" i="5"/>
  <c r="D2291" i="5" a="1"/>
  <c r="I2287" i="5"/>
  <c r="H2287" i="5" s="1"/>
  <c r="H2283" i="5"/>
  <c r="F2291" i="5"/>
  <c r="I2285" i="5"/>
  <c r="F2123" i="5"/>
  <c r="I2120" i="5"/>
  <c r="D2120" i="5" s="1" a="1"/>
  <c r="K2126" i="5"/>
  <c r="N2118" i="5"/>
  <c r="G2119" i="5"/>
  <c r="J2125" i="5"/>
  <c r="I2121" i="5"/>
  <c r="K2128" i="5"/>
  <c r="M2122" i="5"/>
  <c r="I2123" i="5"/>
  <c r="I2127" i="5"/>
  <c r="D2127" i="5" s="1" a="1"/>
  <c r="N2122" i="5"/>
  <c r="K2118" i="5"/>
  <c r="N2138" i="5"/>
  <c r="H2142" i="5"/>
  <c r="J2137" i="5"/>
  <c r="N2141" i="5"/>
  <c r="K2140" i="5"/>
  <c r="J2135" i="5"/>
  <c r="M2142" i="5"/>
  <c r="G2139" i="5"/>
  <c r="I2135" i="5"/>
  <c r="D2135" i="5" s="1" a="1"/>
  <c r="F2138" i="5"/>
  <c r="M2134" i="5"/>
  <c r="N2217" i="5"/>
  <c r="H2214" i="5"/>
  <c r="H2212" i="5"/>
  <c r="F2209" i="5"/>
  <c r="I2216" i="5"/>
  <c r="J2212" i="5"/>
  <c r="J2213" i="5"/>
  <c r="D2216" i="5" a="1"/>
  <c r="K2211" i="5"/>
  <c r="H2208" i="5"/>
  <c r="F2216" i="5"/>
  <c r="M2217" i="5"/>
  <c r="F2217" i="5"/>
  <c r="K2229" i="5"/>
  <c r="N2225" i="5"/>
  <c r="F2229" i="5"/>
  <c r="F2225" i="5"/>
  <c r="J2232" i="5"/>
  <c r="K2227" i="5"/>
  <c r="K2228" i="5"/>
  <c r="G2231" i="5"/>
  <c r="M2226" i="5"/>
  <c r="H2229" i="5"/>
  <c r="K2225" i="5"/>
  <c r="I2223" i="5"/>
  <c r="D2223" i="5" s="1"/>
  <c r="F2232" i="5"/>
  <c r="J2304" i="5"/>
  <c r="F2301" i="5"/>
  <c r="G2303" i="5"/>
  <c r="N2299" i="5"/>
  <c r="G2307" i="5"/>
  <c r="F2304" i="5"/>
  <c r="D2308" i="5" a="1"/>
  <c r="M2306" i="5"/>
  <c r="I2302" i="5"/>
  <c r="H2299" i="5"/>
  <c r="N2304" i="5"/>
  <c r="J2300" i="5"/>
  <c r="I2298" i="5"/>
  <c r="D2298" i="5" s="1"/>
  <c r="G2304" i="5"/>
  <c r="K2299" i="5"/>
  <c r="N2321" i="5"/>
  <c r="J2321" i="5"/>
  <c r="N2313" i="5"/>
  <c r="J2317" i="5"/>
  <c r="J2320" i="5"/>
  <c r="K2316" i="5"/>
  <c r="M2317" i="5"/>
  <c r="J2313" i="5"/>
  <c r="F2317" i="5"/>
  <c r="M2318" i="5"/>
  <c r="J2319" i="5"/>
  <c r="M2315" i="5"/>
  <c r="G2571" i="5"/>
  <c r="M2568" i="5"/>
  <c r="I2575" i="5"/>
  <c r="D2575" i="5" s="1" a="1"/>
  <c r="M2573" i="5"/>
  <c r="H2575" i="5"/>
  <c r="F2570" i="5"/>
  <c r="K2576" i="5"/>
  <c r="M2570" i="5"/>
  <c r="K2577" i="5"/>
  <c r="M2571" i="5"/>
  <c r="G2575" i="5"/>
  <c r="J2569" i="5"/>
  <c r="N2379" i="5"/>
  <c r="N2381" i="5"/>
  <c r="M2376" i="5"/>
  <c r="J2374" i="5"/>
  <c r="G2381" i="5"/>
  <c r="N2376" i="5"/>
  <c r="J2379" i="5"/>
  <c r="M2375" i="5"/>
  <c r="K2381" i="5"/>
  <c r="G2377" i="5"/>
  <c r="N2374" i="5"/>
  <c r="I2381" i="5"/>
  <c r="H2381" i="5" s="1"/>
  <c r="G2374" i="5"/>
  <c r="J2472" i="5"/>
  <c r="F2470" i="5"/>
  <c r="K2468" i="5"/>
  <c r="K2470" i="5"/>
  <c r="D2466" i="5" a="1"/>
  <c r="J2463" i="5"/>
  <c r="M2470" i="5"/>
  <c r="K2465" i="5"/>
  <c r="N2472" i="5"/>
  <c r="M2468" i="5"/>
  <c r="N2470" i="5"/>
  <c r="H2466" i="5"/>
  <c r="F2464" i="5"/>
  <c r="G2470" i="5"/>
  <c r="J2466" i="5"/>
  <c r="N2463" i="5"/>
  <c r="I2547" i="5"/>
  <c r="M2542" i="5"/>
  <c r="J2538" i="5"/>
  <c r="M2546" i="5"/>
  <c r="K2540" i="5"/>
  <c r="J2546" i="5"/>
  <c r="M2540" i="5"/>
  <c r="I2546" i="5"/>
  <c r="H2546" i="5" s="1"/>
  <c r="N2540" i="5"/>
  <c r="D2546" i="5" a="1"/>
  <c r="J2543" i="5"/>
  <c r="G2543" i="5"/>
  <c r="N2538" i="5"/>
  <c r="I2560" i="5"/>
  <c r="H2560" i="5" s="1"/>
  <c r="D2555" i="5" a="1"/>
  <c r="K2562" i="5"/>
  <c r="D2557" i="5" a="1"/>
  <c r="I2558" i="5"/>
  <c r="K2561" i="5"/>
  <c r="H2555" i="5"/>
  <c r="D2560" i="5" a="1"/>
  <c r="J2558" i="5"/>
  <c r="G2558" i="5"/>
  <c r="F2554" i="5"/>
  <c r="J2559" i="5"/>
  <c r="M2554" i="5"/>
  <c r="F2560" i="5"/>
  <c r="J2561" i="5"/>
  <c r="G2555" i="5"/>
  <c r="M2621" i="5"/>
  <c r="I2617" i="5"/>
  <c r="H2617" i="5" s="1"/>
  <c r="H2614" i="5"/>
  <c r="N2619" i="5"/>
  <c r="J2615" i="5"/>
  <c r="I2613" i="5"/>
  <c r="G2619" i="5"/>
  <c r="K2614" i="5"/>
  <c r="I2621" i="5"/>
  <c r="J2617" i="5"/>
  <c r="J2618" i="5"/>
  <c r="N2613" i="5"/>
  <c r="N2618" i="5"/>
  <c r="M2615" i="5"/>
  <c r="F2617" i="5"/>
  <c r="F2614" i="5"/>
  <c r="M2613" i="5"/>
  <c r="N2394" i="5"/>
  <c r="J2390" i="5"/>
  <c r="I2388" i="5"/>
  <c r="H2388" i="5" s="1"/>
  <c r="G2394" i="5"/>
  <c r="K2389" i="5"/>
  <c r="J2396" i="5"/>
  <c r="G2392" i="5"/>
  <c r="N2393" i="5"/>
  <c r="N2395" i="5"/>
  <c r="H2391" i="5"/>
  <c r="F2388" i="5"/>
  <c r="G2395" i="5"/>
  <c r="J2391" i="5"/>
  <c r="G2388" i="5"/>
  <c r="H2390" i="5"/>
  <c r="M2412" i="5"/>
  <c r="G2409" i="5"/>
  <c r="I2405" i="5"/>
  <c r="D2405" i="5" s="1" a="1"/>
  <c r="F2408" i="5"/>
  <c r="M2404" i="5"/>
  <c r="I2411" i="5"/>
  <c r="D2411" i="5" s="1" a="1"/>
  <c r="N2403" i="5"/>
  <c r="H2410" i="5"/>
  <c r="I2406" i="5"/>
  <c r="D2406" i="5" s="1" a="1"/>
  <c r="G2403" i="5"/>
  <c r="H2405" i="5"/>
  <c r="K2412" i="5"/>
  <c r="F2411" i="5"/>
  <c r="I2404" i="5"/>
  <c r="K2485" i="5"/>
  <c r="J2478" i="5"/>
  <c r="I2485" i="5"/>
  <c r="M2483" i="5"/>
  <c r="F2483" i="5"/>
  <c r="I2480" i="5"/>
  <c r="D2480" i="5" s="1" a="1"/>
  <c r="K2486" i="5"/>
  <c r="N2478" i="5"/>
  <c r="H2485" i="5"/>
  <c r="G2479" i="5"/>
  <c r="J2485" i="5"/>
  <c r="I2481" i="5"/>
  <c r="D2481" i="5" s="1" a="1"/>
  <c r="K2495" i="5"/>
  <c r="I2493" i="5"/>
  <c r="F2502" i="5"/>
  <c r="K2501" i="5"/>
  <c r="H2497" i="5"/>
  <c r="F2494" i="5"/>
  <c r="J2496" i="5"/>
  <c r="G2494" i="5"/>
  <c r="M2499" i="5"/>
  <c r="N2499" i="5"/>
  <c r="J2494" i="5"/>
  <c r="G2592" i="5"/>
  <c r="G2588" i="5"/>
  <c r="N2584" i="5"/>
  <c r="J2591" i="5"/>
  <c r="H2588" i="5"/>
  <c r="M2583" i="5"/>
  <c r="G2589" i="5"/>
  <c r="K2584" i="5"/>
  <c r="N2589" i="5"/>
  <c r="G2584" i="5"/>
  <c r="M2588" i="5"/>
  <c r="I2589" i="5"/>
  <c r="I2584" i="5"/>
  <c r="K2592" i="5"/>
  <c r="F2421" i="5"/>
  <c r="N2423" i="5"/>
  <c r="M2426" i="5"/>
  <c r="J2422" i="5"/>
  <c r="J2423" i="5"/>
  <c r="K2422" i="5"/>
  <c r="G2424" i="5"/>
  <c r="J2420" i="5"/>
  <c r="I2418" i="5"/>
  <c r="D2418" i="5" s="1"/>
  <c r="I2425" i="5"/>
  <c r="D2425" i="5" s="1" a="1"/>
  <c r="J2514" i="5"/>
  <c r="M2510" i="5"/>
  <c r="K2516" i="5"/>
  <c r="G2512" i="5"/>
  <c r="N2509" i="5"/>
  <c r="I2516" i="5"/>
  <c r="H2516" i="5" s="1"/>
  <c r="G2509" i="5"/>
  <c r="D2516" i="5" a="1"/>
  <c r="I2512" i="5"/>
  <c r="H2512" i="5" s="1"/>
  <c r="H2508" i="5"/>
  <c r="F2516" i="5"/>
  <c r="I2510" i="5"/>
  <c r="D2510" i="5" s="1" a="1"/>
  <c r="K2509" i="5"/>
  <c r="G2348" i="5"/>
  <c r="N2344" i="5"/>
  <c r="G2352" i="5"/>
  <c r="F2349" i="5"/>
  <c r="D2353" i="5" a="1"/>
  <c r="N2351" i="5"/>
  <c r="M2346" i="5"/>
  <c r="I2344" i="5"/>
  <c r="H2344" i="5" s="1"/>
  <c r="G2351" i="5"/>
  <c r="K2345" i="5"/>
  <c r="N2352" i="5"/>
  <c r="H2349" i="5"/>
  <c r="J2352" i="5"/>
  <c r="I2347" i="5"/>
  <c r="D2347" i="5" s="1" a="1"/>
  <c r="M2366" i="5"/>
  <c r="I2362" i="5"/>
  <c r="D2362" i="5" s="1" a="1"/>
  <c r="J2363" i="5"/>
  <c r="J2365" i="5"/>
  <c r="K2361" i="5"/>
  <c r="I2365" i="5"/>
  <c r="H2366" i="5"/>
  <c r="F2362" i="5"/>
  <c r="M2363" i="5"/>
  <c r="J2366" i="5"/>
  <c r="M2358" i="5"/>
  <c r="K2364" i="5"/>
  <c r="N2360" i="5"/>
  <c r="M2362" i="5"/>
  <c r="J2360" i="5"/>
  <c r="I2439" i="5"/>
  <c r="F2435" i="5"/>
  <c r="J2442" i="5"/>
  <c r="K2437" i="5"/>
  <c r="K2438" i="5"/>
  <c r="K2440" i="5"/>
  <c r="J2433" i="5"/>
  <c r="I2440" i="5"/>
  <c r="M2438" i="5"/>
  <c r="F2438" i="5"/>
  <c r="I2435" i="5"/>
  <c r="H2457" i="5"/>
  <c r="J2452" i="5"/>
  <c r="N2456" i="5"/>
  <c r="K2455" i="5"/>
  <c r="J2450" i="5"/>
  <c r="M2457" i="5"/>
  <c r="G2454" i="5"/>
  <c r="I2450" i="5"/>
  <c r="D2450" i="5" s="1" a="1"/>
  <c r="F2453" i="5"/>
  <c r="M2449" i="5"/>
  <c r="I2456" i="5"/>
  <c r="N2448" i="5"/>
  <c r="N2530" i="5"/>
  <c r="H2526" i="5"/>
  <c r="F2523" i="5"/>
  <c r="G2530" i="5"/>
  <c r="J2526" i="5"/>
  <c r="G2523" i="5"/>
  <c r="K2532" i="5"/>
  <c r="J2524" i="5"/>
  <c r="H2531" i="5"/>
  <c r="N2526" i="5"/>
  <c r="N2532" i="5"/>
  <c r="K2637" i="5"/>
  <c r="F2636" i="5"/>
  <c r="I2629" i="5"/>
  <c r="D2629" i="5" s="1"/>
  <c r="M2635" i="5"/>
  <c r="N2631" i="5"/>
  <c r="K2629" i="5"/>
  <c r="N2635" i="5"/>
  <c r="G2631" i="5"/>
  <c r="G2635" i="5"/>
  <c r="F2634" i="5"/>
  <c r="H2631" i="5"/>
  <c r="N2629" i="5"/>
  <c r="M2606" i="5"/>
  <c r="J2602" i="5"/>
  <c r="J2603" i="5"/>
  <c r="K2602" i="5"/>
  <c r="F2606" i="5"/>
  <c r="I2600" i="5"/>
  <c r="H2600" i="5" s="1"/>
  <c r="K2604" i="5"/>
  <c r="G2601" i="5"/>
  <c r="F2598" i="5"/>
  <c r="M2599" i="5"/>
  <c r="D2600" i="5" a="1"/>
  <c r="J2598" i="5"/>
  <c r="K2598" i="5"/>
  <c r="I2696" i="5"/>
  <c r="G2689" i="5"/>
  <c r="D2696" i="5" a="1"/>
  <c r="I2692" i="5"/>
  <c r="H2688" i="5"/>
  <c r="F2696" i="5"/>
  <c r="I2690" i="5"/>
  <c r="D2690" i="5" s="1" a="1"/>
  <c r="M2698" i="5"/>
  <c r="K2689" i="5"/>
  <c r="J2696" i="5"/>
  <c r="F2692" i="5"/>
  <c r="I2694" i="5"/>
  <c r="H2694" i="5" s="1"/>
  <c r="F2690" i="5"/>
  <c r="J2710" i="5"/>
  <c r="I2706" i="5"/>
  <c r="H2706" i="5" s="1"/>
  <c r="M2707" i="5"/>
  <c r="I2708" i="5"/>
  <c r="D2708" i="5" s="1" a="1"/>
  <c r="I2712" i="5"/>
  <c r="N2707" i="5"/>
  <c r="K2703" i="5"/>
  <c r="G2706" i="5"/>
  <c r="M2703" i="5"/>
  <c r="H2712" i="5"/>
  <c r="I2709" i="5"/>
  <c r="F2705" i="5"/>
  <c r="M2727" i="5"/>
  <c r="G2724" i="5"/>
  <c r="I2720" i="5"/>
  <c r="H2720" i="5" s="1"/>
  <c r="K2724" i="5"/>
  <c r="K2723" i="5"/>
  <c r="G2726" i="5"/>
  <c r="I2718" i="5"/>
  <c r="F2726" i="5"/>
  <c r="M2724" i="5"/>
  <c r="N2719" i="5"/>
  <c r="K2726" i="5"/>
  <c r="I2722" i="5"/>
  <c r="G2718" i="5"/>
  <c r="G2651" i="5"/>
  <c r="N2646" i="5"/>
  <c r="D2643" i="5"/>
  <c r="J2649" i="5"/>
  <c r="M2645" i="5"/>
  <c r="K2651" i="5"/>
  <c r="G2647" i="5"/>
  <c r="N2644" i="5"/>
  <c r="I2651" i="5"/>
  <c r="H2651" i="5" s="1"/>
  <c r="G2644" i="5"/>
  <c r="D2651" i="5" a="1"/>
  <c r="I2647" i="5"/>
  <c r="H2647" i="5" s="1"/>
  <c r="H2643" i="5"/>
  <c r="F2651" i="5"/>
  <c r="I2645" i="5"/>
  <c r="M2802" i="5"/>
  <c r="F2802" i="5"/>
  <c r="D2794" i="5"/>
  <c r="N2799" i="5"/>
  <c r="J2795" i="5"/>
  <c r="I2793" i="5"/>
  <c r="H2793" i="5" s="1"/>
  <c r="G2802" i="5"/>
  <c r="J2796" i="5"/>
  <c r="G2797" i="5"/>
  <c r="D2793" i="5"/>
  <c r="F2800" i="5"/>
  <c r="H2794" i="5"/>
  <c r="M2799" i="5"/>
  <c r="J2798" i="5"/>
  <c r="G2661" i="5"/>
  <c r="M2658" i="5"/>
  <c r="I2664" i="5"/>
  <c r="D2664" i="5" s="1" a="1"/>
  <c r="F2660" i="5"/>
  <c r="J2667" i="5"/>
  <c r="K2662" i="5"/>
  <c r="K2663" i="5"/>
  <c r="K2665" i="5"/>
  <c r="J2658" i="5"/>
  <c r="I2665" i="5"/>
  <c r="D2665" i="5" s="1" a="1"/>
  <c r="M2663" i="5"/>
  <c r="I2681" i="5"/>
  <c r="N2673" i="5"/>
  <c r="H2680" i="5"/>
  <c r="I2676" i="5"/>
  <c r="D2676" i="5" s="1" a="1"/>
  <c r="G2673" i="5"/>
  <c r="K2682" i="5"/>
  <c r="F2681" i="5"/>
  <c r="I2674" i="5"/>
  <c r="D2674" i="5" s="1"/>
  <c r="M2680" i="5"/>
  <c r="N2676" i="5"/>
  <c r="K2674" i="5"/>
  <c r="N2680" i="5"/>
  <c r="G2676" i="5"/>
  <c r="K2787" i="5"/>
  <c r="I2783" i="5"/>
  <c r="K2782" i="5"/>
  <c r="J2784" i="5"/>
  <c r="M2779" i="5"/>
  <c r="N2782" i="5"/>
  <c r="J2786" i="5"/>
  <c r="G2780" i="5"/>
  <c r="K2786" i="5"/>
  <c r="G2781" i="5"/>
  <c r="M2786" i="5"/>
  <c r="N2780" i="5"/>
  <c r="H2784" i="5"/>
  <c r="F2779" i="5"/>
  <c r="F2738" i="5"/>
  <c r="M2734" i="5"/>
  <c r="I2740" i="5"/>
  <c r="N2736" i="5"/>
  <c r="J2742" i="5"/>
  <c r="N2735" i="5"/>
  <c r="F2741" i="5"/>
  <c r="N2734" i="5"/>
  <c r="I2741" i="5"/>
  <c r="D2741" i="5" s="1" a="1"/>
  <c r="K2736" i="5"/>
  <c r="I2737" i="5"/>
  <c r="J2733" i="5"/>
  <c r="J2814" i="5"/>
  <c r="M2810" i="5"/>
  <c r="H2814" i="5"/>
  <c r="K2810" i="5"/>
  <c r="I2808" i="5"/>
  <c r="F2816" i="5"/>
  <c r="K2815" i="5"/>
  <c r="G2808" i="5"/>
  <c r="K2812" i="5"/>
  <c r="M2812" i="5"/>
  <c r="J2817" i="5"/>
  <c r="K2811" i="5"/>
  <c r="I2754" i="5"/>
  <c r="D2754" i="5" s="1" a="1"/>
  <c r="D2758" i="5" a="1"/>
  <c r="G2756" i="5"/>
  <c r="F2750" i="5"/>
  <c r="M2755" i="5"/>
  <c r="G2750" i="5"/>
  <c r="H2750" i="5"/>
  <c r="J2756" i="5"/>
  <c r="I2751" i="5"/>
  <c r="H2751" i="5" s="1"/>
  <c r="J2752" i="5"/>
  <c r="M2769" i="5"/>
  <c r="D2766" i="5" a="1"/>
  <c r="F2769" i="5"/>
  <c r="F2765" i="5"/>
  <c r="I2771" i="5"/>
  <c r="N2765" i="5"/>
  <c r="K2770" i="5"/>
  <c r="M2772" i="5"/>
  <c r="H2766" i="5"/>
  <c r="N2772" i="5"/>
  <c r="G2772" i="5"/>
  <c r="I2772" i="5"/>
  <c r="D2772" i="5" s="1" a="1"/>
  <c r="M2766" i="5"/>
  <c r="K2846" i="5"/>
  <c r="J2842" i="5"/>
  <c r="J2843" i="5"/>
  <c r="D2844" i="5" a="1"/>
  <c r="H2840" i="5"/>
  <c r="K2845" i="5"/>
  <c r="D2841" i="5" a="1"/>
  <c r="J2838" i="5"/>
  <c r="I2845" i="5"/>
  <c r="M2843" i="5"/>
  <c r="G2842" i="5"/>
  <c r="N2843" i="5"/>
  <c r="N2845" i="5"/>
  <c r="H2841" i="5"/>
  <c r="F2838" i="5"/>
  <c r="F2903" i="5"/>
  <c r="M2899" i="5"/>
  <c r="I2901" i="5"/>
  <c r="D2907" i="5" a="1"/>
  <c r="J2901" i="5"/>
  <c r="H2898" i="5"/>
  <c r="N2904" i="5"/>
  <c r="N2903" i="5"/>
  <c r="I2905" i="5"/>
  <c r="K2900" i="5"/>
  <c r="N2906" i="5"/>
  <c r="F2901" i="5"/>
  <c r="F2898" i="5"/>
  <c r="F2905" i="5"/>
  <c r="I2903" i="5"/>
  <c r="I2950" i="5"/>
  <c r="I2948" i="5"/>
  <c r="N2951" i="5"/>
  <c r="D2947" i="5" a="1"/>
  <c r="G2948" i="5"/>
  <c r="N2943" i="5"/>
  <c r="H2948" i="5"/>
  <c r="F2947" i="5"/>
  <c r="G2947" i="5"/>
  <c r="D2943" i="5"/>
  <c r="H2947" i="5"/>
  <c r="F2943" i="5"/>
  <c r="G2946" i="5"/>
  <c r="I2967" i="5"/>
  <c r="H2967" i="5" s="1"/>
  <c r="N2962" i="5"/>
  <c r="K2958" i="5"/>
  <c r="G2964" i="5"/>
  <c r="J2960" i="5"/>
  <c r="I2958" i="5"/>
  <c r="I2962" i="5"/>
  <c r="H2962" i="5" s="1"/>
  <c r="D2967" i="5" a="1"/>
  <c r="M2960" i="5"/>
  <c r="N2959" i="5"/>
  <c r="M2859" i="5"/>
  <c r="D2856" i="5" a="1"/>
  <c r="F2858" i="5"/>
  <c r="J2853" i="5"/>
  <c r="G2862" i="5"/>
  <c r="J2857" i="5"/>
  <c r="D2853" i="5"/>
  <c r="M2857" i="5"/>
  <c r="K2854" i="5"/>
  <c r="N2860" i="5"/>
  <c r="G2855" i="5"/>
  <c r="J2861" i="5"/>
  <c r="J2855" i="5"/>
  <c r="G2874" i="5"/>
  <c r="J2870" i="5"/>
  <c r="I2868" i="5"/>
  <c r="H2868" i="5" s="1"/>
  <c r="N2874" i="5"/>
  <c r="D2868" i="5"/>
  <c r="G2873" i="5"/>
  <c r="F2874" i="5"/>
  <c r="K2873" i="5"/>
  <c r="G2876" i="5"/>
  <c r="G2871" i="5"/>
  <c r="I2877" i="5"/>
  <c r="N2870" i="5"/>
  <c r="I2892" i="5"/>
  <c r="N2887" i="5"/>
  <c r="K2883" i="5"/>
  <c r="D2888" i="5" a="1"/>
  <c r="I2885" i="5"/>
  <c r="H2885" i="5" s="1"/>
  <c r="I2891" i="5"/>
  <c r="K2886" i="5"/>
  <c r="J2883" i="5"/>
  <c r="K2888" i="5"/>
  <c r="M2885" i="5"/>
  <c r="J2892" i="5"/>
  <c r="F2887" i="5"/>
  <c r="N2883" i="5"/>
  <c r="I2934" i="5"/>
  <c r="D2934" i="5" s="1" a="1"/>
  <c r="F2930" i="5"/>
  <c r="N2936" i="5"/>
  <c r="D2931" i="5" a="1"/>
  <c r="N2935" i="5"/>
  <c r="K2928" i="5"/>
  <c r="F2936" i="5"/>
  <c r="I2929" i="5"/>
  <c r="K2934" i="5"/>
  <c r="D2929" i="5"/>
  <c r="I2928" i="5"/>
  <c r="H2928" i="5" s="1"/>
  <c r="K2930" i="5"/>
  <c r="K2829" i="5"/>
  <c r="G2826" i="5"/>
  <c r="F2823" i="5"/>
  <c r="H2830" i="5"/>
  <c r="D2830" i="5" a="1"/>
  <c r="F2826" i="5"/>
  <c r="K2825" i="5"/>
  <c r="G2824" i="5"/>
  <c r="N2827" i="5"/>
  <c r="F2831" i="5"/>
  <c r="J2824" i="5"/>
  <c r="K2827" i="5"/>
  <c r="H2823" i="5"/>
  <c r="J2826" i="5"/>
  <c r="K2982" i="5"/>
  <c r="G2976" i="5"/>
  <c r="M2973" i="5"/>
  <c r="I2980" i="5"/>
  <c r="D2980" i="5" s="1" a="1"/>
  <c r="M2978" i="5"/>
  <c r="M2982" i="5"/>
  <c r="N2982" i="5"/>
  <c r="K2976" i="5"/>
  <c r="K2981" i="5"/>
  <c r="N2975" i="5"/>
  <c r="I2981" i="5"/>
  <c r="G2980" i="5"/>
  <c r="J2974" i="5"/>
  <c r="M2921" i="5"/>
  <c r="J2917" i="5"/>
  <c r="K2921" i="5"/>
  <c r="G2917" i="5"/>
  <c r="N2914" i="5"/>
  <c r="I2920" i="5"/>
  <c r="D2914" i="5"/>
  <c r="F2918" i="5"/>
  <c r="F2922" i="5"/>
  <c r="G2914" i="5"/>
  <c r="J2913" i="5"/>
  <c r="J2914" i="5"/>
  <c r="M2917" i="5"/>
  <c r="M2913" i="5"/>
  <c r="M3003" i="5"/>
  <c r="I3008" i="5"/>
  <c r="N3010" i="5"/>
  <c r="J3006" i="5"/>
  <c r="M3012" i="5"/>
  <c r="G3004" i="5"/>
  <c r="J3007" i="5"/>
  <c r="M3006" i="5"/>
  <c r="J3012" i="5"/>
  <c r="H3003" i="5"/>
  <c r="F3004" i="5"/>
  <c r="F3083" i="5"/>
  <c r="M3079" i="5"/>
  <c r="D3087" i="5" a="1"/>
  <c r="N3082" i="5"/>
  <c r="K3086" i="5"/>
  <c r="N3083" i="5"/>
  <c r="J3082" i="5"/>
  <c r="G3087" i="5"/>
  <c r="H3087" i="5"/>
  <c r="J3081" i="5"/>
  <c r="I3086" i="5"/>
  <c r="N3080" i="5"/>
  <c r="D3086" i="5" a="1"/>
  <c r="G3080" i="5"/>
  <c r="D3147" i="5" a="1"/>
  <c r="F3143" i="5"/>
  <c r="M3139" i="5"/>
  <c r="H3144" i="5"/>
  <c r="M3147" i="5"/>
  <c r="G3139" i="5"/>
  <c r="H3141" i="5"/>
  <c r="H3147" i="5"/>
  <c r="G3140" i="5"/>
  <c r="F3144" i="5"/>
  <c r="M3145" i="5"/>
  <c r="I3143" i="5"/>
  <c r="M3141" i="5"/>
  <c r="K3147" i="5"/>
  <c r="N3139" i="5"/>
  <c r="N3204" i="5"/>
  <c r="J3200" i="5"/>
  <c r="I3198" i="5"/>
  <c r="N3203" i="5"/>
  <c r="G3204" i="5"/>
  <c r="I3206" i="5"/>
  <c r="H3206" i="5" s="1"/>
  <c r="I3204" i="5"/>
  <c r="D3204" i="5" s="1" a="1"/>
  <c r="M3205" i="5"/>
  <c r="N3200" i="5"/>
  <c r="M3200" i="5"/>
  <c r="F3200" i="5"/>
  <c r="K3057" i="5"/>
  <c r="I3052" i="5"/>
  <c r="D3052" i="5" s="1" a="1"/>
  <c r="G3052" i="5"/>
  <c r="F3051" i="5"/>
  <c r="H3052" i="5"/>
  <c r="D3049" i="5"/>
  <c r="F3049" i="5"/>
  <c r="I3048" i="5"/>
  <c r="H3048" i="5" s="1"/>
  <c r="F3054" i="5"/>
  <c r="J3048" i="5"/>
  <c r="I3070" i="5"/>
  <c r="M3068" i="5"/>
  <c r="N3071" i="5"/>
  <c r="M3066" i="5"/>
  <c r="I3064" i="5"/>
  <c r="H3064" i="5" s="1"/>
  <c r="G3070" i="5"/>
  <c r="H3068" i="5"/>
  <c r="J3071" i="5"/>
  <c r="F3066" i="5"/>
  <c r="J3072" i="5"/>
  <c r="K3066" i="5"/>
  <c r="J3067" i="5"/>
  <c r="G3063" i="5"/>
  <c r="H2996" i="5"/>
  <c r="F2992" i="5"/>
  <c r="M2993" i="5"/>
  <c r="G2996" i="5"/>
  <c r="G2991" i="5"/>
  <c r="F2988" i="5"/>
  <c r="K2991" i="5"/>
  <c r="M2994" i="5"/>
  <c r="G2989" i="5"/>
  <c r="F2996" i="5"/>
  <c r="M2996" i="5"/>
  <c r="N2989" i="5"/>
  <c r="G2993" i="5"/>
  <c r="I2995" i="5"/>
  <c r="K3187" i="5"/>
  <c r="G3190" i="5"/>
  <c r="J3185" i="5"/>
  <c r="K3192" i="5"/>
  <c r="F3187" i="5"/>
  <c r="G3183" i="5"/>
  <c r="F3186" i="5"/>
  <c r="J3189" i="5"/>
  <c r="K3183" i="5"/>
  <c r="D3193" i="5" a="1"/>
  <c r="F3183" i="5"/>
  <c r="N3191" i="5"/>
  <c r="K3024" i="5"/>
  <c r="M3020" i="5"/>
  <c r="K3022" i="5"/>
  <c r="D3019" i="5"/>
  <c r="F3026" i="5"/>
  <c r="M3023" i="5"/>
  <c r="F3027" i="5"/>
  <c r="G3019" i="5"/>
  <c r="J3025" i="5"/>
  <c r="N3027" i="5"/>
  <c r="I3022" i="5"/>
  <c r="K3018" i="5"/>
  <c r="F3039" i="5"/>
  <c r="F3035" i="5"/>
  <c r="G3042" i="5"/>
  <c r="K3037" i="5"/>
  <c r="M3037" i="5"/>
  <c r="K3034" i="5"/>
  <c r="N3040" i="5"/>
  <c r="J3041" i="5"/>
  <c r="D3036" i="5" a="1"/>
  <c r="F3038" i="5"/>
  <c r="G3038" i="5"/>
  <c r="G3117" i="5"/>
  <c r="F3114" i="5"/>
  <c r="N3115" i="5"/>
  <c r="F3108" i="5"/>
  <c r="I3111" i="5"/>
  <c r="M3115" i="5"/>
  <c r="J3115" i="5"/>
  <c r="J3114" i="5"/>
  <c r="N3113" i="5"/>
  <c r="I3115" i="5"/>
  <c r="D3115" i="5" s="1" a="1"/>
  <c r="K3113" i="5"/>
  <c r="I3108" i="5"/>
  <c r="G3132" i="5"/>
  <c r="K3127" i="5"/>
  <c r="K3128" i="5"/>
  <c r="D3131" i="5" a="1"/>
  <c r="J3126" i="5"/>
  <c r="G3124" i="5"/>
  <c r="J3125" i="5"/>
  <c r="G3128" i="5"/>
  <c r="N3123" i="5"/>
  <c r="M3127" i="5"/>
  <c r="K3132" i="5"/>
  <c r="J3131" i="5"/>
  <c r="M3125" i="5"/>
  <c r="M3220" i="5"/>
  <c r="N3216" i="5"/>
  <c r="K3214" i="5"/>
  <c r="G3220" i="5"/>
  <c r="J3215" i="5"/>
  <c r="K3221" i="5"/>
  <c r="I3217" i="5"/>
  <c r="J3217" i="5"/>
  <c r="I3214" i="5"/>
  <c r="H3214" i="5" s="1"/>
  <c r="F3219" i="5"/>
  <c r="J3214" i="5"/>
  <c r="N3220" i="5"/>
  <c r="G3215" i="5"/>
  <c r="D3237" i="5" a="1"/>
  <c r="F3233" i="5"/>
  <c r="M3229" i="5"/>
  <c r="M3234" i="5"/>
  <c r="K3229" i="5"/>
  <c r="N3235" i="5"/>
  <c r="J3231" i="5"/>
  <c r="F3237" i="5"/>
  <c r="N3233" i="5"/>
  <c r="M3231" i="5"/>
  <c r="F3235" i="5"/>
  <c r="I3229" i="5"/>
  <c r="N3309" i="5"/>
  <c r="J3304" i="5"/>
  <c r="D3311" i="5" a="1"/>
  <c r="K3306" i="5"/>
  <c r="J3307" i="5"/>
  <c r="K3303" i="5"/>
  <c r="F3309" i="5"/>
  <c r="K3308" i="5"/>
  <c r="H3311" i="5"/>
  <c r="M3309" i="5"/>
  <c r="I3305" i="5"/>
  <c r="H3305" i="5" s="1"/>
  <c r="G3305" i="5"/>
  <c r="H3308" i="5"/>
  <c r="G3303" i="5"/>
  <c r="N3307" i="5"/>
  <c r="K3099" i="5"/>
  <c r="G3096" i="5"/>
  <c r="F3093" i="5"/>
  <c r="J3099" i="5"/>
  <c r="M3095" i="5"/>
  <c r="N3101" i="5"/>
  <c r="G3095" i="5"/>
  <c r="J3100" i="5"/>
  <c r="K3093" i="5"/>
  <c r="J3097" i="5"/>
  <c r="G3093" i="5"/>
  <c r="F3102" i="5"/>
  <c r="I3094" i="5"/>
  <c r="H3094" i="5" s="1"/>
  <c r="F3099" i="5"/>
  <c r="N3093" i="5"/>
  <c r="J3157" i="5"/>
  <c r="F3162" i="5"/>
  <c r="G3154" i="5"/>
  <c r="H3159" i="5"/>
  <c r="K3153" i="5"/>
  <c r="N3156" i="5"/>
  <c r="G3161" i="5"/>
  <c r="I3154" i="5"/>
  <c r="F3161" i="5"/>
  <c r="N3162" i="5"/>
  <c r="K3158" i="5"/>
  <c r="K3157" i="5"/>
  <c r="H3177" i="5"/>
  <c r="J3172" i="5"/>
  <c r="I3176" i="5"/>
  <c r="H3176" i="5" s="1"/>
  <c r="K3171" i="5"/>
  <c r="J3176" i="5"/>
  <c r="N3177" i="5"/>
  <c r="K3170" i="5"/>
  <c r="N3168" i="5"/>
  <c r="N3170" i="5"/>
  <c r="K3175" i="5"/>
  <c r="D3169" i="5"/>
  <c r="M3173" i="5"/>
  <c r="I3251" i="5"/>
  <c r="J3247" i="5"/>
  <c r="K3251" i="5"/>
  <c r="H3248" i="5"/>
  <c r="N3243" i="5"/>
  <c r="F3252" i="5"/>
  <c r="K3244" i="5"/>
  <c r="F3248" i="5"/>
  <c r="M3244" i="5"/>
  <c r="I3246" i="5"/>
  <c r="N3252" i="5"/>
  <c r="F3247" i="5"/>
  <c r="J3243" i="5"/>
  <c r="K3246" i="5"/>
  <c r="K3252" i="5"/>
  <c r="M3246" i="5"/>
  <c r="G3267" i="5"/>
  <c r="M3264" i="5"/>
  <c r="F3266" i="5"/>
  <c r="I3259" i="5"/>
  <c r="H3259" i="5" s="1"/>
  <c r="D3265" i="5" a="1"/>
  <c r="F3261" i="5"/>
  <c r="K3258" i="5"/>
  <c r="H3265" i="5"/>
  <c r="I3261" i="5"/>
  <c r="G3258" i="5"/>
  <c r="D3259" i="5"/>
  <c r="N3263" i="5"/>
  <c r="M3259" i="5"/>
  <c r="N3260" i="5"/>
  <c r="N3355" i="5"/>
  <c r="G3351" i="5"/>
  <c r="G3355" i="5"/>
  <c r="J3350" i="5"/>
  <c r="H3355" i="5"/>
  <c r="I3350" i="5"/>
  <c r="I3356" i="5"/>
  <c r="H3356" i="5" s="1"/>
  <c r="F3350" i="5"/>
  <c r="D3356" i="5" a="1"/>
  <c r="N3350" i="5"/>
  <c r="K3356" i="5"/>
  <c r="G3350" i="5"/>
  <c r="G3353" i="5"/>
  <c r="M3416" i="5"/>
  <c r="J3415" i="5"/>
  <c r="J3408" i="5"/>
  <c r="N3417" i="5"/>
  <c r="G3412" i="5"/>
  <c r="N3408" i="5"/>
  <c r="H3409" i="5"/>
  <c r="K3412" i="5"/>
  <c r="J3417" i="5"/>
  <c r="I3415" i="5"/>
  <c r="D3418" i="5" a="1"/>
  <c r="N3412" i="5"/>
  <c r="K3414" i="5"/>
  <c r="K3408" i="5"/>
  <c r="M3327" i="5"/>
  <c r="F3327" i="5"/>
  <c r="I3319" i="5"/>
  <c r="H3319" i="5" s="1"/>
  <c r="I3326" i="5"/>
  <c r="H3326" i="5" s="1"/>
  <c r="K3321" i="5"/>
  <c r="M3326" i="5"/>
  <c r="D3321" i="5" a="1"/>
  <c r="G3327" i="5"/>
  <c r="M3321" i="5"/>
  <c r="M3318" i="5"/>
  <c r="I3323" i="5"/>
  <c r="M3324" i="5"/>
  <c r="D3323" i="5" a="1"/>
  <c r="N3324" i="5"/>
  <c r="I3320" i="5"/>
  <c r="F3319" i="5"/>
  <c r="M3340" i="5"/>
  <c r="F3337" i="5"/>
  <c r="M3334" i="5"/>
  <c r="N3334" i="5"/>
  <c r="J3340" i="5"/>
  <c r="D3336" i="5" a="1"/>
  <c r="G3342" i="5"/>
  <c r="M3336" i="5"/>
  <c r="H3342" i="5"/>
  <c r="D3337" i="5" a="1"/>
  <c r="F3333" i="5"/>
  <c r="F3340" i="5"/>
  <c r="K3334" i="5"/>
  <c r="N3340" i="5"/>
  <c r="J3336" i="5"/>
  <c r="F3400" i="5"/>
  <c r="I3401" i="5"/>
  <c r="J3396" i="5"/>
  <c r="K3401" i="5"/>
  <c r="N3395" i="5"/>
  <c r="M3400" i="5"/>
  <c r="K3393" i="5"/>
  <c r="F3402" i="5"/>
  <c r="K1540" i="5"/>
  <c r="J1535" i="5"/>
  <c r="M1542" i="5"/>
  <c r="G1539" i="5"/>
  <c r="I1535" i="5"/>
  <c r="G1614" i="5"/>
  <c r="K1609" i="5"/>
  <c r="J1616" i="5"/>
  <c r="G1612" i="5"/>
  <c r="N1613" i="5"/>
  <c r="N1615" i="5"/>
  <c r="H1611" i="5"/>
  <c r="F1608" i="5"/>
  <c r="G1615" i="5"/>
  <c r="J1611" i="5"/>
  <c r="G1608" i="5"/>
  <c r="H1610" i="5"/>
  <c r="K1617" i="5"/>
  <c r="D1612" i="5" a="1"/>
  <c r="J1609" i="5"/>
  <c r="J1631" i="5"/>
  <c r="M1623" i="5"/>
  <c r="K1629" i="5"/>
  <c r="N1625" i="5"/>
  <c r="G1633" i="5"/>
  <c r="F1629" i="5"/>
  <c r="F1625" i="5"/>
  <c r="J1632" i="5"/>
  <c r="K1627" i="5"/>
  <c r="K1628" i="5"/>
  <c r="G1631" i="5"/>
  <c r="M1626" i="5"/>
  <c r="M1633" i="5"/>
  <c r="H1629" i="5"/>
  <c r="K1625" i="5"/>
  <c r="I1623" i="5"/>
  <c r="I1705" i="5"/>
  <c r="D1705" i="5" s="1" a="1"/>
  <c r="M1703" i="5"/>
  <c r="D1707" i="5" a="1"/>
  <c r="F1703" i="5"/>
  <c r="I1700" i="5"/>
  <c r="D1700" i="5" s="1" a="1"/>
  <c r="K1706" i="5"/>
  <c r="N1698" i="5"/>
  <c r="H1705" i="5"/>
  <c r="G1699" i="5"/>
  <c r="J1705" i="5"/>
  <c r="I1701" i="5"/>
  <c r="D1701" i="5" s="1" a="1"/>
  <c r="M1702" i="5"/>
  <c r="I1703" i="5"/>
  <c r="N1722" i="5"/>
  <c r="G1717" i="5"/>
  <c r="D1714" i="5"/>
  <c r="G1720" i="5"/>
  <c r="H1716" i="5"/>
  <c r="F1713" i="5"/>
  <c r="I1719" i="5"/>
  <c r="D1719" i="5" s="1" a="1"/>
  <c r="G1715" i="5"/>
  <c r="F1720" i="5"/>
  <c r="I1722" i="5"/>
  <c r="D1722" i="5" s="1" a="1"/>
  <c r="M1717" i="5"/>
  <c r="J1713" i="5"/>
  <c r="D1720" i="5" a="1"/>
  <c r="F1716" i="5"/>
  <c r="K1713" i="5"/>
  <c r="K1794" i="5"/>
  <c r="J1795" i="5"/>
  <c r="F1796" i="5"/>
  <c r="G1794" i="5"/>
  <c r="D1795" i="5" a="1"/>
  <c r="N1791" i="5"/>
  <c r="G1795" i="5"/>
  <c r="M1790" i="5"/>
  <c r="N1790" i="5"/>
  <c r="G1797" i="5"/>
  <c r="F1795" i="5"/>
  <c r="N1553" i="5"/>
  <c r="M1556" i="5"/>
  <c r="J1552" i="5"/>
  <c r="J1553" i="5"/>
  <c r="H1557" i="5"/>
  <c r="K1552" i="5"/>
  <c r="G1554" i="5"/>
  <c r="J1550" i="5"/>
  <c r="I1548" i="5"/>
  <c r="D1548" i="5" s="1"/>
  <c r="I1555" i="5"/>
  <c r="D1557" i="5" a="1"/>
  <c r="F1553" i="5"/>
  <c r="M1549" i="5"/>
  <c r="K1646" i="5"/>
  <c r="G1642" i="5"/>
  <c r="N1639" i="5"/>
  <c r="I1646" i="5"/>
  <c r="G1639" i="5"/>
  <c r="D1646" i="5" a="1"/>
  <c r="I1642" i="5"/>
  <c r="H1642" i="5" s="1"/>
  <c r="H1638" i="5"/>
  <c r="F1646" i="5"/>
  <c r="I1640" i="5"/>
  <c r="H1644" i="5"/>
  <c r="K1639" i="5"/>
  <c r="J1646" i="5"/>
  <c r="F1642" i="5"/>
  <c r="N1735" i="5"/>
  <c r="F1729" i="5"/>
  <c r="G1735" i="5"/>
  <c r="J1731" i="5"/>
  <c r="N1728" i="5"/>
  <c r="J1735" i="5"/>
  <c r="K1731" i="5"/>
  <c r="M1732" i="5"/>
  <c r="M1737" i="5"/>
  <c r="F1737" i="5"/>
  <c r="I1729" i="5"/>
  <c r="H1736" i="5"/>
  <c r="M1728" i="5"/>
  <c r="H1825" i="5"/>
  <c r="I1821" i="5"/>
  <c r="K1827" i="5"/>
  <c r="D1822" i="5" a="1"/>
  <c r="I1823" i="5"/>
  <c r="D1823" i="5" s="1" a="1"/>
  <c r="I1827" i="5"/>
  <c r="N1822" i="5"/>
  <c r="K1818" i="5"/>
  <c r="H1823" i="5"/>
  <c r="M1818" i="5"/>
  <c r="H1822" i="5"/>
  <c r="N1823" i="5"/>
  <c r="M1826" i="5"/>
  <c r="J1822" i="5"/>
  <c r="J1823" i="5"/>
  <c r="J1887" i="5"/>
  <c r="F1885" i="5"/>
  <c r="K1883" i="5"/>
  <c r="K1885" i="5"/>
  <c r="D1881" i="5" a="1"/>
  <c r="J1878" i="5"/>
  <c r="M1885" i="5"/>
  <c r="K1880" i="5"/>
  <c r="N1887" i="5"/>
  <c r="F1888" i="5"/>
  <c r="M1883" i="5"/>
  <c r="N1885" i="5"/>
  <c r="H1881" i="5"/>
  <c r="F1879" i="5"/>
  <c r="G1885" i="5"/>
  <c r="J1881" i="5"/>
  <c r="N1878" i="5"/>
  <c r="H1977" i="5"/>
  <c r="K1972" i="5"/>
  <c r="G1974" i="5"/>
  <c r="J1970" i="5"/>
  <c r="I1968" i="5"/>
  <c r="D1968" i="5" s="1"/>
  <c r="I1975" i="5"/>
  <c r="D1977" i="5" a="1"/>
  <c r="F1973" i="5"/>
  <c r="M1969" i="5"/>
  <c r="K1974" i="5"/>
  <c r="G1971" i="5"/>
  <c r="F1968" i="5"/>
  <c r="M1974" i="5"/>
  <c r="N1970" i="5"/>
  <c r="G1968" i="5"/>
  <c r="I2066" i="5"/>
  <c r="D2066" i="5" s="1" a="1"/>
  <c r="H2065" i="5"/>
  <c r="N2066" i="5"/>
  <c r="H2064" i="5"/>
  <c r="H2066" i="5"/>
  <c r="K2063" i="5"/>
  <c r="I2060" i="5"/>
  <c r="H2060" i="5" s="1"/>
  <c r="N2061" i="5"/>
  <c r="D2058" i="5"/>
  <c r="D2059" i="5"/>
  <c r="N2063" i="5"/>
  <c r="G2060" i="5"/>
  <c r="N1899" i="5"/>
  <c r="J1895" i="5"/>
  <c r="I1893" i="5"/>
  <c r="G1899" i="5"/>
  <c r="K1894" i="5"/>
  <c r="J1901" i="5"/>
  <c r="G1897" i="5"/>
  <c r="N1898" i="5"/>
  <c r="N1900" i="5"/>
  <c r="H1896" i="5"/>
  <c r="F1893" i="5"/>
  <c r="G1900" i="5"/>
  <c r="J1896" i="5"/>
  <c r="G1893" i="5"/>
  <c r="H1895" i="5"/>
  <c r="M1917" i="5"/>
  <c r="G1914" i="5"/>
  <c r="I1910" i="5"/>
  <c r="D1910" i="5" s="1" a="1"/>
  <c r="F1913" i="5"/>
  <c r="M1909" i="5"/>
  <c r="I1916" i="5"/>
  <c r="D1916" i="5" s="1" a="1"/>
  <c r="N1908" i="5"/>
  <c r="H1915" i="5"/>
  <c r="I1911" i="5"/>
  <c r="D1911" i="5" s="1" a="1"/>
  <c r="G1908" i="5"/>
  <c r="H1910" i="5"/>
  <c r="K1917" i="5"/>
  <c r="F1916" i="5"/>
  <c r="I1909" i="5"/>
  <c r="H1909" i="5" s="1"/>
  <c r="K1990" i="5"/>
  <c r="J1983" i="5"/>
  <c r="I1990" i="5"/>
  <c r="D1990" i="5" s="1" a="1"/>
  <c r="M1988" i="5"/>
  <c r="D1992" i="5" a="1"/>
  <c r="F1988" i="5"/>
  <c r="I1985" i="5"/>
  <c r="D1985" i="5" s="1" a="1"/>
  <c r="K1991" i="5"/>
  <c r="H1988" i="5"/>
  <c r="N1983" i="5"/>
  <c r="H1990" i="5"/>
  <c r="G1984" i="5"/>
  <c r="J1990" i="5"/>
  <c r="I1986" i="5"/>
  <c r="D1986" i="5" s="1" a="1"/>
  <c r="K2000" i="5"/>
  <c r="I1998" i="5"/>
  <c r="F2007" i="5"/>
  <c r="K2006" i="5"/>
  <c r="H2002" i="5"/>
  <c r="F1999" i="5"/>
  <c r="J2001" i="5"/>
  <c r="G1999" i="5"/>
  <c r="M2004" i="5"/>
  <c r="N2004" i="5"/>
  <c r="J1999" i="5"/>
  <c r="F1838" i="5"/>
  <c r="M1834" i="5"/>
  <c r="K1839" i="5"/>
  <c r="G1836" i="5"/>
  <c r="F1833" i="5"/>
  <c r="M1839" i="5"/>
  <c r="N1835" i="5"/>
  <c r="G1833" i="5"/>
  <c r="H1840" i="5"/>
  <c r="I1836" i="5"/>
  <c r="H1836" i="5" s="1"/>
  <c r="K1842" i="5"/>
  <c r="D1837" i="5" a="1"/>
  <c r="I1838" i="5"/>
  <c r="D1838" i="5" s="1" a="1"/>
  <c r="I1842" i="5"/>
  <c r="N1837" i="5"/>
  <c r="K1833" i="5"/>
  <c r="J1931" i="5"/>
  <c r="F1927" i="5"/>
  <c r="D1924" i="5"/>
  <c r="I1929" i="5"/>
  <c r="H1929" i="5" s="1"/>
  <c r="F1925" i="5"/>
  <c r="D1929" i="5" a="1"/>
  <c r="G1925" i="5"/>
  <c r="N1929" i="5"/>
  <c r="H1925" i="5"/>
  <c r="N1931" i="5"/>
  <c r="M1926" i="5"/>
  <c r="J1924" i="5"/>
  <c r="G1931" i="5"/>
  <c r="N1926" i="5"/>
  <c r="H2018" i="5"/>
  <c r="M2013" i="5"/>
  <c r="G2018" i="5"/>
  <c r="G2022" i="5"/>
  <c r="F2019" i="5"/>
  <c r="D2023" i="5" a="1"/>
  <c r="J2022" i="5"/>
  <c r="F2020" i="5"/>
  <c r="K2018" i="5"/>
  <c r="K2020" i="5"/>
  <c r="D2016" i="5" a="1"/>
  <c r="J2013" i="5"/>
  <c r="M2020" i="5"/>
  <c r="K2015" i="5"/>
  <c r="M1811" i="5"/>
  <c r="I1807" i="5"/>
  <c r="J1808" i="5"/>
  <c r="J1810" i="5"/>
  <c r="K1806" i="5"/>
  <c r="N1809" i="5"/>
  <c r="J1804" i="5"/>
  <c r="H1811" i="5"/>
  <c r="F1807" i="5"/>
  <c r="M1808" i="5"/>
  <c r="J1811" i="5"/>
  <c r="H1808" i="5"/>
  <c r="M1803" i="5"/>
  <c r="K1809" i="5"/>
  <c r="N1805" i="5"/>
  <c r="H1803" i="5"/>
  <c r="N1855" i="5"/>
  <c r="H1851" i="5"/>
  <c r="F1848" i="5"/>
  <c r="G1855" i="5"/>
  <c r="J1851" i="5"/>
  <c r="G1848" i="5"/>
  <c r="K1857" i="5"/>
  <c r="D1852" i="5" a="1"/>
  <c r="J1849" i="5"/>
  <c r="H1856" i="5"/>
  <c r="N1851" i="5"/>
  <c r="J1854" i="5"/>
  <c r="F1851" i="5"/>
  <c r="D1848" i="5"/>
  <c r="I1869" i="5"/>
  <c r="D1869" i="5" s="1" a="1"/>
  <c r="G1865" i="5"/>
  <c r="F1870" i="5"/>
  <c r="I1872" i="5"/>
  <c r="D1872" i="5" s="1" a="1"/>
  <c r="M1867" i="5"/>
  <c r="J1863" i="5"/>
  <c r="D1870" i="5" a="1"/>
  <c r="F1866" i="5"/>
  <c r="K1863" i="5"/>
  <c r="J1869" i="5"/>
  <c r="M1865" i="5"/>
  <c r="G1872" i="5"/>
  <c r="G1868" i="5"/>
  <c r="N1864" i="5"/>
  <c r="K1946" i="5"/>
  <c r="N1938" i="5"/>
  <c r="H1945" i="5"/>
  <c r="G1939" i="5"/>
  <c r="J1945" i="5"/>
  <c r="I1941" i="5"/>
  <c r="D1941" i="5" s="1" a="1"/>
  <c r="M1942" i="5"/>
  <c r="I1943" i="5"/>
  <c r="I1947" i="5"/>
  <c r="N1942" i="5"/>
  <c r="K1938" i="5"/>
  <c r="D1945" i="5" a="1"/>
  <c r="G1941" i="5"/>
  <c r="M1938" i="5"/>
  <c r="H1960" i="5"/>
  <c r="I1956" i="5"/>
  <c r="G1953" i="5"/>
  <c r="H1955" i="5"/>
  <c r="K1962" i="5"/>
  <c r="F1961" i="5"/>
  <c r="I1954" i="5"/>
  <c r="M1960" i="5"/>
  <c r="N1956" i="5"/>
  <c r="K1954" i="5"/>
  <c r="N1960" i="5"/>
  <c r="G1956" i="5"/>
  <c r="N1958" i="5"/>
  <c r="H2032" i="5"/>
  <c r="F2029" i="5"/>
  <c r="I2036" i="5"/>
  <c r="J2032" i="5"/>
  <c r="J2033" i="5"/>
  <c r="D2036" i="5" a="1"/>
  <c r="K2031" i="5"/>
  <c r="H2028" i="5"/>
  <c r="F2036" i="5"/>
  <c r="M2037" i="5"/>
  <c r="F2037" i="5"/>
  <c r="D2029" i="5"/>
  <c r="M2035" i="5"/>
  <c r="F2032" i="5"/>
  <c r="M2029" i="5"/>
  <c r="D2051" i="5" a="1"/>
  <c r="J2046" i="5"/>
  <c r="G2044" i="5"/>
  <c r="M2049" i="5"/>
  <c r="N2049" i="5"/>
  <c r="J2044" i="5"/>
  <c r="H2051" i="5"/>
  <c r="F2047" i="5"/>
  <c r="M2048" i="5"/>
  <c r="J2051" i="5"/>
  <c r="H2048" i="5"/>
  <c r="M2043" i="5"/>
  <c r="K2049" i="5"/>
  <c r="N2045" i="5"/>
  <c r="G2157" i="5"/>
  <c r="F2154" i="5"/>
  <c r="D2158" i="5" a="1"/>
  <c r="J2157" i="5"/>
  <c r="F2155" i="5"/>
  <c r="K2153" i="5"/>
  <c r="K2155" i="5"/>
  <c r="D2151" i="5" a="1"/>
  <c r="J2148" i="5"/>
  <c r="M2155" i="5"/>
  <c r="K2150" i="5"/>
  <c r="N2157" i="5"/>
  <c r="M2153" i="5"/>
  <c r="N2155" i="5"/>
  <c r="H2151" i="5"/>
  <c r="F2149" i="5"/>
  <c r="M2246" i="5"/>
  <c r="J2242" i="5"/>
  <c r="J2243" i="5"/>
  <c r="H2247" i="5"/>
  <c r="K2242" i="5"/>
  <c r="G2244" i="5"/>
  <c r="J2240" i="5"/>
  <c r="I2238" i="5"/>
  <c r="D2238" i="5" s="1"/>
  <c r="I2245" i="5"/>
  <c r="D2247" i="5" a="1"/>
  <c r="F2243" i="5"/>
  <c r="M2239" i="5"/>
  <c r="K2244" i="5"/>
  <c r="G2241" i="5"/>
  <c r="F2238" i="5"/>
  <c r="D2081" i="5" a="1"/>
  <c r="K2076" i="5"/>
  <c r="H2073" i="5"/>
  <c r="F2081" i="5"/>
  <c r="M2082" i="5"/>
  <c r="F2082" i="5"/>
  <c r="D2074" i="5"/>
  <c r="M2080" i="5"/>
  <c r="F2077" i="5"/>
  <c r="M2074" i="5"/>
  <c r="K2079" i="5"/>
  <c r="M2075" i="5"/>
  <c r="M2079" i="5"/>
  <c r="N2075" i="5"/>
  <c r="N2094" i="5"/>
  <c r="J2089" i="5"/>
  <c r="H2096" i="5"/>
  <c r="F2092" i="5"/>
  <c r="M2093" i="5"/>
  <c r="J2096" i="5"/>
  <c r="H2093" i="5"/>
  <c r="M2088" i="5"/>
  <c r="K2094" i="5"/>
  <c r="N2090" i="5"/>
  <c r="F2094" i="5"/>
  <c r="F2090" i="5"/>
  <c r="J2097" i="5"/>
  <c r="K2092" i="5"/>
  <c r="K2093" i="5"/>
  <c r="M2171" i="5"/>
  <c r="I2167" i="5"/>
  <c r="H2164" i="5"/>
  <c r="N2169" i="5"/>
  <c r="J2165" i="5"/>
  <c r="I2163" i="5"/>
  <c r="D2163" i="5" s="1"/>
  <c r="G2169" i="5"/>
  <c r="K2164" i="5"/>
  <c r="J2171" i="5"/>
  <c r="G2167" i="5"/>
  <c r="N2168" i="5"/>
  <c r="N2170" i="5"/>
  <c r="F2163" i="5"/>
  <c r="G2170" i="5"/>
  <c r="J2166" i="5"/>
  <c r="G2163" i="5"/>
  <c r="I2185" i="5"/>
  <c r="I2183" i="5"/>
  <c r="D2187" i="5" a="1"/>
  <c r="N2182" i="5"/>
  <c r="D2183" i="5" a="1"/>
  <c r="N2187" i="5"/>
  <c r="G2182" i="5"/>
  <c r="G2185" i="5"/>
  <c r="H2181" i="5"/>
  <c r="F2178" i="5"/>
  <c r="I2184" i="5"/>
  <c r="G2180" i="5"/>
  <c r="F2185" i="5"/>
  <c r="J2262" i="5"/>
  <c r="K2257" i="5"/>
  <c r="K2258" i="5"/>
  <c r="K2260" i="5"/>
  <c r="D2256" i="5" a="1"/>
  <c r="J2253" i="5"/>
  <c r="I2260" i="5"/>
  <c r="D2260" i="5" s="1" a="1"/>
  <c r="M2258" i="5"/>
  <c r="D2262" i="5" a="1"/>
  <c r="F2258" i="5"/>
  <c r="I2255" i="5"/>
  <c r="K2261" i="5"/>
  <c r="H2258" i="5"/>
  <c r="N2253" i="5"/>
  <c r="H2260" i="5"/>
  <c r="G2254" i="5"/>
  <c r="K2275" i="5"/>
  <c r="J2270" i="5"/>
  <c r="M2277" i="5"/>
  <c r="G2274" i="5"/>
  <c r="I2270" i="5"/>
  <c r="D2270" i="5" s="1" a="1"/>
  <c r="N2278" i="5"/>
  <c r="F2273" i="5"/>
  <c r="M2269" i="5"/>
  <c r="I2276" i="5"/>
  <c r="D2276" i="5" s="1" a="1"/>
  <c r="H2278" i="5"/>
  <c r="N2268" i="5"/>
  <c r="I2271" i="5"/>
  <c r="D2271" i="5" s="1" a="1"/>
  <c r="G2268" i="5"/>
  <c r="H2270" i="5"/>
  <c r="N2337" i="5"/>
  <c r="M2333" i="5"/>
  <c r="N2335" i="5"/>
  <c r="H2331" i="5"/>
  <c r="J2337" i="5"/>
  <c r="F2335" i="5"/>
  <c r="K2333" i="5"/>
  <c r="K2335" i="5"/>
  <c r="D2331" i="5" a="1"/>
  <c r="J2328" i="5"/>
  <c r="M2335" i="5"/>
  <c r="K2330" i="5"/>
  <c r="M2334" i="5"/>
  <c r="N2328" i="5"/>
  <c r="J2332" i="5"/>
  <c r="G2335" i="5"/>
  <c r="I2112" i="5"/>
  <c r="D2112" i="5" s="1" a="1"/>
  <c r="N2107" i="5"/>
  <c r="K2103" i="5"/>
  <c r="D2110" i="5" a="1"/>
  <c r="F2106" i="5"/>
  <c r="N2108" i="5"/>
  <c r="M2111" i="5"/>
  <c r="J2107" i="5"/>
  <c r="J2108" i="5"/>
  <c r="H2112" i="5"/>
  <c r="K2107" i="5"/>
  <c r="H2104" i="5"/>
  <c r="G2109" i="5"/>
  <c r="J2105" i="5"/>
  <c r="I2103" i="5"/>
  <c r="G2201" i="5"/>
  <c r="N2196" i="5"/>
  <c r="D2193" i="5"/>
  <c r="J2199" i="5"/>
  <c r="M2195" i="5"/>
  <c r="K2201" i="5"/>
  <c r="G2197" i="5"/>
  <c r="N2194" i="5"/>
  <c r="I2201" i="5"/>
  <c r="H2201" i="5" s="1"/>
  <c r="G2194" i="5"/>
  <c r="D2201" i="5" a="1"/>
  <c r="I2197" i="5"/>
  <c r="H2197" i="5" s="1"/>
  <c r="H2193" i="5"/>
  <c r="F2201" i="5"/>
  <c r="I2195" i="5"/>
  <c r="H2195" i="5" s="1"/>
  <c r="M2290" i="5"/>
  <c r="K2285" i="5"/>
  <c r="N2292" i="5"/>
  <c r="M2288" i="5"/>
  <c r="N2290" i="5"/>
  <c r="F2284" i="5"/>
  <c r="G2290" i="5"/>
  <c r="J2286" i="5"/>
  <c r="N2283" i="5"/>
  <c r="J2290" i="5"/>
  <c r="K2286" i="5"/>
  <c r="M2287" i="5"/>
  <c r="J2126" i="5"/>
  <c r="G2122" i="5"/>
  <c r="N2123" i="5"/>
  <c r="N2125" i="5"/>
  <c r="H2121" i="5"/>
  <c r="F2118" i="5"/>
  <c r="G2125" i="5"/>
  <c r="J2121" i="5"/>
  <c r="G2118" i="5"/>
  <c r="H2120" i="5"/>
  <c r="K2127" i="5"/>
  <c r="D2122" i="5" a="1"/>
  <c r="J2119" i="5"/>
  <c r="H2126" i="5"/>
  <c r="N2121" i="5"/>
  <c r="G2142" i="5"/>
  <c r="G2138" i="5"/>
  <c r="N2134" i="5"/>
  <c r="M2141" i="5"/>
  <c r="I2137" i="5"/>
  <c r="D2137" i="5" s="1" a="1"/>
  <c r="J2138" i="5"/>
  <c r="J2140" i="5"/>
  <c r="K2136" i="5"/>
  <c r="H2133" i="5"/>
  <c r="I2140" i="5"/>
  <c r="D2140" i="5" s="1" a="1"/>
  <c r="I2138" i="5"/>
  <c r="D2142" i="5" a="1"/>
  <c r="N2137" i="5"/>
  <c r="D2138" i="5" a="1"/>
  <c r="N2142" i="5"/>
  <c r="G2137" i="5"/>
  <c r="F2213" i="5"/>
  <c r="I2210" i="5"/>
  <c r="D2210" i="5" s="1" a="1"/>
  <c r="K2216" i="5"/>
  <c r="N2208" i="5"/>
  <c r="H2215" i="5"/>
  <c r="G2209" i="5"/>
  <c r="J2215" i="5"/>
  <c r="I2211" i="5"/>
  <c r="D2211" i="5" s="1" a="1"/>
  <c r="M2212" i="5"/>
  <c r="I2213" i="5"/>
  <c r="I2217" i="5"/>
  <c r="N2212" i="5"/>
  <c r="K2208" i="5"/>
  <c r="N2228" i="5"/>
  <c r="H2232" i="5"/>
  <c r="J2227" i="5"/>
  <c r="N2231" i="5"/>
  <c r="H2224" i="5"/>
  <c r="K2230" i="5"/>
  <c r="J2225" i="5"/>
  <c r="M2232" i="5"/>
  <c r="G2229" i="5"/>
  <c r="I2225" i="5"/>
  <c r="F2228" i="5"/>
  <c r="M2224" i="5"/>
  <c r="N2307" i="5"/>
  <c r="H2304" i="5"/>
  <c r="H2302" i="5"/>
  <c r="F2299" i="5"/>
  <c r="I2306" i="5"/>
  <c r="J2302" i="5"/>
  <c r="J2303" i="5"/>
  <c r="D2306" i="5" a="1"/>
  <c r="K2301" i="5"/>
  <c r="H2298" i="5"/>
  <c r="F2306" i="5"/>
  <c r="M2307" i="5"/>
  <c r="F2307" i="5"/>
  <c r="D2299" i="5"/>
  <c r="G2320" i="5"/>
  <c r="F2313" i="5"/>
  <c r="I2317" i="5"/>
  <c r="J2318" i="5"/>
  <c r="M2319" i="5"/>
  <c r="G2322" i="5"/>
  <c r="M2316" i="5"/>
  <c r="M2320" i="5"/>
  <c r="N2316" i="5"/>
  <c r="K2314" i="5"/>
  <c r="F2322" i="5"/>
  <c r="D2315" i="5" a="1"/>
  <c r="J2574" i="5"/>
  <c r="F2571" i="5"/>
  <c r="G2574" i="5"/>
  <c r="K2569" i="5"/>
  <c r="N2574" i="5"/>
  <c r="I2573" i="5"/>
  <c r="H2573" i="5" s="1"/>
  <c r="J2575" i="5"/>
  <c r="G2570" i="5"/>
  <c r="I2576" i="5"/>
  <c r="H2576" i="5" s="1"/>
  <c r="N2570" i="5"/>
  <c r="D2576" i="5" a="1"/>
  <c r="F2574" i="5"/>
  <c r="I2568" i="5"/>
  <c r="D2568" i="5" s="1"/>
  <c r="I2571" i="5"/>
  <c r="J2382" i="5"/>
  <c r="F2380" i="5"/>
  <c r="K2378" i="5"/>
  <c r="K2380" i="5"/>
  <c r="D2376" i="5" a="1"/>
  <c r="J2373" i="5"/>
  <c r="M2380" i="5"/>
  <c r="K2375" i="5"/>
  <c r="N2382" i="5"/>
  <c r="M2378" i="5"/>
  <c r="N2380" i="5"/>
  <c r="H2376" i="5"/>
  <c r="F2374" i="5"/>
  <c r="G2380" i="5"/>
  <c r="J2376" i="5"/>
  <c r="N2373" i="5"/>
  <c r="H2472" i="5"/>
  <c r="K2467" i="5"/>
  <c r="G2469" i="5"/>
  <c r="J2465" i="5"/>
  <c r="I2463" i="5"/>
  <c r="D2463" i="5" s="1"/>
  <c r="I2470" i="5"/>
  <c r="D2472" i="5" a="1"/>
  <c r="F2468" i="5"/>
  <c r="M2464" i="5"/>
  <c r="K2469" i="5"/>
  <c r="G2466" i="5"/>
  <c r="F2463" i="5"/>
  <c r="M2469" i="5"/>
  <c r="N2465" i="5"/>
  <c r="G2463" i="5"/>
  <c r="G2546" i="5"/>
  <c r="M2541" i="5"/>
  <c r="F2545" i="5"/>
  <c r="N2545" i="5"/>
  <c r="G2545" i="5"/>
  <c r="M2543" i="5"/>
  <c r="F2540" i="5"/>
  <c r="I2544" i="5"/>
  <c r="D2544" i="5" s="1" a="1"/>
  <c r="M2538" i="5"/>
  <c r="N2541" i="5"/>
  <c r="H2559" i="5"/>
  <c r="K2554" i="5"/>
  <c r="N2561" i="5"/>
  <c r="M2556" i="5"/>
  <c r="J2554" i="5"/>
  <c r="J2560" i="5"/>
  <c r="N2558" i="5"/>
  <c r="M2559" i="5"/>
  <c r="K2557" i="5"/>
  <c r="F2559" i="5"/>
  <c r="N2553" i="5"/>
  <c r="G2557" i="5"/>
  <c r="I2561" i="5"/>
  <c r="M2558" i="5"/>
  <c r="D2621" i="5" a="1"/>
  <c r="K2616" i="5"/>
  <c r="H2613" i="5"/>
  <c r="F2621" i="5"/>
  <c r="M2622" i="5"/>
  <c r="F2622" i="5"/>
  <c r="D2614" i="5"/>
  <c r="H2620" i="5"/>
  <c r="G2614" i="5"/>
  <c r="D2613" i="5"/>
  <c r="N2614" i="5"/>
  <c r="D2615" i="5" a="1"/>
  <c r="F2396" i="5"/>
  <c r="M2397" i="5"/>
  <c r="F2397" i="5"/>
  <c r="D2389" i="5"/>
  <c r="M2395" i="5"/>
  <c r="F2392" i="5"/>
  <c r="M2389" i="5"/>
  <c r="K2394" i="5"/>
  <c r="M2390" i="5"/>
  <c r="M2394" i="5"/>
  <c r="N2390" i="5"/>
  <c r="F2395" i="5"/>
  <c r="G2390" i="5"/>
  <c r="N2407" i="5"/>
  <c r="D2408" i="5" a="1"/>
  <c r="N2412" i="5"/>
  <c r="G2407" i="5"/>
  <c r="D2404" i="5"/>
  <c r="G2410" i="5"/>
  <c r="H2406" i="5"/>
  <c r="F2403" i="5"/>
  <c r="I2409" i="5"/>
  <c r="G2405" i="5"/>
  <c r="F2410" i="5"/>
  <c r="I2412" i="5"/>
  <c r="D2412" i="5" s="1" a="1"/>
  <c r="M2407" i="5"/>
  <c r="J2403" i="5"/>
  <c r="N2484" i="5"/>
  <c r="J2480" i="5"/>
  <c r="I2478" i="5"/>
  <c r="G2484" i="5"/>
  <c r="K2479" i="5"/>
  <c r="J2486" i="5"/>
  <c r="G2482" i="5"/>
  <c r="N2483" i="5"/>
  <c r="N2485" i="5"/>
  <c r="H2481" i="5"/>
  <c r="F2478" i="5"/>
  <c r="G2485" i="5"/>
  <c r="J2481" i="5"/>
  <c r="G2478" i="5"/>
  <c r="H2480" i="5"/>
  <c r="M2502" i="5"/>
  <c r="G2499" i="5"/>
  <c r="I2495" i="5"/>
  <c r="D2495" i="5" s="1" a="1"/>
  <c r="F2498" i="5"/>
  <c r="M2494" i="5"/>
  <c r="I2501" i="5"/>
  <c r="D2501" i="5" s="1" a="1"/>
  <c r="N2493" i="5"/>
  <c r="H2500" i="5"/>
  <c r="I2496" i="5"/>
  <c r="D2496" i="5" s="1" a="1"/>
  <c r="G2493" i="5"/>
  <c r="H2495" i="5"/>
  <c r="K2502" i="5"/>
  <c r="F2501" i="5"/>
  <c r="I2494" i="5"/>
  <c r="H2494" i="5" s="1"/>
  <c r="K2591" i="5"/>
  <c r="F2584" i="5"/>
  <c r="N2590" i="5"/>
  <c r="G2586" i="5"/>
  <c r="K2587" i="5"/>
  <c r="F2589" i="5"/>
  <c r="J2583" i="5"/>
  <c r="F2590" i="5"/>
  <c r="I2583" i="5"/>
  <c r="F2591" i="5"/>
  <c r="F2586" i="5"/>
  <c r="M2591" i="5"/>
  <c r="J2584" i="5"/>
  <c r="J2424" i="5"/>
  <c r="M2420" i="5"/>
  <c r="K2426" i="5"/>
  <c r="G2422" i="5"/>
  <c r="N2419" i="5"/>
  <c r="I2426" i="5"/>
  <c r="H2426" i="5" s="1"/>
  <c r="G2419" i="5"/>
  <c r="D2426" i="5" a="1"/>
  <c r="I2422" i="5"/>
  <c r="H2422" i="5" s="1"/>
  <c r="H2418" i="5"/>
  <c r="F2426" i="5"/>
  <c r="I2420" i="5"/>
  <c r="H2424" i="5"/>
  <c r="K2419" i="5"/>
  <c r="N2517" i="5"/>
  <c r="M2513" i="5"/>
  <c r="N2515" i="5"/>
  <c r="F2509" i="5"/>
  <c r="G2515" i="5"/>
  <c r="J2511" i="5"/>
  <c r="N2508" i="5"/>
  <c r="J2515" i="5"/>
  <c r="K2511" i="5"/>
  <c r="M2512" i="5"/>
  <c r="M2517" i="5"/>
  <c r="F2517" i="5"/>
  <c r="I2509" i="5"/>
  <c r="H2509" i="5" s="1"/>
  <c r="H2347" i="5"/>
  <c r="F2344" i="5"/>
  <c r="I2351" i="5"/>
  <c r="J2347" i="5"/>
  <c r="J2348" i="5"/>
  <c r="K2350" i="5"/>
  <c r="D2346" i="5" a="1"/>
  <c r="J2343" i="5"/>
  <c r="I2350" i="5"/>
  <c r="D2350" i="5" s="1" a="1"/>
  <c r="M2348" i="5"/>
  <c r="D2352" i="5" a="1"/>
  <c r="F2348" i="5"/>
  <c r="I2345" i="5"/>
  <c r="D2345" i="5" s="1" a="1"/>
  <c r="F2350" i="5"/>
  <c r="K2348" i="5"/>
  <c r="D2366" i="5" a="1"/>
  <c r="J2361" i="5"/>
  <c r="G2359" i="5"/>
  <c r="M2364" i="5"/>
  <c r="N2364" i="5"/>
  <c r="M2365" i="5"/>
  <c r="N2361" i="5"/>
  <c r="K2359" i="5"/>
  <c r="N2365" i="5"/>
  <c r="G2361" i="5"/>
  <c r="N2363" i="5"/>
  <c r="I2363" i="5"/>
  <c r="G2438" i="5"/>
  <c r="N2434" i="5"/>
  <c r="G2442" i="5"/>
  <c r="F2439" i="5"/>
  <c r="D2443" i="5" a="1"/>
  <c r="M2441" i="5"/>
  <c r="I2437" i="5"/>
  <c r="D2437" i="5" s="1" a="1"/>
  <c r="H2434" i="5"/>
  <c r="N2439" i="5"/>
  <c r="J2435" i="5"/>
  <c r="I2433" i="5"/>
  <c r="D2433" i="5" s="1"/>
  <c r="G2439" i="5"/>
  <c r="K2434" i="5"/>
  <c r="J2441" i="5"/>
  <c r="G2437" i="5"/>
  <c r="N2438" i="5"/>
  <c r="M2456" i="5"/>
  <c r="I2452" i="5"/>
  <c r="J2453" i="5"/>
  <c r="J2455" i="5"/>
  <c r="K2451" i="5"/>
  <c r="H2448" i="5"/>
  <c r="I2455" i="5"/>
  <c r="D2455" i="5" s="1" a="1"/>
  <c r="I2453" i="5"/>
  <c r="D2457" i="5" a="1"/>
  <c r="N2452" i="5"/>
  <c r="D2453" i="5" a="1"/>
  <c r="N2457" i="5"/>
  <c r="G2452" i="5"/>
  <c r="G2455" i="5"/>
  <c r="F2448" i="5"/>
  <c r="K2529" i="5"/>
  <c r="M2525" i="5"/>
  <c r="M2529" i="5"/>
  <c r="N2525" i="5"/>
  <c r="F2530" i="5"/>
  <c r="G2525" i="5"/>
  <c r="N2531" i="5"/>
  <c r="M2526" i="5"/>
  <c r="I2524" i="5"/>
  <c r="D2524" i="5" s="1"/>
  <c r="G2531" i="5"/>
  <c r="K2525" i="5"/>
  <c r="D2532" i="5" a="1"/>
  <c r="F2528" i="5"/>
  <c r="I2525" i="5"/>
  <c r="I2637" i="5"/>
  <c r="M2632" i="5"/>
  <c r="J2628" i="5"/>
  <c r="D2635" i="5" a="1"/>
  <c r="F2631" i="5"/>
  <c r="K2628" i="5"/>
  <c r="J2634" i="5"/>
  <c r="M2630" i="5"/>
  <c r="F2635" i="5"/>
  <c r="D2638" i="5" a="1"/>
  <c r="I2634" i="5"/>
  <c r="D2634" i="5" s="1" a="1"/>
  <c r="J2631" i="5"/>
  <c r="N2633" i="5"/>
  <c r="G2628" i="5"/>
  <c r="F2628" i="5"/>
  <c r="I2606" i="5"/>
  <c r="G2599" i="5"/>
  <c r="D2606" i="5" a="1"/>
  <c r="I2602" i="5"/>
  <c r="M2602" i="5"/>
  <c r="I2604" i="5"/>
  <c r="D2604" i="5" s="1" a="1"/>
  <c r="F2600" i="5"/>
  <c r="N2607" i="5"/>
  <c r="M2598" i="5"/>
  <c r="J2599" i="5"/>
  <c r="I2599" i="5"/>
  <c r="G2695" i="5"/>
  <c r="J2691" i="5"/>
  <c r="N2688" i="5"/>
  <c r="J2695" i="5"/>
  <c r="K2691" i="5"/>
  <c r="K2698" i="5"/>
  <c r="M2692" i="5"/>
  <c r="M2697" i="5"/>
  <c r="F2697" i="5"/>
  <c r="I2689" i="5"/>
  <c r="H2696" i="5"/>
  <c r="M2688" i="5"/>
  <c r="G2693" i="5"/>
  <c r="I2698" i="5"/>
  <c r="D2709" i="5" a="1"/>
  <c r="K2712" i="5"/>
  <c r="D2707" i="5" a="1"/>
  <c r="J2704" i="5"/>
  <c r="N2706" i="5"/>
  <c r="J2709" i="5"/>
  <c r="F2706" i="5"/>
  <c r="D2703" i="5"/>
  <c r="G2708" i="5"/>
  <c r="N2704" i="5"/>
  <c r="G2712" i="5"/>
  <c r="F2709" i="5"/>
  <c r="D2713" i="5" a="1"/>
  <c r="N2722" i="5"/>
  <c r="F2724" i="5"/>
  <c r="J2719" i="5"/>
  <c r="N2725" i="5"/>
  <c r="G2720" i="5"/>
  <c r="G2722" i="5"/>
  <c r="M2718" i="5"/>
  <c r="F2723" i="5"/>
  <c r="F2719" i="5"/>
  <c r="D2726" i="5" a="1"/>
  <c r="K2721" i="5"/>
  <c r="J2722" i="5"/>
  <c r="H2718" i="5"/>
  <c r="M2650" i="5"/>
  <c r="K2645" i="5"/>
  <c r="N2652" i="5"/>
  <c r="M2648" i="5"/>
  <c r="N2650" i="5"/>
  <c r="F2644" i="5"/>
  <c r="G2650" i="5"/>
  <c r="J2646" i="5"/>
  <c r="N2643" i="5"/>
  <c r="J2650" i="5"/>
  <c r="K2646" i="5"/>
  <c r="M2647" i="5"/>
  <c r="I2802" i="5"/>
  <c r="N2797" i="5"/>
  <c r="K2793" i="5"/>
  <c r="F2801" i="5"/>
  <c r="H2795" i="5"/>
  <c r="M2800" i="5"/>
  <c r="D2795" i="5" a="1"/>
  <c r="K2797" i="5"/>
  <c r="H2802" i="5"/>
  <c r="H2797" i="5"/>
  <c r="F2793" i="5"/>
  <c r="F2798" i="5"/>
  <c r="M2793" i="5"/>
  <c r="J2664" i="5"/>
  <c r="F2661" i="5"/>
  <c r="G2663" i="5"/>
  <c r="N2659" i="5"/>
  <c r="G2667" i="5"/>
  <c r="F2664" i="5"/>
  <c r="D2668" i="5" a="1"/>
  <c r="M2666" i="5"/>
  <c r="I2662" i="5"/>
  <c r="D2662" i="5" s="1" a="1"/>
  <c r="H2659" i="5"/>
  <c r="N2664" i="5"/>
  <c r="J2660" i="5"/>
  <c r="I2658" i="5"/>
  <c r="D2658" i="5" s="1"/>
  <c r="G2664" i="5"/>
  <c r="K2659" i="5"/>
  <c r="G2680" i="5"/>
  <c r="H2676" i="5"/>
  <c r="F2673" i="5"/>
  <c r="I2679" i="5"/>
  <c r="D2679" i="5" s="1" a="1"/>
  <c r="G2675" i="5"/>
  <c r="F2680" i="5"/>
  <c r="I2682" i="5"/>
  <c r="D2682" i="5" s="1" a="1"/>
  <c r="M2677" i="5"/>
  <c r="J2673" i="5"/>
  <c r="D2680" i="5" a="1"/>
  <c r="F2676" i="5"/>
  <c r="K2673" i="5"/>
  <c r="J2679" i="5"/>
  <c r="M2675" i="5"/>
  <c r="N2786" i="5"/>
  <c r="M2781" i="5"/>
  <c r="J2779" i="5"/>
  <c r="I2782" i="5"/>
  <c r="F2784" i="5"/>
  <c r="N2778" i="5"/>
  <c r="G2782" i="5"/>
  <c r="I2786" i="5"/>
  <c r="M2783" i="5"/>
  <c r="M2785" i="5"/>
  <c r="D2780" i="5" a="1"/>
  <c r="D2785" i="5" a="1"/>
  <c r="J2783" i="5"/>
  <c r="G2783" i="5"/>
  <c r="J2741" i="5"/>
  <c r="F2737" i="5"/>
  <c r="D2734" i="5"/>
  <c r="I2739" i="5"/>
  <c r="K2738" i="5"/>
  <c r="M2740" i="5"/>
  <c r="G2736" i="5"/>
  <c r="N2741" i="5"/>
  <c r="H2735" i="5"/>
  <c r="K2742" i="5"/>
  <c r="N2737" i="5"/>
  <c r="N2733" i="5"/>
  <c r="H2740" i="5"/>
  <c r="J2735" i="5"/>
  <c r="M2741" i="5"/>
  <c r="D2736" i="5" a="1"/>
  <c r="D2733" i="5"/>
  <c r="F2817" i="5"/>
  <c r="M2817" i="5"/>
  <c r="G2814" i="5"/>
  <c r="I2810" i="5"/>
  <c r="I2812" i="5"/>
  <c r="K2816" i="5"/>
  <c r="N2813" i="5"/>
  <c r="J2812" i="5"/>
  <c r="G2817" i="5"/>
  <c r="J2811" i="5"/>
  <c r="I2816" i="5"/>
  <c r="N2810" i="5"/>
  <c r="G2757" i="5"/>
  <c r="F2754" i="5"/>
  <c r="G2753" i="5"/>
  <c r="N2749" i="5"/>
  <c r="K2753" i="5"/>
  <c r="G2754" i="5"/>
  <c r="J2749" i="5"/>
  <c r="N2754" i="5"/>
  <c r="I2753" i="5"/>
  <c r="J2755" i="5"/>
  <c r="D2753" i="5" a="1"/>
  <c r="K2755" i="5"/>
  <c r="J2750" i="5"/>
  <c r="I2757" i="5"/>
  <c r="K2751" i="5"/>
  <c r="J2748" i="5"/>
  <c r="D2769" i="5" a="1"/>
  <c r="H2772" i="5"/>
  <c r="J2767" i="5"/>
  <c r="F2768" i="5"/>
  <c r="K2771" i="5"/>
  <c r="I2765" i="5"/>
  <c r="H2765" i="5" s="1"/>
  <c r="G2771" i="5"/>
  <c r="D2765" i="5" a="1"/>
  <c r="H2771" i="5"/>
  <c r="K2765" i="5"/>
  <c r="J2771" i="5"/>
  <c r="M2765" i="5"/>
  <c r="H2847" i="5"/>
  <c r="H2845" i="5"/>
  <c r="G2839" i="5"/>
  <c r="F2845" i="5"/>
  <c r="G2840" i="5"/>
  <c r="N2844" i="5"/>
  <c r="J2840" i="5"/>
  <c r="I2838" i="5"/>
  <c r="G2844" i="5"/>
  <c r="K2839" i="5"/>
  <c r="M2845" i="5"/>
  <c r="F2842" i="5"/>
  <c r="M2839" i="5"/>
  <c r="K2844" i="5"/>
  <c r="M2840" i="5"/>
  <c r="H2838" i="5"/>
  <c r="N2907" i="5"/>
  <c r="G2902" i="5"/>
  <c r="G2905" i="5"/>
  <c r="H2900" i="5"/>
  <c r="I2906" i="5"/>
  <c r="D2901" i="5" a="1"/>
  <c r="G2904" i="5"/>
  <c r="J2903" i="5"/>
  <c r="H2904" i="5"/>
  <c r="K2905" i="5"/>
  <c r="N2900" i="5"/>
  <c r="M2902" i="5"/>
  <c r="K2899" i="5"/>
  <c r="N2949" i="5"/>
  <c r="J2944" i="5"/>
  <c r="J2950" i="5"/>
  <c r="K2946" i="5"/>
  <c r="H2943" i="5"/>
  <c r="N2946" i="5"/>
  <c r="N2952" i="5"/>
  <c r="I2946" i="5"/>
  <c r="G2952" i="5"/>
  <c r="J2946" i="5"/>
  <c r="F2946" i="5"/>
  <c r="G2945" i="5"/>
  <c r="G2966" i="5"/>
  <c r="N2961" i="5"/>
  <c r="D2958" i="5"/>
  <c r="F2966" i="5"/>
  <c r="I2960" i="5"/>
  <c r="F2961" i="5"/>
  <c r="J2967" i="5"/>
  <c r="G2961" i="5"/>
  <c r="M2966" i="5"/>
  <c r="N2960" i="5"/>
  <c r="N2964" i="5"/>
  <c r="K2963" i="5"/>
  <c r="G2965" i="5"/>
  <c r="D2968" i="5" a="1"/>
  <c r="I2964" i="5"/>
  <c r="M2862" i="5"/>
  <c r="F2862" i="5"/>
  <c r="N2858" i="5"/>
  <c r="M2861" i="5"/>
  <c r="F2856" i="5"/>
  <c r="H2862" i="5"/>
  <c r="N2856" i="5"/>
  <c r="M2853" i="5"/>
  <c r="I2859" i="5"/>
  <c r="M2858" i="5"/>
  <c r="G2860" i="5"/>
  <c r="D2858" i="5" a="1"/>
  <c r="F2876" i="5"/>
  <c r="I2870" i="5"/>
  <c r="D2870" i="5" s="1" a="1"/>
  <c r="F2877" i="5"/>
  <c r="M2873" i="5"/>
  <c r="K2876" i="5"/>
  <c r="N2877" i="5"/>
  <c r="J2872" i="5"/>
  <c r="K2868" i="5"/>
  <c r="K2872" i="5"/>
  <c r="I2869" i="5"/>
  <c r="H2869" i="5" s="1"/>
  <c r="D2875" i="5" a="1"/>
  <c r="G2870" i="5"/>
  <c r="H2870" i="5"/>
  <c r="H2891" i="5"/>
  <c r="N2886" i="5"/>
  <c r="F2891" i="5"/>
  <c r="N2888" i="5"/>
  <c r="F2888" i="5"/>
  <c r="N2884" i="5"/>
  <c r="J2890" i="5"/>
  <c r="D2886" i="5" a="1"/>
  <c r="F2889" i="5"/>
  <c r="I2884" i="5"/>
  <c r="K2889" i="5"/>
  <c r="F2885" i="5"/>
  <c r="N2891" i="5"/>
  <c r="H2886" i="5"/>
  <c r="G2883" i="5"/>
  <c r="F2935" i="5"/>
  <c r="G2930" i="5"/>
  <c r="G2937" i="5"/>
  <c r="F2934" i="5"/>
  <c r="M2935" i="5"/>
  <c r="G2932" i="5"/>
  <c r="D2928" i="5"/>
  <c r="F2937" i="5"/>
  <c r="F2928" i="5"/>
  <c r="G2931" i="5"/>
  <c r="M2937" i="5"/>
  <c r="I2829" i="5"/>
  <c r="F2825" i="5"/>
  <c r="N2829" i="5"/>
  <c r="J2829" i="5"/>
  <c r="M2825" i="5"/>
  <c r="N2831" i="5"/>
  <c r="K2824" i="5"/>
  <c r="M2827" i="5"/>
  <c r="J2823" i="5"/>
  <c r="I2827" i="5"/>
  <c r="D2827" i="5" s="1" a="1"/>
  <c r="J2827" i="5"/>
  <c r="G2823" i="5"/>
  <c r="N2826" i="5"/>
  <c r="G2832" i="5"/>
  <c r="J2825" i="5"/>
  <c r="N2981" i="5"/>
  <c r="J2979" i="5"/>
  <c r="F2976" i="5"/>
  <c r="G2979" i="5"/>
  <c r="K2974" i="5"/>
  <c r="K2977" i="5"/>
  <c r="G2982" i="5"/>
  <c r="J2981" i="5"/>
  <c r="M2975" i="5"/>
  <c r="K2980" i="5"/>
  <c r="D2979" i="5" a="1"/>
  <c r="K2978" i="5"/>
  <c r="F2979" i="5"/>
  <c r="I2973" i="5"/>
  <c r="I2921" i="5"/>
  <c r="H2921" i="5" s="1"/>
  <c r="N2920" i="5"/>
  <c r="F2914" i="5"/>
  <c r="N2917" i="5"/>
  <c r="G2913" i="5"/>
  <c r="M2916" i="5"/>
  <c r="K2917" i="5"/>
  <c r="I2913" i="5"/>
  <c r="H2913" i="5" s="1"/>
  <c r="D2913" i="5"/>
  <c r="F2920" i="5"/>
  <c r="K2913" i="5"/>
  <c r="F2917" i="5"/>
  <c r="F3006" i="5"/>
  <c r="F3010" i="5"/>
  <c r="I3004" i="5"/>
  <c r="D3004" i="5" s="1"/>
  <c r="G3010" i="5"/>
  <c r="I3006" i="5"/>
  <c r="K3011" i="5"/>
  <c r="I3007" i="5"/>
  <c r="H3007" i="5" s="1"/>
  <c r="K3010" i="5"/>
  <c r="F3005" i="5"/>
  <c r="M3007" i="5"/>
  <c r="G3011" i="5"/>
  <c r="D3003" i="5"/>
  <c r="N3087" i="5"/>
  <c r="G3082" i="5"/>
  <c r="H3086" i="5"/>
  <c r="F3082" i="5"/>
  <c r="M3083" i="5"/>
  <c r="I3081" i="5"/>
  <c r="H3081" i="5" s="1"/>
  <c r="N3086" i="5"/>
  <c r="D3081" i="5" a="1"/>
  <c r="G3086" i="5"/>
  <c r="F3080" i="5"/>
  <c r="J3085" i="5"/>
  <c r="I3085" i="5"/>
  <c r="J3083" i="5"/>
  <c r="J3146" i="5"/>
  <c r="F3142" i="5"/>
  <c r="G3143" i="5"/>
  <c r="J3143" i="5"/>
  <c r="K3146" i="5"/>
  <c r="I3138" i="5"/>
  <c r="D3138" i="5" s="1"/>
  <c r="F3140" i="5"/>
  <c r="N3145" i="5"/>
  <c r="I3139" i="5"/>
  <c r="D3139" i="5" s="1"/>
  <c r="H3140" i="5"/>
  <c r="N3144" i="5"/>
  <c r="N3138" i="5"/>
  <c r="N3140" i="5"/>
  <c r="G3145" i="5"/>
  <c r="F3138" i="5"/>
  <c r="F3206" i="5"/>
  <c r="F3207" i="5"/>
  <c r="F3199" i="5"/>
  <c r="F3203" i="5"/>
  <c r="J3205" i="5"/>
  <c r="F3204" i="5"/>
  <c r="K3202" i="5"/>
  <c r="M3204" i="5"/>
  <c r="G3200" i="5"/>
  <c r="N3199" i="5"/>
  <c r="K3203" i="5"/>
  <c r="G3199" i="5"/>
  <c r="N3056" i="5"/>
  <c r="M3051" i="5"/>
  <c r="J3055" i="5"/>
  <c r="K3051" i="5"/>
  <c r="I3057" i="5"/>
  <c r="H3057" i="5" s="1"/>
  <c r="M3050" i="5"/>
  <c r="J3056" i="5"/>
  <c r="F3050" i="5"/>
  <c r="M3057" i="5"/>
  <c r="N3051" i="5"/>
  <c r="F3048" i="5"/>
  <c r="J3052" i="5"/>
  <c r="G3048" i="5"/>
  <c r="J3050" i="5"/>
  <c r="N3057" i="5"/>
  <c r="F3052" i="5"/>
  <c r="D3048" i="5"/>
  <c r="G3069" i="5"/>
  <c r="K3064" i="5"/>
  <c r="K3070" i="5"/>
  <c r="J3063" i="5"/>
  <c r="M3064" i="5"/>
  <c r="I3066" i="5"/>
  <c r="H3070" i="5"/>
  <c r="F3065" i="5"/>
  <c r="K3071" i="5"/>
  <c r="M3065" i="5"/>
  <c r="G3066" i="5"/>
  <c r="M2995" i="5"/>
  <c r="N2991" i="5"/>
  <c r="K2989" i="5"/>
  <c r="N2995" i="5"/>
  <c r="G2990" i="5"/>
  <c r="N2996" i="5"/>
  <c r="N2990" i="5"/>
  <c r="H2990" i="5"/>
  <c r="I2992" i="5"/>
  <c r="D2992" i="5" s="1" a="1"/>
  <c r="H2995" i="5"/>
  <c r="I2989" i="5"/>
  <c r="J2992" i="5"/>
  <c r="I3187" i="5"/>
  <c r="D3187" i="5" s="1" a="1"/>
  <c r="H3183" i="5"/>
  <c r="G3189" i="5"/>
  <c r="I3192" i="5"/>
  <c r="H3192" i="5" s="1"/>
  <c r="K3191" i="5"/>
  <c r="I3188" i="5"/>
  <c r="D3188" i="5" s="1" a="1"/>
  <c r="M3187" i="5"/>
  <c r="D3192" i="5" a="1"/>
  <c r="G3184" i="5"/>
  <c r="J3187" i="5"/>
  <c r="M3193" i="5"/>
  <c r="F3185" i="5"/>
  <c r="K3190" i="5"/>
  <c r="D3022" i="5" a="1"/>
  <c r="M3024" i="5"/>
  <c r="K3027" i="5"/>
  <c r="N3022" i="5"/>
  <c r="M3019" i="5"/>
  <c r="G3022" i="5"/>
  <c r="N3024" i="5"/>
  <c r="K3020" i="5"/>
  <c r="G3027" i="5"/>
  <c r="M3021" i="5"/>
  <c r="G3020" i="5"/>
  <c r="H3042" i="5"/>
  <c r="J3037" i="5"/>
  <c r="N3041" i="5"/>
  <c r="F3036" i="5"/>
  <c r="J3042" i="5"/>
  <c r="N3036" i="5"/>
  <c r="M3033" i="5"/>
  <c r="D3039" i="5" a="1"/>
  <c r="M3038" i="5"/>
  <c r="G3040" i="5"/>
  <c r="J3035" i="5"/>
  <c r="M3042" i="5"/>
  <c r="N3042" i="5"/>
  <c r="I3034" i="5"/>
  <c r="H3034" i="5" s="1"/>
  <c r="I3116" i="5"/>
  <c r="J3112" i="5"/>
  <c r="J3113" i="5"/>
  <c r="K3114" i="5"/>
  <c r="M3110" i="5"/>
  <c r="M3117" i="5"/>
  <c r="K3110" i="5"/>
  <c r="N3114" i="5"/>
  <c r="I3113" i="5"/>
  <c r="F3115" i="5"/>
  <c r="K3108" i="5"/>
  <c r="F3116" i="5"/>
  <c r="I3109" i="5"/>
  <c r="H3109" i="5" s="1"/>
  <c r="D3114" i="5" a="1"/>
  <c r="D3109" i="5"/>
  <c r="G3111" i="5"/>
  <c r="M3131" i="5"/>
  <c r="D3127" i="5" a="1"/>
  <c r="I3126" i="5"/>
  <c r="G3123" i="5"/>
  <c r="J3124" i="5"/>
  <c r="N3126" i="5"/>
  <c r="G3131" i="5"/>
  <c r="K3125" i="5"/>
  <c r="I3130" i="5"/>
  <c r="M3124" i="5"/>
  <c r="K3129" i="5"/>
  <c r="N3124" i="5"/>
  <c r="F3216" i="5"/>
  <c r="K3213" i="5"/>
  <c r="M3214" i="5"/>
  <c r="M3219" i="5"/>
  <c r="N3214" i="5"/>
  <c r="D3221" i="5" a="1"/>
  <c r="K3216" i="5"/>
  <c r="G3222" i="5"/>
  <c r="D3217" i="5" a="1"/>
  <c r="K3217" i="5"/>
  <c r="M3213" i="5"/>
  <c r="I3219" i="5"/>
  <c r="D3219" i="5" s="1" a="1"/>
  <c r="D3223" i="5" a="1"/>
  <c r="J3236" i="5"/>
  <c r="F3232" i="5"/>
  <c r="D3229" i="5"/>
  <c r="M3232" i="5"/>
  <c r="F3229" i="5"/>
  <c r="G3235" i="5"/>
  <c r="I3231" i="5"/>
  <c r="D3231" i="5" s="1" a="1"/>
  <c r="M3237" i="5"/>
  <c r="G3229" i="5"/>
  <c r="G3233" i="5"/>
  <c r="J3233" i="5"/>
  <c r="K3235" i="5"/>
  <c r="F3230" i="5"/>
  <c r="F3228" i="5"/>
  <c r="K3312" i="5"/>
  <c r="F3311" i="5"/>
  <c r="I3304" i="5"/>
  <c r="H3304" i="5" s="1"/>
  <c r="J3310" i="5"/>
  <c r="K3305" i="5"/>
  <c r="G3312" i="5"/>
  <c r="D3307" i="5" a="1"/>
  <c r="D3303" i="5"/>
  <c r="K3307" i="5"/>
  <c r="K3304" i="5"/>
  <c r="N3310" i="5"/>
  <c r="G3309" i="5"/>
  <c r="N3304" i="5"/>
  <c r="D3304" i="5"/>
  <c r="D3313" i="5" a="1"/>
  <c r="I3306" i="5"/>
  <c r="D3306" i="5" s="1" a="1"/>
  <c r="I3099" i="5"/>
  <c r="H3099" i="5" s="1"/>
  <c r="F3095" i="5"/>
  <c r="N3102" i="5"/>
  <c r="M3098" i="5"/>
  <c r="I3101" i="5"/>
  <c r="H3101" i="5" s="1"/>
  <c r="D3098" i="5" a="1"/>
  <c r="I3100" i="5"/>
  <c r="K3102" i="5"/>
  <c r="M3096" i="5"/>
  <c r="K3097" i="5"/>
  <c r="I3093" i="5"/>
  <c r="F3100" i="5"/>
  <c r="G3158" i="5"/>
  <c r="N3154" i="5"/>
  <c r="I3161" i="5"/>
  <c r="D3161" i="5" s="1" a="1"/>
  <c r="K3156" i="5"/>
  <c r="J3153" i="5"/>
  <c r="G3157" i="5"/>
  <c r="M3157" i="5"/>
  <c r="H3155" i="5"/>
  <c r="F3160" i="5"/>
  <c r="G3153" i="5"/>
  <c r="N3161" i="5"/>
  <c r="M3153" i="5"/>
  <c r="F3157" i="5"/>
  <c r="M3176" i="5"/>
  <c r="I3172" i="5"/>
  <c r="J3173" i="5"/>
  <c r="J3175" i="5"/>
  <c r="I3170" i="5"/>
  <c r="H3170" i="5" s="1"/>
  <c r="G3175" i="5"/>
  <c r="J3170" i="5"/>
  <c r="G3176" i="5"/>
  <c r="D3178" i="5" a="1"/>
  <c r="D3174" i="5" a="1"/>
  <c r="N3173" i="5"/>
  <c r="G3171" i="5"/>
  <c r="N3176" i="5"/>
  <c r="K3168" i="5"/>
  <c r="H3250" i="5"/>
  <c r="N3250" i="5"/>
  <c r="H3246" i="5"/>
  <c r="F3243" i="5"/>
  <c r="I3247" i="5"/>
  <c r="H3247" i="5" s="1"/>
  <c r="M3243" i="5"/>
  <c r="D3247" i="5" a="1"/>
  <c r="M3252" i="5"/>
  <c r="J3245" i="5"/>
  <c r="N3251" i="5"/>
  <c r="D3246" i="5" a="1"/>
  <c r="J3252" i="5"/>
  <c r="J3251" i="5"/>
  <c r="F3246" i="5"/>
  <c r="K3266" i="5"/>
  <c r="J3267" i="5"/>
  <c r="M3262" i="5"/>
  <c r="J3258" i="5"/>
  <c r="K3260" i="5"/>
  <c r="I3258" i="5"/>
  <c r="H3258" i="5" s="1"/>
  <c r="I3264" i="5"/>
  <c r="G3260" i="5"/>
  <c r="K3267" i="5"/>
  <c r="M3267" i="5"/>
  <c r="F3263" i="5"/>
  <c r="N3258" i="5"/>
  <c r="D3258" i="5"/>
  <c r="N3259" i="5"/>
  <c r="J3354" i="5"/>
  <c r="M3350" i="5"/>
  <c r="J3352" i="5"/>
  <c r="I3349" i="5"/>
  <c r="M3354" i="5"/>
  <c r="N3353" i="5"/>
  <c r="N3354" i="5"/>
  <c r="K3353" i="5"/>
  <c r="J3355" i="5"/>
  <c r="I3353" i="5"/>
  <c r="H3353" i="5" s="1"/>
  <c r="D3355" i="5" a="1"/>
  <c r="D3358" i="5" a="1"/>
  <c r="K3355" i="5"/>
  <c r="N3349" i="5"/>
  <c r="H3351" i="5"/>
  <c r="I3416" i="5"/>
  <c r="H3416" i="5" s="1"/>
  <c r="G3414" i="5"/>
  <c r="J3410" i="5"/>
  <c r="I3408" i="5"/>
  <c r="J3411" i="5"/>
  <c r="H3408" i="5"/>
  <c r="J3412" i="5"/>
  <c r="M3408" i="5"/>
  <c r="H3413" i="5"/>
  <c r="H3415" i="5"/>
  <c r="K3413" i="5"/>
  <c r="I3414" i="5"/>
  <c r="K3409" i="5"/>
  <c r="I3327" i="5"/>
  <c r="D3327" i="5" s="1" a="1"/>
  <c r="N3322" i="5"/>
  <c r="K3318" i="5"/>
  <c r="H3325" i="5"/>
  <c r="J3320" i="5"/>
  <c r="J3325" i="5"/>
  <c r="M3320" i="5"/>
  <c r="D3326" i="5" a="1"/>
  <c r="F3321" i="5"/>
  <c r="F3325" i="5"/>
  <c r="D3319" i="5"/>
  <c r="M3322" i="5"/>
  <c r="F3326" i="5"/>
  <c r="M3323" i="5"/>
  <c r="G3318" i="5"/>
  <c r="G3336" i="5"/>
  <c r="M3333" i="5"/>
  <c r="F3342" i="5"/>
  <c r="G3334" i="5"/>
  <c r="N3339" i="5"/>
  <c r="K3335" i="5"/>
  <c r="D3341" i="5" a="1"/>
  <c r="M3341" i="5"/>
  <c r="N3336" i="5"/>
  <c r="M3337" i="5"/>
  <c r="N3333" i="5"/>
  <c r="G3340" i="5"/>
  <c r="H3335" i="5"/>
  <c r="J3402" i="5"/>
  <c r="K3397" i="5"/>
  <c r="K3398" i="5"/>
  <c r="I3395" i="5"/>
  <c r="H3395" i="5" s="1"/>
  <c r="K3400" i="5"/>
  <c r="M3394" i="5"/>
  <c r="G3398" i="5"/>
  <c r="F3393" i="5"/>
  <c r="J3397" i="5"/>
  <c r="I1540" i="5"/>
  <c r="I1538" i="5"/>
  <c r="H1538" i="5" s="1"/>
  <c r="D1542" i="5" a="1"/>
  <c r="N1537" i="5"/>
  <c r="D1538" i="5" a="1"/>
  <c r="M1617" i="5"/>
  <c r="F1617" i="5"/>
  <c r="M1615" i="5"/>
  <c r="F1612" i="5"/>
  <c r="M1609" i="5"/>
  <c r="K1614" i="5"/>
  <c r="M1610" i="5"/>
  <c r="M1614" i="5"/>
  <c r="N1610" i="5"/>
  <c r="F1615" i="5"/>
  <c r="G1610" i="5"/>
  <c r="N1616" i="5"/>
  <c r="M1611" i="5"/>
  <c r="I1609" i="5"/>
  <c r="N1630" i="5"/>
  <c r="G1626" i="5"/>
  <c r="D1623" i="5"/>
  <c r="F1633" i="5"/>
  <c r="N1628" i="5"/>
  <c r="H1632" i="5"/>
  <c r="J1627" i="5"/>
  <c r="I1633" i="5"/>
  <c r="N1631" i="5"/>
  <c r="H1624" i="5"/>
  <c r="K1630" i="5"/>
  <c r="J1625" i="5"/>
  <c r="M1632" i="5"/>
  <c r="G1629" i="5"/>
  <c r="I1625" i="5"/>
  <c r="G1704" i="5"/>
  <c r="K1699" i="5"/>
  <c r="J1706" i="5"/>
  <c r="G1702" i="5"/>
  <c r="N1703" i="5"/>
  <c r="N1705" i="5"/>
  <c r="H1701" i="5"/>
  <c r="F1698" i="5"/>
  <c r="G1705" i="5"/>
  <c r="J1701" i="5"/>
  <c r="G1698" i="5"/>
  <c r="D1704" i="5" a="1"/>
  <c r="H1700" i="5"/>
  <c r="K1707" i="5"/>
  <c r="D1702" i="5" a="1"/>
  <c r="J1699" i="5"/>
  <c r="J1721" i="5"/>
  <c r="H1718" i="5"/>
  <c r="M1713" i="5"/>
  <c r="K1719" i="5"/>
  <c r="N1715" i="5"/>
  <c r="F1719" i="5"/>
  <c r="F1715" i="5"/>
  <c r="J1722" i="5"/>
  <c r="K1717" i="5"/>
  <c r="K1718" i="5"/>
  <c r="G1721" i="5"/>
  <c r="M1716" i="5"/>
  <c r="H1719" i="5"/>
  <c r="K1715" i="5"/>
  <c r="I1713" i="5"/>
  <c r="H1713" i="5" s="1"/>
  <c r="M1797" i="5"/>
  <c r="J1794" i="5"/>
  <c r="K1790" i="5"/>
  <c r="F1793" i="5"/>
  <c r="I1790" i="5"/>
  <c r="M1794" i="5"/>
  <c r="F1790" i="5"/>
  <c r="I1794" i="5"/>
  <c r="D1794" i="5" s="1" a="1"/>
  <c r="G1790" i="5"/>
  <c r="M1792" i="5"/>
  <c r="I1793" i="5"/>
  <c r="K1556" i="5"/>
  <c r="G1552" i="5"/>
  <c r="N1549" i="5"/>
  <c r="I1556" i="5"/>
  <c r="G1549" i="5"/>
  <c r="D1556" i="5" a="1"/>
  <c r="I1552" i="5"/>
  <c r="H1548" i="5"/>
  <c r="F1556" i="5"/>
  <c r="I1550" i="5"/>
  <c r="H1554" i="5"/>
  <c r="K1549" i="5"/>
  <c r="J1556" i="5"/>
  <c r="F1552" i="5"/>
  <c r="N1645" i="5"/>
  <c r="F1639" i="5"/>
  <c r="G1645" i="5"/>
  <c r="J1641" i="5"/>
  <c r="N1638" i="5"/>
  <c r="J1645" i="5"/>
  <c r="K1641" i="5"/>
  <c r="M1642" i="5"/>
  <c r="M1647" i="5"/>
  <c r="F1647" i="5"/>
  <c r="I1639" i="5"/>
  <c r="H1646" i="5"/>
  <c r="M1638" i="5"/>
  <c r="K1734" i="5"/>
  <c r="G1731" i="5"/>
  <c r="F1728" i="5"/>
  <c r="M1734" i="5"/>
  <c r="N1730" i="5"/>
  <c r="G1728" i="5"/>
  <c r="H1735" i="5"/>
  <c r="I1731" i="5"/>
  <c r="K1737" i="5"/>
  <c r="D1732" i="5" a="1"/>
  <c r="I1733" i="5"/>
  <c r="I1737" i="5"/>
  <c r="N1732" i="5"/>
  <c r="K1728" i="5"/>
  <c r="D1735" i="5" a="1"/>
  <c r="F1731" i="5"/>
  <c r="N1824" i="5"/>
  <c r="H1820" i="5"/>
  <c r="N1826" i="5"/>
  <c r="M1821" i="5"/>
  <c r="J1819" i="5"/>
  <c r="G1826" i="5"/>
  <c r="N1821" i="5"/>
  <c r="D1818" i="5"/>
  <c r="D1825" i="5" a="1"/>
  <c r="F1821" i="5"/>
  <c r="K1826" i="5"/>
  <c r="G1822" i="5"/>
  <c r="N1819" i="5"/>
  <c r="I1826" i="5"/>
  <c r="G1819" i="5"/>
  <c r="H1887" i="5"/>
  <c r="K1882" i="5"/>
  <c r="H1879" i="5"/>
  <c r="G1884" i="5"/>
  <c r="J1880" i="5"/>
  <c r="I1878" i="5"/>
  <c r="D1878" i="5" s="1"/>
  <c r="I1885" i="5"/>
  <c r="D1887" i="5" a="1"/>
  <c r="F1883" i="5"/>
  <c r="M1879" i="5"/>
  <c r="K1884" i="5"/>
  <c r="G1881" i="5"/>
  <c r="F1878" i="5"/>
  <c r="M1884" i="5"/>
  <c r="N1880" i="5"/>
  <c r="G1878" i="5"/>
  <c r="D1976" i="5" a="1"/>
  <c r="I1972" i="5"/>
  <c r="H1968" i="5"/>
  <c r="F1976" i="5"/>
  <c r="I1970" i="5"/>
  <c r="M1978" i="5"/>
  <c r="K1969" i="5"/>
  <c r="J1976" i="5"/>
  <c r="F1972" i="5"/>
  <c r="I1974" i="5"/>
  <c r="H1974" i="5" s="1"/>
  <c r="F1970" i="5"/>
  <c r="G1978" i="5"/>
  <c r="D1974" i="5" a="1"/>
  <c r="G1970" i="5"/>
  <c r="G2065" i="5"/>
  <c r="N2064" i="5"/>
  <c r="K2065" i="5"/>
  <c r="M2067" i="5"/>
  <c r="F2067" i="5"/>
  <c r="D2065" i="5" a="1"/>
  <c r="K2066" i="5"/>
  <c r="G2062" i="5"/>
  <c r="H2059" i="5"/>
  <c r="K2060" i="5"/>
  <c r="M2058" i="5"/>
  <c r="N2059" i="5"/>
  <c r="D2068" i="5" a="1"/>
  <c r="F1901" i="5"/>
  <c r="M1902" i="5"/>
  <c r="F1902" i="5"/>
  <c r="D1894" i="5"/>
  <c r="M1900" i="5"/>
  <c r="F1897" i="5"/>
  <c r="M1894" i="5"/>
  <c r="K1899" i="5"/>
  <c r="M1895" i="5"/>
  <c r="M1899" i="5"/>
  <c r="N1895" i="5"/>
  <c r="F1900" i="5"/>
  <c r="G1895" i="5"/>
  <c r="N1912" i="5"/>
  <c r="D1913" i="5" a="1"/>
  <c r="N1917" i="5"/>
  <c r="G1912" i="5"/>
  <c r="D1909" i="5"/>
  <c r="G1915" i="5"/>
  <c r="H1911" i="5"/>
  <c r="F1908" i="5"/>
  <c r="I1914" i="5"/>
  <c r="G1910" i="5"/>
  <c r="F1915" i="5"/>
  <c r="D1918" i="5" a="1"/>
  <c r="I1917" i="5"/>
  <c r="M1912" i="5"/>
  <c r="J1908" i="5"/>
  <c r="N1989" i="5"/>
  <c r="J1985" i="5"/>
  <c r="I1983" i="5"/>
  <c r="G1989" i="5"/>
  <c r="K1984" i="5"/>
  <c r="J1991" i="5"/>
  <c r="G1987" i="5"/>
  <c r="N1988" i="5"/>
  <c r="N1990" i="5"/>
  <c r="H1986" i="5"/>
  <c r="F1983" i="5"/>
  <c r="G1990" i="5"/>
  <c r="J1986" i="5"/>
  <c r="G1983" i="5"/>
  <c r="D1989" i="5" a="1"/>
  <c r="H1985" i="5"/>
  <c r="M2007" i="5"/>
  <c r="G2004" i="5"/>
  <c r="I2000" i="5"/>
  <c r="D2000" i="5" s="1" a="1"/>
  <c r="F2003" i="5"/>
  <c r="M1999" i="5"/>
  <c r="I2006" i="5"/>
  <c r="N1998" i="5"/>
  <c r="H2005" i="5"/>
  <c r="I2001" i="5"/>
  <c r="D2001" i="5" s="1" a="1"/>
  <c r="G1998" i="5"/>
  <c r="H2000" i="5"/>
  <c r="K2007" i="5"/>
  <c r="F2006" i="5"/>
  <c r="I1999" i="5"/>
  <c r="H1999" i="5" s="1"/>
  <c r="J1841" i="5"/>
  <c r="F1837" i="5"/>
  <c r="D1834" i="5"/>
  <c r="I1839" i="5"/>
  <c r="H1839" i="5" s="1"/>
  <c r="F1835" i="5"/>
  <c r="D1839" i="5" a="1"/>
  <c r="G1835" i="5"/>
  <c r="N1839" i="5"/>
  <c r="H1835" i="5"/>
  <c r="N1841" i="5"/>
  <c r="M1836" i="5"/>
  <c r="J1834" i="5"/>
  <c r="G1841" i="5"/>
  <c r="N1836" i="5"/>
  <c r="D1833" i="5"/>
  <c r="H1931" i="5"/>
  <c r="H1928" i="5"/>
  <c r="M1923" i="5"/>
  <c r="G1928" i="5"/>
  <c r="G1932" i="5"/>
  <c r="F1929" i="5"/>
  <c r="D1933" i="5" a="1"/>
  <c r="J1932" i="5"/>
  <c r="F1930" i="5"/>
  <c r="K1928" i="5"/>
  <c r="K1930" i="5"/>
  <c r="D1926" i="5" a="1"/>
  <c r="J1923" i="5"/>
  <c r="M1930" i="5"/>
  <c r="K1925" i="5"/>
  <c r="F2016" i="5"/>
  <c r="N2018" i="5"/>
  <c r="M2021" i="5"/>
  <c r="J2017" i="5"/>
  <c r="J2018" i="5"/>
  <c r="H2022" i="5"/>
  <c r="K2017" i="5"/>
  <c r="H2014" i="5"/>
  <c r="G2019" i="5"/>
  <c r="J2015" i="5"/>
  <c r="I2013" i="5"/>
  <c r="D2013" i="5" s="1"/>
  <c r="I2020" i="5"/>
  <c r="D1811" i="5" a="1"/>
  <c r="J1806" i="5"/>
  <c r="G1804" i="5"/>
  <c r="M1809" i="5"/>
  <c r="K1812" i="5"/>
  <c r="F1811" i="5"/>
  <c r="I1804" i="5"/>
  <c r="M1810" i="5"/>
  <c r="N1806" i="5"/>
  <c r="K1804" i="5"/>
  <c r="N1810" i="5"/>
  <c r="G1806" i="5"/>
  <c r="D1803" i="5"/>
  <c r="N1808" i="5"/>
  <c r="K1854" i="5"/>
  <c r="M1850" i="5"/>
  <c r="M1854" i="5"/>
  <c r="N1850" i="5"/>
  <c r="F1855" i="5"/>
  <c r="G1850" i="5"/>
  <c r="N1856" i="5"/>
  <c r="M1851" i="5"/>
  <c r="I1849" i="5"/>
  <c r="G1856" i="5"/>
  <c r="K1850" i="5"/>
  <c r="N1857" i="5"/>
  <c r="F1869" i="5"/>
  <c r="F1865" i="5"/>
  <c r="J1872" i="5"/>
  <c r="K1867" i="5"/>
  <c r="K1868" i="5"/>
  <c r="G1871" i="5"/>
  <c r="M1866" i="5"/>
  <c r="H1869" i="5"/>
  <c r="K1865" i="5"/>
  <c r="I1863" i="5"/>
  <c r="F1872" i="5"/>
  <c r="K1871" i="5"/>
  <c r="H1867" i="5"/>
  <c r="F1864" i="5"/>
  <c r="N1945" i="5"/>
  <c r="H1941" i="5"/>
  <c r="F1938" i="5"/>
  <c r="G1945" i="5"/>
  <c r="J1941" i="5"/>
  <c r="G1938" i="5"/>
  <c r="D1944" i="5" a="1"/>
  <c r="H1940" i="5"/>
  <c r="K1947" i="5"/>
  <c r="D1942" i="5" a="1"/>
  <c r="J1939" i="5"/>
  <c r="H1946" i="5"/>
  <c r="N1941" i="5"/>
  <c r="J1944" i="5"/>
  <c r="F1941" i="5"/>
  <c r="D1938" i="5"/>
  <c r="I1959" i="5"/>
  <c r="D1959" i="5" s="1" a="1"/>
  <c r="G1955" i="5"/>
  <c r="F1960" i="5"/>
  <c r="D1963" i="5" a="1"/>
  <c r="I1962" i="5"/>
  <c r="M1957" i="5"/>
  <c r="J1953" i="5"/>
  <c r="D1960" i="5" a="1"/>
  <c r="F1956" i="5"/>
  <c r="K1953" i="5"/>
  <c r="J1959" i="5"/>
  <c r="M1955" i="5"/>
  <c r="G1962" i="5"/>
  <c r="G1958" i="5"/>
  <c r="N1954" i="5"/>
  <c r="K2036" i="5"/>
  <c r="N2028" i="5"/>
  <c r="H2035" i="5"/>
  <c r="G2029" i="5"/>
  <c r="J2035" i="5"/>
  <c r="I2031" i="5"/>
  <c r="D2031" i="5" s="1" a="1"/>
  <c r="M2032" i="5"/>
  <c r="I2033" i="5"/>
  <c r="I2037" i="5"/>
  <c r="N2032" i="5"/>
  <c r="K2028" i="5"/>
  <c r="D2035" i="5" a="1"/>
  <c r="G2031" i="5"/>
  <c r="M2028" i="5"/>
  <c r="H2050" i="5"/>
  <c r="I2046" i="5"/>
  <c r="G2043" i="5"/>
  <c r="H2045" i="5"/>
  <c r="K2052" i="5"/>
  <c r="F2051" i="5"/>
  <c r="I2044" i="5"/>
  <c r="M2050" i="5"/>
  <c r="N2046" i="5"/>
  <c r="K2044" i="5"/>
  <c r="N2050" i="5"/>
  <c r="G2046" i="5"/>
  <c r="D2043" i="5"/>
  <c r="N2048" i="5"/>
  <c r="M2156" i="5"/>
  <c r="J2152" i="5"/>
  <c r="J2153" i="5"/>
  <c r="H2157" i="5"/>
  <c r="K2152" i="5"/>
  <c r="H2149" i="5"/>
  <c r="G2154" i="5"/>
  <c r="J2150" i="5"/>
  <c r="I2148" i="5"/>
  <c r="D2148" i="5" s="1"/>
  <c r="I2155" i="5"/>
  <c r="D2157" i="5" a="1"/>
  <c r="F2153" i="5"/>
  <c r="M2149" i="5"/>
  <c r="K2154" i="5"/>
  <c r="G2151" i="5"/>
  <c r="F2148" i="5"/>
  <c r="I2246" i="5"/>
  <c r="G2239" i="5"/>
  <c r="D2246" i="5" a="1"/>
  <c r="I2242" i="5"/>
  <c r="H2238" i="5"/>
  <c r="F2246" i="5"/>
  <c r="I2240" i="5"/>
  <c r="K2239" i="5"/>
  <c r="J2246" i="5"/>
  <c r="F2242" i="5"/>
  <c r="I2244" i="5"/>
  <c r="F2240" i="5"/>
  <c r="J2080" i="5"/>
  <c r="I2076" i="5"/>
  <c r="M2077" i="5"/>
  <c r="I2078" i="5"/>
  <c r="I2082" i="5"/>
  <c r="D2082" i="5" s="1" a="1"/>
  <c r="N2077" i="5"/>
  <c r="K2073" i="5"/>
  <c r="D2080" i="5" a="1"/>
  <c r="G2076" i="5"/>
  <c r="M2073" i="5"/>
  <c r="H2082" i="5"/>
  <c r="I2079" i="5"/>
  <c r="H2079" i="5" s="1"/>
  <c r="F2075" i="5"/>
  <c r="K2097" i="5"/>
  <c r="F2096" i="5"/>
  <c r="I2089" i="5"/>
  <c r="D2089" i="5" s="1"/>
  <c r="M2095" i="5"/>
  <c r="N2091" i="5"/>
  <c r="K2089" i="5"/>
  <c r="N2095" i="5"/>
  <c r="G2091" i="5"/>
  <c r="D2088" i="5"/>
  <c r="N2093" i="5"/>
  <c r="J2092" i="5"/>
  <c r="N2096" i="5"/>
  <c r="H2089" i="5"/>
  <c r="D2171" i="5" a="1"/>
  <c r="K2166" i="5"/>
  <c r="H2163" i="5"/>
  <c r="F2171" i="5"/>
  <c r="M2172" i="5"/>
  <c r="F2172" i="5"/>
  <c r="D2164" i="5"/>
  <c r="M2170" i="5"/>
  <c r="F2167" i="5"/>
  <c r="M2164" i="5"/>
  <c r="K2169" i="5"/>
  <c r="M2165" i="5"/>
  <c r="M2169" i="5"/>
  <c r="N2165" i="5"/>
  <c r="N2184" i="5"/>
  <c r="J2179" i="5"/>
  <c r="H2186" i="5"/>
  <c r="F2182" i="5"/>
  <c r="M2183" i="5"/>
  <c r="J2186" i="5"/>
  <c r="H2183" i="5"/>
  <c r="M2178" i="5"/>
  <c r="K2184" i="5"/>
  <c r="N2180" i="5"/>
  <c r="F2184" i="5"/>
  <c r="F2180" i="5"/>
  <c r="J2187" i="5"/>
  <c r="K2182" i="5"/>
  <c r="K2183" i="5"/>
  <c r="M2261" i="5"/>
  <c r="I2257" i="5"/>
  <c r="H2254" i="5"/>
  <c r="N2259" i="5"/>
  <c r="J2255" i="5"/>
  <c r="I2253" i="5"/>
  <c r="D2253" i="5" s="1"/>
  <c r="G2259" i="5"/>
  <c r="K2254" i="5"/>
  <c r="J2261" i="5"/>
  <c r="G2257" i="5"/>
  <c r="N2258" i="5"/>
  <c r="N2260" i="5"/>
  <c r="H2256" i="5"/>
  <c r="F2253" i="5"/>
  <c r="G2260" i="5"/>
  <c r="J2256" i="5"/>
  <c r="G2253" i="5"/>
  <c r="I2275" i="5"/>
  <c r="I2273" i="5"/>
  <c r="D2277" i="5" a="1"/>
  <c r="N2272" i="5"/>
  <c r="D2273" i="5" a="1"/>
  <c r="N2277" i="5"/>
  <c r="G2272" i="5"/>
  <c r="D2269" i="5"/>
  <c r="G2275" i="5"/>
  <c r="H2271" i="5"/>
  <c r="F2268" i="5"/>
  <c r="I2274" i="5"/>
  <c r="G2270" i="5"/>
  <c r="J2278" i="5"/>
  <c r="F2275" i="5"/>
  <c r="D2278" i="5" a="1"/>
  <c r="D2337" i="5" a="1"/>
  <c r="F2333" i="5"/>
  <c r="M2329" i="5"/>
  <c r="K2334" i="5"/>
  <c r="G2331" i="5"/>
  <c r="H2337" i="5"/>
  <c r="K2332" i="5"/>
  <c r="H2329" i="5"/>
  <c r="G2334" i="5"/>
  <c r="J2330" i="5"/>
  <c r="I2328" i="5"/>
  <c r="D2328" i="5" s="1"/>
  <c r="I2335" i="5"/>
  <c r="N2330" i="5"/>
  <c r="G2337" i="5"/>
  <c r="J2333" i="5"/>
  <c r="J2331" i="5"/>
  <c r="G2111" i="5"/>
  <c r="N2106" i="5"/>
  <c r="D2103" i="5"/>
  <c r="J2109" i="5"/>
  <c r="M2105" i="5"/>
  <c r="K2111" i="5"/>
  <c r="G2107" i="5"/>
  <c r="N2104" i="5"/>
  <c r="I2111" i="5"/>
  <c r="H2111" i="5" s="1"/>
  <c r="G2104" i="5"/>
  <c r="D2111" i="5" a="1"/>
  <c r="I2107" i="5"/>
  <c r="H2103" i="5"/>
  <c r="F2111" i="5"/>
  <c r="I2105" i="5"/>
  <c r="M2200" i="5"/>
  <c r="K2195" i="5"/>
  <c r="N2202" i="5"/>
  <c r="M2198" i="5"/>
  <c r="N2200" i="5"/>
  <c r="F2194" i="5"/>
  <c r="G2200" i="5"/>
  <c r="J2196" i="5"/>
  <c r="N2193" i="5"/>
  <c r="J2200" i="5"/>
  <c r="K2196" i="5"/>
  <c r="M2197" i="5"/>
  <c r="I2290" i="5"/>
  <c r="D2290" i="5" s="1" a="1"/>
  <c r="D2285" i="5" a="1"/>
  <c r="D2292" i="5" a="1"/>
  <c r="F2288" i="5"/>
  <c r="M2284" i="5"/>
  <c r="K2289" i="5"/>
  <c r="G2286" i="5"/>
  <c r="F2283" i="5"/>
  <c r="M2289" i="5"/>
  <c r="N2285" i="5"/>
  <c r="G2283" i="5"/>
  <c r="H2290" i="5"/>
  <c r="I2286" i="5"/>
  <c r="K2292" i="5"/>
  <c r="D2287" i="5" a="1"/>
  <c r="I2288" i="5"/>
  <c r="M2125" i="5"/>
  <c r="F2122" i="5"/>
  <c r="M2119" i="5"/>
  <c r="K2124" i="5"/>
  <c r="M2120" i="5"/>
  <c r="G2128" i="5"/>
  <c r="M2124" i="5"/>
  <c r="N2120" i="5"/>
  <c r="J2128" i="5"/>
  <c r="F2125" i="5"/>
  <c r="G2120" i="5"/>
  <c r="N2126" i="5"/>
  <c r="M2121" i="5"/>
  <c r="I2119" i="5"/>
  <c r="G2126" i="5"/>
  <c r="K2120" i="5"/>
  <c r="K2141" i="5"/>
  <c r="H2137" i="5"/>
  <c r="F2134" i="5"/>
  <c r="J2136" i="5"/>
  <c r="G2134" i="5"/>
  <c r="M2139" i="5"/>
  <c r="N2139" i="5"/>
  <c r="J2134" i="5"/>
  <c r="F2137" i="5"/>
  <c r="M2138" i="5"/>
  <c r="J2141" i="5"/>
  <c r="H2138" i="5"/>
  <c r="M2133" i="5"/>
  <c r="J2216" i="5"/>
  <c r="G2212" i="5"/>
  <c r="N2213" i="5"/>
  <c r="N2215" i="5"/>
  <c r="H2211" i="5"/>
  <c r="F2208" i="5"/>
  <c r="G2215" i="5"/>
  <c r="J2211" i="5"/>
  <c r="G2208" i="5"/>
  <c r="D2214" i="5" a="1"/>
  <c r="H2210" i="5"/>
  <c r="K2217" i="5"/>
  <c r="D2212" i="5" a="1"/>
  <c r="J2209" i="5"/>
  <c r="H2216" i="5"/>
  <c r="N2211" i="5"/>
  <c r="G2232" i="5"/>
  <c r="G2228" i="5"/>
  <c r="N2224" i="5"/>
  <c r="M2231" i="5"/>
  <c r="I2227" i="5"/>
  <c r="D2227" i="5" s="1" a="1"/>
  <c r="J2228" i="5"/>
  <c r="J2230" i="5"/>
  <c r="K2226" i="5"/>
  <c r="H2223" i="5"/>
  <c r="I2230" i="5"/>
  <c r="I2228" i="5"/>
  <c r="D2232" i="5" a="1"/>
  <c r="N2227" i="5"/>
  <c r="D2228" i="5" a="1"/>
  <c r="N2232" i="5"/>
  <c r="G2227" i="5"/>
  <c r="D2224" i="5"/>
  <c r="F2303" i="5"/>
  <c r="I2300" i="5"/>
  <c r="D2300" i="5" s="1" a="1"/>
  <c r="K2306" i="5"/>
  <c r="N2298" i="5"/>
  <c r="H2305" i="5"/>
  <c r="G2299" i="5"/>
  <c r="J2305" i="5"/>
  <c r="I2301" i="5"/>
  <c r="D2301" i="5" s="1" a="1"/>
  <c r="M2302" i="5"/>
  <c r="I2303" i="5"/>
  <c r="I2307" i="5"/>
  <c r="N2302" i="5"/>
  <c r="K2298" i="5"/>
  <c r="K2322" i="5"/>
  <c r="K2319" i="5"/>
  <c r="N2315" i="5"/>
  <c r="I2321" i="5"/>
  <c r="J2316" i="5"/>
  <c r="G2314" i="5"/>
  <c r="D2319" i="5" a="1"/>
  <c r="H2315" i="5"/>
  <c r="K2320" i="5"/>
  <c r="J2315" i="5"/>
  <c r="F2316" i="5"/>
  <c r="K2313" i="5"/>
  <c r="F2318" i="5"/>
  <c r="M2314" i="5"/>
  <c r="N2577" i="5"/>
  <c r="M2577" i="5"/>
  <c r="F2577" i="5"/>
  <c r="D2569" i="5"/>
  <c r="I2574" i="5"/>
  <c r="H2574" i="5" s="1"/>
  <c r="G2569" i="5"/>
  <c r="K2574" i="5"/>
  <c r="N2569" i="5"/>
  <c r="K2575" i="5"/>
  <c r="D2573" i="5" a="1"/>
  <c r="D2574" i="5" a="1"/>
  <c r="K2573" i="5"/>
  <c r="D2572" i="5" a="1"/>
  <c r="M2576" i="5"/>
  <c r="F2569" i="5"/>
  <c r="H2382" i="5"/>
  <c r="K2377" i="5"/>
  <c r="H2374" i="5"/>
  <c r="G2379" i="5"/>
  <c r="J2375" i="5"/>
  <c r="I2373" i="5"/>
  <c r="D2373" i="5" s="1"/>
  <c r="I2380" i="5"/>
  <c r="D2382" i="5" a="1"/>
  <c r="F2378" i="5"/>
  <c r="M2374" i="5"/>
  <c r="K2379" i="5"/>
  <c r="G2376" i="5"/>
  <c r="F2373" i="5"/>
  <c r="M2379" i="5"/>
  <c r="N2375" i="5"/>
  <c r="G2373" i="5"/>
  <c r="D2471" i="5" a="1"/>
  <c r="I2467" i="5"/>
  <c r="H2463" i="5"/>
  <c r="F2471" i="5"/>
  <c r="I2465" i="5"/>
  <c r="K2464" i="5"/>
  <c r="J2471" i="5"/>
  <c r="F2467" i="5"/>
  <c r="I2469" i="5"/>
  <c r="H2469" i="5" s="1"/>
  <c r="F2465" i="5"/>
  <c r="D2469" i="5" a="1"/>
  <c r="G2465" i="5"/>
  <c r="K2545" i="5"/>
  <c r="J2540" i="5"/>
  <c r="J2547" i="5"/>
  <c r="K2542" i="5"/>
  <c r="K2543" i="5"/>
  <c r="F2547" i="5"/>
  <c r="D2539" i="5"/>
  <c r="H2544" i="5"/>
  <c r="F2539" i="5"/>
  <c r="J2544" i="5"/>
  <c r="M2539" i="5"/>
  <c r="K2544" i="5"/>
  <c r="N2539" i="5"/>
  <c r="F2543" i="5"/>
  <c r="M2547" i="5"/>
  <c r="H2541" i="5"/>
  <c r="M2562" i="5"/>
  <c r="F2562" i="5"/>
  <c r="I2554" i="5"/>
  <c r="D2554" i="5" s="1"/>
  <c r="K2560" i="5"/>
  <c r="J2553" i="5"/>
  <c r="K2559" i="5"/>
  <c r="H2554" i="5"/>
  <c r="G2553" i="5"/>
  <c r="N2562" i="5"/>
  <c r="F2557" i="5"/>
  <c r="K2556" i="5"/>
  <c r="D2559" i="5" a="1"/>
  <c r="G2554" i="5"/>
  <c r="J2620" i="5"/>
  <c r="I2616" i="5"/>
  <c r="M2617" i="5"/>
  <c r="I2618" i="5"/>
  <c r="I2622" i="5"/>
  <c r="N2617" i="5"/>
  <c r="K2613" i="5"/>
  <c r="G2620" i="5"/>
  <c r="J2616" i="5"/>
  <c r="G2613" i="5"/>
  <c r="J2621" i="5"/>
  <c r="F2613" i="5"/>
  <c r="M2614" i="5"/>
  <c r="D2620" i="5" a="1"/>
  <c r="M2392" i="5"/>
  <c r="I2393" i="5"/>
  <c r="I2397" i="5"/>
  <c r="D2397" i="5" s="1" a="1"/>
  <c r="N2392" i="5"/>
  <c r="K2388" i="5"/>
  <c r="D2395" i="5" a="1"/>
  <c r="G2391" i="5"/>
  <c r="M2388" i="5"/>
  <c r="H2397" i="5"/>
  <c r="I2394" i="5"/>
  <c r="F2390" i="5"/>
  <c r="J2397" i="5"/>
  <c r="K2392" i="5"/>
  <c r="K2393" i="5"/>
  <c r="H2411" i="5"/>
  <c r="F2407" i="5"/>
  <c r="M2408" i="5"/>
  <c r="J2411" i="5"/>
  <c r="H2408" i="5"/>
  <c r="M2403" i="5"/>
  <c r="K2409" i="5"/>
  <c r="N2405" i="5"/>
  <c r="F2409" i="5"/>
  <c r="F2405" i="5"/>
  <c r="J2412" i="5"/>
  <c r="K2407" i="5"/>
  <c r="K2408" i="5"/>
  <c r="G2411" i="5"/>
  <c r="M2406" i="5"/>
  <c r="F2486" i="5"/>
  <c r="M2487" i="5"/>
  <c r="F2487" i="5"/>
  <c r="D2479" i="5"/>
  <c r="M2485" i="5"/>
  <c r="F2482" i="5"/>
  <c r="M2479" i="5"/>
  <c r="K2484" i="5"/>
  <c r="M2480" i="5"/>
  <c r="M2484" i="5"/>
  <c r="N2480" i="5"/>
  <c r="F2485" i="5"/>
  <c r="G2480" i="5"/>
  <c r="N2497" i="5"/>
  <c r="D2498" i="5" a="1"/>
  <c r="N2502" i="5"/>
  <c r="G2497" i="5"/>
  <c r="D2494" i="5"/>
  <c r="G2500" i="5"/>
  <c r="H2496" i="5"/>
  <c r="F2493" i="5"/>
  <c r="I2499" i="5"/>
  <c r="G2495" i="5"/>
  <c r="F2500" i="5"/>
  <c r="D2503" i="5" a="1"/>
  <c r="I2502" i="5"/>
  <c r="M2497" i="5"/>
  <c r="J2493" i="5"/>
  <c r="I2591" i="5"/>
  <c r="N2583" i="5"/>
  <c r="J2589" i="5"/>
  <c r="M2585" i="5"/>
  <c r="M2592" i="5"/>
  <c r="N2586" i="5"/>
  <c r="M2587" i="5"/>
  <c r="F2587" i="5"/>
  <c r="I2587" i="5"/>
  <c r="H2585" i="5"/>
  <c r="K2590" i="5"/>
  <c r="G2583" i="5"/>
  <c r="N2427" i="5"/>
  <c r="M2423" i="5"/>
  <c r="N2425" i="5"/>
  <c r="F2419" i="5"/>
  <c r="G2425" i="5"/>
  <c r="J2421" i="5"/>
  <c r="N2418" i="5"/>
  <c r="J2425" i="5"/>
  <c r="K2421" i="5"/>
  <c r="M2422" i="5"/>
  <c r="M2427" i="5"/>
  <c r="F2427" i="5"/>
  <c r="I2419" i="5"/>
  <c r="F2513" i="5"/>
  <c r="M2509" i="5"/>
  <c r="K2514" i="5"/>
  <c r="G2511" i="5"/>
  <c r="F2508" i="5"/>
  <c r="M2514" i="5"/>
  <c r="N2510" i="5"/>
  <c r="G2508" i="5"/>
  <c r="H2515" i="5"/>
  <c r="I2511" i="5"/>
  <c r="K2517" i="5"/>
  <c r="D2512" i="5" a="1"/>
  <c r="I2513" i="5"/>
  <c r="I2517" i="5"/>
  <c r="N2512" i="5"/>
  <c r="K2508" i="5"/>
  <c r="K2351" i="5"/>
  <c r="H2348" i="5"/>
  <c r="N2343" i="5"/>
  <c r="H2350" i="5"/>
  <c r="G2344" i="5"/>
  <c r="N2349" i="5"/>
  <c r="J2345" i="5"/>
  <c r="I2343" i="5"/>
  <c r="G2349" i="5"/>
  <c r="K2344" i="5"/>
  <c r="J2351" i="5"/>
  <c r="G2347" i="5"/>
  <c r="N2348" i="5"/>
  <c r="G2345" i="5"/>
  <c r="J2350" i="5"/>
  <c r="D2349" i="5" a="1"/>
  <c r="H2365" i="5"/>
  <c r="I2361" i="5"/>
  <c r="G2358" i="5"/>
  <c r="H2360" i="5"/>
  <c r="K2367" i="5"/>
  <c r="F2366" i="5"/>
  <c r="D2365" i="5" a="1"/>
  <c r="F2361" i="5"/>
  <c r="K2358" i="5"/>
  <c r="J2364" i="5"/>
  <c r="M2360" i="5"/>
  <c r="G2367" i="5"/>
  <c r="G2363" i="5"/>
  <c r="N2359" i="5"/>
  <c r="J2359" i="5"/>
  <c r="H2437" i="5"/>
  <c r="F2434" i="5"/>
  <c r="I2441" i="5"/>
  <c r="H2441" i="5" s="1"/>
  <c r="J2437" i="5"/>
  <c r="J2438" i="5"/>
  <c r="D2441" i="5" a="1"/>
  <c r="K2436" i="5"/>
  <c r="H2433" i="5"/>
  <c r="F2441" i="5"/>
  <c r="M2442" i="5"/>
  <c r="F2442" i="5"/>
  <c r="D2434" i="5"/>
  <c r="M2440" i="5"/>
  <c r="F2437" i="5"/>
  <c r="M2434" i="5"/>
  <c r="D2456" i="5" a="1"/>
  <c r="J2451" i="5"/>
  <c r="G2449" i="5"/>
  <c r="M2454" i="5"/>
  <c r="N2454" i="5"/>
  <c r="J2449" i="5"/>
  <c r="H2456" i="5"/>
  <c r="F2452" i="5"/>
  <c r="M2453" i="5"/>
  <c r="J2456" i="5"/>
  <c r="H2453" i="5"/>
  <c r="M2448" i="5"/>
  <c r="K2454" i="5"/>
  <c r="N2450" i="5"/>
  <c r="H2532" i="5"/>
  <c r="I2529" i="5"/>
  <c r="F2525" i="5"/>
  <c r="J2532" i="5"/>
  <c r="K2527" i="5"/>
  <c r="K2528" i="5"/>
  <c r="K2530" i="5"/>
  <c r="D2526" i="5" a="1"/>
  <c r="J2523" i="5"/>
  <c r="I2530" i="5"/>
  <c r="M2528" i="5"/>
  <c r="J2531" i="5"/>
  <c r="G2527" i="5"/>
  <c r="N2528" i="5"/>
  <c r="G2636" i="5"/>
  <c r="M2631" i="5"/>
  <c r="H2634" i="5"/>
  <c r="K2630" i="5"/>
  <c r="I2628" i="5"/>
  <c r="F2637" i="5"/>
  <c r="J2637" i="5"/>
  <c r="K2632" i="5"/>
  <c r="K2633" i="5"/>
  <c r="I2632" i="5"/>
  <c r="H2632" i="5" s="1"/>
  <c r="F2630" i="5"/>
  <c r="N2628" i="5"/>
  <c r="I2636" i="5"/>
  <c r="G2605" i="5"/>
  <c r="J2601" i="5"/>
  <c r="N2598" i="5"/>
  <c r="J2605" i="5"/>
  <c r="K2601" i="5"/>
  <c r="K2607" i="5"/>
  <c r="D2602" i="5" a="1"/>
  <c r="I2603" i="5"/>
  <c r="G2603" i="5"/>
  <c r="H2606" i="5"/>
  <c r="M2607" i="5"/>
  <c r="I2598" i="5"/>
  <c r="J2606" i="5"/>
  <c r="G2606" i="5"/>
  <c r="M2694" i="5"/>
  <c r="N2690" i="5"/>
  <c r="G2688" i="5"/>
  <c r="H2695" i="5"/>
  <c r="I2691" i="5"/>
  <c r="K2697" i="5"/>
  <c r="D2692" i="5" a="1"/>
  <c r="I2693" i="5"/>
  <c r="I2697" i="5"/>
  <c r="N2692" i="5"/>
  <c r="K2688" i="5"/>
  <c r="D2695" i="5" a="1"/>
  <c r="F2691" i="5"/>
  <c r="N2698" i="5"/>
  <c r="H2692" i="5"/>
  <c r="N2693" i="5"/>
  <c r="F2710" i="5"/>
  <c r="G2705" i="5"/>
  <c r="N2711" i="5"/>
  <c r="M2706" i="5"/>
  <c r="I2704" i="5"/>
  <c r="G2711" i="5"/>
  <c r="K2705" i="5"/>
  <c r="N2712" i="5"/>
  <c r="H2709" i="5"/>
  <c r="H2707" i="5"/>
  <c r="F2704" i="5"/>
  <c r="I2711" i="5"/>
  <c r="J2707" i="5"/>
  <c r="J2708" i="5"/>
  <c r="H2726" i="5"/>
  <c r="F2722" i="5"/>
  <c r="M2723" i="5"/>
  <c r="K2722" i="5"/>
  <c r="I2719" i="5"/>
  <c r="I2724" i="5"/>
  <c r="D2728" i="5" a="1"/>
  <c r="I2727" i="5"/>
  <c r="D2727" i="5" s="1" a="1"/>
  <c r="D2718" i="5"/>
  <c r="H2722" i="5"/>
  <c r="N2718" i="5"/>
  <c r="J2725" i="5"/>
  <c r="D2720" i="5" a="1"/>
  <c r="G2727" i="5"/>
  <c r="D2722" i="5" a="1"/>
  <c r="I2650" i="5"/>
  <c r="D2650" i="5" s="1" a="1"/>
  <c r="D2645" i="5" a="1"/>
  <c r="D2652" i="5" a="1"/>
  <c r="F2648" i="5"/>
  <c r="M2644" i="5"/>
  <c r="K2649" i="5"/>
  <c r="G2646" i="5"/>
  <c r="F2643" i="5"/>
  <c r="M2649" i="5"/>
  <c r="N2645" i="5"/>
  <c r="G2643" i="5"/>
  <c r="H2650" i="5"/>
  <c r="I2646" i="5"/>
  <c r="K2652" i="5"/>
  <c r="D2647" i="5" a="1"/>
  <c r="I2648" i="5"/>
  <c r="H2801" i="5"/>
  <c r="N2796" i="5"/>
  <c r="M2797" i="5"/>
  <c r="I2798" i="5"/>
  <c r="D2798" i="5" s="1" a="1"/>
  <c r="D2801" i="5" a="1"/>
  <c r="G2800" i="5"/>
  <c r="D2803" i="5" a="1"/>
  <c r="H2798" i="5"/>
  <c r="J2801" i="5"/>
  <c r="F2796" i="5"/>
  <c r="J2802" i="5"/>
  <c r="K2796" i="5"/>
  <c r="J2797" i="5"/>
  <c r="G2793" i="5"/>
  <c r="N2667" i="5"/>
  <c r="H2664" i="5"/>
  <c r="H2662" i="5"/>
  <c r="F2659" i="5"/>
  <c r="I2666" i="5"/>
  <c r="H2666" i="5" s="1"/>
  <c r="J2662" i="5"/>
  <c r="J2663" i="5"/>
  <c r="D2666" i="5" a="1"/>
  <c r="K2661" i="5"/>
  <c r="H2658" i="5"/>
  <c r="F2666" i="5"/>
  <c r="M2667" i="5"/>
  <c r="F2667" i="5"/>
  <c r="D2659" i="5"/>
  <c r="K2679" i="5"/>
  <c r="N2675" i="5"/>
  <c r="F2679" i="5"/>
  <c r="F2675" i="5"/>
  <c r="J2682" i="5"/>
  <c r="K2677" i="5"/>
  <c r="K2678" i="5"/>
  <c r="G2681" i="5"/>
  <c r="M2676" i="5"/>
  <c r="H2679" i="5"/>
  <c r="K2675" i="5"/>
  <c r="I2673" i="5"/>
  <c r="F2682" i="5"/>
  <c r="K2785" i="5"/>
  <c r="J2778" i="5"/>
  <c r="J2785" i="5"/>
  <c r="K2781" i="5"/>
  <c r="N2787" i="5"/>
  <c r="F2782" i="5"/>
  <c r="I2787" i="5"/>
  <c r="F2780" i="5"/>
  <c r="D2784" i="5" a="1"/>
  <c r="G2779" i="5"/>
  <c r="K2784" i="5"/>
  <c r="N2783" i="5"/>
  <c r="M2784" i="5"/>
  <c r="H2741" i="5"/>
  <c r="M2733" i="5"/>
  <c r="F2739" i="5"/>
  <c r="J2734" i="5"/>
  <c r="K2739" i="5"/>
  <c r="G2735" i="5"/>
  <c r="G2741" i="5"/>
  <c r="I2742" i="5"/>
  <c r="G2737" i="5"/>
  <c r="H2733" i="5"/>
  <c r="G2739" i="5"/>
  <c r="D2735" i="5" a="1"/>
  <c r="J2740" i="5"/>
  <c r="K2735" i="5"/>
  <c r="F2813" i="5"/>
  <c r="M2809" i="5"/>
  <c r="N2812" i="5"/>
  <c r="I2817" i="5"/>
  <c r="M2811" i="5"/>
  <c r="D2814" i="5" a="1"/>
  <c r="H2809" i="5"/>
  <c r="I2811" i="5"/>
  <c r="H2811" i="5" s="1"/>
  <c r="N2816" i="5"/>
  <c r="D2811" i="5" a="1"/>
  <c r="G2816" i="5"/>
  <c r="F2810" i="5"/>
  <c r="J2815" i="5"/>
  <c r="D2818" i="5" a="1"/>
  <c r="I2756" i="5"/>
  <c r="H2756" i="5" s="1"/>
  <c r="F2749" i="5"/>
  <c r="F2753" i="5"/>
  <c r="I2749" i="5"/>
  <c r="H2749" i="5" s="1"/>
  <c r="K2752" i="5"/>
  <c r="D2749" i="5"/>
  <c r="H2754" i="5"/>
  <c r="K2749" i="5"/>
  <c r="F2755" i="5"/>
  <c r="M2753" i="5"/>
  <c r="J2754" i="5"/>
  <c r="N2753" i="5"/>
  <c r="D2756" i="5" a="1"/>
  <c r="D2751" i="5" a="1"/>
  <c r="F2770" i="5"/>
  <c r="D2773" i="5" a="1"/>
  <c r="M2771" i="5"/>
  <c r="I2767" i="5"/>
  <c r="J2768" i="5"/>
  <c r="K2769" i="5"/>
  <c r="N2764" i="5"/>
  <c r="G2766" i="5"/>
  <c r="M2770" i="5"/>
  <c r="N2768" i="5"/>
  <c r="N2770" i="5"/>
  <c r="I2768" i="5"/>
  <c r="G2770" i="5"/>
  <c r="M2768" i="5"/>
  <c r="I2770" i="5"/>
  <c r="M2764" i="5"/>
  <c r="G2847" i="5"/>
  <c r="G2845" i="5"/>
  <c r="J2841" i="5"/>
  <c r="G2838" i="5"/>
  <c r="K2842" i="5"/>
  <c r="K2843" i="5"/>
  <c r="F2846" i="5"/>
  <c r="F2847" i="5"/>
  <c r="D2839" i="5"/>
  <c r="D2845" i="5" a="1"/>
  <c r="G2841" i="5"/>
  <c r="M2838" i="5"/>
  <c r="D2838" i="5"/>
  <c r="J2906" i="5"/>
  <c r="H2903" i="5"/>
  <c r="M2898" i="5"/>
  <c r="D2904" i="5" a="1"/>
  <c r="M2903" i="5"/>
  <c r="H2905" i="5"/>
  <c r="J2900" i="5"/>
  <c r="M2907" i="5"/>
  <c r="G2903" i="5"/>
  <c r="J2898" i="5"/>
  <c r="D2905" i="5" a="1"/>
  <c r="F2900" i="5"/>
  <c r="J2907" i="5"/>
  <c r="N2901" i="5"/>
  <c r="N2898" i="5"/>
  <c r="K2952" i="5"/>
  <c r="F2951" i="5"/>
  <c r="I2944" i="5"/>
  <c r="M2949" i="5"/>
  <c r="D2946" i="5" a="1"/>
  <c r="M2952" i="5"/>
  <c r="H2946" i="5"/>
  <c r="M2951" i="5"/>
  <c r="K2945" i="5"/>
  <c r="J2951" i="5"/>
  <c r="M2945" i="5"/>
  <c r="I2951" i="5"/>
  <c r="H2951" i="5" s="1"/>
  <c r="N2945" i="5"/>
  <c r="D2951" i="5" a="1"/>
  <c r="J2948" i="5"/>
  <c r="M2965" i="5"/>
  <c r="K2960" i="5"/>
  <c r="M2962" i="5"/>
  <c r="J2966" i="5"/>
  <c r="G2960" i="5"/>
  <c r="K2966" i="5"/>
  <c r="H2960" i="5"/>
  <c r="J2963" i="5"/>
  <c r="G2963" i="5"/>
  <c r="F2959" i="5"/>
  <c r="J2964" i="5"/>
  <c r="M2959" i="5"/>
  <c r="F2965" i="5"/>
  <c r="F2860" i="5"/>
  <c r="I2861" i="5"/>
  <c r="J2856" i="5"/>
  <c r="N2862" i="5"/>
  <c r="G2858" i="5"/>
  <c r="J2858" i="5"/>
  <c r="K2860" i="5"/>
  <c r="M2855" i="5"/>
  <c r="G2861" i="5"/>
  <c r="G2856" i="5"/>
  <c r="F2853" i="5"/>
  <c r="F2861" i="5"/>
  <c r="N2857" i="5"/>
  <c r="M2854" i="5"/>
  <c r="M2872" i="5"/>
  <c r="M2877" i="5"/>
  <c r="F2873" i="5"/>
  <c r="N2869" i="5"/>
  <c r="I2876" i="5"/>
  <c r="H2876" i="5" s="1"/>
  <c r="K2871" i="5"/>
  <c r="M2876" i="5"/>
  <c r="I2872" i="5"/>
  <c r="H2872" i="5" s="1"/>
  <c r="G2877" i="5"/>
  <c r="N2871" i="5"/>
  <c r="M2868" i="5"/>
  <c r="K2874" i="5"/>
  <c r="K2869" i="5"/>
  <c r="M2874" i="5"/>
  <c r="M2869" i="5"/>
  <c r="G2891" i="5"/>
  <c r="K2885" i="5"/>
  <c r="K2892" i="5"/>
  <c r="G2887" i="5"/>
  <c r="F2884" i="5"/>
  <c r="G2884" i="5"/>
  <c r="N2889" i="5"/>
  <c r="D2885" i="5" a="1"/>
  <c r="G2892" i="5"/>
  <c r="I2887" i="5"/>
  <c r="D2883" i="5"/>
  <c r="I2889" i="5"/>
  <c r="D2889" i="5" s="1" a="1"/>
  <c r="J2884" i="5"/>
  <c r="M2890" i="5"/>
  <c r="N2885" i="5"/>
  <c r="J2937" i="5"/>
  <c r="K2932" i="5"/>
  <c r="K2933" i="5"/>
  <c r="I2936" i="5"/>
  <c r="J2932" i="5"/>
  <c r="J2933" i="5"/>
  <c r="N2934" i="5"/>
  <c r="I2933" i="5"/>
  <c r="D2933" i="5" s="1" a="1"/>
  <c r="N2932" i="5"/>
  <c r="K2937" i="5"/>
  <c r="M2931" i="5"/>
  <c r="J2930" i="5"/>
  <c r="G2936" i="5"/>
  <c r="K2929" i="5"/>
  <c r="G2828" i="5"/>
  <c r="J2832" i="5"/>
  <c r="N2832" i="5"/>
  <c r="M2828" i="5"/>
  <c r="K2830" i="5"/>
  <c r="D2823" i="5"/>
  <c r="H2825" i="5"/>
  <c r="M2826" i="5"/>
  <c r="M2832" i="5"/>
  <c r="I2826" i="5"/>
  <c r="H2826" i="5" s="1"/>
  <c r="I2831" i="5"/>
  <c r="D2833" i="5" a="1"/>
  <c r="H2979" i="5"/>
  <c r="F2982" i="5"/>
  <c r="H2980" i="5"/>
  <c r="F2975" i="5"/>
  <c r="J2980" i="5"/>
  <c r="G2975" i="5"/>
  <c r="M2979" i="5"/>
  <c r="J2978" i="5"/>
  <c r="G2978" i="5"/>
  <c r="N2973" i="5"/>
  <c r="G2920" i="5"/>
  <c r="J2916" i="5"/>
  <c r="K2919" i="5"/>
  <c r="G2916" i="5"/>
  <c r="F2913" i="5"/>
  <c r="I2917" i="5"/>
  <c r="K2922" i="5"/>
  <c r="F2916" i="5"/>
  <c r="M2922" i="5"/>
  <c r="N2916" i="5"/>
  <c r="H2918" i="5"/>
  <c r="K2916" i="5"/>
  <c r="N2922" i="5"/>
  <c r="J3009" i="5"/>
  <c r="M3005" i="5"/>
  <c r="D3007" i="5" a="1"/>
  <c r="F3003" i="5"/>
  <c r="N3009" i="5"/>
  <c r="I3005" i="5"/>
  <c r="D3005" i="5" s="1" a="1"/>
  <c r="I3011" i="5"/>
  <c r="K3006" i="5"/>
  <c r="M3011" i="5"/>
  <c r="D3006" i="5" a="1"/>
  <c r="I3010" i="5"/>
  <c r="D3010" i="5" s="1" a="1"/>
  <c r="D3013" i="5" a="1"/>
  <c r="J3008" i="5"/>
  <c r="H3006" i="5"/>
  <c r="M3009" i="5"/>
  <c r="J3086" i="5"/>
  <c r="M3078" i="5"/>
  <c r="M3085" i="5"/>
  <c r="N3081" i="5"/>
  <c r="K3079" i="5"/>
  <c r="G3083" i="5"/>
  <c r="N3078" i="5"/>
  <c r="J3080" i="5"/>
  <c r="G3085" i="5"/>
  <c r="K3083" i="5"/>
  <c r="H3085" i="5"/>
  <c r="I3083" i="5"/>
  <c r="K3084" i="5"/>
  <c r="N3079" i="5"/>
  <c r="I3084" i="5"/>
  <c r="I3079" i="5"/>
  <c r="H3143" i="5"/>
  <c r="M3138" i="5"/>
  <c r="J3142" i="5"/>
  <c r="H3139" i="5"/>
  <c r="I3146" i="5"/>
  <c r="H3146" i="5" s="1"/>
  <c r="K3141" i="5"/>
  <c r="G3147" i="5"/>
  <c r="D3143" i="5" a="1"/>
  <c r="K3144" i="5"/>
  <c r="H3138" i="5"/>
  <c r="K3143" i="5"/>
  <c r="F3145" i="5"/>
  <c r="J3147" i="5"/>
  <c r="D3148" i="5" a="1"/>
  <c r="D3144" i="5" a="1"/>
  <c r="M3202" i="5"/>
  <c r="I3203" i="5"/>
  <c r="D3203" i="5" s="1" a="1"/>
  <c r="I3207" i="5"/>
  <c r="H3207" i="5" s="1"/>
  <c r="G3202" i="5"/>
  <c r="M3207" i="5"/>
  <c r="H3204" i="5"/>
  <c r="G3207" i="5"/>
  <c r="I3202" i="5"/>
  <c r="H3202" i="5" s="1"/>
  <c r="M3206" i="5"/>
  <c r="G3201" i="5"/>
  <c r="F3205" i="5"/>
  <c r="M3203" i="5"/>
  <c r="D3199" i="5"/>
  <c r="H3198" i="5"/>
  <c r="D3198" i="5"/>
  <c r="K3055" i="5"/>
  <c r="I3051" i="5"/>
  <c r="N3055" i="5"/>
  <c r="I3056" i="5"/>
  <c r="D3056" i="5" s="1" a="1"/>
  <c r="D3058" i="5" a="1"/>
  <c r="K3056" i="5"/>
  <c r="G3051" i="5"/>
  <c r="D3057" i="5" a="1"/>
  <c r="D3050" i="5" a="1"/>
  <c r="G3057" i="5"/>
  <c r="J3051" i="5"/>
  <c r="M3072" i="5"/>
  <c r="F3072" i="5"/>
  <c r="D3064" i="5"/>
  <c r="N3069" i="5"/>
  <c r="J3065" i="5"/>
  <c r="I3063" i="5"/>
  <c r="D3063" i="5" s="1"/>
  <c r="F3069" i="5"/>
  <c r="M3071" i="5"/>
  <c r="F3064" i="5"/>
  <c r="J3069" i="5"/>
  <c r="N3068" i="5"/>
  <c r="J3070" i="5"/>
  <c r="G3065" i="5"/>
  <c r="I3071" i="5"/>
  <c r="H3071" i="5" s="1"/>
  <c r="N3065" i="5"/>
  <c r="D3071" i="5" a="1"/>
  <c r="D2995" i="5" a="1"/>
  <c r="F2991" i="5"/>
  <c r="K2988" i="5"/>
  <c r="I2994" i="5"/>
  <c r="D2994" i="5" s="1" a="1"/>
  <c r="D2998" i="5" a="1"/>
  <c r="K2995" i="5"/>
  <c r="F2990" i="5"/>
  <c r="I2997" i="5"/>
  <c r="N2993" i="5"/>
  <c r="H2992" i="5"/>
  <c r="I2991" i="5"/>
  <c r="J2994" i="5"/>
  <c r="N2997" i="5"/>
  <c r="J2993" i="5"/>
  <c r="J2991" i="5"/>
  <c r="J3190" i="5"/>
  <c r="K3186" i="5"/>
  <c r="K3193" i="5"/>
  <c r="F3192" i="5"/>
  <c r="M3188" i="5"/>
  <c r="N3185" i="5"/>
  <c r="M3190" i="5"/>
  <c r="J3183" i="5"/>
  <c r="M3186" i="5"/>
  <c r="I3189" i="5"/>
  <c r="D3189" i="5" s="1" a="1"/>
  <c r="M3183" i="5"/>
  <c r="H3188" i="5"/>
  <c r="G3192" i="5"/>
  <c r="N3188" i="5"/>
  <c r="K3189" i="5"/>
  <c r="G3023" i="5"/>
  <c r="N3019" i="5"/>
  <c r="M3026" i="5"/>
  <c r="N3021" i="5"/>
  <c r="F3025" i="5"/>
  <c r="H3026" i="5"/>
  <c r="F3022" i="5"/>
  <c r="I3018" i="5"/>
  <c r="G3024" i="5"/>
  <c r="I3020" i="5"/>
  <c r="H3020" i="5" s="1"/>
  <c r="D3026" i="5" a="1"/>
  <c r="D3020" i="5" a="1"/>
  <c r="I3023" i="5"/>
  <c r="M3041" i="5"/>
  <c r="I3037" i="5"/>
  <c r="J3038" i="5"/>
  <c r="K3040" i="5"/>
  <c r="M3035" i="5"/>
  <c r="G3041" i="5"/>
  <c r="G3036" i="5"/>
  <c r="F3033" i="5"/>
  <c r="F3041" i="5"/>
  <c r="D3034" i="5"/>
  <c r="M3039" i="5"/>
  <c r="D3038" i="5" a="1"/>
  <c r="I3041" i="5"/>
  <c r="H3041" i="5" s="1"/>
  <c r="K3036" i="5"/>
  <c r="K3041" i="5"/>
  <c r="M3036" i="5"/>
  <c r="I3033" i="5"/>
  <c r="H3115" i="5"/>
  <c r="G3109" i="5"/>
  <c r="M3116" i="5"/>
  <c r="K3109" i="5"/>
  <c r="H3114" i="5"/>
  <c r="M3109" i="5"/>
  <c r="N3112" i="5"/>
  <c r="G3112" i="5"/>
  <c r="D3108" i="5"/>
  <c r="F3117" i="5"/>
  <c r="J3110" i="5"/>
  <c r="M3132" i="5"/>
  <c r="J3130" i="5"/>
  <c r="K3126" i="5"/>
  <c r="H3123" i="5"/>
  <c r="I3129" i="5"/>
  <c r="D3129" i="5" s="1" a="1"/>
  <c r="G3125" i="5"/>
  <c r="I3132" i="5"/>
  <c r="H3132" i="5" s="1"/>
  <c r="M3123" i="5"/>
  <c r="H3126" i="5"/>
  <c r="N3131" i="5"/>
  <c r="G3130" i="5"/>
  <c r="M3128" i="5"/>
  <c r="J3129" i="5"/>
  <c r="I3124" i="5"/>
  <c r="N3127" i="5"/>
  <c r="K3123" i="5"/>
  <c r="H3219" i="5"/>
  <c r="K3215" i="5"/>
  <c r="I3213" i="5"/>
  <c r="D3213" i="5" s="1"/>
  <c r="F3221" i="5"/>
  <c r="F3214" i="5"/>
  <c r="F3218" i="5"/>
  <c r="G3214" i="5"/>
  <c r="J3220" i="5"/>
  <c r="M3221" i="5"/>
  <c r="M3216" i="5"/>
  <c r="H3222" i="5"/>
  <c r="G3216" i="5"/>
  <c r="F3213" i="5"/>
  <c r="F3220" i="5"/>
  <c r="I3218" i="5"/>
  <c r="H3233" i="5"/>
  <c r="M3228" i="5"/>
  <c r="H3231" i="5"/>
  <c r="G3228" i="5"/>
  <c r="N3234" i="5"/>
  <c r="I3230" i="5"/>
  <c r="K3236" i="5"/>
  <c r="I3228" i="5"/>
  <c r="J3232" i="5"/>
  <c r="H3229" i="5"/>
  <c r="I3235" i="5"/>
  <c r="H3235" i="5" s="1"/>
  <c r="D3238" i="5" a="1"/>
  <c r="H3237" i="5"/>
  <c r="N3231" i="5"/>
  <c r="I3312" i="5"/>
  <c r="D3312" i="5" s="1" a="1"/>
  <c r="M3307" i="5"/>
  <c r="J3303" i="5"/>
  <c r="D3305" i="5" a="1"/>
  <c r="M3311" i="5"/>
  <c r="F3306" i="5"/>
  <c r="H3312" i="5"/>
  <c r="N3306" i="5"/>
  <c r="M3303" i="5"/>
  <c r="I3309" i="5"/>
  <c r="H3309" i="5" s="1"/>
  <c r="F3308" i="5"/>
  <c r="G3304" i="5"/>
  <c r="G3310" i="5"/>
  <c r="N3303" i="5"/>
  <c r="F3310" i="5"/>
  <c r="M3304" i="5"/>
  <c r="G3098" i="5"/>
  <c r="D3102" i="5" a="1"/>
  <c r="F3098" i="5"/>
  <c r="M3094" i="5"/>
  <c r="D3099" i="5" a="1"/>
  <c r="G3094" i="5"/>
  <c r="N3097" i="5"/>
  <c r="M3101" i="5"/>
  <c r="N3095" i="5"/>
  <c r="M3102" i="5"/>
  <c r="N3096" i="5"/>
  <c r="J3096" i="5"/>
  <c r="K3096" i="5"/>
  <c r="F3154" i="5"/>
  <c r="J3160" i="5"/>
  <c r="I3153" i="5"/>
  <c r="H3153" i="5" s="1"/>
  <c r="M3156" i="5"/>
  <c r="K3162" i="5"/>
  <c r="M3154" i="5"/>
  <c r="I3157" i="5"/>
  <c r="J3156" i="5"/>
  <c r="K3160" i="5"/>
  <c r="F3156" i="5"/>
  <c r="D3176" i="5" a="1"/>
  <c r="J3171" i="5"/>
  <c r="G3169" i="5"/>
  <c r="N3174" i="5"/>
  <c r="N3169" i="5"/>
  <c r="M3174" i="5"/>
  <c r="I3175" i="5"/>
  <c r="D3175" i="5" s="1" a="1"/>
  <c r="H3169" i="5"/>
  <c r="K3172" i="5"/>
  <c r="J3177" i="5"/>
  <c r="K3169" i="5"/>
  <c r="F3172" i="5"/>
  <c r="K3176" i="5"/>
  <c r="D3170" i="5" a="1"/>
  <c r="N3175" i="5"/>
  <c r="G3250" i="5"/>
  <c r="J3246" i="5"/>
  <c r="K3249" i="5"/>
  <c r="M3245" i="5"/>
  <c r="I3252" i="5"/>
  <c r="N3246" i="5"/>
  <c r="G3243" i="5"/>
  <c r="G3246" i="5"/>
  <c r="M3251" i="5"/>
  <c r="N3248" i="5"/>
  <c r="M3250" i="5"/>
  <c r="K3245" i="5"/>
  <c r="H3251" i="5"/>
  <c r="K3250" i="5"/>
  <c r="F3245" i="5"/>
  <c r="F3265" i="5"/>
  <c r="G3266" i="5"/>
  <c r="M3261" i="5"/>
  <c r="G3264" i="5"/>
  <c r="I3260" i="5"/>
  <c r="F3264" i="5"/>
  <c r="F3260" i="5"/>
  <c r="N3265" i="5"/>
  <c r="G3265" i="5"/>
  <c r="G3261" i="5"/>
  <c r="J3266" i="5"/>
  <c r="F3258" i="5"/>
  <c r="F3357" i="5"/>
  <c r="D3350" i="5" a="1"/>
  <c r="G3357" i="5"/>
  <c r="D3352" i="5" a="1"/>
  <c r="I3348" i="5"/>
  <c r="D3348" i="5" s="1"/>
  <c r="G3354" i="5"/>
  <c r="J3349" i="5"/>
  <c r="F3354" i="5"/>
  <c r="K3349" i="5"/>
  <c r="K3354" i="5"/>
  <c r="F3349" i="5"/>
  <c r="I3354" i="5"/>
  <c r="H3354" i="5" s="1"/>
  <c r="M3353" i="5"/>
  <c r="D3354" i="5" a="1"/>
  <c r="F3348" i="5"/>
  <c r="H3350" i="5"/>
  <c r="G3415" i="5"/>
  <c r="F3416" i="5"/>
  <c r="I3410" i="5"/>
  <c r="H3410" i="5" s="1"/>
  <c r="G3416" i="5"/>
  <c r="I3411" i="5"/>
  <c r="N3411" i="5"/>
  <c r="D3416" i="5" a="1"/>
  <c r="N3410" i="5"/>
  <c r="J3414" i="5"/>
  <c r="D3409" i="5"/>
  <c r="F3415" i="5"/>
  <c r="F3409" i="5"/>
  <c r="F3410" i="5"/>
  <c r="I3412" i="5"/>
  <c r="G3326" i="5"/>
  <c r="N3321" i="5"/>
  <c r="D3318" i="5"/>
  <c r="G3324" i="5"/>
  <c r="N3323" i="5"/>
  <c r="J3324" i="5"/>
  <c r="K3325" i="5"/>
  <c r="F3320" i="5"/>
  <c r="D3322" i="5" a="1"/>
  <c r="F3318" i="5"/>
  <c r="F3322" i="5"/>
  <c r="K3327" i="5"/>
  <c r="F3323" i="5"/>
  <c r="N3319" i="5"/>
  <c r="J3339" i="5"/>
  <c r="F3336" i="5"/>
  <c r="H3337" i="5"/>
  <c r="G3339" i="5"/>
  <c r="K3340" i="5"/>
  <c r="K3338" i="5"/>
  <c r="I3340" i="5"/>
  <c r="M3335" i="5"/>
  <c r="J3342" i="5"/>
  <c r="H3336" i="5"/>
  <c r="G3333" i="5"/>
  <c r="D3339" i="5" a="1"/>
  <c r="D3338" i="5" a="1"/>
  <c r="N3401" i="5"/>
  <c r="D3397" i="5" a="1"/>
  <c r="N3399" i="5"/>
  <c r="N3394" i="5"/>
  <c r="I3399" i="5"/>
  <c r="D3399" i="5" s="1" a="1"/>
  <c r="I3394" i="5"/>
  <c r="H3394" i="5" s="1"/>
  <c r="G3396" i="5"/>
  <c r="N3396" i="5"/>
  <c r="H1534" i="5"/>
  <c r="N1539" i="5"/>
  <c r="J1534" i="5"/>
  <c r="H1541" i="5"/>
  <c r="F1537" i="5"/>
  <c r="M1538" i="5"/>
  <c r="I1617" i="5"/>
  <c r="D1617" i="5" s="1" a="1"/>
  <c r="N1612" i="5"/>
  <c r="K1608" i="5"/>
  <c r="D1615" i="5" a="1"/>
  <c r="G1611" i="5"/>
  <c r="M1608" i="5"/>
  <c r="H1617" i="5"/>
  <c r="I1614" i="5"/>
  <c r="F1610" i="5"/>
  <c r="J1617" i="5"/>
  <c r="K1612" i="5"/>
  <c r="K1613" i="5"/>
  <c r="K1615" i="5"/>
  <c r="D1611" i="5" a="1"/>
  <c r="J1608" i="5"/>
  <c r="J1629" i="5"/>
  <c r="M1625" i="5"/>
  <c r="G1632" i="5"/>
  <c r="G1628" i="5"/>
  <c r="N1624" i="5"/>
  <c r="M1631" i="5"/>
  <c r="I1627" i="5"/>
  <c r="J1628" i="5"/>
  <c r="J1630" i="5"/>
  <c r="K1626" i="5"/>
  <c r="H1623" i="5"/>
  <c r="I1630" i="5"/>
  <c r="I1628" i="5"/>
  <c r="H1628" i="5" s="1"/>
  <c r="D1632" i="5" a="1"/>
  <c r="N1627" i="5"/>
  <c r="D1628" i="5" a="1"/>
  <c r="M1707" i="5"/>
  <c r="F1707" i="5"/>
  <c r="M1705" i="5"/>
  <c r="F1702" i="5"/>
  <c r="M1699" i="5"/>
  <c r="K1704" i="5"/>
  <c r="M1700" i="5"/>
  <c r="M1704" i="5"/>
  <c r="N1700" i="5"/>
  <c r="F1705" i="5"/>
  <c r="G1700" i="5"/>
  <c r="N1706" i="5"/>
  <c r="M1701" i="5"/>
  <c r="I1699" i="5"/>
  <c r="N1720" i="5"/>
  <c r="G1716" i="5"/>
  <c r="D1713" i="5"/>
  <c r="N1718" i="5"/>
  <c r="H1722" i="5"/>
  <c r="J1717" i="5"/>
  <c r="N1721" i="5"/>
  <c r="D1717" i="5" a="1"/>
  <c r="H1714" i="5"/>
  <c r="K1720" i="5"/>
  <c r="J1715" i="5"/>
  <c r="M1722" i="5"/>
  <c r="G1719" i="5"/>
  <c r="I1715" i="5"/>
  <c r="K1797" i="5"/>
  <c r="I1797" i="5"/>
  <c r="N1797" i="5"/>
  <c r="H1794" i="5"/>
  <c r="M1793" i="5"/>
  <c r="G1792" i="5"/>
  <c r="N1793" i="5"/>
  <c r="G1793" i="5"/>
  <c r="N1789" i="5"/>
  <c r="F1794" i="5"/>
  <c r="D1798" i="5" a="1"/>
  <c r="K1792" i="5"/>
  <c r="K1793" i="5"/>
  <c r="D1792" i="5" a="1"/>
  <c r="J1789" i="5"/>
  <c r="N1555" i="5"/>
  <c r="H1551" i="5"/>
  <c r="F1549" i="5"/>
  <c r="G1555" i="5"/>
  <c r="J1551" i="5"/>
  <c r="N1548" i="5"/>
  <c r="J1555" i="5"/>
  <c r="K1551" i="5"/>
  <c r="M1552" i="5"/>
  <c r="D1553" i="5" a="1"/>
  <c r="M1557" i="5"/>
  <c r="F1557" i="5"/>
  <c r="I1549" i="5"/>
  <c r="H1556" i="5"/>
  <c r="H1553" i="5"/>
  <c r="M1548" i="5"/>
  <c r="K1644" i="5"/>
  <c r="G1641" i="5"/>
  <c r="F1638" i="5"/>
  <c r="M1644" i="5"/>
  <c r="N1640" i="5"/>
  <c r="G1638" i="5"/>
  <c r="H1645" i="5"/>
  <c r="I1641" i="5"/>
  <c r="K1647" i="5"/>
  <c r="D1642" i="5" a="1"/>
  <c r="I1643" i="5"/>
  <c r="I1647" i="5"/>
  <c r="N1642" i="5"/>
  <c r="K1638" i="5"/>
  <c r="D1645" i="5" a="1"/>
  <c r="F1641" i="5"/>
  <c r="I1734" i="5"/>
  <c r="H1734" i="5" s="1"/>
  <c r="F1730" i="5"/>
  <c r="D1734" i="5" a="1"/>
  <c r="G1730" i="5"/>
  <c r="N1734" i="5"/>
  <c r="H1730" i="5"/>
  <c r="N1736" i="5"/>
  <c r="M1731" i="5"/>
  <c r="J1729" i="5"/>
  <c r="G1736" i="5"/>
  <c r="N1731" i="5"/>
  <c r="D1728" i="5"/>
  <c r="J1734" i="5"/>
  <c r="M1730" i="5"/>
  <c r="J1827" i="5"/>
  <c r="F1825" i="5"/>
  <c r="K1823" i="5"/>
  <c r="K1825" i="5"/>
  <c r="D1821" i="5" a="1"/>
  <c r="J1818" i="5"/>
  <c r="M1825" i="5"/>
  <c r="K1820" i="5"/>
  <c r="J1824" i="5"/>
  <c r="M1820" i="5"/>
  <c r="N1825" i="5"/>
  <c r="H1821" i="5"/>
  <c r="F1819" i="5"/>
  <c r="G1825" i="5"/>
  <c r="J1821" i="5"/>
  <c r="N1818" i="5"/>
  <c r="D1886" i="5" a="1"/>
  <c r="I1882" i="5"/>
  <c r="H1878" i="5"/>
  <c r="F1886" i="5"/>
  <c r="I1880" i="5"/>
  <c r="M1888" i="5"/>
  <c r="K1879" i="5"/>
  <c r="J1886" i="5"/>
  <c r="F1882" i="5"/>
  <c r="D1879" i="5"/>
  <c r="I1884" i="5"/>
  <c r="H1884" i="5" s="1"/>
  <c r="F1880" i="5"/>
  <c r="G1888" i="5"/>
  <c r="D1884" i="5" a="1"/>
  <c r="G1880" i="5"/>
  <c r="J1975" i="5"/>
  <c r="K1971" i="5"/>
  <c r="K1978" i="5"/>
  <c r="M1972" i="5"/>
  <c r="D1973" i="5" a="1"/>
  <c r="M1977" i="5"/>
  <c r="F1977" i="5"/>
  <c r="I1969" i="5"/>
  <c r="H1976" i="5"/>
  <c r="H1973" i="5"/>
  <c r="M1968" i="5"/>
  <c r="G1973" i="5"/>
  <c r="I1978" i="5"/>
  <c r="G1977" i="5"/>
  <c r="F1974" i="5"/>
  <c r="D1978" i="5" a="1"/>
  <c r="M2064" i="5"/>
  <c r="J2067" i="5"/>
  <c r="F2065" i="5"/>
  <c r="G2064" i="5"/>
  <c r="I2067" i="5"/>
  <c r="N2062" i="5"/>
  <c r="J2064" i="5"/>
  <c r="N2065" i="5"/>
  <c r="I2062" i="5"/>
  <c r="H2058" i="5"/>
  <c r="I2063" i="5"/>
  <c r="D2060" i="5" a="1"/>
  <c r="F2061" i="5"/>
  <c r="H2061" i="5"/>
  <c r="F2059" i="5"/>
  <c r="J2063" i="5"/>
  <c r="M1897" i="5"/>
  <c r="I1898" i="5"/>
  <c r="I1902" i="5"/>
  <c r="D1902" i="5" s="1" a="1"/>
  <c r="N1897" i="5"/>
  <c r="K1893" i="5"/>
  <c r="D1900" i="5" a="1"/>
  <c r="G1896" i="5"/>
  <c r="M1893" i="5"/>
  <c r="H1902" i="5"/>
  <c r="I1899" i="5"/>
  <c r="F1895" i="5"/>
  <c r="J1902" i="5"/>
  <c r="K1897" i="5"/>
  <c r="K1898" i="5"/>
  <c r="H1916" i="5"/>
  <c r="F1912" i="5"/>
  <c r="M1913" i="5"/>
  <c r="J1916" i="5"/>
  <c r="H1913" i="5"/>
  <c r="M1908" i="5"/>
  <c r="K1914" i="5"/>
  <c r="N1910" i="5"/>
  <c r="F1914" i="5"/>
  <c r="F1910" i="5"/>
  <c r="J1917" i="5"/>
  <c r="K1912" i="5"/>
  <c r="K1913" i="5"/>
  <c r="G1916" i="5"/>
  <c r="M1911" i="5"/>
  <c r="F1991" i="5"/>
  <c r="D1988" i="5" a="1"/>
  <c r="M1992" i="5"/>
  <c r="F1992" i="5"/>
  <c r="D1984" i="5"/>
  <c r="M1990" i="5"/>
  <c r="F1987" i="5"/>
  <c r="M1984" i="5"/>
  <c r="K1989" i="5"/>
  <c r="M1985" i="5"/>
  <c r="M1989" i="5"/>
  <c r="N1985" i="5"/>
  <c r="F1990" i="5"/>
  <c r="G1985" i="5"/>
  <c r="N2002" i="5"/>
  <c r="D2003" i="5" a="1"/>
  <c r="N2007" i="5"/>
  <c r="G2002" i="5"/>
  <c r="D1999" i="5"/>
  <c r="G2005" i="5"/>
  <c r="H2001" i="5"/>
  <c r="F1998" i="5"/>
  <c r="I2004" i="5"/>
  <c r="G2000" i="5"/>
  <c r="F2005" i="5"/>
  <c r="D2008" i="5" a="1"/>
  <c r="I2007" i="5"/>
  <c r="M2002" i="5"/>
  <c r="J1998" i="5"/>
  <c r="H1841" i="5"/>
  <c r="H1838" i="5"/>
  <c r="M1833" i="5"/>
  <c r="G1838" i="5"/>
  <c r="G1842" i="5"/>
  <c r="F1839" i="5"/>
  <c r="D1843" i="5" a="1"/>
  <c r="J1842" i="5"/>
  <c r="F1840" i="5"/>
  <c r="K1838" i="5"/>
  <c r="K1840" i="5"/>
  <c r="D1836" i="5" a="1"/>
  <c r="J1833" i="5"/>
  <c r="M1840" i="5"/>
  <c r="K1835" i="5"/>
  <c r="F1926" i="5"/>
  <c r="H1927" i="5"/>
  <c r="N1928" i="5"/>
  <c r="M1931" i="5"/>
  <c r="J1927" i="5"/>
  <c r="J1928" i="5"/>
  <c r="H1932" i="5"/>
  <c r="K1927" i="5"/>
  <c r="H1924" i="5"/>
  <c r="G1929" i="5"/>
  <c r="J1925" i="5"/>
  <c r="I1923" i="5"/>
  <c r="I1930" i="5"/>
  <c r="D1925" i="5" a="1"/>
  <c r="J2019" i="5"/>
  <c r="M2015" i="5"/>
  <c r="K2021" i="5"/>
  <c r="G2017" i="5"/>
  <c r="N2014" i="5"/>
  <c r="I2021" i="5"/>
  <c r="H2021" i="5" s="1"/>
  <c r="G2014" i="5"/>
  <c r="D2021" i="5" a="1"/>
  <c r="I2017" i="5"/>
  <c r="H2013" i="5"/>
  <c r="F2021" i="5"/>
  <c r="I2015" i="5"/>
  <c r="H2019" i="5"/>
  <c r="K2014" i="5"/>
  <c r="H1810" i="5"/>
  <c r="I1806" i="5"/>
  <c r="G1803" i="5"/>
  <c r="D1809" i="5" a="1"/>
  <c r="H1805" i="5"/>
  <c r="I1812" i="5"/>
  <c r="M1807" i="5"/>
  <c r="J1803" i="5"/>
  <c r="D1810" i="5" a="1"/>
  <c r="F1806" i="5"/>
  <c r="K1803" i="5"/>
  <c r="J1809" i="5"/>
  <c r="M1805" i="5"/>
  <c r="G1812" i="5"/>
  <c r="G1808" i="5"/>
  <c r="N1804" i="5"/>
  <c r="H1857" i="5"/>
  <c r="I1854" i="5"/>
  <c r="F1850" i="5"/>
  <c r="J1857" i="5"/>
  <c r="K1852" i="5"/>
  <c r="K1853" i="5"/>
  <c r="K1855" i="5"/>
  <c r="D1851" i="5" a="1"/>
  <c r="J1848" i="5"/>
  <c r="I1855" i="5"/>
  <c r="M1853" i="5"/>
  <c r="D1857" i="5" a="1"/>
  <c r="F1853" i="5"/>
  <c r="I1850" i="5"/>
  <c r="H1872" i="5"/>
  <c r="J1867" i="5"/>
  <c r="N1871" i="5"/>
  <c r="D1867" i="5" a="1"/>
  <c r="H1864" i="5"/>
  <c r="K1870" i="5"/>
  <c r="J1865" i="5"/>
  <c r="M1872" i="5"/>
  <c r="G1869" i="5"/>
  <c r="I1865" i="5"/>
  <c r="F1868" i="5"/>
  <c r="M1864" i="5"/>
  <c r="I1871" i="5"/>
  <c r="N1863" i="5"/>
  <c r="K1944" i="5"/>
  <c r="M1940" i="5"/>
  <c r="M1944" i="5"/>
  <c r="N1940" i="5"/>
  <c r="F1945" i="5"/>
  <c r="G1940" i="5"/>
  <c r="N1946" i="5"/>
  <c r="M1941" i="5"/>
  <c r="I1939" i="5"/>
  <c r="G1946" i="5"/>
  <c r="K1940" i="5"/>
  <c r="N1947" i="5"/>
  <c r="H1944" i="5"/>
  <c r="D1940" i="5" a="1"/>
  <c r="F1959" i="5"/>
  <c r="F1955" i="5"/>
  <c r="J1962" i="5"/>
  <c r="K1957" i="5"/>
  <c r="K1958" i="5"/>
  <c r="G1961" i="5"/>
  <c r="M1956" i="5"/>
  <c r="H1959" i="5"/>
  <c r="K1955" i="5"/>
  <c r="I1953" i="5"/>
  <c r="F1962" i="5"/>
  <c r="D1955" i="5" a="1"/>
  <c r="K1961" i="5"/>
  <c r="H1957" i="5"/>
  <c r="F1954" i="5"/>
  <c r="N2035" i="5"/>
  <c r="H2031" i="5"/>
  <c r="F2028" i="5"/>
  <c r="G2035" i="5"/>
  <c r="J2031" i="5"/>
  <c r="G2028" i="5"/>
  <c r="D2034" i="5" a="1"/>
  <c r="H2030" i="5"/>
  <c r="K2037" i="5"/>
  <c r="D2032" i="5" a="1"/>
  <c r="J2029" i="5"/>
  <c r="H2036" i="5"/>
  <c r="N2031" i="5"/>
  <c r="J2034" i="5"/>
  <c r="F2031" i="5"/>
  <c r="D2028" i="5"/>
  <c r="I2049" i="5"/>
  <c r="G2045" i="5"/>
  <c r="F2050" i="5"/>
  <c r="D2053" i="5" a="1"/>
  <c r="I2052" i="5"/>
  <c r="M2047" i="5"/>
  <c r="J2043" i="5"/>
  <c r="D2050" i="5" a="1"/>
  <c r="F2046" i="5"/>
  <c r="K2043" i="5"/>
  <c r="J2049" i="5"/>
  <c r="M2045" i="5"/>
  <c r="G2052" i="5"/>
  <c r="G2048" i="5"/>
  <c r="N2044" i="5"/>
  <c r="I2156" i="5"/>
  <c r="H2156" i="5" s="1"/>
  <c r="G2149" i="5"/>
  <c r="D2156" i="5" a="1"/>
  <c r="I2152" i="5"/>
  <c r="H2148" i="5"/>
  <c r="F2156" i="5"/>
  <c r="I2150" i="5"/>
  <c r="K2149" i="5"/>
  <c r="J2156" i="5"/>
  <c r="F2152" i="5"/>
  <c r="D2149" i="5"/>
  <c r="I2154" i="5"/>
  <c r="F2150" i="5"/>
  <c r="G2245" i="5"/>
  <c r="J2241" i="5"/>
  <c r="N2238" i="5"/>
  <c r="J2245" i="5"/>
  <c r="K2241" i="5"/>
  <c r="M2242" i="5"/>
  <c r="D2243" i="5" a="1"/>
  <c r="M2247" i="5"/>
  <c r="F2247" i="5"/>
  <c r="I2239" i="5"/>
  <c r="H2246" i="5"/>
  <c r="H2243" i="5"/>
  <c r="M2238" i="5"/>
  <c r="G2243" i="5"/>
  <c r="D2079" i="5" a="1"/>
  <c r="H2075" i="5"/>
  <c r="K2082" i="5"/>
  <c r="D2077" i="5" a="1"/>
  <c r="J2074" i="5"/>
  <c r="H2081" i="5"/>
  <c r="N2076" i="5"/>
  <c r="J2079" i="5"/>
  <c r="F2076" i="5"/>
  <c r="D2073" i="5"/>
  <c r="G2078" i="5"/>
  <c r="N2074" i="5"/>
  <c r="G2082" i="5"/>
  <c r="F2079" i="5"/>
  <c r="D2083" i="5" a="1"/>
  <c r="I2097" i="5"/>
  <c r="M2092" i="5"/>
  <c r="J2088" i="5"/>
  <c r="D2095" i="5" a="1"/>
  <c r="F2091" i="5"/>
  <c r="K2088" i="5"/>
  <c r="J2094" i="5"/>
  <c r="M2090" i="5"/>
  <c r="G2097" i="5"/>
  <c r="G2093" i="5"/>
  <c r="N2089" i="5"/>
  <c r="M2096" i="5"/>
  <c r="I2092" i="5"/>
  <c r="J2093" i="5"/>
  <c r="J2095" i="5"/>
  <c r="K2091" i="5"/>
  <c r="H2088" i="5"/>
  <c r="J2170" i="5"/>
  <c r="I2166" i="5"/>
  <c r="M2167" i="5"/>
  <c r="I2168" i="5"/>
  <c r="I2172" i="5"/>
  <c r="D2172" i="5" s="1" a="1"/>
  <c r="N2167" i="5"/>
  <c r="K2163" i="5"/>
  <c r="D2170" i="5" a="1"/>
  <c r="G2166" i="5"/>
  <c r="M2163" i="5"/>
  <c r="H2172" i="5"/>
  <c r="I2169" i="5"/>
  <c r="F2165" i="5"/>
  <c r="K2187" i="5"/>
  <c r="F2186" i="5"/>
  <c r="I2179" i="5"/>
  <c r="D2179" i="5" s="1"/>
  <c r="M2185" i="5"/>
  <c r="N2181" i="5"/>
  <c r="K2179" i="5"/>
  <c r="N2185" i="5"/>
  <c r="G2181" i="5"/>
  <c r="D2178" i="5"/>
  <c r="N2183" i="5"/>
  <c r="H2187" i="5"/>
  <c r="J2182" i="5"/>
  <c r="N2186" i="5"/>
  <c r="D2182" i="5" a="1"/>
  <c r="H2179" i="5"/>
  <c r="D2261" i="5" a="1"/>
  <c r="K2256" i="5"/>
  <c r="H2253" i="5"/>
  <c r="F2261" i="5"/>
  <c r="D2258" i="5" a="1"/>
  <c r="M2262" i="5"/>
  <c r="F2262" i="5"/>
  <c r="D2254" i="5"/>
  <c r="M2260" i="5"/>
  <c r="F2257" i="5"/>
  <c r="M2254" i="5"/>
  <c r="K2259" i="5"/>
  <c r="M2255" i="5"/>
  <c r="M2259" i="5"/>
  <c r="N2255" i="5"/>
  <c r="K2278" i="5"/>
  <c r="N2274" i="5"/>
  <c r="J2269" i="5"/>
  <c r="H2276" i="5"/>
  <c r="F2272" i="5"/>
  <c r="M2273" i="5"/>
  <c r="J2276" i="5"/>
  <c r="H2273" i="5"/>
  <c r="M2268" i="5"/>
  <c r="K2274" i="5"/>
  <c r="N2270" i="5"/>
  <c r="G2278" i="5"/>
  <c r="F2274" i="5"/>
  <c r="F2270" i="5"/>
  <c r="J2277" i="5"/>
  <c r="K2272" i="5"/>
  <c r="K2273" i="5"/>
  <c r="J2336" i="5"/>
  <c r="F2332" i="5"/>
  <c r="D2329" i="5"/>
  <c r="I2334" i="5"/>
  <c r="D2334" i="5" s="1" a="1"/>
  <c r="F2330" i="5"/>
  <c r="D2336" i="5" a="1"/>
  <c r="I2332" i="5"/>
  <c r="H2328" i="5"/>
  <c r="F2336" i="5"/>
  <c r="I2330" i="5"/>
  <c r="H2334" i="5"/>
  <c r="K2329" i="5"/>
  <c r="F2329" i="5"/>
  <c r="F2334" i="5"/>
  <c r="G2328" i="5"/>
  <c r="G2329" i="5"/>
  <c r="M2110" i="5"/>
  <c r="K2105" i="5"/>
  <c r="N2112" i="5"/>
  <c r="M2108" i="5"/>
  <c r="N2110" i="5"/>
  <c r="H2106" i="5"/>
  <c r="F2104" i="5"/>
  <c r="G2110" i="5"/>
  <c r="J2106" i="5"/>
  <c r="N2103" i="5"/>
  <c r="J2110" i="5"/>
  <c r="K2106" i="5"/>
  <c r="M2107" i="5"/>
  <c r="D2108" i="5" a="1"/>
  <c r="I2200" i="5"/>
  <c r="D2200" i="5" s="1" a="1"/>
  <c r="D2195" i="5" a="1"/>
  <c r="D2202" i="5" a="1"/>
  <c r="F2198" i="5"/>
  <c r="M2194" i="5"/>
  <c r="K2199" i="5"/>
  <c r="G2196" i="5"/>
  <c r="F2193" i="5"/>
  <c r="M2199" i="5"/>
  <c r="N2195" i="5"/>
  <c r="G2193" i="5"/>
  <c r="H2200" i="5"/>
  <c r="I2196" i="5"/>
  <c r="K2202" i="5"/>
  <c r="D2197" i="5" a="1"/>
  <c r="I2198" i="5"/>
  <c r="K2284" i="5"/>
  <c r="J2291" i="5"/>
  <c r="F2287" i="5"/>
  <c r="D2284" i="5"/>
  <c r="I2289" i="5"/>
  <c r="H2289" i="5" s="1"/>
  <c r="F2285" i="5"/>
  <c r="D2289" i="5" a="1"/>
  <c r="G2285" i="5"/>
  <c r="N2289" i="5"/>
  <c r="H2285" i="5"/>
  <c r="N2291" i="5"/>
  <c r="M2286" i="5"/>
  <c r="J2284" i="5"/>
  <c r="G2121" i="5"/>
  <c r="M2118" i="5"/>
  <c r="F2128" i="5"/>
  <c r="I2128" i="5"/>
  <c r="H2127" i="5"/>
  <c r="I2124" i="5"/>
  <c r="F2120" i="5"/>
  <c r="J2127" i="5"/>
  <c r="K2122" i="5"/>
  <c r="K2123" i="5"/>
  <c r="K2125" i="5"/>
  <c r="D2121" i="5" a="1"/>
  <c r="J2118" i="5"/>
  <c r="I2125" i="5"/>
  <c r="M2123" i="5"/>
  <c r="I2141" i="5"/>
  <c r="N2133" i="5"/>
  <c r="H2140" i="5"/>
  <c r="I2136" i="5"/>
  <c r="G2133" i="5"/>
  <c r="D2139" i="5" a="1"/>
  <c r="H2135" i="5"/>
  <c r="K2142" i="5"/>
  <c r="F2141" i="5"/>
  <c r="I2134" i="5"/>
  <c r="M2140" i="5"/>
  <c r="N2136" i="5"/>
  <c r="K2134" i="5"/>
  <c r="N2140" i="5"/>
  <c r="G2136" i="5"/>
  <c r="D2133" i="5"/>
  <c r="M2215" i="5"/>
  <c r="F2212" i="5"/>
  <c r="M2209" i="5"/>
  <c r="K2214" i="5"/>
  <c r="M2210" i="5"/>
  <c r="M2214" i="5"/>
  <c r="N2210" i="5"/>
  <c r="F2215" i="5"/>
  <c r="G2210" i="5"/>
  <c r="N2216" i="5"/>
  <c r="M2211" i="5"/>
  <c r="I2209" i="5"/>
  <c r="G2216" i="5"/>
  <c r="K2210" i="5"/>
  <c r="K2231" i="5"/>
  <c r="H2227" i="5"/>
  <c r="F2224" i="5"/>
  <c r="D2231" i="5" a="1"/>
  <c r="J2226" i="5"/>
  <c r="G2224" i="5"/>
  <c r="M2229" i="5"/>
  <c r="D2226" i="5" a="1"/>
  <c r="N2229" i="5"/>
  <c r="J2224" i="5"/>
  <c r="H2231" i="5"/>
  <c r="F2227" i="5"/>
  <c r="M2228" i="5"/>
  <c r="J2231" i="5"/>
  <c r="H2228" i="5"/>
  <c r="M2223" i="5"/>
  <c r="J2306" i="5"/>
  <c r="G2302" i="5"/>
  <c r="N2303" i="5"/>
  <c r="N2305" i="5"/>
  <c r="H2301" i="5"/>
  <c r="F2298" i="5"/>
  <c r="G2305" i="5"/>
  <c r="J2301" i="5"/>
  <c r="G2298" i="5"/>
  <c r="D2304" i="5" a="1"/>
  <c r="H2300" i="5"/>
  <c r="K2307" i="5"/>
  <c r="D2302" i="5" a="1"/>
  <c r="J2299" i="5"/>
  <c r="H2306" i="5"/>
  <c r="N2301" i="5"/>
  <c r="M2321" i="5"/>
  <c r="I2322" i="5"/>
  <c r="N2318" i="5"/>
  <c r="I2316" i="5"/>
  <c r="G2313" i="5"/>
  <c r="F2320" i="5"/>
  <c r="D2323" i="5" a="1"/>
  <c r="I2320" i="5"/>
  <c r="I2318" i="5"/>
  <c r="H2319" i="5"/>
  <c r="K2315" i="5"/>
  <c r="I2313" i="5"/>
  <c r="G2317" i="5"/>
  <c r="D2314" i="5"/>
  <c r="F2573" i="5"/>
  <c r="I2570" i="5"/>
  <c r="I2577" i="5"/>
  <c r="N2572" i="5"/>
  <c r="K2568" i="5"/>
  <c r="M2572" i="5"/>
  <c r="J2568" i="5"/>
  <c r="F2575" i="5"/>
  <c r="H2569" i="5"/>
  <c r="M2574" i="5"/>
  <c r="J2573" i="5"/>
  <c r="G2573" i="5"/>
  <c r="N2568" i="5"/>
  <c r="J2571" i="5"/>
  <c r="N2575" i="5"/>
  <c r="H2568" i="5"/>
  <c r="D2381" i="5" a="1"/>
  <c r="I2377" i="5"/>
  <c r="H2373" i="5"/>
  <c r="F2381" i="5"/>
  <c r="I2375" i="5"/>
  <c r="K2374" i="5"/>
  <c r="J2381" i="5"/>
  <c r="F2377" i="5"/>
  <c r="D2374" i="5"/>
  <c r="I2379" i="5"/>
  <c r="H2379" i="5" s="1"/>
  <c r="F2375" i="5"/>
  <c r="D2379" i="5" a="1"/>
  <c r="G2375" i="5"/>
  <c r="J2470" i="5"/>
  <c r="K2466" i="5"/>
  <c r="M2467" i="5"/>
  <c r="D2468" i="5" a="1"/>
  <c r="M2472" i="5"/>
  <c r="F2472" i="5"/>
  <c r="I2464" i="5"/>
  <c r="H2471" i="5"/>
  <c r="H2468" i="5"/>
  <c r="M2463" i="5"/>
  <c r="G2468" i="5"/>
  <c r="G2472" i="5"/>
  <c r="F2469" i="5"/>
  <c r="D2473" i="5" a="1"/>
  <c r="I2545" i="5"/>
  <c r="I2543" i="5"/>
  <c r="N2546" i="5"/>
  <c r="H2539" i="5"/>
  <c r="J2542" i="5"/>
  <c r="G2538" i="5"/>
  <c r="I2538" i="5"/>
  <c r="F2544" i="5"/>
  <c r="G2539" i="5"/>
  <c r="N2542" i="5"/>
  <c r="K2538" i="5"/>
  <c r="I2542" i="5"/>
  <c r="K2546" i="5"/>
  <c r="I2540" i="5"/>
  <c r="I2562" i="5"/>
  <c r="N2557" i="5"/>
  <c r="K2553" i="5"/>
  <c r="G2559" i="5"/>
  <c r="J2555" i="5"/>
  <c r="I2553" i="5"/>
  <c r="H2557" i="5"/>
  <c r="F2553" i="5"/>
  <c r="J2557" i="5"/>
  <c r="I2556" i="5"/>
  <c r="G2562" i="5"/>
  <c r="J2556" i="5"/>
  <c r="N2560" i="5"/>
  <c r="F2555" i="5"/>
  <c r="F2558" i="5"/>
  <c r="M2553" i="5"/>
  <c r="D2619" i="5" a="1"/>
  <c r="H2615" i="5"/>
  <c r="K2622" i="5"/>
  <c r="D2617" i="5" a="1"/>
  <c r="J2614" i="5"/>
  <c r="H2621" i="5"/>
  <c r="N2616" i="5"/>
  <c r="M2619" i="5"/>
  <c r="N2615" i="5"/>
  <c r="G2618" i="5"/>
  <c r="J2619" i="5"/>
  <c r="K2621" i="5"/>
  <c r="N2622" i="5"/>
  <c r="N2620" i="5"/>
  <c r="F2618" i="5"/>
  <c r="K2397" i="5"/>
  <c r="J2389" i="5"/>
  <c r="H2396" i="5"/>
  <c r="N2391" i="5"/>
  <c r="J2394" i="5"/>
  <c r="F2391" i="5"/>
  <c r="D2388" i="5"/>
  <c r="G2393" i="5"/>
  <c r="N2389" i="5"/>
  <c r="G2397" i="5"/>
  <c r="F2394" i="5"/>
  <c r="D2398" i="5" a="1"/>
  <c r="M2396" i="5"/>
  <c r="I2392" i="5"/>
  <c r="H2389" i="5"/>
  <c r="M2410" i="5"/>
  <c r="N2406" i="5"/>
  <c r="K2404" i="5"/>
  <c r="N2410" i="5"/>
  <c r="G2406" i="5"/>
  <c r="D2403" i="5"/>
  <c r="N2408" i="5"/>
  <c r="H2412" i="5"/>
  <c r="J2407" i="5"/>
  <c r="N2411" i="5"/>
  <c r="D2407" i="5" a="1"/>
  <c r="H2404" i="5"/>
  <c r="K2410" i="5"/>
  <c r="J2405" i="5"/>
  <c r="M2482" i="5"/>
  <c r="I2483" i="5"/>
  <c r="I2487" i="5"/>
  <c r="D2487" i="5" s="1" a="1"/>
  <c r="N2482" i="5"/>
  <c r="K2478" i="5"/>
  <c r="D2485" i="5" a="1"/>
  <c r="G2481" i="5"/>
  <c r="M2478" i="5"/>
  <c r="H2487" i="5"/>
  <c r="I2484" i="5"/>
  <c r="F2480" i="5"/>
  <c r="J2487" i="5"/>
  <c r="K2482" i="5"/>
  <c r="K2483" i="5"/>
  <c r="H2501" i="5"/>
  <c r="F2497" i="5"/>
  <c r="M2498" i="5"/>
  <c r="J2501" i="5"/>
  <c r="H2498" i="5"/>
  <c r="M2493" i="5"/>
  <c r="K2499" i="5"/>
  <c r="N2495" i="5"/>
  <c r="F2499" i="5"/>
  <c r="F2495" i="5"/>
  <c r="J2502" i="5"/>
  <c r="K2497" i="5"/>
  <c r="K2498" i="5"/>
  <c r="G2501" i="5"/>
  <c r="M2496" i="5"/>
  <c r="G2590" i="5"/>
  <c r="H2586" i="5"/>
  <c r="F2583" i="5"/>
  <c r="F2592" i="5"/>
  <c r="D2585" i="5" a="1"/>
  <c r="N2591" i="5"/>
  <c r="D2586" i="5" a="1"/>
  <c r="J2586" i="5"/>
  <c r="J2592" i="5"/>
  <c r="K2586" i="5"/>
  <c r="I2592" i="5"/>
  <c r="M2586" i="5"/>
  <c r="D2590" i="5" a="1"/>
  <c r="D2588" i="5" a="1"/>
  <c r="J2587" i="5"/>
  <c r="F2423" i="5"/>
  <c r="M2419" i="5"/>
  <c r="K2424" i="5"/>
  <c r="G2421" i="5"/>
  <c r="F2418" i="5"/>
  <c r="M2424" i="5"/>
  <c r="N2420" i="5"/>
  <c r="G2418" i="5"/>
  <c r="H2425" i="5"/>
  <c r="I2421" i="5"/>
  <c r="K2427" i="5"/>
  <c r="D2422" i="5" a="1"/>
  <c r="I2423" i="5"/>
  <c r="I2427" i="5"/>
  <c r="N2422" i="5"/>
  <c r="K2418" i="5"/>
  <c r="J2516" i="5"/>
  <c r="F2512" i="5"/>
  <c r="D2509" i="5"/>
  <c r="I2514" i="5"/>
  <c r="H2514" i="5" s="1"/>
  <c r="F2510" i="5"/>
  <c r="D2514" i="5" a="1"/>
  <c r="G2510" i="5"/>
  <c r="N2514" i="5"/>
  <c r="H2510" i="5"/>
  <c r="N2516" i="5"/>
  <c r="M2511" i="5"/>
  <c r="J2509" i="5"/>
  <c r="G2516" i="5"/>
  <c r="N2511" i="5"/>
  <c r="D2508" i="5"/>
  <c r="N2350" i="5"/>
  <c r="H2346" i="5"/>
  <c r="F2343" i="5"/>
  <c r="G2350" i="5"/>
  <c r="J2346" i="5"/>
  <c r="G2343" i="5"/>
  <c r="F2351" i="5"/>
  <c r="D2348" i="5" a="1"/>
  <c r="M2352" i="5"/>
  <c r="F2352" i="5"/>
  <c r="D2344" i="5"/>
  <c r="M2350" i="5"/>
  <c r="F2347" i="5"/>
  <c r="M2344" i="5"/>
  <c r="M2351" i="5"/>
  <c r="K2346" i="5"/>
  <c r="H2345" i="5"/>
  <c r="I2364" i="5"/>
  <c r="D2364" i="5" s="1" a="1"/>
  <c r="G2360" i="5"/>
  <c r="F2365" i="5"/>
  <c r="D2368" i="5" a="1"/>
  <c r="I2367" i="5"/>
  <c r="H2364" i="5"/>
  <c r="K2360" i="5"/>
  <c r="I2358" i="5"/>
  <c r="F2367" i="5"/>
  <c r="D2360" i="5" a="1"/>
  <c r="K2366" i="5"/>
  <c r="H2362" i="5"/>
  <c r="F2359" i="5"/>
  <c r="M2361" i="5"/>
  <c r="K2441" i="5"/>
  <c r="N2433" i="5"/>
  <c r="H2440" i="5"/>
  <c r="G2434" i="5"/>
  <c r="J2440" i="5"/>
  <c r="I2436" i="5"/>
  <c r="M2437" i="5"/>
  <c r="I2438" i="5"/>
  <c r="I2442" i="5"/>
  <c r="N2437" i="5"/>
  <c r="K2433" i="5"/>
  <c r="D2440" i="5" a="1"/>
  <c r="G2436" i="5"/>
  <c r="M2433" i="5"/>
  <c r="H2455" i="5"/>
  <c r="I2451" i="5"/>
  <c r="G2448" i="5"/>
  <c r="D2454" i="5" a="1"/>
  <c r="H2450" i="5"/>
  <c r="K2457" i="5"/>
  <c r="F2456" i="5"/>
  <c r="I2449" i="5"/>
  <c r="M2455" i="5"/>
  <c r="N2451" i="5"/>
  <c r="K2449" i="5"/>
  <c r="N2455" i="5"/>
  <c r="G2451" i="5"/>
  <c r="D2448" i="5"/>
  <c r="N2453" i="5"/>
  <c r="G2528" i="5"/>
  <c r="N2524" i="5"/>
  <c r="G2532" i="5"/>
  <c r="F2529" i="5"/>
  <c r="D2533" i="5" a="1"/>
  <c r="M2531" i="5"/>
  <c r="I2527" i="5"/>
  <c r="H2524" i="5"/>
  <c r="N2529" i="5"/>
  <c r="J2525" i="5"/>
  <c r="I2523" i="5"/>
  <c r="G2529" i="5"/>
  <c r="K2524" i="5"/>
  <c r="M2530" i="5"/>
  <c r="F2527" i="5"/>
  <c r="M2524" i="5"/>
  <c r="K2635" i="5"/>
  <c r="J2630" i="5"/>
  <c r="M2637" i="5"/>
  <c r="G2634" i="5"/>
  <c r="I2630" i="5"/>
  <c r="F2633" i="5"/>
  <c r="M2629" i="5"/>
  <c r="N2636" i="5"/>
  <c r="D2632" i="5" a="1"/>
  <c r="H2629" i="5"/>
  <c r="G2630" i="5"/>
  <c r="F2629" i="5"/>
  <c r="G2629" i="5"/>
  <c r="M2636" i="5"/>
  <c r="K2634" i="5"/>
  <c r="M2604" i="5"/>
  <c r="N2600" i="5"/>
  <c r="G2598" i="5"/>
  <c r="H2605" i="5"/>
  <c r="I2601" i="5"/>
  <c r="N2606" i="5"/>
  <c r="M2601" i="5"/>
  <c r="H2602" i="5"/>
  <c r="N2603" i="5"/>
  <c r="J2604" i="5"/>
  <c r="M2605" i="5"/>
  <c r="I2607" i="5"/>
  <c r="F2603" i="5"/>
  <c r="H2604" i="5"/>
  <c r="G2698" i="5"/>
  <c r="D2694" i="5" a="1"/>
  <c r="G2690" i="5"/>
  <c r="J2698" i="5"/>
  <c r="N2694" i="5"/>
  <c r="H2690" i="5"/>
  <c r="N2696" i="5"/>
  <c r="M2691" i="5"/>
  <c r="J2689" i="5"/>
  <c r="G2696" i="5"/>
  <c r="N2691" i="5"/>
  <c r="D2688" i="5"/>
  <c r="J2694" i="5"/>
  <c r="M2690" i="5"/>
  <c r="K2696" i="5"/>
  <c r="G2692" i="5"/>
  <c r="N2689" i="5"/>
  <c r="J2712" i="5"/>
  <c r="K2707" i="5"/>
  <c r="K2708" i="5"/>
  <c r="K2710" i="5"/>
  <c r="D2706" i="5" a="1"/>
  <c r="J2703" i="5"/>
  <c r="I2710" i="5"/>
  <c r="D2710" i="5" s="1" a="1"/>
  <c r="M2708" i="5"/>
  <c r="D2712" i="5" a="1"/>
  <c r="F2708" i="5"/>
  <c r="I2705" i="5"/>
  <c r="K2711" i="5"/>
  <c r="H2708" i="5"/>
  <c r="N2703" i="5"/>
  <c r="H2710" i="5"/>
  <c r="G2704" i="5"/>
  <c r="M2725" i="5"/>
  <c r="N2721" i="5"/>
  <c r="H2727" i="5"/>
  <c r="G2721" i="5"/>
  <c r="J2718" i="5"/>
  <c r="F2725" i="5"/>
  <c r="I2723" i="5"/>
  <c r="J2726" i="5"/>
  <c r="I2721" i="5"/>
  <c r="K2727" i="5"/>
  <c r="J2721" i="5"/>
  <c r="F2718" i="5"/>
  <c r="N2724" i="5"/>
  <c r="N2723" i="5"/>
  <c r="M2726" i="5"/>
  <c r="M2721" i="5"/>
  <c r="K2644" i="5"/>
  <c r="J2651" i="5"/>
  <c r="F2647" i="5"/>
  <c r="D2644" i="5"/>
  <c r="I2649" i="5"/>
  <c r="H2649" i="5" s="1"/>
  <c r="F2645" i="5"/>
  <c r="D2649" i="5" a="1"/>
  <c r="G2645" i="5"/>
  <c r="N2649" i="5"/>
  <c r="H2645" i="5"/>
  <c r="N2651" i="5"/>
  <c r="M2646" i="5"/>
  <c r="J2644" i="5"/>
  <c r="G2801" i="5"/>
  <c r="K2795" i="5"/>
  <c r="K2802" i="5"/>
  <c r="D2797" i="5" a="1"/>
  <c r="J2794" i="5"/>
  <c r="D2799" i="5" a="1"/>
  <c r="K2798" i="5"/>
  <c r="H2799" i="5"/>
  <c r="M2794" i="5"/>
  <c r="I2796" i="5"/>
  <c r="H2800" i="5"/>
  <c r="F2795" i="5"/>
  <c r="K2801" i="5"/>
  <c r="M2795" i="5"/>
  <c r="D2802" i="5" a="1"/>
  <c r="G2796" i="5"/>
  <c r="F2663" i="5"/>
  <c r="I2660" i="5"/>
  <c r="K2666" i="5"/>
  <c r="N2658" i="5"/>
  <c r="H2665" i="5"/>
  <c r="G2659" i="5"/>
  <c r="J2665" i="5"/>
  <c r="I2661" i="5"/>
  <c r="M2662" i="5"/>
  <c r="I2663" i="5"/>
  <c r="I2667" i="5"/>
  <c r="N2662" i="5"/>
  <c r="K2658" i="5"/>
  <c r="N2678" i="5"/>
  <c r="H2682" i="5"/>
  <c r="J2677" i="5"/>
  <c r="N2681" i="5"/>
  <c r="D2677" i="5" a="1"/>
  <c r="H2674" i="5"/>
  <c r="K2680" i="5"/>
  <c r="J2675" i="5"/>
  <c r="M2682" i="5"/>
  <c r="G2679" i="5"/>
  <c r="I2675" i="5"/>
  <c r="F2678" i="5"/>
  <c r="M2674" i="5"/>
  <c r="G2784" i="5"/>
  <c r="J2780" i="5"/>
  <c r="I2778" i="5"/>
  <c r="H2785" i="5"/>
  <c r="I2781" i="5"/>
  <c r="G2787" i="5"/>
  <c r="J2781" i="5"/>
  <c r="N2785" i="5"/>
  <c r="N2779" i="5"/>
  <c r="F2783" i="5"/>
  <c r="M2778" i="5"/>
  <c r="F2787" i="5"/>
  <c r="I2779" i="5"/>
  <c r="G2778" i="5"/>
  <c r="K2780" i="5"/>
  <c r="D2740" i="5" a="1"/>
  <c r="F2736" i="5"/>
  <c r="G2742" i="5"/>
  <c r="K2737" i="5"/>
  <c r="K2733" i="5"/>
  <c r="D2739" i="5" a="1"/>
  <c r="I2738" i="5"/>
  <c r="M2739" i="5"/>
  <c r="K2734" i="5"/>
  <c r="N2740" i="5"/>
  <c r="J2736" i="5"/>
  <c r="F2742" i="5"/>
  <c r="N2738" i="5"/>
  <c r="H2739" i="5"/>
  <c r="N2817" i="5"/>
  <c r="G2812" i="5"/>
  <c r="D2809" i="5"/>
  <c r="H2816" i="5"/>
  <c r="F2812" i="5"/>
  <c r="M2813" i="5"/>
  <c r="D2816" i="5" a="1"/>
  <c r="G2810" i="5"/>
  <c r="G2813" i="5"/>
  <c r="N2808" i="5"/>
  <c r="J2810" i="5"/>
  <c r="G2815" i="5"/>
  <c r="K2813" i="5"/>
  <c r="H2815" i="5"/>
  <c r="I2813" i="5"/>
  <c r="K2814" i="5"/>
  <c r="N2809" i="5"/>
  <c r="K2756" i="5"/>
  <c r="H2753" i="5"/>
  <c r="N2748" i="5"/>
  <c r="I2752" i="5"/>
  <c r="H2752" i="5" s="1"/>
  <c r="K2748" i="5"/>
  <c r="D2752" i="5" a="1"/>
  <c r="D2748" i="5"/>
  <c r="M2752" i="5"/>
  <c r="M2748" i="5"/>
  <c r="N2752" i="5"/>
  <c r="M2749" i="5"/>
  <c r="F2756" i="5"/>
  <c r="G2749" i="5"/>
  <c r="I2755" i="5"/>
  <c r="K2750" i="5"/>
  <c r="J2772" i="5"/>
  <c r="K2767" i="5"/>
  <c r="K2768" i="5"/>
  <c r="D2771" i="5" a="1"/>
  <c r="J2766" i="5"/>
  <c r="G2764" i="5"/>
  <c r="N2767" i="5"/>
  <c r="K2763" i="5"/>
  <c r="J2765" i="5"/>
  <c r="G2769" i="5"/>
  <c r="K2764" i="5"/>
  <c r="N2769" i="5"/>
  <c r="H2769" i="5"/>
  <c r="F2764" i="5"/>
  <c r="J2769" i="5"/>
  <c r="I2764" i="5"/>
  <c r="I2846" i="5"/>
  <c r="M2844" i="5"/>
  <c r="N2840" i="5"/>
  <c r="N2847" i="5"/>
  <c r="I2842" i="5"/>
  <c r="H2839" i="5"/>
  <c r="M2842" i="5"/>
  <c r="I2843" i="5"/>
  <c r="J2847" i="5"/>
  <c r="N2842" i="5"/>
  <c r="K2838" i="5"/>
  <c r="J2844" i="5"/>
  <c r="F2841" i="5"/>
  <c r="G2843" i="5"/>
  <c r="N2839" i="5"/>
  <c r="N2905" i="5"/>
  <c r="G2901" i="5"/>
  <c r="D2898" i="5"/>
  <c r="F2906" i="5"/>
  <c r="F2899" i="5"/>
  <c r="M2904" i="5"/>
  <c r="D2903" i="5" a="1"/>
  <c r="K2906" i="5"/>
  <c r="I2902" i="5"/>
  <c r="J2902" i="5"/>
  <c r="I2899" i="5"/>
  <c r="K2904" i="5"/>
  <c r="K2903" i="5"/>
  <c r="G2906" i="5"/>
  <c r="H2901" i="5"/>
  <c r="I2952" i="5"/>
  <c r="M2947" i="5"/>
  <c r="J2943" i="5"/>
  <c r="K2951" i="5"/>
  <c r="I2945" i="5"/>
  <c r="N2950" i="5"/>
  <c r="G2950" i="5"/>
  <c r="M2948" i="5"/>
  <c r="H2950" i="5"/>
  <c r="F2945" i="5"/>
  <c r="D2950" i="5" a="1"/>
  <c r="D2948" i="5" a="1"/>
  <c r="I2949" i="5"/>
  <c r="M2943" i="5"/>
  <c r="I2965" i="5"/>
  <c r="D2960" i="5" a="1"/>
  <c r="K2967" i="5"/>
  <c r="D2962" i="5" a="1"/>
  <c r="I2963" i="5"/>
  <c r="I2966" i="5"/>
  <c r="M2963" i="5"/>
  <c r="J2965" i="5"/>
  <c r="N2963" i="5"/>
  <c r="M2964" i="5"/>
  <c r="D2959" i="5"/>
  <c r="K2962" i="5"/>
  <c r="H2958" i="5"/>
  <c r="F2964" i="5"/>
  <c r="N2958" i="5"/>
  <c r="G2962" i="5"/>
  <c r="J2862" i="5"/>
  <c r="K2857" i="5"/>
  <c r="K2858" i="5"/>
  <c r="H2860" i="5"/>
  <c r="I2855" i="5"/>
  <c r="K2861" i="5"/>
  <c r="I2857" i="5"/>
  <c r="I2854" i="5"/>
  <c r="D2860" i="5" a="1"/>
  <c r="M2860" i="5"/>
  <c r="N2855" i="5"/>
  <c r="F2857" i="5"/>
  <c r="N2853" i="5"/>
  <c r="G2857" i="5"/>
  <c r="F2854" i="5"/>
  <c r="K2877" i="5"/>
  <c r="D2872" i="5" a="1"/>
  <c r="I2873" i="5"/>
  <c r="J2876" i="5"/>
  <c r="G2872" i="5"/>
  <c r="N2868" i="5"/>
  <c r="H2875" i="5"/>
  <c r="K2870" i="5"/>
  <c r="J2875" i="5"/>
  <c r="M2870" i="5"/>
  <c r="D2876" i="5" a="1"/>
  <c r="F2871" i="5"/>
  <c r="D2874" i="5" a="1"/>
  <c r="D2869" i="5"/>
  <c r="N2872" i="5"/>
  <c r="F2869" i="5"/>
  <c r="I2890" i="5"/>
  <c r="M2888" i="5"/>
  <c r="J2891" i="5"/>
  <c r="H2888" i="5"/>
  <c r="H2883" i="5"/>
  <c r="H2889" i="5"/>
  <c r="D2891" i="5" a="1"/>
  <c r="M2886" i="5"/>
  <c r="K2887" i="5"/>
  <c r="M2883" i="5"/>
  <c r="M2889" i="5"/>
  <c r="G2885" i="5"/>
  <c r="M2936" i="5"/>
  <c r="I2932" i="5"/>
  <c r="H2929" i="5"/>
  <c r="H2935" i="5"/>
  <c r="G2929" i="5"/>
  <c r="H2934" i="5"/>
  <c r="M2929" i="5"/>
  <c r="H2933" i="5"/>
  <c r="J2936" i="5"/>
  <c r="F2931" i="5"/>
  <c r="I2937" i="5"/>
  <c r="H2937" i="5" s="1"/>
  <c r="N2931" i="5"/>
  <c r="D2937" i="5" a="1"/>
  <c r="I2930" i="5"/>
  <c r="G2934" i="5"/>
  <c r="N2928" i="5"/>
  <c r="H2827" i="5"/>
  <c r="N2828" i="5"/>
  <c r="H2832" i="5"/>
  <c r="D2832" i="5" a="1"/>
  <c r="F2828" i="5"/>
  <c r="M2824" i="5"/>
  <c r="G2829" i="5"/>
  <c r="D2826" i="5" a="1"/>
  <c r="M2831" i="5"/>
  <c r="H2824" i="5"/>
  <c r="N2825" i="5"/>
  <c r="G2831" i="5"/>
  <c r="D2825" i="5" a="1"/>
  <c r="M2829" i="5"/>
  <c r="I2828" i="5"/>
  <c r="J2982" i="5"/>
  <c r="F2978" i="5"/>
  <c r="I2975" i="5"/>
  <c r="H2982" i="5"/>
  <c r="N2977" i="5"/>
  <c r="K2973" i="5"/>
  <c r="I2976" i="5"/>
  <c r="N2979" i="5"/>
  <c r="I2978" i="5"/>
  <c r="K2979" i="5"/>
  <c r="N2974" i="5"/>
  <c r="F2981" i="5"/>
  <c r="I2974" i="5"/>
  <c r="I2977" i="5"/>
  <c r="J2976" i="5"/>
  <c r="M2919" i="5"/>
  <c r="N2915" i="5"/>
  <c r="I2919" i="5"/>
  <c r="F2915" i="5"/>
  <c r="J2922" i="5"/>
  <c r="J2921" i="5"/>
  <c r="I2915" i="5"/>
  <c r="D2921" i="5" a="1"/>
  <c r="I2916" i="5"/>
  <c r="D2922" i="5" a="1"/>
  <c r="J2915" i="5"/>
  <c r="H2922" i="5"/>
  <c r="K2915" i="5"/>
  <c r="N2921" i="5"/>
  <c r="M2915" i="5"/>
  <c r="N3012" i="5"/>
  <c r="M3008" i="5"/>
  <c r="H3012" i="5"/>
  <c r="N3006" i="5"/>
  <c r="F3011" i="5"/>
  <c r="N3004" i="5"/>
  <c r="H3010" i="5"/>
  <c r="J3005" i="5"/>
  <c r="J3010" i="5"/>
  <c r="K3005" i="5"/>
  <c r="I3009" i="5"/>
  <c r="K3008" i="5"/>
  <c r="G3003" i="5"/>
  <c r="H3004" i="5"/>
  <c r="H3005" i="5"/>
  <c r="N3085" i="5"/>
  <c r="G3081" i="5"/>
  <c r="D3078" i="5"/>
  <c r="D3085" i="5" a="1"/>
  <c r="F3081" i="5"/>
  <c r="K3078" i="5"/>
  <c r="D3082" i="5" a="1"/>
  <c r="K3087" i="5"/>
  <c r="M3084" i="5"/>
  <c r="F3079" i="5"/>
  <c r="N3084" i="5"/>
  <c r="G3079" i="5"/>
  <c r="F3085" i="5"/>
  <c r="F3078" i="5"/>
  <c r="F3086" i="5"/>
  <c r="D3145" i="5" a="1"/>
  <c r="F3141" i="5"/>
  <c r="I3142" i="5"/>
  <c r="J3138" i="5"/>
  <c r="H3145" i="5"/>
  <c r="J3140" i="5"/>
  <c r="G3146" i="5"/>
  <c r="J3139" i="5"/>
  <c r="F3146" i="5"/>
  <c r="N3146" i="5"/>
  <c r="F3139" i="5"/>
  <c r="G3142" i="5"/>
  <c r="D3146" i="5" a="1"/>
  <c r="K3139" i="5"/>
  <c r="N3142" i="5"/>
  <c r="K3207" i="5"/>
  <c r="D3202" i="5" a="1"/>
  <c r="J3199" i="5"/>
  <c r="J3206" i="5"/>
  <c r="H3203" i="5"/>
  <c r="D3207" i="5" a="1"/>
  <c r="G3203" i="5"/>
  <c r="D3206" i="5" a="1"/>
  <c r="N3201" i="5"/>
  <c r="G3206" i="5"/>
  <c r="N3202" i="5"/>
  <c r="M3199" i="5"/>
  <c r="K3200" i="5"/>
  <c r="I3200" i="5"/>
  <c r="H3199" i="5"/>
  <c r="G3054" i="5"/>
  <c r="N3054" i="5"/>
  <c r="H3050" i="5"/>
  <c r="I3055" i="5"/>
  <c r="J3053" i="5"/>
  <c r="D3054" i="5" a="1"/>
  <c r="I3053" i="5"/>
  <c r="M3055" i="5"/>
  <c r="G3050" i="5"/>
  <c r="M3056" i="5"/>
  <c r="N3050" i="5"/>
  <c r="G3056" i="5"/>
  <c r="M3053" i="5"/>
  <c r="H3056" i="5"/>
  <c r="K3050" i="5"/>
  <c r="I3072" i="5"/>
  <c r="N3067" i="5"/>
  <c r="K3063" i="5"/>
  <c r="F3071" i="5"/>
  <c r="D3068" i="5" a="1"/>
  <c r="N3072" i="5"/>
  <c r="F3067" i="5"/>
  <c r="N3070" i="5"/>
  <c r="H3063" i="5"/>
  <c r="I3069" i="5"/>
  <c r="H3069" i="5" s="1"/>
  <c r="G3064" i="5"/>
  <c r="K3069" i="5"/>
  <c r="N3064" i="5"/>
  <c r="D3070" i="5" a="1"/>
  <c r="I3065" i="5"/>
  <c r="D3069" i="5" a="1"/>
  <c r="K3068" i="5"/>
  <c r="H2994" i="5"/>
  <c r="K2990" i="5"/>
  <c r="I2988" i="5"/>
  <c r="F2995" i="5"/>
  <c r="I2993" i="5"/>
  <c r="K2994" i="5"/>
  <c r="K2993" i="5"/>
  <c r="D2996" i="5" a="1"/>
  <c r="F2989" i="5"/>
  <c r="M2991" i="5"/>
  <c r="K2996" i="5"/>
  <c r="D2990" i="5" a="1"/>
  <c r="F2993" i="5"/>
  <c r="J2996" i="5"/>
  <c r="G2988" i="5"/>
  <c r="M2990" i="5"/>
  <c r="H3190" i="5"/>
  <c r="I3186" i="5"/>
  <c r="M3192" i="5"/>
  <c r="F3188" i="5"/>
  <c r="N3184" i="5"/>
  <c r="M3189" i="5"/>
  <c r="I3185" i="5"/>
  <c r="H3189" i="5"/>
  <c r="G3193" i="5"/>
  <c r="G3186" i="5"/>
  <c r="H3187" i="5"/>
  <c r="N3193" i="5"/>
  <c r="M3185" i="5"/>
  <c r="I3191" i="5"/>
  <c r="I3184" i="5"/>
  <c r="G3188" i="5"/>
  <c r="H3022" i="5"/>
  <c r="F3019" i="5"/>
  <c r="I3025" i="5"/>
  <c r="F3021" i="5"/>
  <c r="J3027" i="5"/>
  <c r="M3022" i="5"/>
  <c r="M3025" i="5"/>
  <c r="J3021" i="5"/>
  <c r="I3027" i="5"/>
  <c r="I3021" i="5"/>
  <c r="M3027" i="5"/>
  <c r="F3023" i="5"/>
  <c r="J3023" i="5"/>
  <c r="K3025" i="5"/>
  <c r="D3028" i="5" a="1"/>
  <c r="K3019" i="5"/>
  <c r="D3041" i="5" a="1"/>
  <c r="J3036" i="5"/>
  <c r="G3034" i="5"/>
  <c r="K3038" i="5"/>
  <c r="M3040" i="5"/>
  <c r="N3035" i="5"/>
  <c r="F3037" i="5"/>
  <c r="N3033" i="5"/>
  <c r="N3037" i="5"/>
  <c r="M3034" i="5"/>
  <c r="J3040" i="5"/>
  <c r="I3035" i="5"/>
  <c r="I3040" i="5"/>
  <c r="K3035" i="5"/>
  <c r="G3115" i="5"/>
  <c r="J3111" i="5"/>
  <c r="G3108" i="5"/>
  <c r="G3113" i="5"/>
  <c r="N3109" i="5"/>
  <c r="G3116" i="5"/>
  <c r="H3108" i="5"/>
  <c r="M3112" i="5"/>
  <c r="J3108" i="5"/>
  <c r="K3111" i="5"/>
  <c r="K3117" i="5"/>
  <c r="M3111" i="5"/>
  <c r="I3112" i="5"/>
  <c r="D3117" i="5" a="1"/>
  <c r="I3110" i="5"/>
  <c r="D3132" i="5" a="1"/>
  <c r="M3129" i="5"/>
  <c r="D3126" i="5" a="1"/>
  <c r="F3129" i="5"/>
  <c r="F3125" i="5"/>
  <c r="K3130" i="5"/>
  <c r="I3125" i="5"/>
  <c r="N3130" i="5"/>
  <c r="I3128" i="5"/>
  <c r="H3129" i="5"/>
  <c r="F3124" i="5"/>
  <c r="F3131" i="5"/>
  <c r="D3123" i="5"/>
  <c r="H3127" i="5"/>
  <c r="F3123" i="5"/>
  <c r="M3222" i="5"/>
  <c r="G3219" i="5"/>
  <c r="I3215" i="5"/>
  <c r="G3217" i="5"/>
  <c r="G3213" i="5"/>
  <c r="H3217" i="5"/>
  <c r="H3213" i="5"/>
  <c r="N3219" i="5"/>
  <c r="N3218" i="5"/>
  <c r="I3220" i="5"/>
  <c r="M3215" i="5"/>
  <c r="N3221" i="5"/>
  <c r="N3215" i="5"/>
  <c r="M3217" i="5"/>
  <c r="D3214" i="5"/>
  <c r="D3235" i="5" a="1"/>
  <c r="F3231" i="5"/>
  <c r="J3237" i="5"/>
  <c r="N3230" i="5"/>
  <c r="F3236" i="5"/>
  <c r="N3229" i="5"/>
  <c r="I3236" i="5"/>
  <c r="K3231" i="5"/>
  <c r="I3232" i="5"/>
  <c r="J3228" i="5"/>
  <c r="I3234" i="5"/>
  <c r="K3233" i="5"/>
  <c r="M3235" i="5"/>
  <c r="G3231" i="5"/>
  <c r="G3311" i="5"/>
  <c r="M3306" i="5"/>
  <c r="F3312" i="5"/>
  <c r="N3308" i="5"/>
  <c r="D3310" i="5" a="1"/>
  <c r="M3305" i="5"/>
  <c r="N3311" i="5"/>
  <c r="G3306" i="5"/>
  <c r="F3303" i="5"/>
  <c r="M3312" i="5"/>
  <c r="H3307" i="5"/>
  <c r="H3303" i="5"/>
  <c r="G3307" i="5"/>
  <c r="D3309" i="5" a="1"/>
  <c r="H3306" i="5"/>
  <c r="N3098" i="5"/>
  <c r="J3101" i="5"/>
  <c r="F3097" i="5"/>
  <c r="D3094" i="5"/>
  <c r="M3097" i="5"/>
  <c r="J3093" i="5"/>
  <c r="I3097" i="5"/>
  <c r="K3100" i="5"/>
  <c r="I3095" i="5"/>
  <c r="D3101" i="5" a="1"/>
  <c r="I3096" i="5"/>
  <c r="G3102" i="5"/>
  <c r="J3095" i="5"/>
  <c r="H3102" i="5"/>
  <c r="K3095" i="5"/>
  <c r="K3161" i="5"/>
  <c r="H3158" i="5"/>
  <c r="N3153" i="5"/>
  <c r="N3159" i="5"/>
  <c r="K3155" i="5"/>
  <c r="I3162" i="5"/>
  <c r="I3156" i="5"/>
  <c r="J3162" i="5"/>
  <c r="N3155" i="5"/>
  <c r="G3160" i="5"/>
  <c r="D3153" i="5"/>
  <c r="G3156" i="5"/>
  <c r="M3161" i="5"/>
  <c r="F3155" i="5"/>
  <c r="M3159" i="5"/>
  <c r="H3161" i="5"/>
  <c r="D3158" i="5" a="1"/>
  <c r="H3175" i="5"/>
  <c r="I3171" i="5"/>
  <c r="G3168" i="5"/>
  <c r="G3174" i="5"/>
  <c r="J3168" i="5"/>
  <c r="N3172" i="5"/>
  <c r="M3169" i="5"/>
  <c r="K3174" i="5"/>
  <c r="M3168" i="5"/>
  <c r="F3177" i="5"/>
  <c r="I3168" i="5"/>
  <c r="F3171" i="5"/>
  <c r="M3175" i="5"/>
  <c r="I3173" i="5"/>
  <c r="J3174" i="5"/>
  <c r="M3249" i="5"/>
  <c r="D3251" i="5" a="1"/>
  <c r="N3245" i="5"/>
  <c r="G3251" i="5"/>
  <c r="G3244" i="5"/>
  <c r="N3249" i="5"/>
  <c r="I3245" i="5"/>
  <c r="J3250" i="5"/>
  <c r="K3248" i="5"/>
  <c r="J3249" i="5"/>
  <c r="J3244" i="5"/>
  <c r="K3262" i="5"/>
  <c r="K3263" i="5"/>
  <c r="K3265" i="5"/>
  <c r="J3260" i="5"/>
  <c r="I3267" i="5"/>
  <c r="N3262" i="5"/>
  <c r="D3263" i="5" a="1"/>
  <c r="N3267" i="5"/>
  <c r="J3262" i="5"/>
  <c r="F3267" i="5"/>
  <c r="M3258" i="5"/>
  <c r="J3264" i="5"/>
  <c r="I3266" i="5"/>
  <c r="F3353" i="5"/>
  <c r="M3349" i="5"/>
  <c r="M3356" i="5"/>
  <c r="M3351" i="5"/>
  <c r="K3352" i="5"/>
  <c r="N3348" i="5"/>
  <c r="M3352" i="5"/>
  <c r="G3348" i="5"/>
  <c r="F3355" i="5"/>
  <c r="H3348" i="5"/>
  <c r="F3356" i="5"/>
  <c r="G3349" i="5"/>
  <c r="N3352" i="5"/>
  <c r="M3357" i="5"/>
  <c r="D3353" i="5" a="1"/>
  <c r="M3412" i="5"/>
  <c r="D3413" i="5" a="1"/>
  <c r="K3417" i="5"/>
  <c r="N3414" i="5"/>
  <c r="D3410" i="5" a="1"/>
  <c r="I3417" i="5"/>
  <c r="G3411" i="5"/>
  <c r="D3415" i="5" a="1"/>
  <c r="J3413" i="5"/>
  <c r="F3414" i="5"/>
  <c r="G3408" i="5"/>
  <c r="F3412" i="5"/>
  <c r="D3408" i="5"/>
  <c r="M3409" i="5"/>
  <c r="F3411" i="5"/>
  <c r="M3325" i="5"/>
  <c r="K3320" i="5"/>
  <c r="G3319" i="5"/>
  <c r="G3323" i="5"/>
  <c r="J3323" i="5"/>
  <c r="I3324" i="5"/>
  <c r="D3328" i="5" a="1"/>
  <c r="H3327" i="5"/>
  <c r="H3323" i="5"/>
  <c r="J3327" i="5"/>
  <c r="H3321" i="5"/>
  <c r="J3326" i="5"/>
  <c r="G3322" i="5"/>
  <c r="N3318" i="5"/>
  <c r="N3342" i="5"/>
  <c r="H3339" i="5"/>
  <c r="D3335" i="5" a="1"/>
  <c r="I3333" i="5"/>
  <c r="G3338" i="5"/>
  <c r="J3338" i="5"/>
  <c r="I3334" i="5"/>
  <c r="K3339" i="5"/>
  <c r="F3335" i="5"/>
  <c r="N3341" i="5"/>
  <c r="N3335" i="5"/>
  <c r="F3341" i="5"/>
  <c r="M3338" i="5"/>
  <c r="J3400" i="5"/>
  <c r="K3396" i="5"/>
  <c r="G3399" i="5"/>
  <c r="G3394" i="5"/>
  <c r="N3397" i="5"/>
  <c r="G3395" i="5"/>
  <c r="G3402" i="5"/>
  <c r="J3395" i="5"/>
  <c r="H3401" i="5"/>
  <c r="I3396" i="5"/>
  <c r="D3396" i="5" s="1" a="1"/>
  <c r="J3401" i="5"/>
  <c r="K3395" i="5"/>
  <c r="D3401" i="5" a="1"/>
  <c r="M3395" i="5"/>
  <c r="G3280" i="5"/>
  <c r="J3276" i="5"/>
  <c r="N3273" i="5"/>
  <c r="J3279" i="5"/>
  <c r="K3278" i="5"/>
  <c r="F3280" i="5"/>
  <c r="I3274" i="5"/>
  <c r="K3281" i="5"/>
  <c r="I3282" i="5"/>
  <c r="G3279" i="5"/>
  <c r="M3278" i="5"/>
  <c r="M3282" i="5"/>
  <c r="J3297" i="5"/>
  <c r="K3292" i="5"/>
  <c r="K3293" i="5"/>
  <c r="J3293" i="5"/>
  <c r="J3294" i="5"/>
  <c r="N3296" i="5"/>
  <c r="G3291" i="5"/>
  <c r="F3288" i="5"/>
  <c r="G3294" i="5"/>
  <c r="I3290" i="5"/>
  <c r="F3296" i="5"/>
  <c r="F3297" i="5"/>
  <c r="N3290" i="5"/>
  <c r="F3289" i="5"/>
  <c r="J3296" i="5"/>
  <c r="I3386" i="5"/>
  <c r="J3382" i="5"/>
  <c r="J3383" i="5"/>
  <c r="J3385" i="5"/>
  <c r="N3382" i="5"/>
  <c r="I3387" i="5"/>
  <c r="M3381" i="5"/>
  <c r="M3380" i="5"/>
  <c r="M3386" i="5"/>
  <c r="K3383" i="5"/>
  <c r="K3382" i="5"/>
  <c r="F3382" i="5"/>
  <c r="M3462" i="5"/>
  <c r="F3462" i="5"/>
  <c r="I3454" i="5"/>
  <c r="N3460" i="5"/>
  <c r="J3456" i="5"/>
  <c r="J3457" i="5"/>
  <c r="M3453" i="5"/>
  <c r="J3455" i="5"/>
  <c r="N3461" i="5"/>
  <c r="M3455" i="5"/>
  <c r="M3461" i="5"/>
  <c r="G3455" i="5"/>
  <c r="J3460" i="5"/>
  <c r="G3491" i="5"/>
  <c r="M3486" i="5"/>
  <c r="N3486" i="5"/>
  <c r="M3483" i="5"/>
  <c r="N3487" i="5"/>
  <c r="G3484" i="5"/>
  <c r="J3487" i="5"/>
  <c r="I3487" i="5"/>
  <c r="N3492" i="5"/>
  <c r="I3486" i="5"/>
  <c r="F3475" i="5"/>
  <c r="G3470" i="5"/>
  <c r="G3476" i="5"/>
  <c r="M3470" i="5"/>
  <c r="I3475" i="5"/>
  <c r="G3468" i="5"/>
  <c r="F3471" i="5"/>
  <c r="G3475" i="5"/>
  <c r="J3469" i="5"/>
  <c r="M3477" i="5"/>
  <c r="K3475" i="5"/>
  <c r="I3469" i="5"/>
  <c r="G3446" i="5"/>
  <c r="M3441" i="5"/>
  <c r="M3447" i="5"/>
  <c r="F3441" i="5"/>
  <c r="M3446" i="5"/>
  <c r="G3440" i="5"/>
  <c r="G3447" i="5"/>
  <c r="G3442" i="5"/>
  <c r="I3438" i="5"/>
  <c r="H3438" i="5" s="1"/>
  <c r="F3442" i="5"/>
  <c r="J3430" i="5"/>
  <c r="I3426" i="5"/>
  <c r="M3432" i="5"/>
  <c r="F3428" i="5"/>
  <c r="N3424" i="5"/>
  <c r="K3430" i="5"/>
  <c r="M3424" i="5"/>
  <c r="F3431" i="5"/>
  <c r="F3424" i="5"/>
  <c r="J3427" i="5"/>
  <c r="G3426" i="5"/>
  <c r="J3426" i="5"/>
  <c r="N3431" i="5"/>
  <c r="N3368" i="5"/>
  <c r="M3371" i="5"/>
  <c r="J3366" i="5"/>
  <c r="J3372" i="5"/>
  <c r="F3367" i="5"/>
  <c r="K3372" i="5"/>
  <c r="M3369" i="5"/>
  <c r="G3364" i="5"/>
  <c r="F3372" i="5"/>
  <c r="J3364" i="5"/>
  <c r="G3369" i="5"/>
  <c r="K3368" i="5"/>
  <c r="N3566" i="5"/>
  <c r="K3561" i="5"/>
  <c r="M3565" i="5"/>
  <c r="K3564" i="5"/>
  <c r="I3567" i="5"/>
  <c r="F3561" i="5"/>
  <c r="M3559" i="5"/>
  <c r="F3576" i="5"/>
  <c r="K3573" i="5"/>
  <c r="K3580" i="5"/>
  <c r="J3575" i="5"/>
  <c r="M3581" i="5"/>
  <c r="G3580" i="5"/>
  <c r="K3578" i="5"/>
  <c r="G3578" i="5"/>
  <c r="N3573" i="5"/>
  <c r="G3574" i="5"/>
  <c r="F3578" i="5"/>
  <c r="G3577" i="5"/>
  <c r="I3579" i="5"/>
  <c r="I3536" i="5"/>
  <c r="N3528" i="5"/>
  <c r="I3537" i="5"/>
  <c r="J3531" i="5"/>
  <c r="D3537" i="5" a="1"/>
  <c r="K3531" i="5"/>
  <c r="K3537" i="5"/>
  <c r="G3530" i="5"/>
  <c r="F3533" i="5"/>
  <c r="M3532" i="5"/>
  <c r="G3528" i="5"/>
  <c r="G3536" i="5"/>
  <c r="J3529" i="5"/>
  <c r="K3597" i="5"/>
  <c r="I3593" i="5"/>
  <c r="I3594" i="5"/>
  <c r="J3595" i="5"/>
  <c r="M3590" i="5"/>
  <c r="H3593" i="5"/>
  <c r="J3597" i="5"/>
  <c r="M3589" i="5"/>
  <c r="I3588" i="5"/>
  <c r="H3588" i="5" s="1"/>
  <c r="F3592" i="5"/>
  <c r="G3550" i="5"/>
  <c r="J3546" i="5"/>
  <c r="N3543" i="5"/>
  <c r="N3548" i="5"/>
  <c r="J3551" i="5"/>
  <c r="M3544" i="5"/>
  <c r="F3551" i="5"/>
  <c r="K3543" i="5"/>
  <c r="N3546" i="5"/>
  <c r="N3552" i="5"/>
  <c r="J3552" i="5"/>
  <c r="F3547" i="5"/>
  <c r="N3551" i="5"/>
  <c r="J3549" i="5"/>
  <c r="K3499" i="5"/>
  <c r="K3505" i="5"/>
  <c r="F3500" i="5"/>
  <c r="I3502" i="5"/>
  <c r="N3507" i="5"/>
  <c r="J3501" i="5"/>
  <c r="J3506" i="5"/>
  <c r="G3500" i="5"/>
  <c r="G3504" i="5"/>
  <c r="F3499" i="5"/>
  <c r="M3502" i="5"/>
  <c r="M3499" i="5"/>
  <c r="J3500" i="5"/>
  <c r="J3521" i="5"/>
  <c r="G3517" i="5"/>
  <c r="N3518" i="5"/>
  <c r="K3520" i="5"/>
  <c r="K3518" i="5"/>
  <c r="G3519" i="5"/>
  <c r="N3519" i="5"/>
  <c r="N3517" i="5"/>
  <c r="I3522" i="5"/>
  <c r="K3516" i="5"/>
  <c r="N3514" i="5"/>
  <c r="J3514" i="5"/>
  <c r="K3627" i="5"/>
  <c r="F3626" i="5"/>
  <c r="I3619" i="5"/>
  <c r="G3624" i="5"/>
  <c r="N3619" i="5"/>
  <c r="J3624" i="5"/>
  <c r="D3619" i="5"/>
  <c r="N3622" i="5"/>
  <c r="F3627" i="5"/>
  <c r="M3625" i="5"/>
  <c r="J3622" i="5"/>
  <c r="F3620" i="5"/>
  <c r="K3626" i="5"/>
  <c r="G3621" i="5"/>
  <c r="K3682" i="5"/>
  <c r="M3685" i="5"/>
  <c r="F3680" i="5"/>
  <c r="M3687" i="5"/>
  <c r="M3681" i="5"/>
  <c r="M3686" i="5"/>
  <c r="N3683" i="5"/>
  <c r="F3679" i="5"/>
  <c r="M3683" i="5"/>
  <c r="G3683" i="5"/>
  <c r="M3684" i="5"/>
  <c r="J3682" i="5"/>
  <c r="N3679" i="5"/>
  <c r="M3640" i="5"/>
  <c r="K3635" i="5"/>
  <c r="F3641" i="5"/>
  <c r="M3638" i="5"/>
  <c r="K3641" i="5"/>
  <c r="F3635" i="5"/>
  <c r="F3640" i="5"/>
  <c r="F3634" i="5"/>
  <c r="N3635" i="5"/>
  <c r="M3636" i="5"/>
  <c r="G3642" i="5"/>
  <c r="N3657" i="5"/>
  <c r="F3656" i="5"/>
  <c r="M3653" i="5"/>
  <c r="F3657" i="5"/>
  <c r="K3654" i="5"/>
  <c r="G3649" i="5"/>
  <c r="K3650" i="5"/>
  <c r="M3657" i="5"/>
  <c r="M3656" i="5"/>
  <c r="I3651" i="5"/>
  <c r="D3651" i="5" s="1" a="1"/>
  <c r="I3762" i="5"/>
  <c r="M3757" i="5"/>
  <c r="J3753" i="5"/>
  <c r="K3758" i="5"/>
  <c r="J3760" i="5"/>
  <c r="F3755" i="5"/>
  <c r="G3758" i="5"/>
  <c r="M3760" i="5"/>
  <c r="G3759" i="5"/>
  <c r="F3762" i="5"/>
  <c r="N3761" i="5"/>
  <c r="M3762" i="5"/>
  <c r="G3754" i="5"/>
  <c r="I3716" i="5"/>
  <c r="K3710" i="5"/>
  <c r="I3708" i="5"/>
  <c r="D3708" i="5"/>
  <c r="K3712" i="5"/>
  <c r="N3708" i="5"/>
  <c r="H3716" i="5"/>
  <c r="M3709" i="5"/>
  <c r="J3711" i="5"/>
  <c r="K3715" i="5"/>
  <c r="H3708" i="5"/>
  <c r="G3609" i="5"/>
  <c r="K3604" i="5"/>
  <c r="J3609" i="5"/>
  <c r="J3610" i="5"/>
  <c r="M3605" i="5"/>
  <c r="N3611" i="5"/>
  <c r="G3605" i="5"/>
  <c r="G3607" i="5"/>
  <c r="G3604" i="5"/>
  <c r="F3610" i="5"/>
  <c r="F3611" i="5"/>
  <c r="G3670" i="5"/>
  <c r="F3663" i="5"/>
  <c r="F3671" i="5"/>
  <c r="M3669" i="5"/>
  <c r="K3663" i="5"/>
  <c r="F3666" i="5"/>
  <c r="M3665" i="5"/>
  <c r="I3667" i="5"/>
  <c r="K3666" i="5"/>
  <c r="F3672" i="5"/>
  <c r="I3665" i="5"/>
  <c r="M3777" i="5"/>
  <c r="F3777" i="5"/>
  <c r="I3769" i="5"/>
  <c r="J3774" i="5"/>
  <c r="N3774" i="5"/>
  <c r="N3773" i="5"/>
  <c r="G3774" i="5"/>
  <c r="I3774" i="5"/>
  <c r="I3773" i="5"/>
  <c r="M3772" i="5"/>
  <c r="I3768" i="5"/>
  <c r="D3769" i="5"/>
  <c r="K3773" i="5"/>
  <c r="G3768" i="5"/>
  <c r="K3819" i="5"/>
  <c r="I3821" i="5"/>
  <c r="M3820" i="5"/>
  <c r="J3815" i="5"/>
  <c r="I3813" i="5"/>
  <c r="J3817" i="5"/>
  <c r="J3818" i="5"/>
  <c r="F3817" i="5"/>
  <c r="N3817" i="5"/>
  <c r="I3820" i="5"/>
  <c r="D3820" i="5" s="1" a="1"/>
  <c r="M3813" i="5"/>
  <c r="I3814" i="5"/>
  <c r="H3814" i="5" s="1"/>
  <c r="N3818" i="5"/>
  <c r="G3817" i="5"/>
  <c r="K3700" i="5"/>
  <c r="J3693" i="5"/>
  <c r="J3699" i="5"/>
  <c r="G3697" i="5"/>
  <c r="N3702" i="5"/>
  <c r="J3700" i="5"/>
  <c r="I3701" i="5"/>
  <c r="I3695" i="5"/>
  <c r="D3695" i="5" s="1" a="1"/>
  <c r="J3698" i="5"/>
  <c r="M3693" i="5"/>
  <c r="G3790" i="5"/>
  <c r="J3786" i="5"/>
  <c r="G3783" i="5"/>
  <c r="G3786" i="5"/>
  <c r="M3783" i="5"/>
  <c r="J3785" i="5"/>
  <c r="K3783" i="5"/>
  <c r="M3788" i="5"/>
  <c r="F3792" i="5"/>
  <c r="K3790" i="5"/>
  <c r="K3786" i="5"/>
  <c r="M3729" i="5"/>
  <c r="N3725" i="5"/>
  <c r="G3723" i="5"/>
  <c r="N3726" i="5"/>
  <c r="K3723" i="5"/>
  <c r="N3727" i="5"/>
  <c r="F3731" i="5"/>
  <c r="G3729" i="5"/>
  <c r="M3725" i="5"/>
  <c r="K3726" i="5"/>
  <c r="M3746" i="5"/>
  <c r="I3742" i="5"/>
  <c r="J3739" i="5"/>
  <c r="G3745" i="5"/>
  <c r="J3743" i="5"/>
  <c r="N3744" i="5"/>
  <c r="F3738" i="5"/>
  <c r="F3739" i="5"/>
  <c r="G3739" i="5"/>
  <c r="I3747" i="5"/>
  <c r="J3738" i="5"/>
  <c r="K3738" i="5"/>
  <c r="K3806" i="5"/>
  <c r="F3799" i="5"/>
  <c r="J3802" i="5"/>
  <c r="K3799" i="5"/>
  <c r="F3802" i="5"/>
  <c r="I3800" i="5"/>
  <c r="H3800" i="5" s="1"/>
  <c r="N3805" i="5"/>
  <c r="I3799" i="5"/>
  <c r="N3801" i="5"/>
  <c r="M3864" i="5"/>
  <c r="N3860" i="5"/>
  <c r="G3858" i="5"/>
  <c r="I3861" i="5"/>
  <c r="K3867" i="5"/>
  <c r="I3863" i="5"/>
  <c r="I3867" i="5"/>
  <c r="N3862" i="5"/>
  <c r="K3858" i="5"/>
  <c r="N3859" i="5"/>
  <c r="F3858" i="5"/>
  <c r="M3859" i="5"/>
  <c r="F3859" i="5"/>
  <c r="F3838" i="5"/>
  <c r="I3838" i="5"/>
  <c r="I3834" i="5"/>
  <c r="F3830" i="5"/>
  <c r="J3837" i="5"/>
  <c r="K3832" i="5"/>
  <c r="K3833" i="5"/>
  <c r="J3834" i="5"/>
  <c r="K3830" i="5"/>
  <c r="H3834" i="5"/>
  <c r="F3837" i="5"/>
  <c r="M3832" i="5"/>
  <c r="I3829" i="5"/>
  <c r="J3847" i="5"/>
  <c r="N3851" i="5"/>
  <c r="K3850" i="5"/>
  <c r="J3845" i="5"/>
  <c r="I3851" i="5"/>
  <c r="M3852" i="5"/>
  <c r="I3845" i="5"/>
  <c r="N3850" i="5"/>
  <c r="G3850" i="5"/>
  <c r="G3847" i="5"/>
  <c r="D3845" i="5" a="1"/>
  <c r="N3848" i="5"/>
  <c r="N3398" i="5"/>
  <c r="G3400" i="5"/>
  <c r="D3395" i="5" a="1"/>
  <c r="I3400" i="5"/>
  <c r="H3400" i="5" s="1"/>
  <c r="I3398" i="5"/>
  <c r="D3398" i="5" s="1" a="1"/>
  <c r="D3400" i="5" a="1"/>
  <c r="F3395" i="5"/>
  <c r="M3279" i="5"/>
  <c r="N3275" i="5"/>
  <c r="G3273" i="5"/>
  <c r="G3278" i="5"/>
  <c r="J3274" i="5"/>
  <c r="M3273" i="5"/>
  <c r="K3279" i="5"/>
  <c r="K3274" i="5"/>
  <c r="J3280" i="5"/>
  <c r="K3275" i="5"/>
  <c r="N3279" i="5"/>
  <c r="G3277" i="5"/>
  <c r="I3273" i="5"/>
  <c r="H3273" i="5" s="1"/>
  <c r="M3296" i="5"/>
  <c r="I3292" i="5"/>
  <c r="G3293" i="5"/>
  <c r="I3289" i="5"/>
  <c r="H3289" i="5" s="1"/>
  <c r="J3289" i="5"/>
  <c r="G3296" i="5"/>
  <c r="M3290" i="5"/>
  <c r="M3297" i="5"/>
  <c r="F3293" i="5"/>
  <c r="N3289" i="5"/>
  <c r="J3291" i="5"/>
  <c r="M3289" i="5"/>
  <c r="G3379" i="5"/>
  <c r="N3384" i="5"/>
  <c r="K3380" i="5"/>
  <c r="K3387" i="5"/>
  <c r="D3386" i="5" a="1"/>
  <c r="F3381" i="5"/>
  <c r="G3386" i="5"/>
  <c r="J3387" i="5"/>
  <c r="I3381" i="5"/>
  <c r="I3462" i="5"/>
  <c r="N3457" i="5"/>
  <c r="K3453" i="5"/>
  <c r="G3460" i="5"/>
  <c r="I3456" i="5"/>
  <c r="M3456" i="5"/>
  <c r="N3462" i="5"/>
  <c r="N3455" i="5"/>
  <c r="I3461" i="5"/>
  <c r="H3461" i="5" s="1"/>
  <c r="D3463" i="5" a="1"/>
  <c r="K3460" i="5"/>
  <c r="M3457" i="5"/>
  <c r="F3455" i="5"/>
  <c r="K3490" i="5"/>
  <c r="J3485" i="5"/>
  <c r="N3491" i="5"/>
  <c r="G3486" i="5"/>
  <c r="F3483" i="5"/>
  <c r="H3487" i="5"/>
  <c r="I3483" i="5"/>
  <c r="H3483" i="5" s="1"/>
  <c r="G3483" i="5"/>
  <c r="G3487" i="5"/>
  <c r="M3492" i="5"/>
  <c r="H3486" i="5"/>
  <c r="G3488" i="5"/>
  <c r="J3477" i="5"/>
  <c r="K3472" i="5"/>
  <c r="K3473" i="5"/>
  <c r="D3475" i="5" a="1"/>
  <c r="F3470" i="5"/>
  <c r="K3477" i="5"/>
  <c r="G3473" i="5"/>
  <c r="I3477" i="5"/>
  <c r="J3473" i="5"/>
  <c r="N3471" i="5"/>
  <c r="G3477" i="5"/>
  <c r="K3470" i="5"/>
  <c r="M3474" i="5"/>
  <c r="F3468" i="5"/>
  <c r="K3445" i="5"/>
  <c r="J3440" i="5"/>
  <c r="I3446" i="5"/>
  <c r="J3441" i="5"/>
  <c r="N3440" i="5"/>
  <c r="M3445" i="5"/>
  <c r="N3446" i="5"/>
  <c r="H3446" i="5"/>
  <c r="I3441" i="5"/>
  <c r="H3441" i="5" s="1"/>
  <c r="K3441" i="5"/>
  <c r="J3445" i="5"/>
  <c r="G3438" i="5"/>
  <c r="G3424" i="5"/>
  <c r="J3429" i="5"/>
  <c r="G3427" i="5"/>
  <c r="K3423" i="5"/>
  <c r="N3426" i="5"/>
  <c r="N3432" i="5"/>
  <c r="N3425" i="5"/>
  <c r="H3426" i="5"/>
  <c r="J3424" i="5"/>
  <c r="K3371" i="5"/>
  <c r="G3367" i="5"/>
  <c r="N3364" i="5"/>
  <c r="J3370" i="5"/>
  <c r="K3365" i="5"/>
  <c r="N3371" i="5"/>
  <c r="J3365" i="5"/>
  <c r="I3372" i="5"/>
  <c r="K3366" i="5"/>
  <c r="J3371" i="5"/>
  <c r="M3364" i="5"/>
  <c r="F3371" i="5"/>
  <c r="K3363" i="5"/>
  <c r="K3367" i="5"/>
  <c r="M3363" i="5"/>
  <c r="F3369" i="5"/>
  <c r="I3364" i="5"/>
  <c r="K3565" i="5"/>
  <c r="J3565" i="5"/>
  <c r="I3561" i="5"/>
  <c r="J3564" i="5"/>
  <c r="G3565" i="5"/>
  <c r="K3560" i="5"/>
  <c r="K3566" i="5"/>
  <c r="N3563" i="5"/>
  <c r="F3567" i="5"/>
  <c r="F3558" i="5"/>
  <c r="J3560" i="5"/>
  <c r="I3565" i="5"/>
  <c r="H3565" i="5" s="1"/>
  <c r="K3559" i="5"/>
  <c r="N3562" i="5"/>
  <c r="F3560" i="5"/>
  <c r="H3579" i="5"/>
  <c r="K3575" i="5"/>
  <c r="I3573" i="5"/>
  <c r="I3580" i="5"/>
  <c r="D3580" i="5" s="1" a="1"/>
  <c r="I3578" i="5"/>
  <c r="N3580" i="5"/>
  <c r="M3579" i="5"/>
  <c r="F3574" i="5"/>
  <c r="J3582" i="5"/>
  <c r="G3576" i="5"/>
  <c r="M3575" i="5"/>
  <c r="N3575" i="5"/>
  <c r="I3577" i="5"/>
  <c r="G3535" i="5"/>
  <c r="F3528" i="5"/>
  <c r="F3537" i="5"/>
  <c r="J3536" i="5"/>
  <c r="F3530" i="5"/>
  <c r="D3536" i="5" a="1"/>
  <c r="M3530" i="5"/>
  <c r="K3535" i="5"/>
  <c r="M3529" i="5"/>
  <c r="G3531" i="5"/>
  <c r="J3537" i="5"/>
  <c r="I3531" i="5"/>
  <c r="H3531" i="5" s="1"/>
  <c r="N3596" i="5"/>
  <c r="M3591" i="5"/>
  <c r="J3589" i="5"/>
  <c r="F3594" i="5"/>
  <c r="K3593" i="5"/>
  <c r="I3595" i="5"/>
  <c r="H3595" i="5" s="1"/>
  <c r="M3597" i="5"/>
  <c r="I3591" i="5"/>
  <c r="K3596" i="5"/>
  <c r="K3594" i="5"/>
  <c r="N3588" i="5"/>
  <c r="M3549" i="5"/>
  <c r="N3545" i="5"/>
  <c r="G3543" i="5"/>
  <c r="K3550" i="5"/>
  <c r="F3548" i="5"/>
  <c r="G3546" i="5"/>
  <c r="I3546" i="5"/>
  <c r="I3552" i="5"/>
  <c r="H3552" i="5" s="1"/>
  <c r="K3546" i="5"/>
  <c r="H3546" i="5"/>
  <c r="I3548" i="5"/>
  <c r="H3548" i="5" s="1"/>
  <c r="M3507" i="5"/>
  <c r="F3507" i="5"/>
  <c r="I3499" i="5"/>
  <c r="I3504" i="5"/>
  <c r="H3504" i="5" s="1"/>
  <c r="M3506" i="5"/>
  <c r="G3501" i="5"/>
  <c r="N3506" i="5"/>
  <c r="M3500" i="5"/>
  <c r="J3505" i="5"/>
  <c r="N3503" i="5"/>
  <c r="F3505" i="5"/>
  <c r="I3498" i="5"/>
  <c r="D3504" i="5" a="1"/>
  <c r="N3499" i="5"/>
  <c r="M3520" i="5"/>
  <c r="F3517" i="5"/>
  <c r="M3514" i="5"/>
  <c r="I3514" i="5"/>
  <c r="K3517" i="5"/>
  <c r="I3519" i="5"/>
  <c r="D3519" i="5" s="1" a="1"/>
  <c r="K3522" i="5"/>
  <c r="I3521" i="5"/>
  <c r="M3522" i="5"/>
  <c r="N3515" i="5"/>
  <c r="N3513" i="5"/>
  <c r="N3516" i="5"/>
  <c r="F3514" i="5"/>
  <c r="I3627" i="5"/>
  <c r="M3622" i="5"/>
  <c r="J3618" i="5"/>
  <c r="F3623" i="5"/>
  <c r="G3619" i="5"/>
  <c r="F3624" i="5"/>
  <c r="G3618" i="5"/>
  <c r="K3619" i="5"/>
  <c r="M3620" i="5"/>
  <c r="N3621" i="5"/>
  <c r="I3622" i="5"/>
  <c r="D3622" i="5" s="1" a="1"/>
  <c r="G3623" i="5"/>
  <c r="I3618" i="5"/>
  <c r="I3624" i="5"/>
  <c r="H3624" i="5" s="1"/>
  <c r="J3623" i="5"/>
  <c r="I3682" i="5"/>
  <c r="I3684" i="5"/>
  <c r="K3686" i="5"/>
  <c r="G3680" i="5"/>
  <c r="N3680" i="5"/>
  <c r="H3684" i="5"/>
  <c r="J3679" i="5"/>
  <c r="N3686" i="5"/>
  <c r="H3682" i="5"/>
  <c r="K3678" i="5"/>
  <c r="I3640" i="5"/>
  <c r="K3642" i="5"/>
  <c r="F3638" i="5"/>
  <c r="N3634" i="5"/>
  <c r="J3640" i="5"/>
  <c r="M3634" i="5"/>
  <c r="F3637" i="5"/>
  <c r="I3633" i="5"/>
  <c r="J3635" i="5"/>
  <c r="G3639" i="5"/>
  <c r="K3638" i="5"/>
  <c r="G3635" i="5"/>
  <c r="M3633" i="5"/>
  <c r="F3653" i="5"/>
  <c r="I3650" i="5"/>
  <c r="D3650" i="5" s="1" a="1"/>
  <c r="K3657" i="5"/>
  <c r="N3652" i="5"/>
  <c r="F3649" i="5"/>
  <c r="J3652" i="5"/>
  <c r="K3648" i="5"/>
  <c r="F3655" i="5"/>
  <c r="J3648" i="5"/>
  <c r="I3649" i="5"/>
  <c r="H3649" i="5" s="1"/>
  <c r="J3650" i="5"/>
  <c r="N3648" i="5"/>
  <c r="I3652" i="5"/>
  <c r="G3654" i="5"/>
  <c r="J3649" i="5"/>
  <c r="G3761" i="5"/>
  <c r="M3756" i="5"/>
  <c r="J3757" i="5"/>
  <c r="K3753" i="5"/>
  <c r="F3759" i="5"/>
  <c r="K3759" i="5"/>
  <c r="M3758" i="5"/>
  <c r="K3756" i="5"/>
  <c r="I3757" i="5"/>
  <c r="N3756" i="5"/>
  <c r="N3757" i="5"/>
  <c r="G3714" i="5"/>
  <c r="I3710" i="5"/>
  <c r="K3717" i="5"/>
  <c r="M3711" i="5"/>
  <c r="M3717" i="5"/>
  <c r="G3711" i="5"/>
  <c r="M3716" i="5"/>
  <c r="D3710" i="5" a="1"/>
  <c r="J3715" i="5"/>
  <c r="N3717" i="5"/>
  <c r="N3709" i="5"/>
  <c r="N3710" i="5"/>
  <c r="F3714" i="5"/>
  <c r="M3612" i="5"/>
  <c r="F3612" i="5"/>
  <c r="K3608" i="5"/>
  <c r="N3609" i="5"/>
  <c r="J3611" i="5"/>
  <c r="N3605" i="5"/>
  <c r="N3604" i="5"/>
  <c r="M3611" i="5"/>
  <c r="I3609" i="5"/>
  <c r="J3606" i="5"/>
  <c r="K3669" i="5"/>
  <c r="N3665" i="5"/>
  <c r="F3667" i="5"/>
  <c r="G3663" i="5"/>
  <c r="G3669" i="5"/>
  <c r="M3672" i="5"/>
  <c r="G3665" i="5"/>
  <c r="G3664" i="5"/>
  <c r="K3668" i="5"/>
  <c r="D3673" i="5" a="1"/>
  <c r="I3668" i="5"/>
  <c r="M3663" i="5"/>
  <c r="I3777" i="5"/>
  <c r="N3772" i="5"/>
  <c r="K3768" i="5"/>
  <c r="G3773" i="5"/>
  <c r="J3773" i="5"/>
  <c r="J3769" i="5"/>
  <c r="F3774" i="5"/>
  <c r="F3775" i="5"/>
  <c r="F3769" i="5"/>
  <c r="G3772" i="5"/>
  <c r="K3777" i="5"/>
  <c r="F3771" i="5"/>
  <c r="J3819" i="5"/>
  <c r="I3819" i="5"/>
  <c r="G3820" i="5"/>
  <c r="H3819" i="5"/>
  <c r="I3815" i="5"/>
  <c r="G3814" i="5"/>
  <c r="K3816" i="5"/>
  <c r="I3817" i="5"/>
  <c r="F3818" i="5"/>
  <c r="D3821" i="5" a="1"/>
  <c r="F3813" i="5"/>
  <c r="H3813" i="5"/>
  <c r="D3814" i="5"/>
  <c r="F3816" i="5"/>
  <c r="N3699" i="5"/>
  <c r="J3695" i="5"/>
  <c r="I3693" i="5"/>
  <c r="K3698" i="5"/>
  <c r="F3698" i="5"/>
  <c r="F3693" i="5"/>
  <c r="K3696" i="5"/>
  <c r="M3701" i="5"/>
  <c r="H3701" i="5"/>
  <c r="M3698" i="5"/>
  <c r="M3699" i="5"/>
  <c r="G3700" i="5"/>
  <c r="K3694" i="5"/>
  <c r="G3699" i="5"/>
  <c r="F3697" i="5"/>
  <c r="M3789" i="5"/>
  <c r="N3785" i="5"/>
  <c r="J3789" i="5"/>
  <c r="F3786" i="5"/>
  <c r="N3786" i="5"/>
  <c r="M3791" i="5"/>
  <c r="I3784" i="5"/>
  <c r="J3792" i="5"/>
  <c r="M3785" i="5"/>
  <c r="G3725" i="5"/>
  <c r="F3726" i="5"/>
  <c r="M3726" i="5"/>
  <c r="I3727" i="5"/>
  <c r="H3727" i="5" s="1"/>
  <c r="I3730" i="5"/>
  <c r="N3730" i="5"/>
  <c r="J3724" i="5"/>
  <c r="M3727" i="5"/>
  <c r="I3732" i="5"/>
  <c r="N3728" i="5"/>
  <c r="K3741" i="5"/>
  <c r="F3744" i="5"/>
  <c r="G3744" i="5"/>
  <c r="M3738" i="5"/>
  <c r="K3739" i="5"/>
  <c r="M3744" i="5"/>
  <c r="J3746" i="5"/>
  <c r="M3747" i="5"/>
  <c r="K3747" i="5"/>
  <c r="K3745" i="5"/>
  <c r="F3805" i="5"/>
  <c r="I3806" i="5"/>
  <c r="N3798" i="5"/>
  <c r="I3804" i="5"/>
  <c r="D3804" i="5" s="1" a="1"/>
  <c r="J3803" i="5"/>
  <c r="J3806" i="5"/>
  <c r="J3798" i="5"/>
  <c r="M3801" i="5"/>
  <c r="M3805" i="5"/>
  <c r="I3803" i="5"/>
  <c r="H3804" i="5"/>
  <c r="M3807" i="5"/>
  <c r="F3800" i="5"/>
  <c r="G3860" i="5"/>
  <c r="N3864" i="5"/>
  <c r="N3866" i="5"/>
  <c r="M3861" i="5"/>
  <c r="J3859" i="5"/>
  <c r="G3866" i="5"/>
  <c r="N3861" i="5"/>
  <c r="K3866" i="5"/>
  <c r="N3867" i="5"/>
  <c r="H3861" i="5"/>
  <c r="F3863" i="5"/>
  <c r="G3833" i="5"/>
  <c r="N3829" i="5"/>
  <c r="G3837" i="5"/>
  <c r="F3834" i="5"/>
  <c r="D3838" i="5" a="1"/>
  <c r="M3836" i="5"/>
  <c r="I3832" i="5"/>
  <c r="H3829" i="5"/>
  <c r="F3833" i="5"/>
  <c r="K3837" i="5"/>
  <c r="J3829" i="5"/>
  <c r="K3829" i="5"/>
  <c r="N3831" i="5"/>
  <c r="G3831" i="5"/>
  <c r="N3833" i="5"/>
  <c r="N3836" i="5"/>
  <c r="M3851" i="5"/>
  <c r="I3847" i="5"/>
  <c r="D3847" i="5" s="1" a="1"/>
  <c r="J3848" i="5"/>
  <c r="J3850" i="5"/>
  <c r="K3846" i="5"/>
  <c r="I3850" i="5"/>
  <c r="I3848" i="5"/>
  <c r="D3848" i="5" s="1" a="1"/>
  <c r="H3851" i="5"/>
  <c r="M3848" i="5"/>
  <c r="N3847" i="5"/>
  <c r="G3848" i="5"/>
  <c r="N3845" i="5"/>
  <c r="F3844" i="5"/>
  <c r="I3843" i="5"/>
  <c r="H3843" i="5" s="1"/>
  <c r="D3843" i="5"/>
  <c r="J3394" i="5"/>
  <c r="H3399" i="5"/>
  <c r="J3399" i="5"/>
  <c r="D3394" i="5"/>
  <c r="K3399" i="5"/>
  <c r="M3398" i="5"/>
  <c r="G3275" i="5"/>
  <c r="N3282" i="5"/>
  <c r="K3277" i="5"/>
  <c r="K3273" i="5"/>
  <c r="N3276" i="5"/>
  <c r="M3277" i="5"/>
  <c r="D3274" i="5"/>
  <c r="N3278" i="5"/>
  <c r="F3277" i="5"/>
  <c r="K3282" i="5"/>
  <c r="F3278" i="5"/>
  <c r="K3291" i="5"/>
  <c r="J3292" i="5"/>
  <c r="K3288" i="5"/>
  <c r="F3294" i="5"/>
  <c r="D3289" i="5"/>
  <c r="F3290" i="5"/>
  <c r="H3292" i="5"/>
  <c r="G3289" i="5"/>
  <c r="M3293" i="5"/>
  <c r="N3293" i="5"/>
  <c r="I3297" i="5"/>
  <c r="D3297" i="5" s="1" a="1"/>
  <c r="M3294" i="5"/>
  <c r="G3385" i="5"/>
  <c r="J3381" i="5"/>
  <c r="G3378" i="5"/>
  <c r="G3384" i="5"/>
  <c r="I3380" i="5"/>
  <c r="J3386" i="5"/>
  <c r="I3383" i="5"/>
  <c r="I3385" i="5"/>
  <c r="G3380" i="5"/>
  <c r="N3383" i="5"/>
  <c r="G3383" i="5"/>
  <c r="F3378" i="5"/>
  <c r="J3380" i="5"/>
  <c r="H3386" i="5"/>
  <c r="D3380" i="5" a="1"/>
  <c r="G3461" i="5"/>
  <c r="N3456" i="5"/>
  <c r="N3459" i="5"/>
  <c r="I3455" i="5"/>
  <c r="D3461" i="5" a="1"/>
  <c r="G3456" i="5"/>
  <c r="G3462" i="5"/>
  <c r="J3458" i="5"/>
  <c r="J3459" i="5"/>
  <c r="K3458" i="5"/>
  <c r="I3459" i="5"/>
  <c r="I3458" i="5"/>
  <c r="K3459" i="5"/>
  <c r="G3454" i="5"/>
  <c r="J3462" i="5"/>
  <c r="I3490" i="5"/>
  <c r="I3488" i="5"/>
  <c r="M3490" i="5"/>
  <c r="N3485" i="5"/>
  <c r="K3486" i="5"/>
  <c r="K3485" i="5"/>
  <c r="F3492" i="5"/>
  <c r="F3486" i="5"/>
  <c r="M3491" i="5"/>
  <c r="I3485" i="5"/>
  <c r="D3485" i="5" s="1" a="1"/>
  <c r="H3490" i="5"/>
  <c r="M3488" i="5"/>
  <c r="H3488" i="5"/>
  <c r="M3476" i="5"/>
  <c r="I3472" i="5"/>
  <c r="H3472" i="5" s="1"/>
  <c r="H3469" i="5"/>
  <c r="K3474" i="5"/>
  <c r="I3473" i="5"/>
  <c r="H3473" i="5" s="1"/>
  <c r="J3476" i="5"/>
  <c r="F3472" i="5"/>
  <c r="I3476" i="5"/>
  <c r="N3468" i="5"/>
  <c r="G3472" i="5"/>
  <c r="J3470" i="5"/>
  <c r="N3475" i="5"/>
  <c r="M3473" i="5"/>
  <c r="F3473" i="5"/>
  <c r="K3468" i="5"/>
  <c r="I3445" i="5"/>
  <c r="I3443" i="5"/>
  <c r="H3445" i="5"/>
  <c r="D3441" i="5" a="1"/>
  <c r="K3446" i="5"/>
  <c r="J3443" i="5"/>
  <c r="N3445" i="5"/>
  <c r="N3443" i="5"/>
  <c r="G3445" i="5"/>
  <c r="D3446" i="5" a="1"/>
  <c r="M3440" i="5"/>
  <c r="J3444" i="5"/>
  <c r="J3447" i="5"/>
  <c r="F3430" i="5"/>
  <c r="G3425" i="5"/>
  <c r="K3431" i="5"/>
  <c r="J3423" i="5"/>
  <c r="I3429" i="5"/>
  <c r="I3432" i="5"/>
  <c r="M3426" i="5"/>
  <c r="M3425" i="5"/>
  <c r="G3432" i="5"/>
  <c r="J3428" i="5"/>
  <c r="N3430" i="5"/>
  <c r="M3430" i="5"/>
  <c r="F3429" i="5"/>
  <c r="N3370" i="5"/>
  <c r="F3364" i="5"/>
  <c r="J3368" i="5"/>
  <c r="I3371" i="5"/>
  <c r="H3371" i="5" s="1"/>
  <c r="M3365" i="5"/>
  <c r="K3370" i="5"/>
  <c r="F3368" i="5"/>
  <c r="N3366" i="5"/>
  <c r="N3372" i="5"/>
  <c r="G3363" i="5"/>
  <c r="N3564" i="5"/>
  <c r="N3565" i="5"/>
  <c r="G3564" i="5"/>
  <c r="I3560" i="5"/>
  <c r="H3560" i="5" s="1"/>
  <c r="F3566" i="5"/>
  <c r="I3559" i="5"/>
  <c r="D3559" i="5" s="1"/>
  <c r="M3567" i="5"/>
  <c r="M3562" i="5"/>
  <c r="N3558" i="5"/>
  <c r="M3563" i="5"/>
  <c r="M3582" i="5"/>
  <c r="G3579" i="5"/>
  <c r="I3575" i="5"/>
  <c r="D3575" i="5" s="1" a="1"/>
  <c r="N3579" i="5"/>
  <c r="J3574" i="5"/>
  <c r="F3582" i="5"/>
  <c r="H3573" i="5"/>
  <c r="H3580" i="5"/>
  <c r="J3580" i="5"/>
  <c r="M3573" i="5"/>
  <c r="M3574" i="5"/>
  <c r="N3574" i="5"/>
  <c r="G3575" i="5"/>
  <c r="K3534" i="5"/>
  <c r="N3530" i="5"/>
  <c r="J3532" i="5"/>
  <c r="J3535" i="5"/>
  <c r="I3533" i="5"/>
  <c r="H3533" i="5" s="1"/>
  <c r="D3538" i="5" a="1"/>
  <c r="H3536" i="5"/>
  <c r="D3531" i="5" a="1"/>
  <c r="K3532" i="5"/>
  <c r="N3535" i="5"/>
  <c r="K3595" i="5"/>
  <c r="D3591" i="5" a="1"/>
  <c r="J3588" i="5"/>
  <c r="K3592" i="5"/>
  <c r="I3589" i="5"/>
  <c r="J3594" i="5"/>
  <c r="J3593" i="5"/>
  <c r="G3596" i="5"/>
  <c r="N3589" i="5"/>
  <c r="H3591" i="5"/>
  <c r="H3594" i="5"/>
  <c r="N3595" i="5"/>
  <c r="I3596" i="5"/>
  <c r="D3595" i="5" a="1"/>
  <c r="G3590" i="5"/>
  <c r="F3589" i="5"/>
  <c r="G3545" i="5"/>
  <c r="J3543" i="5"/>
  <c r="N3547" i="5"/>
  <c r="M3552" i="5"/>
  <c r="M3546" i="5"/>
  <c r="I3545" i="5"/>
  <c r="G3551" i="5"/>
  <c r="D3545" i="5" a="1"/>
  <c r="N3550" i="5"/>
  <c r="M3545" i="5"/>
  <c r="F3550" i="5"/>
  <c r="I3507" i="5"/>
  <c r="D3507" i="5" s="1" a="1"/>
  <c r="N3502" i="5"/>
  <c r="K3498" i="5"/>
  <c r="F3504" i="5"/>
  <c r="K3503" i="5"/>
  <c r="I3506" i="5"/>
  <c r="N3504" i="5"/>
  <c r="D3499" i="5"/>
  <c r="G3502" i="5"/>
  <c r="N3500" i="5"/>
  <c r="F3503" i="5"/>
  <c r="H3507" i="5"/>
  <c r="F3498" i="5"/>
  <c r="G3516" i="5"/>
  <c r="M3513" i="5"/>
  <c r="F3519" i="5"/>
  <c r="K3513" i="5"/>
  <c r="M3517" i="5"/>
  <c r="K3521" i="5"/>
  <c r="I3520" i="5"/>
  <c r="D3520" i="5" s="1" a="1"/>
  <c r="M3521" i="5"/>
  <c r="M3518" i="5"/>
  <c r="I3513" i="5"/>
  <c r="J3513" i="5"/>
  <c r="G3626" i="5"/>
  <c r="M3621" i="5"/>
  <c r="M3627" i="5"/>
  <c r="H3622" i="5"/>
  <c r="H3618" i="5"/>
  <c r="F3622" i="5"/>
  <c r="K3622" i="5"/>
  <c r="N3618" i="5"/>
  <c r="N3620" i="5"/>
  <c r="G3620" i="5"/>
  <c r="M3618" i="5"/>
  <c r="D3627" i="5" a="1"/>
  <c r="F3621" i="5"/>
  <c r="J3685" i="5"/>
  <c r="K3681" i="5"/>
  <c r="F3684" i="5"/>
  <c r="J3683" i="5"/>
  <c r="K3685" i="5"/>
  <c r="G3686" i="5"/>
  <c r="K3683" i="5"/>
  <c r="M3682" i="5"/>
  <c r="M3678" i="5"/>
  <c r="I3687" i="5"/>
  <c r="I3680" i="5"/>
  <c r="J3681" i="5"/>
  <c r="M3680" i="5"/>
  <c r="K3634" i="5"/>
  <c r="J3641" i="5"/>
  <c r="G3637" i="5"/>
  <c r="N3633" i="5"/>
  <c r="K3636" i="5"/>
  <c r="J3634" i="5"/>
  <c r="N3638" i="5"/>
  <c r="G3636" i="5"/>
  <c r="M3641" i="5"/>
  <c r="J3633" i="5"/>
  <c r="N3642" i="5"/>
  <c r="J3656" i="5"/>
  <c r="G3652" i="5"/>
  <c r="N3653" i="5"/>
  <c r="M3651" i="5"/>
  <c r="H3652" i="5"/>
  <c r="I3648" i="5"/>
  <c r="D3649" i="5"/>
  <c r="K3649" i="5"/>
  <c r="F3648" i="5"/>
  <c r="H3651" i="5"/>
  <c r="K3760" i="5"/>
  <c r="J3755" i="5"/>
  <c r="G3762" i="5"/>
  <c r="D3757" i="5" a="1"/>
  <c r="F3757" i="5"/>
  <c r="G3753" i="5"/>
  <c r="F3760" i="5"/>
  <c r="F3754" i="5"/>
  <c r="H3757" i="5"/>
  <c r="N3755" i="5"/>
  <c r="G3755" i="5"/>
  <c r="F3758" i="5"/>
  <c r="M3759" i="5"/>
  <c r="J3717" i="5"/>
  <c r="N3712" i="5"/>
  <c r="I3715" i="5"/>
  <c r="M3710" i="5"/>
  <c r="N3716" i="5"/>
  <c r="I3711" i="5"/>
  <c r="H3711" i="5" s="1"/>
  <c r="H3710" i="5"/>
  <c r="H3715" i="5"/>
  <c r="I3713" i="5"/>
  <c r="I3714" i="5"/>
  <c r="H3714" i="5" s="1"/>
  <c r="J3716" i="5"/>
  <c r="M3708" i="5"/>
  <c r="J3713" i="5"/>
  <c r="G3712" i="5"/>
  <c r="I3612" i="5"/>
  <c r="H3612" i="5" s="1"/>
  <c r="N3607" i="5"/>
  <c r="K3603" i="5"/>
  <c r="F3609" i="5"/>
  <c r="I3604" i="5"/>
  <c r="D3604" i="5" s="1"/>
  <c r="H3609" i="5"/>
  <c r="J3604" i="5"/>
  <c r="I3605" i="5"/>
  <c r="M3609" i="5"/>
  <c r="N3603" i="5"/>
  <c r="F3604" i="5"/>
  <c r="K3609" i="5"/>
  <c r="G3606" i="5"/>
  <c r="I3608" i="5"/>
  <c r="D3608" i="5" s="1" a="1"/>
  <c r="N3608" i="5"/>
  <c r="N3668" i="5"/>
  <c r="I3672" i="5"/>
  <c r="H3672" i="5" s="1"/>
  <c r="H3668" i="5"/>
  <c r="J3667" i="5"/>
  <c r="M3671" i="5"/>
  <c r="D3668" i="5" a="1"/>
  <c r="N3669" i="5"/>
  <c r="J3672" i="5"/>
  <c r="K3672" i="5"/>
  <c r="K3664" i="5"/>
  <c r="I3669" i="5"/>
  <c r="J3664" i="5"/>
  <c r="I3670" i="5"/>
  <c r="G3776" i="5"/>
  <c r="N3771" i="5"/>
  <c r="D3768" i="5"/>
  <c r="J3772" i="5"/>
  <c r="H3769" i="5"/>
  <c r="M3774" i="5"/>
  <c r="K3772" i="5"/>
  <c r="F3768" i="5"/>
  <c r="F3772" i="5"/>
  <c r="J3777" i="5"/>
  <c r="K3771" i="5"/>
  <c r="K3776" i="5"/>
  <c r="G3770" i="5"/>
  <c r="H3768" i="5"/>
  <c r="G3769" i="5"/>
  <c r="N3822" i="5"/>
  <c r="G3818" i="5"/>
  <c r="M3819" i="5"/>
  <c r="M3817" i="5"/>
  <c r="J3816" i="5"/>
  <c r="N3813" i="5"/>
  <c r="M3815" i="5"/>
  <c r="G3816" i="5"/>
  <c r="N3816" i="5"/>
  <c r="G3819" i="5"/>
  <c r="K3817" i="5"/>
  <c r="D3813" i="5"/>
  <c r="D3815" i="5" a="1"/>
  <c r="F3701" i="5"/>
  <c r="F3699" i="5"/>
  <c r="J3697" i="5"/>
  <c r="H3695" i="5"/>
  <c r="N3700" i="5"/>
  <c r="G3694" i="5"/>
  <c r="G3698" i="5"/>
  <c r="K3701" i="5"/>
  <c r="K3695" i="5"/>
  <c r="G3695" i="5"/>
  <c r="I3789" i="5"/>
  <c r="D3789" i="5" s="1" a="1"/>
  <c r="F3785" i="5"/>
  <c r="N3792" i="5"/>
  <c r="H3789" i="5"/>
  <c r="J3784" i="5"/>
  <c r="N3787" i="5"/>
  <c r="I3792" i="5"/>
  <c r="H3792" i="5" s="1"/>
  <c r="K3785" i="5"/>
  <c r="N3790" i="5"/>
  <c r="M3792" i="5"/>
  <c r="G3785" i="5"/>
  <c r="K3787" i="5"/>
  <c r="K3791" i="5"/>
  <c r="K3784" i="5"/>
  <c r="G3732" i="5"/>
  <c r="F3729" i="5"/>
  <c r="M3730" i="5"/>
  <c r="F3725" i="5"/>
  <c r="G3726" i="5"/>
  <c r="M3732" i="5"/>
  <c r="I3726" i="5"/>
  <c r="D3726" i="5" s="1" a="1"/>
  <c r="K3729" i="5"/>
  <c r="I3723" i="5"/>
  <c r="H3723" i="5" s="1"/>
  <c r="K3730" i="5"/>
  <c r="F3724" i="5"/>
  <c r="K3728" i="5"/>
  <c r="J3745" i="5"/>
  <c r="I3741" i="5"/>
  <c r="D3742" i="5" a="1"/>
  <c r="G3743" i="5"/>
  <c r="G3738" i="5"/>
  <c r="M3742" i="5"/>
  <c r="N3738" i="5"/>
  <c r="N3742" i="5"/>
  <c r="F3747" i="5"/>
  <c r="K3746" i="5"/>
  <c r="I3746" i="5"/>
  <c r="D3746" i="5" s="1" a="1"/>
  <c r="G3746" i="5"/>
  <c r="I3744" i="5"/>
  <c r="H3744" i="5" s="1"/>
  <c r="F3746" i="5"/>
  <c r="J3807" i="5"/>
  <c r="K3802" i="5"/>
  <c r="K3803" i="5"/>
  <c r="G3805" i="5"/>
  <c r="F3798" i="5"/>
  <c r="N3802" i="5"/>
  <c r="K3798" i="5"/>
  <c r="K3800" i="5"/>
  <c r="G3804" i="5"/>
  <c r="J3800" i="5"/>
  <c r="N3804" i="5"/>
  <c r="G3799" i="5"/>
  <c r="F3806" i="5"/>
  <c r="G3806" i="5"/>
  <c r="M3799" i="5"/>
  <c r="G3867" i="5"/>
  <c r="F3864" i="5"/>
  <c r="J3867" i="5"/>
  <c r="F3865" i="5"/>
  <c r="K3863" i="5"/>
  <c r="K3865" i="5"/>
  <c r="D3861" i="5" a="1"/>
  <c r="J3858" i="5"/>
  <c r="M3865" i="5"/>
  <c r="K3860" i="5"/>
  <c r="N3865" i="5"/>
  <c r="K3864" i="5"/>
  <c r="F3862" i="5"/>
  <c r="M3860" i="5"/>
  <c r="M3863" i="5"/>
  <c r="N3838" i="5"/>
  <c r="H3832" i="5"/>
  <c r="F3829" i="5"/>
  <c r="I3836" i="5"/>
  <c r="J3832" i="5"/>
  <c r="J3833" i="5"/>
  <c r="D3836" i="5" a="1"/>
  <c r="K3831" i="5"/>
  <c r="F3832" i="5"/>
  <c r="N3834" i="5"/>
  <c r="J3828" i="5"/>
  <c r="H3836" i="5"/>
  <c r="I3833" i="5"/>
  <c r="D3833" i="5" s="1" a="1"/>
  <c r="M3833" i="5"/>
  <c r="I3837" i="5"/>
  <c r="H3837" i="5" s="1"/>
  <c r="G3832" i="5"/>
  <c r="D3851" i="5" a="1"/>
  <c r="J3846" i="5"/>
  <c r="G3844" i="5"/>
  <c r="M3849" i="5"/>
  <c r="N3849" i="5"/>
  <c r="J3844" i="5"/>
  <c r="H3847" i="5"/>
  <c r="D3850" i="5" a="1"/>
  <c r="K3843" i="5"/>
  <c r="K3845" i="5"/>
  <c r="M3845" i="5"/>
  <c r="M3393" i="5"/>
  <c r="K3394" i="5"/>
  <c r="F3399" i="5"/>
  <c r="G3393" i="5"/>
  <c r="F3401" i="5"/>
  <c r="F3394" i="5"/>
  <c r="G3282" i="5"/>
  <c r="F3279" i="5"/>
  <c r="M3276" i="5"/>
  <c r="H3282" i="5"/>
  <c r="F3276" i="5"/>
  <c r="J3282" i="5"/>
  <c r="F3273" i="5"/>
  <c r="H3274" i="5"/>
  <c r="I3275" i="5"/>
  <c r="D3275" i="5" s="1" a="1"/>
  <c r="N3280" i="5"/>
  <c r="N3277" i="5"/>
  <c r="J3275" i="5"/>
  <c r="J3295" i="5"/>
  <c r="I3291" i="5"/>
  <c r="H3291" i="5" s="1"/>
  <c r="N3297" i="5"/>
  <c r="M3291" i="5"/>
  <c r="D3292" i="5" a="1"/>
  <c r="K3294" i="5"/>
  <c r="I3293" i="5"/>
  <c r="H3293" i="5" s="1"/>
  <c r="K3296" i="5"/>
  <c r="J3288" i="5"/>
  <c r="G3288" i="5"/>
  <c r="I3288" i="5"/>
  <c r="G3295" i="5"/>
  <c r="F3292" i="5"/>
  <c r="M3384" i="5"/>
  <c r="N3380" i="5"/>
  <c r="M3387" i="5"/>
  <c r="F3383" i="5"/>
  <c r="N3379" i="5"/>
  <c r="K3385" i="5"/>
  <c r="M3379" i="5"/>
  <c r="K3384" i="5"/>
  <c r="M3383" i="5"/>
  <c r="F3387" i="5"/>
  <c r="I3379" i="5"/>
  <c r="D3379" i="5" s="1"/>
  <c r="N3386" i="5"/>
  <c r="N3385" i="5"/>
  <c r="K3379" i="5"/>
  <c r="M3460" i="5"/>
  <c r="K3455" i="5"/>
  <c r="F3461" i="5"/>
  <c r="M3458" i="5"/>
  <c r="H3455" i="5"/>
  <c r="G3459" i="5"/>
  <c r="J3454" i="5"/>
  <c r="F3459" i="5"/>
  <c r="D3454" i="5"/>
  <c r="F3460" i="5"/>
  <c r="F3454" i="5"/>
  <c r="J3453" i="5"/>
  <c r="N3489" i="5"/>
  <c r="J3484" i="5"/>
  <c r="K3489" i="5"/>
  <c r="F3485" i="5"/>
  <c r="M3485" i="5"/>
  <c r="J3492" i="5"/>
  <c r="D3488" i="5" a="1"/>
  <c r="F3487" i="5"/>
  <c r="K3491" i="5"/>
  <c r="H3485" i="5"/>
  <c r="G3490" i="5"/>
  <c r="J3489" i="5"/>
  <c r="G3492" i="5"/>
  <c r="D3486" i="5" a="1"/>
  <c r="D3476" i="5" a="1"/>
  <c r="K3471" i="5"/>
  <c r="I3474" i="5"/>
  <c r="H3474" i="5" s="1"/>
  <c r="K3469" i="5"/>
  <c r="H3475" i="5"/>
  <c r="D3473" i="5" a="1"/>
  <c r="G3474" i="5"/>
  <c r="I3468" i="5"/>
  <c r="H3468" i="5" s="1"/>
  <c r="M3471" i="5"/>
  <c r="M3475" i="5"/>
  <c r="J3474" i="5"/>
  <c r="G3469" i="5"/>
  <c r="D3472" i="5" a="1"/>
  <c r="N3444" i="5"/>
  <c r="J3439" i="5"/>
  <c r="M3444" i="5"/>
  <c r="I3440" i="5"/>
  <c r="I3444" i="5"/>
  <c r="D3444" i="5" s="1" a="1"/>
  <c r="M3439" i="5"/>
  <c r="G3443" i="5"/>
  <c r="K3438" i="5"/>
  <c r="F3447" i="5"/>
  <c r="H3444" i="5"/>
  <c r="D3445" i="5" a="1"/>
  <c r="F3440" i="5"/>
  <c r="K3443" i="5"/>
  <c r="J3432" i="5"/>
  <c r="K3427" i="5"/>
  <c r="K3428" i="5"/>
  <c r="D3426" i="5" a="1"/>
  <c r="N3427" i="5"/>
  <c r="I3431" i="5"/>
  <c r="H3431" i="5" s="1"/>
  <c r="F3426" i="5"/>
  <c r="G3431" i="5"/>
  <c r="K3424" i="5"/>
  <c r="J3425" i="5"/>
  <c r="M3423" i="5"/>
  <c r="K3369" i="5"/>
  <c r="G3366" i="5"/>
  <c r="F3363" i="5"/>
  <c r="H3364" i="5"/>
  <c r="I3368" i="5"/>
  <c r="D3368" i="5" s="1" a="1"/>
  <c r="I3370" i="5"/>
  <c r="H3370" i="5" s="1"/>
  <c r="K3364" i="5"/>
  <c r="N3367" i="5"/>
  <c r="M3372" i="5"/>
  <c r="M3366" i="5"/>
  <c r="G3372" i="5"/>
  <c r="N3365" i="5"/>
  <c r="H3372" i="5"/>
  <c r="H3368" i="5"/>
  <c r="F3565" i="5"/>
  <c r="G3560" i="5"/>
  <c r="F3564" i="5"/>
  <c r="F3563" i="5"/>
  <c r="N3559" i="5"/>
  <c r="J3562" i="5"/>
  <c r="G3561" i="5"/>
  <c r="G3566" i="5"/>
  <c r="J3559" i="5"/>
  <c r="F3562" i="5"/>
  <c r="I3558" i="5"/>
  <c r="I3564" i="5"/>
  <c r="F3559" i="5"/>
  <c r="N3577" i="5"/>
  <c r="D3578" i="5" a="1"/>
  <c r="K3582" i="5"/>
  <c r="F3581" i="5"/>
  <c r="I3574" i="5"/>
  <c r="D3574" i="5" s="1"/>
  <c r="J3577" i="5"/>
  <c r="G3573" i="5"/>
  <c r="K3577" i="5"/>
  <c r="H3575" i="5"/>
  <c r="F3579" i="5"/>
  <c r="F3580" i="5"/>
  <c r="D3573" i="5"/>
  <c r="F3573" i="5"/>
  <c r="J3578" i="5"/>
  <c r="N3533" i="5"/>
  <c r="N3537" i="5"/>
  <c r="I3529" i="5"/>
  <c r="H3529" i="5" s="1"/>
  <c r="J3534" i="5"/>
  <c r="D3529" i="5"/>
  <c r="I3534" i="5"/>
  <c r="M3533" i="5"/>
  <c r="N3532" i="5"/>
  <c r="M3537" i="5"/>
  <c r="D3533" i="5" a="1"/>
  <c r="I3530" i="5"/>
  <c r="M3528" i="5"/>
  <c r="J3530" i="5"/>
  <c r="G3594" i="5"/>
  <c r="J3590" i="5"/>
  <c r="G3597" i="5"/>
  <c r="N3591" i="5"/>
  <c r="M3588" i="5"/>
  <c r="G3593" i="5"/>
  <c r="H3589" i="5"/>
  <c r="G3595" i="5"/>
  <c r="F3588" i="5"/>
  <c r="K3590" i="5"/>
  <c r="N3592" i="5"/>
  <c r="F3597" i="5"/>
  <c r="F3595" i="5"/>
  <c r="D3589" i="5"/>
  <c r="J3596" i="5"/>
  <c r="G3552" i="5"/>
  <c r="F3549" i="5"/>
  <c r="D3552" i="5" a="1"/>
  <c r="I3547" i="5"/>
  <c r="H3547" i="5" s="1"/>
  <c r="G3547" i="5"/>
  <c r="F3546" i="5"/>
  <c r="N3549" i="5"/>
  <c r="M3548" i="5"/>
  <c r="G3549" i="5"/>
  <c r="K3548" i="5"/>
  <c r="I3550" i="5"/>
  <c r="D3550" i="5" s="1" a="1"/>
  <c r="K3544" i="5"/>
  <c r="J3545" i="5"/>
  <c r="G3506" i="5"/>
  <c r="N3501" i="5"/>
  <c r="D3498" i="5"/>
  <c r="K3502" i="5"/>
  <c r="J3499" i="5"/>
  <c r="M3504" i="5"/>
  <c r="M3503" i="5"/>
  <c r="K3504" i="5"/>
  <c r="H3499" i="5"/>
  <c r="G3503" i="5"/>
  <c r="H3498" i="5"/>
  <c r="K3507" i="5"/>
  <c r="I3503" i="5"/>
  <c r="D3503" i="5" s="1" a="1"/>
  <c r="H3503" i="5"/>
  <c r="N3505" i="5"/>
  <c r="J3519" i="5"/>
  <c r="F3516" i="5"/>
  <c r="D3513" i="5"/>
  <c r="I3517" i="5"/>
  <c r="D3517" i="5" s="1" a="1"/>
  <c r="H3522" i="5"/>
  <c r="J3522" i="5"/>
  <c r="J3520" i="5"/>
  <c r="F3515" i="5"/>
  <c r="M3519" i="5"/>
  <c r="G3521" i="5"/>
  <c r="J3518" i="5"/>
  <c r="H3514" i="5"/>
  <c r="K3514" i="5"/>
  <c r="M3515" i="5"/>
  <c r="K3625" i="5"/>
  <c r="J3620" i="5"/>
  <c r="I3626" i="5"/>
  <c r="J3621" i="5"/>
  <c r="J3627" i="5"/>
  <c r="H3627" i="5"/>
  <c r="N3627" i="5"/>
  <c r="F3619" i="5"/>
  <c r="N3623" i="5"/>
  <c r="D3628" i="5" a="1"/>
  <c r="K3618" i="5"/>
  <c r="K3624" i="5"/>
  <c r="M3619" i="5"/>
  <c r="I3681" i="5"/>
  <c r="D3682" i="5" a="1"/>
  <c r="G3679" i="5"/>
  <c r="K3684" i="5"/>
  <c r="K3679" i="5"/>
  <c r="G3685" i="5"/>
  <c r="I3679" i="5"/>
  <c r="H3679" i="5" s="1"/>
  <c r="G3682" i="5"/>
  <c r="I3686" i="5"/>
  <c r="D3686" i="5" s="1" a="1"/>
  <c r="F3687" i="5"/>
  <c r="M3679" i="5"/>
  <c r="I3678" i="5"/>
  <c r="D3678" i="5" s="1"/>
  <c r="M3642" i="5"/>
  <c r="F3642" i="5"/>
  <c r="I3634" i="5"/>
  <c r="N3640" i="5"/>
  <c r="J3636" i="5"/>
  <c r="H3633" i="5"/>
  <c r="M3637" i="5"/>
  <c r="N3641" i="5"/>
  <c r="M3635" i="5"/>
  <c r="K3639" i="5"/>
  <c r="D3634" i="5"/>
  <c r="J3638" i="5"/>
  <c r="F3636" i="5"/>
  <c r="K3637" i="5"/>
  <c r="M3655" i="5"/>
  <c r="F3652" i="5"/>
  <c r="M3649" i="5"/>
  <c r="N3655" i="5"/>
  <c r="J3651" i="5"/>
  <c r="M3650" i="5"/>
  <c r="I3657" i="5"/>
  <c r="K3651" i="5"/>
  <c r="N3654" i="5"/>
  <c r="J3657" i="5"/>
  <c r="K3656" i="5"/>
  <c r="G3648" i="5"/>
  <c r="J3655" i="5"/>
  <c r="G3657" i="5"/>
  <c r="K3653" i="5"/>
  <c r="I3760" i="5"/>
  <c r="I3758" i="5"/>
  <c r="H3758" i="5" s="1"/>
  <c r="M3761" i="5"/>
  <c r="F3756" i="5"/>
  <c r="J3762" i="5"/>
  <c r="G3757" i="5"/>
  <c r="M3754" i="5"/>
  <c r="I3756" i="5"/>
  <c r="N3758" i="5"/>
  <c r="N3754" i="5"/>
  <c r="I3755" i="5"/>
  <c r="H3755" i="5" s="1"/>
  <c r="G3756" i="5"/>
  <c r="K3757" i="5"/>
  <c r="G3716" i="5"/>
  <c r="F3712" i="5"/>
  <c r="M3713" i="5"/>
  <c r="J3714" i="5"/>
  <c r="G3715" i="5"/>
  <c r="J3710" i="5"/>
  <c r="N3715" i="5"/>
  <c r="K3713" i="5"/>
  <c r="K3714" i="5"/>
  <c r="G3709" i="5"/>
  <c r="F3713" i="5"/>
  <c r="D3714" i="5" a="1"/>
  <c r="G3708" i="5"/>
  <c r="K3711" i="5"/>
  <c r="N3606" i="5"/>
  <c r="G3612" i="5"/>
  <c r="I3607" i="5"/>
  <c r="G3608" i="5"/>
  <c r="J3608" i="5"/>
  <c r="D3609" i="5" a="1"/>
  <c r="J3612" i="5"/>
  <c r="M3604" i="5"/>
  <c r="F3608" i="5"/>
  <c r="I3603" i="5"/>
  <c r="D3603" i="5" s="1"/>
  <c r="D3612" i="5" a="1"/>
  <c r="D3607" i="5" a="1"/>
  <c r="F3603" i="5"/>
  <c r="G3603" i="5"/>
  <c r="G3672" i="5"/>
  <c r="G3668" i="5"/>
  <c r="N3664" i="5"/>
  <c r="I3666" i="5"/>
  <c r="N3672" i="5"/>
  <c r="G3666" i="5"/>
  <c r="K3670" i="5"/>
  <c r="J3668" i="5"/>
  <c r="F3670" i="5"/>
  <c r="H3669" i="5"/>
  <c r="J3671" i="5"/>
  <c r="I3663" i="5"/>
  <c r="H3663" i="5" s="1"/>
  <c r="M3666" i="5"/>
  <c r="J3670" i="5"/>
  <c r="G3667" i="5"/>
  <c r="M3775" i="5"/>
  <c r="K3770" i="5"/>
  <c r="N3777" i="5"/>
  <c r="I3772" i="5"/>
  <c r="H3772" i="5" s="1"/>
  <c r="J3768" i="5"/>
  <c r="F3776" i="5"/>
  <c r="H3773" i="5"/>
  <c r="H3777" i="5"/>
  <c r="N3776" i="5"/>
  <c r="J3771" i="5"/>
  <c r="J3776" i="5"/>
  <c r="F3770" i="5"/>
  <c r="K3775" i="5"/>
  <c r="D3773" i="5" a="1"/>
  <c r="D3772" i="5" a="1"/>
  <c r="G3771" i="5"/>
  <c r="D3819" i="5" a="1"/>
  <c r="D3817" i="5" a="1"/>
  <c r="I3818" i="5"/>
  <c r="D3818" i="5" s="1" a="1"/>
  <c r="J3820" i="5"/>
  <c r="N3815" i="5"/>
  <c r="G3813" i="5"/>
  <c r="M3814" i="5"/>
  <c r="K3814" i="5"/>
  <c r="I3816" i="5"/>
  <c r="H3817" i="5"/>
  <c r="H3816" i="5"/>
  <c r="G3821" i="5"/>
  <c r="J3822" i="5"/>
  <c r="K3818" i="5"/>
  <c r="M3697" i="5"/>
  <c r="I3698" i="5"/>
  <c r="D3698" i="5" s="1" a="1"/>
  <c r="G3702" i="5"/>
  <c r="I3697" i="5"/>
  <c r="D3693" i="5"/>
  <c r="G3696" i="5"/>
  <c r="F3700" i="5"/>
  <c r="K3699" i="5"/>
  <c r="G3693" i="5"/>
  <c r="J3702" i="5"/>
  <c r="N3697" i="5"/>
  <c r="I3696" i="5"/>
  <c r="D3696" i="5" s="1" a="1"/>
  <c r="F3694" i="5"/>
  <c r="N3693" i="5"/>
  <c r="G3792" i="5"/>
  <c r="F3789" i="5"/>
  <c r="D3793" i="5" a="1"/>
  <c r="D3792" i="5" a="1"/>
  <c r="F3788" i="5"/>
  <c r="I3785" i="5"/>
  <c r="D3785" i="5" s="1" a="1"/>
  <c r="G3788" i="5"/>
  <c r="N3783" i="5"/>
  <c r="M3786" i="5"/>
  <c r="G3791" i="5"/>
  <c r="I3788" i="5"/>
  <c r="F3791" i="5"/>
  <c r="N3791" i="5"/>
  <c r="N3784" i="5"/>
  <c r="H3788" i="5"/>
  <c r="I3790" i="5"/>
  <c r="D3790" i="5" s="1" a="1"/>
  <c r="J3783" i="5"/>
  <c r="M3731" i="5"/>
  <c r="J3727" i="5"/>
  <c r="J3728" i="5"/>
  <c r="I3729" i="5"/>
  <c r="D3729" i="5" s="1" a="1"/>
  <c r="I3728" i="5"/>
  <c r="D3730" i="5" a="1"/>
  <c r="I3725" i="5"/>
  <c r="G3731" i="5"/>
  <c r="K3724" i="5"/>
  <c r="M3724" i="5"/>
  <c r="F3727" i="5"/>
  <c r="G3728" i="5"/>
  <c r="K3725" i="5"/>
  <c r="H3729" i="5"/>
  <c r="N3732" i="5"/>
  <c r="J3723" i="5"/>
  <c r="D3744" i="5" a="1"/>
  <c r="G3747" i="5"/>
  <c r="N3741" i="5"/>
  <c r="N3747" i="5"/>
  <c r="H3741" i="5"/>
  <c r="H3747" i="5"/>
  <c r="F3742" i="5"/>
  <c r="I3738" i="5"/>
  <c r="M3741" i="5"/>
  <c r="F3743" i="5"/>
  <c r="K3744" i="5"/>
  <c r="H3742" i="5"/>
  <c r="J3742" i="5"/>
  <c r="N3806" i="5"/>
  <c r="H3799" i="5"/>
  <c r="K3804" i="5"/>
  <c r="N3800" i="5"/>
  <c r="I3802" i="5"/>
  <c r="N3807" i="5"/>
  <c r="J3799" i="5"/>
  <c r="M3802" i="5"/>
  <c r="I3807" i="5"/>
  <c r="H3807" i="5" s="1"/>
  <c r="F3804" i="5"/>
  <c r="I3801" i="5"/>
  <c r="H3801" i="5" s="1"/>
  <c r="M3798" i="5"/>
  <c r="M3866" i="5"/>
  <c r="J3862" i="5"/>
  <c r="J3863" i="5"/>
  <c r="H3867" i="5"/>
  <c r="K3862" i="5"/>
  <c r="G3864" i="5"/>
  <c r="J3860" i="5"/>
  <c r="I3858" i="5"/>
  <c r="D3858" i="5" s="1"/>
  <c r="I3865" i="5"/>
  <c r="H3865" i="5" s="1"/>
  <c r="I3864" i="5"/>
  <c r="D3864" i="5" s="1" a="1"/>
  <c r="D3867" i="5" a="1"/>
  <c r="M3858" i="5"/>
  <c r="K3836" i="5"/>
  <c r="H3833" i="5"/>
  <c r="N3828" i="5"/>
  <c r="H3838" i="5"/>
  <c r="G3829" i="5"/>
  <c r="J3835" i="5"/>
  <c r="I3831" i="5"/>
  <c r="M3838" i="5"/>
  <c r="F3831" i="5"/>
  <c r="F3836" i="5"/>
  <c r="M3837" i="5"/>
  <c r="M3831" i="5"/>
  <c r="K3828" i="5"/>
  <c r="I3828" i="5"/>
  <c r="H3850" i="5"/>
  <c r="I3846" i="5"/>
  <c r="D3846" i="5" s="1" a="1"/>
  <c r="G3843" i="5"/>
  <c r="H3845" i="5"/>
  <c r="K3852" i="5"/>
  <c r="F3851" i="5"/>
  <c r="I3844" i="5"/>
  <c r="H3846" i="5"/>
  <c r="G3849" i="5"/>
  <c r="F3848" i="5"/>
  <c r="M3844" i="5"/>
  <c r="K3844" i="5"/>
  <c r="K3851" i="5"/>
  <c r="J3851" i="5"/>
  <c r="M3850" i="5"/>
  <c r="M3397" i="5"/>
  <c r="N3393" i="5"/>
  <c r="F3397" i="5"/>
  <c r="G3397" i="5"/>
  <c r="I3393" i="5"/>
  <c r="M3281" i="5"/>
  <c r="J3277" i="5"/>
  <c r="J3278" i="5"/>
  <c r="K3280" i="5"/>
  <c r="M3275" i="5"/>
  <c r="M3280" i="5"/>
  <c r="F3275" i="5"/>
  <c r="N3281" i="5"/>
  <c r="G3276" i="5"/>
  <c r="J3273" i="5"/>
  <c r="F3274" i="5"/>
  <c r="F3282" i="5"/>
  <c r="I3276" i="5"/>
  <c r="N3274" i="5"/>
  <c r="H3290" i="5"/>
  <c r="I3296" i="5"/>
  <c r="D3290" i="5" a="1"/>
  <c r="G3297" i="5"/>
  <c r="N3291" i="5"/>
  <c r="I3294" i="5"/>
  <c r="K3289" i="5"/>
  <c r="D3291" i="5" a="1"/>
  <c r="K3297" i="5"/>
  <c r="G3292" i="5"/>
  <c r="D3293" i="5" a="1"/>
  <c r="H3387" i="5"/>
  <c r="I3384" i="5"/>
  <c r="D3384" i="5" s="1" a="1"/>
  <c r="F3380" i="5"/>
  <c r="D3387" i="5" a="1"/>
  <c r="H3379" i="5"/>
  <c r="J3384" i="5"/>
  <c r="F3386" i="5"/>
  <c r="F3379" i="5"/>
  <c r="I3382" i="5"/>
  <c r="G3381" i="5"/>
  <c r="M3385" i="5"/>
  <c r="J3379" i="5"/>
  <c r="N3378" i="5"/>
  <c r="I3460" i="5"/>
  <c r="D3455" i="5" a="1"/>
  <c r="K3462" i="5"/>
  <c r="F3458" i="5"/>
  <c r="N3454" i="5"/>
  <c r="M3459" i="5"/>
  <c r="N3458" i="5"/>
  <c r="G3458" i="5"/>
  <c r="F3453" i="5"/>
  <c r="G3453" i="5"/>
  <c r="F3457" i="5"/>
  <c r="I3453" i="5"/>
  <c r="I3457" i="5"/>
  <c r="D3459" i="5" a="1"/>
  <c r="K3461" i="5"/>
  <c r="K3492" i="5"/>
  <c r="F3491" i="5"/>
  <c r="I3484" i="5"/>
  <c r="H3484" i="5" s="1"/>
  <c r="F3489" i="5"/>
  <c r="K3488" i="5"/>
  <c r="D3490" i="5" a="1"/>
  <c r="D3493" i="5" a="1"/>
  <c r="I3491" i="5"/>
  <c r="J3488" i="5"/>
  <c r="J3486" i="5"/>
  <c r="N3490" i="5"/>
  <c r="N3488" i="5"/>
  <c r="F3484" i="5"/>
  <c r="F3488" i="5"/>
  <c r="J3491" i="5"/>
  <c r="N3484" i="5"/>
  <c r="J3475" i="5"/>
  <c r="I3471" i="5"/>
  <c r="H3477" i="5"/>
  <c r="M3472" i="5"/>
  <c r="M3468" i="5"/>
  <c r="M3469" i="5"/>
  <c r="N3469" i="5"/>
  <c r="F3474" i="5"/>
  <c r="N3470" i="5"/>
  <c r="N3474" i="5"/>
  <c r="F3469" i="5"/>
  <c r="F3477" i="5"/>
  <c r="N3477" i="5"/>
  <c r="J3471" i="5"/>
  <c r="K3447" i="5"/>
  <c r="F3446" i="5"/>
  <c r="I3439" i="5"/>
  <c r="H3439" i="5" s="1"/>
  <c r="G3444" i="5"/>
  <c r="N3439" i="5"/>
  <c r="N3442" i="5"/>
  <c r="D3438" i="5"/>
  <c r="F3438" i="5"/>
  <c r="J3442" i="5"/>
  <c r="M3438" i="5"/>
  <c r="K3439" i="5"/>
  <c r="K3444" i="5"/>
  <c r="M3443" i="5"/>
  <c r="F3444" i="5"/>
  <c r="J3446" i="5"/>
  <c r="M3431" i="5"/>
  <c r="I3427" i="5"/>
  <c r="H3427" i="5" s="1"/>
  <c r="N3429" i="5"/>
  <c r="K3425" i="5"/>
  <c r="K3432" i="5"/>
  <c r="I3430" i="5"/>
  <c r="F3425" i="5"/>
  <c r="M3429" i="5"/>
  <c r="N3428" i="5"/>
  <c r="G3428" i="5"/>
  <c r="F3423" i="5"/>
  <c r="M3427" i="5"/>
  <c r="N3423" i="5"/>
  <c r="G3430" i="5"/>
  <c r="G3423" i="5"/>
  <c r="I3369" i="5"/>
  <c r="H3369" i="5" s="1"/>
  <c r="F3365" i="5"/>
  <c r="J3367" i="5"/>
  <c r="J3363" i="5"/>
  <c r="J3369" i="5"/>
  <c r="D3364" i="5"/>
  <c r="D3369" i="5" a="1"/>
  <c r="N3363" i="5"/>
  <c r="D3371" i="5" a="1"/>
  <c r="F3366" i="5"/>
  <c r="D3370" i="5" a="1"/>
  <c r="I3365" i="5"/>
  <c r="G3371" i="5"/>
  <c r="I3366" i="5"/>
  <c r="J3567" i="5"/>
  <c r="K3562" i="5"/>
  <c r="K3563" i="5"/>
  <c r="H3567" i="5"/>
  <c r="N3567" i="5"/>
  <c r="G3559" i="5"/>
  <c r="N3561" i="5"/>
  <c r="N3560" i="5"/>
  <c r="M3564" i="5"/>
  <c r="M3558" i="5"/>
  <c r="J3561" i="5"/>
  <c r="D3567" i="5" a="1"/>
  <c r="G3562" i="5"/>
  <c r="K3558" i="5"/>
  <c r="F3577" i="5"/>
  <c r="M3578" i="5"/>
  <c r="I3582" i="5"/>
  <c r="M3577" i="5"/>
  <c r="J3573" i="5"/>
  <c r="H3578" i="5"/>
  <c r="G3582" i="5"/>
  <c r="K3581" i="5"/>
  <c r="N3578" i="5"/>
  <c r="J3576" i="5"/>
  <c r="K3576" i="5"/>
  <c r="J3581" i="5"/>
  <c r="I3581" i="5"/>
  <c r="H3581" i="5" s="1"/>
  <c r="G3537" i="5"/>
  <c r="G3533" i="5"/>
  <c r="N3529" i="5"/>
  <c r="M3536" i="5"/>
  <c r="M3531" i="5"/>
  <c r="I3528" i="5"/>
  <c r="D3528" i="5" s="1"/>
  <c r="F3535" i="5"/>
  <c r="H3528" i="5"/>
  <c r="F3536" i="5"/>
  <c r="G3529" i="5"/>
  <c r="I3532" i="5"/>
  <c r="D3532" i="5" s="1" a="1"/>
  <c r="N3536" i="5"/>
  <c r="J3533" i="5"/>
  <c r="N3534" i="5"/>
  <c r="K3533" i="5"/>
  <c r="H3537" i="5"/>
  <c r="M3534" i="5"/>
  <c r="F3596" i="5"/>
  <c r="I3590" i="5"/>
  <c r="D3596" i="5" a="1"/>
  <c r="F3591" i="5"/>
  <c r="N3597" i="5"/>
  <c r="J3592" i="5"/>
  <c r="K3588" i="5"/>
  <c r="D3594" i="5" a="1"/>
  <c r="G3589" i="5"/>
  <c r="J3591" i="5"/>
  <c r="K3591" i="5"/>
  <c r="G3591" i="5"/>
  <c r="I3597" i="5"/>
  <c r="N3594" i="5"/>
  <c r="M3551" i="5"/>
  <c r="J3547" i="5"/>
  <c r="J3548" i="5"/>
  <c r="K3551" i="5"/>
  <c r="D3546" i="5" a="1"/>
  <c r="F3545" i="5"/>
  <c r="M3550" i="5"/>
  <c r="H3545" i="5"/>
  <c r="F3552" i="5"/>
  <c r="J3544" i="5"/>
  <c r="G3548" i="5"/>
  <c r="I3544" i="5"/>
  <c r="I3549" i="5"/>
  <c r="F3544" i="5"/>
  <c r="H3550" i="5"/>
  <c r="M3505" i="5"/>
  <c r="K3500" i="5"/>
  <c r="G3507" i="5"/>
  <c r="M3501" i="5"/>
  <c r="M3498" i="5"/>
  <c r="F3506" i="5"/>
  <c r="G3499" i="5"/>
  <c r="G3498" i="5"/>
  <c r="F3502" i="5"/>
  <c r="J3507" i="5"/>
  <c r="I3500" i="5"/>
  <c r="H3500" i="5" s="1"/>
  <c r="G3505" i="5"/>
  <c r="N3498" i="5"/>
  <c r="I3501" i="5"/>
  <c r="D3501" i="5" s="1" a="1"/>
  <c r="J3502" i="5"/>
  <c r="N3522" i="5"/>
  <c r="H3519" i="5"/>
  <c r="G3522" i="5"/>
  <c r="M3516" i="5"/>
  <c r="N3521" i="5"/>
  <c r="H3521" i="5"/>
  <c r="I3516" i="5"/>
  <c r="K3519" i="5"/>
  <c r="I3518" i="5"/>
  <c r="F3521" i="5"/>
  <c r="G3520" i="5"/>
  <c r="D3514" i="5"/>
  <c r="F3522" i="5"/>
  <c r="J3517" i="5"/>
  <c r="H3513" i="5"/>
  <c r="G3514" i="5"/>
  <c r="I3625" i="5"/>
  <c r="I3623" i="5"/>
  <c r="H3625" i="5"/>
  <c r="J3626" i="5"/>
  <c r="K3620" i="5"/>
  <c r="H3626" i="5"/>
  <c r="I3621" i="5"/>
  <c r="D3626" i="5" a="1"/>
  <c r="F3618" i="5"/>
  <c r="H3619" i="5"/>
  <c r="D3625" i="5" a="1"/>
  <c r="K3621" i="5"/>
  <c r="M3626" i="5"/>
  <c r="N3684" i="5"/>
  <c r="H3680" i="5"/>
  <c r="N3681" i="5"/>
  <c r="N3678" i="5"/>
  <c r="F3686" i="5"/>
  <c r="D3679" i="5"/>
  <c r="J3684" i="5"/>
  <c r="H3678" i="5"/>
  <c r="G3681" i="5"/>
  <c r="D3684" i="5" a="1"/>
  <c r="F3682" i="5"/>
  <c r="J3686" i="5"/>
  <c r="N3687" i="5"/>
  <c r="N3685" i="5"/>
  <c r="I3642" i="5"/>
  <c r="D3642" i="5" s="1" a="1"/>
  <c r="N3637" i="5"/>
  <c r="K3633" i="5"/>
  <c r="G3640" i="5"/>
  <c r="I3636" i="5"/>
  <c r="H3636" i="5" s="1"/>
  <c r="I3641" i="5"/>
  <c r="H3641" i="5" s="1"/>
  <c r="D3643" i="5" a="1"/>
  <c r="G3638" i="5"/>
  <c r="M3639" i="5"/>
  <c r="D3641" i="5" a="1"/>
  <c r="H3634" i="5"/>
  <c r="H3642" i="5"/>
  <c r="G3634" i="5"/>
  <c r="D3640" i="5" a="1"/>
  <c r="F3633" i="5"/>
  <c r="G3651" i="5"/>
  <c r="M3648" i="5"/>
  <c r="G3655" i="5"/>
  <c r="H3650" i="5"/>
  <c r="I3655" i="5"/>
  <c r="D3655" i="5" s="1" a="1"/>
  <c r="G3650" i="5"/>
  <c r="I3656" i="5"/>
  <c r="F3650" i="5"/>
  <c r="G3653" i="5"/>
  <c r="G3656" i="5"/>
  <c r="I3654" i="5"/>
  <c r="H3654" i="5" s="1"/>
  <c r="H3655" i="5"/>
  <c r="M3652" i="5"/>
  <c r="N3651" i="5"/>
  <c r="N3656" i="5"/>
  <c r="N3759" i="5"/>
  <c r="J3754" i="5"/>
  <c r="D3760" i="5" a="1"/>
  <c r="M3755" i="5"/>
  <c r="J3761" i="5"/>
  <c r="D3756" i="5" a="1"/>
  <c r="D3762" i="5" a="1"/>
  <c r="J3756" i="5"/>
  <c r="N3760" i="5"/>
  <c r="M3753" i="5"/>
  <c r="H3762" i="5"/>
  <c r="N3753" i="5"/>
  <c r="I3753" i="5"/>
  <c r="J3758" i="5"/>
  <c r="H3756" i="5"/>
  <c r="G3717" i="5"/>
  <c r="M3715" i="5"/>
  <c r="N3711" i="5"/>
  <c r="K3709" i="5"/>
  <c r="M3714" i="5"/>
  <c r="N3713" i="5"/>
  <c r="N3714" i="5"/>
  <c r="F3709" i="5"/>
  <c r="F3716" i="5"/>
  <c r="F3708" i="5"/>
  <c r="D3711" i="5" a="1"/>
  <c r="G3713" i="5"/>
  <c r="D3716" i="5" a="1"/>
  <c r="G3710" i="5"/>
  <c r="G3611" i="5"/>
  <c r="K3605" i="5"/>
  <c r="M3606" i="5"/>
  <c r="N3612" i="5"/>
  <c r="J3607" i="5"/>
  <c r="H3604" i="5"/>
  <c r="K3607" i="5"/>
  <c r="K3611" i="5"/>
  <c r="H3603" i="5"/>
  <c r="F3607" i="5"/>
  <c r="K3612" i="5"/>
  <c r="H3607" i="5"/>
  <c r="F3605" i="5"/>
  <c r="K3671" i="5"/>
  <c r="H3667" i="5"/>
  <c r="F3664" i="5"/>
  <c r="N3670" i="5"/>
  <c r="H3665" i="5"/>
  <c r="N3671" i="5"/>
  <c r="J3665" i="5"/>
  <c r="F3668" i="5"/>
  <c r="I3664" i="5"/>
  <c r="D3664" i="5" s="1"/>
  <c r="N3666" i="5"/>
  <c r="N3667" i="5"/>
  <c r="D3670" i="5" a="1"/>
  <c r="D3672" i="5" a="1"/>
  <c r="M3664" i="5"/>
  <c r="H3670" i="5"/>
  <c r="M3667" i="5"/>
  <c r="F3665" i="5"/>
  <c r="I3775" i="5"/>
  <c r="D3775" i="5" s="1" a="1"/>
  <c r="M3776" i="5"/>
  <c r="N3770" i="5"/>
  <c r="N3775" i="5"/>
  <c r="J3770" i="5"/>
  <c r="I3776" i="5"/>
  <c r="M3769" i="5"/>
  <c r="K3774" i="5"/>
  <c r="N3769" i="5"/>
  <c r="M3773" i="5"/>
  <c r="M3768" i="5"/>
  <c r="J3821" i="5"/>
  <c r="K3821" i="5"/>
  <c r="G3822" i="5"/>
  <c r="M3816" i="5"/>
  <c r="J3814" i="5"/>
  <c r="N3819" i="5"/>
  <c r="G3815" i="5"/>
  <c r="N3821" i="5"/>
  <c r="K3822" i="5"/>
  <c r="K3813" i="5"/>
  <c r="H3818" i="5"/>
  <c r="F3815" i="5"/>
  <c r="F3821" i="5"/>
  <c r="K3820" i="5"/>
  <c r="F3814" i="5"/>
  <c r="K3702" i="5"/>
  <c r="D3697" i="5" a="1"/>
  <c r="J3694" i="5"/>
  <c r="D3701" i="5" a="1"/>
  <c r="N3696" i="5"/>
  <c r="M3702" i="5"/>
  <c r="N3695" i="5"/>
  <c r="M3700" i="5"/>
  <c r="M3694" i="5"/>
  <c r="H3697" i="5"/>
  <c r="F3702" i="5"/>
  <c r="N3698" i="5"/>
  <c r="K3697" i="5"/>
  <c r="H3698" i="5"/>
  <c r="I3791" i="5"/>
  <c r="D3791" i="5" s="1" a="1"/>
  <c r="J3787" i="5"/>
  <c r="J3788" i="5"/>
  <c r="J3791" i="5"/>
  <c r="G3787" i="5"/>
  <c r="N3788" i="5"/>
  <c r="I3783" i="5"/>
  <c r="H3785" i="5"/>
  <c r="N3789" i="5"/>
  <c r="H3784" i="5"/>
  <c r="I3787" i="5"/>
  <c r="J3790" i="5"/>
  <c r="D3784" i="5"/>
  <c r="D3788" i="5" a="1"/>
  <c r="G3789" i="5"/>
  <c r="I3731" i="5"/>
  <c r="G3724" i="5"/>
  <c r="F3730" i="5"/>
  <c r="I3724" i="5"/>
  <c r="N3729" i="5"/>
  <c r="M3728" i="5"/>
  <c r="H3730" i="5"/>
  <c r="J3732" i="5"/>
  <c r="F3723" i="5"/>
  <c r="G3727" i="5"/>
  <c r="N3731" i="5"/>
  <c r="D3724" i="5"/>
  <c r="F3728" i="5"/>
  <c r="J3731" i="5"/>
  <c r="F3745" i="5"/>
  <c r="G3740" i="5"/>
  <c r="I3745" i="5"/>
  <c r="F3741" i="5"/>
  <c r="N3746" i="5"/>
  <c r="J3740" i="5"/>
  <c r="H3746" i="5"/>
  <c r="J3741" i="5"/>
  <c r="F3740" i="5"/>
  <c r="G3741" i="5"/>
  <c r="G3742" i="5"/>
  <c r="I3743" i="5"/>
  <c r="H3743" i="5" s="1"/>
  <c r="M3740" i="5"/>
  <c r="N3740" i="5"/>
  <c r="J3805" i="5"/>
  <c r="K3801" i="5"/>
  <c r="N3803" i="5"/>
  <c r="D3807" i="5" a="1"/>
  <c r="F3801" i="5"/>
  <c r="H3806" i="5"/>
  <c r="G3798" i="5"/>
  <c r="J3801" i="5"/>
  <c r="K3805" i="5"/>
  <c r="D3799" i="5"/>
  <c r="G3802" i="5"/>
  <c r="K3807" i="5"/>
  <c r="D3800" i="5" a="1"/>
  <c r="J3804" i="5"/>
  <c r="I3866" i="5"/>
  <c r="H3866" i="5" s="1"/>
  <c r="G3859" i="5"/>
  <c r="D3866" i="5" a="1"/>
  <c r="I3862" i="5"/>
  <c r="H3858" i="5"/>
  <c r="F3866" i="5"/>
  <c r="I3860" i="5"/>
  <c r="H3864" i="5"/>
  <c r="K3859" i="5"/>
  <c r="G3862" i="5"/>
  <c r="G3861" i="5"/>
  <c r="D3865" i="5" a="1"/>
  <c r="J3864" i="5"/>
  <c r="J3866" i="5"/>
  <c r="N3835" i="5"/>
  <c r="H3831" i="5"/>
  <c r="F3828" i="5"/>
  <c r="G3835" i="5"/>
  <c r="J3831" i="5"/>
  <c r="G3828" i="5"/>
  <c r="D3834" i="5" a="1"/>
  <c r="D3837" i="5" a="1"/>
  <c r="I3830" i="5"/>
  <c r="D3832" i="5" a="1"/>
  <c r="G3836" i="5"/>
  <c r="M3828" i="5"/>
  <c r="K3838" i="5"/>
  <c r="N3837" i="5"/>
  <c r="N3832" i="5"/>
  <c r="D3829" i="5"/>
  <c r="I3849" i="5"/>
  <c r="D3849" i="5" s="1" a="1"/>
  <c r="G3845" i="5"/>
  <c r="F3850" i="5"/>
  <c r="D3853" i="5" a="1"/>
  <c r="I3852" i="5"/>
  <c r="H3852" i="5" s="1"/>
  <c r="M3847" i="5"/>
  <c r="J3843" i="5"/>
  <c r="N3844" i="5"/>
  <c r="F3847" i="5"/>
  <c r="G3846" i="5"/>
  <c r="F3843" i="5"/>
  <c r="D3852" i="5" a="1"/>
  <c r="J3849" i="5"/>
  <c r="K3849" i="5"/>
  <c r="F3852" i="5"/>
  <c r="H3396" i="5"/>
  <c r="H3398" i="5"/>
  <c r="I3402" i="5"/>
  <c r="H3402" i="5" s="1"/>
  <c r="D3402" i="5" a="1"/>
  <c r="M3396" i="5"/>
  <c r="I3281" i="5"/>
  <c r="G3274" i="5"/>
  <c r="I3280" i="5"/>
  <c r="I3279" i="5"/>
  <c r="I3278" i="5"/>
  <c r="G3281" i="5"/>
  <c r="H3275" i="5"/>
  <c r="D3282" i="5" a="1"/>
  <c r="I3277" i="5"/>
  <c r="D3273" i="5"/>
  <c r="J3281" i="5"/>
  <c r="F3281" i="5"/>
  <c r="K3276" i="5"/>
  <c r="M3274" i="5"/>
  <c r="F3295" i="5"/>
  <c r="G3290" i="5"/>
  <c r="K3295" i="5"/>
  <c r="I3295" i="5"/>
  <c r="F3291" i="5"/>
  <c r="H3297" i="5"/>
  <c r="M3292" i="5"/>
  <c r="M3288" i="5"/>
  <c r="N3294" i="5"/>
  <c r="K3290" i="5"/>
  <c r="M3295" i="5"/>
  <c r="N3295" i="5"/>
  <c r="N3292" i="5"/>
  <c r="J3290" i="5"/>
  <c r="N3288" i="5"/>
  <c r="G3387" i="5"/>
  <c r="F3384" i="5"/>
  <c r="D3388" i="5" a="1"/>
  <c r="K3386" i="5"/>
  <c r="K3381" i="5"/>
  <c r="J3378" i="5"/>
  <c r="F3385" i="5"/>
  <c r="G3382" i="5"/>
  <c r="K3378" i="5"/>
  <c r="N3381" i="5"/>
  <c r="N3387" i="5"/>
  <c r="H3380" i="5"/>
  <c r="H3384" i="5"/>
  <c r="M3378" i="5"/>
  <c r="M3382" i="5"/>
  <c r="I3378" i="5"/>
  <c r="H3459" i="5"/>
  <c r="K3454" i="5"/>
  <c r="J3461" i="5"/>
  <c r="G3457" i="5"/>
  <c r="N3453" i="5"/>
  <c r="H3454" i="5"/>
  <c r="K3457" i="5"/>
  <c r="H3462" i="5"/>
  <c r="H3456" i="5"/>
  <c r="K3456" i="5"/>
  <c r="D3462" i="5" a="1"/>
  <c r="F3456" i="5"/>
  <c r="M3454" i="5"/>
  <c r="D3456" i="5" a="1"/>
  <c r="I3492" i="5"/>
  <c r="M3487" i="5"/>
  <c r="J3483" i="5"/>
  <c r="K3487" i="5"/>
  <c r="K3484" i="5"/>
  <c r="I3489" i="5"/>
  <c r="M3484" i="5"/>
  <c r="G3489" i="5"/>
  <c r="N3483" i="5"/>
  <c r="G3485" i="5"/>
  <c r="M3489" i="5"/>
  <c r="D3484" i="5"/>
  <c r="F3490" i="5"/>
  <c r="D3483" i="5"/>
  <c r="D3487" i="5" a="1"/>
  <c r="J3490" i="5"/>
  <c r="K3483" i="5"/>
  <c r="D3474" i="5" a="1"/>
  <c r="N3476" i="5"/>
  <c r="G3471" i="5"/>
  <c r="D3468" i="5"/>
  <c r="N3472" i="5"/>
  <c r="K3476" i="5"/>
  <c r="D3469" i="5"/>
  <c r="D3477" i="5" a="1"/>
  <c r="I3470" i="5"/>
  <c r="F3476" i="5"/>
  <c r="J3468" i="5"/>
  <c r="J3472" i="5"/>
  <c r="H3476" i="5"/>
  <c r="N3473" i="5"/>
  <c r="I3447" i="5"/>
  <c r="M3442" i="5"/>
  <c r="J3438" i="5"/>
  <c r="F3443" i="5"/>
  <c r="G3439" i="5"/>
  <c r="I3442" i="5"/>
  <c r="N3447" i="5"/>
  <c r="G3441" i="5"/>
  <c r="N3441" i="5"/>
  <c r="K3442" i="5"/>
  <c r="N3438" i="5"/>
  <c r="F3445" i="5"/>
  <c r="F3439" i="5"/>
  <c r="D3439" i="5"/>
  <c r="K3440" i="5"/>
  <c r="D3431" i="5" a="1"/>
  <c r="K3426" i="5"/>
  <c r="G3429" i="5"/>
  <c r="I3425" i="5"/>
  <c r="J3431" i="5"/>
  <c r="I3428" i="5"/>
  <c r="K3429" i="5"/>
  <c r="M3428" i="5"/>
  <c r="F3432" i="5"/>
  <c r="I3424" i="5"/>
  <c r="D3427" i="5" a="1"/>
  <c r="F3427" i="5"/>
  <c r="I3423" i="5"/>
  <c r="G3368" i="5"/>
  <c r="D3372" i="5" a="1"/>
  <c r="I3367" i="5"/>
  <c r="F3370" i="5"/>
  <c r="M3367" i="5"/>
  <c r="I3363" i="5"/>
  <c r="G3365" i="5"/>
  <c r="M3370" i="5"/>
  <c r="H3365" i="5"/>
  <c r="N3369" i="5"/>
  <c r="M3368" i="5"/>
  <c r="G3370" i="5"/>
  <c r="D3365" i="5" a="1"/>
  <c r="K3567" i="5"/>
  <c r="M3566" i="5"/>
  <c r="I3562" i="5"/>
  <c r="H3559" i="5"/>
  <c r="J3566" i="5"/>
  <c r="G3567" i="5"/>
  <c r="J3558" i="5"/>
  <c r="M3560" i="5"/>
  <c r="I3566" i="5"/>
  <c r="J3563" i="5"/>
  <c r="G3563" i="5"/>
  <c r="G3558" i="5"/>
  <c r="D3560" i="5" a="1"/>
  <c r="D3565" i="5" a="1"/>
  <c r="M3561" i="5"/>
  <c r="I3563" i="5"/>
  <c r="M3580" i="5"/>
  <c r="N3576" i="5"/>
  <c r="K3574" i="5"/>
  <c r="G3581" i="5"/>
  <c r="M3576" i="5"/>
  <c r="N3582" i="5"/>
  <c r="I3576" i="5"/>
  <c r="H3576" i="5" s="1"/>
  <c r="N3581" i="5"/>
  <c r="D3576" i="5" a="1"/>
  <c r="D3579" i="5" a="1"/>
  <c r="H3574" i="5"/>
  <c r="F3575" i="5"/>
  <c r="D3583" i="5" a="1"/>
  <c r="J3579" i="5"/>
  <c r="K3579" i="5"/>
  <c r="D3581" i="5" a="1"/>
  <c r="K3536" i="5"/>
  <c r="H3532" i="5"/>
  <c r="F3529" i="5"/>
  <c r="I3535" i="5"/>
  <c r="K3530" i="5"/>
  <c r="F3532" i="5"/>
  <c r="G3532" i="5"/>
  <c r="J3528" i="5"/>
  <c r="F3531" i="5"/>
  <c r="M3535" i="5"/>
  <c r="K3528" i="5"/>
  <c r="F3534" i="5"/>
  <c r="K3529" i="5"/>
  <c r="N3531" i="5"/>
  <c r="G3534" i="5"/>
  <c r="M3592" i="5"/>
  <c r="D3593" i="5" a="1"/>
  <c r="M3595" i="5"/>
  <c r="F3590" i="5"/>
  <c r="M3596" i="5"/>
  <c r="I3592" i="5"/>
  <c r="D3588" i="5"/>
  <c r="F3593" i="5"/>
  <c r="H3596" i="5"/>
  <c r="G3588" i="5"/>
  <c r="N3590" i="5"/>
  <c r="M3593" i="5"/>
  <c r="N3593" i="5"/>
  <c r="K3589" i="5"/>
  <c r="M3594" i="5"/>
  <c r="G3592" i="5"/>
  <c r="I3551" i="5"/>
  <c r="G3544" i="5"/>
  <c r="J3550" i="5"/>
  <c r="K3545" i="5"/>
  <c r="K3552" i="5"/>
  <c r="D3548" i="5" a="1"/>
  <c r="K3549" i="5"/>
  <c r="N3544" i="5"/>
  <c r="K3547" i="5"/>
  <c r="M3543" i="5"/>
  <c r="D3547" i="5" a="1"/>
  <c r="F3543" i="5"/>
  <c r="M3547" i="5"/>
  <c r="I3543" i="5"/>
  <c r="I3505" i="5"/>
  <c r="D3500" i="5" a="1"/>
  <c r="D3506" i="5" a="1"/>
  <c r="F3501" i="5"/>
  <c r="H3502" i="5"/>
  <c r="J3498" i="5"/>
  <c r="D3502" i="5" a="1"/>
  <c r="K3501" i="5"/>
  <c r="K3506" i="5"/>
  <c r="J3503" i="5"/>
  <c r="J3504" i="5"/>
  <c r="H3506" i="5"/>
  <c r="H3501" i="5"/>
  <c r="D3522" i="5" a="1"/>
  <c r="F3518" i="5"/>
  <c r="I3515" i="5"/>
  <c r="D3521" i="5" a="1"/>
  <c r="D3523" i="5" a="1"/>
  <c r="N3520" i="5"/>
  <c r="H3520" i="5"/>
  <c r="K3515" i="5"/>
  <c r="F3520" i="5"/>
  <c r="H3517" i="5"/>
  <c r="G3518" i="5"/>
  <c r="G3513" i="5"/>
  <c r="J3515" i="5"/>
  <c r="G3515" i="5"/>
  <c r="J3516" i="5"/>
  <c r="F3513" i="5"/>
  <c r="N3624" i="5"/>
  <c r="J3619" i="5"/>
  <c r="M3624" i="5"/>
  <c r="I3620" i="5"/>
  <c r="H3620" i="5" s="1"/>
  <c r="J3625" i="5"/>
  <c r="K3623" i="5"/>
  <c r="G3625" i="5"/>
  <c r="D3620" i="5" a="1"/>
  <c r="F3625" i="5"/>
  <c r="G3627" i="5"/>
  <c r="N3626" i="5"/>
  <c r="D3618" i="5"/>
  <c r="N3625" i="5"/>
  <c r="G3622" i="5"/>
  <c r="M3623" i="5"/>
  <c r="D3624" i="5" a="1"/>
  <c r="J3687" i="5"/>
  <c r="F3685" i="5"/>
  <c r="G3687" i="5"/>
  <c r="F3681" i="5"/>
  <c r="G3678" i="5"/>
  <c r="F3683" i="5"/>
  <c r="F3678" i="5"/>
  <c r="N3682" i="5"/>
  <c r="K3687" i="5"/>
  <c r="D3680" i="5" a="1"/>
  <c r="J3680" i="5"/>
  <c r="K3680" i="5"/>
  <c r="I3685" i="5"/>
  <c r="H3686" i="5"/>
  <c r="G3684" i="5"/>
  <c r="J3678" i="5"/>
  <c r="I3683" i="5"/>
  <c r="G3641" i="5"/>
  <c r="N3636" i="5"/>
  <c r="D3633" i="5"/>
  <c r="N3639" i="5"/>
  <c r="I3635" i="5"/>
  <c r="J3642" i="5"/>
  <c r="D3636" i="5" a="1"/>
  <c r="I3639" i="5"/>
  <c r="I3638" i="5"/>
  <c r="I3637" i="5"/>
  <c r="F3639" i="5"/>
  <c r="H3640" i="5"/>
  <c r="G3633" i="5"/>
  <c r="J3639" i="5"/>
  <c r="K3640" i="5"/>
  <c r="J3637" i="5"/>
  <c r="J3654" i="5"/>
  <c r="F3651" i="5"/>
  <c r="D3648" i="5"/>
  <c r="D3654" i="5" a="1"/>
  <c r="M3654" i="5"/>
  <c r="N3649" i="5"/>
  <c r="K3655" i="5"/>
  <c r="I3653" i="5"/>
  <c r="N3650" i="5"/>
  <c r="F3654" i="5"/>
  <c r="D3652" i="5" a="1"/>
  <c r="K3652" i="5"/>
  <c r="H3648" i="5"/>
  <c r="J3653" i="5"/>
  <c r="K3762" i="5"/>
  <c r="F3761" i="5"/>
  <c r="I3754" i="5"/>
  <c r="J3759" i="5"/>
  <c r="H3760" i="5"/>
  <c r="D3755" i="5" a="1"/>
  <c r="I3761" i="5"/>
  <c r="K3755" i="5"/>
  <c r="I3759" i="5"/>
  <c r="N3762" i="5"/>
  <c r="G3760" i="5"/>
  <c r="K3761" i="5"/>
  <c r="F3753" i="5"/>
  <c r="K3754" i="5"/>
  <c r="D3758" i="5" a="1"/>
  <c r="K3716" i="5"/>
  <c r="D3715" i="5" a="1"/>
  <c r="F3711" i="5"/>
  <c r="K3708" i="5"/>
  <c r="J3712" i="5"/>
  <c r="I3709" i="5"/>
  <c r="H3709" i="5" s="1"/>
  <c r="F3717" i="5"/>
  <c r="J3709" i="5"/>
  <c r="F3715" i="5"/>
  <c r="J3708" i="5"/>
  <c r="I3712" i="5"/>
  <c r="F3710" i="5"/>
  <c r="M3712" i="5"/>
  <c r="I3717" i="5"/>
  <c r="D3709" i="5"/>
  <c r="I3610" i="5"/>
  <c r="M3608" i="5"/>
  <c r="K3610" i="5"/>
  <c r="F3606" i="5"/>
  <c r="I3611" i="5"/>
  <c r="K3606" i="5"/>
  <c r="J3603" i="5"/>
  <c r="H3608" i="5"/>
  <c r="M3607" i="5"/>
  <c r="I3606" i="5"/>
  <c r="G3610" i="5"/>
  <c r="J3605" i="5"/>
  <c r="M3603" i="5"/>
  <c r="M3610" i="5"/>
  <c r="N3610" i="5"/>
  <c r="I3671" i="5"/>
  <c r="N3663" i="5"/>
  <c r="D3669" i="5" a="1"/>
  <c r="M3668" i="5"/>
  <c r="M3670" i="5"/>
  <c r="H3664" i="5"/>
  <c r="D3667" i="5" a="1"/>
  <c r="D3663" i="5"/>
  <c r="K3665" i="5"/>
  <c r="J3666" i="5"/>
  <c r="F3669" i="5"/>
  <c r="J3669" i="5"/>
  <c r="G3671" i="5"/>
  <c r="K3667" i="5"/>
  <c r="D3665" i="5" a="1"/>
  <c r="J3663" i="5"/>
  <c r="H3774" i="5"/>
  <c r="K3769" i="5"/>
  <c r="J3775" i="5"/>
  <c r="M3770" i="5"/>
  <c r="D3777" i="5" a="1"/>
  <c r="G3777" i="5"/>
  <c r="I3770" i="5"/>
  <c r="D3770" i="5" s="1" a="1"/>
  <c r="G3775" i="5"/>
  <c r="H3775" i="5"/>
  <c r="D3778" i="5" a="1"/>
  <c r="D3774" i="5" a="1"/>
  <c r="N3768" i="5"/>
  <c r="F3773" i="5"/>
  <c r="I3771" i="5"/>
  <c r="M3771" i="5"/>
  <c r="H3770" i="5"/>
  <c r="H3821" i="5"/>
  <c r="N3820" i="5"/>
  <c r="M3821" i="5"/>
  <c r="I3822" i="5"/>
  <c r="D3816" i="5" a="1"/>
  <c r="J3813" i="5"/>
  <c r="F3819" i="5"/>
  <c r="D3823" i="5" a="1"/>
  <c r="F3820" i="5"/>
  <c r="H3820" i="5"/>
  <c r="M3822" i="5"/>
  <c r="N3814" i="5"/>
  <c r="K3815" i="5"/>
  <c r="M3818" i="5"/>
  <c r="H3815" i="5"/>
  <c r="F3822" i="5"/>
  <c r="N3701" i="5"/>
  <c r="M3696" i="5"/>
  <c r="I3694" i="5"/>
  <c r="I3700" i="5"/>
  <c r="H3700" i="5" s="1"/>
  <c r="F3696" i="5"/>
  <c r="G3701" i="5"/>
  <c r="N3694" i="5"/>
  <c r="I3699" i="5"/>
  <c r="H3693" i="5"/>
  <c r="H3696" i="5"/>
  <c r="J3696" i="5"/>
  <c r="J3701" i="5"/>
  <c r="I3702" i="5"/>
  <c r="M3695" i="5"/>
  <c r="D3700" i="5" a="1"/>
  <c r="F3695" i="5"/>
  <c r="K3693" i="5"/>
  <c r="H3790" i="5"/>
  <c r="G3784" i="5"/>
  <c r="M3790" i="5"/>
  <c r="F3787" i="5"/>
  <c r="M3784" i="5"/>
  <c r="K3792" i="5"/>
  <c r="F3784" i="5"/>
  <c r="F3790" i="5"/>
  <c r="F3783" i="5"/>
  <c r="I3786" i="5"/>
  <c r="K3789" i="5"/>
  <c r="H3791" i="5"/>
  <c r="K3788" i="5"/>
  <c r="M3787" i="5"/>
  <c r="G3730" i="5"/>
  <c r="J3726" i="5"/>
  <c r="N3723" i="5"/>
  <c r="D3727" i="5" a="1"/>
  <c r="M3723" i="5"/>
  <c r="F3732" i="5"/>
  <c r="H3724" i="5"/>
  <c r="J3729" i="5"/>
  <c r="K3731" i="5"/>
  <c r="K3732" i="5"/>
  <c r="N3724" i="5"/>
  <c r="J3725" i="5"/>
  <c r="J3730" i="5"/>
  <c r="D3723" i="5"/>
  <c r="H3726" i="5"/>
  <c r="K3727" i="5"/>
  <c r="J3747" i="5"/>
  <c r="K3742" i="5"/>
  <c r="K3743" i="5"/>
  <c r="J3744" i="5"/>
  <c r="D3748" i="5" a="1"/>
  <c r="M3745" i="5"/>
  <c r="I3740" i="5"/>
  <c r="N3745" i="5"/>
  <c r="K3740" i="5"/>
  <c r="D3747" i="5" a="1"/>
  <c r="N3743" i="5"/>
  <c r="M3739" i="5"/>
  <c r="D3743" i="5" a="1"/>
  <c r="D3741" i="5" a="1"/>
  <c r="I3739" i="5"/>
  <c r="M3743" i="5"/>
  <c r="N3739" i="5"/>
  <c r="M3804" i="5"/>
  <c r="D3801" i="5" a="1"/>
  <c r="G3807" i="5"/>
  <c r="G3803" i="5"/>
  <c r="N3799" i="5"/>
  <c r="D3806" i="5" a="1"/>
  <c r="G3800" i="5"/>
  <c r="I3805" i="5"/>
  <c r="M3800" i="5"/>
  <c r="F3807" i="5"/>
  <c r="I3798" i="5"/>
  <c r="G3801" i="5"/>
  <c r="M3806" i="5"/>
  <c r="M3803" i="5"/>
  <c r="F3803" i="5"/>
  <c r="G3865" i="5"/>
  <c r="J3861" i="5"/>
  <c r="N3858" i="5"/>
  <c r="J3865" i="5"/>
  <c r="K3861" i="5"/>
  <c r="M3862" i="5"/>
  <c r="D3863" i="5" a="1"/>
  <c r="M3867" i="5"/>
  <c r="F3867" i="5"/>
  <c r="I3859" i="5"/>
  <c r="F3860" i="5"/>
  <c r="N3863" i="5"/>
  <c r="H3863" i="5"/>
  <c r="F3861" i="5"/>
  <c r="G3863" i="5"/>
  <c r="K3834" i="5"/>
  <c r="M3830" i="5"/>
  <c r="G3838" i="5"/>
  <c r="M3834" i="5"/>
  <c r="N3830" i="5"/>
  <c r="J3838" i="5"/>
  <c r="F3835" i="5"/>
  <c r="G3830" i="5"/>
  <c r="M3835" i="5"/>
  <c r="M3829" i="5"/>
  <c r="D3831" i="5" a="1"/>
  <c r="G3834" i="5"/>
  <c r="J3836" i="5"/>
  <c r="K3835" i="5"/>
  <c r="I3835" i="5"/>
  <c r="J3830" i="5"/>
  <c r="F3849" i="5"/>
  <c r="F3845" i="5"/>
  <c r="J3852" i="5"/>
  <c r="K3847" i="5"/>
  <c r="K3848" i="5"/>
  <c r="G3851" i="5"/>
  <c r="M3846" i="5"/>
  <c r="G3852" i="5"/>
  <c r="N3843" i="5"/>
  <c r="F3846" i="5"/>
  <c r="M3843" i="5"/>
  <c r="N3852" i="5"/>
  <c r="H3849" i="5"/>
  <c r="N3846" i="5"/>
  <c r="H3848" i="5"/>
  <c r="H6" i="5"/>
  <c r="D6" i="5" a="1"/>
  <c r="H96" i="5"/>
  <c r="D96" i="5" a="1"/>
  <c r="H186" i="5"/>
  <c r="D186" i="5" a="1"/>
  <c r="H276" i="5"/>
  <c r="D276" i="5" a="1"/>
  <c r="H366" i="5"/>
  <c r="D366" i="5" a="1"/>
  <c r="H53" i="5"/>
  <c r="D53" i="5" a="1"/>
  <c r="H143" i="5"/>
  <c r="D143" i="5" a="1"/>
  <c r="H233" i="5"/>
  <c r="D233" i="5" a="1"/>
  <c r="H323" i="5"/>
  <c r="D323" i="5" a="1"/>
  <c r="H413" i="5"/>
  <c r="D413" i="5" a="1"/>
  <c r="H608" i="5"/>
  <c r="D608" i="5" a="1"/>
  <c r="H878" i="5"/>
  <c r="D878" i="5" a="1"/>
  <c r="H1133" i="5"/>
  <c r="D1133" i="5" a="1"/>
  <c r="H1686" i="5"/>
  <c r="D1686" i="5" a="1"/>
  <c r="D163" i="5" a="1"/>
  <c r="D433" i="5" a="1"/>
  <c r="H113" i="5"/>
  <c r="D113" i="5" a="1"/>
  <c r="H131" i="5"/>
  <c r="D131" i="5" a="1"/>
  <c r="H383" i="5"/>
  <c r="D383" i="5" a="1"/>
  <c r="H401" i="5"/>
  <c r="D401" i="5" a="1"/>
  <c r="H548" i="5"/>
  <c r="D548" i="5" a="1"/>
  <c r="H638" i="5"/>
  <c r="D638" i="5" a="1"/>
  <c r="H728" i="5"/>
  <c r="D728" i="5" a="1"/>
  <c r="H818" i="5"/>
  <c r="D818" i="5" a="1"/>
  <c r="H908" i="5"/>
  <c r="D908" i="5" a="1"/>
  <c r="D1003" i="5" a="1"/>
  <c r="D493" i="5" a="1"/>
  <c r="D579" i="5" a="1"/>
  <c r="H579" i="5"/>
  <c r="H663" i="5"/>
  <c r="D663" i="5"/>
  <c r="D763" i="5" a="1"/>
  <c r="D849" i="5" a="1"/>
  <c r="H849" i="5"/>
  <c r="H933" i="5"/>
  <c r="D933" i="5"/>
  <c r="H519" i="5"/>
  <c r="D519" i="5" a="1"/>
  <c r="D515" i="5" a="1"/>
  <c r="H515" i="5"/>
  <c r="D621" i="5" a="1"/>
  <c r="H621" i="5"/>
  <c r="D712" i="5" a="1"/>
  <c r="H712" i="5"/>
  <c r="H789" i="5"/>
  <c r="D789" i="5" a="1"/>
  <c r="D785" i="5" a="1"/>
  <c r="H785" i="5"/>
  <c r="D891" i="5" a="1"/>
  <c r="H891" i="5"/>
  <c r="D982" i="5" a="1"/>
  <c r="H982" i="5"/>
  <c r="H1043" i="5"/>
  <c r="D1043" i="5" a="1"/>
  <c r="D1168" i="5" a="1"/>
  <c r="D1344" i="5" a="1"/>
  <c r="H1344" i="5"/>
  <c r="H1103" i="5"/>
  <c r="D1103" i="5" a="1"/>
  <c r="D1116" i="5" a="1"/>
  <c r="H1116" i="5"/>
  <c r="D1297" i="5" a="1"/>
  <c r="H1297" i="5"/>
  <c r="H1374" i="5"/>
  <c r="D1374" i="5" a="1"/>
  <c r="D1370" i="5" a="1"/>
  <c r="H1370" i="5"/>
  <c r="D1393" i="5" a="1"/>
  <c r="H1523" i="5"/>
  <c r="D1523" i="5" a="1"/>
  <c r="D1663" i="5" a="1"/>
  <c r="H1593" i="5"/>
  <c r="D1593" i="5"/>
  <c r="H1596" i="5"/>
  <c r="D1596" i="5" a="1"/>
  <c r="D1543" i="5" a="1"/>
  <c r="H69" i="5"/>
  <c r="D69" i="5" a="1"/>
  <c r="D70" i="5" a="1"/>
  <c r="H70" i="5"/>
  <c r="D65" i="5" a="1"/>
  <c r="H65" i="5"/>
  <c r="H85" i="5"/>
  <c r="D85" i="5" a="1"/>
  <c r="D259" i="5"/>
  <c r="H259" i="5"/>
  <c r="H339" i="5"/>
  <c r="D339" i="5" a="1"/>
  <c r="D340" i="5" a="1"/>
  <c r="H340" i="5"/>
  <c r="D335" i="5" a="1"/>
  <c r="H335" i="5"/>
  <c r="H355" i="5"/>
  <c r="D355" i="5" a="1"/>
  <c r="D43" i="5" a="1"/>
  <c r="H298" i="5"/>
  <c r="D313" i="5" a="1"/>
  <c r="H313" i="5"/>
  <c r="H551" i="5"/>
  <c r="D551" i="5" a="1"/>
  <c r="H641" i="5"/>
  <c r="D641" i="5" a="1"/>
  <c r="H731" i="5"/>
  <c r="D731" i="5" a="1"/>
  <c r="H821" i="5"/>
  <c r="D821" i="5" a="1"/>
  <c r="H911" i="5"/>
  <c r="D911" i="5" a="1"/>
  <c r="D994" i="5"/>
  <c r="H994" i="5"/>
  <c r="H488" i="5"/>
  <c r="D488" i="5" a="1"/>
  <c r="H758" i="5"/>
  <c r="D758" i="5" a="1"/>
  <c r="D500" i="5" a="1"/>
  <c r="H500" i="5"/>
  <c r="D590" i="5" a="1"/>
  <c r="H590" i="5"/>
  <c r="D680" i="5" a="1"/>
  <c r="H680" i="5"/>
  <c r="D770" i="5" a="1"/>
  <c r="H770" i="5"/>
  <c r="D860" i="5" a="1"/>
  <c r="H860" i="5"/>
  <c r="D950" i="5" a="1"/>
  <c r="H950" i="5"/>
  <c r="D538" i="5" a="1"/>
  <c r="D530" i="5" a="1"/>
  <c r="H530" i="5"/>
  <c r="H698" i="5"/>
  <c r="D698" i="5" a="1"/>
  <c r="D702" i="5" a="1"/>
  <c r="H702" i="5"/>
  <c r="D808" i="5" a="1"/>
  <c r="D800" i="5" a="1"/>
  <c r="H800" i="5"/>
  <c r="H968" i="5"/>
  <c r="D968" i="5" a="1"/>
  <c r="D972" i="5" a="1"/>
  <c r="H972" i="5"/>
  <c r="H1046" i="5"/>
  <c r="D1046" i="5" a="1"/>
  <c r="D1225" i="5" a="1"/>
  <c r="H1225" i="5"/>
  <c r="D1310" i="5" a="1"/>
  <c r="H1310" i="5"/>
  <c r="D1399" i="5"/>
  <c r="H1399" i="5"/>
  <c r="D1497" i="5" a="1"/>
  <c r="H1497" i="5"/>
  <c r="H1068" i="5"/>
  <c r="D1068" i="5"/>
  <c r="H1144" i="5"/>
  <c r="D1144" i="5"/>
  <c r="H1163" i="5"/>
  <c r="D1163" i="5" a="1"/>
  <c r="D1258" i="5" a="1"/>
  <c r="D1328" i="5" a="1"/>
  <c r="H1328" i="5"/>
  <c r="D1434" i="5" a="1"/>
  <c r="H1434" i="5"/>
  <c r="D1090" i="5" a="1"/>
  <c r="H1090" i="5"/>
  <c r="D1175" i="5" a="1"/>
  <c r="H1175" i="5"/>
  <c r="D1362" i="5" a="1"/>
  <c r="H1362" i="5"/>
  <c r="D1512" i="5" a="1"/>
  <c r="H1512" i="5"/>
  <c r="H1014" i="5"/>
  <c r="D1014" i="5" a="1"/>
  <c r="D1015" i="5" a="1"/>
  <c r="H1015" i="5"/>
  <c r="D1010" i="5" a="1"/>
  <c r="H1010" i="5"/>
  <c r="H1193" i="5"/>
  <c r="D1193" i="5" a="1"/>
  <c r="D1197" i="5" a="1"/>
  <c r="H1197" i="5"/>
  <c r="D1206" i="5" a="1"/>
  <c r="H1206" i="5"/>
  <c r="D1204" i="5"/>
  <c r="H1204" i="5"/>
  <c r="D1387" i="5" a="1"/>
  <c r="H1387" i="5"/>
  <c r="H1468" i="5"/>
  <c r="H1464" i="5"/>
  <c r="D1464" i="5" a="1"/>
  <c r="D1465" i="5" a="1"/>
  <c r="H1465" i="5"/>
  <c r="D1460" i="5" a="1"/>
  <c r="H1460" i="5"/>
  <c r="D1483" i="5" a="1"/>
  <c r="D1475" i="5" a="1"/>
  <c r="H1475" i="5"/>
  <c r="H1585" i="5"/>
  <c r="D1585" i="5" a="1"/>
  <c r="D1670" i="5" a="1"/>
  <c r="H1670" i="5"/>
  <c r="H1746" i="5"/>
  <c r="D1746" i="5" a="1"/>
  <c r="D1748" i="5" a="1"/>
  <c r="H1748" i="5"/>
  <c r="D1752" i="5" a="1"/>
  <c r="H1752" i="5"/>
  <c r="D1753" i="5" a="1"/>
  <c r="H1778" i="5"/>
  <c r="D1778" i="5" a="1"/>
  <c r="H67" i="5"/>
  <c r="D67" i="5" a="1"/>
  <c r="D154" i="5"/>
  <c r="H154" i="5"/>
  <c r="D170" i="5" a="1"/>
  <c r="H170" i="5"/>
  <c r="D176" i="5" a="1"/>
  <c r="H176" i="5"/>
  <c r="H246" i="5"/>
  <c r="D246" i="5" a="1"/>
  <c r="D248" i="5" a="1"/>
  <c r="H248" i="5"/>
  <c r="D252" i="5" a="1"/>
  <c r="H252" i="5"/>
  <c r="D253" i="5" a="1"/>
  <c r="H267" i="5"/>
  <c r="D267" i="5" a="1"/>
  <c r="H337" i="5"/>
  <c r="D337" i="5" a="1"/>
  <c r="D424" i="5"/>
  <c r="H424" i="5"/>
  <c r="D440" i="5" a="1"/>
  <c r="H440" i="5"/>
  <c r="D446" i="5" a="1"/>
  <c r="H446" i="5"/>
  <c r="H8" i="5"/>
  <c r="D8" i="5" a="1"/>
  <c r="H98" i="5"/>
  <c r="D98" i="5" a="1"/>
  <c r="H188" i="5"/>
  <c r="D188" i="5" a="1"/>
  <c r="H278" i="5"/>
  <c r="D278" i="5" a="1"/>
  <c r="H368" i="5"/>
  <c r="D368" i="5" a="1"/>
  <c r="D40" i="5" a="1"/>
  <c r="H40" i="5"/>
  <c r="D109" i="5"/>
  <c r="H109" i="5"/>
  <c r="H203" i="5"/>
  <c r="D203" i="5" a="1"/>
  <c r="H221" i="5"/>
  <c r="D221" i="5" a="1"/>
  <c r="D310" i="5" a="1"/>
  <c r="H310" i="5"/>
  <c r="D379" i="5"/>
  <c r="H379" i="5"/>
  <c r="D55" i="5" a="1"/>
  <c r="H55" i="5"/>
  <c r="D145" i="5" a="1"/>
  <c r="H145" i="5"/>
  <c r="D235" i="5" a="1"/>
  <c r="H235" i="5"/>
  <c r="D325" i="5" a="1"/>
  <c r="H325" i="5"/>
  <c r="D415" i="5" a="1"/>
  <c r="H415" i="5"/>
  <c r="H468" i="5"/>
  <c r="D468" i="5"/>
  <c r="H483" i="5"/>
  <c r="D483" i="5"/>
  <c r="H559" i="5"/>
  <c r="D559" i="5"/>
  <c r="D583" i="5" a="1"/>
  <c r="D653" i="5" a="1"/>
  <c r="H653" i="5"/>
  <c r="D654" i="5" a="1"/>
  <c r="H654" i="5"/>
  <c r="D669" i="5" a="1"/>
  <c r="H669" i="5"/>
  <c r="D672" i="5" a="1"/>
  <c r="H672" i="5"/>
  <c r="H738" i="5"/>
  <c r="D738" i="5"/>
  <c r="H753" i="5"/>
  <c r="D753" i="5"/>
  <c r="H829" i="5"/>
  <c r="D829" i="5"/>
  <c r="D853" i="5" a="1"/>
  <c r="D923" i="5" a="1"/>
  <c r="H923" i="5"/>
  <c r="D924" i="5" a="1"/>
  <c r="H924" i="5"/>
  <c r="D939" i="5" a="1"/>
  <c r="H939" i="5"/>
  <c r="D942" i="5" a="1"/>
  <c r="H942" i="5"/>
  <c r="H499" i="5"/>
  <c r="D499" i="5"/>
  <c r="H589" i="5"/>
  <c r="D589" i="5"/>
  <c r="H679" i="5"/>
  <c r="D679" i="5"/>
  <c r="H769" i="5"/>
  <c r="D769" i="5"/>
  <c r="H859" i="5"/>
  <c r="D859" i="5"/>
  <c r="H949" i="5"/>
  <c r="D949" i="5"/>
  <c r="D532" i="5" a="1"/>
  <c r="H532" i="5"/>
  <c r="D535" i="5" a="1"/>
  <c r="H535" i="5"/>
  <c r="H609" i="5"/>
  <c r="D609" i="5" a="1"/>
  <c r="D610" i="5" a="1"/>
  <c r="H610" i="5"/>
  <c r="D605" i="5" a="1"/>
  <c r="H605" i="5"/>
  <c r="D618" i="5"/>
  <c r="H618" i="5"/>
  <c r="D711" i="5" a="1"/>
  <c r="H711" i="5"/>
  <c r="D709" i="5"/>
  <c r="H709" i="5"/>
  <c r="D802" i="5" a="1"/>
  <c r="H802" i="5"/>
  <c r="D805" i="5" a="1"/>
  <c r="H805" i="5"/>
  <c r="H883" i="5"/>
  <c r="H879" i="5"/>
  <c r="D879" i="5" a="1"/>
  <c r="D880" i="5" a="1"/>
  <c r="H880" i="5"/>
  <c r="D875" i="5" a="1"/>
  <c r="H875" i="5"/>
  <c r="D888" i="5"/>
  <c r="H888" i="5"/>
  <c r="D981" i="5" a="1"/>
  <c r="H981" i="5"/>
  <c r="D979" i="5"/>
  <c r="H979" i="5"/>
  <c r="D1135" i="5" a="1"/>
  <c r="H1135" i="5"/>
  <c r="H1222" i="5"/>
  <c r="D1222" i="5" a="1"/>
  <c r="D1220" i="5" a="1"/>
  <c r="H1220" i="5"/>
  <c r="D1309" i="5"/>
  <c r="H1309" i="5"/>
  <c r="H1401" i="5"/>
  <c r="D1401" i="5" a="1"/>
  <c r="H1403" i="5"/>
  <c r="D1403" i="5" a="1"/>
  <c r="D1407" i="5" a="1"/>
  <c r="H1407" i="5"/>
  <c r="H1496" i="5"/>
  <c r="D1496" i="5" a="1"/>
  <c r="H1053" i="5"/>
  <c r="D1053" i="5"/>
  <c r="D1076" i="5" a="1"/>
  <c r="H1076" i="5"/>
  <c r="H1158" i="5"/>
  <c r="D1158" i="5"/>
  <c r="H1234" i="5"/>
  <c r="D1234" i="5"/>
  <c r="D1255" i="5" a="1"/>
  <c r="H1255" i="5"/>
  <c r="H1253" i="5"/>
  <c r="D1253" i="5" a="1"/>
  <c r="D1348" i="5" a="1"/>
  <c r="D1418" i="5" a="1"/>
  <c r="H1418" i="5"/>
  <c r="D1419" i="5" a="1"/>
  <c r="H1419" i="5"/>
  <c r="H1087" i="5"/>
  <c r="D1087" i="5" a="1"/>
  <c r="D1085" i="5" a="1"/>
  <c r="H1085" i="5"/>
  <c r="H1174" i="5"/>
  <c r="D1174" i="5"/>
  <c r="H1266" i="5"/>
  <c r="D1266" i="5" a="1"/>
  <c r="D1268" i="5" a="1"/>
  <c r="H1268" i="5"/>
  <c r="D1272" i="5" a="1"/>
  <c r="H1272" i="5"/>
  <c r="D1033" i="5" a="1"/>
  <c r="D1025" i="5" a="1"/>
  <c r="H1025" i="5"/>
  <c r="H1031" i="5"/>
  <c r="D1031" i="5" a="1"/>
  <c r="D1099" i="5"/>
  <c r="H1099" i="5"/>
  <c r="D1113" i="5"/>
  <c r="H1113" i="5"/>
  <c r="D1212" i="5" a="1"/>
  <c r="H1212" i="5"/>
  <c r="H1283" i="5"/>
  <c r="D1283" i="5" a="1"/>
  <c r="D1287" i="5" a="1"/>
  <c r="H1287" i="5"/>
  <c r="D1296" i="5" a="1"/>
  <c r="H1296" i="5"/>
  <c r="D1294" i="5"/>
  <c r="H1294" i="5"/>
  <c r="D1477" i="5" a="1"/>
  <c r="H1477" i="5"/>
  <c r="D1480" i="5" a="1"/>
  <c r="H1480" i="5"/>
  <c r="H1569" i="5"/>
  <c r="D1569" i="5" a="1"/>
  <c r="D1570" i="5" a="1"/>
  <c r="H1570" i="5"/>
  <c r="D1565" i="5" a="1"/>
  <c r="H1565" i="5"/>
  <c r="D1654" i="5"/>
  <c r="H1654" i="5"/>
  <c r="H1675" i="5"/>
  <c r="D1675" i="5" a="1"/>
  <c r="H1674" i="5"/>
  <c r="D1674" i="5" a="1"/>
  <c r="D1760" i="5" a="1"/>
  <c r="H1760" i="5"/>
  <c r="D1766" i="5" a="1"/>
  <c r="H1766" i="5"/>
  <c r="H1688" i="5"/>
  <c r="D1688" i="5" a="1"/>
  <c r="H1777" i="5"/>
  <c r="D1777" i="5" a="1"/>
  <c r="D79" i="5"/>
  <c r="H79" i="5"/>
  <c r="D88" i="5" a="1"/>
  <c r="H159" i="5"/>
  <c r="D159" i="5" a="1"/>
  <c r="D160" i="5" a="1"/>
  <c r="H160" i="5"/>
  <c r="D155" i="5" a="1"/>
  <c r="H155" i="5"/>
  <c r="H175" i="5"/>
  <c r="D175" i="5" a="1"/>
  <c r="H174" i="5"/>
  <c r="D174" i="5" a="1"/>
  <c r="D258" i="5"/>
  <c r="H258" i="5"/>
  <c r="D349" i="5"/>
  <c r="H349" i="5"/>
  <c r="D358" i="5" a="1"/>
  <c r="H429" i="5"/>
  <c r="D429" i="5" a="1"/>
  <c r="D430" i="5" a="1"/>
  <c r="H430" i="5"/>
  <c r="D425" i="5" a="1"/>
  <c r="H425" i="5"/>
  <c r="H445" i="5"/>
  <c r="D445" i="5" a="1"/>
  <c r="H444" i="5"/>
  <c r="D444" i="5" a="1"/>
  <c r="H7" i="5"/>
  <c r="D7" i="5" a="1"/>
  <c r="H97" i="5"/>
  <c r="D97" i="5" a="1"/>
  <c r="H187" i="5"/>
  <c r="D187" i="5" a="1"/>
  <c r="H277" i="5"/>
  <c r="D277" i="5" a="1"/>
  <c r="H367" i="5"/>
  <c r="D367" i="5" a="1"/>
  <c r="H457" i="5"/>
  <c r="D457" i="5" a="1"/>
  <c r="D118" i="5" a="1"/>
  <c r="D114" i="5" a="1"/>
  <c r="H114" i="5"/>
  <c r="D133" i="5" a="1"/>
  <c r="H125" i="5"/>
  <c r="D125" i="5" a="1"/>
  <c r="D219" i="5" a="1"/>
  <c r="H219" i="5"/>
  <c r="D222" i="5" a="1"/>
  <c r="H222" i="5"/>
  <c r="D388" i="5" a="1"/>
  <c r="D384" i="5" a="1"/>
  <c r="H384" i="5"/>
  <c r="D403" i="5" a="1"/>
  <c r="H403" i="5"/>
  <c r="H395" i="5"/>
  <c r="D395" i="5" a="1"/>
  <c r="H52" i="5"/>
  <c r="D52" i="5" a="1"/>
  <c r="D50" i="5" a="1"/>
  <c r="H50" i="5"/>
  <c r="H142" i="5"/>
  <c r="D142" i="5" a="1"/>
  <c r="D140" i="5" a="1"/>
  <c r="H140" i="5"/>
  <c r="H232" i="5"/>
  <c r="D232" i="5" a="1"/>
  <c r="D230" i="5" a="1"/>
  <c r="H230" i="5"/>
  <c r="H322" i="5"/>
  <c r="D322" i="5" a="1"/>
  <c r="D320" i="5" a="1"/>
  <c r="H320" i="5"/>
  <c r="H412" i="5"/>
  <c r="D412" i="5" a="1"/>
  <c r="D410" i="5" a="1"/>
  <c r="H410" i="5"/>
  <c r="D543" i="5"/>
  <c r="H543" i="5"/>
  <c r="D550" i="5" a="1"/>
  <c r="H550" i="5"/>
  <c r="D633" i="5"/>
  <c r="H633" i="5"/>
  <c r="D640" i="5" a="1"/>
  <c r="H640" i="5"/>
  <c r="D723" i="5"/>
  <c r="H723" i="5"/>
  <c r="D730" i="5" a="1"/>
  <c r="H730" i="5"/>
  <c r="D813" i="5"/>
  <c r="H813" i="5"/>
  <c r="D820" i="5" a="1"/>
  <c r="H820" i="5"/>
  <c r="D903" i="5"/>
  <c r="H903" i="5"/>
  <c r="D910" i="5" a="1"/>
  <c r="H910" i="5"/>
  <c r="H1000" i="5"/>
  <c r="D1000" i="5" a="1"/>
  <c r="D491" i="5" a="1"/>
  <c r="H491" i="5"/>
  <c r="D486" i="5" a="1"/>
  <c r="H486" i="5"/>
  <c r="H484" i="5"/>
  <c r="D484" i="5"/>
  <c r="D560" i="5" a="1"/>
  <c r="H560" i="5"/>
  <c r="D561" i="5" a="1"/>
  <c r="H561" i="5"/>
  <c r="D577" i="5" a="1"/>
  <c r="H577" i="5"/>
  <c r="D580" i="5" a="1"/>
  <c r="H580" i="5"/>
  <c r="H578" i="5"/>
  <c r="D578" i="5" a="1"/>
  <c r="D652" i="5" a="1"/>
  <c r="H652" i="5"/>
  <c r="D761" i="5" a="1"/>
  <c r="H761" i="5"/>
  <c r="D756" i="5" a="1"/>
  <c r="H756" i="5"/>
  <c r="H754" i="5"/>
  <c r="D754" i="5"/>
  <c r="D830" i="5" a="1"/>
  <c r="H830" i="5"/>
  <c r="D831" i="5" a="1"/>
  <c r="H831" i="5"/>
  <c r="D847" i="5" a="1"/>
  <c r="H847" i="5"/>
  <c r="D850" i="5" a="1"/>
  <c r="H850" i="5"/>
  <c r="H848" i="5"/>
  <c r="D848" i="5" a="1"/>
  <c r="D922" i="5" a="1"/>
  <c r="H922" i="5"/>
  <c r="H501" i="5"/>
  <c r="D501" i="5" a="1"/>
  <c r="D503" i="5" a="1"/>
  <c r="H503" i="5"/>
  <c r="D507" i="5" a="1"/>
  <c r="H507" i="5"/>
  <c r="H591" i="5"/>
  <c r="D591" i="5" a="1"/>
  <c r="D593" i="5" a="1"/>
  <c r="H593" i="5"/>
  <c r="D597" i="5" a="1"/>
  <c r="H597" i="5"/>
  <c r="H681" i="5"/>
  <c r="D681" i="5" a="1"/>
  <c r="D683" i="5" a="1"/>
  <c r="H683" i="5"/>
  <c r="D687" i="5" a="1"/>
  <c r="H687" i="5"/>
  <c r="H771" i="5"/>
  <c r="D771" i="5" a="1"/>
  <c r="D773" i="5" a="1"/>
  <c r="H773" i="5"/>
  <c r="D777" i="5" a="1"/>
  <c r="H777" i="5"/>
  <c r="H861" i="5"/>
  <c r="D861" i="5" a="1"/>
  <c r="D863" i="5" a="1"/>
  <c r="H863" i="5"/>
  <c r="D867" i="5" a="1"/>
  <c r="H867" i="5"/>
  <c r="H951" i="5"/>
  <c r="D951" i="5" a="1"/>
  <c r="D953" i="5" a="1"/>
  <c r="H953" i="5"/>
  <c r="D957" i="5" a="1"/>
  <c r="H957" i="5"/>
  <c r="D516" i="5" a="1"/>
  <c r="H516" i="5"/>
  <c r="H518" i="5"/>
  <c r="D518" i="5" a="1"/>
  <c r="D522" i="5" a="1"/>
  <c r="H522" i="5"/>
  <c r="D607" i="5" a="1"/>
  <c r="H607" i="5"/>
  <c r="D603" i="5"/>
  <c r="H603" i="5"/>
  <c r="D628" i="5" a="1"/>
  <c r="D620" i="5" a="1"/>
  <c r="H620" i="5"/>
  <c r="H626" i="5"/>
  <c r="D626" i="5" a="1"/>
  <c r="D694" i="5"/>
  <c r="H694" i="5"/>
  <c r="D714" i="5" a="1"/>
  <c r="H714" i="5"/>
  <c r="D717" i="5" a="1"/>
  <c r="H717" i="5"/>
  <c r="D786" i="5" a="1"/>
  <c r="H786" i="5"/>
  <c r="H788" i="5"/>
  <c r="D788" i="5" a="1"/>
  <c r="D792" i="5" a="1"/>
  <c r="H792" i="5"/>
  <c r="D877" i="5" a="1"/>
  <c r="H877" i="5"/>
  <c r="D873" i="5"/>
  <c r="H873" i="5"/>
  <c r="D898" i="5" a="1"/>
  <c r="D890" i="5" a="1"/>
  <c r="H890" i="5"/>
  <c r="H896" i="5"/>
  <c r="D896" i="5" a="1"/>
  <c r="D964" i="5"/>
  <c r="H964" i="5"/>
  <c r="D984" i="5" a="1"/>
  <c r="H984" i="5"/>
  <c r="D987" i="5" a="1"/>
  <c r="H987" i="5"/>
  <c r="D1038" i="5"/>
  <c r="H1038" i="5"/>
  <c r="D1045" i="5" a="1"/>
  <c r="H1045" i="5"/>
  <c r="H1132" i="5"/>
  <c r="D1132" i="5" a="1"/>
  <c r="D1130" i="5" a="1"/>
  <c r="H1130" i="5"/>
  <c r="D1219" i="5"/>
  <c r="H1219" i="5"/>
  <c r="H1228" i="5"/>
  <c r="H1311" i="5"/>
  <c r="D1311" i="5" a="1"/>
  <c r="H1313" i="5"/>
  <c r="D1313" i="5" a="1"/>
  <c r="D1317" i="5" a="1"/>
  <c r="H1317" i="5"/>
  <c r="H1406" i="5"/>
  <c r="D1406" i="5" a="1"/>
  <c r="D1074" i="5" a="1"/>
  <c r="H1074" i="5"/>
  <c r="D1077" i="5" a="1"/>
  <c r="H1077" i="5"/>
  <c r="H1143" i="5"/>
  <c r="D1143" i="5"/>
  <c r="D1166" i="5" a="1"/>
  <c r="H1166" i="5"/>
  <c r="D1161" i="5" a="1"/>
  <c r="H1161" i="5"/>
  <c r="H1159" i="5"/>
  <c r="D1159" i="5"/>
  <c r="D1235" i="5" a="1"/>
  <c r="H1235" i="5"/>
  <c r="D1236" i="5" a="1"/>
  <c r="H1236" i="5"/>
  <c r="H1248" i="5"/>
  <c r="D1248" i="5"/>
  <c r="H1324" i="5"/>
  <c r="D1324" i="5"/>
  <c r="D1342" i="5" a="1"/>
  <c r="H1342" i="5"/>
  <c r="D1345" i="5" a="1"/>
  <c r="H1345" i="5"/>
  <c r="H1343" i="5"/>
  <c r="D1343" i="5" a="1"/>
  <c r="D1417" i="5" a="1"/>
  <c r="H1417" i="5"/>
  <c r="D1438" i="5" a="1"/>
  <c r="H1084" i="5"/>
  <c r="D1084" i="5"/>
  <c r="H1176" i="5"/>
  <c r="D1176" i="5" a="1"/>
  <c r="D1178" i="5" a="1"/>
  <c r="H1178" i="5"/>
  <c r="D1182" i="5" a="1"/>
  <c r="H1182" i="5"/>
  <c r="D1443" i="5"/>
  <c r="H1443" i="5"/>
  <c r="D1450" i="5" a="1"/>
  <c r="H1450" i="5"/>
  <c r="D1027" i="5" a="1"/>
  <c r="H1027" i="5"/>
  <c r="D1030" i="5" a="1"/>
  <c r="H1030" i="5"/>
  <c r="D1108" i="5" a="1"/>
  <c r="H1104" i="5"/>
  <c r="D1104" i="5" a="1"/>
  <c r="D1105" i="5" a="1"/>
  <c r="H1105" i="5"/>
  <c r="D1100" i="5" a="1"/>
  <c r="H1100" i="5"/>
  <c r="D1123" i="5" a="1"/>
  <c r="D1115" i="5" a="1"/>
  <c r="H1115" i="5"/>
  <c r="H1121" i="5"/>
  <c r="D1121" i="5" a="1"/>
  <c r="D1189" i="5"/>
  <c r="H1189" i="5"/>
  <c r="D1203" i="5"/>
  <c r="H1203" i="5"/>
  <c r="D1299" i="5" a="1"/>
  <c r="H1299" i="5"/>
  <c r="D1302" i="5" a="1"/>
  <c r="H1302" i="5"/>
  <c r="D1371" i="5" a="1"/>
  <c r="H1371" i="5"/>
  <c r="H1373" i="5"/>
  <c r="D1373" i="5" a="1"/>
  <c r="D1377" i="5" a="1"/>
  <c r="H1377" i="5"/>
  <c r="D1386" i="5" a="1"/>
  <c r="H1386" i="5"/>
  <c r="D1384" i="5"/>
  <c r="H1384" i="5"/>
  <c r="D1528" i="5" a="1"/>
  <c r="H1528" i="5"/>
  <c r="D1526" i="5" a="1"/>
  <c r="H1526" i="5"/>
  <c r="H1567" i="5"/>
  <c r="D1567" i="5" a="1"/>
  <c r="D1563" i="5"/>
  <c r="H1563" i="5"/>
  <c r="D1579" i="5"/>
  <c r="H1579" i="5"/>
  <c r="H1588" i="5"/>
  <c r="D1588" i="5" a="1"/>
  <c r="H1659" i="5"/>
  <c r="D1659" i="5" a="1"/>
  <c r="D1660" i="5" a="1"/>
  <c r="H1660" i="5"/>
  <c r="D1655" i="5" a="1"/>
  <c r="H1655" i="5"/>
  <c r="D1744" i="5"/>
  <c r="H1744" i="5"/>
  <c r="H1765" i="5"/>
  <c r="D1765" i="5" a="1"/>
  <c r="H1764" i="5"/>
  <c r="D1764" i="5" a="1"/>
  <c r="H1598" i="5"/>
  <c r="D1598" i="5" a="1"/>
  <c r="H1687" i="5"/>
  <c r="D1687" i="5" a="1"/>
  <c r="D1536" i="5" a="1"/>
  <c r="H1536" i="5"/>
  <c r="H1631" i="5"/>
  <c r="D1631" i="5" a="1"/>
  <c r="H1883" i="5"/>
  <c r="D1883" i="5" a="1"/>
  <c r="H2153" i="5"/>
  <c r="D2153" i="5" a="1"/>
  <c r="D2333" i="5" a="1"/>
  <c r="H2333" i="5"/>
  <c r="H2378" i="5"/>
  <c r="D2378" i="5" a="1"/>
  <c r="D2623" i="5" a="1"/>
  <c r="H2528" i="5"/>
  <c r="D2528" i="5" a="1"/>
  <c r="D2961" i="5" a="1"/>
  <c r="H2961" i="5"/>
  <c r="H3067" i="5"/>
  <c r="D3067" i="5" a="1"/>
  <c r="H1533" i="5"/>
  <c r="D1533" i="5"/>
  <c r="H1613" i="5"/>
  <c r="D1613" i="5" a="1"/>
  <c r="H1721" i="5"/>
  <c r="D1721" i="5" a="1"/>
  <c r="H1791" i="5"/>
  <c r="D1791" i="5" a="1"/>
  <c r="D1796" i="5" a="1"/>
  <c r="H1796" i="5"/>
  <c r="D1788" i="5"/>
  <c r="H1788" i="5"/>
  <c r="H1908" i="5"/>
  <c r="D1908" i="5"/>
  <c r="D1813" i="5" a="1"/>
  <c r="H1853" i="5"/>
  <c r="D1853" i="5" a="1"/>
  <c r="D1866" i="5" a="1"/>
  <c r="H1866" i="5"/>
  <c r="D2047" i="5" a="1"/>
  <c r="H2047" i="5"/>
  <c r="D2094" i="5" a="1"/>
  <c r="H2094" i="5"/>
  <c r="D2165" i="5" a="1"/>
  <c r="H2165" i="5"/>
  <c r="H2268" i="5"/>
  <c r="D2268" i="5"/>
  <c r="H2123" i="5"/>
  <c r="D2123" i="5" a="1"/>
  <c r="D2143" i="5" a="1"/>
  <c r="D2547" i="5" a="1"/>
  <c r="H2547" i="5"/>
  <c r="D2558" i="5" a="1"/>
  <c r="H2558" i="5"/>
  <c r="H2493" i="5"/>
  <c r="D2493" i="5"/>
  <c r="H2589" i="5"/>
  <c r="D2589" i="5" a="1"/>
  <c r="D2584" i="5"/>
  <c r="H2584" i="5"/>
  <c r="D2593" i="5" a="1"/>
  <c r="H2439" i="5"/>
  <c r="D2439" i="5" a="1"/>
  <c r="D2435" i="5" a="1"/>
  <c r="H2435" i="5"/>
  <c r="D2458" i="5" a="1"/>
  <c r="H2681" i="5"/>
  <c r="D2681" i="5" a="1"/>
  <c r="H2783" i="5"/>
  <c r="D2783" i="5" a="1"/>
  <c r="D2737" i="5" a="1"/>
  <c r="H2737" i="5"/>
  <c r="H2808" i="5"/>
  <c r="D2808" i="5"/>
  <c r="D2877" i="5" a="1"/>
  <c r="H2877" i="5"/>
  <c r="H2892" i="5"/>
  <c r="D2892" i="5" a="1"/>
  <c r="D2981" i="5" a="1"/>
  <c r="H2981" i="5"/>
  <c r="D2983" i="5" a="1"/>
  <c r="H2920" i="5"/>
  <c r="D2920" i="5" a="1"/>
  <c r="H3008" i="5"/>
  <c r="D3008" i="5" a="1"/>
  <c r="D3208" i="5" a="1"/>
  <c r="H3111" i="5"/>
  <c r="D3111" i="5" a="1"/>
  <c r="D3163" i="5" a="1"/>
  <c r="H3154" i="5"/>
  <c r="D3154" i="5"/>
  <c r="D3261" i="5" a="1"/>
  <c r="H3261" i="5"/>
  <c r="H3320" i="5"/>
  <c r="D3320" i="5" a="1"/>
  <c r="H1535" i="5"/>
  <c r="D1535" i="5" a="1"/>
  <c r="H1703" i="5"/>
  <c r="D1703" i="5" a="1"/>
  <c r="D1555" i="5" a="1"/>
  <c r="H1555" i="5"/>
  <c r="D1640" i="5" a="1"/>
  <c r="H1640" i="5"/>
  <c r="D1729" i="5"/>
  <c r="H1729" i="5"/>
  <c r="D1827" i="5" a="1"/>
  <c r="H1827" i="5"/>
  <c r="D1975" i="5" a="1"/>
  <c r="H1975" i="5"/>
  <c r="H1893" i="5"/>
  <c r="D1893" i="5"/>
  <c r="H1998" i="5"/>
  <c r="D1998" i="5"/>
  <c r="D1842" i="5" a="1"/>
  <c r="H1842" i="5"/>
  <c r="D1807" i="5" a="1"/>
  <c r="H1807" i="5"/>
  <c r="H1943" i="5"/>
  <c r="D1943" i="5" a="1"/>
  <c r="D1947" i="5" a="1"/>
  <c r="H1947" i="5"/>
  <c r="D1956" i="5" a="1"/>
  <c r="H1956" i="5"/>
  <c r="D1954" i="5"/>
  <c r="H1954" i="5"/>
  <c r="D2245" i="5" a="1"/>
  <c r="H2245" i="5"/>
  <c r="H2167" i="5"/>
  <c r="D2167" i="5" a="1"/>
  <c r="H2185" i="5"/>
  <c r="D2185" i="5" a="1"/>
  <c r="D2184" i="5" a="1"/>
  <c r="H2184" i="5"/>
  <c r="D2255" i="5" a="1"/>
  <c r="H2255" i="5"/>
  <c r="H2213" i="5"/>
  <c r="D2213" i="5" a="1"/>
  <c r="D2217" i="5" a="1"/>
  <c r="H2217" i="5"/>
  <c r="D2233" i="5" a="1"/>
  <c r="D2225" i="5" a="1"/>
  <c r="H2225" i="5"/>
  <c r="D2317" i="5" a="1"/>
  <c r="H2317" i="5"/>
  <c r="D2578" i="5" a="1"/>
  <c r="H2571" i="5"/>
  <c r="D2571" i="5" a="1"/>
  <c r="D2470" i="5" a="1"/>
  <c r="H2470" i="5"/>
  <c r="D2548" i="5" a="1"/>
  <c r="H2561" i="5"/>
  <c r="D2561" i="5" a="1"/>
  <c r="D2409" i="5" a="1"/>
  <c r="H2409" i="5"/>
  <c r="H2478" i="5"/>
  <c r="D2478" i="5"/>
  <c r="H2583" i="5"/>
  <c r="D2583" i="5"/>
  <c r="D2420" i="5" a="1"/>
  <c r="H2420" i="5"/>
  <c r="D2351" i="5" a="1"/>
  <c r="H2351" i="5"/>
  <c r="H2363" i="5"/>
  <c r="D2363" i="5" a="1"/>
  <c r="D2452" i="5" a="1"/>
  <c r="H2452" i="5"/>
  <c r="D2525" i="5" a="1"/>
  <c r="H2525" i="5"/>
  <c r="H2637" i="5"/>
  <c r="D2637" i="5" a="1"/>
  <c r="D2599" i="5"/>
  <c r="H2599" i="5"/>
  <c r="D2689" i="5"/>
  <c r="H2689" i="5"/>
  <c r="H2698" i="5"/>
  <c r="D2698" i="5" a="1"/>
  <c r="D2782" i="5" a="1"/>
  <c r="H2782" i="5"/>
  <c r="D2786" i="5" a="1"/>
  <c r="H2786" i="5"/>
  <c r="D2810" i="5" a="1"/>
  <c r="H2810" i="5"/>
  <c r="H2812" i="5"/>
  <c r="D2812" i="5" a="1"/>
  <c r="D2757" i="5" a="1"/>
  <c r="H2757" i="5"/>
  <c r="H2906" i="5"/>
  <c r="D2906" i="5" a="1"/>
  <c r="D2908" i="5" a="1"/>
  <c r="D2964" i="5" a="1"/>
  <c r="H2964" i="5"/>
  <c r="D2859" i="5" a="1"/>
  <c r="H2859" i="5"/>
  <c r="H2884" i="5"/>
  <c r="D2884" i="5"/>
  <c r="D2938" i="5" a="1"/>
  <c r="H2829" i="5"/>
  <c r="D2829" i="5" a="1"/>
  <c r="D2973" i="5"/>
  <c r="H2973" i="5"/>
  <c r="D3066" i="5" a="1"/>
  <c r="H3066" i="5"/>
  <c r="H2989" i="5"/>
  <c r="D2989" i="5"/>
  <c r="D3043" i="5" a="1"/>
  <c r="D3116" i="5" a="1"/>
  <c r="H3116" i="5"/>
  <c r="D3113" i="5" a="1"/>
  <c r="H3113" i="5"/>
  <c r="H3130" i="5"/>
  <c r="D3130" i="5" a="1"/>
  <c r="H3100" i="5"/>
  <c r="D3100" i="5" a="1"/>
  <c r="H3093" i="5"/>
  <c r="D3093" i="5"/>
  <c r="D3172" i="5" a="1"/>
  <c r="H3172" i="5"/>
  <c r="H3264" i="5"/>
  <c r="D3264" i="5" a="1"/>
  <c r="H3349" i="5"/>
  <c r="D3349" i="5"/>
  <c r="D3414" i="5" a="1"/>
  <c r="H3414" i="5"/>
  <c r="D1540" i="5" a="1"/>
  <c r="H1540" i="5"/>
  <c r="D1609" i="5"/>
  <c r="H1609" i="5"/>
  <c r="D1633" i="5" a="1"/>
  <c r="H1633" i="5"/>
  <c r="H1625" i="5"/>
  <c r="D1625" i="5" a="1"/>
  <c r="H1790" i="5"/>
  <c r="D1790" i="5" a="1"/>
  <c r="D1793" i="5" a="1"/>
  <c r="H1793" i="5"/>
  <c r="H1552" i="5"/>
  <c r="D1552" i="5" a="1"/>
  <c r="D1550" i="5" a="1"/>
  <c r="H1550" i="5"/>
  <c r="D1639" i="5"/>
  <c r="H1639" i="5"/>
  <c r="H1731" i="5"/>
  <c r="D1731" i="5" a="1"/>
  <c r="H1733" i="5"/>
  <c r="D1733" i="5" a="1"/>
  <c r="D1737" i="5" a="1"/>
  <c r="H1737" i="5"/>
  <c r="H1826" i="5"/>
  <c r="D1826" i="5" a="1"/>
  <c r="D1885" i="5" a="1"/>
  <c r="H1885" i="5"/>
  <c r="H1972" i="5"/>
  <c r="D1972" i="5" a="1"/>
  <c r="D1970" i="5" a="1"/>
  <c r="H1970" i="5"/>
  <c r="D1914" i="5" a="1"/>
  <c r="H1914" i="5"/>
  <c r="D1917" i="5" a="1"/>
  <c r="H1917" i="5"/>
  <c r="H1983" i="5"/>
  <c r="D1983" i="5"/>
  <c r="D2006" i="5" a="1"/>
  <c r="H2006" i="5"/>
  <c r="D2020" i="5" a="1"/>
  <c r="H2020" i="5"/>
  <c r="D1804" i="5"/>
  <c r="H1804" i="5"/>
  <c r="D1849" i="5"/>
  <c r="H1849" i="5"/>
  <c r="D1863" i="5"/>
  <c r="H1863" i="5"/>
  <c r="D1962" i="5" a="1"/>
  <c r="H1962" i="5"/>
  <c r="H2033" i="5"/>
  <c r="D2033" i="5" a="1"/>
  <c r="D2037" i="5" a="1"/>
  <c r="H2037" i="5"/>
  <c r="D2046" i="5" a="1"/>
  <c r="H2046" i="5"/>
  <c r="D2044" i="5"/>
  <c r="H2044" i="5"/>
  <c r="D2155" i="5" a="1"/>
  <c r="H2155" i="5"/>
  <c r="H2242" i="5"/>
  <c r="D2242" i="5" a="1"/>
  <c r="D2240" i="5" a="1"/>
  <c r="H2240" i="5"/>
  <c r="H2244" i="5"/>
  <c r="D2244" i="5" a="1"/>
  <c r="H2076" i="5"/>
  <c r="D2076" i="5" a="1"/>
  <c r="D2078" i="5" a="1"/>
  <c r="H2078" i="5"/>
  <c r="D2098" i="5" a="1"/>
  <c r="H2257" i="5"/>
  <c r="D2257" i="5" a="1"/>
  <c r="H2275" i="5"/>
  <c r="D2275" i="5" a="1"/>
  <c r="D2274" i="5" a="1"/>
  <c r="H2274" i="5"/>
  <c r="H2335" i="5"/>
  <c r="D2335" i="5" a="1"/>
  <c r="H2107" i="5"/>
  <c r="D2107" i="5" a="1"/>
  <c r="H2105" i="5"/>
  <c r="D2105" i="5" a="1"/>
  <c r="H2286" i="5"/>
  <c r="D2286" i="5" a="1"/>
  <c r="D2288" i="5" a="1"/>
  <c r="H2288" i="5"/>
  <c r="D2119" i="5"/>
  <c r="H2119" i="5"/>
  <c r="D2230" i="5" a="1"/>
  <c r="H2230" i="5"/>
  <c r="H2303" i="5"/>
  <c r="D2303" i="5" a="1"/>
  <c r="D2307" i="5" a="1"/>
  <c r="H2307" i="5"/>
  <c r="H2321" i="5"/>
  <c r="D2321" i="5" a="1"/>
  <c r="D2380" i="5" a="1"/>
  <c r="H2380" i="5"/>
  <c r="H2467" i="5"/>
  <c r="D2467" i="5" a="1"/>
  <c r="D2465" i="5" a="1"/>
  <c r="H2465" i="5"/>
  <c r="D2616" i="5" a="1"/>
  <c r="H2616" i="5"/>
  <c r="D2618" i="5" a="1"/>
  <c r="H2618" i="5"/>
  <c r="D2622" i="5" a="1"/>
  <c r="H2622" i="5"/>
  <c r="D2393" i="5" a="1"/>
  <c r="H2393" i="5"/>
  <c r="D2394" i="5" a="1"/>
  <c r="H2394" i="5"/>
  <c r="D2499" i="5" a="1"/>
  <c r="H2499" i="5"/>
  <c r="D2502" i="5" a="1"/>
  <c r="H2502" i="5"/>
  <c r="D2591" i="5" a="1"/>
  <c r="H2591" i="5"/>
  <c r="H2587" i="5"/>
  <c r="D2587" i="5" a="1"/>
  <c r="H2419" i="5"/>
  <c r="D2419" i="5"/>
  <c r="H2511" i="5"/>
  <c r="D2511" i="5" a="1"/>
  <c r="D2513" i="5" a="1"/>
  <c r="H2513" i="5"/>
  <c r="D2517" i="5" a="1"/>
  <c r="H2517" i="5"/>
  <c r="H2343" i="5"/>
  <c r="D2343" i="5"/>
  <c r="D2361" i="5" a="1"/>
  <c r="H2361" i="5"/>
  <c r="H2529" i="5"/>
  <c r="D2529" i="5" a="1"/>
  <c r="H2530" i="5"/>
  <c r="D2530" i="5" a="1"/>
  <c r="D2628" i="5"/>
  <c r="H2628" i="5"/>
  <c r="D2636" i="5" a="1"/>
  <c r="H2636" i="5"/>
  <c r="D2603" i="5" a="1"/>
  <c r="H2603" i="5"/>
  <c r="D2608" i="5" a="1"/>
  <c r="H2598" i="5"/>
  <c r="D2598" i="5"/>
  <c r="H2691" i="5"/>
  <c r="D2691" i="5" a="1"/>
  <c r="H2693" i="5"/>
  <c r="D2693" i="5" a="1"/>
  <c r="D2697" i="5" a="1"/>
  <c r="H2697" i="5"/>
  <c r="D2704" i="5"/>
  <c r="H2704" i="5"/>
  <c r="H2711" i="5"/>
  <c r="D2711" i="5" a="1"/>
  <c r="H2719" i="5"/>
  <c r="D2719" i="5"/>
  <c r="D2724" i="5" a="1"/>
  <c r="H2724" i="5"/>
  <c r="H2646" i="5"/>
  <c r="D2646" i="5" a="1"/>
  <c r="D2648" i="5" a="1"/>
  <c r="H2648" i="5"/>
  <c r="D2673" i="5"/>
  <c r="H2673" i="5"/>
  <c r="H2787" i="5"/>
  <c r="D2787" i="5" a="1"/>
  <c r="H2742" i="5"/>
  <c r="D2742" i="5" a="1"/>
  <c r="D2817" i="5" a="1"/>
  <c r="H2817" i="5"/>
  <c r="H2767" i="5"/>
  <c r="D2767" i="5" a="1"/>
  <c r="D2768" i="5" a="1"/>
  <c r="H2768" i="5"/>
  <c r="D2770" i="5" a="1"/>
  <c r="H2770" i="5"/>
  <c r="D2848" i="5" a="1"/>
  <c r="H2944" i="5"/>
  <c r="D2944" i="5"/>
  <c r="H2861" i="5"/>
  <c r="D2861" i="5" a="1"/>
  <c r="H2887" i="5"/>
  <c r="D2887" i="5" a="1"/>
  <c r="H2936" i="5"/>
  <c r="D2936" i="5" a="1"/>
  <c r="H2831" i="5"/>
  <c r="D2831" i="5" a="1"/>
  <c r="D2917" i="5" a="1"/>
  <c r="H2917" i="5"/>
  <c r="D3011" i="5" a="1"/>
  <c r="H3011" i="5"/>
  <c r="H3083" i="5"/>
  <c r="D3083" i="5" a="1"/>
  <c r="D3084" i="5" a="1"/>
  <c r="H3084" i="5"/>
  <c r="H3079" i="5"/>
  <c r="D3079" i="5"/>
  <c r="D3051" i="5" a="1"/>
  <c r="H3051" i="5"/>
  <c r="D3073" i="5" a="1"/>
  <c r="H2997" i="5"/>
  <c r="D2997" i="5" a="1"/>
  <c r="H2991" i="5"/>
  <c r="D2991" i="5" a="1"/>
  <c r="H3018" i="5"/>
  <c r="D3018" i="5"/>
  <c r="D3023" i="5" a="1"/>
  <c r="H3023" i="5"/>
  <c r="D3037" i="5" a="1"/>
  <c r="H3037" i="5"/>
  <c r="D3033" i="5"/>
  <c r="H3033" i="5"/>
  <c r="D3118" i="5" a="1"/>
  <c r="H3124" i="5"/>
  <c r="D3124" i="5"/>
  <c r="H3218" i="5"/>
  <c r="D3218" i="5" a="1"/>
  <c r="D3230" i="5" a="1"/>
  <c r="H3230" i="5"/>
  <c r="H3228" i="5"/>
  <c r="D3228" i="5"/>
  <c r="D3103" i="5" a="1"/>
  <c r="H3157" i="5"/>
  <c r="D3157" i="5" a="1"/>
  <c r="D3252" i="5" a="1"/>
  <c r="H3252" i="5"/>
  <c r="H3260" i="5"/>
  <c r="D3260" i="5" a="1"/>
  <c r="D3411" i="5" a="1"/>
  <c r="H3411" i="5"/>
  <c r="H3412" i="5"/>
  <c r="D3412" i="5" a="1"/>
  <c r="D3343" i="5" a="1"/>
  <c r="D3340" i="5" a="1"/>
  <c r="H3340" i="5"/>
  <c r="D1618" i="5" a="1"/>
  <c r="D1614" i="5" a="1"/>
  <c r="H1614" i="5"/>
  <c r="D1627" i="5" a="1"/>
  <c r="H1627" i="5"/>
  <c r="D1630" i="5" a="1"/>
  <c r="H1630" i="5"/>
  <c r="D1699" i="5"/>
  <c r="H1699" i="5"/>
  <c r="D1723" i="5" a="1"/>
  <c r="H1715" i="5"/>
  <c r="D1715" i="5" a="1"/>
  <c r="H1797" i="5"/>
  <c r="D1797" i="5" a="1"/>
  <c r="D1549" i="5"/>
  <c r="H1549" i="5"/>
  <c r="H1641" i="5"/>
  <c r="D1641" i="5" a="1"/>
  <c r="H1643" i="5"/>
  <c r="D1643" i="5" a="1"/>
  <c r="D1647" i="5" a="1"/>
  <c r="H1647" i="5"/>
  <c r="H1882" i="5"/>
  <c r="D1882" i="5" a="1"/>
  <c r="D1880" i="5" a="1"/>
  <c r="H1880" i="5"/>
  <c r="D1969" i="5"/>
  <c r="H1969" i="5"/>
  <c r="H1978" i="5"/>
  <c r="D2067" i="5" a="1"/>
  <c r="H2067" i="5"/>
  <c r="H2062" i="5"/>
  <c r="D2062" i="5" a="1"/>
  <c r="H2063" i="5"/>
  <c r="D2063" i="5" a="1"/>
  <c r="D1898" i="5" a="1"/>
  <c r="H1898" i="5"/>
  <c r="D1903" i="5" a="1"/>
  <c r="D1899" i="5" a="1"/>
  <c r="H1899" i="5"/>
  <c r="D2004" i="5" a="1"/>
  <c r="H2004" i="5"/>
  <c r="D2007" i="5" a="1"/>
  <c r="H2007" i="5"/>
  <c r="D1923" i="5"/>
  <c r="H1923" i="5"/>
  <c r="D1930" i="5" a="1"/>
  <c r="H1930" i="5"/>
  <c r="H2017" i="5"/>
  <c r="D2017" i="5" a="1"/>
  <c r="D2015" i="5" a="1"/>
  <c r="H2015" i="5"/>
  <c r="D1806" i="5" a="1"/>
  <c r="H1806" i="5"/>
  <c r="D1812" i="5" a="1"/>
  <c r="H1812" i="5"/>
  <c r="D1858" i="5" a="1"/>
  <c r="H1854" i="5"/>
  <c r="D1854" i="5" a="1"/>
  <c r="D1855" i="5" a="1"/>
  <c r="H1855" i="5"/>
  <c r="D1850" i="5" a="1"/>
  <c r="H1850" i="5"/>
  <c r="D1873" i="5" a="1"/>
  <c r="D1865" i="5" a="1"/>
  <c r="H1865" i="5"/>
  <c r="H1871" i="5"/>
  <c r="D1871" i="5" a="1"/>
  <c r="D1939" i="5"/>
  <c r="H1939" i="5"/>
  <c r="D1953" i="5"/>
  <c r="H1953" i="5"/>
  <c r="D2049" i="5" a="1"/>
  <c r="H2049" i="5"/>
  <c r="D2052" i="5" a="1"/>
  <c r="H2052" i="5"/>
  <c r="H2152" i="5"/>
  <c r="D2152" i="5" a="1"/>
  <c r="D2150" i="5" a="1"/>
  <c r="H2150" i="5"/>
  <c r="H2154" i="5"/>
  <c r="D2154" i="5" a="1"/>
  <c r="D2239" i="5"/>
  <c r="H2239" i="5"/>
  <c r="D2248" i="5" a="1"/>
  <c r="H2097" i="5"/>
  <c r="D2097" i="5" a="1"/>
  <c r="D2092" i="5" a="1"/>
  <c r="H2092" i="5"/>
  <c r="H2166" i="5"/>
  <c r="D2166" i="5" a="1"/>
  <c r="D2168" i="5" a="1"/>
  <c r="H2168" i="5"/>
  <c r="D2173" i="5" a="1"/>
  <c r="H2169" i="5"/>
  <c r="D2169" i="5" a="1"/>
  <c r="D2188" i="5" a="1"/>
  <c r="D2332" i="5" a="1"/>
  <c r="H2332" i="5"/>
  <c r="D2330" i="5" a="1"/>
  <c r="H2330" i="5"/>
  <c r="H2196" i="5"/>
  <c r="D2196" i="5" a="1"/>
  <c r="D2198" i="5" a="1"/>
  <c r="H2198" i="5"/>
  <c r="H2128" i="5"/>
  <c r="D2128" i="5" a="1"/>
  <c r="D2124" i="5" a="1"/>
  <c r="H2124" i="5"/>
  <c r="D2125" i="5" a="1"/>
  <c r="H2125" i="5"/>
  <c r="H2141" i="5"/>
  <c r="D2141" i="5" a="1"/>
  <c r="D2136" i="5" a="1"/>
  <c r="H2136" i="5"/>
  <c r="D2134" i="5"/>
  <c r="H2134" i="5"/>
  <c r="D2209" i="5"/>
  <c r="H2209" i="5"/>
  <c r="H2322" i="5"/>
  <c r="D2322" i="5" a="1"/>
  <c r="D2316" i="5" a="1"/>
  <c r="H2316" i="5"/>
  <c r="H2320" i="5"/>
  <c r="D2320" i="5" a="1"/>
  <c r="D2318" i="5" a="1"/>
  <c r="H2318" i="5"/>
  <c r="H2313" i="5"/>
  <c r="D2313" i="5"/>
  <c r="D2570" i="5" a="1"/>
  <c r="H2570" i="5"/>
  <c r="D2577" i="5" a="1"/>
  <c r="H2577" i="5"/>
  <c r="H2377" i="5"/>
  <c r="D2377" i="5" a="1"/>
  <c r="D2375" i="5" a="1"/>
  <c r="H2375" i="5"/>
  <c r="D2464" i="5"/>
  <c r="H2464" i="5"/>
  <c r="D2545" i="5" a="1"/>
  <c r="H2545" i="5"/>
  <c r="D2543" i="5" a="1"/>
  <c r="H2543" i="5"/>
  <c r="D2538" i="5"/>
  <c r="H2538" i="5"/>
  <c r="D2542" i="5" a="1"/>
  <c r="H2542" i="5"/>
  <c r="D2540" i="5" a="1"/>
  <c r="H2540" i="5"/>
  <c r="H2562" i="5"/>
  <c r="D2562" i="5" a="1"/>
  <c r="H2553" i="5"/>
  <c r="D2553" i="5"/>
  <c r="H2556" i="5"/>
  <c r="D2556" i="5" a="1"/>
  <c r="D2392" i="5" a="1"/>
  <c r="H2392" i="5"/>
  <c r="D2413" i="5" a="1"/>
  <c r="D2483" i="5" a="1"/>
  <c r="H2483" i="5"/>
  <c r="D2488" i="5" a="1"/>
  <c r="D2484" i="5" a="1"/>
  <c r="H2484" i="5"/>
  <c r="H2592" i="5"/>
  <c r="D2592" i="5" a="1"/>
  <c r="H2421" i="5"/>
  <c r="D2421" i="5" a="1"/>
  <c r="D2423" i="5" a="1"/>
  <c r="H2423" i="5"/>
  <c r="D2427" i="5" a="1"/>
  <c r="H2427" i="5"/>
  <c r="D2367" i="5" a="1"/>
  <c r="H2367" i="5"/>
  <c r="D2358" i="5"/>
  <c r="H2358" i="5"/>
  <c r="D2436" i="5" a="1"/>
  <c r="H2436" i="5"/>
  <c r="H2438" i="5"/>
  <c r="D2438" i="5" a="1"/>
  <c r="D2442" i="5" a="1"/>
  <c r="H2442" i="5"/>
  <c r="D2451" i="5" a="1"/>
  <c r="H2451" i="5"/>
  <c r="D2449" i="5"/>
  <c r="H2449" i="5"/>
  <c r="D2527" i="5" a="1"/>
  <c r="H2527" i="5"/>
  <c r="D2523" i="5"/>
  <c r="H2523" i="5"/>
  <c r="D2630" i="5" a="1"/>
  <c r="H2630" i="5"/>
  <c r="H2601" i="5"/>
  <c r="D2601" i="5" a="1"/>
  <c r="D2607" i="5" a="1"/>
  <c r="H2607" i="5"/>
  <c r="D2705" i="5" a="1"/>
  <c r="H2705" i="5"/>
  <c r="D2723" i="5" a="1"/>
  <c r="H2723" i="5"/>
  <c r="H2721" i="5"/>
  <c r="D2721" i="5" a="1"/>
  <c r="H2796" i="5"/>
  <c r="D2796" i="5" a="1"/>
  <c r="D2660" i="5" a="1"/>
  <c r="H2660" i="5"/>
  <c r="D2661" i="5" a="1"/>
  <c r="H2661" i="5"/>
  <c r="H2663" i="5"/>
  <c r="D2663" i="5" a="1"/>
  <c r="D2667" i="5" a="1"/>
  <c r="H2667" i="5"/>
  <c r="D2683" i="5" a="1"/>
  <c r="D2675" i="5" a="1"/>
  <c r="H2675" i="5"/>
  <c r="D2778" i="5"/>
  <c r="H2778" i="5"/>
  <c r="H2781" i="5"/>
  <c r="D2781" i="5" a="1"/>
  <c r="D2779" i="5"/>
  <c r="H2779" i="5"/>
  <c r="D2738" i="5" a="1"/>
  <c r="H2738" i="5"/>
  <c r="D2743" i="5" a="1"/>
  <c r="D2813" i="5" a="1"/>
  <c r="H2813" i="5"/>
  <c r="H2755" i="5"/>
  <c r="D2755" i="5" a="1"/>
  <c r="D2764" i="5"/>
  <c r="H2764" i="5"/>
  <c r="H2846" i="5"/>
  <c r="D2846" i="5" a="1"/>
  <c r="H2842" i="5"/>
  <c r="D2842" i="5" a="1"/>
  <c r="D2843" i="5" a="1"/>
  <c r="H2843" i="5"/>
  <c r="H2902" i="5"/>
  <c r="D2902" i="5" a="1"/>
  <c r="H2899" i="5"/>
  <c r="D2899" i="5"/>
  <c r="D2952" i="5" a="1"/>
  <c r="H2952" i="5"/>
  <c r="H2945" i="5"/>
  <c r="D2945" i="5" a="1"/>
  <c r="D2953" i="5" a="1"/>
  <c r="D2949" i="5" a="1"/>
  <c r="H2949" i="5"/>
  <c r="D2965" i="5" a="1"/>
  <c r="H2965" i="5"/>
  <c r="D2963" i="5" a="1"/>
  <c r="H2963" i="5"/>
  <c r="H2966" i="5"/>
  <c r="D2966" i="5" a="1"/>
  <c r="H2855" i="5"/>
  <c r="D2855" i="5" a="1"/>
  <c r="H2857" i="5"/>
  <c r="D2857" i="5" a="1"/>
  <c r="D2854" i="5"/>
  <c r="H2854" i="5"/>
  <c r="D2863" i="5" a="1"/>
  <c r="D2873" i="5" a="1"/>
  <c r="H2873" i="5"/>
  <c r="D2890" i="5" a="1"/>
  <c r="H2890" i="5"/>
  <c r="D2893" i="5" a="1"/>
  <c r="H2932" i="5"/>
  <c r="D2932" i="5" a="1"/>
  <c r="D2930" i="5" a="1"/>
  <c r="H2930" i="5"/>
  <c r="D2828" i="5" a="1"/>
  <c r="H2828" i="5"/>
  <c r="D2975" i="5" a="1"/>
  <c r="H2975" i="5"/>
  <c r="D2976" i="5" a="1"/>
  <c r="H2976" i="5"/>
  <c r="H2978" i="5"/>
  <c r="D2978" i="5" a="1"/>
  <c r="D2974" i="5"/>
  <c r="H2974" i="5"/>
  <c r="D2977" i="5" a="1"/>
  <c r="H2977" i="5"/>
  <c r="H2919" i="5"/>
  <c r="D2919" i="5" a="1"/>
  <c r="H2915" i="5"/>
  <c r="D2915" i="5" a="1"/>
  <c r="D2916" i="5" a="1"/>
  <c r="H2916" i="5"/>
  <c r="D3009" i="5" a="1"/>
  <c r="H3009" i="5"/>
  <c r="D3088" i="5" a="1"/>
  <c r="H3142" i="5"/>
  <c r="D3142" i="5" a="1"/>
  <c r="D3200" i="5" a="1"/>
  <c r="H3200" i="5"/>
  <c r="H3055" i="5"/>
  <c r="D3055" i="5" a="1"/>
  <c r="H3053" i="5"/>
  <c r="D3053" i="5" a="1"/>
  <c r="D3072" i="5" a="1"/>
  <c r="H3072" i="5"/>
  <c r="H3065" i="5"/>
  <c r="D3065" i="5" a="1"/>
  <c r="D2988" i="5"/>
  <c r="H2988" i="5"/>
  <c r="H2993" i="5"/>
  <c r="D2993" i="5" a="1"/>
  <c r="H3186" i="5"/>
  <c r="D3186" i="5" a="1"/>
  <c r="D3185" i="5" a="1"/>
  <c r="H3185" i="5"/>
  <c r="H3191" i="5"/>
  <c r="D3191" i="5" a="1"/>
  <c r="D3184" i="5"/>
  <c r="H3184" i="5"/>
  <c r="D3025" i="5" a="1"/>
  <c r="H3025" i="5"/>
  <c r="H3027" i="5"/>
  <c r="D3027" i="5" a="1"/>
  <c r="D3021" i="5" a="1"/>
  <c r="H3021" i="5"/>
  <c r="H3035" i="5"/>
  <c r="D3035" i="5" a="1"/>
  <c r="D3040" i="5" a="1"/>
  <c r="H3040" i="5"/>
  <c r="D3112" i="5" a="1"/>
  <c r="H3112" i="5"/>
  <c r="D3110" i="5" a="1"/>
  <c r="H3110" i="5"/>
  <c r="D3125" i="5" a="1"/>
  <c r="H3125" i="5"/>
  <c r="H3128" i="5"/>
  <c r="D3128" i="5" a="1"/>
  <c r="D3215" i="5" a="1"/>
  <c r="H3215" i="5"/>
  <c r="D3220" i="5" a="1"/>
  <c r="H3220" i="5"/>
  <c r="H3236" i="5"/>
  <c r="D3236" i="5" a="1"/>
  <c r="D3232" i="5" a="1"/>
  <c r="H3232" i="5"/>
  <c r="H3234" i="5"/>
  <c r="D3234" i="5" a="1"/>
  <c r="H3097" i="5"/>
  <c r="D3097" i="5" a="1"/>
  <c r="D3095" i="5" a="1"/>
  <c r="H3095" i="5"/>
  <c r="D3096" i="5" a="1"/>
  <c r="H3096" i="5"/>
  <c r="H3162" i="5"/>
  <c r="D3162" i="5" a="1"/>
  <c r="D3156" i="5" a="1"/>
  <c r="H3156" i="5"/>
  <c r="D3171" i="5" a="1"/>
  <c r="H3171" i="5"/>
  <c r="D3168" i="5"/>
  <c r="H3168" i="5"/>
  <c r="H3173" i="5"/>
  <c r="D3173" i="5" a="1"/>
  <c r="D3253" i="5" a="1"/>
  <c r="H3245" i="5"/>
  <c r="D3245" i="5" a="1"/>
  <c r="H3267" i="5"/>
  <c r="D3267" i="5" a="1"/>
  <c r="D3268" i="5" a="1"/>
  <c r="D3266" i="5" a="1"/>
  <c r="H3266" i="5"/>
  <c r="H3417" i="5"/>
  <c r="D3417" i="5" a="1"/>
  <c r="D3324" i="5" a="1"/>
  <c r="H3324" i="5"/>
  <c r="H3333" i="5"/>
  <c r="D3333" i="5"/>
  <c r="D3334" i="5"/>
  <c r="H3334" i="5"/>
  <c r="H3381" i="5"/>
  <c r="D3381" i="5" a="1"/>
  <c r="H3561" i="5"/>
  <c r="D3561" i="5" a="1"/>
  <c r="D3577" i="5" a="1"/>
  <c r="H3577" i="5"/>
  <c r="D3598" i="5" a="1"/>
  <c r="D3658" i="5" a="1"/>
  <c r="D3732" i="5" a="1"/>
  <c r="H3732" i="5"/>
  <c r="H3803" i="5"/>
  <c r="D3803" i="5" a="1"/>
  <c r="D3403" i="5" a="1"/>
  <c r="D3383" i="5" a="1"/>
  <c r="H3383" i="5"/>
  <c r="D3385" i="5" a="1"/>
  <c r="H3385" i="5"/>
  <c r="D3458" i="5" a="1"/>
  <c r="H3458" i="5"/>
  <c r="D3443" i="5" a="1"/>
  <c r="H3443" i="5"/>
  <c r="D3429" i="5" a="1"/>
  <c r="H3429" i="5"/>
  <c r="D3432" i="5" a="1"/>
  <c r="H3432" i="5"/>
  <c r="D3568" i="5" a="1"/>
  <c r="D3687" i="5" a="1"/>
  <c r="H3687" i="5"/>
  <c r="D3713" i="5" a="1"/>
  <c r="H3713" i="5"/>
  <c r="D3613" i="5" a="1"/>
  <c r="H3605" i="5"/>
  <c r="D3605" i="5" a="1"/>
  <c r="D3288" i="5"/>
  <c r="H3288" i="5"/>
  <c r="D3478" i="5" a="1"/>
  <c r="D3440" i="5" a="1"/>
  <c r="H3440" i="5"/>
  <c r="D3448" i="5" a="1"/>
  <c r="D3558" i="5"/>
  <c r="H3558" i="5"/>
  <c r="D3564" i="5" a="1"/>
  <c r="H3564" i="5"/>
  <c r="D3534" i="5" a="1"/>
  <c r="H3534" i="5"/>
  <c r="H3530" i="5"/>
  <c r="D3530" i="5" a="1"/>
  <c r="D3681" i="5" a="1"/>
  <c r="H3681" i="5"/>
  <c r="H3657" i="5"/>
  <c r="D3657" i="5" a="1"/>
  <c r="D3718" i="5" a="1"/>
  <c r="D3666" i="5" a="1"/>
  <c r="H3666" i="5"/>
  <c r="D3703" i="5" a="1"/>
  <c r="H3728" i="5"/>
  <c r="D3728" i="5" a="1"/>
  <c r="D3725" i="5" a="1"/>
  <c r="H3725" i="5"/>
  <c r="D3738" i="5"/>
  <c r="H3738" i="5"/>
  <c r="D3802" i="5" a="1"/>
  <c r="H3802" i="5"/>
  <c r="D3808" i="5" a="1"/>
  <c r="D3868" i="5" a="1"/>
  <c r="H3828" i="5"/>
  <c r="D3828" i="5"/>
  <c r="D3844" i="5"/>
  <c r="H3844" i="5"/>
  <c r="D3393" i="5"/>
  <c r="H3393" i="5"/>
  <c r="H3276" i="5"/>
  <c r="D3276" i="5" a="1"/>
  <c r="D3296" i="5" a="1"/>
  <c r="H3296" i="5"/>
  <c r="D3294" i="5" a="1"/>
  <c r="H3294" i="5"/>
  <c r="H3382" i="5"/>
  <c r="D3382" i="5" a="1"/>
  <c r="D3460" i="5" a="1"/>
  <c r="H3460" i="5"/>
  <c r="D3453" i="5"/>
  <c r="H3453" i="5"/>
  <c r="D3457" i="5" a="1"/>
  <c r="H3457" i="5"/>
  <c r="D3491" i="5" a="1"/>
  <c r="H3491" i="5"/>
  <c r="D3471" i="5" a="1"/>
  <c r="H3471" i="5"/>
  <c r="D3430" i="5" a="1"/>
  <c r="H3430" i="5"/>
  <c r="H3366" i="5"/>
  <c r="D3366" i="5" a="1"/>
  <c r="D3582" i="5" a="1"/>
  <c r="H3582" i="5"/>
  <c r="H3590" i="5"/>
  <c r="D3590" i="5" a="1"/>
  <c r="D3597" i="5" a="1"/>
  <c r="H3597" i="5"/>
  <c r="D3544" i="5"/>
  <c r="H3544" i="5"/>
  <c r="D3549" i="5" a="1"/>
  <c r="H3549" i="5"/>
  <c r="D3516" i="5" a="1"/>
  <c r="H3516" i="5"/>
  <c r="H3518" i="5"/>
  <c r="D3518" i="5" a="1"/>
  <c r="H3623" i="5"/>
  <c r="D3623" i="5" a="1"/>
  <c r="D3621" i="5" a="1"/>
  <c r="H3621" i="5"/>
  <c r="D3688" i="5" a="1"/>
  <c r="D3656" i="5" a="1"/>
  <c r="H3656" i="5"/>
  <c r="H3753" i="5"/>
  <c r="D3753" i="5"/>
  <c r="H3776" i="5"/>
  <c r="D3776" i="5" a="1"/>
  <c r="D3783" i="5"/>
  <c r="H3783" i="5"/>
  <c r="D3787" i="5" a="1"/>
  <c r="H3787" i="5"/>
  <c r="D3731" i="5" a="1"/>
  <c r="H3731" i="5"/>
  <c r="D3733" i="5" a="1"/>
  <c r="D3745" i="5" a="1"/>
  <c r="H3745" i="5"/>
  <c r="H3862" i="5"/>
  <c r="D3862" i="5" a="1"/>
  <c r="D3860" i="5" a="1"/>
  <c r="H3860" i="5"/>
  <c r="H3830" i="5"/>
  <c r="D3830" i="5" a="1"/>
  <c r="H3281" i="5"/>
  <c r="D3281" i="5" a="1"/>
  <c r="H3280" i="5"/>
  <c r="D3280" i="5" a="1"/>
  <c r="D3283" i="5" a="1"/>
  <c r="H3279" i="5"/>
  <c r="D3279" i="5" a="1"/>
  <c r="H3278" i="5"/>
  <c r="D3278" i="5" a="1"/>
  <c r="H3277" i="5"/>
  <c r="D3277" i="5" a="1"/>
  <c r="D3298" i="5" a="1"/>
  <c r="H3295" i="5"/>
  <c r="D3295" i="5" a="1"/>
  <c r="D3378" i="5"/>
  <c r="H3378" i="5"/>
  <c r="D3492" i="5" a="1"/>
  <c r="H3492" i="5"/>
  <c r="H3489" i="5"/>
  <c r="D3489" i="5" a="1"/>
  <c r="H3470" i="5"/>
  <c r="D3470" i="5" a="1"/>
  <c r="D3447" i="5" a="1"/>
  <c r="H3447" i="5"/>
  <c r="D3442" i="5" a="1"/>
  <c r="H3442" i="5"/>
  <c r="D3425" i="5" a="1"/>
  <c r="H3425" i="5"/>
  <c r="H3428" i="5"/>
  <c r="D3428" i="5" a="1"/>
  <c r="H3424" i="5"/>
  <c r="D3424" i="5"/>
  <c r="H3423" i="5"/>
  <c r="D3423" i="5"/>
  <c r="D3433" i="5" a="1"/>
  <c r="D3373" i="5" a="1"/>
  <c r="D3367" i="5" a="1"/>
  <c r="H3367" i="5"/>
  <c r="H3363" i="5"/>
  <c r="D3363" i="5"/>
  <c r="H3562" i="5"/>
  <c r="D3562" i="5" a="1"/>
  <c r="H3566" i="5"/>
  <c r="D3566" i="5" a="1"/>
  <c r="H3563" i="5"/>
  <c r="D3563" i="5" a="1"/>
  <c r="H3535" i="5"/>
  <c r="D3535" i="5" a="1"/>
  <c r="H3592" i="5"/>
  <c r="D3592" i="5" a="1"/>
  <c r="D3551" i="5" a="1"/>
  <c r="H3551" i="5"/>
  <c r="H3543" i="5"/>
  <c r="D3543" i="5"/>
  <c r="D3553" i="5" a="1"/>
  <c r="D3505" i="5" a="1"/>
  <c r="H3505" i="5"/>
  <c r="D3508" i="5" a="1"/>
  <c r="D3515" i="5" a="1"/>
  <c r="H3515" i="5"/>
  <c r="H3685" i="5"/>
  <c r="D3685" i="5" a="1"/>
  <c r="D3683" i="5" a="1"/>
  <c r="H3683" i="5"/>
  <c r="D3635" i="5" a="1"/>
  <c r="H3635" i="5"/>
  <c r="D3639" i="5" a="1"/>
  <c r="H3639" i="5"/>
  <c r="H3638" i="5"/>
  <c r="D3638" i="5" a="1"/>
  <c r="D3637" i="5" a="1"/>
  <c r="H3637" i="5"/>
  <c r="D3653" i="5" a="1"/>
  <c r="H3653" i="5"/>
  <c r="D3754" i="5"/>
  <c r="H3754" i="5"/>
  <c r="D3763" i="5" a="1"/>
  <c r="D3761" i="5" a="1"/>
  <c r="H3761" i="5"/>
  <c r="D3759" i="5" a="1"/>
  <c r="H3759" i="5"/>
  <c r="H3712" i="5"/>
  <c r="D3712" i="5" a="1"/>
  <c r="H3717" i="5"/>
  <c r="D3717" i="5" a="1"/>
  <c r="D3610" i="5" a="1"/>
  <c r="H3610" i="5"/>
  <c r="D3611" i="5" a="1"/>
  <c r="H3611" i="5"/>
  <c r="H3606" i="5"/>
  <c r="D3606" i="5" a="1"/>
  <c r="H3671" i="5"/>
  <c r="D3671" i="5" a="1"/>
  <c r="D3771" i="5" a="1"/>
  <c r="H3771" i="5"/>
  <c r="D3822" i="5" a="1"/>
  <c r="H3822" i="5"/>
  <c r="D3694" i="5"/>
  <c r="H3694" i="5"/>
  <c r="H3699" i="5"/>
  <c r="D3699" i="5" a="1"/>
  <c r="H3702" i="5"/>
  <c r="D3702" i="5" a="1"/>
  <c r="H3786" i="5"/>
  <c r="D3786" i="5" a="1"/>
  <c r="D3740" i="5" a="1"/>
  <c r="H3740" i="5"/>
  <c r="D3739" i="5"/>
  <c r="H3739" i="5"/>
  <c r="H3805" i="5"/>
  <c r="D3805" i="5" a="1"/>
  <c r="H3798" i="5"/>
  <c r="D3798" i="5"/>
  <c r="H3859" i="5"/>
  <c r="D3859" i="5"/>
  <c r="D3835" i="5" a="1"/>
  <c r="H3835" i="5"/>
  <c r="D3835" i="5" l="1"/>
  <c r="E3859" i="5"/>
  <c r="S3805" i="5"/>
  <c r="W3805" i="5"/>
  <c r="D3805" i="5"/>
  <c r="E3739" i="5"/>
  <c r="D3740" i="5"/>
  <c r="E3740" i="5" s="1"/>
  <c r="D3786" i="5"/>
  <c r="D3702" i="5"/>
  <c r="D3699" i="5"/>
  <c r="E3694" i="5"/>
  <c r="D3822" i="5"/>
  <c r="D3771" i="5"/>
  <c r="D3671" i="5"/>
  <c r="D3606" i="5"/>
  <c r="D3611" i="5"/>
  <c r="E3611" i="5" s="1"/>
  <c r="D3610" i="5"/>
  <c r="D3717" i="5"/>
  <c r="D3712" i="5"/>
  <c r="D3759" i="5"/>
  <c r="D3761" i="5"/>
  <c r="H3764" i="5"/>
  <c r="H3765" i="5"/>
  <c r="D3763" i="5"/>
  <c r="E3754" i="5"/>
  <c r="D3653" i="5"/>
  <c r="D3637" i="5"/>
  <c r="D3638" i="5"/>
  <c r="D3639" i="5"/>
  <c r="E3639" i="5" s="1"/>
  <c r="D3635" i="5"/>
  <c r="E3635" i="5" s="1"/>
  <c r="D3683" i="5"/>
  <c r="D3685" i="5"/>
  <c r="D3515" i="5"/>
  <c r="E3515" i="5" s="1"/>
  <c r="D3508" i="5"/>
  <c r="H3510" i="5"/>
  <c r="H3509" i="5"/>
  <c r="AA3501" i="5" s="1"/>
  <c r="T222" i="40" s="1"/>
  <c r="D3505" i="5"/>
  <c r="D3553" i="5"/>
  <c r="H3554" i="5"/>
  <c r="H3555" i="5"/>
  <c r="W3550" i="5"/>
  <c r="S3550" i="5"/>
  <c r="D3551" i="5"/>
  <c r="D3592" i="5"/>
  <c r="D3535" i="5"/>
  <c r="D3563" i="5"/>
  <c r="D3566" i="5"/>
  <c r="D3562" i="5"/>
  <c r="W3370" i="5"/>
  <c r="S3370" i="5"/>
  <c r="D3367" i="5"/>
  <c r="D3373" i="5"/>
  <c r="H3374" i="5"/>
  <c r="AA3366" i="5" s="1"/>
  <c r="T252" i="40" s="1"/>
  <c r="H3375" i="5"/>
  <c r="H3434" i="5"/>
  <c r="AA3426" i="5" s="1"/>
  <c r="T147" i="40" s="1"/>
  <c r="H3435" i="5"/>
  <c r="D3433" i="5"/>
  <c r="S3430" i="5"/>
  <c r="W3430" i="5"/>
  <c r="E3424" i="5"/>
  <c r="D3428" i="5"/>
  <c r="D3425" i="5"/>
  <c r="E3425" i="5" s="1"/>
  <c r="D3442" i="5"/>
  <c r="D3447" i="5"/>
  <c r="D3470" i="5"/>
  <c r="E3470" i="5" s="1"/>
  <c r="D3489" i="5"/>
  <c r="D3492" i="5"/>
  <c r="S3385" i="5"/>
  <c r="W3385" i="5"/>
  <c r="D3295" i="5"/>
  <c r="D3298" i="5"/>
  <c r="H3299" i="5"/>
  <c r="H3300" i="5"/>
  <c r="D3277" i="5"/>
  <c r="D3278" i="5"/>
  <c r="S3276" i="5"/>
  <c r="D3279" i="5"/>
  <c r="D3283" i="5"/>
  <c r="H3284" i="5"/>
  <c r="AA3276" i="5" s="1"/>
  <c r="T228" i="40" s="1"/>
  <c r="H3285" i="5"/>
  <c r="D3280" i="5"/>
  <c r="D3281" i="5"/>
  <c r="E3281" i="5" s="1"/>
  <c r="D3830" i="5"/>
  <c r="E3830" i="5" s="1"/>
  <c r="D3860" i="5"/>
  <c r="E3860" i="5" s="1"/>
  <c r="D3862" i="5"/>
  <c r="D3745" i="5"/>
  <c r="D3733" i="5"/>
  <c r="H3734" i="5"/>
  <c r="AA3726" i="5" s="1"/>
  <c r="T217" i="40" s="1"/>
  <c r="H3735" i="5"/>
  <c r="D3731" i="5"/>
  <c r="D3787" i="5"/>
  <c r="E3787" i="5" s="1"/>
  <c r="S3790" i="5"/>
  <c r="W3790" i="5"/>
  <c r="H3824" i="5"/>
  <c r="AA3816" i="5" s="1"/>
  <c r="T163" i="40" s="1"/>
  <c r="H3825" i="5"/>
  <c r="D3776" i="5"/>
  <c r="S3760" i="5"/>
  <c r="W3760" i="5"/>
  <c r="D3656" i="5"/>
  <c r="H3690" i="5"/>
  <c r="H3689" i="5"/>
  <c r="AA3681" i="5" s="1"/>
  <c r="T136" i="40" s="1"/>
  <c r="D3688" i="5"/>
  <c r="D3621" i="5"/>
  <c r="D3623" i="5"/>
  <c r="D3518" i="5"/>
  <c r="D3516" i="5"/>
  <c r="E3516" i="5" s="1"/>
  <c r="D3549" i="5"/>
  <c r="E3544" i="5"/>
  <c r="D3597" i="5"/>
  <c r="D3590" i="5"/>
  <c r="E3590" i="5" s="1"/>
  <c r="D3582" i="5"/>
  <c r="D3366" i="5"/>
  <c r="D3430" i="5"/>
  <c r="D3471" i="5"/>
  <c r="E3471" i="5" s="1"/>
  <c r="D3491" i="5"/>
  <c r="D3457" i="5"/>
  <c r="W3460" i="5"/>
  <c r="S3460" i="5"/>
  <c r="D3460" i="5"/>
  <c r="D3382" i="5"/>
  <c r="E3382" i="5" s="1"/>
  <c r="D3294" i="5"/>
  <c r="D3296" i="5"/>
  <c r="E3296" i="5" s="1"/>
  <c r="D3276" i="5"/>
  <c r="S3400" i="5"/>
  <c r="W3400" i="5"/>
  <c r="E3844" i="5"/>
  <c r="S3835" i="5"/>
  <c r="W3835" i="5"/>
  <c r="D3868" i="5"/>
  <c r="D3808" i="5"/>
  <c r="H3809" i="5"/>
  <c r="S3801" i="5" s="1"/>
  <c r="H3810" i="5"/>
  <c r="D3802" i="5"/>
  <c r="S3745" i="5"/>
  <c r="W3745" i="5"/>
  <c r="D3725" i="5"/>
  <c r="E3725" i="5" s="1"/>
  <c r="D3728" i="5"/>
  <c r="D3703" i="5"/>
  <c r="D3666" i="5"/>
  <c r="D3718" i="5"/>
  <c r="D3657" i="5"/>
  <c r="E3657" i="5" s="1"/>
  <c r="D3681" i="5"/>
  <c r="D3530" i="5"/>
  <c r="E3530" i="5" s="1"/>
  <c r="D3534" i="5"/>
  <c r="D3564" i="5"/>
  <c r="E3564" i="5" s="1"/>
  <c r="S3565" i="5"/>
  <c r="W3565" i="5"/>
  <c r="D3448" i="5"/>
  <c r="D3440" i="5"/>
  <c r="E3440" i="5" s="1"/>
  <c r="D3478" i="5"/>
  <c r="H3494" i="5"/>
  <c r="AA3486" i="5" s="1"/>
  <c r="T137" i="40" s="1"/>
  <c r="H3495" i="5"/>
  <c r="H3389" i="5"/>
  <c r="S3381" i="5" s="1"/>
  <c r="H3390" i="5"/>
  <c r="S3295" i="5"/>
  <c r="W3295" i="5"/>
  <c r="D3605" i="5"/>
  <c r="E3605" i="5" s="1"/>
  <c r="D3613" i="5"/>
  <c r="H3614" i="5"/>
  <c r="AA3606" i="5" s="1"/>
  <c r="T257" i="40" s="1"/>
  <c r="H3615" i="5"/>
  <c r="D3713" i="5"/>
  <c r="D3687" i="5"/>
  <c r="D3568" i="5"/>
  <c r="D3432" i="5"/>
  <c r="D3429" i="5"/>
  <c r="E3429" i="5" s="1"/>
  <c r="D3443" i="5"/>
  <c r="D3458" i="5"/>
  <c r="D3385" i="5"/>
  <c r="D3383" i="5"/>
  <c r="D3403" i="5"/>
  <c r="D3803" i="5"/>
  <c r="D3732" i="5"/>
  <c r="E3732" i="5" s="1"/>
  <c r="D3658" i="5"/>
  <c r="H3659" i="5"/>
  <c r="AA3651" i="5" s="1"/>
  <c r="T200" i="40" s="1"/>
  <c r="H3660" i="5"/>
  <c r="D3598" i="5"/>
  <c r="H3539" i="5"/>
  <c r="H3540" i="5"/>
  <c r="D3577" i="5"/>
  <c r="D3561" i="5"/>
  <c r="D3381" i="5"/>
  <c r="E3334" i="5"/>
  <c r="S3340" i="5"/>
  <c r="W3340" i="5"/>
  <c r="D3324" i="5"/>
  <c r="D3417" i="5"/>
  <c r="D3266" i="5"/>
  <c r="H3269" i="5"/>
  <c r="AA3261" i="5" s="1"/>
  <c r="T173" i="40" s="1"/>
  <c r="H3270" i="5"/>
  <c r="D3268" i="5"/>
  <c r="D3267" i="5"/>
  <c r="D3245" i="5"/>
  <c r="E3245" i="5" s="1"/>
  <c r="H3254" i="5"/>
  <c r="H3255" i="5"/>
  <c r="D3253" i="5"/>
  <c r="D3173" i="5"/>
  <c r="S3175" i="5"/>
  <c r="W3175" i="5"/>
  <c r="D3171" i="5"/>
  <c r="D3156" i="5"/>
  <c r="D3162" i="5"/>
  <c r="D3096" i="5"/>
  <c r="E3096" i="5" s="1"/>
  <c r="D3095" i="5"/>
  <c r="E3095" i="5" s="1"/>
  <c r="D3097" i="5"/>
  <c r="D3234" i="5"/>
  <c r="D3232" i="5"/>
  <c r="D3236" i="5"/>
  <c r="D3220" i="5"/>
  <c r="D3215" i="5"/>
  <c r="E3215" i="5" s="1"/>
  <c r="D3128" i="5"/>
  <c r="D3125" i="5"/>
  <c r="E3125" i="5" s="1"/>
  <c r="D3110" i="5"/>
  <c r="E3110" i="5" s="1"/>
  <c r="D3112" i="5"/>
  <c r="D3040" i="5"/>
  <c r="D3035" i="5"/>
  <c r="E3035" i="5" s="1"/>
  <c r="D3021" i="5"/>
  <c r="D3027" i="5"/>
  <c r="D3025" i="5"/>
  <c r="E3184" i="5"/>
  <c r="D3191" i="5"/>
  <c r="D3185" i="5"/>
  <c r="E3185" i="5" s="1"/>
  <c r="D3186" i="5"/>
  <c r="D2993" i="5"/>
  <c r="S2995" i="5"/>
  <c r="W2995" i="5"/>
  <c r="D3065" i="5"/>
  <c r="E3065" i="5" s="1"/>
  <c r="D3072" i="5"/>
  <c r="D3053" i="5"/>
  <c r="D3055" i="5"/>
  <c r="D3200" i="5"/>
  <c r="E3200" i="5" s="1"/>
  <c r="D3142" i="5"/>
  <c r="H3089" i="5"/>
  <c r="H3090" i="5"/>
  <c r="D3088" i="5"/>
  <c r="D3009" i="5"/>
  <c r="D2916" i="5"/>
  <c r="E2916" i="5" s="1"/>
  <c r="D2915" i="5"/>
  <c r="E2915" i="5" s="1"/>
  <c r="D2919" i="5"/>
  <c r="D2977" i="5"/>
  <c r="E2974" i="5"/>
  <c r="D2978" i="5"/>
  <c r="D2976" i="5"/>
  <c r="E2976" i="5" s="1"/>
  <c r="D2975" i="5"/>
  <c r="E2975" i="5" s="1"/>
  <c r="D2828" i="5"/>
  <c r="D2930" i="5"/>
  <c r="E2930" i="5" s="1"/>
  <c r="D2932" i="5"/>
  <c r="D2893" i="5"/>
  <c r="H2894" i="5"/>
  <c r="H2895" i="5"/>
  <c r="D2890" i="5"/>
  <c r="D2873" i="5"/>
  <c r="H2864" i="5"/>
  <c r="H2865" i="5"/>
  <c r="D2863" i="5"/>
  <c r="E2854" i="5"/>
  <c r="D2857" i="5"/>
  <c r="D2855" i="5"/>
  <c r="E2855" i="5" s="1"/>
  <c r="D2966" i="5"/>
  <c r="D2963" i="5"/>
  <c r="D2965" i="5"/>
  <c r="D2949" i="5"/>
  <c r="D2953" i="5"/>
  <c r="H2954" i="5"/>
  <c r="H2955" i="5"/>
  <c r="D2945" i="5"/>
  <c r="E2945" i="5" s="1"/>
  <c r="D2952" i="5"/>
  <c r="E2899" i="5"/>
  <c r="D2902" i="5"/>
  <c r="D2843" i="5"/>
  <c r="D2842" i="5"/>
  <c r="D2846" i="5"/>
  <c r="E2764" i="5"/>
  <c r="D2755" i="5"/>
  <c r="D2813" i="5"/>
  <c r="H2744" i="5"/>
  <c r="AA2736" i="5" s="1"/>
  <c r="T205" i="40" s="1"/>
  <c r="H2745" i="5"/>
  <c r="D2743" i="5"/>
  <c r="D2738" i="5"/>
  <c r="E2779" i="5"/>
  <c r="D2781" i="5"/>
  <c r="S2785" i="5"/>
  <c r="W2785" i="5"/>
  <c r="D2675" i="5"/>
  <c r="E2675" i="5" s="1"/>
  <c r="H2684" i="5"/>
  <c r="H2685" i="5"/>
  <c r="D2683" i="5"/>
  <c r="D2667" i="5"/>
  <c r="D2663" i="5"/>
  <c r="D2661" i="5"/>
  <c r="E2661" i="5" s="1"/>
  <c r="D2660" i="5"/>
  <c r="E2660" i="5" s="1"/>
  <c r="D2796" i="5"/>
  <c r="D2721" i="5"/>
  <c r="D2723" i="5"/>
  <c r="D2705" i="5"/>
  <c r="E2705" i="5" s="1"/>
  <c r="D2607" i="5"/>
  <c r="D2601" i="5"/>
  <c r="D2630" i="5"/>
  <c r="E2630" i="5" s="1"/>
  <c r="S2530" i="5"/>
  <c r="W2530" i="5"/>
  <c r="D2527" i="5"/>
  <c r="E2449" i="5"/>
  <c r="D2451" i="5"/>
  <c r="D2442" i="5"/>
  <c r="D2438" i="5"/>
  <c r="D2436" i="5"/>
  <c r="W2365" i="5"/>
  <c r="S2365" i="5"/>
  <c r="D2367" i="5"/>
  <c r="D2427" i="5"/>
  <c r="D2423" i="5"/>
  <c r="D2421" i="5"/>
  <c r="D2592" i="5"/>
  <c r="D2484" i="5"/>
  <c r="D2488" i="5"/>
  <c r="H2489" i="5"/>
  <c r="S2481" i="5" s="1"/>
  <c r="H2490" i="5"/>
  <c r="D2483" i="5"/>
  <c r="H2415" i="5"/>
  <c r="H2414" i="5"/>
  <c r="D2413" i="5"/>
  <c r="D2392" i="5"/>
  <c r="D2556" i="5"/>
  <c r="S2560" i="5"/>
  <c r="W2560" i="5"/>
  <c r="D2562" i="5"/>
  <c r="D2540" i="5"/>
  <c r="E2540" i="5" s="1"/>
  <c r="D2542" i="5"/>
  <c r="W2545" i="5"/>
  <c r="S2545" i="5"/>
  <c r="D2543" i="5"/>
  <c r="D2545" i="5"/>
  <c r="H2474" i="5"/>
  <c r="H2475" i="5"/>
  <c r="E2464" i="5"/>
  <c r="D2375" i="5"/>
  <c r="E2375" i="5" s="1"/>
  <c r="D2377" i="5"/>
  <c r="D2577" i="5"/>
  <c r="D2570" i="5"/>
  <c r="E2570" i="5" s="1"/>
  <c r="S2320" i="5"/>
  <c r="W2320" i="5"/>
  <c r="D2318" i="5"/>
  <c r="D2320" i="5"/>
  <c r="D2316" i="5"/>
  <c r="D2322" i="5"/>
  <c r="E2209" i="5"/>
  <c r="E2134" i="5"/>
  <c r="D2136" i="5"/>
  <c r="D2141" i="5"/>
  <c r="D2125" i="5"/>
  <c r="E2125" i="5" s="1"/>
  <c r="D2124" i="5"/>
  <c r="D2128" i="5"/>
  <c r="H2129" i="5"/>
  <c r="H2130" i="5"/>
  <c r="D2198" i="5"/>
  <c r="D2196" i="5"/>
  <c r="D2330" i="5"/>
  <c r="E2330" i="5" s="1"/>
  <c r="D2332" i="5"/>
  <c r="H2189" i="5"/>
  <c r="H2190" i="5"/>
  <c r="D2188" i="5"/>
  <c r="D2169" i="5"/>
  <c r="D2173" i="5"/>
  <c r="H2174" i="5"/>
  <c r="W2166" i="5" s="1"/>
  <c r="H2175" i="5"/>
  <c r="D2168" i="5"/>
  <c r="D2166" i="5"/>
  <c r="D2092" i="5"/>
  <c r="D2097" i="5"/>
  <c r="D2248" i="5"/>
  <c r="H2249" i="5"/>
  <c r="H2250" i="5"/>
  <c r="E2239" i="5"/>
  <c r="D2154" i="5"/>
  <c r="D2150" i="5"/>
  <c r="E2150" i="5" s="1"/>
  <c r="D2152" i="5"/>
  <c r="D2052" i="5"/>
  <c r="D2049" i="5"/>
  <c r="S1960" i="5"/>
  <c r="W1960" i="5"/>
  <c r="E1939" i="5"/>
  <c r="D1871" i="5"/>
  <c r="D1865" i="5"/>
  <c r="E1865" i="5" s="1"/>
  <c r="D1873" i="5"/>
  <c r="D1850" i="5"/>
  <c r="E1850" i="5" s="1"/>
  <c r="D1855" i="5"/>
  <c r="D1854" i="5"/>
  <c r="D1858" i="5"/>
  <c r="H1859" i="5"/>
  <c r="AA1851" i="5" s="1"/>
  <c r="H1860" i="5"/>
  <c r="D1812" i="5"/>
  <c r="D1806" i="5"/>
  <c r="D2015" i="5"/>
  <c r="E2015" i="5" s="1"/>
  <c r="D2017" i="5"/>
  <c r="D1930" i="5"/>
  <c r="S1930" i="5"/>
  <c r="W1930" i="5"/>
  <c r="H1844" i="5"/>
  <c r="H1845" i="5"/>
  <c r="D2007" i="5"/>
  <c r="D2004" i="5"/>
  <c r="D1899" i="5"/>
  <c r="D1903" i="5"/>
  <c r="H1904" i="5"/>
  <c r="W1896" i="5" s="1"/>
  <c r="H1905" i="5"/>
  <c r="D1898" i="5"/>
  <c r="D2063" i="5"/>
  <c r="D2062" i="5"/>
  <c r="D2067" i="5"/>
  <c r="H1979" i="5"/>
  <c r="H1980" i="5"/>
  <c r="E1969" i="5"/>
  <c r="D1880" i="5"/>
  <c r="E1880" i="5" s="1"/>
  <c r="D1882" i="5"/>
  <c r="D1647" i="5"/>
  <c r="D1643" i="5"/>
  <c r="D1641" i="5"/>
  <c r="E1549" i="5"/>
  <c r="D1797" i="5"/>
  <c r="D1715" i="5"/>
  <c r="E1715" i="5" s="1"/>
  <c r="H1725" i="5"/>
  <c r="H1724" i="5"/>
  <c r="D1723" i="5"/>
  <c r="E1699" i="5"/>
  <c r="D1630" i="5"/>
  <c r="D1627" i="5"/>
  <c r="D1614" i="5"/>
  <c r="D1618" i="5"/>
  <c r="H1619" i="5"/>
  <c r="AA1611" i="5" s="1"/>
  <c r="H1620" i="5"/>
  <c r="D3340" i="5"/>
  <c r="D3343" i="5"/>
  <c r="H3330" i="5"/>
  <c r="H3329" i="5"/>
  <c r="AA3321" i="5" s="1"/>
  <c r="T229" i="40" s="1"/>
  <c r="D3412" i="5"/>
  <c r="E3412" i="5" s="1"/>
  <c r="D3411" i="5"/>
  <c r="D3260" i="5"/>
  <c r="E3260" i="5" s="1"/>
  <c r="D3252" i="5"/>
  <c r="D3157" i="5"/>
  <c r="E3157" i="5" s="1"/>
  <c r="H3104" i="5"/>
  <c r="H3105" i="5"/>
  <c r="D3103" i="5"/>
  <c r="S3235" i="5"/>
  <c r="W3235" i="5"/>
  <c r="D3230" i="5"/>
  <c r="E3230" i="5" s="1"/>
  <c r="D3218" i="5"/>
  <c r="E3124" i="5"/>
  <c r="D3118" i="5"/>
  <c r="H3119" i="5"/>
  <c r="S3111" i="5" s="1"/>
  <c r="H3120" i="5"/>
  <c r="S3040" i="5"/>
  <c r="W3040" i="5"/>
  <c r="D3037" i="5"/>
  <c r="D3023" i="5"/>
  <c r="S3025" i="5"/>
  <c r="W3025" i="5"/>
  <c r="D2991" i="5"/>
  <c r="D2997" i="5"/>
  <c r="H3074" i="5"/>
  <c r="H3075" i="5"/>
  <c r="D3073" i="5"/>
  <c r="H3060" i="5"/>
  <c r="H3059" i="5"/>
  <c r="W3051" i="5" s="1"/>
  <c r="D3051" i="5"/>
  <c r="E3079" i="5"/>
  <c r="D3084" i="5"/>
  <c r="D3083" i="5"/>
  <c r="S3081" i="5"/>
  <c r="W3081" i="5"/>
  <c r="D3011" i="5"/>
  <c r="D2917" i="5"/>
  <c r="E2917" i="5" s="1"/>
  <c r="D2831" i="5"/>
  <c r="D2936" i="5"/>
  <c r="D2887" i="5"/>
  <c r="D2861" i="5"/>
  <c r="E2944" i="5"/>
  <c r="D2848" i="5"/>
  <c r="H2849" i="5"/>
  <c r="W2841" i="5" s="1"/>
  <c r="H2850" i="5"/>
  <c r="D2770" i="5"/>
  <c r="D2768" i="5"/>
  <c r="D2767" i="5"/>
  <c r="D2817" i="5"/>
  <c r="D2742" i="5"/>
  <c r="D2787" i="5"/>
  <c r="S2680" i="5"/>
  <c r="W2680" i="5"/>
  <c r="H2804" i="5"/>
  <c r="H2805" i="5"/>
  <c r="D2648" i="5"/>
  <c r="D2646" i="5"/>
  <c r="D2724" i="5"/>
  <c r="E2719" i="5"/>
  <c r="D2711" i="5"/>
  <c r="E2704" i="5"/>
  <c r="D2697" i="5"/>
  <c r="D2693" i="5"/>
  <c r="D2691" i="5"/>
  <c r="S2605" i="5"/>
  <c r="W2605" i="5"/>
  <c r="D2608" i="5"/>
  <c r="H2609" i="5"/>
  <c r="AA2601" i="5" s="1"/>
  <c r="T201" i="40" s="1"/>
  <c r="H2610" i="5"/>
  <c r="W2601" i="5"/>
  <c r="S2601" i="5"/>
  <c r="D2603" i="5"/>
  <c r="D2636" i="5"/>
  <c r="S2635" i="5"/>
  <c r="W2635" i="5"/>
  <c r="D2530" i="5"/>
  <c r="E2530" i="5" s="1"/>
  <c r="D2529" i="5"/>
  <c r="H2534" i="5"/>
  <c r="AA2526" i="5" s="1"/>
  <c r="T132" i="40" s="1"/>
  <c r="H2535" i="5"/>
  <c r="D2361" i="5"/>
  <c r="S2350" i="5"/>
  <c r="W2350" i="5"/>
  <c r="D2517" i="5"/>
  <c r="D2513" i="5"/>
  <c r="D2511" i="5"/>
  <c r="E2419" i="5"/>
  <c r="D2587" i="5"/>
  <c r="D2591" i="5"/>
  <c r="D2502" i="5"/>
  <c r="D2499" i="5"/>
  <c r="D2394" i="5"/>
  <c r="E2394" i="5" s="1"/>
  <c r="H2399" i="5"/>
  <c r="W2391" i="5" s="1"/>
  <c r="H2400" i="5"/>
  <c r="S2391" i="5"/>
  <c r="D2393" i="5"/>
  <c r="D2622" i="5"/>
  <c r="D2618" i="5"/>
  <c r="D2616" i="5"/>
  <c r="D2465" i="5"/>
  <c r="E2465" i="5" s="1"/>
  <c r="D2467" i="5"/>
  <c r="D2380" i="5"/>
  <c r="D2321" i="5"/>
  <c r="E2321" i="5" s="1"/>
  <c r="D2307" i="5"/>
  <c r="D2303" i="5"/>
  <c r="D2230" i="5"/>
  <c r="E2119" i="5"/>
  <c r="D2288" i="5"/>
  <c r="D2286" i="5"/>
  <c r="D2105" i="5"/>
  <c r="E2105" i="5" s="1"/>
  <c r="D2107" i="5"/>
  <c r="D2335" i="5"/>
  <c r="D2274" i="5"/>
  <c r="D2275" i="5"/>
  <c r="D2257" i="5"/>
  <c r="H2099" i="5"/>
  <c r="H2100" i="5"/>
  <c r="D2098" i="5"/>
  <c r="H2084" i="5"/>
  <c r="S2076" i="5" s="1"/>
  <c r="H2085" i="5"/>
  <c r="D2078" i="5"/>
  <c r="D2076" i="5"/>
  <c r="D2244" i="5"/>
  <c r="D2240" i="5"/>
  <c r="E2240" i="5" s="1"/>
  <c r="D2242" i="5"/>
  <c r="D2155" i="5"/>
  <c r="E2155" i="5" s="1"/>
  <c r="E2044" i="5"/>
  <c r="D2046" i="5"/>
  <c r="D2037" i="5"/>
  <c r="D2033" i="5"/>
  <c r="D1962" i="5"/>
  <c r="S1870" i="5"/>
  <c r="W1870" i="5"/>
  <c r="AV113" i="40" s="1"/>
  <c r="E1849" i="5"/>
  <c r="E1804" i="5"/>
  <c r="D2020" i="5"/>
  <c r="H1934" i="5"/>
  <c r="H1935" i="5"/>
  <c r="D2006" i="5"/>
  <c r="S1990" i="5"/>
  <c r="W1990" i="5"/>
  <c r="D1917" i="5"/>
  <c r="D1914" i="5"/>
  <c r="D1970" i="5"/>
  <c r="E1970" i="5" s="1"/>
  <c r="D1972" i="5"/>
  <c r="D1885" i="5"/>
  <c r="D1826" i="5"/>
  <c r="D1737" i="5"/>
  <c r="D1733" i="5"/>
  <c r="D1731" i="5"/>
  <c r="E1639" i="5"/>
  <c r="D1550" i="5"/>
  <c r="E1550" i="5" s="1"/>
  <c r="D1552" i="5"/>
  <c r="S1791" i="5"/>
  <c r="D1793" i="5"/>
  <c r="H1800" i="5"/>
  <c r="H1799" i="5"/>
  <c r="W1791" i="5" s="1"/>
  <c r="T95" i="40" s="1"/>
  <c r="D1790" i="5"/>
  <c r="E1790" i="5" s="1"/>
  <c r="D1625" i="5"/>
  <c r="E1625" i="5" s="1"/>
  <c r="H1635" i="5"/>
  <c r="H1634" i="5"/>
  <c r="D1633" i="5"/>
  <c r="E1609" i="5"/>
  <c r="D1540" i="5"/>
  <c r="D3414" i="5"/>
  <c r="E3349" i="5"/>
  <c r="D3264" i="5"/>
  <c r="D3172" i="5"/>
  <c r="E3172" i="5" s="1"/>
  <c r="W3100" i="5"/>
  <c r="S3100" i="5"/>
  <c r="D3100" i="5"/>
  <c r="D3130" i="5"/>
  <c r="D3113" i="5"/>
  <c r="D3116" i="5"/>
  <c r="D3043" i="5"/>
  <c r="H3044" i="5"/>
  <c r="AA3036" i="5" s="1"/>
  <c r="T129" i="40" s="1"/>
  <c r="H3045" i="5"/>
  <c r="E2989" i="5"/>
  <c r="D3066" i="5"/>
  <c r="E3066" i="5" s="1"/>
  <c r="S2980" i="5"/>
  <c r="W2980" i="5"/>
  <c r="D2829" i="5"/>
  <c r="E2829" i="5" s="1"/>
  <c r="D2938" i="5"/>
  <c r="E2884" i="5"/>
  <c r="D2859" i="5"/>
  <c r="D2964" i="5"/>
  <c r="E2964" i="5" s="1"/>
  <c r="H2909" i="5"/>
  <c r="H2910" i="5"/>
  <c r="D2908" i="5"/>
  <c r="D2906" i="5"/>
  <c r="H2774" i="5"/>
  <c r="W2766" i="5" s="1"/>
  <c r="H2775" i="5"/>
  <c r="D2757" i="5"/>
  <c r="D2812" i="5"/>
  <c r="D2810" i="5"/>
  <c r="E2810" i="5" s="1"/>
  <c r="D2786" i="5"/>
  <c r="D2782" i="5"/>
  <c r="E2782" i="5" s="1"/>
  <c r="D2698" i="5"/>
  <c r="H2700" i="5"/>
  <c r="H2699" i="5"/>
  <c r="AA2691" i="5" s="1"/>
  <c r="T148" i="40" s="1"/>
  <c r="E2689" i="5"/>
  <c r="E2599" i="5"/>
  <c r="D2637" i="5"/>
  <c r="E2637" i="5" s="1"/>
  <c r="D2525" i="5"/>
  <c r="E2525" i="5" s="1"/>
  <c r="D2452" i="5"/>
  <c r="E2452" i="5" s="1"/>
  <c r="D2363" i="5"/>
  <c r="D2351" i="5"/>
  <c r="D2420" i="5"/>
  <c r="E2420" i="5" s="1"/>
  <c r="S2590" i="5"/>
  <c r="W2590" i="5"/>
  <c r="S2485" i="5"/>
  <c r="W2485" i="5"/>
  <c r="D2409" i="5"/>
  <c r="D2561" i="5"/>
  <c r="H2549" i="5"/>
  <c r="S2541" i="5" s="1"/>
  <c r="H2550" i="5"/>
  <c r="D2548" i="5"/>
  <c r="D2470" i="5"/>
  <c r="D2571" i="5"/>
  <c r="E2571" i="5" s="1"/>
  <c r="H2579" i="5"/>
  <c r="AA2571" i="5" s="1"/>
  <c r="T143" i="40" s="1"/>
  <c r="H2580" i="5"/>
  <c r="D2578" i="5"/>
  <c r="D2317" i="5"/>
  <c r="E2317" i="5" s="1"/>
  <c r="D2225" i="5"/>
  <c r="E2225" i="5" s="1"/>
  <c r="H2235" i="5"/>
  <c r="H2234" i="5"/>
  <c r="D2233" i="5"/>
  <c r="D2217" i="5"/>
  <c r="D2213" i="5"/>
  <c r="D2255" i="5"/>
  <c r="E2255" i="5" s="1"/>
  <c r="D2184" i="5"/>
  <c r="D2185" i="5"/>
  <c r="D2167" i="5"/>
  <c r="E2167" i="5" s="1"/>
  <c r="D2245" i="5"/>
  <c r="E2245" i="5" s="1"/>
  <c r="E1954" i="5"/>
  <c r="D1956" i="5"/>
  <c r="D1947" i="5"/>
  <c r="D1943" i="5"/>
  <c r="D1807" i="5"/>
  <c r="E1807" i="5" s="1"/>
  <c r="D1842" i="5"/>
  <c r="W2005" i="5"/>
  <c r="S2005" i="5"/>
  <c r="S1900" i="5"/>
  <c r="W1900" i="5"/>
  <c r="D1975" i="5"/>
  <c r="D1827" i="5"/>
  <c r="E1827" i="5" s="1"/>
  <c r="E1729" i="5"/>
  <c r="D1640" i="5"/>
  <c r="E1640" i="5" s="1"/>
  <c r="D1555" i="5"/>
  <c r="D1703" i="5"/>
  <c r="D1535" i="5"/>
  <c r="E1535" i="5" s="1"/>
  <c r="D3320" i="5"/>
  <c r="E3320" i="5" s="1"/>
  <c r="D3261" i="5"/>
  <c r="E3261" i="5" s="1"/>
  <c r="H3179" i="5"/>
  <c r="AA3171" i="5" s="1"/>
  <c r="T155" i="40" s="1"/>
  <c r="H3180" i="5"/>
  <c r="E3154" i="5"/>
  <c r="D3163" i="5"/>
  <c r="D3111" i="5"/>
  <c r="E3111" i="5" s="1"/>
  <c r="D3208" i="5"/>
  <c r="D3008" i="5"/>
  <c r="D2920" i="5"/>
  <c r="E2920" i="5" s="1"/>
  <c r="D2983" i="5"/>
  <c r="H2984" i="5"/>
  <c r="S2976" i="5" s="1"/>
  <c r="H2985" i="5"/>
  <c r="D2981" i="5"/>
  <c r="D2892" i="5"/>
  <c r="D2877" i="5"/>
  <c r="H2970" i="5"/>
  <c r="H2969" i="5"/>
  <c r="W2961" i="5" s="1"/>
  <c r="H2759" i="5"/>
  <c r="AA2751" i="5" s="1"/>
  <c r="T231" i="40" s="1"/>
  <c r="H2760" i="5"/>
  <c r="S2815" i="5"/>
  <c r="W2815" i="5"/>
  <c r="D2737" i="5"/>
  <c r="D2783" i="5"/>
  <c r="D2681" i="5"/>
  <c r="D2458" i="5"/>
  <c r="D2435" i="5"/>
  <c r="E2435" i="5" s="1"/>
  <c r="D2439" i="5"/>
  <c r="E2439" i="5" s="1"/>
  <c r="D2593" i="5"/>
  <c r="E2584" i="5"/>
  <c r="D2589" i="5"/>
  <c r="S2500" i="5"/>
  <c r="W2500" i="5"/>
  <c r="D2558" i="5"/>
  <c r="D2547" i="5"/>
  <c r="H2325" i="5"/>
  <c r="H2324" i="5"/>
  <c r="W2316" i="5" s="1"/>
  <c r="D2143" i="5"/>
  <c r="D2123" i="5"/>
  <c r="W2121" i="5"/>
  <c r="S2121" i="5"/>
  <c r="W2275" i="5"/>
  <c r="S2275" i="5"/>
  <c r="D2165" i="5"/>
  <c r="E2165" i="5" s="1"/>
  <c r="D2094" i="5"/>
  <c r="D2047" i="5"/>
  <c r="E2047" i="5" s="1"/>
  <c r="D1866" i="5"/>
  <c r="E1866" i="5" s="1"/>
  <c r="D1853" i="5"/>
  <c r="W1851" i="5"/>
  <c r="T78" i="40" s="1"/>
  <c r="S1851" i="5"/>
  <c r="D1813" i="5"/>
  <c r="H1814" i="5"/>
  <c r="AA1806" i="5" s="1"/>
  <c r="H1815" i="5"/>
  <c r="W1915" i="5"/>
  <c r="S1915" i="5"/>
  <c r="S1795" i="5"/>
  <c r="W1795" i="5"/>
  <c r="AV95" i="40" s="1"/>
  <c r="D1796" i="5"/>
  <c r="D1791" i="5"/>
  <c r="E1791" i="5" s="1"/>
  <c r="D1721" i="5"/>
  <c r="D1613" i="5"/>
  <c r="S1611" i="5"/>
  <c r="W1611" i="5"/>
  <c r="T75" i="40" s="1"/>
  <c r="S1540" i="5"/>
  <c r="W1540" i="5"/>
  <c r="AV90" i="40" s="1"/>
  <c r="H3359" i="5"/>
  <c r="H3360" i="5"/>
  <c r="D3067" i="5"/>
  <c r="D2961" i="5"/>
  <c r="D2528" i="5"/>
  <c r="S2526" i="5"/>
  <c r="W2526" i="5"/>
  <c r="H2369" i="5"/>
  <c r="S2361" i="5" s="1"/>
  <c r="H2370" i="5"/>
  <c r="D2623" i="5"/>
  <c r="D2378" i="5"/>
  <c r="D2333" i="5"/>
  <c r="D2153" i="5"/>
  <c r="D1883" i="5"/>
  <c r="D1631" i="5"/>
  <c r="E1631" i="5" s="1"/>
  <c r="H3224" i="5"/>
  <c r="S3216" i="5" s="1"/>
  <c r="H3225" i="5"/>
  <c r="H2790" i="5"/>
  <c r="H2789" i="5"/>
  <c r="S2781" i="5" s="1"/>
  <c r="D1536" i="5"/>
  <c r="E1536" i="5" s="1"/>
  <c r="D1687" i="5"/>
  <c r="D1598" i="5"/>
  <c r="D1764" i="5"/>
  <c r="D1765" i="5"/>
  <c r="E1765" i="5" s="1"/>
  <c r="E1744" i="5"/>
  <c r="D1655" i="5"/>
  <c r="E1655" i="5" s="1"/>
  <c r="D1660" i="5"/>
  <c r="E1660" i="5" s="1"/>
  <c r="D1659" i="5"/>
  <c r="D1588" i="5"/>
  <c r="H1589" i="5"/>
  <c r="H1590" i="5"/>
  <c r="E1579" i="5"/>
  <c r="S1570" i="5"/>
  <c r="W1570" i="5"/>
  <c r="AV82" i="40" s="1"/>
  <c r="D1567" i="5"/>
  <c r="D1526" i="5"/>
  <c r="H1529" i="5"/>
  <c r="H1530" i="5"/>
  <c r="D1528" i="5"/>
  <c r="E1384" i="5"/>
  <c r="D1386" i="5"/>
  <c r="D1377" i="5"/>
  <c r="D1373" i="5"/>
  <c r="D1371" i="5"/>
  <c r="D1302" i="5"/>
  <c r="D1299" i="5"/>
  <c r="S1210" i="5"/>
  <c r="W1210" i="5"/>
  <c r="AV105" i="40" s="1"/>
  <c r="E1189" i="5"/>
  <c r="D1121" i="5"/>
  <c r="D1115" i="5"/>
  <c r="E1115" i="5" s="1"/>
  <c r="D1123" i="5"/>
  <c r="D1100" i="5"/>
  <c r="E1100" i="5" s="1"/>
  <c r="D1105" i="5"/>
  <c r="D1104" i="5"/>
  <c r="D1108" i="5"/>
  <c r="H1110" i="5"/>
  <c r="H1109" i="5"/>
  <c r="D1030" i="5"/>
  <c r="D1027" i="5"/>
  <c r="H1514" i="5"/>
  <c r="H1515" i="5"/>
  <c r="D1450" i="5"/>
  <c r="S1450" i="5"/>
  <c r="W1450" i="5"/>
  <c r="AV74" i="40" s="1"/>
  <c r="H1364" i="5"/>
  <c r="H1365" i="5"/>
  <c r="D1182" i="5"/>
  <c r="D1178" i="5"/>
  <c r="D1176" i="5"/>
  <c r="E1084" i="5"/>
  <c r="H1439" i="5"/>
  <c r="H1440" i="5"/>
  <c r="D1438" i="5"/>
  <c r="D1417" i="5"/>
  <c r="D1343" i="5"/>
  <c r="D1345" i="5"/>
  <c r="D1342" i="5"/>
  <c r="E1324" i="5"/>
  <c r="S1255" i="5"/>
  <c r="W1255" i="5"/>
  <c r="AV125" i="40" s="1"/>
  <c r="D1236" i="5"/>
  <c r="E1236" i="5" s="1"/>
  <c r="D1235" i="5"/>
  <c r="E1235" i="5" s="1"/>
  <c r="E1159" i="5"/>
  <c r="D1161" i="5"/>
  <c r="D1166" i="5"/>
  <c r="W1150" i="5"/>
  <c r="AV81" i="40" s="1"/>
  <c r="S1150" i="5"/>
  <c r="D1077" i="5"/>
  <c r="D1074" i="5"/>
  <c r="D1406" i="5"/>
  <c r="D1317" i="5"/>
  <c r="D1313" i="5"/>
  <c r="D1311" i="5"/>
  <c r="H1229" i="5"/>
  <c r="AA1221" i="5" s="1"/>
  <c r="H1230" i="5"/>
  <c r="E1219" i="5"/>
  <c r="D1130" i="5"/>
  <c r="E1130" i="5" s="1"/>
  <c r="D1132" i="5"/>
  <c r="D1045" i="5"/>
  <c r="S1045" i="5"/>
  <c r="W1045" i="5"/>
  <c r="AV83" i="40" s="1"/>
  <c r="D987" i="5"/>
  <c r="D984" i="5"/>
  <c r="E964" i="5"/>
  <c r="D896" i="5"/>
  <c r="D890" i="5"/>
  <c r="E890" i="5" s="1"/>
  <c r="D898" i="5"/>
  <c r="W880" i="5"/>
  <c r="S880" i="5"/>
  <c r="AV37" i="40" s="1"/>
  <c r="D877" i="5"/>
  <c r="D792" i="5"/>
  <c r="D788" i="5"/>
  <c r="D786" i="5"/>
  <c r="D717" i="5"/>
  <c r="D714" i="5"/>
  <c r="E694" i="5"/>
  <c r="D626" i="5"/>
  <c r="D620" i="5"/>
  <c r="E620" i="5" s="1"/>
  <c r="D628" i="5"/>
  <c r="S610" i="5"/>
  <c r="AV61" i="40" s="1"/>
  <c r="W610" i="5"/>
  <c r="D607" i="5"/>
  <c r="D522" i="5"/>
  <c r="D518" i="5"/>
  <c r="D516" i="5"/>
  <c r="D957" i="5"/>
  <c r="D953" i="5"/>
  <c r="D951" i="5"/>
  <c r="D867" i="5"/>
  <c r="D863" i="5"/>
  <c r="D861" i="5"/>
  <c r="D777" i="5"/>
  <c r="D773" i="5"/>
  <c r="D771" i="5"/>
  <c r="D687" i="5"/>
  <c r="D683" i="5"/>
  <c r="D681" i="5"/>
  <c r="D597" i="5"/>
  <c r="D593" i="5"/>
  <c r="D591" i="5"/>
  <c r="D507" i="5"/>
  <c r="D503" i="5"/>
  <c r="D501" i="5"/>
  <c r="D922" i="5"/>
  <c r="D848" i="5"/>
  <c r="D850" i="5"/>
  <c r="D847" i="5"/>
  <c r="D831" i="5"/>
  <c r="E831" i="5" s="1"/>
  <c r="D830" i="5"/>
  <c r="E830" i="5" s="1"/>
  <c r="E754" i="5"/>
  <c r="D756" i="5"/>
  <c r="D761" i="5"/>
  <c r="D652" i="5"/>
  <c r="D578" i="5"/>
  <c r="D580" i="5"/>
  <c r="D577" i="5"/>
  <c r="D561" i="5"/>
  <c r="E561" i="5" s="1"/>
  <c r="D560" i="5"/>
  <c r="E560" i="5" s="1"/>
  <c r="E484" i="5"/>
  <c r="D486" i="5"/>
  <c r="D491" i="5"/>
  <c r="D1000" i="5"/>
  <c r="D910" i="5"/>
  <c r="S910" i="5"/>
  <c r="AV57" i="40" s="1"/>
  <c r="W910" i="5"/>
  <c r="D820" i="5"/>
  <c r="W820" i="5"/>
  <c r="S820" i="5"/>
  <c r="AV52" i="40" s="1"/>
  <c r="D730" i="5"/>
  <c r="W730" i="5"/>
  <c r="S730" i="5"/>
  <c r="AV16" i="40" s="1"/>
  <c r="D640" i="5"/>
  <c r="W640" i="5"/>
  <c r="S640" i="5"/>
  <c r="AV5" i="40" s="1"/>
  <c r="D550" i="5"/>
  <c r="W550" i="5"/>
  <c r="S550" i="5"/>
  <c r="AV62" i="40" s="1"/>
  <c r="D410" i="5"/>
  <c r="E410" i="5" s="1"/>
  <c r="D412" i="5"/>
  <c r="D320" i="5"/>
  <c r="E320" i="5" s="1"/>
  <c r="D322" i="5"/>
  <c r="D230" i="5"/>
  <c r="E230" i="5" s="1"/>
  <c r="D232" i="5"/>
  <c r="D140" i="5"/>
  <c r="E140" i="5" s="1"/>
  <c r="D142" i="5"/>
  <c r="D50" i="5"/>
  <c r="E50" i="5" s="1"/>
  <c r="D52" i="5"/>
  <c r="D395" i="5"/>
  <c r="E395" i="5" s="1"/>
  <c r="H404" i="5"/>
  <c r="AA396" i="5" s="1"/>
  <c r="H405" i="5"/>
  <c r="D403" i="5"/>
  <c r="D384" i="5"/>
  <c r="D388" i="5"/>
  <c r="H389" i="5"/>
  <c r="AA381" i="5" s="1"/>
  <c r="H390" i="5"/>
  <c r="D222" i="5"/>
  <c r="D219" i="5"/>
  <c r="D125" i="5"/>
  <c r="E125" i="5" s="1"/>
  <c r="H134" i="5"/>
  <c r="H135" i="5"/>
  <c r="D133" i="5"/>
  <c r="D114" i="5"/>
  <c r="D118" i="5"/>
  <c r="H119" i="5"/>
  <c r="AA111" i="5" s="1"/>
  <c r="H120" i="5"/>
  <c r="D457" i="5"/>
  <c r="D367" i="5"/>
  <c r="D277" i="5"/>
  <c r="D187" i="5"/>
  <c r="D97" i="5"/>
  <c r="D7" i="5"/>
  <c r="D444" i="5"/>
  <c r="D445" i="5"/>
  <c r="E445" i="5" s="1"/>
  <c r="D425" i="5"/>
  <c r="E425" i="5" s="1"/>
  <c r="D430" i="5"/>
  <c r="E430" i="5" s="1"/>
  <c r="D429" i="5"/>
  <c r="D358" i="5"/>
  <c r="H359" i="5"/>
  <c r="AA351" i="5" s="1"/>
  <c r="H360" i="5"/>
  <c r="E349" i="5"/>
  <c r="S265" i="5"/>
  <c r="AV23" i="40" s="1"/>
  <c r="W265" i="5"/>
  <c r="D174" i="5"/>
  <c r="D175" i="5"/>
  <c r="E175" i="5" s="1"/>
  <c r="D155" i="5"/>
  <c r="E155" i="5" s="1"/>
  <c r="D160" i="5"/>
  <c r="E160" i="5" s="1"/>
  <c r="D159" i="5"/>
  <c r="D88" i="5"/>
  <c r="H89" i="5"/>
  <c r="AA81" i="5" s="1"/>
  <c r="H90" i="5"/>
  <c r="E79" i="5"/>
  <c r="D1777" i="5"/>
  <c r="D1688" i="5"/>
  <c r="H1604" i="5"/>
  <c r="W1596" i="5" s="1"/>
  <c r="T80" i="40" s="1"/>
  <c r="H1605" i="5"/>
  <c r="D1766" i="5"/>
  <c r="E1766" i="5" s="1"/>
  <c r="D1760" i="5"/>
  <c r="E1760" i="5" s="1"/>
  <c r="D1674" i="5"/>
  <c r="D1675" i="5"/>
  <c r="E1675" i="5" s="1"/>
  <c r="E1654" i="5"/>
  <c r="D1565" i="5"/>
  <c r="E1565" i="5" s="1"/>
  <c r="D1570" i="5"/>
  <c r="E1570" i="5" s="1"/>
  <c r="D1569" i="5"/>
  <c r="D1480" i="5"/>
  <c r="D1477" i="5"/>
  <c r="E1294" i="5"/>
  <c r="D1296" i="5"/>
  <c r="D1287" i="5"/>
  <c r="D1283" i="5"/>
  <c r="D1212" i="5"/>
  <c r="S1120" i="5"/>
  <c r="W1120" i="5"/>
  <c r="AV119" i="40" s="1"/>
  <c r="E1099" i="5"/>
  <c r="D1031" i="5"/>
  <c r="E1031" i="5" s="1"/>
  <c r="D1025" i="5"/>
  <c r="E1025" i="5" s="1"/>
  <c r="D1033" i="5"/>
  <c r="H1454" i="5"/>
  <c r="H1455" i="5"/>
  <c r="D1272" i="5"/>
  <c r="D1268" i="5"/>
  <c r="D1266" i="5"/>
  <c r="E1174" i="5"/>
  <c r="D1085" i="5"/>
  <c r="E1085" i="5" s="1"/>
  <c r="D1087" i="5"/>
  <c r="D1419" i="5"/>
  <c r="E1419" i="5" s="1"/>
  <c r="H1424" i="5"/>
  <c r="AA1416" i="5" s="1"/>
  <c r="H1425" i="5"/>
  <c r="S1416" i="5"/>
  <c r="D1418" i="5"/>
  <c r="H1349" i="5"/>
  <c r="AA1341" i="5" s="1"/>
  <c r="H1350" i="5"/>
  <c r="D1348" i="5"/>
  <c r="D1253" i="5"/>
  <c r="D1255" i="5"/>
  <c r="E1234" i="5"/>
  <c r="S1165" i="5"/>
  <c r="W1165" i="5"/>
  <c r="AV118" i="40" s="1"/>
  <c r="D1076" i="5"/>
  <c r="W1060" i="5"/>
  <c r="AV104" i="40" s="1"/>
  <c r="S1060" i="5"/>
  <c r="D1496" i="5"/>
  <c r="D1407" i="5"/>
  <c r="E1407" i="5" s="1"/>
  <c r="D1403" i="5"/>
  <c r="D1401" i="5"/>
  <c r="H1319" i="5"/>
  <c r="AA1311" i="5" s="1"/>
  <c r="H1320" i="5"/>
  <c r="E1309" i="5"/>
  <c r="D1220" i="5"/>
  <c r="E1220" i="5" s="1"/>
  <c r="D1222" i="5"/>
  <c r="D1135" i="5"/>
  <c r="E979" i="5"/>
  <c r="D981" i="5"/>
  <c r="S895" i="5"/>
  <c r="AV51" i="40" s="1"/>
  <c r="W895" i="5"/>
  <c r="D875" i="5"/>
  <c r="E875" i="5" s="1"/>
  <c r="D880" i="5"/>
  <c r="D879" i="5"/>
  <c r="H884" i="5"/>
  <c r="AA876" i="5" s="1"/>
  <c r="H885" i="5"/>
  <c r="D805" i="5"/>
  <c r="D802" i="5"/>
  <c r="E709" i="5"/>
  <c r="D711" i="5"/>
  <c r="S625" i="5"/>
  <c r="AV15" i="40" s="1"/>
  <c r="W625" i="5"/>
  <c r="D605" i="5"/>
  <c r="E605" i="5" s="1"/>
  <c r="D610" i="5"/>
  <c r="D609" i="5"/>
  <c r="H614" i="5"/>
  <c r="AA606" i="5" s="1"/>
  <c r="H615" i="5"/>
  <c r="D535" i="5"/>
  <c r="D532" i="5"/>
  <c r="E949" i="5"/>
  <c r="E859" i="5"/>
  <c r="E769" i="5"/>
  <c r="E679" i="5"/>
  <c r="E589" i="5"/>
  <c r="E499" i="5"/>
  <c r="D942" i="5"/>
  <c r="D939" i="5"/>
  <c r="D924" i="5"/>
  <c r="E924" i="5" s="1"/>
  <c r="H930" i="5"/>
  <c r="H929" i="5"/>
  <c r="AA921" i="5" s="1"/>
  <c r="D923" i="5"/>
  <c r="H854" i="5"/>
  <c r="W846" i="5" s="1"/>
  <c r="H855" i="5"/>
  <c r="D853" i="5"/>
  <c r="E829" i="5"/>
  <c r="S760" i="5"/>
  <c r="AV60" i="40" s="1"/>
  <c r="W760" i="5"/>
  <c r="S745" i="5"/>
  <c r="AV8" i="40" s="1"/>
  <c r="W745" i="5"/>
  <c r="D672" i="5"/>
  <c r="D669" i="5"/>
  <c r="D654" i="5"/>
  <c r="H659" i="5"/>
  <c r="AA651" i="5" s="1"/>
  <c r="H660" i="5"/>
  <c r="D653" i="5"/>
  <c r="H584" i="5"/>
  <c r="S576" i="5" s="1"/>
  <c r="T38" i="40" s="1"/>
  <c r="H585" i="5"/>
  <c r="D583" i="5"/>
  <c r="E559" i="5"/>
  <c r="S490" i="5"/>
  <c r="AV32" i="40" s="1"/>
  <c r="W490" i="5"/>
  <c r="S475" i="5"/>
  <c r="AV45" i="40" s="1"/>
  <c r="W475" i="5"/>
  <c r="D415" i="5"/>
  <c r="D325" i="5"/>
  <c r="D235" i="5"/>
  <c r="D145" i="5"/>
  <c r="D55" i="5"/>
  <c r="E379" i="5"/>
  <c r="D310" i="5"/>
  <c r="D221" i="5"/>
  <c r="D203" i="5"/>
  <c r="E109" i="5"/>
  <c r="D40" i="5"/>
  <c r="H464" i="5"/>
  <c r="AA456" i="5" s="1"/>
  <c r="H465" i="5"/>
  <c r="D368" i="5"/>
  <c r="D278" i="5"/>
  <c r="D188" i="5"/>
  <c r="D98" i="5"/>
  <c r="D8" i="5"/>
  <c r="D446" i="5"/>
  <c r="E446" i="5" s="1"/>
  <c r="D440" i="5"/>
  <c r="E440" i="5" s="1"/>
  <c r="E424" i="5"/>
  <c r="D337" i="5"/>
  <c r="D267" i="5"/>
  <c r="D253" i="5"/>
  <c r="H254" i="5"/>
  <c r="S246" i="5" s="1"/>
  <c r="T28" i="40" s="1"/>
  <c r="H255" i="5"/>
  <c r="D252" i="5"/>
  <c r="D248" i="5"/>
  <c r="D246" i="5"/>
  <c r="D176" i="5"/>
  <c r="E176" i="5" s="1"/>
  <c r="D170" i="5"/>
  <c r="E170" i="5" s="1"/>
  <c r="E154" i="5"/>
  <c r="D67" i="5"/>
  <c r="D1778" i="5"/>
  <c r="D1753" i="5"/>
  <c r="H1754" i="5"/>
  <c r="AA1746" i="5" s="1"/>
  <c r="H1755" i="5"/>
  <c r="D1752" i="5"/>
  <c r="D1748" i="5"/>
  <c r="D1746" i="5"/>
  <c r="D1670" i="5"/>
  <c r="E1670" i="5" s="1"/>
  <c r="D1585" i="5"/>
  <c r="D1475" i="5"/>
  <c r="E1475" i="5" s="1"/>
  <c r="D1483" i="5"/>
  <c r="D1460" i="5"/>
  <c r="E1460" i="5" s="1"/>
  <c r="D1465" i="5"/>
  <c r="E1465" i="5" s="1"/>
  <c r="D1464" i="5"/>
  <c r="H1470" i="5"/>
  <c r="H1469" i="5"/>
  <c r="AA1461" i="5" s="1"/>
  <c r="D1387" i="5"/>
  <c r="E1387" i="5" s="1"/>
  <c r="E1204" i="5"/>
  <c r="D1206" i="5"/>
  <c r="D1197" i="5"/>
  <c r="D1193" i="5"/>
  <c r="D1010" i="5"/>
  <c r="E1010" i="5" s="1"/>
  <c r="D1015" i="5"/>
  <c r="E1015" i="5" s="1"/>
  <c r="D1014" i="5"/>
  <c r="H1020" i="5"/>
  <c r="H1019" i="5"/>
  <c r="D1512" i="5"/>
  <c r="D1362" i="5"/>
  <c r="D1175" i="5"/>
  <c r="E1175" i="5" s="1"/>
  <c r="D1090" i="5"/>
  <c r="D1434" i="5"/>
  <c r="H1334" i="5"/>
  <c r="S1326" i="5" s="1"/>
  <c r="H1335" i="5"/>
  <c r="D1328" i="5"/>
  <c r="H1259" i="5"/>
  <c r="S1251" i="5" s="1"/>
  <c r="H1260" i="5"/>
  <c r="D1258" i="5"/>
  <c r="D1163" i="5"/>
  <c r="E1144" i="5"/>
  <c r="S1075" i="5"/>
  <c r="W1075" i="5"/>
  <c r="AV91" i="40" s="1"/>
  <c r="D1497" i="5"/>
  <c r="E1497" i="5" s="1"/>
  <c r="E1399" i="5"/>
  <c r="D1310" i="5"/>
  <c r="E1310" i="5" s="1"/>
  <c r="D1225" i="5"/>
  <c r="D1046" i="5"/>
  <c r="E1046" i="5" s="1"/>
  <c r="D972" i="5"/>
  <c r="D968" i="5"/>
  <c r="D800" i="5"/>
  <c r="E800" i="5" s="1"/>
  <c r="D808" i="5"/>
  <c r="D702" i="5"/>
  <c r="D698" i="5"/>
  <c r="D530" i="5"/>
  <c r="E530" i="5" s="1"/>
  <c r="D538" i="5"/>
  <c r="D950" i="5"/>
  <c r="E950" i="5" s="1"/>
  <c r="D860" i="5"/>
  <c r="E860" i="5" s="1"/>
  <c r="D770" i="5"/>
  <c r="E770" i="5" s="1"/>
  <c r="D680" i="5"/>
  <c r="E680" i="5" s="1"/>
  <c r="D590" i="5"/>
  <c r="E590" i="5" s="1"/>
  <c r="D500" i="5"/>
  <c r="E500" i="5" s="1"/>
  <c r="D758" i="5"/>
  <c r="D488" i="5"/>
  <c r="E994" i="5"/>
  <c r="D911" i="5"/>
  <c r="E911" i="5" s="1"/>
  <c r="D821" i="5"/>
  <c r="E821" i="5" s="1"/>
  <c r="D731" i="5"/>
  <c r="E731" i="5" s="1"/>
  <c r="D641" i="5"/>
  <c r="E641" i="5" s="1"/>
  <c r="D551" i="5"/>
  <c r="E551" i="5" s="1"/>
  <c r="H314" i="5"/>
  <c r="H315" i="5"/>
  <c r="D313" i="5"/>
  <c r="H299" i="5"/>
  <c r="AA291" i="5" s="1"/>
  <c r="H300" i="5"/>
  <c r="H44" i="5"/>
  <c r="AA36" i="5" s="1"/>
  <c r="H45" i="5"/>
  <c r="D43" i="5"/>
  <c r="H29" i="5"/>
  <c r="AA21" i="5" s="1"/>
  <c r="H30" i="5"/>
  <c r="D355" i="5"/>
  <c r="D335" i="5"/>
  <c r="E335" i="5" s="1"/>
  <c r="D340" i="5"/>
  <c r="D339" i="5"/>
  <c r="H269" i="5"/>
  <c r="AA261" i="5" s="1"/>
  <c r="H270" i="5"/>
  <c r="E259" i="5"/>
  <c r="D85" i="5"/>
  <c r="D65" i="5"/>
  <c r="E65" i="5" s="1"/>
  <c r="D70" i="5"/>
  <c r="E70" i="5" s="1"/>
  <c r="D69" i="5"/>
  <c r="D1543" i="5"/>
  <c r="D1596" i="5"/>
  <c r="S1600" i="5"/>
  <c r="W1600" i="5"/>
  <c r="AV80" i="40" s="1"/>
  <c r="D1663" i="5"/>
  <c r="H1664" i="5"/>
  <c r="H1665" i="5"/>
  <c r="D1523" i="5"/>
  <c r="W1521" i="5"/>
  <c r="T99" i="40" s="1"/>
  <c r="S1521" i="5"/>
  <c r="D1393" i="5"/>
  <c r="D1370" i="5"/>
  <c r="E1370" i="5" s="1"/>
  <c r="D1374" i="5"/>
  <c r="E1374" i="5" s="1"/>
  <c r="D1297" i="5"/>
  <c r="E1297" i="5" s="1"/>
  <c r="D1116" i="5"/>
  <c r="E1116" i="5" s="1"/>
  <c r="D1103" i="5"/>
  <c r="W1101" i="5"/>
  <c r="T109" i="40" s="1"/>
  <c r="S1101" i="5"/>
  <c r="D1344" i="5"/>
  <c r="E1344" i="5" s="1"/>
  <c r="D1168" i="5"/>
  <c r="D1043" i="5"/>
  <c r="D982" i="5"/>
  <c r="E982" i="5" s="1"/>
  <c r="D891" i="5"/>
  <c r="E891" i="5" s="1"/>
  <c r="D785" i="5"/>
  <c r="E785" i="5" s="1"/>
  <c r="D789" i="5"/>
  <c r="E789" i="5" s="1"/>
  <c r="D712" i="5"/>
  <c r="E712" i="5" s="1"/>
  <c r="D621" i="5"/>
  <c r="E621" i="5" s="1"/>
  <c r="D515" i="5"/>
  <c r="E515" i="5" s="1"/>
  <c r="D519" i="5"/>
  <c r="E519" i="5" s="1"/>
  <c r="S940" i="5"/>
  <c r="AV30" i="40" s="1"/>
  <c r="W940" i="5"/>
  <c r="D849" i="5"/>
  <c r="E849" i="5" s="1"/>
  <c r="D763" i="5"/>
  <c r="S670" i="5"/>
  <c r="AV66" i="40" s="1"/>
  <c r="W670" i="5"/>
  <c r="D579" i="5"/>
  <c r="E579" i="5" s="1"/>
  <c r="D493" i="5"/>
  <c r="H1004" i="5"/>
  <c r="AA996" i="5" s="1"/>
  <c r="H1005" i="5"/>
  <c r="D1003" i="5"/>
  <c r="D908" i="5"/>
  <c r="D818" i="5"/>
  <c r="D728" i="5"/>
  <c r="D638" i="5"/>
  <c r="D548" i="5"/>
  <c r="D401" i="5"/>
  <c r="D383" i="5"/>
  <c r="W381" i="5"/>
  <c r="S381" i="5"/>
  <c r="T4" i="40" s="1"/>
  <c r="D131" i="5"/>
  <c r="D113" i="5"/>
  <c r="S111" i="5"/>
  <c r="T42" i="40" s="1"/>
  <c r="W111" i="5"/>
  <c r="D433" i="5"/>
  <c r="H434" i="5"/>
  <c r="H435" i="5"/>
  <c r="D163" i="5"/>
  <c r="H164" i="5"/>
  <c r="H165" i="5"/>
  <c r="D1686" i="5"/>
  <c r="H1574" i="5"/>
  <c r="AA1566" i="5" s="1"/>
  <c r="H1575" i="5"/>
  <c r="D1133" i="5"/>
  <c r="D878" i="5"/>
  <c r="W876" i="5"/>
  <c r="S876" i="5"/>
  <c r="T37" i="40" s="1"/>
  <c r="D608" i="5"/>
  <c r="S606" i="5"/>
  <c r="T61" i="40" s="1"/>
  <c r="W606" i="5"/>
  <c r="D413" i="5"/>
  <c r="D323" i="5"/>
  <c r="D233" i="5"/>
  <c r="D143" i="5"/>
  <c r="D53" i="5"/>
  <c r="D366" i="5"/>
  <c r="D276" i="5"/>
  <c r="D186" i="5"/>
  <c r="D96" i="5"/>
  <c r="D6" i="5"/>
  <c r="H344" i="5"/>
  <c r="AA336" i="5" s="1"/>
  <c r="H345" i="5"/>
  <c r="H74" i="5"/>
  <c r="AA66" i="5" s="1"/>
  <c r="H75" i="5"/>
  <c r="H3854" i="5"/>
  <c r="AA3846" i="5" s="1"/>
  <c r="T157" i="40" s="1"/>
  <c r="H3855" i="5"/>
  <c r="W3846" i="5"/>
  <c r="S3846" i="5"/>
  <c r="O3843" i="5"/>
  <c r="O3846" i="5"/>
  <c r="L3852" i="5"/>
  <c r="L3830" i="5"/>
  <c r="L3836" i="5"/>
  <c r="D3831" i="5"/>
  <c r="E3831" i="5" s="1"/>
  <c r="O3829" i="5"/>
  <c r="O3835" i="5"/>
  <c r="L3838" i="5"/>
  <c r="O3834" i="5"/>
  <c r="O3830" i="5"/>
  <c r="O3867" i="5"/>
  <c r="D3863" i="5"/>
  <c r="O3862" i="5"/>
  <c r="L3865" i="5"/>
  <c r="L3861" i="5"/>
  <c r="S3803" i="5"/>
  <c r="W3803" i="5"/>
  <c r="O3803" i="5"/>
  <c r="O3806" i="5"/>
  <c r="O3800" i="5"/>
  <c r="D3806" i="5"/>
  <c r="E3806" i="5" s="1"/>
  <c r="D3801" i="5"/>
  <c r="O3804" i="5"/>
  <c r="O3743" i="5"/>
  <c r="D3741" i="5"/>
  <c r="E3741" i="5" s="1"/>
  <c r="D3743" i="5"/>
  <c r="O3739" i="5"/>
  <c r="D3747" i="5"/>
  <c r="O3745" i="5"/>
  <c r="D3748" i="5"/>
  <c r="L3744" i="5"/>
  <c r="L3747" i="5"/>
  <c r="W3730" i="5"/>
  <c r="S3730" i="5"/>
  <c r="L3730" i="5"/>
  <c r="L3725" i="5"/>
  <c r="L3729" i="5"/>
  <c r="O3723" i="5"/>
  <c r="D3727" i="5"/>
  <c r="L3726" i="5"/>
  <c r="O3787" i="5"/>
  <c r="O3784" i="5"/>
  <c r="O3790" i="5"/>
  <c r="H3794" i="5"/>
  <c r="H3795" i="5"/>
  <c r="D3700" i="5"/>
  <c r="E3700" i="5" s="1"/>
  <c r="O3695" i="5"/>
  <c r="L3701" i="5"/>
  <c r="L3696" i="5"/>
  <c r="O3696" i="5"/>
  <c r="O3818" i="5"/>
  <c r="O3822" i="5"/>
  <c r="D3823" i="5"/>
  <c r="L3813" i="5"/>
  <c r="D3816" i="5"/>
  <c r="O3821" i="5"/>
  <c r="O3771" i="5"/>
  <c r="D3774" i="5"/>
  <c r="D3778" i="5"/>
  <c r="D3770" i="5"/>
  <c r="E3770" i="5" s="1"/>
  <c r="D3777" i="5"/>
  <c r="E3777" i="5" s="1"/>
  <c r="O3770" i="5"/>
  <c r="L3775" i="5"/>
  <c r="O3778" i="5"/>
  <c r="L3663" i="5"/>
  <c r="D3665" i="5"/>
  <c r="E3665" i="5" s="1"/>
  <c r="L3669" i="5"/>
  <c r="L3666" i="5"/>
  <c r="S3670" i="5"/>
  <c r="W3670" i="5"/>
  <c r="D3667" i="5"/>
  <c r="E3667" i="5" s="1"/>
  <c r="O3670" i="5"/>
  <c r="O3668" i="5"/>
  <c r="D3669" i="5"/>
  <c r="H3674" i="5"/>
  <c r="AA3666" i="5" s="1"/>
  <c r="T158" i="40" s="1"/>
  <c r="H3675" i="5"/>
  <c r="O3610" i="5"/>
  <c r="O3603" i="5"/>
  <c r="L3605" i="5"/>
  <c r="O3607" i="5"/>
  <c r="W3606" i="5"/>
  <c r="S3606" i="5"/>
  <c r="L3603" i="5"/>
  <c r="O3608" i="5"/>
  <c r="E3709" i="5"/>
  <c r="O3712" i="5"/>
  <c r="H3719" i="5"/>
  <c r="W3711" i="5" s="1"/>
  <c r="H3720" i="5"/>
  <c r="L3718" i="5"/>
  <c r="L3708" i="5"/>
  <c r="L3709" i="5"/>
  <c r="L3712" i="5"/>
  <c r="P3712" i="5" s="1"/>
  <c r="D3715" i="5"/>
  <c r="D3758" i="5"/>
  <c r="O3763" i="5"/>
  <c r="D3755" i="5"/>
  <c r="E3755" i="5" s="1"/>
  <c r="I3764" i="5"/>
  <c r="I3765" i="5"/>
  <c r="S3755" i="5"/>
  <c r="W3755" i="5"/>
  <c r="AA3755" i="5"/>
  <c r="M150" i="40" s="1"/>
  <c r="L3759" i="5"/>
  <c r="F3660" i="5"/>
  <c r="F3659" i="5"/>
  <c r="L3653" i="5"/>
  <c r="D3652" i="5"/>
  <c r="O3654" i="5"/>
  <c r="D3654" i="5"/>
  <c r="E3654" i="5" s="1"/>
  <c r="S3655" i="5"/>
  <c r="W3655" i="5"/>
  <c r="L3654" i="5"/>
  <c r="P3654" i="5" s="1"/>
  <c r="O3658" i="5"/>
  <c r="L3637" i="5"/>
  <c r="L3639" i="5"/>
  <c r="D3636" i="5"/>
  <c r="E3636" i="5" s="1"/>
  <c r="L3642" i="5"/>
  <c r="W3640" i="5"/>
  <c r="S3640" i="5"/>
  <c r="L3678" i="5"/>
  <c r="L3680" i="5"/>
  <c r="D3680" i="5"/>
  <c r="E3680" i="5" s="1"/>
  <c r="L3687" i="5"/>
  <c r="D3624" i="5"/>
  <c r="E3624" i="5" s="1"/>
  <c r="O3623" i="5"/>
  <c r="S3625" i="5"/>
  <c r="W3625" i="5"/>
  <c r="D3620" i="5"/>
  <c r="E3620" i="5" s="1"/>
  <c r="L3625" i="5"/>
  <c r="O3624" i="5"/>
  <c r="L3619" i="5"/>
  <c r="L3516" i="5"/>
  <c r="L3515" i="5"/>
  <c r="L3523" i="5"/>
  <c r="D3523" i="5"/>
  <c r="D3521" i="5"/>
  <c r="D3522" i="5"/>
  <c r="E3522" i="5" s="1"/>
  <c r="I3509" i="5"/>
  <c r="I3510" i="5"/>
  <c r="W3500" i="5"/>
  <c r="AA3500" i="5"/>
  <c r="M222" i="40" s="1"/>
  <c r="S3500" i="5"/>
  <c r="L3504" i="5"/>
  <c r="L3503" i="5"/>
  <c r="D3502" i="5"/>
  <c r="L3498" i="5"/>
  <c r="L3508" i="5"/>
  <c r="D3506" i="5"/>
  <c r="E3506" i="5" s="1"/>
  <c r="D3500" i="5"/>
  <c r="E3500" i="5" s="1"/>
  <c r="I3554" i="5"/>
  <c r="I3555" i="5"/>
  <c r="W3545" i="5"/>
  <c r="S3545" i="5"/>
  <c r="AA3545" i="5"/>
  <c r="M193" i="40" s="1"/>
  <c r="O3547" i="5"/>
  <c r="D3547" i="5"/>
  <c r="O3543" i="5"/>
  <c r="D3548" i="5"/>
  <c r="L3550" i="5"/>
  <c r="O3594" i="5"/>
  <c r="O3593" i="5"/>
  <c r="AA3593" i="5"/>
  <c r="AH233" i="40" s="1"/>
  <c r="S3595" i="5"/>
  <c r="W3595" i="5"/>
  <c r="O3596" i="5"/>
  <c r="O3595" i="5"/>
  <c r="D3593" i="5"/>
  <c r="O3592" i="5"/>
  <c r="O3535" i="5"/>
  <c r="L3528" i="5"/>
  <c r="L3538" i="5"/>
  <c r="D3581" i="5"/>
  <c r="L3579" i="5"/>
  <c r="D3583" i="5"/>
  <c r="D3579" i="5"/>
  <c r="D3576" i="5"/>
  <c r="O3576" i="5"/>
  <c r="O3580" i="5"/>
  <c r="O3561" i="5"/>
  <c r="D3565" i="5"/>
  <c r="E3565" i="5" s="1"/>
  <c r="D3560" i="5"/>
  <c r="E3560" i="5" s="1"/>
  <c r="L3563" i="5"/>
  <c r="O3560" i="5"/>
  <c r="L3558" i="5"/>
  <c r="H3569" i="5"/>
  <c r="AA3561" i="5" s="1"/>
  <c r="T184" i="40" s="1"/>
  <c r="H3570" i="5"/>
  <c r="L3566" i="5"/>
  <c r="O3566" i="5"/>
  <c r="D3365" i="5"/>
  <c r="E3365" i="5" s="1"/>
  <c r="O3368" i="5"/>
  <c r="O3370" i="5"/>
  <c r="O3367" i="5"/>
  <c r="D3372" i="5"/>
  <c r="I3374" i="5"/>
  <c r="I3375" i="5"/>
  <c r="S3365" i="5"/>
  <c r="W3365" i="5"/>
  <c r="AA3365" i="5"/>
  <c r="M252" i="40" s="1"/>
  <c r="I3435" i="5"/>
  <c r="I3434" i="5"/>
  <c r="S3425" i="5"/>
  <c r="AA3425" i="5"/>
  <c r="M147" i="40" s="1"/>
  <c r="W3425" i="5"/>
  <c r="O3433" i="5"/>
  <c r="D3427" i="5"/>
  <c r="O3428" i="5"/>
  <c r="L3431" i="5"/>
  <c r="D3431" i="5"/>
  <c r="E3431" i="5" s="1"/>
  <c r="E3439" i="5"/>
  <c r="O3448" i="5"/>
  <c r="L3438" i="5"/>
  <c r="O3442" i="5"/>
  <c r="L3472" i="5"/>
  <c r="L3468" i="5"/>
  <c r="D3477" i="5"/>
  <c r="H3479" i="5"/>
  <c r="H3480" i="5"/>
  <c r="E3469" i="5"/>
  <c r="S3475" i="5"/>
  <c r="W3475" i="5"/>
  <c r="D3474" i="5"/>
  <c r="L3490" i="5"/>
  <c r="D3487" i="5"/>
  <c r="S3490" i="5"/>
  <c r="W3490" i="5"/>
  <c r="E3484" i="5"/>
  <c r="O3489" i="5"/>
  <c r="O3484" i="5"/>
  <c r="L3483" i="5"/>
  <c r="O3487" i="5"/>
  <c r="D3456" i="5"/>
  <c r="O3454" i="5"/>
  <c r="D3462" i="5"/>
  <c r="F3465" i="5"/>
  <c r="F3464" i="5"/>
  <c r="L3461" i="5"/>
  <c r="O3463" i="5"/>
  <c r="O3382" i="5"/>
  <c r="O3378" i="5"/>
  <c r="L3388" i="5"/>
  <c r="L3378" i="5"/>
  <c r="D3388" i="5"/>
  <c r="L3290" i="5"/>
  <c r="O3295" i="5"/>
  <c r="O3288" i="5"/>
  <c r="O3292" i="5"/>
  <c r="I3299" i="5"/>
  <c r="I3300" i="5"/>
  <c r="W3290" i="5"/>
  <c r="AA3290" i="5"/>
  <c r="M198" i="40" s="1"/>
  <c r="S3290" i="5"/>
  <c r="L3298" i="5"/>
  <c r="O3274" i="5"/>
  <c r="L3281" i="5"/>
  <c r="W3280" i="5"/>
  <c r="S3280" i="5"/>
  <c r="D3282" i="5"/>
  <c r="E3282" i="5" s="1"/>
  <c r="I3284" i="5"/>
  <c r="I3285" i="5"/>
  <c r="W3275" i="5"/>
  <c r="S3275" i="5"/>
  <c r="AA3275" i="5"/>
  <c r="M228" i="40" s="1"/>
  <c r="O3396" i="5"/>
  <c r="D3402" i="5"/>
  <c r="H3404" i="5"/>
  <c r="H3405" i="5"/>
  <c r="S3396" i="5"/>
  <c r="W3396" i="5"/>
  <c r="L3849" i="5"/>
  <c r="D3852" i="5"/>
  <c r="L3843" i="5"/>
  <c r="O3847" i="5"/>
  <c r="D3853" i="5"/>
  <c r="L3853" i="5"/>
  <c r="D3849" i="5"/>
  <c r="E3829" i="5"/>
  <c r="O3828" i="5"/>
  <c r="D3832" i="5"/>
  <c r="E3832" i="5" s="1"/>
  <c r="D3837" i="5"/>
  <c r="D3834" i="5"/>
  <c r="L3831" i="5"/>
  <c r="L3866" i="5"/>
  <c r="L3864" i="5"/>
  <c r="D3865" i="5"/>
  <c r="O3868" i="5"/>
  <c r="D3866" i="5"/>
  <c r="E3866" i="5" s="1"/>
  <c r="H3870" i="5"/>
  <c r="H3869" i="5"/>
  <c r="AA3861" i="5" s="1"/>
  <c r="T258" i="40" s="1"/>
  <c r="L3804" i="5"/>
  <c r="P3804" i="5" s="1"/>
  <c r="D3800" i="5"/>
  <c r="E3800" i="5" s="1"/>
  <c r="E3799" i="5"/>
  <c r="L3801" i="5"/>
  <c r="D3807" i="5"/>
  <c r="E3807" i="5" s="1"/>
  <c r="F3810" i="5"/>
  <c r="F3809" i="5"/>
  <c r="L3805" i="5"/>
  <c r="O3740" i="5"/>
  <c r="L3741" i="5"/>
  <c r="L3740" i="5"/>
  <c r="L3748" i="5"/>
  <c r="L3731" i="5"/>
  <c r="S3728" i="5"/>
  <c r="W3728" i="5"/>
  <c r="E3724" i="5"/>
  <c r="I3734" i="5"/>
  <c r="I3735" i="5"/>
  <c r="W3725" i="5"/>
  <c r="S3725" i="5"/>
  <c r="AA3725" i="5"/>
  <c r="M217" i="40" s="1"/>
  <c r="L3732" i="5"/>
  <c r="O3728" i="5"/>
  <c r="D3788" i="5"/>
  <c r="E3784" i="5"/>
  <c r="L3790" i="5"/>
  <c r="P3790" i="5" s="1"/>
  <c r="L3791" i="5"/>
  <c r="L3788" i="5"/>
  <c r="L3787" i="5"/>
  <c r="P3787" i="5" s="1"/>
  <c r="D3791" i="5"/>
  <c r="H3704" i="5"/>
  <c r="AA3696" i="5" s="1"/>
  <c r="T133" i="40" s="1"/>
  <c r="H3705" i="5"/>
  <c r="O3694" i="5"/>
  <c r="O3700" i="5"/>
  <c r="O3702" i="5"/>
  <c r="D3701" i="5"/>
  <c r="E3701" i="5" s="1"/>
  <c r="L3694" i="5"/>
  <c r="P3694" i="5" s="1"/>
  <c r="D3697" i="5"/>
  <c r="S3816" i="5"/>
  <c r="W3816" i="5"/>
  <c r="I3824" i="5"/>
  <c r="I3825" i="5"/>
  <c r="S3815" i="5"/>
  <c r="W3815" i="5"/>
  <c r="AA3815" i="5"/>
  <c r="M163" i="40" s="1"/>
  <c r="L3814" i="5"/>
  <c r="O3816" i="5"/>
  <c r="O3823" i="5"/>
  <c r="L3821" i="5"/>
  <c r="P3821" i="5" s="1"/>
  <c r="O3768" i="5"/>
  <c r="O3773" i="5"/>
  <c r="O3769" i="5"/>
  <c r="L3770" i="5"/>
  <c r="P3770" i="5" s="1"/>
  <c r="L3778" i="5"/>
  <c r="O3776" i="5"/>
  <c r="D3775" i="5"/>
  <c r="E3775" i="5" s="1"/>
  <c r="O3667" i="5"/>
  <c r="O3664" i="5"/>
  <c r="D3672" i="5"/>
  <c r="E3672" i="5" s="1"/>
  <c r="D3670" i="5"/>
  <c r="E3670" i="5" s="1"/>
  <c r="E3664" i="5"/>
  <c r="L3665" i="5"/>
  <c r="L3607" i="5"/>
  <c r="P3607" i="5" s="1"/>
  <c r="O3606" i="5"/>
  <c r="D3716" i="5"/>
  <c r="E3716" i="5" s="1"/>
  <c r="D3711" i="5"/>
  <c r="O3714" i="5"/>
  <c r="F3720" i="5"/>
  <c r="F3719" i="5"/>
  <c r="O3715" i="5"/>
  <c r="L3758" i="5"/>
  <c r="O3753" i="5"/>
  <c r="L3756" i="5"/>
  <c r="D3762" i="5"/>
  <c r="E3762" i="5" s="1"/>
  <c r="D3756" i="5"/>
  <c r="E3756" i="5" s="1"/>
  <c r="L3761" i="5"/>
  <c r="O3755" i="5"/>
  <c r="D3760" i="5"/>
  <c r="E3760" i="5" s="1"/>
  <c r="L3754" i="5"/>
  <c r="O3652" i="5"/>
  <c r="D3655" i="5"/>
  <c r="E3655" i="5" s="1"/>
  <c r="O3648" i="5"/>
  <c r="D3640" i="5"/>
  <c r="E3640" i="5" s="1"/>
  <c r="D3641" i="5"/>
  <c r="O3639" i="5"/>
  <c r="D3643" i="5"/>
  <c r="H3644" i="5"/>
  <c r="W3636" i="5" s="1"/>
  <c r="H3645" i="5"/>
  <c r="D3642" i="5"/>
  <c r="E3642" i="5" s="1"/>
  <c r="I3689" i="5"/>
  <c r="I3690" i="5"/>
  <c r="AA3680" i="5"/>
  <c r="M136" i="40" s="1"/>
  <c r="S3680" i="5"/>
  <c r="W3680" i="5"/>
  <c r="F3689" i="5"/>
  <c r="F3690" i="5"/>
  <c r="L3686" i="5"/>
  <c r="D3684" i="5"/>
  <c r="E3684" i="5" s="1"/>
  <c r="L3684" i="5"/>
  <c r="E3679" i="5"/>
  <c r="L3688" i="5"/>
  <c r="O3626" i="5"/>
  <c r="D3625" i="5"/>
  <c r="E3625" i="5" s="1"/>
  <c r="O3628" i="5"/>
  <c r="L3628" i="5"/>
  <c r="D3626" i="5"/>
  <c r="E3626" i="5" s="1"/>
  <c r="L3626" i="5"/>
  <c r="P3626" i="5" s="1"/>
  <c r="L3517" i="5"/>
  <c r="E3514" i="5"/>
  <c r="O3516" i="5"/>
  <c r="L3502" i="5"/>
  <c r="D3501" i="5"/>
  <c r="E3501" i="5" s="1"/>
  <c r="L3507" i="5"/>
  <c r="F3509" i="5"/>
  <c r="F3510" i="5"/>
  <c r="O3498" i="5"/>
  <c r="O3501" i="5"/>
  <c r="O3505" i="5"/>
  <c r="L3544" i="5"/>
  <c r="O3550" i="5"/>
  <c r="D3546" i="5"/>
  <c r="L3548" i="5"/>
  <c r="L3547" i="5"/>
  <c r="P3547" i="5" s="1"/>
  <c r="O3551" i="5"/>
  <c r="L3591" i="5"/>
  <c r="H3600" i="5"/>
  <c r="H3599" i="5"/>
  <c r="AA3591" i="5" s="1"/>
  <c r="T233" i="40" s="1"/>
  <c r="D3594" i="5"/>
  <c r="E3594" i="5" s="1"/>
  <c r="L3592" i="5"/>
  <c r="P3592" i="5" s="1"/>
  <c r="D3596" i="5"/>
  <c r="O3534" i="5"/>
  <c r="L3533" i="5"/>
  <c r="D3532" i="5"/>
  <c r="S3535" i="5"/>
  <c r="W3535" i="5"/>
  <c r="O3531" i="5"/>
  <c r="O3536" i="5"/>
  <c r="L3581" i="5"/>
  <c r="L3576" i="5"/>
  <c r="P3576" i="5" s="1"/>
  <c r="H3584" i="5"/>
  <c r="W3576" i="5" s="1"/>
  <c r="H3585" i="5"/>
  <c r="L3573" i="5"/>
  <c r="O3577" i="5"/>
  <c r="O3578" i="5"/>
  <c r="D3567" i="5"/>
  <c r="E3567" i="5" s="1"/>
  <c r="L3561" i="5"/>
  <c r="P3561" i="5" s="1"/>
  <c r="O3558" i="5"/>
  <c r="O3564" i="5"/>
  <c r="L3567" i="5"/>
  <c r="D3370" i="5"/>
  <c r="E3370" i="5" s="1"/>
  <c r="D3371" i="5"/>
  <c r="D3369" i="5"/>
  <c r="E3364" i="5"/>
  <c r="L3369" i="5"/>
  <c r="L3363" i="5"/>
  <c r="L3367" i="5"/>
  <c r="P3367" i="5" s="1"/>
  <c r="O3373" i="5"/>
  <c r="O3427" i="5"/>
  <c r="O3429" i="5"/>
  <c r="O3431" i="5"/>
  <c r="L3446" i="5"/>
  <c r="O3443" i="5"/>
  <c r="F3450" i="5"/>
  <c r="F3449" i="5"/>
  <c r="O3438" i="5"/>
  <c r="L3442" i="5"/>
  <c r="P3442" i="5" s="1"/>
  <c r="S3445" i="5"/>
  <c r="W3445" i="5"/>
  <c r="L3471" i="5"/>
  <c r="O3469" i="5"/>
  <c r="F3480" i="5"/>
  <c r="F3479" i="5"/>
  <c r="O3468" i="5"/>
  <c r="O3472" i="5"/>
  <c r="L3475" i="5"/>
  <c r="L3491" i="5"/>
  <c r="L3486" i="5"/>
  <c r="L3488" i="5"/>
  <c r="D3493" i="5"/>
  <c r="D3490" i="5"/>
  <c r="E3490" i="5" s="1"/>
  <c r="D3459" i="5"/>
  <c r="E3459" i="5" s="1"/>
  <c r="O3459" i="5"/>
  <c r="D3455" i="5"/>
  <c r="E3455" i="5" s="1"/>
  <c r="F3390" i="5"/>
  <c r="F3389" i="5"/>
  <c r="L3379" i="5"/>
  <c r="O3385" i="5"/>
  <c r="L3384" i="5"/>
  <c r="D3387" i="5"/>
  <c r="D3384" i="5"/>
  <c r="E3384" i="5" s="1"/>
  <c r="D3293" i="5"/>
  <c r="D3291" i="5"/>
  <c r="D3290" i="5"/>
  <c r="E3290" i="5" s="1"/>
  <c r="L3273" i="5"/>
  <c r="O3283" i="5"/>
  <c r="O3280" i="5"/>
  <c r="O3275" i="5"/>
  <c r="L3278" i="5"/>
  <c r="L3277" i="5"/>
  <c r="O3281" i="5"/>
  <c r="O3397" i="5"/>
  <c r="O3850" i="5"/>
  <c r="L3851" i="5"/>
  <c r="O3844" i="5"/>
  <c r="D3846" i="5"/>
  <c r="O3831" i="5"/>
  <c r="O3837" i="5"/>
  <c r="O3838" i="5"/>
  <c r="L3835" i="5"/>
  <c r="P3835" i="5" s="1"/>
  <c r="H3839" i="5"/>
  <c r="H3840" i="5"/>
  <c r="W3831" i="5"/>
  <c r="S3831" i="5"/>
  <c r="O3858" i="5"/>
  <c r="D3867" i="5"/>
  <c r="E3867" i="5" s="1"/>
  <c r="I3869" i="5"/>
  <c r="I3870" i="5"/>
  <c r="AA3860" i="5"/>
  <c r="M258" i="40" s="1"/>
  <c r="W3860" i="5"/>
  <c r="S3860" i="5"/>
  <c r="D3864" i="5"/>
  <c r="E3864" i="5" s="1"/>
  <c r="S3865" i="5"/>
  <c r="W3865" i="5"/>
  <c r="L3860" i="5"/>
  <c r="L3863" i="5"/>
  <c r="L3862" i="5"/>
  <c r="P3862" i="5" s="1"/>
  <c r="O3866" i="5"/>
  <c r="O3798" i="5"/>
  <c r="I3809" i="5"/>
  <c r="I3810" i="5"/>
  <c r="W3800" i="5"/>
  <c r="AA3800" i="5"/>
  <c r="M210" i="40" s="1"/>
  <c r="S3800" i="5"/>
  <c r="O3802" i="5"/>
  <c r="L3799" i="5"/>
  <c r="L3742" i="5"/>
  <c r="S3743" i="5"/>
  <c r="W3743" i="5"/>
  <c r="AA3743" i="5"/>
  <c r="AH214" i="40" s="1"/>
  <c r="H3749" i="5"/>
  <c r="W3741" i="5" s="1"/>
  <c r="H3750" i="5"/>
  <c r="O3741" i="5"/>
  <c r="D3744" i="5"/>
  <c r="E3744" i="5" s="1"/>
  <c r="L3723" i="5"/>
  <c r="L3733" i="5"/>
  <c r="O3724" i="5"/>
  <c r="D3730" i="5"/>
  <c r="D3729" i="5"/>
  <c r="E3729" i="5" s="1"/>
  <c r="L3728" i="5"/>
  <c r="P3728" i="5" s="1"/>
  <c r="L3727" i="5"/>
  <c r="O3731" i="5"/>
  <c r="L3783" i="5"/>
  <c r="D3790" i="5"/>
  <c r="W3786" i="5"/>
  <c r="S3786" i="5"/>
  <c r="O3786" i="5"/>
  <c r="D3785" i="5"/>
  <c r="E3785" i="5" s="1"/>
  <c r="S3788" i="5"/>
  <c r="W3788" i="5"/>
  <c r="AA3788" i="5"/>
  <c r="AH130" i="40" s="1"/>
  <c r="D3792" i="5"/>
  <c r="E3792" i="5" s="1"/>
  <c r="D3793" i="5"/>
  <c r="D3696" i="5"/>
  <c r="L3702" i="5"/>
  <c r="P3702" i="5" s="1"/>
  <c r="I3705" i="5"/>
  <c r="I3704" i="5"/>
  <c r="W3695" i="5"/>
  <c r="S3695" i="5"/>
  <c r="AA3695" i="5"/>
  <c r="M133" i="40" s="1"/>
  <c r="S3700" i="5"/>
  <c r="W3700" i="5"/>
  <c r="D3698" i="5"/>
  <c r="O3697" i="5"/>
  <c r="L3822" i="5"/>
  <c r="P3822" i="5" s="1"/>
  <c r="O3814" i="5"/>
  <c r="L3820" i="5"/>
  <c r="D3818" i="5"/>
  <c r="D3817" i="5"/>
  <c r="E3817" i="5" s="1"/>
  <c r="D3819" i="5"/>
  <c r="E3819" i="5" s="1"/>
  <c r="D3772" i="5"/>
  <c r="E3772" i="5" s="1"/>
  <c r="D3773" i="5"/>
  <c r="L3776" i="5"/>
  <c r="P3776" i="5" s="1"/>
  <c r="L3771" i="5"/>
  <c r="P3771" i="5" s="1"/>
  <c r="L3768" i="5"/>
  <c r="O3775" i="5"/>
  <c r="L3670" i="5"/>
  <c r="P3670" i="5" s="1"/>
  <c r="O3673" i="5"/>
  <c r="O3666" i="5"/>
  <c r="L3671" i="5"/>
  <c r="L3668" i="5"/>
  <c r="P3668" i="5" s="1"/>
  <c r="D3607" i="5"/>
  <c r="E3607" i="5" s="1"/>
  <c r="D3612" i="5"/>
  <c r="E3612" i="5" s="1"/>
  <c r="S3610" i="5"/>
  <c r="W3610" i="5"/>
  <c r="O3604" i="5"/>
  <c r="L3612" i="5"/>
  <c r="D3609" i="5"/>
  <c r="L3608" i="5"/>
  <c r="P3608" i="5" s="1"/>
  <c r="D3714" i="5"/>
  <c r="E3714" i="5" s="1"/>
  <c r="S3713" i="5"/>
  <c r="W3713" i="5"/>
  <c r="AA3713" i="5"/>
  <c r="AH186" i="40" s="1"/>
  <c r="L3710" i="5"/>
  <c r="I3719" i="5"/>
  <c r="I3720" i="5"/>
  <c r="AA3710" i="5"/>
  <c r="M186" i="40" s="1"/>
  <c r="S3710" i="5"/>
  <c r="W3710" i="5"/>
  <c r="L3714" i="5"/>
  <c r="P3714" i="5" s="1"/>
  <c r="O3713" i="5"/>
  <c r="O3754" i="5"/>
  <c r="L3762" i="5"/>
  <c r="O3761" i="5"/>
  <c r="S3756" i="5"/>
  <c r="W3756" i="5"/>
  <c r="L3655" i="5"/>
  <c r="P3655" i="5" s="1"/>
  <c r="L3657" i="5"/>
  <c r="O3650" i="5"/>
  <c r="L3651" i="5"/>
  <c r="O3649" i="5"/>
  <c r="O3655" i="5"/>
  <c r="L3638" i="5"/>
  <c r="I3644" i="5"/>
  <c r="I3645" i="5"/>
  <c r="AA3635" i="5"/>
  <c r="M194" i="40" s="1"/>
  <c r="W3635" i="5"/>
  <c r="S3635" i="5"/>
  <c r="E3634" i="5"/>
  <c r="O3635" i="5"/>
  <c r="O3637" i="5"/>
  <c r="L3636" i="5"/>
  <c r="O3642" i="5"/>
  <c r="S3685" i="5"/>
  <c r="W3685" i="5"/>
  <c r="O3679" i="5"/>
  <c r="O3688" i="5"/>
  <c r="D3686" i="5"/>
  <c r="E3686" i="5" s="1"/>
  <c r="D3682" i="5"/>
  <c r="E3682" i="5" s="1"/>
  <c r="O3619" i="5"/>
  <c r="D3628" i="5"/>
  <c r="H3629" i="5"/>
  <c r="AA3621" i="5" s="1"/>
  <c r="T255" i="40" s="1"/>
  <c r="H3630" i="5"/>
  <c r="L3627" i="5"/>
  <c r="L3621" i="5"/>
  <c r="L3620" i="5"/>
  <c r="O3515" i="5"/>
  <c r="L3518" i="5"/>
  <c r="O3519" i="5"/>
  <c r="L3520" i="5"/>
  <c r="L3522" i="5"/>
  <c r="D3517" i="5"/>
  <c r="E3517" i="5" s="1"/>
  <c r="S3520" i="5"/>
  <c r="W3520" i="5"/>
  <c r="L3519" i="5"/>
  <c r="P3519" i="5" s="1"/>
  <c r="O3523" i="5"/>
  <c r="S3501" i="5"/>
  <c r="W3501" i="5"/>
  <c r="D3503" i="5"/>
  <c r="O3503" i="5"/>
  <c r="O3504" i="5"/>
  <c r="L3499" i="5"/>
  <c r="S3505" i="5"/>
  <c r="W3505" i="5"/>
  <c r="L3545" i="5"/>
  <c r="D3550" i="5"/>
  <c r="E3550" i="5" s="1"/>
  <c r="O3548" i="5"/>
  <c r="D3552" i="5"/>
  <c r="E3552" i="5" s="1"/>
  <c r="L3596" i="5"/>
  <c r="P3596" i="5" s="1"/>
  <c r="E3589" i="5"/>
  <c r="F3599" i="5"/>
  <c r="F3600" i="5"/>
  <c r="O3588" i="5"/>
  <c r="L3590" i="5"/>
  <c r="L3530" i="5"/>
  <c r="O3528" i="5"/>
  <c r="D3533" i="5"/>
  <c r="O3537" i="5"/>
  <c r="O3533" i="5"/>
  <c r="E3529" i="5"/>
  <c r="L3534" i="5"/>
  <c r="P3534" i="5" s="1"/>
  <c r="F3540" i="5"/>
  <c r="F3539" i="5"/>
  <c r="L3578" i="5"/>
  <c r="P3578" i="5" s="1"/>
  <c r="S3580" i="5"/>
  <c r="W3580" i="5"/>
  <c r="L3583" i="5"/>
  <c r="L3577" i="5"/>
  <c r="P3577" i="5" s="1"/>
  <c r="E3574" i="5"/>
  <c r="D3578" i="5"/>
  <c r="L3559" i="5"/>
  <c r="L3562" i="5"/>
  <c r="S3563" i="5"/>
  <c r="W3563" i="5"/>
  <c r="AA3563" i="5"/>
  <c r="AH184" i="40" s="1"/>
  <c r="O3568" i="5"/>
  <c r="L3568" i="5"/>
  <c r="S3366" i="5"/>
  <c r="W3366" i="5"/>
  <c r="O3366" i="5"/>
  <c r="O3372" i="5"/>
  <c r="D3368" i="5"/>
  <c r="F3375" i="5"/>
  <c r="F3374" i="5"/>
  <c r="O3423" i="5"/>
  <c r="L3425" i="5"/>
  <c r="F3434" i="5"/>
  <c r="F3435" i="5"/>
  <c r="D3426" i="5"/>
  <c r="E3426" i="5" s="1"/>
  <c r="L3432" i="5"/>
  <c r="H3449" i="5"/>
  <c r="AA3441" i="5" s="1"/>
  <c r="T168" i="40" s="1"/>
  <c r="H3450" i="5"/>
  <c r="D3445" i="5"/>
  <c r="I3449" i="5"/>
  <c r="I3450" i="5"/>
  <c r="W3440" i="5"/>
  <c r="AA3440" i="5"/>
  <c r="M168" i="40" s="1"/>
  <c r="S3440" i="5"/>
  <c r="O3439" i="5"/>
  <c r="D3444" i="5"/>
  <c r="E3444" i="5" s="1"/>
  <c r="O3444" i="5"/>
  <c r="L3439" i="5"/>
  <c r="P3439" i="5" s="1"/>
  <c r="D3472" i="5"/>
  <c r="E3472" i="5" s="1"/>
  <c r="L3474" i="5"/>
  <c r="I3479" i="5"/>
  <c r="I3480" i="5"/>
  <c r="W3470" i="5"/>
  <c r="S3470" i="5"/>
  <c r="AA3470" i="5"/>
  <c r="M177" i="40" s="1"/>
  <c r="O3475" i="5"/>
  <c r="O3471" i="5"/>
  <c r="D3473" i="5"/>
  <c r="D3476" i="5"/>
  <c r="D3486" i="5"/>
  <c r="L3489" i="5"/>
  <c r="P3489" i="5" s="1"/>
  <c r="I3494" i="5"/>
  <c r="I3495" i="5"/>
  <c r="AA3485" i="5"/>
  <c r="M137" i="40" s="1"/>
  <c r="W3485" i="5"/>
  <c r="S3485" i="5"/>
  <c r="D3488" i="5"/>
  <c r="S3488" i="5" s="1"/>
  <c r="L3492" i="5"/>
  <c r="O3485" i="5"/>
  <c r="L3484" i="5"/>
  <c r="P3484" i="5" s="1"/>
  <c r="H3464" i="5"/>
  <c r="S3456" i="5" s="1"/>
  <c r="H3465" i="5"/>
  <c r="L3453" i="5"/>
  <c r="E3454" i="5"/>
  <c r="L3454" i="5"/>
  <c r="P3454" i="5" s="1"/>
  <c r="O3458" i="5"/>
  <c r="L3463" i="5"/>
  <c r="O3460" i="5"/>
  <c r="I3389" i="5"/>
  <c r="I3390" i="5"/>
  <c r="S3380" i="5"/>
  <c r="AA3380" i="5"/>
  <c r="M253" i="40" s="1"/>
  <c r="W3380" i="5"/>
  <c r="E3379" i="5"/>
  <c r="O3383" i="5"/>
  <c r="O3379" i="5"/>
  <c r="O3387" i="5"/>
  <c r="O3384" i="5"/>
  <c r="L3288" i="5"/>
  <c r="P3288" i="5" s="1"/>
  <c r="W3291" i="5"/>
  <c r="S3291" i="5"/>
  <c r="D3292" i="5"/>
  <c r="E3292" i="5" s="1"/>
  <c r="O3298" i="5"/>
  <c r="O3291" i="5"/>
  <c r="L3295" i="5"/>
  <c r="P3295" i="5" s="1"/>
  <c r="L3275" i="5"/>
  <c r="P3275" i="5" s="1"/>
  <c r="L3283" i="5"/>
  <c r="D3275" i="5"/>
  <c r="E3275" i="5" s="1"/>
  <c r="F3285" i="5"/>
  <c r="F3284" i="5"/>
  <c r="L3282" i="5"/>
  <c r="O3276" i="5"/>
  <c r="F3405" i="5"/>
  <c r="F3404" i="5"/>
  <c r="O3393" i="5"/>
  <c r="O3853" i="5"/>
  <c r="O3845" i="5"/>
  <c r="D3850" i="5"/>
  <c r="E3850" i="5" s="1"/>
  <c r="L3844" i="5"/>
  <c r="P3844" i="5" s="1"/>
  <c r="O3849" i="5"/>
  <c r="L3846" i="5"/>
  <c r="P3846" i="5" s="1"/>
  <c r="D3851" i="5"/>
  <c r="E3851" i="5" s="1"/>
  <c r="O3833" i="5"/>
  <c r="D3833" i="5"/>
  <c r="L3828" i="5"/>
  <c r="D3836" i="5"/>
  <c r="E3836" i="5" s="1"/>
  <c r="L3833" i="5"/>
  <c r="P3833" i="5" s="1"/>
  <c r="L3832" i="5"/>
  <c r="O3863" i="5"/>
  <c r="O3860" i="5"/>
  <c r="O3865" i="5"/>
  <c r="L3858" i="5"/>
  <c r="D3861" i="5"/>
  <c r="E3861" i="5" s="1"/>
  <c r="L3867" i="5"/>
  <c r="P3867" i="5" s="1"/>
  <c r="O3799" i="5"/>
  <c r="L3800" i="5"/>
  <c r="P3800" i="5" s="1"/>
  <c r="O3808" i="5"/>
  <c r="L3807" i="5"/>
  <c r="D3746" i="5"/>
  <c r="E3746" i="5" s="1"/>
  <c r="O3742" i="5"/>
  <c r="D3742" i="5"/>
  <c r="E3742" i="5" s="1"/>
  <c r="O3748" i="5"/>
  <c r="L3745" i="5"/>
  <c r="P3745" i="5" s="1"/>
  <c r="F3735" i="5"/>
  <c r="F3734" i="5"/>
  <c r="D3726" i="5"/>
  <c r="E3726" i="5" s="1"/>
  <c r="O3732" i="5"/>
  <c r="O3730" i="5"/>
  <c r="O3792" i="5"/>
  <c r="L3784" i="5"/>
  <c r="P3784" i="5" s="1"/>
  <c r="D3789" i="5"/>
  <c r="E3789" i="5" s="1"/>
  <c r="L3697" i="5"/>
  <c r="P3697" i="5" s="1"/>
  <c r="O3703" i="5"/>
  <c r="D3815" i="5"/>
  <c r="E3815" i="5" s="1"/>
  <c r="W3820" i="5"/>
  <c r="S3820" i="5"/>
  <c r="O3815" i="5"/>
  <c r="L3816" i="5"/>
  <c r="P3816" i="5" s="1"/>
  <c r="O3817" i="5"/>
  <c r="O3819" i="5"/>
  <c r="F3825" i="5"/>
  <c r="F3824" i="5"/>
  <c r="L3777" i="5"/>
  <c r="O3774" i="5"/>
  <c r="L3772" i="5"/>
  <c r="S3775" i="5"/>
  <c r="W3775" i="5"/>
  <c r="L3664" i="5"/>
  <c r="P3664" i="5" s="1"/>
  <c r="L3672" i="5"/>
  <c r="D3668" i="5"/>
  <c r="S3668" i="5" s="1"/>
  <c r="O3671" i="5"/>
  <c r="L3667" i="5"/>
  <c r="P3667" i="5" s="1"/>
  <c r="S3666" i="5"/>
  <c r="W3666" i="5"/>
  <c r="F3675" i="5"/>
  <c r="F3674" i="5"/>
  <c r="D3608" i="5"/>
  <c r="S3608" i="5" s="1"/>
  <c r="O3609" i="5"/>
  <c r="L3604" i="5"/>
  <c r="P3604" i="5" s="1"/>
  <c r="I3615" i="5"/>
  <c r="I3614" i="5"/>
  <c r="S3605" i="5"/>
  <c r="W3605" i="5"/>
  <c r="AA3605" i="5"/>
  <c r="M257" i="40" s="1"/>
  <c r="E3604" i="5"/>
  <c r="L3713" i="5"/>
  <c r="P3713" i="5" s="1"/>
  <c r="O3708" i="5"/>
  <c r="L3716" i="5"/>
  <c r="O3710" i="5"/>
  <c r="L3717" i="5"/>
  <c r="O3759" i="5"/>
  <c r="W3758" i="5"/>
  <c r="S3758" i="5"/>
  <c r="D3757" i="5"/>
  <c r="E3757" i="5" s="1"/>
  <c r="L3755" i="5"/>
  <c r="P3755" i="5" s="1"/>
  <c r="E3649" i="5"/>
  <c r="O3651" i="5"/>
  <c r="L3656" i="5"/>
  <c r="L3633" i="5"/>
  <c r="O3641" i="5"/>
  <c r="L3634" i="5"/>
  <c r="L3641" i="5"/>
  <c r="P3641" i="5" s="1"/>
  <c r="O3643" i="5"/>
  <c r="O3680" i="5"/>
  <c r="L3681" i="5"/>
  <c r="O3678" i="5"/>
  <c r="O3682" i="5"/>
  <c r="L3683" i="5"/>
  <c r="L3685" i="5"/>
  <c r="D3627" i="5"/>
  <c r="E3627" i="5" s="1"/>
  <c r="O3618" i="5"/>
  <c r="O3627" i="5"/>
  <c r="O3621" i="5"/>
  <c r="L3513" i="5"/>
  <c r="O3518" i="5"/>
  <c r="O3521" i="5"/>
  <c r="D3520" i="5"/>
  <c r="O3517" i="5"/>
  <c r="O3513" i="5"/>
  <c r="W3503" i="5"/>
  <c r="E3499" i="5"/>
  <c r="D3507" i="5"/>
  <c r="E3507" i="5" s="1"/>
  <c r="O3545" i="5"/>
  <c r="D3545" i="5"/>
  <c r="E3545" i="5" s="1"/>
  <c r="O3546" i="5"/>
  <c r="O3552" i="5"/>
  <c r="L3543" i="5"/>
  <c r="P3543" i="5" s="1"/>
  <c r="O3553" i="5"/>
  <c r="D3595" i="5"/>
  <c r="E3595" i="5" s="1"/>
  <c r="L3593" i="5"/>
  <c r="P3593" i="5" s="1"/>
  <c r="L3594" i="5"/>
  <c r="P3594" i="5" s="1"/>
  <c r="L3588" i="5"/>
  <c r="D3591" i="5"/>
  <c r="E3591" i="5" s="1"/>
  <c r="D3531" i="5"/>
  <c r="E3531" i="5" s="1"/>
  <c r="D3538" i="5"/>
  <c r="W3531" i="5"/>
  <c r="S3531" i="5"/>
  <c r="L3535" i="5"/>
  <c r="P3535" i="5" s="1"/>
  <c r="L3532" i="5"/>
  <c r="O3538" i="5"/>
  <c r="O3574" i="5"/>
  <c r="O3573" i="5"/>
  <c r="L3580" i="5"/>
  <c r="P3580" i="5" s="1"/>
  <c r="F3585" i="5"/>
  <c r="F3584" i="5"/>
  <c r="L3574" i="5"/>
  <c r="P3574" i="5" s="1"/>
  <c r="D3575" i="5"/>
  <c r="E3575" i="5" s="1"/>
  <c r="O3582" i="5"/>
  <c r="O3563" i="5"/>
  <c r="O3562" i="5"/>
  <c r="I3569" i="5"/>
  <c r="I3570" i="5"/>
  <c r="S3560" i="5"/>
  <c r="AA3560" i="5"/>
  <c r="M184" i="40" s="1"/>
  <c r="W3560" i="5"/>
  <c r="O3567" i="5"/>
  <c r="E3559" i="5"/>
  <c r="F3570" i="5"/>
  <c r="F3569" i="5"/>
  <c r="S3368" i="5"/>
  <c r="W3368" i="5"/>
  <c r="AA3368" i="5"/>
  <c r="AH252" i="40" s="1"/>
  <c r="L3373" i="5"/>
  <c r="O3365" i="5"/>
  <c r="L3368" i="5"/>
  <c r="P3368" i="5" s="1"/>
  <c r="O3430" i="5"/>
  <c r="L3428" i="5"/>
  <c r="P3428" i="5" s="1"/>
  <c r="O3425" i="5"/>
  <c r="O3426" i="5"/>
  <c r="L3423" i="5"/>
  <c r="L3433" i="5"/>
  <c r="L3447" i="5"/>
  <c r="L3444" i="5"/>
  <c r="P3444" i="5" s="1"/>
  <c r="O3440" i="5"/>
  <c r="D3446" i="5"/>
  <c r="E3446" i="5" s="1"/>
  <c r="L3443" i="5"/>
  <c r="P3443" i="5" s="1"/>
  <c r="D3441" i="5"/>
  <c r="E3441" i="5" s="1"/>
  <c r="O3473" i="5"/>
  <c r="L3470" i="5"/>
  <c r="L3476" i="5"/>
  <c r="W3471" i="5"/>
  <c r="S3471" i="5"/>
  <c r="O3476" i="5"/>
  <c r="W3486" i="5"/>
  <c r="S3486" i="5"/>
  <c r="O3488" i="5"/>
  <c r="D3485" i="5"/>
  <c r="E3485" i="5" s="1"/>
  <c r="O3491" i="5"/>
  <c r="O3493" i="5"/>
  <c r="L3493" i="5"/>
  <c r="O3490" i="5"/>
  <c r="L3462" i="5"/>
  <c r="L3459" i="5"/>
  <c r="P3459" i="5" s="1"/>
  <c r="L3458" i="5"/>
  <c r="P3458" i="5" s="1"/>
  <c r="D3461" i="5"/>
  <c r="E3461" i="5" s="1"/>
  <c r="D3380" i="5"/>
  <c r="E3380" i="5" s="1"/>
  <c r="L3380" i="5"/>
  <c r="L3386" i="5"/>
  <c r="L3381" i="5"/>
  <c r="O3294" i="5"/>
  <c r="D3297" i="5"/>
  <c r="E3297" i="5" s="1"/>
  <c r="O3293" i="5"/>
  <c r="E3289" i="5"/>
  <c r="L3292" i="5"/>
  <c r="P3292" i="5" s="1"/>
  <c r="S3278" i="5"/>
  <c r="W3278" i="5"/>
  <c r="AA3278" i="5"/>
  <c r="AH228" i="40" s="1"/>
  <c r="E3274" i="5"/>
  <c r="O3277" i="5"/>
  <c r="O3398" i="5"/>
  <c r="E3394" i="5"/>
  <c r="L3399" i="5"/>
  <c r="I3404" i="5"/>
  <c r="I3405" i="5"/>
  <c r="S3395" i="5"/>
  <c r="W3395" i="5"/>
  <c r="AA3395" i="5"/>
  <c r="M139" i="40" s="1"/>
  <c r="L3394" i="5"/>
  <c r="S3850" i="5"/>
  <c r="W3850" i="5"/>
  <c r="O3848" i="5"/>
  <c r="F3855" i="5"/>
  <c r="F3854" i="5"/>
  <c r="D3848" i="5"/>
  <c r="W3848" i="5" s="1"/>
  <c r="L3850" i="5"/>
  <c r="P3850" i="5" s="1"/>
  <c r="L3848" i="5"/>
  <c r="P3848" i="5" s="1"/>
  <c r="D3847" i="5"/>
  <c r="E3847" i="5" s="1"/>
  <c r="O3851" i="5"/>
  <c r="L3829" i="5"/>
  <c r="P3829" i="5" s="1"/>
  <c r="S3833" i="5"/>
  <c r="W3833" i="5"/>
  <c r="AA3833" i="5"/>
  <c r="AH175" i="40" s="1"/>
  <c r="O3836" i="5"/>
  <c r="D3838" i="5"/>
  <c r="S3863" i="5"/>
  <c r="W3863" i="5"/>
  <c r="AA3863" i="5"/>
  <c r="AH258" i="40" s="1"/>
  <c r="F3869" i="5"/>
  <c r="F3870" i="5"/>
  <c r="L3859" i="5"/>
  <c r="O3861" i="5"/>
  <c r="L3868" i="5"/>
  <c r="O3807" i="5"/>
  <c r="O3805" i="5"/>
  <c r="O3801" i="5"/>
  <c r="L3798" i="5"/>
  <c r="P3798" i="5" s="1"/>
  <c r="L3806" i="5"/>
  <c r="P3806" i="5" s="1"/>
  <c r="L3803" i="5"/>
  <c r="P3803" i="5" s="1"/>
  <c r="D3804" i="5"/>
  <c r="E3804" i="5" s="1"/>
  <c r="L3808" i="5"/>
  <c r="O3747" i="5"/>
  <c r="L3746" i="5"/>
  <c r="O3744" i="5"/>
  <c r="O3738" i="5"/>
  <c r="O3727" i="5"/>
  <c r="L3724" i="5"/>
  <c r="P3724" i="5" s="1"/>
  <c r="O3726" i="5"/>
  <c r="O3785" i="5"/>
  <c r="L3792" i="5"/>
  <c r="P3792" i="5" s="1"/>
  <c r="O3791" i="5"/>
  <c r="F3794" i="5"/>
  <c r="F3795" i="5"/>
  <c r="I3795" i="5"/>
  <c r="I3794" i="5"/>
  <c r="S3785" i="5"/>
  <c r="AA3785" i="5"/>
  <c r="M130" i="40" s="1"/>
  <c r="W3785" i="5"/>
  <c r="L3789" i="5"/>
  <c r="P3789" i="5" s="1"/>
  <c r="O3793" i="5"/>
  <c r="O3789" i="5"/>
  <c r="O3699" i="5"/>
  <c r="O3698" i="5"/>
  <c r="O3701" i="5"/>
  <c r="S3698" i="5"/>
  <c r="W3698" i="5"/>
  <c r="AA3698" i="5"/>
  <c r="AH133" i="40" s="1"/>
  <c r="F3704" i="5"/>
  <c r="F3705" i="5"/>
  <c r="L3695" i="5"/>
  <c r="P3695" i="5" s="1"/>
  <c r="E3814" i="5"/>
  <c r="D3821" i="5"/>
  <c r="L3823" i="5"/>
  <c r="L3819" i="5"/>
  <c r="P3819" i="5" s="1"/>
  <c r="L3769" i="5"/>
  <c r="P3769" i="5" s="1"/>
  <c r="F3779" i="5"/>
  <c r="F3780" i="5"/>
  <c r="L3773" i="5"/>
  <c r="P3773" i="5" s="1"/>
  <c r="O3663" i="5"/>
  <c r="D3673" i="5"/>
  <c r="O3672" i="5"/>
  <c r="L3673" i="5"/>
  <c r="L3606" i="5"/>
  <c r="P3606" i="5" s="1"/>
  <c r="O3611" i="5"/>
  <c r="L3611" i="5"/>
  <c r="F3614" i="5"/>
  <c r="F3615" i="5"/>
  <c r="O3612" i="5"/>
  <c r="L3715" i="5"/>
  <c r="P3715" i="5" s="1"/>
  <c r="D3710" i="5"/>
  <c r="E3710" i="5" s="1"/>
  <c r="O3716" i="5"/>
  <c r="O3718" i="5"/>
  <c r="O3717" i="5"/>
  <c r="O3711" i="5"/>
  <c r="O3758" i="5"/>
  <c r="L3757" i="5"/>
  <c r="O3756" i="5"/>
  <c r="L3649" i="5"/>
  <c r="P3649" i="5" s="1"/>
  <c r="I3659" i="5"/>
  <c r="I3660" i="5"/>
  <c r="S3650" i="5"/>
  <c r="W3650" i="5"/>
  <c r="AA3650" i="5"/>
  <c r="M200" i="40" s="1"/>
  <c r="L3650" i="5"/>
  <c r="P3650" i="5" s="1"/>
  <c r="L3648" i="5"/>
  <c r="L3652" i="5"/>
  <c r="P3652" i="5" s="1"/>
  <c r="D3650" i="5"/>
  <c r="E3650" i="5" s="1"/>
  <c r="S3653" i="5"/>
  <c r="W3653" i="5"/>
  <c r="O3633" i="5"/>
  <c r="L3635" i="5"/>
  <c r="P3635" i="5" s="1"/>
  <c r="O3634" i="5"/>
  <c r="L3640" i="5"/>
  <c r="S3638" i="5"/>
  <c r="W3638" i="5"/>
  <c r="AA3638" i="5"/>
  <c r="AH194" i="40" s="1"/>
  <c r="L3679" i="5"/>
  <c r="P3679" i="5" s="1"/>
  <c r="L3623" i="5"/>
  <c r="P3623" i="5" s="1"/>
  <c r="D3622" i="5"/>
  <c r="E3622" i="5" s="1"/>
  <c r="O3620" i="5"/>
  <c r="F3630" i="5"/>
  <c r="F3629" i="5"/>
  <c r="S3623" i="5"/>
  <c r="W3623" i="5"/>
  <c r="AA3623" i="5"/>
  <c r="AH255" i="40" s="1"/>
  <c r="L3618" i="5"/>
  <c r="O3622" i="5"/>
  <c r="O3522" i="5"/>
  <c r="H3524" i="5"/>
  <c r="AA3516" i="5" s="1"/>
  <c r="T189" i="40" s="1"/>
  <c r="H3525" i="5"/>
  <c r="D3519" i="5"/>
  <c r="E3519" i="5" s="1"/>
  <c r="F3524" i="5"/>
  <c r="F3525" i="5"/>
  <c r="O3514" i="5"/>
  <c r="O3520" i="5"/>
  <c r="D3504" i="5"/>
  <c r="E3504" i="5" s="1"/>
  <c r="L3505" i="5"/>
  <c r="P3505" i="5" s="1"/>
  <c r="O3500" i="5"/>
  <c r="O3506" i="5"/>
  <c r="O3507" i="5"/>
  <c r="W3546" i="5"/>
  <c r="S3546" i="5"/>
  <c r="S3548" i="5"/>
  <c r="W3548" i="5"/>
  <c r="AA3548" i="5"/>
  <c r="AH193" i="40" s="1"/>
  <c r="L3553" i="5"/>
  <c r="F3555" i="5"/>
  <c r="F3554" i="5"/>
  <c r="O3549" i="5"/>
  <c r="O3598" i="5"/>
  <c r="L3598" i="5"/>
  <c r="O3597" i="5"/>
  <c r="I3599" i="5"/>
  <c r="I3600" i="5"/>
  <c r="S3590" i="5"/>
  <c r="AA3590" i="5"/>
  <c r="M233" i="40" s="1"/>
  <c r="W3590" i="5"/>
  <c r="L3589" i="5"/>
  <c r="O3591" i="5"/>
  <c r="L3537" i="5"/>
  <c r="P3537" i="5" s="1"/>
  <c r="O3529" i="5"/>
  <c r="O3530" i="5"/>
  <c r="D3536" i="5"/>
  <c r="E3536" i="5" s="1"/>
  <c r="L3536" i="5"/>
  <c r="P3536" i="5" s="1"/>
  <c r="I3539" i="5"/>
  <c r="I3540" i="5"/>
  <c r="W3530" i="5"/>
  <c r="AA3530" i="5"/>
  <c r="M169" i="40" s="1"/>
  <c r="S3530" i="5"/>
  <c r="O3575" i="5"/>
  <c r="L3582" i="5"/>
  <c r="P3582" i="5" s="1"/>
  <c r="O3579" i="5"/>
  <c r="I3584" i="5"/>
  <c r="I3585" i="5"/>
  <c r="AA3575" i="5"/>
  <c r="M181" i="40" s="1"/>
  <c r="S3575" i="5"/>
  <c r="W3575" i="5"/>
  <c r="D3580" i="5"/>
  <c r="E3580" i="5" s="1"/>
  <c r="O3583" i="5"/>
  <c r="L3560" i="5"/>
  <c r="P3560" i="5" s="1"/>
  <c r="L3564" i="5"/>
  <c r="P3564" i="5" s="1"/>
  <c r="L3565" i="5"/>
  <c r="O3363" i="5"/>
  <c r="O3364" i="5"/>
  <c r="L3371" i="5"/>
  <c r="L3365" i="5"/>
  <c r="P3365" i="5" s="1"/>
  <c r="L3370" i="5"/>
  <c r="P3370" i="5" s="1"/>
  <c r="L3424" i="5"/>
  <c r="L3429" i="5"/>
  <c r="P3429" i="5" s="1"/>
  <c r="L3445" i="5"/>
  <c r="O3445" i="5"/>
  <c r="L3448" i="5"/>
  <c r="L3441" i="5"/>
  <c r="L3440" i="5"/>
  <c r="P3440" i="5" s="1"/>
  <c r="O3474" i="5"/>
  <c r="L3473" i="5"/>
  <c r="P3473" i="5" s="1"/>
  <c r="D3475" i="5"/>
  <c r="E3475" i="5" s="1"/>
  <c r="L3477" i="5"/>
  <c r="O3492" i="5"/>
  <c r="L3485" i="5"/>
  <c r="P3485" i="5" s="1"/>
  <c r="O3457" i="5"/>
  <c r="D3463" i="5"/>
  <c r="I3464" i="5"/>
  <c r="I3465" i="5"/>
  <c r="S3455" i="5"/>
  <c r="AA3455" i="5"/>
  <c r="M142" i="40" s="1"/>
  <c r="W3455" i="5"/>
  <c r="O3456" i="5"/>
  <c r="L3387" i="5"/>
  <c r="P3387" i="5" s="1"/>
  <c r="D3386" i="5"/>
  <c r="E3386" i="5" s="1"/>
  <c r="O3289" i="5"/>
  <c r="L3291" i="5"/>
  <c r="P3291" i="5" s="1"/>
  <c r="S3293" i="5"/>
  <c r="W3293" i="5"/>
  <c r="AA3293" i="5"/>
  <c r="AH198" i="40" s="1"/>
  <c r="O3297" i="5"/>
  <c r="O3290" i="5"/>
  <c r="L3289" i="5"/>
  <c r="F3300" i="5"/>
  <c r="F3299" i="5"/>
  <c r="O3296" i="5"/>
  <c r="L3280" i="5"/>
  <c r="P3280" i="5" s="1"/>
  <c r="O3273" i="5"/>
  <c r="L3274" i="5"/>
  <c r="P3274" i="5" s="1"/>
  <c r="O3279" i="5"/>
  <c r="D3400" i="5"/>
  <c r="D3398" i="5"/>
  <c r="D3395" i="5"/>
  <c r="E3395" i="5" s="1"/>
  <c r="D3845" i="5"/>
  <c r="E3845" i="5" s="1"/>
  <c r="O3852" i="5"/>
  <c r="L3845" i="5"/>
  <c r="P3845" i="5" s="1"/>
  <c r="I3854" i="5"/>
  <c r="I3855" i="5"/>
  <c r="S3845" i="5"/>
  <c r="AA3845" i="5"/>
  <c r="M157" i="40" s="1"/>
  <c r="W3845" i="5"/>
  <c r="L3847" i="5"/>
  <c r="P3847" i="5" s="1"/>
  <c r="O3832" i="5"/>
  <c r="L3834" i="5"/>
  <c r="P3834" i="5" s="1"/>
  <c r="L3837" i="5"/>
  <c r="P3837" i="5" s="1"/>
  <c r="I3839" i="5"/>
  <c r="I3840" i="5"/>
  <c r="AA3830" i="5"/>
  <c r="M175" i="40" s="1"/>
  <c r="S3830" i="5"/>
  <c r="W3830" i="5"/>
  <c r="F3840" i="5"/>
  <c r="F3839" i="5"/>
  <c r="O3859" i="5"/>
  <c r="O3864" i="5"/>
  <c r="L3802" i="5"/>
  <c r="P3802" i="5" s="1"/>
  <c r="L3738" i="5"/>
  <c r="I3749" i="5"/>
  <c r="I3750" i="5"/>
  <c r="AA3740" i="5"/>
  <c r="M214" i="40" s="1"/>
  <c r="W3740" i="5"/>
  <c r="S3740" i="5"/>
  <c r="L3743" i="5"/>
  <c r="P3743" i="5" s="1"/>
  <c r="L3739" i="5"/>
  <c r="P3739" i="5" s="1"/>
  <c r="F3750" i="5"/>
  <c r="F3749" i="5"/>
  <c r="O3746" i="5"/>
  <c r="O3725" i="5"/>
  <c r="O3733" i="5"/>
  <c r="O3729" i="5"/>
  <c r="O3788" i="5"/>
  <c r="L3793" i="5"/>
  <c r="L3785" i="5"/>
  <c r="P3785" i="5" s="1"/>
  <c r="O3783" i="5"/>
  <c r="L3786" i="5"/>
  <c r="P3786" i="5" s="1"/>
  <c r="O3693" i="5"/>
  <c r="L3698" i="5"/>
  <c r="P3698" i="5" s="1"/>
  <c r="D3695" i="5"/>
  <c r="E3695" i="5" s="1"/>
  <c r="L3700" i="5"/>
  <c r="P3700" i="5" s="1"/>
  <c r="L3703" i="5"/>
  <c r="L3699" i="5"/>
  <c r="P3699" i="5" s="1"/>
  <c r="L3693" i="5"/>
  <c r="O3813" i="5"/>
  <c r="D3820" i="5"/>
  <c r="E3820" i="5" s="1"/>
  <c r="L3818" i="5"/>
  <c r="P3818" i="5" s="1"/>
  <c r="L3817" i="5"/>
  <c r="P3817" i="5" s="1"/>
  <c r="L3815" i="5"/>
  <c r="P3815" i="5" s="1"/>
  <c r="O3820" i="5"/>
  <c r="E3769" i="5"/>
  <c r="H3780" i="5"/>
  <c r="H3779" i="5"/>
  <c r="S3771" i="5" s="1"/>
  <c r="O3772" i="5"/>
  <c r="I3779" i="5"/>
  <c r="I3780" i="5"/>
  <c r="W3770" i="5"/>
  <c r="S3770" i="5"/>
  <c r="AA3770" i="5"/>
  <c r="M182" i="40" s="1"/>
  <c r="L3774" i="5"/>
  <c r="P3774" i="5" s="1"/>
  <c r="O3777" i="5"/>
  <c r="O3665" i="5"/>
  <c r="I3674" i="5"/>
  <c r="I3675" i="5"/>
  <c r="S3665" i="5"/>
  <c r="W3665" i="5"/>
  <c r="AA3665" i="5"/>
  <c r="M158" i="40" s="1"/>
  <c r="O3669" i="5"/>
  <c r="O3613" i="5"/>
  <c r="O3605" i="5"/>
  <c r="L3610" i="5"/>
  <c r="P3610" i="5" s="1"/>
  <c r="L3609" i="5"/>
  <c r="P3609" i="5" s="1"/>
  <c r="L3613" i="5"/>
  <c r="L3711" i="5"/>
  <c r="P3711" i="5" s="1"/>
  <c r="O3709" i="5"/>
  <c r="S3715" i="5"/>
  <c r="W3715" i="5"/>
  <c r="O3762" i="5"/>
  <c r="L3763" i="5"/>
  <c r="O3760" i="5"/>
  <c r="L3760" i="5"/>
  <c r="P3760" i="5" s="1"/>
  <c r="F3765" i="5"/>
  <c r="F3764" i="5"/>
  <c r="L3753" i="5"/>
  <c r="P3753" i="5" s="1"/>
  <c r="O3757" i="5"/>
  <c r="D3651" i="5"/>
  <c r="E3651" i="5" s="1"/>
  <c r="O3656" i="5"/>
  <c r="O3657" i="5"/>
  <c r="O3653" i="5"/>
  <c r="L3658" i="5"/>
  <c r="F3645" i="5"/>
  <c r="F3644" i="5"/>
  <c r="O3636" i="5"/>
  <c r="O3638" i="5"/>
  <c r="L3643" i="5"/>
  <c r="O3640" i="5"/>
  <c r="L3682" i="5"/>
  <c r="P3682" i="5" s="1"/>
  <c r="O3684" i="5"/>
  <c r="O3683" i="5"/>
  <c r="O3686" i="5"/>
  <c r="O3681" i="5"/>
  <c r="O3687" i="5"/>
  <c r="O3685" i="5"/>
  <c r="L3622" i="5"/>
  <c r="P3622" i="5" s="1"/>
  <c r="O3625" i="5"/>
  <c r="I3629" i="5"/>
  <c r="I3630" i="5"/>
  <c r="W3620" i="5"/>
  <c r="S3620" i="5"/>
  <c r="AA3620" i="5"/>
  <c r="M255" i="40" s="1"/>
  <c r="E3619" i="5"/>
  <c r="L3624" i="5"/>
  <c r="P3624" i="5" s="1"/>
  <c r="I3525" i="5"/>
  <c r="I3524" i="5"/>
  <c r="W3515" i="5"/>
  <c r="S3515" i="5"/>
  <c r="AA3515" i="5"/>
  <c r="M189" i="40" s="1"/>
  <c r="L3514" i="5"/>
  <c r="P3514" i="5" s="1"/>
  <c r="L3521" i="5"/>
  <c r="P3521" i="5" s="1"/>
  <c r="L3500" i="5"/>
  <c r="O3499" i="5"/>
  <c r="O3502" i="5"/>
  <c r="L3506" i="5"/>
  <c r="P3506" i="5" s="1"/>
  <c r="L3501" i="5"/>
  <c r="P3501" i="5" s="1"/>
  <c r="O3508" i="5"/>
  <c r="L3549" i="5"/>
  <c r="P3549" i="5" s="1"/>
  <c r="L3552" i="5"/>
  <c r="P3552" i="5" s="1"/>
  <c r="O3544" i="5"/>
  <c r="L3551" i="5"/>
  <c r="P3551" i="5" s="1"/>
  <c r="L3546" i="5"/>
  <c r="P3546" i="5" s="1"/>
  <c r="O3589" i="5"/>
  <c r="L3597" i="5"/>
  <c r="P3597" i="5" s="1"/>
  <c r="W3591" i="5"/>
  <c r="S3591" i="5"/>
  <c r="O3590" i="5"/>
  <c r="L3595" i="5"/>
  <c r="P3595" i="5" s="1"/>
  <c r="L3529" i="5"/>
  <c r="P3529" i="5" s="1"/>
  <c r="O3532" i="5"/>
  <c r="S3533" i="5"/>
  <c r="W3533" i="5"/>
  <c r="D3537" i="5"/>
  <c r="E3537" i="5" s="1"/>
  <c r="L3531" i="5"/>
  <c r="P3531" i="5" s="1"/>
  <c r="W3578" i="5"/>
  <c r="S3578" i="5"/>
  <c r="AA3578" i="5"/>
  <c r="AH181" i="40" s="1"/>
  <c r="O3581" i="5"/>
  <c r="L3575" i="5"/>
  <c r="P3575" i="5" s="1"/>
  <c r="O3559" i="5"/>
  <c r="O3565" i="5"/>
  <c r="L3364" i="5"/>
  <c r="P3364" i="5" s="1"/>
  <c r="O3369" i="5"/>
  <c r="L3372" i="5"/>
  <c r="P3372" i="5" s="1"/>
  <c r="L3366" i="5"/>
  <c r="P3366" i="5" s="1"/>
  <c r="O3371" i="5"/>
  <c r="L3426" i="5"/>
  <c r="P3426" i="5" s="1"/>
  <c r="L3427" i="5"/>
  <c r="P3427" i="5" s="1"/>
  <c r="O3424" i="5"/>
  <c r="S3428" i="5"/>
  <c r="W3428" i="5"/>
  <c r="AA3428" i="5"/>
  <c r="AH147" i="40" s="1"/>
  <c r="O3432" i="5"/>
  <c r="L3430" i="5"/>
  <c r="P3430" i="5" s="1"/>
  <c r="O3446" i="5"/>
  <c r="O3447" i="5"/>
  <c r="O3441" i="5"/>
  <c r="O3477" i="5"/>
  <c r="L3469" i="5"/>
  <c r="P3469" i="5" s="1"/>
  <c r="O3478" i="5"/>
  <c r="O3470" i="5"/>
  <c r="L3478" i="5"/>
  <c r="F3495" i="5"/>
  <c r="F3494" i="5"/>
  <c r="L3487" i="5"/>
  <c r="P3487" i="5" s="1"/>
  <c r="O3483" i="5"/>
  <c r="O3486" i="5"/>
  <c r="L3460" i="5"/>
  <c r="P3460" i="5" s="1"/>
  <c r="O3461" i="5"/>
  <c r="O3455" i="5"/>
  <c r="L3455" i="5"/>
  <c r="O3453" i="5"/>
  <c r="L3457" i="5"/>
  <c r="P3457" i="5" s="1"/>
  <c r="L3456" i="5"/>
  <c r="P3456" i="5" s="1"/>
  <c r="O3462" i="5"/>
  <c r="O3388" i="5"/>
  <c r="O3386" i="5"/>
  <c r="O3380" i="5"/>
  <c r="O3381" i="5"/>
  <c r="L3385" i="5"/>
  <c r="P3385" i="5" s="1"/>
  <c r="L3383" i="5"/>
  <c r="P3383" i="5" s="1"/>
  <c r="L3382" i="5"/>
  <c r="P3382" i="5" s="1"/>
  <c r="L3296" i="5"/>
  <c r="P3296" i="5" s="1"/>
  <c r="L3294" i="5"/>
  <c r="P3294" i="5" s="1"/>
  <c r="L3293" i="5"/>
  <c r="P3293" i="5" s="1"/>
  <c r="L3297" i="5"/>
  <c r="P3297" i="5" s="1"/>
  <c r="O3282" i="5"/>
  <c r="O3278" i="5"/>
  <c r="L3279" i="5"/>
  <c r="P3279" i="5" s="1"/>
  <c r="L3276" i="5"/>
  <c r="P3276" i="5" s="1"/>
  <c r="O3395" i="5"/>
  <c r="D3401" i="5"/>
  <c r="E3401" i="5" s="1"/>
  <c r="L3401" i="5"/>
  <c r="D3396" i="5"/>
  <c r="E3396" i="5" s="1"/>
  <c r="L3395" i="5"/>
  <c r="P3395" i="5" s="1"/>
  <c r="L3400" i="5"/>
  <c r="O3338" i="5"/>
  <c r="L3343" i="5"/>
  <c r="F3344" i="5"/>
  <c r="F3345" i="5"/>
  <c r="L3338" i="5"/>
  <c r="P3338" i="5" s="1"/>
  <c r="H3344" i="5"/>
  <c r="H3345" i="5"/>
  <c r="D3335" i="5"/>
  <c r="E3335" i="5" s="1"/>
  <c r="L3326" i="5"/>
  <c r="L3327" i="5"/>
  <c r="S3321" i="5"/>
  <c r="W3321" i="5"/>
  <c r="D3328" i="5"/>
  <c r="L3323" i="5"/>
  <c r="F3329" i="5"/>
  <c r="F3330" i="5"/>
  <c r="O3325" i="5"/>
  <c r="O3409" i="5"/>
  <c r="S3415" i="5"/>
  <c r="W3415" i="5"/>
  <c r="L3413" i="5"/>
  <c r="D3415" i="5"/>
  <c r="E3415" i="5" s="1"/>
  <c r="D3410" i="5"/>
  <c r="E3410" i="5" s="1"/>
  <c r="D3413" i="5"/>
  <c r="O3412" i="5"/>
  <c r="O3418" i="5"/>
  <c r="D3353" i="5"/>
  <c r="O3357" i="5"/>
  <c r="O3352" i="5"/>
  <c r="O3351" i="5"/>
  <c r="O3356" i="5"/>
  <c r="O3349" i="5"/>
  <c r="L3264" i="5"/>
  <c r="O3258" i="5"/>
  <c r="F3270" i="5"/>
  <c r="F3269" i="5"/>
  <c r="I3269" i="5"/>
  <c r="I3270" i="5"/>
  <c r="W3260" i="5"/>
  <c r="S3260" i="5"/>
  <c r="AA3260" i="5"/>
  <c r="M173" i="40" s="1"/>
  <c r="L3262" i="5"/>
  <c r="D3263" i="5"/>
  <c r="L3260" i="5"/>
  <c r="L3244" i="5"/>
  <c r="L3249" i="5"/>
  <c r="L3250" i="5"/>
  <c r="O3253" i="5"/>
  <c r="D3251" i="5"/>
  <c r="I3255" i="5"/>
  <c r="I3254" i="5"/>
  <c r="W3245" i="5"/>
  <c r="S3245" i="5"/>
  <c r="AA3245" i="5"/>
  <c r="M251" i="40" s="1"/>
  <c r="F3254" i="5"/>
  <c r="F3255" i="5"/>
  <c r="L3253" i="5"/>
  <c r="O3249" i="5"/>
  <c r="L3174" i="5"/>
  <c r="O3175" i="5"/>
  <c r="O3168" i="5"/>
  <c r="O3169" i="5"/>
  <c r="L3168" i="5"/>
  <c r="D3158" i="5"/>
  <c r="O3159" i="5"/>
  <c r="O3161" i="5"/>
  <c r="S3160" i="5"/>
  <c r="W3160" i="5"/>
  <c r="L3162" i="5"/>
  <c r="L3095" i="5"/>
  <c r="D3101" i="5"/>
  <c r="E3101" i="5" s="1"/>
  <c r="L3093" i="5"/>
  <c r="O3097" i="5"/>
  <c r="E3094" i="5"/>
  <c r="L3101" i="5"/>
  <c r="D3309" i="5"/>
  <c r="O3312" i="5"/>
  <c r="O3305" i="5"/>
  <c r="D3310" i="5"/>
  <c r="O3313" i="5"/>
  <c r="O3306" i="5"/>
  <c r="O3235" i="5"/>
  <c r="L3228" i="5"/>
  <c r="O3238" i="5"/>
  <c r="L3238" i="5"/>
  <c r="L3237" i="5"/>
  <c r="D3235" i="5"/>
  <c r="E3235" i="5" s="1"/>
  <c r="E3214" i="5"/>
  <c r="O3217" i="5"/>
  <c r="O3215" i="5"/>
  <c r="L3223" i="5"/>
  <c r="O3222" i="5"/>
  <c r="S3130" i="5"/>
  <c r="W3130" i="5"/>
  <c r="D3126" i="5"/>
  <c r="E3126" i="5" s="1"/>
  <c r="O3129" i="5"/>
  <c r="D3132" i="5"/>
  <c r="D3117" i="5"/>
  <c r="E3117" i="5" s="1"/>
  <c r="L3118" i="5"/>
  <c r="O3111" i="5"/>
  <c r="L3108" i="5"/>
  <c r="O3112" i="5"/>
  <c r="L3111" i="5"/>
  <c r="L3040" i="5"/>
  <c r="O3034" i="5"/>
  <c r="L3043" i="5"/>
  <c r="O3040" i="5"/>
  <c r="L3036" i="5"/>
  <c r="D3041" i="5"/>
  <c r="E3041" i="5" s="1"/>
  <c r="D3028" i="5"/>
  <c r="L3023" i="5"/>
  <c r="O3027" i="5"/>
  <c r="L3021" i="5"/>
  <c r="O3025" i="5"/>
  <c r="O3022" i="5"/>
  <c r="L3027" i="5"/>
  <c r="P3027" i="5" s="1"/>
  <c r="O3185" i="5"/>
  <c r="O3189" i="5"/>
  <c r="O3192" i="5"/>
  <c r="O2990" i="5"/>
  <c r="L2996" i="5"/>
  <c r="D2990" i="5"/>
  <c r="E2990" i="5" s="1"/>
  <c r="O2991" i="5"/>
  <c r="D2996" i="5"/>
  <c r="O2998" i="5"/>
  <c r="D3069" i="5"/>
  <c r="E3069" i="5" s="1"/>
  <c r="D3070" i="5"/>
  <c r="D3068" i="5"/>
  <c r="O3053" i="5"/>
  <c r="O3056" i="5"/>
  <c r="O3055" i="5"/>
  <c r="D3054" i="5"/>
  <c r="E3054" i="5" s="1"/>
  <c r="L3053" i="5"/>
  <c r="P3053" i="5" s="1"/>
  <c r="L3058" i="5"/>
  <c r="O3199" i="5"/>
  <c r="D3206" i="5"/>
  <c r="H3209" i="5"/>
  <c r="H3210" i="5"/>
  <c r="D3207" i="5"/>
  <c r="E3207" i="5" s="1"/>
  <c r="S3201" i="5"/>
  <c r="W3201" i="5"/>
  <c r="L3206" i="5"/>
  <c r="L3199" i="5"/>
  <c r="P3199" i="5" s="1"/>
  <c r="D3202" i="5"/>
  <c r="D3146" i="5"/>
  <c r="L3139" i="5"/>
  <c r="L3140" i="5"/>
  <c r="L3138" i="5"/>
  <c r="O3148" i="5"/>
  <c r="D3145" i="5"/>
  <c r="O3084" i="5"/>
  <c r="I3089" i="5"/>
  <c r="I3090" i="5"/>
  <c r="S3080" i="5"/>
  <c r="W3080" i="5"/>
  <c r="AA3080" i="5"/>
  <c r="M213" i="40" s="1"/>
  <c r="D3082" i="5"/>
  <c r="D3085" i="5"/>
  <c r="E3085" i="5" s="1"/>
  <c r="S3085" i="5"/>
  <c r="W3085" i="5"/>
  <c r="L3010" i="5"/>
  <c r="L3005" i="5"/>
  <c r="L3013" i="5"/>
  <c r="O3008" i="5"/>
  <c r="F3015" i="5"/>
  <c r="F3014" i="5"/>
  <c r="O2915" i="5"/>
  <c r="L2915" i="5"/>
  <c r="P2915" i="5" s="1"/>
  <c r="D2922" i="5"/>
  <c r="E2922" i="5" s="1"/>
  <c r="D2921" i="5"/>
  <c r="E2921" i="5" s="1"/>
  <c r="L2921" i="5"/>
  <c r="L2922" i="5"/>
  <c r="O2919" i="5"/>
  <c r="L2976" i="5"/>
  <c r="O2983" i="5"/>
  <c r="L2982" i="5"/>
  <c r="O2829" i="5"/>
  <c r="D2825" i="5"/>
  <c r="E2825" i="5" s="1"/>
  <c r="O2831" i="5"/>
  <c r="D2826" i="5"/>
  <c r="O2833" i="5"/>
  <c r="O2824" i="5"/>
  <c r="D2832" i="5"/>
  <c r="E2832" i="5" s="1"/>
  <c r="D2937" i="5"/>
  <c r="E2937" i="5" s="1"/>
  <c r="L2936" i="5"/>
  <c r="O2929" i="5"/>
  <c r="H2939" i="5"/>
  <c r="S2931" i="5" s="1"/>
  <c r="H2940" i="5"/>
  <c r="O2936" i="5"/>
  <c r="O2889" i="5"/>
  <c r="O2883" i="5"/>
  <c r="O2886" i="5"/>
  <c r="D2891" i="5"/>
  <c r="E2891" i="5" s="1"/>
  <c r="I2895" i="5"/>
  <c r="I2894" i="5"/>
  <c r="S2885" i="5"/>
  <c r="W2885" i="5"/>
  <c r="AA2885" i="5"/>
  <c r="M166" i="40" s="1"/>
  <c r="S2886" i="5"/>
  <c r="W2886" i="5"/>
  <c r="L2891" i="5"/>
  <c r="O2888" i="5"/>
  <c r="E2869" i="5"/>
  <c r="D2874" i="5"/>
  <c r="E2874" i="5" s="1"/>
  <c r="D2876" i="5"/>
  <c r="O2870" i="5"/>
  <c r="L2875" i="5"/>
  <c r="L2876" i="5"/>
  <c r="D2872" i="5"/>
  <c r="O2860" i="5"/>
  <c r="I2864" i="5"/>
  <c r="I2865" i="5"/>
  <c r="S2855" i="5"/>
  <c r="W2855" i="5"/>
  <c r="AA2855" i="5"/>
  <c r="M196" i="40" s="1"/>
  <c r="D2860" i="5"/>
  <c r="E2860" i="5" s="1"/>
  <c r="L2862" i="5"/>
  <c r="E2959" i="5"/>
  <c r="O2964" i="5"/>
  <c r="L2965" i="5"/>
  <c r="O2963" i="5"/>
  <c r="D2962" i="5"/>
  <c r="E2962" i="5" s="1"/>
  <c r="D2960" i="5"/>
  <c r="E2960" i="5" s="1"/>
  <c r="O2943" i="5"/>
  <c r="D2948" i="5"/>
  <c r="D2950" i="5"/>
  <c r="E2950" i="5" s="1"/>
  <c r="O2948" i="5"/>
  <c r="I2954" i="5"/>
  <c r="I2955" i="5"/>
  <c r="S2945" i="5"/>
  <c r="W2945" i="5"/>
  <c r="AA2945" i="5"/>
  <c r="M247" i="40" s="1"/>
  <c r="L2943" i="5"/>
  <c r="P2943" i="5" s="1"/>
  <c r="O2947" i="5"/>
  <c r="L2902" i="5"/>
  <c r="O2908" i="5"/>
  <c r="D2903" i="5"/>
  <c r="O2904" i="5"/>
  <c r="S2905" i="5"/>
  <c r="W2905" i="5"/>
  <c r="L2844" i="5"/>
  <c r="L2847" i="5"/>
  <c r="O2842" i="5"/>
  <c r="O2844" i="5"/>
  <c r="L2769" i="5"/>
  <c r="L2765" i="5"/>
  <c r="L2766" i="5"/>
  <c r="D2771" i="5"/>
  <c r="E2771" i="5" s="1"/>
  <c r="L2772" i="5"/>
  <c r="O2749" i="5"/>
  <c r="O2748" i="5"/>
  <c r="O2752" i="5"/>
  <c r="S2755" i="5"/>
  <c r="W2755" i="5"/>
  <c r="D2752" i="5"/>
  <c r="S2751" i="5"/>
  <c r="W2751" i="5"/>
  <c r="L2810" i="5"/>
  <c r="D2816" i="5"/>
  <c r="O2813" i="5"/>
  <c r="E2809" i="5"/>
  <c r="I2744" i="5"/>
  <c r="I2745" i="5"/>
  <c r="W2735" i="5"/>
  <c r="S2735" i="5"/>
  <c r="AA2735" i="5"/>
  <c r="M205" i="40" s="1"/>
  <c r="L2736" i="5"/>
  <c r="O2739" i="5"/>
  <c r="D2739" i="5"/>
  <c r="E2739" i="5" s="1"/>
  <c r="D2740" i="5"/>
  <c r="F2789" i="5"/>
  <c r="F2790" i="5"/>
  <c r="O2778" i="5"/>
  <c r="L2781" i="5"/>
  <c r="L2780" i="5"/>
  <c r="O2674" i="5"/>
  <c r="O2682" i="5"/>
  <c r="L2675" i="5"/>
  <c r="D2677" i="5"/>
  <c r="I2684" i="5"/>
  <c r="I2685" i="5"/>
  <c r="W2675" i="5"/>
  <c r="S2675" i="5"/>
  <c r="AA2675" i="5"/>
  <c r="M208" i="40" s="1"/>
  <c r="L2677" i="5"/>
  <c r="F2685" i="5"/>
  <c r="F2684" i="5"/>
  <c r="O2662" i="5"/>
  <c r="L2665" i="5"/>
  <c r="H2669" i="5"/>
  <c r="W2661" i="5" s="1"/>
  <c r="H2670" i="5"/>
  <c r="D2802" i="5"/>
  <c r="O2795" i="5"/>
  <c r="O2794" i="5"/>
  <c r="D2799" i="5"/>
  <c r="L2794" i="5"/>
  <c r="P2794" i="5" s="1"/>
  <c r="D2797" i="5"/>
  <c r="E2797" i="5" s="1"/>
  <c r="L2644" i="5"/>
  <c r="O2646" i="5"/>
  <c r="L2653" i="5"/>
  <c r="D2649" i="5"/>
  <c r="E2649" i="5" s="1"/>
  <c r="E2644" i="5"/>
  <c r="L2651" i="5"/>
  <c r="O2653" i="5"/>
  <c r="O2721" i="5"/>
  <c r="O2726" i="5"/>
  <c r="L2721" i="5"/>
  <c r="P2721" i="5" s="1"/>
  <c r="L2726" i="5"/>
  <c r="P2726" i="5" s="1"/>
  <c r="L2718" i="5"/>
  <c r="O2725" i="5"/>
  <c r="H2714" i="5"/>
  <c r="AA2706" i="5" s="1"/>
  <c r="T216" i="40" s="1"/>
  <c r="H2715" i="5"/>
  <c r="S2706" i="5"/>
  <c r="D2712" i="5"/>
  <c r="E2712" i="5" s="1"/>
  <c r="O2708" i="5"/>
  <c r="D2710" i="5"/>
  <c r="L2703" i="5"/>
  <c r="D2706" i="5"/>
  <c r="E2706" i="5" s="1"/>
  <c r="L2712" i="5"/>
  <c r="O2690" i="5"/>
  <c r="L2694" i="5"/>
  <c r="S2695" i="5"/>
  <c r="W2695" i="5"/>
  <c r="L2689" i="5"/>
  <c r="O2691" i="5"/>
  <c r="L2698" i="5"/>
  <c r="D2694" i="5"/>
  <c r="E2694" i="5" s="1"/>
  <c r="O2605" i="5"/>
  <c r="L2604" i="5"/>
  <c r="O2601" i="5"/>
  <c r="O2604" i="5"/>
  <c r="O2636" i="5"/>
  <c r="D2632" i="5"/>
  <c r="O2629" i="5"/>
  <c r="O2637" i="5"/>
  <c r="L2630" i="5"/>
  <c r="O2524" i="5"/>
  <c r="O2530" i="5"/>
  <c r="L2525" i="5"/>
  <c r="O2531" i="5"/>
  <c r="D2533" i="5"/>
  <c r="L2533" i="5"/>
  <c r="F2460" i="5"/>
  <c r="F2459" i="5"/>
  <c r="W2455" i="5"/>
  <c r="S2455" i="5"/>
  <c r="O2455" i="5"/>
  <c r="D2454" i="5"/>
  <c r="O2433" i="5"/>
  <c r="D2440" i="5"/>
  <c r="E2440" i="5" s="1"/>
  <c r="O2437" i="5"/>
  <c r="L2440" i="5"/>
  <c r="H2444" i="5"/>
  <c r="W2436" i="5" s="1"/>
  <c r="H2445" i="5"/>
  <c r="O2361" i="5"/>
  <c r="D2360" i="5"/>
  <c r="E2360" i="5" s="1"/>
  <c r="O2368" i="5"/>
  <c r="D2368" i="5"/>
  <c r="L2368" i="5"/>
  <c r="D2364" i="5"/>
  <c r="E2364" i="5" s="1"/>
  <c r="O2351" i="5"/>
  <c r="O2344" i="5"/>
  <c r="O2350" i="5"/>
  <c r="E2344" i="5"/>
  <c r="O2352" i="5"/>
  <c r="D2348" i="5"/>
  <c r="L2346" i="5"/>
  <c r="S2515" i="5"/>
  <c r="W2515" i="5"/>
  <c r="L2509" i="5"/>
  <c r="O2511" i="5"/>
  <c r="L2518" i="5"/>
  <c r="D2514" i="5"/>
  <c r="E2514" i="5" s="1"/>
  <c r="E2509" i="5"/>
  <c r="L2516" i="5"/>
  <c r="D2422" i="5"/>
  <c r="E2422" i="5" s="1"/>
  <c r="O2424" i="5"/>
  <c r="O2419" i="5"/>
  <c r="L2587" i="5"/>
  <c r="D2588" i="5"/>
  <c r="D2590" i="5"/>
  <c r="E2590" i="5" s="1"/>
  <c r="O2586" i="5"/>
  <c r="L2592" i="5"/>
  <c r="L2586" i="5"/>
  <c r="D2586" i="5"/>
  <c r="D2585" i="5"/>
  <c r="E2585" i="5" s="1"/>
  <c r="O2496" i="5"/>
  <c r="L2502" i="5"/>
  <c r="O2493" i="5"/>
  <c r="L2501" i="5"/>
  <c r="O2498" i="5"/>
  <c r="L2487" i="5"/>
  <c r="I2489" i="5"/>
  <c r="I2490" i="5"/>
  <c r="S2480" i="5"/>
  <c r="W2480" i="5"/>
  <c r="AA2480" i="5"/>
  <c r="M172" i="40" s="1"/>
  <c r="F2490" i="5"/>
  <c r="F2489" i="5"/>
  <c r="O2478" i="5"/>
  <c r="D2485" i="5"/>
  <c r="E2485" i="5" s="1"/>
  <c r="D2487" i="5"/>
  <c r="O2482" i="5"/>
  <c r="L2405" i="5"/>
  <c r="D2407" i="5"/>
  <c r="I2414" i="5"/>
  <c r="I2415" i="5"/>
  <c r="W2405" i="5"/>
  <c r="S2405" i="5"/>
  <c r="AA2405" i="5"/>
  <c r="M171" i="40" s="1"/>
  <c r="L2407" i="5"/>
  <c r="F2414" i="5"/>
  <c r="F2415" i="5"/>
  <c r="S2410" i="5"/>
  <c r="W2410" i="5"/>
  <c r="O2410" i="5"/>
  <c r="O2396" i="5"/>
  <c r="D2398" i="5"/>
  <c r="S2395" i="5"/>
  <c r="W2395" i="5"/>
  <c r="L2394" i="5"/>
  <c r="O2398" i="5"/>
  <c r="L2389" i="5"/>
  <c r="L2619" i="5"/>
  <c r="P2619" i="5" s="1"/>
  <c r="O2619" i="5"/>
  <c r="L2614" i="5"/>
  <c r="D2617" i="5"/>
  <c r="E2617" i="5" s="1"/>
  <c r="D2619" i="5"/>
  <c r="E2619" i="5" s="1"/>
  <c r="O2553" i="5"/>
  <c r="L2556" i="5"/>
  <c r="L2563" i="5"/>
  <c r="L2557" i="5"/>
  <c r="L2555" i="5"/>
  <c r="F2550" i="5"/>
  <c r="F2549" i="5"/>
  <c r="L2542" i="5"/>
  <c r="D2473" i="5"/>
  <c r="I2474" i="5"/>
  <c r="I2475" i="5"/>
  <c r="W2465" i="5"/>
  <c r="S2465" i="5"/>
  <c r="AA2465" i="5"/>
  <c r="M223" i="40" s="1"/>
  <c r="O2463" i="5"/>
  <c r="S2466" i="5"/>
  <c r="W2466" i="5"/>
  <c r="O2472" i="5"/>
  <c r="D2468" i="5"/>
  <c r="O2467" i="5"/>
  <c r="L2470" i="5"/>
  <c r="D2379" i="5"/>
  <c r="E2379" i="5" s="1"/>
  <c r="E2374" i="5"/>
  <c r="L2381" i="5"/>
  <c r="O2383" i="5"/>
  <c r="D2381" i="5"/>
  <c r="E2381" i="5" s="1"/>
  <c r="L2571" i="5"/>
  <c r="L2573" i="5"/>
  <c r="O2574" i="5"/>
  <c r="L2568" i="5"/>
  <c r="O2572" i="5"/>
  <c r="E2314" i="5"/>
  <c r="D2323" i="5"/>
  <c r="F2324" i="5"/>
  <c r="F2325" i="5"/>
  <c r="O2321" i="5"/>
  <c r="O2323" i="5"/>
  <c r="L2299" i="5"/>
  <c r="D2302" i="5"/>
  <c r="D2304" i="5"/>
  <c r="E2304" i="5" s="1"/>
  <c r="L2301" i="5"/>
  <c r="L2306" i="5"/>
  <c r="O2223" i="5"/>
  <c r="W2226" i="5"/>
  <c r="S2226" i="5"/>
  <c r="L2231" i="5"/>
  <c r="O2228" i="5"/>
  <c r="L2224" i="5"/>
  <c r="D2226" i="5"/>
  <c r="E2226" i="5" s="1"/>
  <c r="O2229" i="5"/>
  <c r="L2226" i="5"/>
  <c r="D2231" i="5"/>
  <c r="E2231" i="5" s="1"/>
  <c r="O2211" i="5"/>
  <c r="L2218" i="5"/>
  <c r="O2214" i="5"/>
  <c r="O2210" i="5"/>
  <c r="O2209" i="5"/>
  <c r="O2215" i="5"/>
  <c r="S2140" i="5"/>
  <c r="W2140" i="5"/>
  <c r="O2140" i="5"/>
  <c r="D2139" i="5"/>
  <c r="H2145" i="5"/>
  <c r="H2144" i="5"/>
  <c r="AA2136" i="5" s="1"/>
  <c r="T162" i="40" s="1"/>
  <c r="O2123" i="5"/>
  <c r="L2118" i="5"/>
  <c r="P2118" i="5" s="1"/>
  <c r="D2121" i="5"/>
  <c r="L2127" i="5"/>
  <c r="I2129" i="5"/>
  <c r="I2130" i="5"/>
  <c r="S2120" i="5"/>
  <c r="W2120" i="5"/>
  <c r="AA2120" i="5"/>
  <c r="M154" i="40" s="1"/>
  <c r="F2130" i="5"/>
  <c r="F2129" i="5"/>
  <c r="O2118" i="5"/>
  <c r="L2284" i="5"/>
  <c r="O2286" i="5"/>
  <c r="L2293" i="5"/>
  <c r="D2289" i="5"/>
  <c r="E2289" i="5" s="1"/>
  <c r="E2284" i="5"/>
  <c r="L2291" i="5"/>
  <c r="O2293" i="5"/>
  <c r="D2197" i="5"/>
  <c r="E2197" i="5" s="1"/>
  <c r="O2199" i="5"/>
  <c r="O2194" i="5"/>
  <c r="D2202" i="5"/>
  <c r="D2195" i="5"/>
  <c r="E2195" i="5" s="1"/>
  <c r="D2200" i="5"/>
  <c r="D2108" i="5"/>
  <c r="O2107" i="5"/>
  <c r="L2110" i="5"/>
  <c r="P2110" i="5" s="1"/>
  <c r="L2106" i="5"/>
  <c r="O2108" i="5"/>
  <c r="F2115" i="5"/>
  <c r="F2114" i="5"/>
  <c r="O2110" i="5"/>
  <c r="O2338" i="5"/>
  <c r="D2336" i="5"/>
  <c r="E2336" i="5" s="1"/>
  <c r="D2334" i="5"/>
  <c r="E2334" i="5" s="1"/>
  <c r="E2329" i="5"/>
  <c r="L2336" i="5"/>
  <c r="L2277" i="5"/>
  <c r="O2268" i="5"/>
  <c r="L2276" i="5"/>
  <c r="O2273" i="5"/>
  <c r="L2269" i="5"/>
  <c r="O2259" i="5"/>
  <c r="O2255" i="5"/>
  <c r="O2254" i="5"/>
  <c r="O2260" i="5"/>
  <c r="E2254" i="5"/>
  <c r="O2262" i="5"/>
  <c r="D2258" i="5"/>
  <c r="D2261" i="5"/>
  <c r="D2182" i="5"/>
  <c r="I2189" i="5"/>
  <c r="I2190" i="5"/>
  <c r="S2180" i="5"/>
  <c r="W2180" i="5"/>
  <c r="AA2180" i="5"/>
  <c r="M170" i="40" s="1"/>
  <c r="L2182" i="5"/>
  <c r="F2190" i="5"/>
  <c r="F2189" i="5"/>
  <c r="W2185" i="5"/>
  <c r="S2185" i="5"/>
  <c r="O2185" i="5"/>
  <c r="E2179" i="5"/>
  <c r="I2174" i="5"/>
  <c r="I2175" i="5"/>
  <c r="S2165" i="5"/>
  <c r="W2165" i="5"/>
  <c r="AA2165" i="5"/>
  <c r="M240" i="40" s="1"/>
  <c r="F2175" i="5"/>
  <c r="F2174" i="5"/>
  <c r="O2163" i="5"/>
  <c r="D2170" i="5"/>
  <c r="E2170" i="5" s="1"/>
  <c r="D2172" i="5"/>
  <c r="O2167" i="5"/>
  <c r="L2170" i="5"/>
  <c r="L2095" i="5"/>
  <c r="L2093" i="5"/>
  <c r="O2096" i="5"/>
  <c r="O2090" i="5"/>
  <c r="L2094" i="5"/>
  <c r="D2095" i="5"/>
  <c r="E2095" i="5" s="1"/>
  <c r="L2088" i="5"/>
  <c r="O2092" i="5"/>
  <c r="D2083" i="5"/>
  <c r="S2080" i="5"/>
  <c r="W2080" i="5"/>
  <c r="L2079" i="5"/>
  <c r="O2083" i="5"/>
  <c r="L2074" i="5"/>
  <c r="D2077" i="5"/>
  <c r="E2077" i="5" s="1"/>
  <c r="D2079" i="5"/>
  <c r="E2079" i="5" s="1"/>
  <c r="I2250" i="5"/>
  <c r="I2249" i="5"/>
  <c r="W2240" i="5"/>
  <c r="S2240" i="5"/>
  <c r="AA2240" i="5"/>
  <c r="M127" i="40" s="1"/>
  <c r="O2238" i="5"/>
  <c r="W2241" i="5"/>
  <c r="S2241" i="5"/>
  <c r="O2247" i="5"/>
  <c r="D2243" i="5"/>
  <c r="O2242" i="5"/>
  <c r="L2245" i="5"/>
  <c r="L2241" i="5"/>
  <c r="E2149" i="5"/>
  <c r="L2156" i="5"/>
  <c r="O2158" i="5"/>
  <c r="D2156" i="5"/>
  <c r="E2156" i="5" s="1"/>
  <c r="H2159" i="5"/>
  <c r="AA2151" i="5" s="1"/>
  <c r="T145" i="40" s="1"/>
  <c r="H2160" i="5"/>
  <c r="O2045" i="5"/>
  <c r="L2049" i="5"/>
  <c r="D2050" i="5"/>
  <c r="E2050" i="5" s="1"/>
  <c r="L2043" i="5"/>
  <c r="O2047" i="5"/>
  <c r="D2053" i="5"/>
  <c r="L2053" i="5"/>
  <c r="S2035" i="5"/>
  <c r="W2035" i="5"/>
  <c r="L2034" i="5"/>
  <c r="O2038" i="5"/>
  <c r="L2029" i="5"/>
  <c r="D2032" i="5"/>
  <c r="D2034" i="5"/>
  <c r="E2034" i="5" s="1"/>
  <c r="L2031" i="5"/>
  <c r="D1955" i="5"/>
  <c r="E1955" i="5" s="1"/>
  <c r="O1963" i="5"/>
  <c r="O1956" i="5"/>
  <c r="L1962" i="5"/>
  <c r="D1940" i="5"/>
  <c r="E1940" i="5" s="1"/>
  <c r="O1941" i="5"/>
  <c r="L1948" i="5"/>
  <c r="O1944" i="5"/>
  <c r="O1940" i="5"/>
  <c r="H1875" i="5"/>
  <c r="H1874" i="5"/>
  <c r="O1864" i="5"/>
  <c r="O1872" i="5"/>
  <c r="L1865" i="5"/>
  <c r="D1867" i="5"/>
  <c r="E1867" i="5" s="1"/>
  <c r="I1874" i="5"/>
  <c r="I1875" i="5"/>
  <c r="W1865" i="5"/>
  <c r="M113" i="40" s="1"/>
  <c r="S1865" i="5"/>
  <c r="AA1865" i="5"/>
  <c r="L1867" i="5"/>
  <c r="D1857" i="5"/>
  <c r="O1853" i="5"/>
  <c r="L1848" i="5"/>
  <c r="D1851" i="5"/>
  <c r="E1851" i="5" s="1"/>
  <c r="L1857" i="5"/>
  <c r="I1859" i="5"/>
  <c r="I1860" i="5"/>
  <c r="W1850" i="5"/>
  <c r="M78" i="40" s="1"/>
  <c r="S1850" i="5"/>
  <c r="AA1850" i="5"/>
  <c r="F1860" i="5"/>
  <c r="F1859" i="5"/>
  <c r="O1805" i="5"/>
  <c r="L1809" i="5"/>
  <c r="D1810" i="5"/>
  <c r="L1803" i="5"/>
  <c r="O1807" i="5"/>
  <c r="D1809" i="5"/>
  <c r="O2023" i="5"/>
  <c r="D2021" i="5"/>
  <c r="E2021" i="5" s="1"/>
  <c r="H2024" i="5"/>
  <c r="AA2016" i="5" s="1"/>
  <c r="T207" i="40" s="1"/>
  <c r="H2025" i="5"/>
  <c r="O2015" i="5"/>
  <c r="L2019" i="5"/>
  <c r="D1925" i="5"/>
  <c r="E1925" i="5" s="1"/>
  <c r="L1925" i="5"/>
  <c r="L1928" i="5"/>
  <c r="L1927" i="5"/>
  <c r="O1931" i="5"/>
  <c r="O1840" i="5"/>
  <c r="L1833" i="5"/>
  <c r="P1833" i="5" s="1"/>
  <c r="D1836" i="5"/>
  <c r="L1842" i="5"/>
  <c r="D1843" i="5"/>
  <c r="I1844" i="5"/>
  <c r="I1845" i="5"/>
  <c r="W1835" i="5"/>
  <c r="M116" i="40" s="1"/>
  <c r="S1835" i="5"/>
  <c r="AA1835" i="5"/>
  <c r="O1833" i="5"/>
  <c r="W1836" i="5"/>
  <c r="T116" i="40" s="1"/>
  <c r="S1836" i="5"/>
  <c r="L1998" i="5"/>
  <c r="O2002" i="5"/>
  <c r="D2008" i="5"/>
  <c r="L2008" i="5"/>
  <c r="E1999" i="5"/>
  <c r="D2003" i="5"/>
  <c r="L1993" i="5"/>
  <c r="O1989" i="5"/>
  <c r="O1985" i="5"/>
  <c r="O1984" i="5"/>
  <c r="O1990" i="5"/>
  <c r="E1984" i="5"/>
  <c r="O1992" i="5"/>
  <c r="D1988" i="5"/>
  <c r="O1911" i="5"/>
  <c r="L1917" i="5"/>
  <c r="O1908" i="5"/>
  <c r="L1916" i="5"/>
  <c r="O1913" i="5"/>
  <c r="L1902" i="5"/>
  <c r="I1904" i="5"/>
  <c r="I1905" i="5"/>
  <c r="S1895" i="5"/>
  <c r="W1895" i="5"/>
  <c r="AA1895" i="5"/>
  <c r="M219" i="40" s="1"/>
  <c r="F1905" i="5"/>
  <c r="F1904" i="5"/>
  <c r="O1893" i="5"/>
  <c r="D1900" i="5"/>
  <c r="E1900" i="5" s="1"/>
  <c r="D1902" i="5"/>
  <c r="O1897" i="5"/>
  <c r="L2063" i="5"/>
  <c r="D2060" i="5"/>
  <c r="E2060" i="5" s="1"/>
  <c r="L2064" i="5"/>
  <c r="P2064" i="5" s="1"/>
  <c r="L2067" i="5"/>
  <c r="O2064" i="5"/>
  <c r="D1978" i="5"/>
  <c r="I1980" i="5"/>
  <c r="I1979" i="5"/>
  <c r="W1970" i="5"/>
  <c r="S1970" i="5"/>
  <c r="AA1970" i="5"/>
  <c r="M152" i="40" s="1"/>
  <c r="O1968" i="5"/>
  <c r="W1971" i="5"/>
  <c r="S1971" i="5"/>
  <c r="O1977" i="5"/>
  <c r="D1973" i="5"/>
  <c r="O1972" i="5"/>
  <c r="L1975" i="5"/>
  <c r="D1884" i="5"/>
  <c r="E1884" i="5" s="1"/>
  <c r="E1879" i="5"/>
  <c r="L1886" i="5"/>
  <c r="O1888" i="5"/>
  <c r="D1886" i="5"/>
  <c r="E1886" i="5" s="1"/>
  <c r="L1821" i="5"/>
  <c r="O1820" i="5"/>
  <c r="L1824" i="5"/>
  <c r="O1825" i="5"/>
  <c r="L1818" i="5"/>
  <c r="D1821" i="5"/>
  <c r="L1827" i="5"/>
  <c r="O1730" i="5"/>
  <c r="L1734" i="5"/>
  <c r="S1735" i="5"/>
  <c r="W1735" i="5"/>
  <c r="AV96" i="40" s="1"/>
  <c r="L1729" i="5"/>
  <c r="O1731" i="5"/>
  <c r="L1738" i="5"/>
  <c r="D1734" i="5"/>
  <c r="E1734" i="5" s="1"/>
  <c r="D1645" i="5"/>
  <c r="D1642" i="5"/>
  <c r="E1642" i="5" s="1"/>
  <c r="O1644" i="5"/>
  <c r="O1548" i="5"/>
  <c r="O1557" i="5"/>
  <c r="D1553" i="5"/>
  <c r="O1552" i="5"/>
  <c r="L1555" i="5"/>
  <c r="L1551" i="5"/>
  <c r="L1789" i="5"/>
  <c r="D1792" i="5"/>
  <c r="E1792" i="5" s="1"/>
  <c r="D1798" i="5"/>
  <c r="O1793" i="5"/>
  <c r="L1798" i="5"/>
  <c r="O1722" i="5"/>
  <c r="L1715" i="5"/>
  <c r="D1717" i="5"/>
  <c r="I1724" i="5"/>
  <c r="I1725" i="5"/>
  <c r="W1715" i="5"/>
  <c r="M117" i="40" s="1"/>
  <c r="S1715" i="5"/>
  <c r="AA1715" i="5"/>
  <c r="L1717" i="5"/>
  <c r="F1724" i="5"/>
  <c r="F1725" i="5"/>
  <c r="S1720" i="5"/>
  <c r="W1720" i="5"/>
  <c r="AV117" i="40" s="1"/>
  <c r="O1701" i="5"/>
  <c r="L1708" i="5"/>
  <c r="O1704" i="5"/>
  <c r="O1700" i="5"/>
  <c r="O1699" i="5"/>
  <c r="O1705" i="5"/>
  <c r="O1707" i="5"/>
  <c r="D1628" i="5"/>
  <c r="D1632" i="5"/>
  <c r="E1632" i="5" s="1"/>
  <c r="W1626" i="5"/>
  <c r="T123" i="40" s="1"/>
  <c r="S1626" i="5"/>
  <c r="L1630" i="5"/>
  <c r="L1628" i="5"/>
  <c r="O1631" i="5"/>
  <c r="O1625" i="5"/>
  <c r="L1629" i="5"/>
  <c r="L1608" i="5"/>
  <c r="D1611" i="5"/>
  <c r="L1617" i="5"/>
  <c r="I1619" i="5"/>
  <c r="I1620" i="5"/>
  <c r="S1610" i="5"/>
  <c r="W1610" i="5"/>
  <c r="M75" i="40" s="1"/>
  <c r="AA1610" i="5"/>
  <c r="F1620" i="5"/>
  <c r="F1619" i="5"/>
  <c r="O1608" i="5"/>
  <c r="D1615" i="5"/>
  <c r="E1615" i="5" s="1"/>
  <c r="D1617" i="5"/>
  <c r="O1538" i="5"/>
  <c r="L1534" i="5"/>
  <c r="O3403" i="5"/>
  <c r="D3399" i="5"/>
  <c r="E3399" i="5" s="1"/>
  <c r="D3397" i="5"/>
  <c r="E3397" i="5" s="1"/>
  <c r="D3338" i="5"/>
  <c r="D3339" i="5"/>
  <c r="L3342" i="5"/>
  <c r="O3335" i="5"/>
  <c r="I3345" i="5"/>
  <c r="I3344" i="5"/>
  <c r="S3335" i="5"/>
  <c r="AA3335" i="5"/>
  <c r="M180" i="40" s="1"/>
  <c r="W3335" i="5"/>
  <c r="L3339" i="5"/>
  <c r="O3343" i="5"/>
  <c r="D3322" i="5"/>
  <c r="I3329" i="5"/>
  <c r="I3330" i="5"/>
  <c r="W3320" i="5"/>
  <c r="S3320" i="5"/>
  <c r="AA3320" i="5"/>
  <c r="M229" i="40" s="1"/>
  <c r="L3324" i="5"/>
  <c r="S3325" i="5"/>
  <c r="W3325" i="5"/>
  <c r="E3409" i="5"/>
  <c r="L3414" i="5"/>
  <c r="D3416" i="5"/>
  <c r="E3416" i="5" s="1"/>
  <c r="D3354" i="5"/>
  <c r="E3354" i="5" s="1"/>
  <c r="O3353" i="5"/>
  <c r="L3349" i="5"/>
  <c r="P3349" i="5" s="1"/>
  <c r="S3355" i="5"/>
  <c r="W3355" i="5"/>
  <c r="D3352" i="5"/>
  <c r="D3350" i="5"/>
  <c r="E3350" i="5" s="1"/>
  <c r="L3266" i="5"/>
  <c r="O3268" i="5"/>
  <c r="L3268" i="5"/>
  <c r="O3261" i="5"/>
  <c r="O3250" i="5"/>
  <c r="O3251" i="5"/>
  <c r="O3245" i="5"/>
  <c r="L3246" i="5"/>
  <c r="D3170" i="5"/>
  <c r="E3170" i="5" s="1"/>
  <c r="L3177" i="5"/>
  <c r="D3175" i="5"/>
  <c r="O3174" i="5"/>
  <c r="L3171" i="5"/>
  <c r="D3176" i="5"/>
  <c r="E3176" i="5" s="1"/>
  <c r="L3156" i="5"/>
  <c r="P3156" i="5" s="1"/>
  <c r="L3163" i="5"/>
  <c r="O3154" i="5"/>
  <c r="O3156" i="5"/>
  <c r="H3164" i="5"/>
  <c r="W3156" i="5" s="1"/>
  <c r="H3165" i="5"/>
  <c r="L3160" i="5"/>
  <c r="O3103" i="5"/>
  <c r="L3096" i="5"/>
  <c r="O3102" i="5"/>
  <c r="O3101" i="5"/>
  <c r="D3099" i="5"/>
  <c r="O3094" i="5"/>
  <c r="D3102" i="5"/>
  <c r="E3102" i="5" s="1"/>
  <c r="I3104" i="5"/>
  <c r="I3105" i="5"/>
  <c r="W3095" i="5"/>
  <c r="S3095" i="5"/>
  <c r="AA3095" i="5"/>
  <c r="M141" i="40" s="1"/>
  <c r="O3304" i="5"/>
  <c r="O3303" i="5"/>
  <c r="O3311" i="5"/>
  <c r="D3305" i="5"/>
  <c r="E3305" i="5" s="1"/>
  <c r="L3303" i="5"/>
  <c r="O3307" i="5"/>
  <c r="D3312" i="5"/>
  <c r="D3238" i="5"/>
  <c r="L3232" i="5"/>
  <c r="H3240" i="5"/>
  <c r="H3239" i="5"/>
  <c r="W3231" i="5" s="1"/>
  <c r="O3228" i="5"/>
  <c r="O3216" i="5"/>
  <c r="O3221" i="5"/>
  <c r="L3220" i="5"/>
  <c r="S3220" i="5"/>
  <c r="W3220" i="5"/>
  <c r="O3223" i="5"/>
  <c r="L3129" i="5"/>
  <c r="P3129" i="5" s="1"/>
  <c r="O3128" i="5"/>
  <c r="O3123" i="5"/>
  <c r="D3129" i="5"/>
  <c r="E3129" i="5" s="1"/>
  <c r="L3130" i="5"/>
  <c r="O3132" i="5"/>
  <c r="L3110" i="5"/>
  <c r="S3115" i="5"/>
  <c r="W3115" i="5"/>
  <c r="O3118" i="5"/>
  <c r="O3109" i="5"/>
  <c r="O3116" i="5"/>
  <c r="I3119" i="5"/>
  <c r="I3120" i="5"/>
  <c r="W3110" i="5"/>
  <c r="S3110" i="5"/>
  <c r="AA3110" i="5"/>
  <c r="M248" i="40" s="1"/>
  <c r="F3120" i="5"/>
  <c r="F3119" i="5"/>
  <c r="O3036" i="5"/>
  <c r="D3038" i="5"/>
  <c r="O3039" i="5"/>
  <c r="E3034" i="5"/>
  <c r="O3035" i="5"/>
  <c r="L3038" i="5"/>
  <c r="O3041" i="5"/>
  <c r="D3020" i="5"/>
  <c r="E3020" i="5" s="1"/>
  <c r="D3026" i="5"/>
  <c r="E3026" i="5" s="1"/>
  <c r="H3029" i="5"/>
  <c r="W3021" i="5" s="1"/>
  <c r="H3030" i="5"/>
  <c r="O3026" i="5"/>
  <c r="O3183" i="5"/>
  <c r="D3189" i="5"/>
  <c r="O3186" i="5"/>
  <c r="L3183" i="5"/>
  <c r="O3190" i="5"/>
  <c r="O3188" i="5"/>
  <c r="L3190" i="5"/>
  <c r="L2991" i="5"/>
  <c r="P2991" i="5" s="1"/>
  <c r="L2993" i="5"/>
  <c r="L2994" i="5"/>
  <c r="L2998" i="5"/>
  <c r="D2998" i="5"/>
  <c r="D2994" i="5"/>
  <c r="E2994" i="5" s="1"/>
  <c r="D2995" i="5"/>
  <c r="I3075" i="5"/>
  <c r="I3074" i="5"/>
  <c r="S3065" i="5"/>
  <c r="W3065" i="5"/>
  <c r="AA3065" i="5"/>
  <c r="M226" i="40" s="1"/>
  <c r="D3071" i="5"/>
  <c r="E3071" i="5" s="1"/>
  <c r="L3070" i="5"/>
  <c r="L3069" i="5"/>
  <c r="O3071" i="5"/>
  <c r="S3070" i="5"/>
  <c r="W3070" i="5"/>
  <c r="L3065" i="5"/>
  <c r="E3064" i="5"/>
  <c r="O3072" i="5"/>
  <c r="L3051" i="5"/>
  <c r="D3050" i="5"/>
  <c r="E3050" i="5" s="1"/>
  <c r="O3058" i="5"/>
  <c r="D3057" i="5"/>
  <c r="D3058" i="5"/>
  <c r="D3056" i="5"/>
  <c r="E3056" i="5" s="1"/>
  <c r="I3059" i="5"/>
  <c r="I3060" i="5"/>
  <c r="W3050" i="5"/>
  <c r="S3050" i="5"/>
  <c r="AA3050" i="5"/>
  <c r="M128" i="40" s="1"/>
  <c r="S3205" i="5"/>
  <c r="W3205" i="5"/>
  <c r="E3199" i="5"/>
  <c r="O3203" i="5"/>
  <c r="O3206" i="5"/>
  <c r="O3207" i="5"/>
  <c r="D3203" i="5"/>
  <c r="O3202" i="5"/>
  <c r="D3144" i="5"/>
  <c r="D3148" i="5"/>
  <c r="L3147" i="5"/>
  <c r="D3143" i="5"/>
  <c r="L3142" i="5"/>
  <c r="O3138" i="5"/>
  <c r="L3080" i="5"/>
  <c r="O3085" i="5"/>
  <c r="O3078" i="5"/>
  <c r="L3086" i="5"/>
  <c r="O3009" i="5"/>
  <c r="L3008" i="5"/>
  <c r="P3008" i="5" s="1"/>
  <c r="D3013" i="5"/>
  <c r="D3010" i="5"/>
  <c r="E3010" i="5" s="1"/>
  <c r="D3006" i="5"/>
  <c r="E3006" i="5" s="1"/>
  <c r="O3011" i="5"/>
  <c r="D3005" i="5"/>
  <c r="E3005" i="5" s="1"/>
  <c r="D3007" i="5"/>
  <c r="O3005" i="5"/>
  <c r="L3009" i="5"/>
  <c r="P3009" i="5" s="1"/>
  <c r="O2923" i="5"/>
  <c r="O2922" i="5"/>
  <c r="L2916" i="5"/>
  <c r="L2978" i="5"/>
  <c r="O2979" i="5"/>
  <c r="L2980" i="5"/>
  <c r="D2833" i="5"/>
  <c r="O2832" i="5"/>
  <c r="O2826" i="5"/>
  <c r="H2834" i="5"/>
  <c r="W2826" i="5" s="1"/>
  <c r="H2835" i="5"/>
  <c r="W2830" i="5"/>
  <c r="S2830" i="5"/>
  <c r="O2828" i="5"/>
  <c r="F2835" i="5"/>
  <c r="F2834" i="5"/>
  <c r="L2832" i="5"/>
  <c r="P2832" i="5" s="1"/>
  <c r="I2834" i="5"/>
  <c r="I2835" i="5"/>
  <c r="W2825" i="5"/>
  <c r="S2825" i="5"/>
  <c r="AA2825" i="5"/>
  <c r="M153" i="40" s="1"/>
  <c r="L2930" i="5"/>
  <c r="O2931" i="5"/>
  <c r="D2933" i="5"/>
  <c r="L2933" i="5"/>
  <c r="L2932" i="5"/>
  <c r="L2937" i="5"/>
  <c r="O2890" i="5"/>
  <c r="L2884" i="5"/>
  <c r="D2889" i="5"/>
  <c r="S2890" i="5"/>
  <c r="W2890" i="5"/>
  <c r="D2885" i="5"/>
  <c r="E2885" i="5" s="1"/>
  <c r="O2869" i="5"/>
  <c r="O2874" i="5"/>
  <c r="O2868" i="5"/>
  <c r="O2876" i="5"/>
  <c r="O2877" i="5"/>
  <c r="O2872" i="5"/>
  <c r="O2854" i="5"/>
  <c r="O2855" i="5"/>
  <c r="L2858" i="5"/>
  <c r="L2856" i="5"/>
  <c r="L2863" i="5"/>
  <c r="O2959" i="5"/>
  <c r="L2964" i="5"/>
  <c r="P2964" i="5" s="1"/>
  <c r="L2963" i="5"/>
  <c r="P2963" i="5" s="1"/>
  <c r="L2966" i="5"/>
  <c r="O2962" i="5"/>
  <c r="O2965" i="5"/>
  <c r="L2948" i="5"/>
  <c r="P2948" i="5" s="1"/>
  <c r="D2951" i="5"/>
  <c r="E2951" i="5" s="1"/>
  <c r="O2945" i="5"/>
  <c r="L2951" i="5"/>
  <c r="O2951" i="5"/>
  <c r="O2952" i="5"/>
  <c r="D2946" i="5"/>
  <c r="E2946" i="5" s="1"/>
  <c r="O2949" i="5"/>
  <c r="L2907" i="5"/>
  <c r="D2905" i="5"/>
  <c r="F2910" i="5"/>
  <c r="F2909" i="5"/>
  <c r="L2898" i="5"/>
  <c r="O2907" i="5"/>
  <c r="L2900" i="5"/>
  <c r="O2903" i="5"/>
  <c r="D2904" i="5"/>
  <c r="E2904" i="5" s="1"/>
  <c r="O2898" i="5"/>
  <c r="W2901" i="5"/>
  <c r="S2901" i="5"/>
  <c r="L2906" i="5"/>
  <c r="S2845" i="5"/>
  <c r="W2845" i="5"/>
  <c r="I2849" i="5"/>
  <c r="I2850" i="5"/>
  <c r="S2840" i="5"/>
  <c r="W2840" i="5"/>
  <c r="AA2840" i="5"/>
  <c r="M134" i="40" s="1"/>
  <c r="F2850" i="5"/>
  <c r="F2849" i="5"/>
  <c r="O2838" i="5"/>
  <c r="D2845" i="5"/>
  <c r="E2839" i="5"/>
  <c r="L2841" i="5"/>
  <c r="O2764" i="5"/>
  <c r="O2768" i="5"/>
  <c r="O2770" i="5"/>
  <c r="L2768" i="5"/>
  <c r="O2771" i="5"/>
  <c r="D2773" i="5"/>
  <c r="L2773" i="5"/>
  <c r="D2751" i="5"/>
  <c r="D2756" i="5"/>
  <c r="E2756" i="5" s="1"/>
  <c r="L2754" i="5"/>
  <c r="O2753" i="5"/>
  <c r="E2749" i="5"/>
  <c r="D2818" i="5"/>
  <c r="L2815" i="5"/>
  <c r="D2811" i="5"/>
  <c r="E2811" i="5" s="1"/>
  <c r="D2814" i="5"/>
  <c r="E2814" i="5" s="1"/>
  <c r="O2811" i="5"/>
  <c r="O2809" i="5"/>
  <c r="L2740" i="5"/>
  <c r="D2735" i="5"/>
  <c r="E2735" i="5" s="1"/>
  <c r="L2734" i="5"/>
  <c r="O2733" i="5"/>
  <c r="O2784" i="5"/>
  <c r="D2784" i="5"/>
  <c r="E2784" i="5" s="1"/>
  <c r="L2785" i="5"/>
  <c r="L2778" i="5"/>
  <c r="P2778" i="5" s="1"/>
  <c r="O2683" i="5"/>
  <c r="O2676" i="5"/>
  <c r="L2682" i="5"/>
  <c r="P2682" i="5" s="1"/>
  <c r="E2659" i="5"/>
  <c r="O2667" i="5"/>
  <c r="D2666" i="5"/>
  <c r="L2663" i="5"/>
  <c r="L2662" i="5"/>
  <c r="P2662" i="5" s="1"/>
  <c r="L2797" i="5"/>
  <c r="L2802" i="5"/>
  <c r="L2801" i="5"/>
  <c r="S2796" i="5"/>
  <c r="W2796" i="5"/>
  <c r="D2803" i="5"/>
  <c r="I2805" i="5"/>
  <c r="I2804" i="5"/>
  <c r="W2795" i="5"/>
  <c r="S2795" i="5"/>
  <c r="AA2795" i="5"/>
  <c r="M256" i="40" s="1"/>
  <c r="D2801" i="5"/>
  <c r="D2798" i="5"/>
  <c r="O2797" i="5"/>
  <c r="D2647" i="5"/>
  <c r="E2647" i="5" s="1"/>
  <c r="O2649" i="5"/>
  <c r="O2644" i="5"/>
  <c r="D2652" i="5"/>
  <c r="D2645" i="5"/>
  <c r="E2645" i="5" s="1"/>
  <c r="D2650" i="5"/>
  <c r="E2650" i="5" s="1"/>
  <c r="D2722" i="5"/>
  <c r="E2722" i="5" s="1"/>
  <c r="D2720" i="5"/>
  <c r="E2720" i="5" s="1"/>
  <c r="L2725" i="5"/>
  <c r="P2725" i="5" s="1"/>
  <c r="S2725" i="5"/>
  <c r="W2725" i="5"/>
  <c r="H2729" i="5"/>
  <c r="S2721" i="5" s="1"/>
  <c r="H2730" i="5"/>
  <c r="D2727" i="5"/>
  <c r="D2728" i="5"/>
  <c r="O2723" i="5"/>
  <c r="L2708" i="5"/>
  <c r="P2708" i="5" s="1"/>
  <c r="L2707" i="5"/>
  <c r="O2706" i="5"/>
  <c r="L2713" i="5"/>
  <c r="D2695" i="5"/>
  <c r="E2695" i="5" s="1"/>
  <c r="D2692" i="5"/>
  <c r="E2692" i="5" s="1"/>
  <c r="O2694" i="5"/>
  <c r="L2606" i="5"/>
  <c r="O2607" i="5"/>
  <c r="I2609" i="5"/>
  <c r="I2610" i="5"/>
  <c r="W2600" i="5"/>
  <c r="S2600" i="5"/>
  <c r="AA2600" i="5"/>
  <c r="M201" i="40" s="1"/>
  <c r="D2602" i="5"/>
  <c r="E2602" i="5" s="1"/>
  <c r="L2605" i="5"/>
  <c r="P2605" i="5" s="1"/>
  <c r="L2601" i="5"/>
  <c r="P2601" i="5" s="1"/>
  <c r="H2639" i="5"/>
  <c r="H2640" i="5"/>
  <c r="L2637" i="5"/>
  <c r="P2637" i="5" s="1"/>
  <c r="O2638" i="5"/>
  <c r="O2631" i="5"/>
  <c r="L2531" i="5"/>
  <c r="P2531" i="5" s="1"/>
  <c r="O2528" i="5"/>
  <c r="L2523" i="5"/>
  <c r="D2526" i="5"/>
  <c r="E2526" i="5" s="1"/>
  <c r="L2532" i="5"/>
  <c r="I2534" i="5"/>
  <c r="I2535" i="5"/>
  <c r="S2525" i="5"/>
  <c r="W2525" i="5"/>
  <c r="AA2525" i="5"/>
  <c r="M132" i="40" s="1"/>
  <c r="F2535" i="5"/>
  <c r="F2534" i="5"/>
  <c r="O2448" i="5"/>
  <c r="L2456" i="5"/>
  <c r="O2453" i="5"/>
  <c r="L2449" i="5"/>
  <c r="O2454" i="5"/>
  <c r="L2451" i="5"/>
  <c r="D2456" i="5"/>
  <c r="O2434" i="5"/>
  <c r="O2440" i="5"/>
  <c r="E2434" i="5"/>
  <c r="O2442" i="5"/>
  <c r="D2441" i="5"/>
  <c r="E2441" i="5" s="1"/>
  <c r="L2438" i="5"/>
  <c r="L2437" i="5"/>
  <c r="P2437" i="5" s="1"/>
  <c r="L2359" i="5"/>
  <c r="O2360" i="5"/>
  <c r="L2364" i="5"/>
  <c r="D2365" i="5"/>
  <c r="E2365" i="5" s="1"/>
  <c r="D2349" i="5"/>
  <c r="E2349" i="5" s="1"/>
  <c r="L2350" i="5"/>
  <c r="P2350" i="5" s="1"/>
  <c r="L2351" i="5"/>
  <c r="P2351" i="5" s="1"/>
  <c r="L2345" i="5"/>
  <c r="H2354" i="5"/>
  <c r="H2355" i="5"/>
  <c r="W2346" i="5"/>
  <c r="S2346" i="5"/>
  <c r="D2512" i="5"/>
  <c r="E2512" i="5" s="1"/>
  <c r="O2514" i="5"/>
  <c r="O2509" i="5"/>
  <c r="S2513" i="5"/>
  <c r="W2513" i="5"/>
  <c r="AA2513" i="5"/>
  <c r="AH206" i="40" s="1"/>
  <c r="O2427" i="5"/>
  <c r="O2422" i="5"/>
  <c r="L2425" i="5"/>
  <c r="L2421" i="5"/>
  <c r="O2423" i="5"/>
  <c r="F2429" i="5"/>
  <c r="F2430" i="5"/>
  <c r="O2593" i="5"/>
  <c r="O2587" i="5"/>
  <c r="O2592" i="5"/>
  <c r="O2585" i="5"/>
  <c r="L2589" i="5"/>
  <c r="H2595" i="5"/>
  <c r="H2594" i="5"/>
  <c r="AA2586" i="5" s="1"/>
  <c r="T135" i="40" s="1"/>
  <c r="L2493" i="5"/>
  <c r="O2497" i="5"/>
  <c r="D2503" i="5"/>
  <c r="L2503" i="5"/>
  <c r="E2494" i="5"/>
  <c r="D2498" i="5"/>
  <c r="L2488" i="5"/>
  <c r="O2484" i="5"/>
  <c r="O2480" i="5"/>
  <c r="O2479" i="5"/>
  <c r="O2485" i="5"/>
  <c r="E2479" i="5"/>
  <c r="O2487" i="5"/>
  <c r="O2406" i="5"/>
  <c r="L2412" i="5"/>
  <c r="O2403" i="5"/>
  <c r="S2406" i="5"/>
  <c r="W2406" i="5"/>
  <c r="L2411" i="5"/>
  <c r="O2408" i="5"/>
  <c r="L2397" i="5"/>
  <c r="I2399" i="5"/>
  <c r="I2400" i="5"/>
  <c r="S2390" i="5"/>
  <c r="W2390" i="5"/>
  <c r="AA2390" i="5"/>
  <c r="M202" i="40" s="1"/>
  <c r="F2400" i="5"/>
  <c r="F2399" i="5"/>
  <c r="O2388" i="5"/>
  <c r="D2395" i="5"/>
  <c r="E2395" i="5" s="1"/>
  <c r="D2397" i="5"/>
  <c r="O2392" i="5"/>
  <c r="D2620" i="5"/>
  <c r="E2620" i="5" s="1"/>
  <c r="O2614" i="5"/>
  <c r="L2621" i="5"/>
  <c r="L2616" i="5"/>
  <c r="O2617" i="5"/>
  <c r="L2620" i="5"/>
  <c r="D2559" i="5"/>
  <c r="E2559" i="5" s="1"/>
  <c r="F2565" i="5"/>
  <c r="F2564" i="5"/>
  <c r="L2553" i="5"/>
  <c r="P2553" i="5" s="1"/>
  <c r="E2554" i="5"/>
  <c r="O2562" i="5"/>
  <c r="O2547" i="5"/>
  <c r="O2539" i="5"/>
  <c r="L2544" i="5"/>
  <c r="E2539" i="5"/>
  <c r="L2547" i="5"/>
  <c r="P2547" i="5" s="1"/>
  <c r="L2540" i="5"/>
  <c r="D2469" i="5"/>
  <c r="E2469" i="5" s="1"/>
  <c r="L2471" i="5"/>
  <c r="O2473" i="5"/>
  <c r="D2471" i="5"/>
  <c r="E2471" i="5" s="1"/>
  <c r="O2379" i="5"/>
  <c r="O2374" i="5"/>
  <c r="S2378" i="5"/>
  <c r="W2378" i="5"/>
  <c r="AA2378" i="5"/>
  <c r="AH243" i="40" s="1"/>
  <c r="D2382" i="5"/>
  <c r="E2382" i="5" s="1"/>
  <c r="S2380" i="5"/>
  <c r="W2380" i="5"/>
  <c r="L2375" i="5"/>
  <c r="O2576" i="5"/>
  <c r="D2572" i="5"/>
  <c r="E2572" i="5" s="1"/>
  <c r="D2574" i="5"/>
  <c r="D2573" i="5"/>
  <c r="E2569" i="5"/>
  <c r="O2577" i="5"/>
  <c r="O2314" i="5"/>
  <c r="S2318" i="5"/>
  <c r="W2318" i="5"/>
  <c r="AA2318" i="5"/>
  <c r="AH232" i="40" s="1"/>
  <c r="L2315" i="5"/>
  <c r="D2319" i="5"/>
  <c r="E2319" i="5" s="1"/>
  <c r="L2316" i="5"/>
  <c r="O2302" i="5"/>
  <c r="D2301" i="5"/>
  <c r="E2301" i="5" s="1"/>
  <c r="L2305" i="5"/>
  <c r="H2309" i="5"/>
  <c r="W2301" i="5" s="1"/>
  <c r="H2310" i="5"/>
  <c r="D2300" i="5"/>
  <c r="E2300" i="5" s="1"/>
  <c r="E2224" i="5"/>
  <c r="D2228" i="5"/>
  <c r="D2232" i="5"/>
  <c r="E2232" i="5" s="1"/>
  <c r="L2230" i="5"/>
  <c r="L2228" i="5"/>
  <c r="P2228" i="5" s="1"/>
  <c r="D2227" i="5"/>
  <c r="E2227" i="5" s="1"/>
  <c r="O2231" i="5"/>
  <c r="L2209" i="5"/>
  <c r="P2209" i="5" s="1"/>
  <c r="D2212" i="5"/>
  <c r="D2214" i="5"/>
  <c r="E2214" i="5" s="1"/>
  <c r="L2211" i="5"/>
  <c r="P2211" i="5" s="1"/>
  <c r="L2216" i="5"/>
  <c r="O2133" i="5"/>
  <c r="S2136" i="5"/>
  <c r="W2136" i="5"/>
  <c r="L2141" i="5"/>
  <c r="O2138" i="5"/>
  <c r="L2134" i="5"/>
  <c r="O2139" i="5"/>
  <c r="L2136" i="5"/>
  <c r="O2121" i="5"/>
  <c r="L2128" i="5"/>
  <c r="O2124" i="5"/>
  <c r="O2120" i="5"/>
  <c r="O2119" i="5"/>
  <c r="O2125" i="5"/>
  <c r="D2287" i="5"/>
  <c r="E2287" i="5" s="1"/>
  <c r="O2289" i="5"/>
  <c r="O2284" i="5"/>
  <c r="D2292" i="5"/>
  <c r="D2285" i="5"/>
  <c r="E2285" i="5" s="1"/>
  <c r="D2290" i="5"/>
  <c r="E2290" i="5" s="1"/>
  <c r="O2197" i="5"/>
  <c r="L2200" i="5"/>
  <c r="P2200" i="5" s="1"/>
  <c r="L2196" i="5"/>
  <c r="O2198" i="5"/>
  <c r="F2205" i="5"/>
  <c r="F2204" i="5"/>
  <c r="O2200" i="5"/>
  <c r="D2111" i="5"/>
  <c r="H2114" i="5"/>
  <c r="H2115" i="5"/>
  <c r="O2105" i="5"/>
  <c r="L2109" i="5"/>
  <c r="S2110" i="5"/>
  <c r="W2110" i="5"/>
  <c r="L2331" i="5"/>
  <c r="L2333" i="5"/>
  <c r="S2335" i="5"/>
  <c r="W2335" i="5"/>
  <c r="L2330" i="5"/>
  <c r="O2329" i="5"/>
  <c r="D2337" i="5"/>
  <c r="E2337" i="5" s="1"/>
  <c r="D2278" i="5"/>
  <c r="L2278" i="5"/>
  <c r="E2269" i="5"/>
  <c r="D2273" i="5"/>
  <c r="D2277" i="5"/>
  <c r="L2256" i="5"/>
  <c r="L2261" i="5"/>
  <c r="P2261" i="5" s="1"/>
  <c r="S2260" i="5"/>
  <c r="W2260" i="5"/>
  <c r="L2255" i="5"/>
  <c r="P2255" i="5" s="1"/>
  <c r="O2261" i="5"/>
  <c r="L2187" i="5"/>
  <c r="O2178" i="5"/>
  <c r="S2181" i="5"/>
  <c r="W2181" i="5"/>
  <c r="L2186" i="5"/>
  <c r="O2183" i="5"/>
  <c r="L2179" i="5"/>
  <c r="O2169" i="5"/>
  <c r="O2165" i="5"/>
  <c r="O2164" i="5"/>
  <c r="O2170" i="5"/>
  <c r="E2164" i="5"/>
  <c r="O2172" i="5"/>
  <c r="D2171" i="5"/>
  <c r="E2171" i="5" s="1"/>
  <c r="I2099" i="5"/>
  <c r="I2100" i="5"/>
  <c r="S2090" i="5"/>
  <c r="W2090" i="5"/>
  <c r="AA2090" i="5"/>
  <c r="M197" i="40" s="1"/>
  <c r="L2092" i="5"/>
  <c r="P2092" i="5" s="1"/>
  <c r="F2100" i="5"/>
  <c r="F2099" i="5"/>
  <c r="W2095" i="5"/>
  <c r="S2095" i="5"/>
  <c r="O2095" i="5"/>
  <c r="E2089" i="5"/>
  <c r="I2084" i="5"/>
  <c r="I2085" i="5"/>
  <c r="S2075" i="5"/>
  <c r="W2075" i="5"/>
  <c r="AA2075" i="5"/>
  <c r="M239" i="40" s="1"/>
  <c r="F2085" i="5"/>
  <c r="F2084" i="5"/>
  <c r="O2073" i="5"/>
  <c r="D2080" i="5"/>
  <c r="E2080" i="5" s="1"/>
  <c r="D2082" i="5"/>
  <c r="O2077" i="5"/>
  <c r="L2080" i="5"/>
  <c r="L2246" i="5"/>
  <c r="O2248" i="5"/>
  <c r="D2246" i="5"/>
  <c r="E2246" i="5" s="1"/>
  <c r="O2149" i="5"/>
  <c r="D2157" i="5"/>
  <c r="E2157" i="5" s="1"/>
  <c r="S2155" i="5"/>
  <c r="W2155" i="5"/>
  <c r="L2150" i="5"/>
  <c r="L2153" i="5"/>
  <c r="L2152" i="5"/>
  <c r="O2156" i="5"/>
  <c r="F2054" i="5"/>
  <c r="F2055" i="5"/>
  <c r="S2050" i="5"/>
  <c r="W2050" i="5"/>
  <c r="O2050" i="5"/>
  <c r="O2028" i="5"/>
  <c r="D2035" i="5"/>
  <c r="E2035" i="5" s="1"/>
  <c r="O2032" i="5"/>
  <c r="D2031" i="5"/>
  <c r="L2035" i="5"/>
  <c r="H2039" i="5"/>
  <c r="S2031" i="5" s="1"/>
  <c r="H2040" i="5"/>
  <c r="O1955" i="5"/>
  <c r="L1959" i="5"/>
  <c r="D1960" i="5"/>
  <c r="L1953" i="5"/>
  <c r="O1957" i="5"/>
  <c r="D1963" i="5"/>
  <c r="L1963" i="5"/>
  <c r="D1959" i="5"/>
  <c r="S1945" i="5"/>
  <c r="W1945" i="5"/>
  <c r="L1944" i="5"/>
  <c r="P1944" i="5" s="1"/>
  <c r="O1948" i="5"/>
  <c r="L1939" i="5"/>
  <c r="D1942" i="5"/>
  <c r="D1944" i="5"/>
  <c r="E1944" i="5" s="1"/>
  <c r="L1941" i="5"/>
  <c r="P1941" i="5" s="1"/>
  <c r="O1873" i="5"/>
  <c r="O1866" i="5"/>
  <c r="L1872" i="5"/>
  <c r="P1872" i="5" s="1"/>
  <c r="O1851" i="5"/>
  <c r="L1858" i="5"/>
  <c r="O1854" i="5"/>
  <c r="O1850" i="5"/>
  <c r="F1814" i="5"/>
  <c r="F1815" i="5"/>
  <c r="S1810" i="5"/>
  <c r="W1810" i="5"/>
  <c r="AV89" i="40" s="1"/>
  <c r="O1810" i="5"/>
  <c r="O1809" i="5"/>
  <c r="L1806" i="5"/>
  <c r="D1811" i="5"/>
  <c r="E1811" i="5" s="1"/>
  <c r="S2020" i="5"/>
  <c r="W2020" i="5"/>
  <c r="L2015" i="5"/>
  <c r="P2015" i="5" s="1"/>
  <c r="L2018" i="5"/>
  <c r="L2017" i="5"/>
  <c r="O2021" i="5"/>
  <c r="O1930" i="5"/>
  <c r="L1923" i="5"/>
  <c r="D1926" i="5"/>
  <c r="E1926" i="5" s="1"/>
  <c r="L1932" i="5"/>
  <c r="D1933" i="5"/>
  <c r="I1934" i="5"/>
  <c r="I1935" i="5"/>
  <c r="W1925" i="5"/>
  <c r="S1925" i="5"/>
  <c r="AA1925" i="5"/>
  <c r="M227" i="40" s="1"/>
  <c r="O1923" i="5"/>
  <c r="W1926" i="5"/>
  <c r="S1926" i="5"/>
  <c r="S1840" i="5"/>
  <c r="W1840" i="5"/>
  <c r="AV116" i="40" s="1"/>
  <c r="L1834" i="5"/>
  <c r="O1836" i="5"/>
  <c r="L1843" i="5"/>
  <c r="D1839" i="5"/>
  <c r="E1834" i="5"/>
  <c r="L1841" i="5"/>
  <c r="D2001" i="5"/>
  <c r="H2009" i="5"/>
  <c r="H2010" i="5"/>
  <c r="O1999" i="5"/>
  <c r="D2000" i="5"/>
  <c r="E2000" i="5" s="1"/>
  <c r="O2007" i="5"/>
  <c r="D1989" i="5"/>
  <c r="E1989" i="5" s="1"/>
  <c r="L1986" i="5"/>
  <c r="L1991" i="5"/>
  <c r="L1985" i="5"/>
  <c r="P1985" i="5" s="1"/>
  <c r="L1908" i="5"/>
  <c r="P1908" i="5" s="1"/>
  <c r="O1912" i="5"/>
  <c r="D1918" i="5"/>
  <c r="L1918" i="5"/>
  <c r="E1909" i="5"/>
  <c r="D1913" i="5"/>
  <c r="L1903" i="5"/>
  <c r="O1899" i="5"/>
  <c r="O1895" i="5"/>
  <c r="O1894" i="5"/>
  <c r="O1900" i="5"/>
  <c r="E1894" i="5"/>
  <c r="O1902" i="5"/>
  <c r="D2068" i="5"/>
  <c r="O2058" i="5"/>
  <c r="D2065" i="5"/>
  <c r="O2067" i="5"/>
  <c r="L2068" i="5"/>
  <c r="D1974" i="5"/>
  <c r="E1974" i="5" s="1"/>
  <c r="L1976" i="5"/>
  <c r="O1978" i="5"/>
  <c r="D1976" i="5"/>
  <c r="E1976" i="5" s="1"/>
  <c r="O1884" i="5"/>
  <c r="O1879" i="5"/>
  <c r="S1883" i="5"/>
  <c r="W1883" i="5"/>
  <c r="D1887" i="5"/>
  <c r="E1887" i="5" s="1"/>
  <c r="S1885" i="5"/>
  <c r="W1885" i="5"/>
  <c r="L1880" i="5"/>
  <c r="H1829" i="5"/>
  <c r="AA1821" i="5" s="1"/>
  <c r="H1830" i="5"/>
  <c r="D1825" i="5"/>
  <c r="S1825" i="5"/>
  <c r="W1825" i="5"/>
  <c r="AV106" i="40" s="1"/>
  <c r="L1819" i="5"/>
  <c r="O1821" i="5"/>
  <c r="L1828" i="5"/>
  <c r="D1735" i="5"/>
  <c r="E1735" i="5" s="1"/>
  <c r="D1732" i="5"/>
  <c r="E1732" i="5" s="1"/>
  <c r="O1734" i="5"/>
  <c r="O1638" i="5"/>
  <c r="O1647" i="5"/>
  <c r="O1642" i="5"/>
  <c r="L1645" i="5"/>
  <c r="L1641" i="5"/>
  <c r="L1556" i="5"/>
  <c r="O1558" i="5"/>
  <c r="D1556" i="5"/>
  <c r="E1556" i="5" s="1"/>
  <c r="H1559" i="5"/>
  <c r="W1551" i="5" s="1"/>
  <c r="T112" i="40" s="1"/>
  <c r="H1560" i="5"/>
  <c r="O1792" i="5"/>
  <c r="D1794" i="5"/>
  <c r="E1794" i="5" s="1"/>
  <c r="I1799" i="5"/>
  <c r="I1800" i="5"/>
  <c r="S1790" i="5"/>
  <c r="W1790" i="5"/>
  <c r="M95" i="40" s="1"/>
  <c r="AA1790" i="5"/>
  <c r="O1794" i="5"/>
  <c r="S1793" i="5"/>
  <c r="W1793" i="5"/>
  <c r="AH95" i="40" s="1"/>
  <c r="AA1793" i="5"/>
  <c r="L1794" i="5"/>
  <c r="O1798" i="5"/>
  <c r="O1797" i="5"/>
  <c r="F1799" i="5"/>
  <c r="F1800" i="5"/>
  <c r="O1723" i="5"/>
  <c r="O1716" i="5"/>
  <c r="L1722" i="5"/>
  <c r="P1722" i="5" s="1"/>
  <c r="O1713" i="5"/>
  <c r="S1716" i="5"/>
  <c r="W1716" i="5"/>
  <c r="T117" i="40" s="1"/>
  <c r="L1721" i="5"/>
  <c r="L1699" i="5"/>
  <c r="P1699" i="5" s="1"/>
  <c r="D1702" i="5"/>
  <c r="D1704" i="5"/>
  <c r="E1704" i="5" s="1"/>
  <c r="L1701" i="5"/>
  <c r="P1701" i="5" s="1"/>
  <c r="L1706" i="5"/>
  <c r="O1632" i="5"/>
  <c r="L1625" i="5"/>
  <c r="P1625" i="5" s="1"/>
  <c r="I1634" i="5"/>
  <c r="I1635" i="5"/>
  <c r="W1625" i="5"/>
  <c r="M123" i="40" s="1"/>
  <c r="S1625" i="5"/>
  <c r="AA1625" i="5"/>
  <c r="L1627" i="5"/>
  <c r="F1634" i="5"/>
  <c r="F1635" i="5"/>
  <c r="S1630" i="5"/>
  <c r="W1630" i="5"/>
  <c r="AV123" i="40" s="1"/>
  <c r="O1611" i="5"/>
  <c r="L1618" i="5"/>
  <c r="O1614" i="5"/>
  <c r="O1610" i="5"/>
  <c r="O1609" i="5"/>
  <c r="O1615" i="5"/>
  <c r="O1617" i="5"/>
  <c r="D1538" i="5"/>
  <c r="D1542" i="5"/>
  <c r="L3397" i="5"/>
  <c r="P3397" i="5" s="1"/>
  <c r="O3394" i="5"/>
  <c r="L3402" i="5"/>
  <c r="O3337" i="5"/>
  <c r="O3341" i="5"/>
  <c r="D3341" i="5"/>
  <c r="E3341" i="5" s="1"/>
  <c r="O3333" i="5"/>
  <c r="O3323" i="5"/>
  <c r="L3328" i="5"/>
  <c r="O3322" i="5"/>
  <c r="E3319" i="5"/>
  <c r="D3326" i="5"/>
  <c r="O3320" i="5"/>
  <c r="L3325" i="5"/>
  <c r="P3325" i="5" s="1"/>
  <c r="L3320" i="5"/>
  <c r="D3327" i="5"/>
  <c r="H3420" i="5"/>
  <c r="H3419" i="5"/>
  <c r="AA3411" i="5" s="1"/>
  <c r="T254" i="40" s="1"/>
  <c r="S3411" i="5"/>
  <c r="O3408" i="5"/>
  <c r="L3412" i="5"/>
  <c r="P3412" i="5" s="1"/>
  <c r="L3411" i="5"/>
  <c r="L3410" i="5"/>
  <c r="D3358" i="5"/>
  <c r="D3355" i="5"/>
  <c r="E3355" i="5" s="1"/>
  <c r="W3351" i="5"/>
  <c r="S3351" i="5"/>
  <c r="L3355" i="5"/>
  <c r="O3354" i="5"/>
  <c r="L3352" i="5"/>
  <c r="P3352" i="5" s="1"/>
  <c r="O3358" i="5"/>
  <c r="O3350" i="5"/>
  <c r="L3354" i="5"/>
  <c r="S3265" i="5"/>
  <c r="W3265" i="5"/>
  <c r="O3267" i="5"/>
  <c r="L3258" i="5"/>
  <c r="O3262" i="5"/>
  <c r="L3267" i="5"/>
  <c r="P3267" i="5" s="1"/>
  <c r="L3251" i="5"/>
  <c r="P3251" i="5" s="1"/>
  <c r="L3252" i="5"/>
  <c r="D3246" i="5"/>
  <c r="E3246" i="5" s="1"/>
  <c r="L3245" i="5"/>
  <c r="P3245" i="5" s="1"/>
  <c r="O3252" i="5"/>
  <c r="D3247" i="5"/>
  <c r="E3247" i="5" s="1"/>
  <c r="O3243" i="5"/>
  <c r="F3180" i="5"/>
  <c r="F3179" i="5"/>
  <c r="O3178" i="5"/>
  <c r="D3174" i="5"/>
  <c r="E3174" i="5" s="1"/>
  <c r="D3178" i="5"/>
  <c r="L3170" i="5"/>
  <c r="L3175" i="5"/>
  <c r="P3175" i="5" s="1"/>
  <c r="L3173" i="5"/>
  <c r="O3176" i="5"/>
  <c r="O3153" i="5"/>
  <c r="O3163" i="5"/>
  <c r="O3157" i="5"/>
  <c r="L3153" i="5"/>
  <c r="D3161" i="5"/>
  <c r="L3103" i="5"/>
  <c r="O3096" i="5"/>
  <c r="D3098" i="5"/>
  <c r="O3098" i="5"/>
  <c r="F3105" i="5"/>
  <c r="F3104" i="5"/>
  <c r="D3306" i="5"/>
  <c r="E3306" i="5" s="1"/>
  <c r="L3313" i="5"/>
  <c r="D3313" i="5"/>
  <c r="E3304" i="5"/>
  <c r="S3310" i="5"/>
  <c r="W3310" i="5"/>
  <c r="D3307" i="5"/>
  <c r="E3307" i="5" s="1"/>
  <c r="L3310" i="5"/>
  <c r="L3233" i="5"/>
  <c r="O3237" i="5"/>
  <c r="D3231" i="5"/>
  <c r="E3231" i="5" s="1"/>
  <c r="O3232" i="5"/>
  <c r="E3229" i="5"/>
  <c r="L3236" i="5"/>
  <c r="D3223" i="5"/>
  <c r="D3219" i="5"/>
  <c r="E3219" i="5" s="1"/>
  <c r="O3213" i="5"/>
  <c r="D3217" i="5"/>
  <c r="D3221" i="5"/>
  <c r="E3221" i="5" s="1"/>
  <c r="O3219" i="5"/>
  <c r="O3214" i="5"/>
  <c r="O3124" i="5"/>
  <c r="L3133" i="5"/>
  <c r="L3124" i="5"/>
  <c r="P3124" i="5" s="1"/>
  <c r="D3127" i="5"/>
  <c r="E3127" i="5" s="1"/>
  <c r="O3131" i="5"/>
  <c r="O3133" i="5"/>
  <c r="E3109" i="5"/>
  <c r="D3114" i="5"/>
  <c r="E3114" i="5" s="1"/>
  <c r="O3117" i="5"/>
  <c r="O3110" i="5"/>
  <c r="L3113" i="5"/>
  <c r="L3112" i="5"/>
  <c r="P3112" i="5" s="1"/>
  <c r="O3042" i="5"/>
  <c r="L3035" i="5"/>
  <c r="P3035" i="5" s="1"/>
  <c r="O3038" i="5"/>
  <c r="D3039" i="5"/>
  <c r="E3039" i="5" s="1"/>
  <c r="O3033" i="5"/>
  <c r="L3042" i="5"/>
  <c r="P3042" i="5" s="1"/>
  <c r="I3044" i="5"/>
  <c r="I3045" i="5"/>
  <c r="W3035" i="5"/>
  <c r="S3035" i="5"/>
  <c r="AA3035" i="5"/>
  <c r="M129" i="40" s="1"/>
  <c r="L3037" i="5"/>
  <c r="O3021" i="5"/>
  <c r="O3019" i="5"/>
  <c r="O3024" i="5"/>
  <c r="D3022" i="5"/>
  <c r="E3022" i="5" s="1"/>
  <c r="I3029" i="5"/>
  <c r="I3030" i="5"/>
  <c r="S3020" i="5"/>
  <c r="W3020" i="5"/>
  <c r="AA3020" i="5"/>
  <c r="M161" i="40" s="1"/>
  <c r="F3030" i="5"/>
  <c r="F3029" i="5"/>
  <c r="O3193" i="5"/>
  <c r="L3187" i="5"/>
  <c r="D3192" i="5"/>
  <c r="E3192" i="5" s="1"/>
  <c r="O3187" i="5"/>
  <c r="D3188" i="5"/>
  <c r="AA3188" i="5" s="1"/>
  <c r="AH249" i="40" s="1"/>
  <c r="D3187" i="5"/>
  <c r="E3187" i="5" s="1"/>
  <c r="L2992" i="5"/>
  <c r="H2999" i="5"/>
  <c r="S2991" i="5" s="1"/>
  <c r="H3000" i="5"/>
  <c r="D2992" i="5"/>
  <c r="E2992" i="5" s="1"/>
  <c r="F3000" i="5"/>
  <c r="F2999" i="5"/>
  <c r="O2995" i="5"/>
  <c r="L3073" i="5"/>
  <c r="O3065" i="5"/>
  <c r="O3064" i="5"/>
  <c r="L3063" i="5"/>
  <c r="S3055" i="5"/>
  <c r="W3055" i="5"/>
  <c r="L3050" i="5"/>
  <c r="L3052" i="5"/>
  <c r="O3057" i="5"/>
  <c r="L3056" i="5"/>
  <c r="P3056" i="5" s="1"/>
  <c r="O3050" i="5"/>
  <c r="L3055" i="5"/>
  <c r="P3055" i="5" s="1"/>
  <c r="O3051" i="5"/>
  <c r="O3204" i="5"/>
  <c r="O3208" i="5"/>
  <c r="L3205" i="5"/>
  <c r="L3208" i="5"/>
  <c r="E3139" i="5"/>
  <c r="S3145" i="5"/>
  <c r="W3145" i="5"/>
  <c r="H3150" i="5"/>
  <c r="H3149" i="5"/>
  <c r="W3141" i="5" s="1"/>
  <c r="L3143" i="5"/>
  <c r="L3146" i="5"/>
  <c r="L3083" i="5"/>
  <c r="P3083" i="5" s="1"/>
  <c r="L3085" i="5"/>
  <c r="P3085" i="5" s="1"/>
  <c r="D3081" i="5"/>
  <c r="O3083" i="5"/>
  <c r="W3010" i="5"/>
  <c r="S3010" i="5"/>
  <c r="O3007" i="5"/>
  <c r="O3013" i="5"/>
  <c r="H3014" i="5"/>
  <c r="AA3006" i="5" s="1"/>
  <c r="T183" i="40" s="1"/>
  <c r="H3015" i="5"/>
  <c r="E3004" i="5"/>
  <c r="W2920" i="5"/>
  <c r="S2920" i="5"/>
  <c r="L2923" i="5"/>
  <c r="O2916" i="5"/>
  <c r="H2924" i="5"/>
  <c r="S2916" i="5" s="1"/>
  <c r="H2925" i="5"/>
  <c r="D2979" i="5"/>
  <c r="E2979" i="5" s="1"/>
  <c r="O2975" i="5"/>
  <c r="L2981" i="5"/>
  <c r="L2979" i="5"/>
  <c r="P2979" i="5" s="1"/>
  <c r="L2825" i="5"/>
  <c r="L2827" i="5"/>
  <c r="D2827" i="5"/>
  <c r="E2827" i="5" s="1"/>
  <c r="L2823" i="5"/>
  <c r="O2827" i="5"/>
  <c r="O2825" i="5"/>
  <c r="L2829" i="5"/>
  <c r="P2829" i="5" s="1"/>
  <c r="L2833" i="5"/>
  <c r="I2939" i="5"/>
  <c r="I2940" i="5"/>
  <c r="W2930" i="5"/>
  <c r="S2930" i="5"/>
  <c r="AA2930" i="5"/>
  <c r="M230" i="40" s="1"/>
  <c r="O2937" i="5"/>
  <c r="S2935" i="5"/>
  <c r="W2935" i="5"/>
  <c r="O2938" i="5"/>
  <c r="F2940" i="5"/>
  <c r="F2939" i="5"/>
  <c r="O2935" i="5"/>
  <c r="L2938" i="5"/>
  <c r="O2893" i="5"/>
  <c r="D2886" i="5"/>
  <c r="E2886" i="5" s="1"/>
  <c r="L2890" i="5"/>
  <c r="P2890" i="5" s="1"/>
  <c r="L2893" i="5"/>
  <c r="D2875" i="5"/>
  <c r="E2875" i="5" s="1"/>
  <c r="L2872" i="5"/>
  <c r="P2872" i="5" s="1"/>
  <c r="H2880" i="5"/>
  <c r="H2879" i="5"/>
  <c r="W2871" i="5" s="1"/>
  <c r="O2873" i="5"/>
  <c r="L2878" i="5"/>
  <c r="D2870" i="5"/>
  <c r="E2870" i="5" s="1"/>
  <c r="D2858" i="5"/>
  <c r="O2858" i="5"/>
  <c r="O2853" i="5"/>
  <c r="O2861" i="5"/>
  <c r="O2863" i="5"/>
  <c r="O2862" i="5"/>
  <c r="D2968" i="5"/>
  <c r="O2966" i="5"/>
  <c r="L2967" i="5"/>
  <c r="S2965" i="5"/>
  <c r="W2965" i="5"/>
  <c r="L2946" i="5"/>
  <c r="L2950" i="5"/>
  <c r="L2944" i="5"/>
  <c r="O2902" i="5"/>
  <c r="I2909" i="5"/>
  <c r="I2910" i="5"/>
  <c r="W2900" i="5"/>
  <c r="S2900" i="5"/>
  <c r="AA2900" i="5"/>
  <c r="M191" i="40" s="1"/>
  <c r="L2903" i="5"/>
  <c r="P2903" i="5" s="1"/>
  <c r="D2901" i="5"/>
  <c r="O2840" i="5"/>
  <c r="O2839" i="5"/>
  <c r="O2845" i="5"/>
  <c r="L2840" i="5"/>
  <c r="O2765" i="5"/>
  <c r="L2771" i="5"/>
  <c r="P2771" i="5" s="1"/>
  <c r="D2765" i="5"/>
  <c r="E2765" i="5" s="1"/>
  <c r="I2774" i="5"/>
  <c r="I2775" i="5"/>
  <c r="W2765" i="5"/>
  <c r="S2765" i="5"/>
  <c r="AA2765" i="5"/>
  <c r="M174" i="40" s="1"/>
  <c r="L2767" i="5"/>
  <c r="D2769" i="5"/>
  <c r="E2769" i="5" s="1"/>
  <c r="L2748" i="5"/>
  <c r="P2748" i="5" s="1"/>
  <c r="L2750" i="5"/>
  <c r="D2753" i="5"/>
  <c r="L2755" i="5"/>
  <c r="L2749" i="5"/>
  <c r="P2749" i="5" s="1"/>
  <c r="L2811" i="5"/>
  <c r="P2811" i="5" s="1"/>
  <c r="H2819" i="5"/>
  <c r="AA2811" i="5" s="1"/>
  <c r="T144" i="40" s="1"/>
  <c r="H2820" i="5"/>
  <c r="L2812" i="5"/>
  <c r="O2817" i="5"/>
  <c r="W2740" i="5"/>
  <c r="S2740" i="5"/>
  <c r="D2736" i="5"/>
  <c r="E2736" i="5" s="1"/>
  <c r="O2741" i="5"/>
  <c r="L2735" i="5"/>
  <c r="O2740" i="5"/>
  <c r="E2734" i="5"/>
  <c r="L2741" i="5"/>
  <c r="L2783" i="5"/>
  <c r="P2783" i="5" s="1"/>
  <c r="D2785" i="5"/>
  <c r="E2785" i="5" s="1"/>
  <c r="D2780" i="5"/>
  <c r="E2780" i="5" s="1"/>
  <c r="O2785" i="5"/>
  <c r="O2783" i="5"/>
  <c r="L2779" i="5"/>
  <c r="O2781" i="5"/>
  <c r="O2675" i="5"/>
  <c r="L2679" i="5"/>
  <c r="D2680" i="5"/>
  <c r="E2680" i="5" s="1"/>
  <c r="L2673" i="5"/>
  <c r="O2677" i="5"/>
  <c r="D2682" i="5"/>
  <c r="E2682" i="5" s="1"/>
  <c r="L2683" i="5"/>
  <c r="D2679" i="5"/>
  <c r="S2665" i="5"/>
  <c r="W2665" i="5"/>
  <c r="L2660" i="5"/>
  <c r="D2662" i="5"/>
  <c r="E2662" i="5" s="1"/>
  <c r="O2666" i="5"/>
  <c r="D2668" i="5"/>
  <c r="L2664" i="5"/>
  <c r="O2668" i="5"/>
  <c r="O2793" i="5"/>
  <c r="D2795" i="5"/>
  <c r="E2795" i="5" s="1"/>
  <c r="O2800" i="5"/>
  <c r="L2803" i="5"/>
  <c r="O2647" i="5"/>
  <c r="L2650" i="5"/>
  <c r="L2646" i="5"/>
  <c r="P2646" i="5" s="1"/>
  <c r="O2648" i="5"/>
  <c r="F2655" i="5"/>
  <c r="F2654" i="5"/>
  <c r="O2650" i="5"/>
  <c r="L2722" i="5"/>
  <c r="D2726" i="5"/>
  <c r="O2718" i="5"/>
  <c r="L2728" i="5"/>
  <c r="L2719" i="5"/>
  <c r="D2713" i="5"/>
  <c r="S2710" i="5"/>
  <c r="W2710" i="5"/>
  <c r="L2709" i="5"/>
  <c r="O2713" i="5"/>
  <c r="L2704" i="5"/>
  <c r="D2707" i="5"/>
  <c r="E2707" i="5" s="1"/>
  <c r="D2709" i="5"/>
  <c r="I2699" i="5"/>
  <c r="I2700" i="5"/>
  <c r="W2690" i="5"/>
  <c r="S2690" i="5"/>
  <c r="AA2690" i="5"/>
  <c r="M148" i="40" s="1"/>
  <c r="O2688" i="5"/>
  <c r="O2697" i="5"/>
  <c r="O2692" i="5"/>
  <c r="L2695" i="5"/>
  <c r="L2691" i="5"/>
  <c r="P2691" i="5" s="1"/>
  <c r="O2608" i="5"/>
  <c r="L2599" i="5"/>
  <c r="O2598" i="5"/>
  <c r="D2604" i="5"/>
  <c r="E2604" i="5" s="1"/>
  <c r="O2602" i="5"/>
  <c r="D2606" i="5"/>
  <c r="L2631" i="5"/>
  <c r="P2631" i="5" s="1"/>
  <c r="F2640" i="5"/>
  <c r="F2639" i="5"/>
  <c r="D2634" i="5"/>
  <c r="D2638" i="5"/>
  <c r="L2638" i="5"/>
  <c r="O2630" i="5"/>
  <c r="L2634" i="5"/>
  <c r="D2635" i="5"/>
  <c r="L2628" i="5"/>
  <c r="O2632" i="5"/>
  <c r="D2532" i="5"/>
  <c r="E2524" i="5"/>
  <c r="O2526" i="5"/>
  <c r="O2529" i="5"/>
  <c r="O2533" i="5"/>
  <c r="O2525" i="5"/>
  <c r="D2453" i="5"/>
  <c r="D2457" i="5"/>
  <c r="E2457" i="5" s="1"/>
  <c r="D2455" i="5"/>
  <c r="E2455" i="5" s="1"/>
  <c r="L2455" i="5"/>
  <c r="P2455" i="5" s="1"/>
  <c r="L2453" i="5"/>
  <c r="P2453" i="5" s="1"/>
  <c r="O2456" i="5"/>
  <c r="L2441" i="5"/>
  <c r="S2440" i="5"/>
  <c r="W2440" i="5"/>
  <c r="L2435" i="5"/>
  <c r="D2437" i="5"/>
  <c r="E2437" i="5" s="1"/>
  <c r="O2441" i="5"/>
  <c r="D2443" i="5"/>
  <c r="F2370" i="5"/>
  <c r="F2369" i="5"/>
  <c r="O2365" i="5"/>
  <c r="O2364" i="5"/>
  <c r="L2361" i="5"/>
  <c r="P2361" i="5" s="1"/>
  <c r="D2366" i="5"/>
  <c r="E2366" i="5" s="1"/>
  <c r="L2353" i="5"/>
  <c r="D2345" i="5"/>
  <c r="E2345" i="5" s="1"/>
  <c r="D2352" i="5"/>
  <c r="E2352" i="5" s="1"/>
  <c r="O2348" i="5"/>
  <c r="D2350" i="5"/>
  <c r="E2350" i="5" s="1"/>
  <c r="L2343" i="5"/>
  <c r="D2346" i="5"/>
  <c r="E2346" i="5" s="1"/>
  <c r="L2348" i="5"/>
  <c r="L2347" i="5"/>
  <c r="O2517" i="5"/>
  <c r="O2512" i="5"/>
  <c r="L2515" i="5"/>
  <c r="L2511" i="5"/>
  <c r="P2511" i="5" s="1"/>
  <c r="O2513" i="5"/>
  <c r="F2519" i="5"/>
  <c r="F2520" i="5"/>
  <c r="O2428" i="5"/>
  <c r="D2426" i="5"/>
  <c r="H2429" i="5"/>
  <c r="AA2421" i="5" s="1"/>
  <c r="T138" i="40" s="1"/>
  <c r="H2430" i="5"/>
  <c r="O2420" i="5"/>
  <c r="L2424" i="5"/>
  <c r="P2424" i="5" s="1"/>
  <c r="L2584" i="5"/>
  <c r="O2591" i="5"/>
  <c r="L2593" i="5"/>
  <c r="L2583" i="5"/>
  <c r="D2496" i="5"/>
  <c r="H2505" i="5"/>
  <c r="H2504" i="5"/>
  <c r="S2496" i="5" s="1"/>
  <c r="D2501" i="5"/>
  <c r="O2494" i="5"/>
  <c r="S2498" i="5"/>
  <c r="W2498" i="5"/>
  <c r="AA2498" i="5"/>
  <c r="AH159" i="40" s="1"/>
  <c r="D2495" i="5"/>
  <c r="E2495" i="5" s="1"/>
  <c r="O2502" i="5"/>
  <c r="L2481" i="5"/>
  <c r="L2486" i="5"/>
  <c r="L2480" i="5"/>
  <c r="P2480" i="5" s="1"/>
  <c r="L2403" i="5"/>
  <c r="P2403" i="5" s="1"/>
  <c r="O2407" i="5"/>
  <c r="D2412" i="5"/>
  <c r="L2413" i="5"/>
  <c r="E2404" i="5"/>
  <c r="D2408" i="5"/>
  <c r="L2398" i="5"/>
  <c r="O2394" i="5"/>
  <c r="O2390" i="5"/>
  <c r="O2389" i="5"/>
  <c r="O2395" i="5"/>
  <c r="E2389" i="5"/>
  <c r="O2397" i="5"/>
  <c r="D2615" i="5"/>
  <c r="E2615" i="5" s="1"/>
  <c r="S2620" i="5"/>
  <c r="W2620" i="5"/>
  <c r="O2623" i="5"/>
  <c r="H2624" i="5"/>
  <c r="W2616" i="5" s="1"/>
  <c r="H2625" i="5"/>
  <c r="E2614" i="5"/>
  <c r="O2622" i="5"/>
  <c r="D2621" i="5"/>
  <c r="E2621" i="5" s="1"/>
  <c r="O2558" i="5"/>
  <c r="O2559" i="5"/>
  <c r="L2560" i="5"/>
  <c r="L2554" i="5"/>
  <c r="O2556" i="5"/>
  <c r="O2563" i="5"/>
  <c r="O2538" i="5"/>
  <c r="D2544" i="5"/>
  <c r="E2544" i="5" s="1"/>
  <c r="O2543" i="5"/>
  <c r="I2549" i="5"/>
  <c r="I2550" i="5"/>
  <c r="W2540" i="5"/>
  <c r="S2540" i="5"/>
  <c r="AA2540" i="5"/>
  <c r="M131" i="40" s="1"/>
  <c r="L2548" i="5"/>
  <c r="O2541" i="5"/>
  <c r="O2469" i="5"/>
  <c r="O2464" i="5"/>
  <c r="S2468" i="5"/>
  <c r="W2468" i="5"/>
  <c r="AA2468" i="5"/>
  <c r="AH223" i="40" s="1"/>
  <c r="D2472" i="5"/>
  <c r="E2472" i="5" s="1"/>
  <c r="S2470" i="5"/>
  <c r="W2470" i="5"/>
  <c r="L2465" i="5"/>
  <c r="L2376" i="5"/>
  <c r="O2378" i="5"/>
  <c r="F2385" i="5"/>
  <c r="F2384" i="5"/>
  <c r="O2380" i="5"/>
  <c r="L2373" i="5"/>
  <c r="D2376" i="5"/>
  <c r="E2376" i="5" s="1"/>
  <c r="L2382" i="5"/>
  <c r="S2575" i="5"/>
  <c r="W2575" i="5"/>
  <c r="I2579" i="5"/>
  <c r="I2580" i="5"/>
  <c r="S2570" i="5"/>
  <c r="W2570" i="5"/>
  <c r="AA2570" i="5"/>
  <c r="M143" i="40" s="1"/>
  <c r="D2576" i="5"/>
  <c r="L2575" i="5"/>
  <c r="S2571" i="5"/>
  <c r="W2571" i="5"/>
  <c r="L2574" i="5"/>
  <c r="P2574" i="5" s="1"/>
  <c r="O2578" i="5"/>
  <c r="D2315" i="5"/>
  <c r="E2315" i="5" s="1"/>
  <c r="O2320" i="5"/>
  <c r="O2316" i="5"/>
  <c r="O2319" i="5"/>
  <c r="L2318" i="5"/>
  <c r="E2299" i="5"/>
  <c r="O2307" i="5"/>
  <c r="D2306" i="5"/>
  <c r="L2303" i="5"/>
  <c r="L2302" i="5"/>
  <c r="P2302" i="5" s="1"/>
  <c r="O2224" i="5"/>
  <c r="O2232" i="5"/>
  <c r="L2225" i="5"/>
  <c r="I2234" i="5"/>
  <c r="I2235" i="5"/>
  <c r="S2225" i="5"/>
  <c r="W2225" i="5"/>
  <c r="AA2225" i="5"/>
  <c r="M242" i="40" s="1"/>
  <c r="L2227" i="5"/>
  <c r="F2234" i="5"/>
  <c r="F2235" i="5"/>
  <c r="O2212" i="5"/>
  <c r="D2211" i="5"/>
  <c r="E2211" i="5" s="1"/>
  <c r="L2215" i="5"/>
  <c r="P2215" i="5" s="1"/>
  <c r="H2219" i="5"/>
  <c r="W2211" i="5" s="1"/>
  <c r="H2220" i="5"/>
  <c r="D2210" i="5"/>
  <c r="E2210" i="5" s="1"/>
  <c r="D2138" i="5"/>
  <c r="D2142" i="5"/>
  <c r="E2142" i="5" s="1"/>
  <c r="D2140" i="5"/>
  <c r="E2140" i="5" s="1"/>
  <c r="L2140" i="5"/>
  <c r="P2140" i="5" s="1"/>
  <c r="L2138" i="5"/>
  <c r="P2138" i="5" s="1"/>
  <c r="D2137" i="5"/>
  <c r="E2137" i="5" s="1"/>
  <c r="O2141" i="5"/>
  <c r="L2119" i="5"/>
  <c r="P2119" i="5" s="1"/>
  <c r="D2122" i="5"/>
  <c r="E2122" i="5" s="1"/>
  <c r="L2121" i="5"/>
  <c r="P2121" i="5" s="1"/>
  <c r="L2126" i="5"/>
  <c r="O2287" i="5"/>
  <c r="L2290" i="5"/>
  <c r="L2286" i="5"/>
  <c r="P2286" i="5" s="1"/>
  <c r="O2288" i="5"/>
  <c r="F2295" i="5"/>
  <c r="F2294" i="5"/>
  <c r="O2290" i="5"/>
  <c r="D2201" i="5"/>
  <c r="E2201" i="5" s="1"/>
  <c r="H2204" i="5"/>
  <c r="W2196" i="5" s="1"/>
  <c r="H2205" i="5"/>
  <c r="O2195" i="5"/>
  <c r="L2199" i="5"/>
  <c r="P2199" i="5" s="1"/>
  <c r="S2200" i="5"/>
  <c r="W2200" i="5"/>
  <c r="L2105" i="5"/>
  <c r="P2105" i="5" s="1"/>
  <c r="L2108" i="5"/>
  <c r="P2108" i="5" s="1"/>
  <c r="L2107" i="5"/>
  <c r="P2107" i="5" s="1"/>
  <c r="O2111" i="5"/>
  <c r="D2110" i="5"/>
  <c r="D2112" i="5"/>
  <c r="E2112" i="5" s="1"/>
  <c r="L2332" i="5"/>
  <c r="O2334" i="5"/>
  <c r="O2335" i="5"/>
  <c r="L2328" i="5"/>
  <c r="D2331" i="5"/>
  <c r="E2331" i="5" s="1"/>
  <c r="L2337" i="5"/>
  <c r="O2333" i="5"/>
  <c r="F2339" i="5"/>
  <c r="F2340" i="5"/>
  <c r="D2271" i="5"/>
  <c r="E2271" i="5" s="1"/>
  <c r="H2279" i="5"/>
  <c r="AA2271" i="5" s="1"/>
  <c r="T236" i="40" s="1"/>
  <c r="H2280" i="5"/>
  <c r="D2276" i="5"/>
  <c r="E2276" i="5" s="1"/>
  <c r="O2269" i="5"/>
  <c r="S2273" i="5"/>
  <c r="W2273" i="5"/>
  <c r="AA2273" i="5"/>
  <c r="AH236" i="40" s="1"/>
  <c r="D2270" i="5"/>
  <c r="E2270" i="5" s="1"/>
  <c r="O2277" i="5"/>
  <c r="L2270" i="5"/>
  <c r="H2264" i="5"/>
  <c r="S2256" i="5" s="1"/>
  <c r="H2265" i="5"/>
  <c r="W2256" i="5"/>
  <c r="D2262" i="5"/>
  <c r="E2262" i="5" s="1"/>
  <c r="O2258" i="5"/>
  <c r="D2260" i="5"/>
  <c r="L2253" i="5"/>
  <c r="D2256" i="5"/>
  <c r="E2256" i="5" s="1"/>
  <c r="L2262" i="5"/>
  <c r="P2262" i="5" s="1"/>
  <c r="L2188" i="5"/>
  <c r="D2183" i="5"/>
  <c r="D2187" i="5"/>
  <c r="L2166" i="5"/>
  <c r="L2171" i="5"/>
  <c r="P2171" i="5" s="1"/>
  <c r="S2170" i="5"/>
  <c r="W2170" i="5"/>
  <c r="L2165" i="5"/>
  <c r="P2165" i="5" s="1"/>
  <c r="O2171" i="5"/>
  <c r="L2097" i="5"/>
  <c r="O2088" i="5"/>
  <c r="S2091" i="5"/>
  <c r="W2091" i="5"/>
  <c r="L2096" i="5"/>
  <c r="P2096" i="5" s="1"/>
  <c r="O2093" i="5"/>
  <c r="L2089" i="5"/>
  <c r="O2079" i="5"/>
  <c r="O2075" i="5"/>
  <c r="O2074" i="5"/>
  <c r="O2080" i="5"/>
  <c r="E2074" i="5"/>
  <c r="O2082" i="5"/>
  <c r="D2081" i="5"/>
  <c r="E2081" i="5" s="1"/>
  <c r="O2239" i="5"/>
  <c r="S2243" i="5"/>
  <c r="W2243" i="5"/>
  <c r="AA2243" i="5"/>
  <c r="AH127" i="40" s="1"/>
  <c r="D2247" i="5"/>
  <c r="E2247" i="5" s="1"/>
  <c r="S2245" i="5"/>
  <c r="W2245" i="5"/>
  <c r="L2240" i="5"/>
  <c r="L2243" i="5"/>
  <c r="L2242" i="5"/>
  <c r="P2242" i="5" s="1"/>
  <c r="O2246" i="5"/>
  <c r="O2153" i="5"/>
  <c r="F2159" i="5"/>
  <c r="F2160" i="5"/>
  <c r="O2155" i="5"/>
  <c r="L2148" i="5"/>
  <c r="D2151" i="5"/>
  <c r="E2151" i="5" s="1"/>
  <c r="L2157" i="5"/>
  <c r="D2158" i="5"/>
  <c r="O2043" i="5"/>
  <c r="L2051" i="5"/>
  <c r="O2048" i="5"/>
  <c r="L2044" i="5"/>
  <c r="O2049" i="5"/>
  <c r="L2046" i="5"/>
  <c r="D2051" i="5"/>
  <c r="E2051" i="5" s="1"/>
  <c r="O2029" i="5"/>
  <c r="O2035" i="5"/>
  <c r="E2029" i="5"/>
  <c r="O2037" i="5"/>
  <c r="D2036" i="5"/>
  <c r="E2036" i="5" s="1"/>
  <c r="L2033" i="5"/>
  <c r="L2032" i="5"/>
  <c r="P2032" i="5" s="1"/>
  <c r="F1964" i="5"/>
  <c r="F1965" i="5"/>
  <c r="O1960" i="5"/>
  <c r="O1938" i="5"/>
  <c r="D1945" i="5"/>
  <c r="E1945" i="5" s="1"/>
  <c r="O1942" i="5"/>
  <c r="D1941" i="5"/>
  <c r="E1941" i="5" s="1"/>
  <c r="L1945" i="5"/>
  <c r="H1949" i="5"/>
  <c r="S1941" i="5" s="1"/>
  <c r="H1950" i="5"/>
  <c r="O1865" i="5"/>
  <c r="L1869" i="5"/>
  <c r="D1870" i="5"/>
  <c r="E1870" i="5" s="1"/>
  <c r="L1863" i="5"/>
  <c r="O1867" i="5"/>
  <c r="D1872" i="5"/>
  <c r="E1872" i="5" s="1"/>
  <c r="L1873" i="5"/>
  <c r="D1869" i="5"/>
  <c r="S1855" i="5"/>
  <c r="W1855" i="5"/>
  <c r="AV78" i="40" s="1"/>
  <c r="L1854" i="5"/>
  <c r="P1854" i="5" s="1"/>
  <c r="O1858" i="5"/>
  <c r="L1849" i="5"/>
  <c r="D1852" i="5"/>
  <c r="E1852" i="5" s="1"/>
  <c r="L1851" i="5"/>
  <c r="P1851" i="5" s="1"/>
  <c r="O1803" i="5"/>
  <c r="W1806" i="5"/>
  <c r="T89" i="40" s="1"/>
  <c r="S1806" i="5"/>
  <c r="L1811" i="5"/>
  <c r="O1808" i="5"/>
  <c r="L1804" i="5"/>
  <c r="L1810" i="5"/>
  <c r="P1810" i="5" s="1"/>
  <c r="L1808" i="5"/>
  <c r="P1808" i="5" s="1"/>
  <c r="O1811" i="5"/>
  <c r="O2020" i="5"/>
  <c r="L2013" i="5"/>
  <c r="D2016" i="5"/>
  <c r="E2016" i="5" s="1"/>
  <c r="L2022" i="5"/>
  <c r="D2023" i="5"/>
  <c r="I2024" i="5"/>
  <c r="I2025" i="5"/>
  <c r="S2015" i="5"/>
  <c r="W2015" i="5"/>
  <c r="AA2015" i="5"/>
  <c r="M207" i="40" s="1"/>
  <c r="O2013" i="5"/>
  <c r="W2016" i="5"/>
  <c r="S2016" i="5"/>
  <c r="L1924" i="5"/>
  <c r="O1926" i="5"/>
  <c r="L1933" i="5"/>
  <c r="D1929" i="5"/>
  <c r="E1924" i="5"/>
  <c r="L1931" i="5"/>
  <c r="P1931" i="5" s="1"/>
  <c r="D1838" i="5"/>
  <c r="D1837" i="5"/>
  <c r="E1837" i="5" s="1"/>
  <c r="O1839" i="5"/>
  <c r="O1834" i="5"/>
  <c r="L1999" i="5"/>
  <c r="P1999" i="5" s="1"/>
  <c r="O2004" i="5"/>
  <c r="L2001" i="5"/>
  <c r="O2008" i="5"/>
  <c r="D1986" i="5"/>
  <c r="L1990" i="5"/>
  <c r="P1990" i="5" s="1"/>
  <c r="H1994" i="5"/>
  <c r="AA1986" i="5" s="1"/>
  <c r="T156" i="40" s="1"/>
  <c r="H1995" i="5"/>
  <c r="D1985" i="5"/>
  <c r="E1985" i="5" s="1"/>
  <c r="D1992" i="5"/>
  <c r="O1988" i="5"/>
  <c r="D1990" i="5"/>
  <c r="E1990" i="5" s="1"/>
  <c r="L1983" i="5"/>
  <c r="D1911" i="5"/>
  <c r="H1919" i="5"/>
  <c r="W1911" i="5" s="1"/>
  <c r="H1920" i="5"/>
  <c r="D1916" i="5"/>
  <c r="O1909" i="5"/>
  <c r="D1910" i="5"/>
  <c r="E1910" i="5" s="1"/>
  <c r="O1917" i="5"/>
  <c r="L1896" i="5"/>
  <c r="L1901" i="5"/>
  <c r="L1895" i="5"/>
  <c r="P1895" i="5" s="1"/>
  <c r="E2059" i="5"/>
  <c r="S2065" i="5"/>
  <c r="W2065" i="5"/>
  <c r="O2068" i="5"/>
  <c r="H2069" i="5"/>
  <c r="AA2061" i="5" s="1"/>
  <c r="T238" i="40" s="1"/>
  <c r="H2070" i="5"/>
  <c r="D2066" i="5"/>
  <c r="E2066" i="5" s="1"/>
  <c r="O1974" i="5"/>
  <c r="O1969" i="5"/>
  <c r="S1973" i="5"/>
  <c r="D1977" i="5"/>
  <c r="E1977" i="5" s="1"/>
  <c r="S1975" i="5"/>
  <c r="W1975" i="5"/>
  <c r="L1970" i="5"/>
  <c r="L1881" i="5"/>
  <c r="O1883" i="5"/>
  <c r="F1889" i="5"/>
  <c r="F1890" i="5"/>
  <c r="O1885" i="5"/>
  <c r="L1878" i="5"/>
  <c r="D1881" i="5"/>
  <c r="E1881" i="5" s="1"/>
  <c r="L1887" i="5"/>
  <c r="L1823" i="5"/>
  <c r="L1822" i="5"/>
  <c r="O1826" i="5"/>
  <c r="O1818" i="5"/>
  <c r="S1821" i="5"/>
  <c r="W1821" i="5"/>
  <c r="T106" i="40" s="1"/>
  <c r="D1823" i="5"/>
  <c r="D1822" i="5"/>
  <c r="E1822" i="5" s="1"/>
  <c r="O1728" i="5"/>
  <c r="O1737" i="5"/>
  <c r="O1732" i="5"/>
  <c r="L1735" i="5"/>
  <c r="L1731" i="5"/>
  <c r="P1731" i="5" s="1"/>
  <c r="L1646" i="5"/>
  <c r="O1648" i="5"/>
  <c r="D1646" i="5"/>
  <c r="E1646" i="5" s="1"/>
  <c r="H1649" i="5"/>
  <c r="AA1641" i="5" s="1"/>
  <c r="H1650" i="5"/>
  <c r="O1549" i="5"/>
  <c r="D1557" i="5"/>
  <c r="E1557" i="5" s="1"/>
  <c r="S1555" i="5"/>
  <c r="W1555" i="5"/>
  <c r="AV112" i="40" s="1"/>
  <c r="L1550" i="5"/>
  <c r="L1553" i="5"/>
  <c r="L1552" i="5"/>
  <c r="P1552" i="5" s="1"/>
  <c r="O1556" i="5"/>
  <c r="O1790" i="5"/>
  <c r="D1795" i="5"/>
  <c r="E1795" i="5" s="1"/>
  <c r="L1795" i="5"/>
  <c r="D1720" i="5"/>
  <c r="E1720" i="5" s="1"/>
  <c r="L1713" i="5"/>
  <c r="O1717" i="5"/>
  <c r="D1722" i="5"/>
  <c r="E1722" i="5" s="1"/>
  <c r="L1723" i="5"/>
  <c r="D1719" i="5"/>
  <c r="E1714" i="5"/>
  <c r="O1702" i="5"/>
  <c r="D1701" i="5"/>
  <c r="L1705" i="5"/>
  <c r="P1705" i="5" s="1"/>
  <c r="H1709" i="5"/>
  <c r="AA1701" i="5" s="1"/>
  <c r="H1710" i="5"/>
  <c r="D1700" i="5"/>
  <c r="E1700" i="5" s="1"/>
  <c r="D1707" i="5"/>
  <c r="O1703" i="5"/>
  <c r="D1705" i="5"/>
  <c r="E1705" i="5" s="1"/>
  <c r="O1633" i="5"/>
  <c r="O1626" i="5"/>
  <c r="L1632" i="5"/>
  <c r="P1632" i="5" s="1"/>
  <c r="O1623" i="5"/>
  <c r="L1631" i="5"/>
  <c r="P1631" i="5" s="1"/>
  <c r="L1609" i="5"/>
  <c r="P1609" i="5" s="1"/>
  <c r="D1612" i="5"/>
  <c r="E1612" i="5" s="1"/>
  <c r="L1611" i="5"/>
  <c r="P1611" i="5" s="1"/>
  <c r="L1616" i="5"/>
  <c r="O1542" i="5"/>
  <c r="L1535" i="5"/>
  <c r="O3400" i="5"/>
  <c r="L3396" i="5"/>
  <c r="P3396" i="5" s="1"/>
  <c r="L3403" i="5"/>
  <c r="L3336" i="5"/>
  <c r="D3337" i="5"/>
  <c r="O3336" i="5"/>
  <c r="D3336" i="5"/>
  <c r="E3336" i="5" s="1"/>
  <c r="L3340" i="5"/>
  <c r="P3340" i="5" s="1"/>
  <c r="O3334" i="5"/>
  <c r="O3340" i="5"/>
  <c r="D3323" i="5"/>
  <c r="S3323" i="5" s="1"/>
  <c r="O3324" i="5"/>
  <c r="O3318" i="5"/>
  <c r="O3321" i="5"/>
  <c r="D3321" i="5"/>
  <c r="E3321" i="5" s="1"/>
  <c r="O3326" i="5"/>
  <c r="O3327" i="5"/>
  <c r="D3418" i="5"/>
  <c r="I3419" i="5"/>
  <c r="I3420" i="5"/>
  <c r="AA3410" i="5"/>
  <c r="M254" i="40" s="1"/>
  <c r="S3410" i="5"/>
  <c r="W3410" i="5"/>
  <c r="L3417" i="5"/>
  <c r="F3419" i="5"/>
  <c r="F3420" i="5"/>
  <c r="L3408" i="5"/>
  <c r="L3415" i="5"/>
  <c r="O3416" i="5"/>
  <c r="D3356" i="5"/>
  <c r="E3356" i="5" s="1"/>
  <c r="L3350" i="5"/>
  <c r="P3350" i="5" s="1"/>
  <c r="F3360" i="5"/>
  <c r="F3359" i="5"/>
  <c r="O3259" i="5"/>
  <c r="E3259" i="5"/>
  <c r="D3265" i="5"/>
  <c r="E3265" i="5" s="1"/>
  <c r="O3264" i="5"/>
  <c r="O3246" i="5"/>
  <c r="L3243" i="5"/>
  <c r="O3244" i="5"/>
  <c r="S3246" i="5"/>
  <c r="W3246" i="5"/>
  <c r="L3247" i="5"/>
  <c r="O3173" i="5"/>
  <c r="L3178" i="5"/>
  <c r="E3169" i="5"/>
  <c r="L3176" i="5"/>
  <c r="P3176" i="5" s="1"/>
  <c r="I3179" i="5"/>
  <c r="I3180" i="5"/>
  <c r="S3170" i="5"/>
  <c r="W3170" i="5"/>
  <c r="AA3170" i="5"/>
  <c r="M155" i="40" s="1"/>
  <c r="L3172" i="5"/>
  <c r="L3157" i="5"/>
  <c r="P3157" i="5" s="1"/>
  <c r="I3165" i="5"/>
  <c r="I3164" i="5"/>
  <c r="S3155" i="5"/>
  <c r="W3155" i="5"/>
  <c r="AA3155" i="5"/>
  <c r="M225" i="40" s="1"/>
  <c r="F3164" i="5"/>
  <c r="F3165" i="5"/>
  <c r="L3097" i="5"/>
  <c r="P3097" i="5" s="1"/>
  <c r="L3100" i="5"/>
  <c r="O3095" i="5"/>
  <c r="L3099" i="5"/>
  <c r="O3309" i="5"/>
  <c r="L3307" i="5"/>
  <c r="P3307" i="5" s="1"/>
  <c r="D3311" i="5"/>
  <c r="E3311" i="5" s="1"/>
  <c r="L3304" i="5"/>
  <c r="P3304" i="5" s="1"/>
  <c r="O3231" i="5"/>
  <c r="I3239" i="5"/>
  <c r="I3240" i="5"/>
  <c r="S3230" i="5"/>
  <c r="W3230" i="5"/>
  <c r="AA3230" i="5"/>
  <c r="M209" i="40" s="1"/>
  <c r="L3231" i="5"/>
  <c r="P3231" i="5" s="1"/>
  <c r="O3234" i="5"/>
  <c r="O3229" i="5"/>
  <c r="D3237" i="5"/>
  <c r="E3237" i="5" s="1"/>
  <c r="L3214" i="5"/>
  <c r="P3214" i="5" s="1"/>
  <c r="L3217" i="5"/>
  <c r="P3217" i="5" s="1"/>
  <c r="L3215" i="5"/>
  <c r="P3215" i="5" s="1"/>
  <c r="O3220" i="5"/>
  <c r="O3125" i="5"/>
  <c r="L3131" i="5"/>
  <c r="P3131" i="5" s="1"/>
  <c r="H3134" i="5"/>
  <c r="W3126" i="5" s="1"/>
  <c r="H3135" i="5"/>
  <c r="O3127" i="5"/>
  <c r="L3125" i="5"/>
  <c r="P3125" i="5" s="1"/>
  <c r="L3126" i="5"/>
  <c r="D3131" i="5"/>
  <c r="E3131" i="5" s="1"/>
  <c r="D3115" i="5"/>
  <c r="E3115" i="5" s="1"/>
  <c r="L3114" i="5"/>
  <c r="L3115" i="5"/>
  <c r="O3115" i="5"/>
  <c r="O3043" i="5"/>
  <c r="D3036" i="5"/>
  <c r="E3036" i="5" s="1"/>
  <c r="L3041" i="5"/>
  <c r="P3041" i="5" s="1"/>
  <c r="O3037" i="5"/>
  <c r="L3025" i="5"/>
  <c r="P3025" i="5" s="1"/>
  <c r="O3023" i="5"/>
  <c r="L3028" i="5"/>
  <c r="E3019" i="5"/>
  <c r="O3028" i="5"/>
  <c r="O3020" i="5"/>
  <c r="D3193" i="5"/>
  <c r="L3189" i="5"/>
  <c r="P3189" i="5" s="1"/>
  <c r="L3185" i="5"/>
  <c r="P3185" i="5" s="1"/>
  <c r="O2996" i="5"/>
  <c r="O2994" i="5"/>
  <c r="O2993" i="5"/>
  <c r="L3067" i="5"/>
  <c r="L3072" i="5"/>
  <c r="P3072" i="5" s="1"/>
  <c r="L3071" i="5"/>
  <c r="P3071" i="5" s="1"/>
  <c r="W3066" i="5"/>
  <c r="S3066" i="5"/>
  <c r="O3066" i="5"/>
  <c r="O3068" i="5"/>
  <c r="L3048" i="5"/>
  <c r="F3059" i="5"/>
  <c r="F3060" i="5"/>
  <c r="E3049" i="5"/>
  <c r="D3052" i="5"/>
  <c r="E3052" i="5" s="1"/>
  <c r="I3209" i="5"/>
  <c r="I3210" i="5"/>
  <c r="S3200" i="5"/>
  <c r="W3200" i="5"/>
  <c r="AA3200" i="5"/>
  <c r="M250" i="40" s="1"/>
  <c r="O3200" i="5"/>
  <c r="O3205" i="5"/>
  <c r="D3204" i="5"/>
  <c r="E3204" i="5" s="1"/>
  <c r="F3210" i="5"/>
  <c r="F3209" i="5"/>
  <c r="L3200" i="5"/>
  <c r="P3200" i="5" s="1"/>
  <c r="O3141" i="5"/>
  <c r="O3145" i="5"/>
  <c r="O3147" i="5"/>
  <c r="I3149" i="5"/>
  <c r="I3150" i="5"/>
  <c r="W3140" i="5"/>
  <c r="S3140" i="5"/>
  <c r="AA3140" i="5"/>
  <c r="M178" i="40" s="1"/>
  <c r="O3139" i="5"/>
  <c r="S3143" i="5"/>
  <c r="W3143" i="5"/>
  <c r="AA3143" i="5"/>
  <c r="AH178" i="40" s="1"/>
  <c r="D3147" i="5"/>
  <c r="E3147" i="5" s="1"/>
  <c r="D3086" i="5"/>
  <c r="E3086" i="5" s="1"/>
  <c r="L3081" i="5"/>
  <c r="L3082" i="5"/>
  <c r="D3087" i="5"/>
  <c r="E3087" i="5" s="1"/>
  <c r="O3079" i="5"/>
  <c r="L3012" i="5"/>
  <c r="P3012" i="5" s="1"/>
  <c r="O3006" i="5"/>
  <c r="L3007" i="5"/>
  <c r="P3007" i="5" s="1"/>
  <c r="O3012" i="5"/>
  <c r="L3006" i="5"/>
  <c r="O3003" i="5"/>
  <c r="O2913" i="5"/>
  <c r="O2917" i="5"/>
  <c r="L2914" i="5"/>
  <c r="L2913" i="5"/>
  <c r="F2925" i="5"/>
  <c r="F2924" i="5"/>
  <c r="E2914" i="5"/>
  <c r="L2917" i="5"/>
  <c r="O2921" i="5"/>
  <c r="L2974" i="5"/>
  <c r="I2985" i="5"/>
  <c r="I2984" i="5"/>
  <c r="S2975" i="5"/>
  <c r="W2975" i="5"/>
  <c r="AA2975" i="5"/>
  <c r="M203" i="40" s="1"/>
  <c r="O2982" i="5"/>
  <c r="F2984" i="5"/>
  <c r="F2985" i="5"/>
  <c r="O2978" i="5"/>
  <c r="D2980" i="5"/>
  <c r="E2980" i="5" s="1"/>
  <c r="O2973" i="5"/>
  <c r="L2826" i="5"/>
  <c r="P2826" i="5" s="1"/>
  <c r="L2824" i="5"/>
  <c r="P2824" i="5" s="1"/>
  <c r="D2830" i="5"/>
  <c r="E2830" i="5" s="1"/>
  <c r="E2929" i="5"/>
  <c r="D2931" i="5"/>
  <c r="E2931" i="5" s="1"/>
  <c r="D2934" i="5"/>
  <c r="E2934" i="5" s="1"/>
  <c r="L2892" i="5"/>
  <c r="O2885" i="5"/>
  <c r="F2894" i="5"/>
  <c r="F2895" i="5"/>
  <c r="L2883" i="5"/>
  <c r="D2888" i="5"/>
  <c r="S2875" i="5"/>
  <c r="W2875" i="5"/>
  <c r="L2870" i="5"/>
  <c r="P2870" i="5" s="1"/>
  <c r="L2855" i="5"/>
  <c r="P2855" i="5" s="1"/>
  <c r="L2861" i="5"/>
  <c r="P2861" i="5" s="1"/>
  <c r="O2857" i="5"/>
  <c r="S2860" i="5"/>
  <c r="W2860" i="5"/>
  <c r="L2857" i="5"/>
  <c r="P2857" i="5" s="1"/>
  <c r="L2853" i="5"/>
  <c r="P2853" i="5" s="1"/>
  <c r="W2858" i="5"/>
  <c r="S2858" i="5"/>
  <c r="AA2858" i="5"/>
  <c r="AH196" i="40" s="1"/>
  <c r="D2856" i="5"/>
  <c r="E2856" i="5" s="1"/>
  <c r="O2859" i="5"/>
  <c r="O2960" i="5"/>
  <c r="I2969" i="5"/>
  <c r="I2970" i="5"/>
  <c r="S2960" i="5"/>
  <c r="W2960" i="5"/>
  <c r="AA2960" i="5"/>
  <c r="M165" i="40" s="1"/>
  <c r="D2967" i="5"/>
  <c r="E2967" i="5" s="1"/>
  <c r="L2960" i="5"/>
  <c r="P2960" i="5" s="1"/>
  <c r="S2950" i="5"/>
  <c r="W2950" i="5"/>
  <c r="O2953" i="5"/>
  <c r="S2946" i="5"/>
  <c r="W2946" i="5"/>
  <c r="D2947" i="5"/>
  <c r="E2947" i="5" s="1"/>
  <c r="L2901" i="5"/>
  <c r="D2907" i="5"/>
  <c r="E2907" i="5" s="1"/>
  <c r="O2899" i="5"/>
  <c r="S2903" i="5"/>
  <c r="O2843" i="5"/>
  <c r="L2838" i="5"/>
  <c r="D2841" i="5"/>
  <c r="D2844" i="5"/>
  <c r="E2844" i="5" s="1"/>
  <c r="L2843" i="5"/>
  <c r="P2843" i="5" s="1"/>
  <c r="L2842" i="5"/>
  <c r="P2842" i="5" s="1"/>
  <c r="O2766" i="5"/>
  <c r="D2772" i="5"/>
  <c r="E2772" i="5" s="1"/>
  <c r="O2772" i="5"/>
  <c r="D2766" i="5"/>
  <c r="E2766" i="5" s="1"/>
  <c r="O2769" i="5"/>
  <c r="L2752" i="5"/>
  <c r="P2752" i="5" s="1"/>
  <c r="L2758" i="5"/>
  <c r="L2756" i="5"/>
  <c r="O2755" i="5"/>
  <c r="D2758" i="5"/>
  <c r="I2759" i="5"/>
  <c r="I2760" i="5"/>
  <c r="S2750" i="5"/>
  <c r="W2750" i="5"/>
  <c r="AA2750" i="5"/>
  <c r="M231" i="40" s="1"/>
  <c r="F2760" i="5"/>
  <c r="F2759" i="5"/>
  <c r="D2754" i="5"/>
  <c r="E2754" i="5" s="1"/>
  <c r="L2817" i="5"/>
  <c r="P2817" i="5" s="1"/>
  <c r="O2812" i="5"/>
  <c r="L2818" i="5"/>
  <c r="O2818" i="5"/>
  <c r="O2810" i="5"/>
  <c r="L2814" i="5"/>
  <c r="L2733" i="5"/>
  <c r="P2733" i="5" s="1"/>
  <c r="O2743" i="5"/>
  <c r="D2741" i="5"/>
  <c r="E2741" i="5" s="1"/>
  <c r="L2743" i="5"/>
  <c r="L2742" i="5"/>
  <c r="O2734" i="5"/>
  <c r="W2738" i="5"/>
  <c r="AA2738" i="5"/>
  <c r="AH205" i="40" s="1"/>
  <c r="O2786" i="5"/>
  <c r="L2786" i="5"/>
  <c r="O2779" i="5"/>
  <c r="L2784" i="5"/>
  <c r="P2784" i="5" s="1"/>
  <c r="O2680" i="5"/>
  <c r="E2674" i="5"/>
  <c r="D2676" i="5"/>
  <c r="E2676" i="5" s="1"/>
  <c r="O2663" i="5"/>
  <c r="D2665" i="5"/>
  <c r="L2658" i="5"/>
  <c r="L2667" i="5"/>
  <c r="P2667" i="5" s="1"/>
  <c r="D2664" i="5"/>
  <c r="E2664" i="5" s="1"/>
  <c r="I2669" i="5"/>
  <c r="I2670" i="5"/>
  <c r="W2660" i="5"/>
  <c r="S2660" i="5"/>
  <c r="AA2660" i="5"/>
  <c r="M224" i="40" s="1"/>
  <c r="F2670" i="5"/>
  <c r="F2669" i="5"/>
  <c r="O2658" i="5"/>
  <c r="L2798" i="5"/>
  <c r="O2799" i="5"/>
  <c r="S2800" i="5"/>
  <c r="W2800" i="5"/>
  <c r="O2803" i="5"/>
  <c r="F2804" i="5"/>
  <c r="F2805" i="5"/>
  <c r="L2796" i="5"/>
  <c r="L2795" i="5"/>
  <c r="P2795" i="5" s="1"/>
  <c r="E2794" i="5"/>
  <c r="O2802" i="5"/>
  <c r="D2651" i="5"/>
  <c r="E2651" i="5" s="1"/>
  <c r="H2654" i="5"/>
  <c r="W2646" i="5" s="1"/>
  <c r="H2655" i="5"/>
  <c r="O2645" i="5"/>
  <c r="L2649" i="5"/>
  <c r="P2649" i="5" s="1"/>
  <c r="W2650" i="5"/>
  <c r="S2650" i="5"/>
  <c r="F2730" i="5"/>
  <c r="F2729" i="5"/>
  <c r="O2724" i="5"/>
  <c r="O2727" i="5"/>
  <c r="I2715" i="5"/>
  <c r="I2714" i="5"/>
  <c r="S2705" i="5"/>
  <c r="W2705" i="5"/>
  <c r="AA2705" i="5"/>
  <c r="M216" i="40" s="1"/>
  <c r="F2714" i="5"/>
  <c r="F2715" i="5"/>
  <c r="O2703" i="5"/>
  <c r="D2708" i="5"/>
  <c r="S2708" i="5" s="1"/>
  <c r="O2707" i="5"/>
  <c r="L2710" i="5"/>
  <c r="L2696" i="5"/>
  <c r="O2698" i="5"/>
  <c r="D2690" i="5"/>
  <c r="E2690" i="5" s="1"/>
  <c r="D2696" i="5"/>
  <c r="E2696" i="5" s="1"/>
  <c r="L2598" i="5"/>
  <c r="D2600" i="5"/>
  <c r="E2600" i="5" s="1"/>
  <c r="O2599" i="5"/>
  <c r="L2603" i="5"/>
  <c r="L2602" i="5"/>
  <c r="P2602" i="5" s="1"/>
  <c r="O2606" i="5"/>
  <c r="I2639" i="5"/>
  <c r="I2640" i="5"/>
  <c r="W2630" i="5"/>
  <c r="S2630" i="5"/>
  <c r="AA2630" i="5"/>
  <c r="M245" i="40" s="1"/>
  <c r="O2635" i="5"/>
  <c r="E2629" i="5"/>
  <c r="L2524" i="5"/>
  <c r="P2524" i="5" s="1"/>
  <c r="L2526" i="5"/>
  <c r="P2526" i="5" s="1"/>
  <c r="H2459" i="5"/>
  <c r="W2451" i="5" s="1"/>
  <c r="H2460" i="5"/>
  <c r="O2449" i="5"/>
  <c r="S2453" i="5"/>
  <c r="W2453" i="5"/>
  <c r="AA2453" i="5"/>
  <c r="AH211" i="40" s="1"/>
  <c r="D2450" i="5"/>
  <c r="E2450" i="5" s="1"/>
  <c r="O2457" i="5"/>
  <c r="L2450" i="5"/>
  <c r="I2459" i="5"/>
  <c r="I2460" i="5"/>
  <c r="W2450" i="5"/>
  <c r="S2450" i="5"/>
  <c r="AA2450" i="5"/>
  <c r="M211" i="40" s="1"/>
  <c r="L2452" i="5"/>
  <c r="S2438" i="5"/>
  <c r="W2438" i="5"/>
  <c r="AA2438" i="5"/>
  <c r="AH234" i="40" s="1"/>
  <c r="O2438" i="5"/>
  <c r="L2433" i="5"/>
  <c r="L2442" i="5"/>
  <c r="P2442" i="5" s="1"/>
  <c r="I2444" i="5"/>
  <c r="I2445" i="5"/>
  <c r="S2435" i="5"/>
  <c r="W2435" i="5"/>
  <c r="AA2435" i="5"/>
  <c r="M234" i="40" s="1"/>
  <c r="F2445" i="5"/>
  <c r="F2444" i="5"/>
  <c r="L2360" i="5"/>
  <c r="P2360" i="5" s="1"/>
  <c r="O2362" i="5"/>
  <c r="O2358" i="5"/>
  <c r="L2366" i="5"/>
  <c r="O2363" i="5"/>
  <c r="L2365" i="5"/>
  <c r="P2365" i="5" s="1"/>
  <c r="L2363" i="5"/>
  <c r="P2363" i="5" s="1"/>
  <c r="D2362" i="5"/>
  <c r="E2362" i="5" s="1"/>
  <c r="O2366" i="5"/>
  <c r="D2347" i="5"/>
  <c r="E2347" i="5" s="1"/>
  <c r="L2352" i="5"/>
  <c r="P2352" i="5" s="1"/>
  <c r="O2346" i="5"/>
  <c r="D2353" i="5"/>
  <c r="W2348" i="5" s="1"/>
  <c r="O2518" i="5"/>
  <c r="D2510" i="5"/>
  <c r="E2510" i="5" s="1"/>
  <c r="D2516" i="5"/>
  <c r="H2519" i="5"/>
  <c r="AA2511" i="5" s="1"/>
  <c r="T206" i="40" s="1"/>
  <c r="H2520" i="5"/>
  <c r="O2510" i="5"/>
  <c r="L2514" i="5"/>
  <c r="P2514" i="5" s="1"/>
  <c r="D2425" i="5"/>
  <c r="S2425" i="5"/>
  <c r="W2425" i="5"/>
  <c r="L2420" i="5"/>
  <c r="P2420" i="5" s="1"/>
  <c r="L2423" i="5"/>
  <c r="P2423" i="5" s="1"/>
  <c r="L2422" i="5"/>
  <c r="P2422" i="5" s="1"/>
  <c r="O2426" i="5"/>
  <c r="I2594" i="5"/>
  <c r="I2595" i="5"/>
  <c r="W2585" i="5"/>
  <c r="S2585" i="5"/>
  <c r="AA2585" i="5"/>
  <c r="M135" i="40" s="1"/>
  <c r="O2588" i="5"/>
  <c r="O2583" i="5"/>
  <c r="S2586" i="5"/>
  <c r="W2586" i="5"/>
  <c r="L2591" i="5"/>
  <c r="P2591" i="5" s="1"/>
  <c r="L2494" i="5"/>
  <c r="P2494" i="5" s="1"/>
  <c r="O2499" i="5"/>
  <c r="L2496" i="5"/>
  <c r="P2496" i="5" s="1"/>
  <c r="O2503" i="5"/>
  <c r="D2481" i="5"/>
  <c r="L2485" i="5"/>
  <c r="P2485" i="5" s="1"/>
  <c r="D2480" i="5"/>
  <c r="E2480" i="5" s="1"/>
  <c r="W2483" i="5"/>
  <c r="S2483" i="5"/>
  <c r="AA2483" i="5"/>
  <c r="AH172" i="40" s="1"/>
  <c r="O2483" i="5"/>
  <c r="L2478" i="5"/>
  <c r="D2406" i="5"/>
  <c r="E2406" i="5" s="1"/>
  <c r="D2411" i="5"/>
  <c r="O2404" i="5"/>
  <c r="D2405" i="5"/>
  <c r="E2405" i="5" s="1"/>
  <c r="O2412" i="5"/>
  <c r="L2391" i="5"/>
  <c r="L2396" i="5"/>
  <c r="P2396" i="5" s="1"/>
  <c r="L2390" i="5"/>
  <c r="P2390" i="5" s="1"/>
  <c r="O2613" i="5"/>
  <c r="O2615" i="5"/>
  <c r="L2618" i="5"/>
  <c r="L2617" i="5"/>
  <c r="P2617" i="5" s="1"/>
  <c r="L2615" i="5"/>
  <c r="O2621" i="5"/>
  <c r="L2561" i="5"/>
  <c r="O2554" i="5"/>
  <c r="L2559" i="5"/>
  <c r="P2559" i="5" s="1"/>
  <c r="L2558" i="5"/>
  <c r="P2558" i="5" s="1"/>
  <c r="D2560" i="5"/>
  <c r="E2560" i="5" s="1"/>
  <c r="D2557" i="5"/>
  <c r="E2557" i="5" s="1"/>
  <c r="D2555" i="5"/>
  <c r="E2555" i="5" s="1"/>
  <c r="L2543" i="5"/>
  <c r="P2543" i="5" s="1"/>
  <c r="D2546" i="5"/>
  <c r="E2546" i="5" s="1"/>
  <c r="O2540" i="5"/>
  <c r="L2546" i="5"/>
  <c r="P2546" i="5" s="1"/>
  <c r="O2546" i="5"/>
  <c r="L2538" i="5"/>
  <c r="P2538" i="5" s="1"/>
  <c r="O2542" i="5"/>
  <c r="L2466" i="5"/>
  <c r="O2468" i="5"/>
  <c r="F2475" i="5"/>
  <c r="F2474" i="5"/>
  <c r="O2470" i="5"/>
  <c r="L2463" i="5"/>
  <c r="D2466" i="5"/>
  <c r="E2466" i="5" s="1"/>
  <c r="L2472" i="5"/>
  <c r="P2472" i="5" s="1"/>
  <c r="H2384" i="5"/>
  <c r="AA2376" i="5" s="1"/>
  <c r="T243" i="40" s="1"/>
  <c r="H2385" i="5"/>
  <c r="O2375" i="5"/>
  <c r="L2379" i="5"/>
  <c r="P2379" i="5" s="1"/>
  <c r="L2374" i="5"/>
  <c r="P2374" i="5" s="1"/>
  <c r="O2376" i="5"/>
  <c r="L2383" i="5"/>
  <c r="L2569" i="5"/>
  <c r="L2578" i="5"/>
  <c r="O2571" i="5"/>
  <c r="O2570" i="5"/>
  <c r="O2573" i="5"/>
  <c r="D2575" i="5"/>
  <c r="E2575" i="5" s="1"/>
  <c r="O2568" i="5"/>
  <c r="O2315" i="5"/>
  <c r="L2319" i="5"/>
  <c r="P2319" i="5" s="1"/>
  <c r="O2318" i="5"/>
  <c r="L2313" i="5"/>
  <c r="O2317" i="5"/>
  <c r="L2320" i="5"/>
  <c r="P2320" i="5" s="1"/>
  <c r="I2324" i="5"/>
  <c r="I2325" i="5"/>
  <c r="W2315" i="5"/>
  <c r="S2315" i="5"/>
  <c r="AA2315" i="5"/>
  <c r="M232" i="40" s="1"/>
  <c r="L2317" i="5"/>
  <c r="L2321" i="5"/>
  <c r="P2321" i="5" s="1"/>
  <c r="S2305" i="5"/>
  <c r="W2305" i="5"/>
  <c r="L2300" i="5"/>
  <c r="O2306" i="5"/>
  <c r="D2308" i="5"/>
  <c r="L2304" i="5"/>
  <c r="O2308" i="5"/>
  <c r="S2230" i="5"/>
  <c r="W2230" i="5"/>
  <c r="O2233" i="5"/>
  <c r="O2226" i="5"/>
  <c r="L2232" i="5"/>
  <c r="P2232" i="5" s="1"/>
  <c r="O2217" i="5"/>
  <c r="D2216" i="5"/>
  <c r="L2213" i="5"/>
  <c r="L2212" i="5"/>
  <c r="P2212" i="5" s="1"/>
  <c r="O2134" i="5"/>
  <c r="S2138" i="5"/>
  <c r="W2138" i="5"/>
  <c r="AA2138" i="5"/>
  <c r="AH162" i="40" s="1"/>
  <c r="D2135" i="5"/>
  <c r="E2135" i="5" s="1"/>
  <c r="O2142" i="5"/>
  <c r="L2135" i="5"/>
  <c r="I2144" i="5"/>
  <c r="I2145" i="5"/>
  <c r="S2135" i="5"/>
  <c r="W2135" i="5"/>
  <c r="AA2135" i="5"/>
  <c r="M162" i="40" s="1"/>
  <c r="L2137" i="5"/>
  <c r="F2144" i="5"/>
  <c r="F2145" i="5"/>
  <c r="D2127" i="5"/>
  <c r="O2122" i="5"/>
  <c r="L2125" i="5"/>
  <c r="P2125" i="5" s="1"/>
  <c r="D2120" i="5"/>
  <c r="E2120" i="5" s="1"/>
  <c r="D2291" i="5"/>
  <c r="E2291" i="5" s="1"/>
  <c r="H2294" i="5"/>
  <c r="S2286" i="5" s="1"/>
  <c r="H2295" i="5"/>
  <c r="O2285" i="5"/>
  <c r="L2289" i="5"/>
  <c r="P2289" i="5" s="1"/>
  <c r="S2290" i="5"/>
  <c r="W2290" i="5"/>
  <c r="L2195" i="5"/>
  <c r="P2195" i="5" s="1"/>
  <c r="L2198" i="5"/>
  <c r="P2198" i="5" s="1"/>
  <c r="L2197" i="5"/>
  <c r="P2197" i="5" s="1"/>
  <c r="O2201" i="5"/>
  <c r="L2103" i="5"/>
  <c r="D2106" i="5"/>
  <c r="E2106" i="5" s="1"/>
  <c r="L2112" i="5"/>
  <c r="D2113" i="5"/>
  <c r="I2114" i="5"/>
  <c r="I2115" i="5"/>
  <c r="W2105" i="5"/>
  <c r="S2105" i="5"/>
  <c r="AA2105" i="5"/>
  <c r="M176" i="40" s="1"/>
  <c r="O2103" i="5"/>
  <c r="W2106" i="5"/>
  <c r="S2106" i="5"/>
  <c r="E2104" i="5"/>
  <c r="O2112" i="5"/>
  <c r="O2336" i="5"/>
  <c r="L2329" i="5"/>
  <c r="P2329" i="5" s="1"/>
  <c r="O2331" i="5"/>
  <c r="L2338" i="5"/>
  <c r="O2330" i="5"/>
  <c r="L2334" i="5"/>
  <c r="P2334" i="5" s="1"/>
  <c r="O2274" i="5"/>
  <c r="L2271" i="5"/>
  <c r="O2278" i="5"/>
  <c r="O2271" i="5"/>
  <c r="L2258" i="5"/>
  <c r="P2258" i="5" s="1"/>
  <c r="L2257" i="5"/>
  <c r="O2256" i="5"/>
  <c r="L2263" i="5"/>
  <c r="D2181" i="5"/>
  <c r="D2186" i="5"/>
  <c r="E2186" i="5" s="1"/>
  <c r="O2179" i="5"/>
  <c r="S2183" i="5"/>
  <c r="D2180" i="5"/>
  <c r="E2180" i="5" s="1"/>
  <c r="O2187" i="5"/>
  <c r="L2180" i="5"/>
  <c r="S2168" i="5"/>
  <c r="W2168" i="5"/>
  <c r="O2168" i="5"/>
  <c r="L2163" i="5"/>
  <c r="L2172" i="5"/>
  <c r="P2172" i="5" s="1"/>
  <c r="L2098" i="5"/>
  <c r="D2093" i="5"/>
  <c r="L2076" i="5"/>
  <c r="L2081" i="5"/>
  <c r="L2075" i="5"/>
  <c r="P2075" i="5" s="1"/>
  <c r="O2081" i="5"/>
  <c r="O2243" i="5"/>
  <c r="F2249" i="5"/>
  <c r="F2250" i="5"/>
  <c r="O2245" i="5"/>
  <c r="L2238" i="5"/>
  <c r="P2238" i="5" s="1"/>
  <c r="D2241" i="5"/>
  <c r="E2241" i="5" s="1"/>
  <c r="L2247" i="5"/>
  <c r="P2247" i="5" s="1"/>
  <c r="O2150" i="5"/>
  <c r="L2154" i="5"/>
  <c r="L2149" i="5"/>
  <c r="P2149" i="5" s="1"/>
  <c r="O2151" i="5"/>
  <c r="L2158" i="5"/>
  <c r="D2048" i="5"/>
  <c r="L2050" i="5"/>
  <c r="P2050" i="5" s="1"/>
  <c r="L2048" i="5"/>
  <c r="P2048" i="5" s="1"/>
  <c r="O2051" i="5"/>
  <c r="L2036" i="5"/>
  <c r="L2030" i="5"/>
  <c r="O2036" i="5"/>
  <c r="D2038" i="5"/>
  <c r="O1953" i="5"/>
  <c r="L1961" i="5"/>
  <c r="O1958" i="5"/>
  <c r="L1954" i="5"/>
  <c r="O1959" i="5"/>
  <c r="L1956" i="5"/>
  <c r="P1956" i="5" s="1"/>
  <c r="D1961" i="5"/>
  <c r="E1961" i="5" s="1"/>
  <c r="O1939" i="5"/>
  <c r="O1945" i="5"/>
  <c r="O1947" i="5"/>
  <c r="D1946" i="5"/>
  <c r="E1946" i="5" s="1"/>
  <c r="L1943" i="5"/>
  <c r="L1942" i="5"/>
  <c r="P1942" i="5" s="1"/>
  <c r="F1874" i="5"/>
  <c r="F1875" i="5"/>
  <c r="O1870" i="5"/>
  <c r="E1864" i="5"/>
  <c r="O1848" i="5"/>
  <c r="O1852" i="5"/>
  <c r="L1855" i="5"/>
  <c r="D1808" i="5"/>
  <c r="I1815" i="5"/>
  <c r="I1814" i="5"/>
  <c r="W1805" i="5"/>
  <c r="M89" i="40" s="1"/>
  <c r="S1805" i="5"/>
  <c r="AA1805" i="5"/>
  <c r="L1807" i="5"/>
  <c r="P1807" i="5" s="1"/>
  <c r="L2014" i="5"/>
  <c r="O2016" i="5"/>
  <c r="L2023" i="5"/>
  <c r="D2019" i="5"/>
  <c r="E2014" i="5"/>
  <c r="L2021" i="5"/>
  <c r="P2021" i="5" s="1"/>
  <c r="D1932" i="5"/>
  <c r="D1928" i="5"/>
  <c r="D1927" i="5"/>
  <c r="E1927" i="5" s="1"/>
  <c r="O1929" i="5"/>
  <c r="O1924" i="5"/>
  <c r="O1842" i="5"/>
  <c r="O1837" i="5"/>
  <c r="L1840" i="5"/>
  <c r="P1840" i="5" s="1"/>
  <c r="L1836" i="5"/>
  <c r="P1836" i="5" s="1"/>
  <c r="O1838" i="5"/>
  <c r="F1845" i="5"/>
  <c r="F1844" i="5"/>
  <c r="W2001" i="5"/>
  <c r="S2001" i="5"/>
  <c r="D2005" i="5"/>
  <c r="E2005" i="5" s="1"/>
  <c r="L2005" i="5"/>
  <c r="L2003" i="5"/>
  <c r="D2002" i="5"/>
  <c r="E2002" i="5" s="1"/>
  <c r="O2006" i="5"/>
  <c r="O2000" i="5"/>
  <c r="L2004" i="5"/>
  <c r="P2004" i="5" s="1"/>
  <c r="D1991" i="5"/>
  <c r="E1991" i="5" s="1"/>
  <c r="L1988" i="5"/>
  <c r="P1988" i="5" s="1"/>
  <c r="L1987" i="5"/>
  <c r="O1986" i="5"/>
  <c r="L1909" i="5"/>
  <c r="P1909" i="5" s="1"/>
  <c r="O1914" i="5"/>
  <c r="L1911" i="5"/>
  <c r="P1911" i="5" s="1"/>
  <c r="O1918" i="5"/>
  <c r="D1896" i="5"/>
  <c r="L1900" i="5"/>
  <c r="P1900" i="5" s="1"/>
  <c r="D1895" i="5"/>
  <c r="E1895" i="5" s="1"/>
  <c r="O1898" i="5"/>
  <c r="L1893" i="5"/>
  <c r="I2070" i="5"/>
  <c r="I2069" i="5"/>
  <c r="W2060" i="5"/>
  <c r="S2060" i="5"/>
  <c r="AA2060" i="5"/>
  <c r="M238" i="40" s="1"/>
  <c r="O2059" i="5"/>
  <c r="L2060" i="5"/>
  <c r="L2066" i="5"/>
  <c r="P2066" i="5" s="1"/>
  <c r="L2065" i="5"/>
  <c r="L2062" i="5"/>
  <c r="O2066" i="5"/>
  <c r="L1971" i="5"/>
  <c r="O1973" i="5"/>
  <c r="F1979" i="5"/>
  <c r="F1980" i="5"/>
  <c r="O1975" i="5"/>
  <c r="L1968" i="5"/>
  <c r="P1968" i="5" s="1"/>
  <c r="D1971" i="5"/>
  <c r="E1971" i="5" s="1"/>
  <c r="L1977" i="5"/>
  <c r="P1977" i="5" s="1"/>
  <c r="H1889" i="5"/>
  <c r="AA1881" i="5" s="1"/>
  <c r="T179" i="40" s="1"/>
  <c r="H1890" i="5"/>
  <c r="O1880" i="5"/>
  <c r="L1884" i="5"/>
  <c r="P1884" i="5" s="1"/>
  <c r="L1879" i="5"/>
  <c r="P1879" i="5" s="1"/>
  <c r="O1881" i="5"/>
  <c r="L1888" i="5"/>
  <c r="D1828" i="5"/>
  <c r="I1829" i="5"/>
  <c r="I1830" i="5"/>
  <c r="W1820" i="5"/>
  <c r="M106" i="40" s="1"/>
  <c r="S1820" i="5"/>
  <c r="AA1820" i="5"/>
  <c r="E1819" i="5"/>
  <c r="L1826" i="5"/>
  <c r="P1826" i="5" s="1"/>
  <c r="O1827" i="5"/>
  <c r="O1822" i="5"/>
  <c r="L1825" i="5"/>
  <c r="P1825" i="5" s="1"/>
  <c r="L1736" i="5"/>
  <c r="O1738" i="5"/>
  <c r="D1730" i="5"/>
  <c r="E1730" i="5" s="1"/>
  <c r="D1736" i="5"/>
  <c r="E1736" i="5" s="1"/>
  <c r="H1739" i="5"/>
  <c r="S1731" i="5" s="1"/>
  <c r="H1740" i="5"/>
  <c r="O1639" i="5"/>
  <c r="S1645" i="5"/>
  <c r="W1645" i="5"/>
  <c r="AV108" i="40" s="1"/>
  <c r="L1640" i="5"/>
  <c r="L1643" i="5"/>
  <c r="L1642" i="5"/>
  <c r="P1642" i="5" s="1"/>
  <c r="O1646" i="5"/>
  <c r="O1553" i="5"/>
  <c r="F1559" i="5"/>
  <c r="F1560" i="5"/>
  <c r="O1555" i="5"/>
  <c r="L1548" i="5"/>
  <c r="D1551" i="5"/>
  <c r="E1551" i="5" s="1"/>
  <c r="L1557" i="5"/>
  <c r="P1557" i="5" s="1"/>
  <c r="D1558" i="5"/>
  <c r="I1560" i="5"/>
  <c r="I1559" i="5"/>
  <c r="W1550" i="5"/>
  <c r="M112" i="40" s="1"/>
  <c r="S1550" i="5"/>
  <c r="AA1550" i="5"/>
  <c r="L1790" i="5"/>
  <c r="P1790" i="5" s="1"/>
  <c r="L1791" i="5"/>
  <c r="O1795" i="5"/>
  <c r="O1720" i="5"/>
  <c r="D1716" i="5"/>
  <c r="E1716" i="5" s="1"/>
  <c r="O1714" i="5"/>
  <c r="D1706" i="5"/>
  <c r="E1706" i="5" s="1"/>
  <c r="L1703" i="5"/>
  <c r="P1703" i="5" s="1"/>
  <c r="L1702" i="5"/>
  <c r="P1702" i="5" s="1"/>
  <c r="L1623" i="5"/>
  <c r="P1623" i="5" s="1"/>
  <c r="O1627" i="5"/>
  <c r="L1633" i="5"/>
  <c r="D1629" i="5"/>
  <c r="E1629" i="5" s="1"/>
  <c r="E1624" i="5"/>
  <c r="O1612" i="5"/>
  <c r="L1615" i="5"/>
  <c r="P1615" i="5" s="1"/>
  <c r="D1610" i="5"/>
  <c r="E1610" i="5" s="1"/>
  <c r="O1613" i="5"/>
  <c r="O1543" i="5"/>
  <c r="O1536" i="5"/>
  <c r="L3398" i="5"/>
  <c r="P3398" i="5" s="1"/>
  <c r="O3401" i="5"/>
  <c r="O3402" i="5"/>
  <c r="S3336" i="5"/>
  <c r="W3336" i="5"/>
  <c r="O3339" i="5"/>
  <c r="L3333" i="5"/>
  <c r="P3333" i="5" s="1"/>
  <c r="L3335" i="5"/>
  <c r="P3335" i="5" s="1"/>
  <c r="L3341" i="5"/>
  <c r="P3341" i="5" s="1"/>
  <c r="O3319" i="5"/>
  <c r="L3319" i="5"/>
  <c r="P3319" i="5" s="1"/>
  <c r="L3318" i="5"/>
  <c r="P3318" i="5" s="1"/>
  <c r="O3328" i="5"/>
  <c r="O3410" i="5"/>
  <c r="O3414" i="5"/>
  <c r="S3413" i="5"/>
  <c r="W3413" i="5"/>
  <c r="L3418" i="5"/>
  <c r="L3409" i="5"/>
  <c r="P3409" i="5" s="1"/>
  <c r="O3411" i="5"/>
  <c r="O3355" i="5"/>
  <c r="D3357" i="5"/>
  <c r="E3357" i="5" s="1"/>
  <c r="L3351" i="5"/>
  <c r="P3351" i="5" s="1"/>
  <c r="D3351" i="5"/>
  <c r="E3351" i="5" s="1"/>
  <c r="I3359" i="5"/>
  <c r="I3360" i="5"/>
  <c r="W3350" i="5"/>
  <c r="S3350" i="5"/>
  <c r="AA3350" i="5"/>
  <c r="M188" i="40" s="1"/>
  <c r="O3348" i="5"/>
  <c r="L3356" i="5"/>
  <c r="P3356" i="5" s="1"/>
  <c r="O3260" i="5"/>
  <c r="L3261" i="5"/>
  <c r="P3261" i="5" s="1"/>
  <c r="O3265" i="5"/>
  <c r="L3259" i="5"/>
  <c r="P3259" i="5" s="1"/>
  <c r="L3265" i="5"/>
  <c r="P3265" i="5" s="1"/>
  <c r="S3250" i="5"/>
  <c r="W3250" i="5"/>
  <c r="O3247" i="5"/>
  <c r="O3248" i="5"/>
  <c r="D3250" i="5"/>
  <c r="D3248" i="5"/>
  <c r="W3248" i="5" s="1"/>
  <c r="D3249" i="5"/>
  <c r="E3249" i="5" s="1"/>
  <c r="D3177" i="5"/>
  <c r="E3177" i="5" s="1"/>
  <c r="O3171" i="5"/>
  <c r="L3169" i="5"/>
  <c r="P3169" i="5" s="1"/>
  <c r="O3177" i="5"/>
  <c r="D3159" i="5"/>
  <c r="E3159" i="5" s="1"/>
  <c r="L3159" i="5"/>
  <c r="P3159" i="5" s="1"/>
  <c r="D3160" i="5"/>
  <c r="E3160" i="5" s="1"/>
  <c r="L3158" i="5"/>
  <c r="O3162" i="5"/>
  <c r="O3155" i="5"/>
  <c r="S3096" i="5"/>
  <c r="W3096" i="5"/>
  <c r="L3094" i="5"/>
  <c r="P3094" i="5" s="1"/>
  <c r="D3308" i="5"/>
  <c r="S3308" i="5" s="1"/>
  <c r="L3312" i="5"/>
  <c r="P3312" i="5" s="1"/>
  <c r="F3315" i="5"/>
  <c r="F3314" i="5"/>
  <c r="D3233" i="5"/>
  <c r="S3233" i="5" s="1"/>
  <c r="L3235" i="5"/>
  <c r="P3235" i="5" s="1"/>
  <c r="O3233" i="5"/>
  <c r="F3239" i="5"/>
  <c r="F3240" i="5"/>
  <c r="F3225" i="5"/>
  <c r="F3224" i="5"/>
  <c r="L3213" i="5"/>
  <c r="P3213" i="5" s="1"/>
  <c r="D3216" i="5"/>
  <c r="E3216" i="5" s="1"/>
  <c r="L3221" i="5"/>
  <c r="P3221" i="5" s="1"/>
  <c r="O3218" i="5"/>
  <c r="O3126" i="5"/>
  <c r="L3123" i="5"/>
  <c r="L3128" i="5"/>
  <c r="P3128" i="5" s="1"/>
  <c r="D3133" i="5"/>
  <c r="O3108" i="5"/>
  <c r="S3113" i="5"/>
  <c r="W3113" i="5"/>
  <c r="AA3113" i="5"/>
  <c r="AH248" i="40" s="1"/>
  <c r="O3113" i="5"/>
  <c r="L3033" i="5"/>
  <c r="P3033" i="5" s="1"/>
  <c r="D3042" i="5"/>
  <c r="E3042" i="5" s="1"/>
  <c r="W3036" i="5"/>
  <c r="S3036" i="5"/>
  <c r="F3045" i="5"/>
  <c r="F3044" i="5"/>
  <c r="L3018" i="5"/>
  <c r="D3024" i="5"/>
  <c r="E3024" i="5" s="1"/>
  <c r="L3019" i="5"/>
  <c r="P3019" i="5" s="1"/>
  <c r="L3188" i="5"/>
  <c r="P3188" i="5" s="1"/>
  <c r="L3184" i="5"/>
  <c r="D3190" i="5"/>
  <c r="E3190" i="5" s="1"/>
  <c r="H3194" i="5"/>
  <c r="AA3186" i="5" s="1"/>
  <c r="T249" i="40" s="1"/>
  <c r="H3195" i="5"/>
  <c r="W3190" i="5"/>
  <c r="S3190" i="5"/>
  <c r="L3186" i="5"/>
  <c r="P3186" i="5" s="1"/>
  <c r="L3192" i="5"/>
  <c r="P3192" i="5" s="1"/>
  <c r="I2999" i="5"/>
  <c r="I3000" i="5"/>
  <c r="W2990" i="5"/>
  <c r="S2990" i="5"/>
  <c r="AA2990" i="5"/>
  <c r="M235" i="40" s="1"/>
  <c r="O2988" i="5"/>
  <c r="L2997" i="5"/>
  <c r="O3063" i="5"/>
  <c r="S3068" i="5"/>
  <c r="W3068" i="5"/>
  <c r="AA3068" i="5"/>
  <c r="AH226" i="40" s="1"/>
  <c r="O3070" i="5"/>
  <c r="L3064" i="5"/>
  <c r="P3064" i="5" s="1"/>
  <c r="L3054" i="5"/>
  <c r="P3054" i="5" s="1"/>
  <c r="O3049" i="5"/>
  <c r="O3054" i="5"/>
  <c r="O3048" i="5"/>
  <c r="O3052" i="5"/>
  <c r="O3198" i="5"/>
  <c r="L3204" i="5"/>
  <c r="P3204" i="5" s="1"/>
  <c r="L3198" i="5"/>
  <c r="D3201" i="5"/>
  <c r="E3201" i="5" s="1"/>
  <c r="D3141" i="5"/>
  <c r="O3142" i="5"/>
  <c r="D3140" i="5"/>
  <c r="E3140" i="5" s="1"/>
  <c r="O3144" i="5"/>
  <c r="L3141" i="5"/>
  <c r="P3141" i="5" s="1"/>
  <c r="L3148" i="5"/>
  <c r="L3145" i="5"/>
  <c r="P3145" i="5" s="1"/>
  <c r="O3143" i="5"/>
  <c r="F3149" i="5"/>
  <c r="F3150" i="5"/>
  <c r="O3081" i="5"/>
  <c r="L3087" i="5"/>
  <c r="O3082" i="5"/>
  <c r="L3088" i="5"/>
  <c r="D3080" i="5"/>
  <c r="E3080" i="5" s="1"/>
  <c r="O3087" i="5"/>
  <c r="L3003" i="5"/>
  <c r="P3003" i="5" s="1"/>
  <c r="D3012" i="5"/>
  <c r="E3012" i="5" s="1"/>
  <c r="L3011" i="5"/>
  <c r="P3011" i="5" s="1"/>
  <c r="L2919" i="5"/>
  <c r="P2919" i="5" s="1"/>
  <c r="O2918" i="5"/>
  <c r="L2920" i="5"/>
  <c r="D2982" i="5"/>
  <c r="E2982" i="5" s="1"/>
  <c r="O2976" i="5"/>
  <c r="L2973" i="5"/>
  <c r="O2977" i="5"/>
  <c r="O2974" i="5"/>
  <c r="O2980" i="5"/>
  <c r="E2824" i="5"/>
  <c r="L2828" i="5"/>
  <c r="P2828" i="5" s="1"/>
  <c r="O2830" i="5"/>
  <c r="O2823" i="5"/>
  <c r="L2830" i="5"/>
  <c r="P2830" i="5" s="1"/>
  <c r="O2928" i="5"/>
  <c r="S2933" i="5"/>
  <c r="W2933" i="5"/>
  <c r="AA2933" i="5"/>
  <c r="AH230" i="40" s="1"/>
  <c r="D2935" i="5"/>
  <c r="E2935" i="5" s="1"/>
  <c r="L2934" i="5"/>
  <c r="O2934" i="5"/>
  <c r="L2935" i="5"/>
  <c r="P2935" i="5" s="1"/>
  <c r="O2884" i="5"/>
  <c r="O2887" i="5"/>
  <c r="O2891" i="5"/>
  <c r="L2889" i="5"/>
  <c r="P2889" i="5" s="1"/>
  <c r="L2887" i="5"/>
  <c r="P2887" i="5" s="1"/>
  <c r="L2885" i="5"/>
  <c r="P2885" i="5" s="1"/>
  <c r="O2892" i="5"/>
  <c r="L2877" i="5"/>
  <c r="P2877" i="5" s="1"/>
  <c r="D2878" i="5"/>
  <c r="L2873" i="5"/>
  <c r="P2873" i="5" s="1"/>
  <c r="L2874" i="5"/>
  <c r="P2874" i="5" s="1"/>
  <c r="F2879" i="5"/>
  <c r="F2880" i="5"/>
  <c r="O2878" i="5"/>
  <c r="D2871" i="5"/>
  <c r="E2871" i="5" s="1"/>
  <c r="L2868" i="5"/>
  <c r="P2868" i="5" s="1"/>
  <c r="D2862" i="5"/>
  <c r="E2862" i="5" s="1"/>
  <c r="S2856" i="5"/>
  <c r="W2856" i="5"/>
  <c r="F2865" i="5"/>
  <c r="F2864" i="5"/>
  <c r="L2860" i="5"/>
  <c r="P2860" i="5" s="1"/>
  <c r="L2961" i="5"/>
  <c r="L2968" i="5"/>
  <c r="L2962" i="5"/>
  <c r="P2962" i="5" s="1"/>
  <c r="O2958" i="5"/>
  <c r="S2963" i="5"/>
  <c r="W2963" i="5"/>
  <c r="AA2963" i="5"/>
  <c r="AH165" i="40" s="1"/>
  <c r="L2958" i="5"/>
  <c r="P2958" i="5" s="1"/>
  <c r="O2967" i="5"/>
  <c r="F2955" i="5"/>
  <c r="F2954" i="5"/>
  <c r="L2947" i="5"/>
  <c r="P2947" i="5" s="1"/>
  <c r="L2952" i="5"/>
  <c r="P2952" i="5" s="1"/>
  <c r="L2945" i="5"/>
  <c r="P2945" i="5" s="1"/>
  <c r="O2901" i="5"/>
  <c r="O2906" i="5"/>
  <c r="D2900" i="5"/>
  <c r="E2900" i="5" s="1"/>
  <c r="L2905" i="5"/>
  <c r="L2846" i="5"/>
  <c r="D2840" i="5"/>
  <c r="E2840" i="5" s="1"/>
  <c r="O2841" i="5"/>
  <c r="O2846" i="5"/>
  <c r="L2845" i="5"/>
  <c r="P2845" i="5" s="1"/>
  <c r="D2847" i="5"/>
  <c r="E2847" i="5" s="1"/>
  <c r="O2773" i="5"/>
  <c r="O2767" i="5"/>
  <c r="O2763" i="5"/>
  <c r="L2770" i="5"/>
  <c r="P2770" i="5" s="1"/>
  <c r="L2753" i="5"/>
  <c r="P2753" i="5" s="1"/>
  <c r="L2751" i="5"/>
  <c r="L2757" i="5"/>
  <c r="O2756" i="5"/>
  <c r="D2750" i="5"/>
  <c r="E2750" i="5" s="1"/>
  <c r="O2750" i="5"/>
  <c r="O2754" i="5"/>
  <c r="L2808" i="5"/>
  <c r="F2820" i="5"/>
  <c r="F2819" i="5"/>
  <c r="L2809" i="5"/>
  <c r="P2809" i="5" s="1"/>
  <c r="O2816" i="5"/>
  <c r="D2815" i="5"/>
  <c r="E2815" i="5" s="1"/>
  <c r="L2737" i="5"/>
  <c r="O2738" i="5"/>
  <c r="F2745" i="5"/>
  <c r="F2744" i="5"/>
  <c r="O2787" i="5"/>
  <c r="D2788" i="5"/>
  <c r="L2787" i="5"/>
  <c r="O2782" i="5"/>
  <c r="O2673" i="5"/>
  <c r="S2676" i="5"/>
  <c r="W2676" i="5"/>
  <c r="L2681" i="5"/>
  <c r="O2678" i="5"/>
  <c r="L2674" i="5"/>
  <c r="P2674" i="5" s="1"/>
  <c r="O2679" i="5"/>
  <c r="L2676" i="5"/>
  <c r="P2676" i="5" s="1"/>
  <c r="O2661" i="5"/>
  <c r="L2668" i="5"/>
  <c r="O2664" i="5"/>
  <c r="O2660" i="5"/>
  <c r="O2659" i="5"/>
  <c r="O2665" i="5"/>
  <c r="D2800" i="5"/>
  <c r="E2800" i="5" s="1"/>
  <c r="L2793" i="5"/>
  <c r="P2793" i="5" s="1"/>
  <c r="L2645" i="5"/>
  <c r="P2645" i="5" s="1"/>
  <c r="L2648" i="5"/>
  <c r="P2648" i="5" s="1"/>
  <c r="L2647" i="5"/>
  <c r="P2647" i="5" s="1"/>
  <c r="O2651" i="5"/>
  <c r="I2729" i="5"/>
  <c r="I2730" i="5"/>
  <c r="W2720" i="5"/>
  <c r="S2720" i="5"/>
  <c r="AA2720" i="5"/>
  <c r="M259" i="40" s="1"/>
  <c r="L2724" i="5"/>
  <c r="P2724" i="5" s="1"/>
  <c r="L2720" i="5"/>
  <c r="O2719" i="5"/>
  <c r="L2727" i="5"/>
  <c r="P2727" i="5" s="1"/>
  <c r="O2728" i="5"/>
  <c r="O2709" i="5"/>
  <c r="O2705" i="5"/>
  <c r="O2704" i="5"/>
  <c r="O2710" i="5"/>
  <c r="O2712" i="5"/>
  <c r="O2689" i="5"/>
  <c r="S2693" i="5"/>
  <c r="W2693" i="5"/>
  <c r="AA2693" i="5"/>
  <c r="AH148" i="40" s="1"/>
  <c r="L2690" i="5"/>
  <c r="P2690" i="5" s="1"/>
  <c r="L2693" i="5"/>
  <c r="L2692" i="5"/>
  <c r="P2692" i="5" s="1"/>
  <c r="O2696" i="5"/>
  <c r="O2603" i="5"/>
  <c r="F2609" i="5"/>
  <c r="F2610" i="5"/>
  <c r="O2600" i="5"/>
  <c r="L2600" i="5"/>
  <c r="L2607" i="5"/>
  <c r="P2607" i="5" s="1"/>
  <c r="D2631" i="5"/>
  <c r="E2631" i="5" s="1"/>
  <c r="O2634" i="5"/>
  <c r="O2628" i="5"/>
  <c r="S2631" i="5"/>
  <c r="W2631" i="5"/>
  <c r="L2636" i="5"/>
  <c r="P2636" i="5" s="1"/>
  <c r="O2633" i="5"/>
  <c r="L2629" i="5"/>
  <c r="P2629" i="5" s="1"/>
  <c r="L2529" i="5"/>
  <c r="P2529" i="5" s="1"/>
  <c r="O2527" i="5"/>
  <c r="L2530" i="5"/>
  <c r="P2530" i="5" s="1"/>
  <c r="O2458" i="5"/>
  <c r="O2451" i="5"/>
  <c r="L2457" i="5"/>
  <c r="P2457" i="5" s="1"/>
  <c r="O2436" i="5"/>
  <c r="L2443" i="5"/>
  <c r="O2439" i="5"/>
  <c r="O2435" i="5"/>
  <c r="L2358" i="5"/>
  <c r="E2359" i="5"/>
  <c r="I2369" i="5"/>
  <c r="I2370" i="5"/>
  <c r="S2360" i="5"/>
  <c r="W2360" i="5"/>
  <c r="AA2360" i="5"/>
  <c r="M215" i="40" s="1"/>
  <c r="L2362" i="5"/>
  <c r="P2362" i="5" s="1"/>
  <c r="L2349" i="5"/>
  <c r="O2353" i="5"/>
  <c r="L2344" i="5"/>
  <c r="P2344" i="5" s="1"/>
  <c r="I2354" i="5"/>
  <c r="I2355" i="5"/>
  <c r="W2345" i="5"/>
  <c r="S2345" i="5"/>
  <c r="AA2345" i="5"/>
  <c r="M164" i="40" s="1"/>
  <c r="F2355" i="5"/>
  <c r="F2354" i="5"/>
  <c r="D2515" i="5"/>
  <c r="E2515" i="5" s="1"/>
  <c r="L2510" i="5"/>
  <c r="P2510" i="5" s="1"/>
  <c r="L2513" i="5"/>
  <c r="P2513" i="5" s="1"/>
  <c r="L2512" i="5"/>
  <c r="P2512" i="5" s="1"/>
  <c r="O2516" i="5"/>
  <c r="O2425" i="5"/>
  <c r="L2418" i="5"/>
  <c r="L2427" i="5"/>
  <c r="P2427" i="5" s="1"/>
  <c r="D2428" i="5"/>
  <c r="I2430" i="5"/>
  <c r="I2429" i="5"/>
  <c r="W2420" i="5"/>
  <c r="S2420" i="5"/>
  <c r="AA2420" i="5"/>
  <c r="M138" i="40" s="1"/>
  <c r="O2418" i="5"/>
  <c r="L2585" i="5"/>
  <c r="P2585" i="5" s="1"/>
  <c r="L2588" i="5"/>
  <c r="P2588" i="5" s="1"/>
  <c r="L2590" i="5"/>
  <c r="O2589" i="5"/>
  <c r="F2594" i="5"/>
  <c r="F2595" i="5"/>
  <c r="D2500" i="5"/>
  <c r="E2500" i="5" s="1"/>
  <c r="L2500" i="5"/>
  <c r="L2498" i="5"/>
  <c r="P2498" i="5" s="1"/>
  <c r="D2497" i="5"/>
  <c r="E2497" i="5" s="1"/>
  <c r="O2501" i="5"/>
  <c r="O2495" i="5"/>
  <c r="L2499" i="5"/>
  <c r="P2499" i="5" s="1"/>
  <c r="D2486" i="5"/>
  <c r="E2486" i="5" s="1"/>
  <c r="L2483" i="5"/>
  <c r="P2483" i="5" s="1"/>
  <c r="L2482" i="5"/>
  <c r="P2482" i="5" s="1"/>
  <c r="O2481" i="5"/>
  <c r="L2404" i="5"/>
  <c r="P2404" i="5" s="1"/>
  <c r="O2409" i="5"/>
  <c r="L2406" i="5"/>
  <c r="P2406" i="5" s="1"/>
  <c r="O2413" i="5"/>
  <c r="D2391" i="5"/>
  <c r="L2395" i="5"/>
  <c r="P2395" i="5" s="1"/>
  <c r="D2390" i="5"/>
  <c r="E2390" i="5" s="1"/>
  <c r="O2393" i="5"/>
  <c r="L2388" i="5"/>
  <c r="P2388" i="5" s="1"/>
  <c r="I2625" i="5"/>
  <c r="I2624" i="5"/>
  <c r="S2615" i="5"/>
  <c r="W2615" i="5"/>
  <c r="AA2615" i="5"/>
  <c r="M244" i="40" s="1"/>
  <c r="O2618" i="5"/>
  <c r="L2613" i="5"/>
  <c r="L2622" i="5"/>
  <c r="P2622" i="5" s="1"/>
  <c r="D2563" i="5"/>
  <c r="O2561" i="5"/>
  <c r="L2562" i="5"/>
  <c r="P2562" i="5" s="1"/>
  <c r="O2557" i="5"/>
  <c r="O2560" i="5"/>
  <c r="L2541" i="5"/>
  <c r="P2541" i="5" s="1"/>
  <c r="D2541" i="5"/>
  <c r="E2541" i="5" s="1"/>
  <c r="O2544" i="5"/>
  <c r="O2465" i="5"/>
  <c r="L2469" i="5"/>
  <c r="P2469" i="5" s="1"/>
  <c r="L2464" i="5"/>
  <c r="P2464" i="5" s="1"/>
  <c r="O2466" i="5"/>
  <c r="L2473" i="5"/>
  <c r="L2378" i="5"/>
  <c r="P2378" i="5" s="1"/>
  <c r="L2377" i="5"/>
  <c r="O2381" i="5"/>
  <c r="L2572" i="5"/>
  <c r="P2572" i="5" s="1"/>
  <c r="L2577" i="5"/>
  <c r="P2577" i="5" s="1"/>
  <c r="O2569" i="5"/>
  <c r="O2575" i="5"/>
  <c r="L2322" i="5"/>
  <c r="O2303" i="5"/>
  <c r="D2305" i="5"/>
  <c r="E2305" i="5" s="1"/>
  <c r="L2298" i="5"/>
  <c r="P2298" i="5" s="1"/>
  <c r="L2307" i="5"/>
  <c r="P2307" i="5" s="1"/>
  <c r="I2309" i="5"/>
  <c r="I2310" i="5"/>
  <c r="W2300" i="5"/>
  <c r="S2300" i="5"/>
  <c r="AA2300" i="5"/>
  <c r="M187" i="40" s="1"/>
  <c r="F2310" i="5"/>
  <c r="F2309" i="5"/>
  <c r="O2298" i="5"/>
  <c r="O2225" i="5"/>
  <c r="L2229" i="5"/>
  <c r="P2229" i="5" s="1"/>
  <c r="L2223" i="5"/>
  <c r="O2227" i="5"/>
  <c r="L2233" i="5"/>
  <c r="D2229" i="5"/>
  <c r="E2229" i="5" s="1"/>
  <c r="S2215" i="5"/>
  <c r="W2215" i="5"/>
  <c r="L2210" i="5"/>
  <c r="P2210" i="5" s="1"/>
  <c r="O2216" i="5"/>
  <c r="D2218" i="5"/>
  <c r="L2214" i="5"/>
  <c r="P2214" i="5" s="1"/>
  <c r="O2218" i="5"/>
  <c r="O2143" i="5"/>
  <c r="O2136" i="5"/>
  <c r="L2142" i="5"/>
  <c r="P2142" i="5" s="1"/>
  <c r="O2127" i="5"/>
  <c r="D2126" i="5"/>
  <c r="E2126" i="5" s="1"/>
  <c r="L2123" i="5"/>
  <c r="P2123" i="5" s="1"/>
  <c r="L2122" i="5"/>
  <c r="P2122" i="5" s="1"/>
  <c r="L2285" i="5"/>
  <c r="P2285" i="5" s="1"/>
  <c r="L2288" i="5"/>
  <c r="P2288" i="5" s="1"/>
  <c r="L2287" i="5"/>
  <c r="P2287" i="5" s="1"/>
  <c r="O2291" i="5"/>
  <c r="L2193" i="5"/>
  <c r="P2193" i="5" s="1"/>
  <c r="L2202" i="5"/>
  <c r="P2202" i="5" s="1"/>
  <c r="D2203" i="5"/>
  <c r="I2204" i="5"/>
  <c r="I2205" i="5"/>
  <c r="W2195" i="5"/>
  <c r="S2195" i="5"/>
  <c r="AA2195" i="5"/>
  <c r="M167" i="40" s="1"/>
  <c r="O2193" i="5"/>
  <c r="E2194" i="5"/>
  <c r="O2202" i="5"/>
  <c r="L2104" i="5"/>
  <c r="O2106" i="5"/>
  <c r="L2113" i="5"/>
  <c r="D2109" i="5"/>
  <c r="E2109" i="5" s="1"/>
  <c r="L2111" i="5"/>
  <c r="P2111" i="5" s="1"/>
  <c r="O2113" i="5"/>
  <c r="H2339" i="5"/>
  <c r="W2331" i="5" s="1"/>
  <c r="H2340" i="5"/>
  <c r="L2275" i="5"/>
  <c r="L2273" i="5"/>
  <c r="P2273" i="5" s="1"/>
  <c r="D2272" i="5"/>
  <c r="E2272" i="5" s="1"/>
  <c r="O2276" i="5"/>
  <c r="O2270" i="5"/>
  <c r="L2274" i="5"/>
  <c r="P2274" i="5" s="1"/>
  <c r="L2268" i="5"/>
  <c r="O2272" i="5"/>
  <c r="D2263" i="5"/>
  <c r="L2259" i="5"/>
  <c r="P2259" i="5" s="1"/>
  <c r="O2263" i="5"/>
  <c r="L2254" i="5"/>
  <c r="P2254" i="5" s="1"/>
  <c r="D2259" i="5"/>
  <c r="E2259" i="5" s="1"/>
  <c r="O2184" i="5"/>
  <c r="L2181" i="5"/>
  <c r="O2188" i="5"/>
  <c r="O2181" i="5"/>
  <c r="L2168" i="5"/>
  <c r="P2168" i="5" s="1"/>
  <c r="L2167" i="5"/>
  <c r="P2167" i="5" s="1"/>
  <c r="O2166" i="5"/>
  <c r="L2173" i="5"/>
  <c r="D2091" i="5"/>
  <c r="D2096" i="5"/>
  <c r="E2096" i="5" s="1"/>
  <c r="O2089" i="5"/>
  <c r="S2093" i="5"/>
  <c r="W2093" i="5"/>
  <c r="AA2093" i="5"/>
  <c r="AH197" i="40" s="1"/>
  <c r="D2090" i="5"/>
  <c r="E2090" i="5" s="1"/>
  <c r="O2097" i="5"/>
  <c r="L2090" i="5"/>
  <c r="P2090" i="5" s="1"/>
  <c r="D2075" i="5"/>
  <c r="E2075" i="5" s="1"/>
  <c r="S2078" i="5"/>
  <c r="W2078" i="5"/>
  <c r="AA2078" i="5"/>
  <c r="AH239" i="40" s="1"/>
  <c r="O2078" i="5"/>
  <c r="L2073" i="5"/>
  <c r="L2082" i="5"/>
  <c r="P2082" i="5" s="1"/>
  <c r="O2240" i="5"/>
  <c r="L2244" i="5"/>
  <c r="L2239" i="5"/>
  <c r="P2239" i="5" s="1"/>
  <c r="O2241" i="5"/>
  <c r="L2248" i="5"/>
  <c r="O2154" i="5"/>
  <c r="H2055" i="5"/>
  <c r="H2054" i="5"/>
  <c r="S2046" i="5" s="1"/>
  <c r="O2044" i="5"/>
  <c r="S2048" i="5"/>
  <c r="W2048" i="5"/>
  <c r="AA2048" i="5"/>
  <c r="AH146" i="40" s="1"/>
  <c r="D2045" i="5"/>
  <c r="E2045" i="5" s="1"/>
  <c r="O2052" i="5"/>
  <c r="L2045" i="5"/>
  <c r="P2045" i="5" s="1"/>
  <c r="I2054" i="5"/>
  <c r="I2055" i="5"/>
  <c r="S2045" i="5"/>
  <c r="W2045" i="5"/>
  <c r="AA2045" i="5"/>
  <c r="M146" i="40" s="1"/>
  <c r="L2047" i="5"/>
  <c r="P2047" i="5" s="1"/>
  <c r="D2030" i="5"/>
  <c r="E2030" i="5" s="1"/>
  <c r="W2033" i="5"/>
  <c r="S2033" i="5"/>
  <c r="AA2033" i="5"/>
  <c r="AH212" i="40" s="1"/>
  <c r="O2033" i="5"/>
  <c r="L2028" i="5"/>
  <c r="P2028" i="5" s="1"/>
  <c r="L2037" i="5"/>
  <c r="P2037" i="5" s="1"/>
  <c r="I2039" i="5"/>
  <c r="I2040" i="5"/>
  <c r="W2030" i="5"/>
  <c r="S2030" i="5"/>
  <c r="AA2030" i="5"/>
  <c r="M212" i="40" s="1"/>
  <c r="F2040" i="5"/>
  <c r="F2039" i="5"/>
  <c r="D1958" i="5"/>
  <c r="L1960" i="5"/>
  <c r="P1960" i="5" s="1"/>
  <c r="L1958" i="5"/>
  <c r="P1958" i="5" s="1"/>
  <c r="D1957" i="5"/>
  <c r="E1957" i="5" s="1"/>
  <c r="O1961" i="5"/>
  <c r="L1946" i="5"/>
  <c r="P1946" i="5" s="1"/>
  <c r="L1940" i="5"/>
  <c r="P1940" i="5" s="1"/>
  <c r="O1946" i="5"/>
  <c r="D1948" i="5"/>
  <c r="O1863" i="5"/>
  <c r="S1866" i="5"/>
  <c r="W1866" i="5"/>
  <c r="T113" i="40" s="1"/>
  <c r="L1871" i="5"/>
  <c r="O1868" i="5"/>
  <c r="L1864" i="5"/>
  <c r="P1864" i="5" s="1"/>
  <c r="O1869" i="5"/>
  <c r="L1866" i="5"/>
  <c r="P1866" i="5" s="1"/>
  <c r="O1849" i="5"/>
  <c r="O1855" i="5"/>
  <c r="O1857" i="5"/>
  <c r="D1856" i="5"/>
  <c r="E1856" i="5" s="1"/>
  <c r="L1853" i="5"/>
  <c r="P1853" i="5" s="1"/>
  <c r="L1852" i="5"/>
  <c r="P1852" i="5" s="1"/>
  <c r="O1804" i="5"/>
  <c r="S1808" i="5"/>
  <c r="W1808" i="5"/>
  <c r="AH89" i="40" s="1"/>
  <c r="AA1808" i="5"/>
  <c r="D1805" i="5"/>
  <c r="E1805" i="5" s="1"/>
  <c r="O1812" i="5"/>
  <c r="L1805" i="5"/>
  <c r="P1805" i="5" s="1"/>
  <c r="L1812" i="5"/>
  <c r="P1812" i="5" s="1"/>
  <c r="D2022" i="5"/>
  <c r="E2022" i="5" s="1"/>
  <c r="D2018" i="5"/>
  <c r="O2019" i="5"/>
  <c r="O2014" i="5"/>
  <c r="S2018" i="5"/>
  <c r="W2018" i="5"/>
  <c r="AA2018" i="5"/>
  <c r="AH207" i="40" s="1"/>
  <c r="O1932" i="5"/>
  <c r="O1927" i="5"/>
  <c r="L1930" i="5"/>
  <c r="P1930" i="5" s="1"/>
  <c r="L1926" i="5"/>
  <c r="P1926" i="5" s="1"/>
  <c r="O1928" i="5"/>
  <c r="F1935" i="5"/>
  <c r="F1934" i="5"/>
  <c r="O1843" i="5"/>
  <c r="D1835" i="5"/>
  <c r="E1835" i="5" s="1"/>
  <c r="D1841" i="5"/>
  <c r="O1835" i="5"/>
  <c r="L1839" i="5"/>
  <c r="P1839" i="5" s="1"/>
  <c r="L2000" i="5"/>
  <c r="P2000" i="5" s="1"/>
  <c r="I2009" i="5"/>
  <c r="I2010" i="5"/>
  <c r="W2000" i="5"/>
  <c r="S2000" i="5"/>
  <c r="AA2000" i="5"/>
  <c r="M237" i="40" s="1"/>
  <c r="L2002" i="5"/>
  <c r="P2002" i="5" s="1"/>
  <c r="F2010" i="5"/>
  <c r="F2009" i="5"/>
  <c r="O2005" i="5"/>
  <c r="D1987" i="5"/>
  <c r="E1987" i="5" s="1"/>
  <c r="O1991" i="5"/>
  <c r="D1993" i="5"/>
  <c r="L1989" i="5"/>
  <c r="P1989" i="5" s="1"/>
  <c r="O1993" i="5"/>
  <c r="L1984" i="5"/>
  <c r="P1984" i="5" s="1"/>
  <c r="D1915" i="5"/>
  <c r="E1915" i="5" s="1"/>
  <c r="L1915" i="5"/>
  <c r="L1913" i="5"/>
  <c r="P1913" i="5" s="1"/>
  <c r="D1912" i="5"/>
  <c r="E1912" i="5" s="1"/>
  <c r="O1916" i="5"/>
  <c r="O1910" i="5"/>
  <c r="L1914" i="5"/>
  <c r="P1914" i="5" s="1"/>
  <c r="D1901" i="5"/>
  <c r="E1901" i="5" s="1"/>
  <c r="L1898" i="5"/>
  <c r="P1898" i="5" s="1"/>
  <c r="L1897" i="5"/>
  <c r="P1897" i="5" s="1"/>
  <c r="O1896" i="5"/>
  <c r="L2061" i="5"/>
  <c r="O2063" i="5"/>
  <c r="L2058" i="5"/>
  <c r="P2058" i="5" s="1"/>
  <c r="D2061" i="5"/>
  <c r="E2061" i="5" s="1"/>
  <c r="D2064" i="5"/>
  <c r="E2064" i="5" s="1"/>
  <c r="S2063" i="5"/>
  <c r="W2063" i="5"/>
  <c r="AA2063" i="5"/>
  <c r="AH238" i="40" s="1"/>
  <c r="O2065" i="5"/>
  <c r="O2062" i="5"/>
  <c r="O1970" i="5"/>
  <c r="L1974" i="5"/>
  <c r="P1974" i="5" s="1"/>
  <c r="L1969" i="5"/>
  <c r="P1969" i="5" s="1"/>
  <c r="O1971" i="5"/>
  <c r="L1978" i="5"/>
  <c r="L1883" i="5"/>
  <c r="P1883" i="5" s="1"/>
  <c r="L1882" i="5"/>
  <c r="O1886" i="5"/>
  <c r="D1824" i="5"/>
  <c r="E1824" i="5" s="1"/>
  <c r="O1819" i="5"/>
  <c r="S1823" i="5"/>
  <c r="W1823" i="5"/>
  <c r="AH106" i="40" s="1"/>
  <c r="AA1823" i="5"/>
  <c r="O1828" i="5"/>
  <c r="D1820" i="5"/>
  <c r="E1820" i="5" s="1"/>
  <c r="O1729" i="5"/>
  <c r="L1730" i="5"/>
  <c r="P1730" i="5" s="1"/>
  <c r="L1733" i="5"/>
  <c r="L1732" i="5"/>
  <c r="P1732" i="5" s="1"/>
  <c r="O1736" i="5"/>
  <c r="O1643" i="5"/>
  <c r="F1649" i="5"/>
  <c r="F1650" i="5"/>
  <c r="O1645" i="5"/>
  <c r="L1638" i="5"/>
  <c r="L1647" i="5"/>
  <c r="P1647" i="5" s="1"/>
  <c r="D1648" i="5"/>
  <c r="I1650" i="5"/>
  <c r="I1649" i="5"/>
  <c r="W1640" i="5"/>
  <c r="M108" i="40" s="1"/>
  <c r="S1640" i="5"/>
  <c r="AA1640" i="5"/>
  <c r="O1550" i="5"/>
  <c r="L1554" i="5"/>
  <c r="L1549" i="5"/>
  <c r="P1549" i="5" s="1"/>
  <c r="O1551" i="5"/>
  <c r="L1558" i="5"/>
  <c r="D1554" i="5"/>
  <c r="E1554" i="5" s="1"/>
  <c r="L1788" i="5"/>
  <c r="O1788" i="5"/>
  <c r="E1789" i="5"/>
  <c r="L1796" i="5"/>
  <c r="O1796" i="5"/>
  <c r="O1718" i="5"/>
  <c r="L1714" i="5"/>
  <c r="P1714" i="5" s="1"/>
  <c r="O1719" i="5"/>
  <c r="L1716" i="5"/>
  <c r="P1716" i="5" s="1"/>
  <c r="S1705" i="5"/>
  <c r="W1705" i="5"/>
  <c r="AV103" i="40" s="1"/>
  <c r="L1700" i="5"/>
  <c r="P1700" i="5" s="1"/>
  <c r="O1706" i="5"/>
  <c r="D1708" i="5"/>
  <c r="L1704" i="5"/>
  <c r="P1704" i="5" s="1"/>
  <c r="O1708" i="5"/>
  <c r="O1630" i="5"/>
  <c r="D1626" i="5"/>
  <c r="E1626" i="5" s="1"/>
  <c r="O1624" i="5"/>
  <c r="S1628" i="5"/>
  <c r="W1628" i="5"/>
  <c r="AH123" i="40" s="1"/>
  <c r="AA1628" i="5"/>
  <c r="D1616" i="5"/>
  <c r="E1616" i="5" s="1"/>
  <c r="L1613" i="5"/>
  <c r="P1613" i="5" s="1"/>
  <c r="L1612" i="5"/>
  <c r="P1612" i="5" s="1"/>
  <c r="L1533" i="5"/>
  <c r="O1537" i="5"/>
  <c r="L3393" i="5"/>
  <c r="P3393" i="5" s="1"/>
  <c r="W3398" i="5"/>
  <c r="S3398" i="5"/>
  <c r="AA3398" i="5"/>
  <c r="AH139" i="40" s="1"/>
  <c r="O3399" i="5"/>
  <c r="L3334" i="5"/>
  <c r="P3334" i="5" s="1"/>
  <c r="L3337" i="5"/>
  <c r="P3337" i="5" s="1"/>
  <c r="O3342" i="5"/>
  <c r="D3342" i="5"/>
  <c r="E3342" i="5" s="1"/>
  <c r="L3321" i="5"/>
  <c r="P3321" i="5" s="1"/>
  <c r="D3325" i="5"/>
  <c r="E3325" i="5" s="1"/>
  <c r="L3322" i="5"/>
  <c r="P3322" i="5" s="1"/>
  <c r="O3417" i="5"/>
  <c r="O3415" i="5"/>
  <c r="O3413" i="5"/>
  <c r="L3416" i="5"/>
  <c r="P3416" i="5" s="1"/>
  <c r="L3353" i="5"/>
  <c r="P3353" i="5" s="1"/>
  <c r="L3348" i="5"/>
  <c r="L3358" i="5"/>
  <c r="L3357" i="5"/>
  <c r="P3357" i="5" s="1"/>
  <c r="W3261" i="5"/>
  <c r="S3261" i="5"/>
  <c r="L3263" i="5"/>
  <c r="P3263" i="5" s="1"/>
  <c r="D3262" i="5"/>
  <c r="E3262" i="5" s="1"/>
  <c r="O3266" i="5"/>
  <c r="O3263" i="5"/>
  <c r="E3244" i="5"/>
  <c r="L3248" i="5"/>
  <c r="P3248" i="5" s="1"/>
  <c r="O3172" i="5"/>
  <c r="O3170" i="5"/>
  <c r="S3173" i="5"/>
  <c r="W3173" i="5"/>
  <c r="AA3173" i="5"/>
  <c r="AH155" i="40" s="1"/>
  <c r="L3154" i="5"/>
  <c r="P3154" i="5" s="1"/>
  <c r="O3158" i="5"/>
  <c r="O3160" i="5"/>
  <c r="D3155" i="5"/>
  <c r="E3155" i="5" s="1"/>
  <c r="L3155" i="5"/>
  <c r="P3155" i="5" s="1"/>
  <c r="L3161" i="5"/>
  <c r="P3161" i="5" s="1"/>
  <c r="O3100" i="5"/>
  <c r="L3098" i="5"/>
  <c r="P3098" i="5" s="1"/>
  <c r="O3099" i="5"/>
  <c r="L3102" i="5"/>
  <c r="P3102" i="5" s="1"/>
  <c r="O3093" i="5"/>
  <c r="O3308" i="5"/>
  <c r="H3314" i="5"/>
  <c r="AA3306" i="5" s="1"/>
  <c r="T160" i="40" s="1"/>
  <c r="H3315" i="5"/>
  <c r="L3311" i="5"/>
  <c r="P3311" i="5" s="1"/>
  <c r="L3306" i="5"/>
  <c r="P3306" i="5" s="1"/>
  <c r="O3310" i="5"/>
  <c r="I3314" i="5"/>
  <c r="I3315" i="5"/>
  <c r="W3305" i="5"/>
  <c r="AA3305" i="5"/>
  <c r="M160" i="40" s="1"/>
  <c r="S3305" i="5"/>
  <c r="L3309" i="5"/>
  <c r="P3309" i="5" s="1"/>
  <c r="L3308" i="5"/>
  <c r="P3308" i="5" s="1"/>
  <c r="L3305" i="5"/>
  <c r="P3305" i="5" s="1"/>
  <c r="L3229" i="5"/>
  <c r="P3229" i="5" s="1"/>
  <c r="O3236" i="5"/>
  <c r="L3230" i="5"/>
  <c r="P3230" i="5" s="1"/>
  <c r="O3230" i="5"/>
  <c r="L3234" i="5"/>
  <c r="P3234" i="5" s="1"/>
  <c r="L3222" i="5"/>
  <c r="P3222" i="5" s="1"/>
  <c r="I3224" i="5"/>
  <c r="I3225" i="5"/>
  <c r="S3215" i="5"/>
  <c r="W3215" i="5"/>
  <c r="AA3215" i="5"/>
  <c r="M185" i="40" s="1"/>
  <c r="L3219" i="5"/>
  <c r="P3219" i="5" s="1"/>
  <c r="L3218" i="5"/>
  <c r="P3218" i="5" s="1"/>
  <c r="L3216" i="5"/>
  <c r="P3216" i="5" s="1"/>
  <c r="D3222" i="5"/>
  <c r="E3222" i="5" s="1"/>
  <c r="L3132" i="5"/>
  <c r="P3132" i="5" s="1"/>
  <c r="F3135" i="5"/>
  <c r="F3134" i="5"/>
  <c r="O3130" i="5"/>
  <c r="W3128" i="5"/>
  <c r="S3128" i="5"/>
  <c r="I3134" i="5"/>
  <c r="I3135" i="5"/>
  <c r="S3125" i="5"/>
  <c r="W3125" i="5"/>
  <c r="AA3125" i="5"/>
  <c r="M218" i="40" s="1"/>
  <c r="L3127" i="5"/>
  <c r="P3127" i="5" s="1"/>
  <c r="L3109" i="5"/>
  <c r="P3109" i="5" s="1"/>
  <c r="L3116" i="5"/>
  <c r="P3116" i="5" s="1"/>
  <c r="L3117" i="5"/>
  <c r="P3117" i="5" s="1"/>
  <c r="O3114" i="5"/>
  <c r="L3034" i="5"/>
  <c r="P3034" i="5" s="1"/>
  <c r="L3039" i="5"/>
  <c r="P3039" i="5" s="1"/>
  <c r="O3018" i="5"/>
  <c r="L3022" i="5"/>
  <c r="P3022" i="5" s="1"/>
  <c r="L3020" i="5"/>
  <c r="P3020" i="5" s="1"/>
  <c r="L3026" i="5"/>
  <c r="P3026" i="5" s="1"/>
  <c r="L3024" i="5"/>
  <c r="P3024" i="5" s="1"/>
  <c r="F3195" i="5"/>
  <c r="F3194" i="5"/>
  <c r="I3194" i="5"/>
  <c r="I3195" i="5"/>
  <c r="W3185" i="5"/>
  <c r="S3185" i="5"/>
  <c r="AA3185" i="5"/>
  <c r="M249" i="40" s="1"/>
  <c r="O3191" i="5"/>
  <c r="O3184" i="5"/>
  <c r="L3191" i="5"/>
  <c r="P3191" i="5" s="1"/>
  <c r="L3193" i="5"/>
  <c r="L2995" i="5"/>
  <c r="P2995" i="5" s="1"/>
  <c r="O2989" i="5"/>
  <c r="L2990" i="5"/>
  <c r="P2990" i="5" s="1"/>
  <c r="L2988" i="5"/>
  <c r="L2989" i="5"/>
  <c r="P2989" i="5" s="1"/>
  <c r="O2992" i="5"/>
  <c r="O2997" i="5"/>
  <c r="L3068" i="5"/>
  <c r="P3068" i="5" s="1"/>
  <c r="O3069" i="5"/>
  <c r="O3073" i="5"/>
  <c r="F3074" i="5"/>
  <c r="F3075" i="5"/>
  <c r="L3066" i="5"/>
  <c r="P3066" i="5" s="1"/>
  <c r="O3067" i="5"/>
  <c r="S3053" i="5"/>
  <c r="W3053" i="5"/>
  <c r="AA3053" i="5"/>
  <c r="AH128" i="40" s="1"/>
  <c r="L3049" i="5"/>
  <c r="P3049" i="5" s="1"/>
  <c r="L3057" i="5"/>
  <c r="P3057" i="5" s="1"/>
  <c r="L3203" i="5"/>
  <c r="P3203" i="5" s="1"/>
  <c r="L3207" i="5"/>
  <c r="P3207" i="5" s="1"/>
  <c r="D3205" i="5"/>
  <c r="E3205" i="5" s="1"/>
  <c r="L3202" i="5"/>
  <c r="P3202" i="5" s="1"/>
  <c r="L3201" i="5"/>
  <c r="P3201" i="5" s="1"/>
  <c r="O3201" i="5"/>
  <c r="O3146" i="5"/>
  <c r="O3140" i="5"/>
  <c r="L3144" i="5"/>
  <c r="P3144" i="5" s="1"/>
  <c r="L3078" i="5"/>
  <c r="P3078" i="5" s="1"/>
  <c r="F3090" i="5"/>
  <c r="F3089" i="5"/>
  <c r="L3079" i="5"/>
  <c r="P3079" i="5" s="1"/>
  <c r="O3086" i="5"/>
  <c r="O3088" i="5"/>
  <c r="O3080" i="5"/>
  <c r="L3084" i="5"/>
  <c r="P3084" i="5" s="1"/>
  <c r="L3004" i="5"/>
  <c r="P3004" i="5" s="1"/>
  <c r="I3014" i="5"/>
  <c r="I3015" i="5"/>
  <c r="S3005" i="5"/>
  <c r="W3005" i="5"/>
  <c r="AA3005" i="5"/>
  <c r="M183" i="40" s="1"/>
  <c r="O3010" i="5"/>
  <c r="O3004" i="5"/>
  <c r="S3008" i="5"/>
  <c r="W3008" i="5"/>
  <c r="AA3008" i="5"/>
  <c r="AH183" i="40" s="1"/>
  <c r="D2918" i="5"/>
  <c r="D2923" i="5"/>
  <c r="L2918" i="5"/>
  <c r="P2918" i="5" s="1"/>
  <c r="O2920" i="5"/>
  <c r="O2914" i="5"/>
  <c r="I2924" i="5"/>
  <c r="I2925" i="5"/>
  <c r="W2915" i="5"/>
  <c r="S2915" i="5"/>
  <c r="AA2915" i="5"/>
  <c r="M192" i="40" s="1"/>
  <c r="L2975" i="5"/>
  <c r="P2975" i="5" s="1"/>
  <c r="L2977" i="5"/>
  <c r="P2977" i="5" s="1"/>
  <c r="L2983" i="5"/>
  <c r="O2981" i="5"/>
  <c r="L2831" i="5"/>
  <c r="P2831" i="5" s="1"/>
  <c r="L2929" i="5"/>
  <c r="P2929" i="5" s="1"/>
  <c r="O2930" i="5"/>
  <c r="O2933" i="5"/>
  <c r="L2928" i="5"/>
  <c r="O2932" i="5"/>
  <c r="L2931" i="5"/>
  <c r="P2931" i="5" s="1"/>
  <c r="L2888" i="5"/>
  <c r="P2888" i="5" s="1"/>
  <c r="L2886" i="5"/>
  <c r="P2886" i="5" s="1"/>
  <c r="O2875" i="5"/>
  <c r="I2879" i="5"/>
  <c r="I2880" i="5"/>
  <c r="S2870" i="5"/>
  <c r="W2870" i="5"/>
  <c r="AA2870" i="5"/>
  <c r="M246" i="40" s="1"/>
  <c r="L2871" i="5"/>
  <c r="P2871" i="5" s="1"/>
  <c r="L2869" i="5"/>
  <c r="P2869" i="5" s="1"/>
  <c r="O2871" i="5"/>
  <c r="L2854" i="5"/>
  <c r="P2854" i="5" s="1"/>
  <c r="L2859" i="5"/>
  <c r="P2859" i="5" s="1"/>
  <c r="O2856" i="5"/>
  <c r="F2969" i="5"/>
  <c r="F2970" i="5"/>
  <c r="L2959" i="5"/>
  <c r="P2959" i="5" s="1"/>
  <c r="O2961" i="5"/>
  <c r="O2968" i="5"/>
  <c r="W2948" i="5"/>
  <c r="S2948" i="5"/>
  <c r="AA2948" i="5"/>
  <c r="AH247" i="40" s="1"/>
  <c r="O2944" i="5"/>
  <c r="L2949" i="5"/>
  <c r="P2949" i="5" s="1"/>
  <c r="O2950" i="5"/>
  <c r="L2953" i="5"/>
  <c r="O2946" i="5"/>
  <c r="O2905" i="5"/>
  <c r="L2899" i="5"/>
  <c r="P2899" i="5" s="1"/>
  <c r="L2908" i="5"/>
  <c r="O2900" i="5"/>
  <c r="L2904" i="5"/>
  <c r="P2904" i="5" s="1"/>
  <c r="L2848" i="5"/>
  <c r="L2839" i="5"/>
  <c r="P2839" i="5" s="1"/>
  <c r="O2848" i="5"/>
  <c r="O2847" i="5"/>
  <c r="S2770" i="5"/>
  <c r="W2770" i="5"/>
  <c r="F2775" i="5"/>
  <c r="F2774" i="5"/>
  <c r="L2763" i="5"/>
  <c r="P2763" i="5" s="1"/>
  <c r="L2764" i="5"/>
  <c r="P2764" i="5" s="1"/>
  <c r="O2758" i="5"/>
  <c r="O2757" i="5"/>
  <c r="O2751" i="5"/>
  <c r="O2814" i="5"/>
  <c r="I2819" i="5"/>
  <c r="I2820" i="5"/>
  <c r="S2810" i="5"/>
  <c r="W2810" i="5"/>
  <c r="AA2810" i="5"/>
  <c r="M144" i="40" s="1"/>
  <c r="L2813" i="5"/>
  <c r="P2813" i="5" s="1"/>
  <c r="O2815" i="5"/>
  <c r="O2808" i="5"/>
  <c r="L2816" i="5"/>
  <c r="P2816" i="5" s="1"/>
  <c r="L2738" i="5"/>
  <c r="P2738" i="5" s="1"/>
  <c r="O2742" i="5"/>
  <c r="O2737" i="5"/>
  <c r="O2736" i="5"/>
  <c r="O2735" i="5"/>
  <c r="L2739" i="5"/>
  <c r="P2739" i="5" s="1"/>
  <c r="I2789" i="5"/>
  <c r="I2790" i="5"/>
  <c r="S2780" i="5"/>
  <c r="W2780" i="5"/>
  <c r="AA2780" i="5"/>
  <c r="M195" i="40" s="1"/>
  <c r="O2788" i="5"/>
  <c r="L2782" i="5"/>
  <c r="P2782" i="5" s="1"/>
  <c r="O2780" i="5"/>
  <c r="L2788" i="5"/>
  <c r="D2678" i="5"/>
  <c r="W2678" i="5" s="1"/>
  <c r="L2680" i="5"/>
  <c r="P2680" i="5" s="1"/>
  <c r="L2678" i="5"/>
  <c r="P2678" i="5" s="1"/>
  <c r="O2681" i="5"/>
  <c r="L2659" i="5"/>
  <c r="P2659" i="5" s="1"/>
  <c r="L2661" i="5"/>
  <c r="P2661" i="5" s="1"/>
  <c r="L2666" i="5"/>
  <c r="P2666" i="5" s="1"/>
  <c r="L2800" i="5"/>
  <c r="P2800" i="5" s="1"/>
  <c r="L2799" i="5"/>
  <c r="P2799" i="5" s="1"/>
  <c r="O2801" i="5"/>
  <c r="O2796" i="5"/>
  <c r="O2798" i="5"/>
  <c r="L2643" i="5"/>
  <c r="P2643" i="5" s="1"/>
  <c r="L2652" i="5"/>
  <c r="D2653" i="5"/>
  <c r="I2654" i="5"/>
  <c r="I2655" i="5"/>
  <c r="W2645" i="5"/>
  <c r="S2645" i="5"/>
  <c r="AA2645" i="5"/>
  <c r="M221" i="40" s="1"/>
  <c r="O2643" i="5"/>
  <c r="O2652" i="5"/>
  <c r="O2720" i="5"/>
  <c r="D2725" i="5"/>
  <c r="E2725" i="5" s="1"/>
  <c r="L2723" i="5"/>
  <c r="P2723" i="5" s="1"/>
  <c r="O2722" i="5"/>
  <c r="L2706" i="5"/>
  <c r="P2706" i="5" s="1"/>
  <c r="L2711" i="5"/>
  <c r="L2705" i="5"/>
  <c r="P2705" i="5" s="1"/>
  <c r="O2711" i="5"/>
  <c r="O2693" i="5"/>
  <c r="F2699" i="5"/>
  <c r="F2700" i="5"/>
  <c r="O2695" i="5"/>
  <c r="L2688" i="5"/>
  <c r="L2697" i="5"/>
  <c r="P2697" i="5" s="1"/>
  <c r="D2605" i="5"/>
  <c r="E2605" i="5" s="1"/>
  <c r="L2608" i="5"/>
  <c r="L2632" i="5"/>
  <c r="P2632" i="5" s="1"/>
  <c r="L2633" i="5"/>
  <c r="P2633" i="5" s="1"/>
  <c r="L2635" i="5"/>
  <c r="P2635" i="5" s="1"/>
  <c r="D2633" i="5"/>
  <c r="O2523" i="5"/>
  <c r="O2532" i="5"/>
  <c r="D2531" i="5"/>
  <c r="E2531" i="5" s="1"/>
  <c r="L2528" i="5"/>
  <c r="P2528" i="5" s="1"/>
  <c r="L2527" i="5"/>
  <c r="P2527" i="5" s="1"/>
  <c r="O2450" i="5"/>
  <c r="L2454" i="5"/>
  <c r="P2454" i="5" s="1"/>
  <c r="L2448" i="5"/>
  <c r="O2452" i="5"/>
  <c r="L2458" i="5"/>
  <c r="L2439" i="5"/>
  <c r="P2439" i="5" s="1"/>
  <c r="O2443" i="5"/>
  <c r="L2434" i="5"/>
  <c r="P2434" i="5" s="1"/>
  <c r="L2436" i="5"/>
  <c r="P2436" i="5" s="1"/>
  <c r="O2359" i="5"/>
  <c r="S2363" i="5"/>
  <c r="W2363" i="5"/>
  <c r="AA2363" i="5"/>
  <c r="AH215" i="40" s="1"/>
  <c r="O2367" i="5"/>
  <c r="L2367" i="5"/>
  <c r="P2367" i="5" s="1"/>
  <c r="O2343" i="5"/>
  <c r="O2347" i="5"/>
  <c r="O2349" i="5"/>
  <c r="O2345" i="5"/>
  <c r="O2515" i="5"/>
  <c r="L2508" i="5"/>
  <c r="L2517" i="5"/>
  <c r="P2517" i="5" s="1"/>
  <c r="D2518" i="5"/>
  <c r="I2520" i="5"/>
  <c r="I2519" i="5"/>
  <c r="S2510" i="5"/>
  <c r="W2510" i="5"/>
  <c r="AA2510" i="5"/>
  <c r="M206" i="40" s="1"/>
  <c r="O2508" i="5"/>
  <c r="L2419" i="5"/>
  <c r="P2419" i="5" s="1"/>
  <c r="O2421" i="5"/>
  <c r="L2428" i="5"/>
  <c r="D2424" i="5"/>
  <c r="E2424" i="5" s="1"/>
  <c r="L2426" i="5"/>
  <c r="P2426" i="5" s="1"/>
  <c r="O2590" i="5"/>
  <c r="O2584" i="5"/>
  <c r="S2588" i="5"/>
  <c r="W2588" i="5"/>
  <c r="AA2588" i="5"/>
  <c r="AH135" i="40" s="1"/>
  <c r="L2495" i="5"/>
  <c r="P2495" i="5" s="1"/>
  <c r="I2504" i="5"/>
  <c r="I2505" i="5"/>
  <c r="W2495" i="5"/>
  <c r="S2495" i="5"/>
  <c r="AA2495" i="5"/>
  <c r="M159" i="40" s="1"/>
  <c r="L2497" i="5"/>
  <c r="P2497" i="5" s="1"/>
  <c r="F2504" i="5"/>
  <c r="F2505" i="5"/>
  <c r="O2500" i="5"/>
  <c r="D2482" i="5"/>
  <c r="E2482" i="5" s="1"/>
  <c r="O2486" i="5"/>
  <c r="L2484" i="5"/>
  <c r="P2484" i="5" s="1"/>
  <c r="O2488" i="5"/>
  <c r="L2479" i="5"/>
  <c r="P2479" i="5" s="1"/>
  <c r="D2410" i="5"/>
  <c r="E2410" i="5" s="1"/>
  <c r="L2410" i="5"/>
  <c r="P2410" i="5" s="1"/>
  <c r="L2408" i="5"/>
  <c r="P2408" i="5" s="1"/>
  <c r="O2411" i="5"/>
  <c r="O2405" i="5"/>
  <c r="L2409" i="5"/>
  <c r="P2409" i="5" s="1"/>
  <c r="D2396" i="5"/>
  <c r="E2396" i="5" s="1"/>
  <c r="L2393" i="5"/>
  <c r="P2393" i="5" s="1"/>
  <c r="L2392" i="5"/>
  <c r="P2392" i="5" s="1"/>
  <c r="O2391" i="5"/>
  <c r="F2624" i="5"/>
  <c r="F2625" i="5"/>
  <c r="O2620" i="5"/>
  <c r="O2616" i="5"/>
  <c r="L2623" i="5"/>
  <c r="H2564" i="5"/>
  <c r="AA2556" i="5" s="1"/>
  <c r="T204" i="40" s="1"/>
  <c r="H2565" i="5"/>
  <c r="O2555" i="5"/>
  <c r="I2564" i="5"/>
  <c r="I2565" i="5"/>
  <c r="S2555" i="5"/>
  <c r="W2555" i="5"/>
  <c r="AA2555" i="5"/>
  <c r="M204" i="40" s="1"/>
  <c r="O2545" i="5"/>
  <c r="O2548" i="5"/>
  <c r="L2545" i="5"/>
  <c r="L2539" i="5"/>
  <c r="P2539" i="5" s="1"/>
  <c r="L2468" i="5"/>
  <c r="P2468" i="5" s="1"/>
  <c r="L2467" i="5"/>
  <c r="P2467" i="5" s="1"/>
  <c r="O2471" i="5"/>
  <c r="D2383" i="5"/>
  <c r="I2384" i="5"/>
  <c r="I2385" i="5"/>
  <c r="W2375" i="5"/>
  <c r="S2375" i="5"/>
  <c r="AA2375" i="5"/>
  <c r="M243" i="40" s="1"/>
  <c r="O2373" i="5"/>
  <c r="O2382" i="5"/>
  <c r="O2377" i="5"/>
  <c r="L2380" i="5"/>
  <c r="P2380" i="5" s="1"/>
  <c r="F2580" i="5"/>
  <c r="F2579" i="5"/>
  <c r="L2570" i="5"/>
  <c r="P2570" i="5" s="1"/>
  <c r="L2576" i="5"/>
  <c r="P2576" i="5" s="1"/>
  <c r="O2313" i="5"/>
  <c r="L2314" i="5"/>
  <c r="P2314" i="5" s="1"/>
  <c r="L2323" i="5"/>
  <c r="O2322" i="5"/>
  <c r="O2301" i="5"/>
  <c r="L2308" i="5"/>
  <c r="O2304" i="5"/>
  <c r="O2300" i="5"/>
  <c r="O2299" i="5"/>
  <c r="O2305" i="5"/>
  <c r="O2230" i="5"/>
  <c r="O2213" i="5"/>
  <c r="D2215" i="5"/>
  <c r="E2215" i="5" s="1"/>
  <c r="L2208" i="5"/>
  <c r="L2217" i="5"/>
  <c r="P2217" i="5" s="1"/>
  <c r="I2219" i="5"/>
  <c r="I2220" i="5"/>
  <c r="W2210" i="5"/>
  <c r="S2210" i="5"/>
  <c r="AA2210" i="5"/>
  <c r="M241" i="40" s="1"/>
  <c r="F2220" i="5"/>
  <c r="F2219" i="5"/>
  <c r="O2208" i="5"/>
  <c r="O2135" i="5"/>
  <c r="L2139" i="5"/>
  <c r="P2139" i="5" s="1"/>
  <c r="L2133" i="5"/>
  <c r="P2133" i="5" s="1"/>
  <c r="O2137" i="5"/>
  <c r="L2143" i="5"/>
  <c r="S2125" i="5"/>
  <c r="W2125" i="5"/>
  <c r="L2120" i="5"/>
  <c r="P2120" i="5" s="1"/>
  <c r="O2126" i="5"/>
  <c r="L2124" i="5"/>
  <c r="P2124" i="5" s="1"/>
  <c r="O2128" i="5"/>
  <c r="L2283" i="5"/>
  <c r="P2283" i="5" s="1"/>
  <c r="L2292" i="5"/>
  <c r="P2292" i="5" s="1"/>
  <c r="D2293" i="5"/>
  <c r="I2294" i="5"/>
  <c r="I2295" i="5"/>
  <c r="S2285" i="5"/>
  <c r="W2285" i="5"/>
  <c r="AA2285" i="5"/>
  <c r="M149" i="40" s="1"/>
  <c r="O2283" i="5"/>
  <c r="O2292" i="5"/>
  <c r="L2194" i="5"/>
  <c r="P2194" i="5" s="1"/>
  <c r="O2196" i="5"/>
  <c r="L2203" i="5"/>
  <c r="D2199" i="5"/>
  <c r="E2199" i="5" s="1"/>
  <c r="L2201" i="5"/>
  <c r="P2201" i="5" s="1"/>
  <c r="O2203" i="5"/>
  <c r="O2109" i="5"/>
  <c r="O2104" i="5"/>
  <c r="S2108" i="5"/>
  <c r="W2108" i="5"/>
  <c r="AA2108" i="5"/>
  <c r="AH176" i="40" s="1"/>
  <c r="D2338" i="5"/>
  <c r="O2337" i="5"/>
  <c r="O2332" i="5"/>
  <c r="L2335" i="5"/>
  <c r="P2335" i="5" s="1"/>
  <c r="I2340" i="5"/>
  <c r="I2339" i="5"/>
  <c r="W2330" i="5"/>
  <c r="S2330" i="5"/>
  <c r="AA2330" i="5"/>
  <c r="M220" i="40" s="1"/>
  <c r="O2328" i="5"/>
  <c r="I2279" i="5"/>
  <c r="I2280" i="5"/>
  <c r="S2270" i="5"/>
  <c r="W2270" i="5"/>
  <c r="AA2270" i="5"/>
  <c r="M236" i="40" s="1"/>
  <c r="L2272" i="5"/>
  <c r="P2272" i="5" s="1"/>
  <c r="F2280" i="5"/>
  <c r="F2279" i="5"/>
  <c r="O2275" i="5"/>
  <c r="I2264" i="5"/>
  <c r="I2265" i="5"/>
  <c r="W2255" i="5"/>
  <c r="S2255" i="5"/>
  <c r="AA2255" i="5"/>
  <c r="M199" i="40" s="1"/>
  <c r="F2265" i="5"/>
  <c r="F2264" i="5"/>
  <c r="O2253" i="5"/>
  <c r="O2257" i="5"/>
  <c r="L2260" i="5"/>
  <c r="P2260" i="5" s="1"/>
  <c r="L2185" i="5"/>
  <c r="P2185" i="5" s="1"/>
  <c r="L2183" i="5"/>
  <c r="P2183" i="5" s="1"/>
  <c r="O2186" i="5"/>
  <c r="O2180" i="5"/>
  <c r="L2184" i="5"/>
  <c r="P2184" i="5" s="1"/>
  <c r="L2178" i="5"/>
  <c r="P2178" i="5" s="1"/>
  <c r="O2182" i="5"/>
  <c r="L2169" i="5"/>
  <c r="P2169" i="5" s="1"/>
  <c r="O2173" i="5"/>
  <c r="L2164" i="5"/>
  <c r="P2164" i="5" s="1"/>
  <c r="O2094" i="5"/>
  <c r="L2091" i="5"/>
  <c r="P2091" i="5" s="1"/>
  <c r="O2098" i="5"/>
  <c r="O2091" i="5"/>
  <c r="L2078" i="5"/>
  <c r="P2078" i="5" s="1"/>
  <c r="L2077" i="5"/>
  <c r="P2077" i="5" s="1"/>
  <c r="O2076" i="5"/>
  <c r="L2083" i="5"/>
  <c r="O2244" i="5"/>
  <c r="I2160" i="5"/>
  <c r="I2159" i="5"/>
  <c r="W2150" i="5"/>
  <c r="S2150" i="5"/>
  <c r="AA2150" i="5"/>
  <c r="M145" i="40" s="1"/>
  <c r="O2148" i="5"/>
  <c r="O2157" i="5"/>
  <c r="O2152" i="5"/>
  <c r="L2155" i="5"/>
  <c r="P2155" i="5" s="1"/>
  <c r="L2151" i="5"/>
  <c r="P2151" i="5" s="1"/>
  <c r="O2053" i="5"/>
  <c r="O2046" i="5"/>
  <c r="L2052" i="5"/>
  <c r="P2052" i="5" s="1"/>
  <c r="O2031" i="5"/>
  <c r="L2038" i="5"/>
  <c r="O2034" i="5"/>
  <c r="O2030" i="5"/>
  <c r="H1965" i="5"/>
  <c r="H1964" i="5"/>
  <c r="S1956" i="5" s="1"/>
  <c r="O1954" i="5"/>
  <c r="S1958" i="5"/>
  <c r="W1958" i="5"/>
  <c r="AA1958" i="5"/>
  <c r="AH140" i="40" s="1"/>
  <c r="O1962" i="5"/>
  <c r="L1955" i="5"/>
  <c r="P1955" i="5" s="1"/>
  <c r="I1964" i="5"/>
  <c r="I1965" i="5"/>
  <c r="W1955" i="5"/>
  <c r="S1955" i="5"/>
  <c r="AA1955" i="5"/>
  <c r="M140" i="40" s="1"/>
  <c r="L1957" i="5"/>
  <c r="P1957" i="5" s="1"/>
  <c r="W1943" i="5"/>
  <c r="S1943" i="5"/>
  <c r="AA1943" i="5"/>
  <c r="AH190" i="40" s="1"/>
  <c r="O1943" i="5"/>
  <c r="L1938" i="5"/>
  <c r="P1938" i="5" s="1"/>
  <c r="L1947" i="5"/>
  <c r="P1947" i="5" s="1"/>
  <c r="I1949" i="5"/>
  <c r="I1950" i="5"/>
  <c r="W1940" i="5"/>
  <c r="S1940" i="5"/>
  <c r="AA1940" i="5"/>
  <c r="M190" i="40" s="1"/>
  <c r="F1950" i="5"/>
  <c r="F1949" i="5"/>
  <c r="D1868" i="5"/>
  <c r="L1870" i="5"/>
  <c r="P1870" i="5" s="1"/>
  <c r="L1868" i="5"/>
  <c r="P1868" i="5" s="1"/>
  <c r="O1871" i="5"/>
  <c r="L1856" i="5"/>
  <c r="L1850" i="5"/>
  <c r="P1850" i="5" s="1"/>
  <c r="O1856" i="5"/>
  <c r="O1813" i="5"/>
  <c r="O1806" i="5"/>
  <c r="L1813" i="5"/>
  <c r="O2022" i="5"/>
  <c r="O2017" i="5"/>
  <c r="L2020" i="5"/>
  <c r="P2020" i="5" s="1"/>
  <c r="L2016" i="5"/>
  <c r="P2016" i="5" s="1"/>
  <c r="O2018" i="5"/>
  <c r="F2025" i="5"/>
  <c r="F2024" i="5"/>
  <c r="O1933" i="5"/>
  <c r="D1931" i="5"/>
  <c r="E1931" i="5" s="1"/>
  <c r="O1925" i="5"/>
  <c r="L1929" i="5"/>
  <c r="P1929" i="5" s="1"/>
  <c r="D1840" i="5"/>
  <c r="E1840" i="5" s="1"/>
  <c r="L1835" i="5"/>
  <c r="P1835" i="5" s="1"/>
  <c r="L1838" i="5"/>
  <c r="P1838" i="5" s="1"/>
  <c r="L1837" i="5"/>
  <c r="P1837" i="5" s="1"/>
  <c r="O1841" i="5"/>
  <c r="O2001" i="5"/>
  <c r="L2007" i="5"/>
  <c r="P2007" i="5" s="1"/>
  <c r="O1998" i="5"/>
  <c r="L2006" i="5"/>
  <c r="P2006" i="5" s="1"/>
  <c r="O2003" i="5"/>
  <c r="L1992" i="5"/>
  <c r="P1992" i="5" s="1"/>
  <c r="I1994" i="5"/>
  <c r="I1995" i="5"/>
  <c r="W1985" i="5"/>
  <c r="S1985" i="5"/>
  <c r="AA1985" i="5"/>
  <c r="M156" i="40" s="1"/>
  <c r="F1995" i="5"/>
  <c r="F1994" i="5"/>
  <c r="O1983" i="5"/>
  <c r="O1987" i="5"/>
  <c r="L1910" i="5"/>
  <c r="P1910" i="5" s="1"/>
  <c r="I1919" i="5"/>
  <c r="I1920" i="5"/>
  <c r="S1910" i="5"/>
  <c r="W1910" i="5"/>
  <c r="AA1910" i="5"/>
  <c r="M151" i="40" s="1"/>
  <c r="L1912" i="5"/>
  <c r="P1912" i="5" s="1"/>
  <c r="F1920" i="5"/>
  <c r="F1919" i="5"/>
  <c r="O1915" i="5"/>
  <c r="D1897" i="5"/>
  <c r="E1897" i="5" s="1"/>
  <c r="O1901" i="5"/>
  <c r="L1899" i="5"/>
  <c r="P1899" i="5" s="1"/>
  <c r="O1903" i="5"/>
  <c r="L1894" i="5"/>
  <c r="P1894" i="5" s="1"/>
  <c r="O2060" i="5"/>
  <c r="L2059" i="5"/>
  <c r="P2059" i="5" s="1"/>
  <c r="O2061" i="5"/>
  <c r="F2069" i="5"/>
  <c r="F2070" i="5"/>
  <c r="L1973" i="5"/>
  <c r="P1973" i="5" s="1"/>
  <c r="L1972" i="5"/>
  <c r="P1972" i="5" s="1"/>
  <c r="O1976" i="5"/>
  <c r="D1888" i="5"/>
  <c r="I1890" i="5"/>
  <c r="I1889" i="5"/>
  <c r="W1880" i="5"/>
  <c r="S1880" i="5"/>
  <c r="AA1880" i="5"/>
  <c r="M179" i="40" s="1"/>
  <c r="O1878" i="5"/>
  <c r="O1887" i="5"/>
  <c r="O1882" i="5"/>
  <c r="L1885" i="5"/>
  <c r="P1885" i="5" s="1"/>
  <c r="O1824" i="5"/>
  <c r="O1823" i="5"/>
  <c r="F1830" i="5"/>
  <c r="F1829" i="5"/>
  <c r="L1820" i="5"/>
  <c r="P1820" i="5" s="1"/>
  <c r="O1733" i="5"/>
  <c r="F1739" i="5"/>
  <c r="F1740" i="5"/>
  <c r="O1735" i="5"/>
  <c r="L1728" i="5"/>
  <c r="P1728" i="5" s="1"/>
  <c r="L1737" i="5"/>
  <c r="P1737" i="5" s="1"/>
  <c r="D1738" i="5"/>
  <c r="I1739" i="5"/>
  <c r="I1740" i="5"/>
  <c r="W1730" i="5"/>
  <c r="M96" i="40" s="1"/>
  <c r="S1730" i="5"/>
  <c r="AA1730" i="5"/>
  <c r="O1640" i="5"/>
  <c r="L1644" i="5"/>
  <c r="P1644" i="5" s="1"/>
  <c r="L1639" i="5"/>
  <c r="P1639" i="5" s="1"/>
  <c r="O1641" i="5"/>
  <c r="L1648" i="5"/>
  <c r="D1644" i="5"/>
  <c r="E1644" i="5" s="1"/>
  <c r="O1554" i="5"/>
  <c r="O1791" i="5"/>
  <c r="L1793" i="5"/>
  <c r="P1793" i="5" s="1"/>
  <c r="L1792" i="5"/>
  <c r="P1792" i="5" s="1"/>
  <c r="O1789" i="5"/>
  <c r="L1797" i="5"/>
  <c r="P1797" i="5" s="1"/>
  <c r="D1718" i="5"/>
  <c r="L1720" i="5"/>
  <c r="P1720" i="5" s="1"/>
  <c r="L1718" i="5"/>
  <c r="P1718" i="5" s="1"/>
  <c r="O1721" i="5"/>
  <c r="O1715" i="5"/>
  <c r="L1719" i="5"/>
  <c r="P1719" i="5" s="1"/>
  <c r="L1698" i="5"/>
  <c r="P1698" i="5" s="1"/>
  <c r="L1707" i="5"/>
  <c r="P1707" i="5" s="1"/>
  <c r="I1709" i="5"/>
  <c r="I1710" i="5"/>
  <c r="S1700" i="5"/>
  <c r="W1700" i="5"/>
  <c r="M103" i="40" s="1"/>
  <c r="AA1700" i="5"/>
  <c r="F1710" i="5"/>
  <c r="F1709" i="5"/>
  <c r="O1698" i="5"/>
  <c r="O1628" i="5"/>
  <c r="L1624" i="5"/>
  <c r="P1624" i="5" s="1"/>
  <c r="O1629" i="5"/>
  <c r="L1626" i="5"/>
  <c r="P1626" i="5" s="1"/>
  <c r="S1615" i="5"/>
  <c r="W1615" i="5"/>
  <c r="AV75" i="40" s="1"/>
  <c r="L1610" i="5"/>
  <c r="P1610" i="5" s="1"/>
  <c r="O1616" i="5"/>
  <c r="L1614" i="5"/>
  <c r="P1614" i="5" s="1"/>
  <c r="O1618" i="5"/>
  <c r="O1540" i="5"/>
  <c r="E1534" i="5"/>
  <c r="D1539" i="5"/>
  <c r="E1539" i="5" s="1"/>
  <c r="H1545" i="5"/>
  <c r="H1544" i="5"/>
  <c r="AA1536" i="5" s="1"/>
  <c r="D1541" i="5"/>
  <c r="E1541" i="5" s="1"/>
  <c r="O1534" i="5"/>
  <c r="W1538" i="5"/>
  <c r="AH90" i="40" s="1"/>
  <c r="AA1538" i="5"/>
  <c r="L1780" i="5"/>
  <c r="L1776" i="5"/>
  <c r="O1778" i="5"/>
  <c r="F1785" i="5"/>
  <c r="F1784" i="5"/>
  <c r="O1780" i="5"/>
  <c r="L1773" i="5"/>
  <c r="D1776" i="5"/>
  <c r="D1691" i="5"/>
  <c r="H1694" i="5"/>
  <c r="AA1686" i="5" s="1"/>
  <c r="H1695" i="5"/>
  <c r="O1685" i="5"/>
  <c r="L1689" i="5"/>
  <c r="S1690" i="5"/>
  <c r="W1690" i="5"/>
  <c r="AV94" i="40" s="1"/>
  <c r="L1684" i="5"/>
  <c r="O1686" i="5"/>
  <c r="L1598" i="5"/>
  <c r="L1597" i="5"/>
  <c r="O1601" i="5"/>
  <c r="D1600" i="5"/>
  <c r="D1602" i="5"/>
  <c r="D1597" i="5"/>
  <c r="E1597" i="5" s="1"/>
  <c r="E1759" i="5"/>
  <c r="D1763" i="5"/>
  <c r="D1767" i="5"/>
  <c r="E1767" i="5" s="1"/>
  <c r="L1765" i="5"/>
  <c r="D1745" i="5"/>
  <c r="E1745" i="5" s="1"/>
  <c r="O1746" i="5"/>
  <c r="L1753" i="5"/>
  <c r="O1749" i="5"/>
  <c r="O1668" i="5"/>
  <c r="L1676" i="5"/>
  <c r="O1673" i="5"/>
  <c r="L1669" i="5"/>
  <c r="D1671" i="5"/>
  <c r="E1671" i="5" s="1"/>
  <c r="O1674" i="5"/>
  <c r="W1656" i="5"/>
  <c r="T101" i="40" s="1"/>
  <c r="S1656" i="5"/>
  <c r="D1662" i="5"/>
  <c r="O1658" i="5"/>
  <c r="L1653" i="5"/>
  <c r="D1656" i="5"/>
  <c r="E1656" i="5" s="1"/>
  <c r="L1662" i="5"/>
  <c r="I1589" i="5"/>
  <c r="I1590" i="5"/>
  <c r="W1580" i="5"/>
  <c r="M110" i="40" s="1"/>
  <c r="S1580" i="5"/>
  <c r="AA1580" i="5"/>
  <c r="L1582" i="5"/>
  <c r="F1590" i="5"/>
  <c r="F1589" i="5"/>
  <c r="W1585" i="5"/>
  <c r="AV110" i="40" s="1"/>
  <c r="S1585" i="5"/>
  <c r="O1585" i="5"/>
  <c r="D1584" i="5"/>
  <c r="L1571" i="5"/>
  <c r="L1565" i="5"/>
  <c r="O1571" i="5"/>
  <c r="D1573" i="5"/>
  <c r="D1520" i="5"/>
  <c r="E1520" i="5" s="1"/>
  <c r="E1519" i="5"/>
  <c r="L1518" i="5"/>
  <c r="D1521" i="5"/>
  <c r="E1521" i="5" s="1"/>
  <c r="D1524" i="5"/>
  <c r="E1524" i="5" s="1"/>
  <c r="L1523" i="5"/>
  <c r="L1522" i="5"/>
  <c r="I1529" i="5"/>
  <c r="I1530" i="5"/>
  <c r="S1520" i="5"/>
  <c r="W1520" i="5"/>
  <c r="M99" i="40" s="1"/>
  <c r="AA1520" i="5"/>
  <c r="F1530" i="5"/>
  <c r="F1529" i="5"/>
  <c r="L1527" i="5"/>
  <c r="O1473" i="5"/>
  <c r="L1481" i="5"/>
  <c r="O1478" i="5"/>
  <c r="L1474" i="5"/>
  <c r="D1476" i="5"/>
  <c r="E1476" i="5" s="1"/>
  <c r="O1479" i="5"/>
  <c r="L1476" i="5"/>
  <c r="D1481" i="5"/>
  <c r="E1481" i="5" s="1"/>
  <c r="O1459" i="5"/>
  <c r="O1465" i="5"/>
  <c r="E1459" i="5"/>
  <c r="O1467" i="5"/>
  <c r="D1463" i="5"/>
  <c r="D1466" i="5"/>
  <c r="E1466" i="5" s="1"/>
  <c r="L1463" i="5"/>
  <c r="L1462" i="5"/>
  <c r="F1394" i="5"/>
  <c r="F1395" i="5"/>
  <c r="S1390" i="5"/>
  <c r="W1390" i="5"/>
  <c r="AV88" i="40" s="1"/>
  <c r="O1390" i="5"/>
  <c r="D1389" i="5"/>
  <c r="O1368" i="5"/>
  <c r="D1375" i="5"/>
  <c r="E1375" i="5" s="1"/>
  <c r="O1372" i="5"/>
  <c r="L1375" i="5"/>
  <c r="H1380" i="5"/>
  <c r="H1379" i="5"/>
  <c r="AA1371" i="5" s="1"/>
  <c r="O1295" i="5"/>
  <c r="L1299" i="5"/>
  <c r="D1300" i="5"/>
  <c r="E1300" i="5" s="1"/>
  <c r="L1293" i="5"/>
  <c r="O1297" i="5"/>
  <c r="D1303" i="5"/>
  <c r="L1303" i="5"/>
  <c r="S1285" i="5"/>
  <c r="W1285" i="5"/>
  <c r="AV86" i="40" s="1"/>
  <c r="L1284" i="5"/>
  <c r="O1288" i="5"/>
  <c r="L1279" i="5"/>
  <c r="D1282" i="5"/>
  <c r="D1284" i="5"/>
  <c r="E1284" i="5" s="1"/>
  <c r="L1281" i="5"/>
  <c r="D1205" i="5"/>
  <c r="E1205" i="5" s="1"/>
  <c r="O1213" i="5"/>
  <c r="O1206" i="5"/>
  <c r="L1212" i="5"/>
  <c r="D1190" i="5"/>
  <c r="E1190" i="5" s="1"/>
  <c r="O1191" i="5"/>
  <c r="L1198" i="5"/>
  <c r="O1194" i="5"/>
  <c r="O1190" i="5"/>
  <c r="H1124" i="5"/>
  <c r="H1125" i="5"/>
  <c r="O1114" i="5"/>
  <c r="O1122" i="5"/>
  <c r="L1115" i="5"/>
  <c r="D1117" i="5"/>
  <c r="E1117" i="5" s="1"/>
  <c r="I1125" i="5"/>
  <c r="I1124" i="5"/>
  <c r="W1115" i="5"/>
  <c r="M119" i="40" s="1"/>
  <c r="S1115" i="5"/>
  <c r="AA1115" i="5"/>
  <c r="L1117" i="5"/>
  <c r="D1107" i="5"/>
  <c r="O1103" i="5"/>
  <c r="L1098" i="5"/>
  <c r="D1101" i="5"/>
  <c r="E1101" i="5" s="1"/>
  <c r="L1107" i="5"/>
  <c r="I1109" i="5"/>
  <c r="I1110" i="5"/>
  <c r="S1100" i="5"/>
  <c r="W1100" i="5"/>
  <c r="M109" i="40" s="1"/>
  <c r="AA1100" i="5"/>
  <c r="F1109" i="5"/>
  <c r="F1110" i="5"/>
  <c r="E1024" i="5"/>
  <c r="D1028" i="5"/>
  <c r="D1032" i="5"/>
  <c r="E1032" i="5" s="1"/>
  <c r="L1030" i="5"/>
  <c r="L1028" i="5"/>
  <c r="O1031" i="5"/>
  <c r="O1009" i="5"/>
  <c r="O1015" i="5"/>
  <c r="E1009" i="5"/>
  <c r="O1017" i="5"/>
  <c r="D1013" i="5"/>
  <c r="D1016" i="5"/>
  <c r="E1016" i="5" s="1"/>
  <c r="L1013" i="5"/>
  <c r="L1012" i="5"/>
  <c r="O1510" i="5"/>
  <c r="L1503" i="5"/>
  <c r="D1506" i="5"/>
  <c r="L1512" i="5"/>
  <c r="D1513" i="5"/>
  <c r="I1514" i="5"/>
  <c r="I1515" i="5"/>
  <c r="W1505" i="5"/>
  <c r="M71" i="40" s="1"/>
  <c r="S1505" i="5"/>
  <c r="AA1505" i="5"/>
  <c r="O1503" i="5"/>
  <c r="W1506" i="5"/>
  <c r="T71" i="40" s="1"/>
  <c r="S1506" i="5"/>
  <c r="D1445" i="5"/>
  <c r="E1445" i="5" s="1"/>
  <c r="L1445" i="5"/>
  <c r="L1448" i="5"/>
  <c r="L1447" i="5"/>
  <c r="O1451" i="5"/>
  <c r="O1360" i="5"/>
  <c r="L1353" i="5"/>
  <c r="D1356" i="5"/>
  <c r="L1362" i="5"/>
  <c r="D1363" i="5"/>
  <c r="I1364" i="5"/>
  <c r="I1365" i="5"/>
  <c r="W1355" i="5"/>
  <c r="M100" i="40" s="1"/>
  <c r="S1355" i="5"/>
  <c r="AA1355" i="5"/>
  <c r="O1353" i="5"/>
  <c r="W1356" i="5"/>
  <c r="T100" i="40" s="1"/>
  <c r="S1356" i="5"/>
  <c r="S1270" i="5"/>
  <c r="W1270" i="5"/>
  <c r="AV85" i="40" s="1"/>
  <c r="L1264" i="5"/>
  <c r="O1266" i="5"/>
  <c r="L1273" i="5"/>
  <c r="D1269" i="5"/>
  <c r="E1269" i="5" s="1"/>
  <c r="E1264" i="5"/>
  <c r="L1271" i="5"/>
  <c r="D1177" i="5"/>
  <c r="E1177" i="5" s="1"/>
  <c r="O1179" i="5"/>
  <c r="O1174" i="5"/>
  <c r="O1092" i="5"/>
  <c r="D1088" i="5"/>
  <c r="O1087" i="5"/>
  <c r="L1090" i="5"/>
  <c r="L1086" i="5"/>
  <c r="O1088" i="5"/>
  <c r="F1095" i="5"/>
  <c r="F1094" i="5"/>
  <c r="L1430" i="5"/>
  <c r="D1432" i="5"/>
  <c r="I1439" i="5"/>
  <c r="I1440" i="5"/>
  <c r="W1430" i="5"/>
  <c r="M120" i="40" s="1"/>
  <c r="S1430" i="5"/>
  <c r="AA1430" i="5"/>
  <c r="L1432" i="5"/>
  <c r="F1440" i="5"/>
  <c r="F1439" i="5"/>
  <c r="S1435" i="5"/>
  <c r="W1435" i="5"/>
  <c r="AV120" i="40" s="1"/>
  <c r="O1435" i="5"/>
  <c r="O1421" i="5"/>
  <c r="D1423" i="5"/>
  <c r="W1420" i="5"/>
  <c r="AV72" i="40" s="1"/>
  <c r="S1420" i="5"/>
  <c r="L1419" i="5"/>
  <c r="O1423" i="5"/>
  <c r="L1414" i="5"/>
  <c r="L1345" i="5"/>
  <c r="L1343" i="5"/>
  <c r="O1346" i="5"/>
  <c r="O1340" i="5"/>
  <c r="L1344" i="5"/>
  <c r="D1331" i="5"/>
  <c r="L1328" i="5"/>
  <c r="L1327" i="5"/>
  <c r="D1325" i="5"/>
  <c r="E1325" i="5" s="1"/>
  <c r="O1326" i="5"/>
  <c r="L1249" i="5"/>
  <c r="D1251" i="5"/>
  <c r="O1254" i="5"/>
  <c r="L1251" i="5"/>
  <c r="D1256" i="5"/>
  <c r="E1256" i="5" s="1"/>
  <c r="D1250" i="5"/>
  <c r="E1250" i="5" s="1"/>
  <c r="O1258" i="5"/>
  <c r="L1240" i="5"/>
  <c r="H1244" i="5"/>
  <c r="AA1236" i="5" s="1"/>
  <c r="H1245" i="5"/>
  <c r="W1236" i="5"/>
  <c r="T93" i="40" s="1"/>
  <c r="S1236" i="5"/>
  <c r="D1242" i="5"/>
  <c r="O1238" i="5"/>
  <c r="D1240" i="5"/>
  <c r="L1233" i="5"/>
  <c r="D1164" i="5"/>
  <c r="E1164" i="5" s="1"/>
  <c r="H1169" i="5"/>
  <c r="S1161" i="5" s="1"/>
  <c r="H1170" i="5"/>
  <c r="O1159" i="5"/>
  <c r="D1160" i="5"/>
  <c r="E1160" i="5" s="1"/>
  <c r="O1167" i="5"/>
  <c r="D1149" i="5"/>
  <c r="L1146" i="5"/>
  <c r="L1151" i="5"/>
  <c r="L1145" i="5"/>
  <c r="L1068" i="5"/>
  <c r="O1072" i="5"/>
  <c r="D1078" i="5"/>
  <c r="L1078" i="5"/>
  <c r="E1069" i="5"/>
  <c r="D1073" i="5"/>
  <c r="L1063" i="5"/>
  <c r="O1059" i="5"/>
  <c r="O1055" i="5"/>
  <c r="O1054" i="5"/>
  <c r="O1060" i="5"/>
  <c r="E1054" i="5"/>
  <c r="O1062" i="5"/>
  <c r="D1058" i="5"/>
  <c r="L1491" i="5"/>
  <c r="O1490" i="5"/>
  <c r="L1494" i="5"/>
  <c r="O1495" i="5"/>
  <c r="L1488" i="5"/>
  <c r="D1491" i="5"/>
  <c r="L1497" i="5"/>
  <c r="H1409" i="5"/>
  <c r="S1401" i="5" s="1"/>
  <c r="H1410" i="5"/>
  <c r="O1400" i="5"/>
  <c r="L1404" i="5"/>
  <c r="S1405" i="5"/>
  <c r="W1405" i="5"/>
  <c r="AV111" i="40" s="1"/>
  <c r="L1399" i="5"/>
  <c r="O1401" i="5"/>
  <c r="L1408" i="5"/>
  <c r="L1313" i="5"/>
  <c r="L1312" i="5"/>
  <c r="O1316" i="5"/>
  <c r="D1315" i="5"/>
  <c r="D1312" i="5"/>
  <c r="E1312" i="5" s="1"/>
  <c r="D1228" i="5"/>
  <c r="I1229" i="5"/>
  <c r="I1230" i="5"/>
  <c r="W1220" i="5"/>
  <c r="M76" i="40" s="1"/>
  <c r="S1220" i="5"/>
  <c r="AA1220" i="5"/>
  <c r="O1218" i="5"/>
  <c r="W1221" i="5"/>
  <c r="T76" i="40" s="1"/>
  <c r="S1221" i="5"/>
  <c r="O1227" i="5"/>
  <c r="D1223" i="5"/>
  <c r="O1222" i="5"/>
  <c r="L1225" i="5"/>
  <c r="D1134" i="5"/>
  <c r="E1134" i="5" s="1"/>
  <c r="E1129" i="5"/>
  <c r="L1136" i="5"/>
  <c r="O1138" i="5"/>
  <c r="D1136" i="5"/>
  <c r="E1136" i="5" s="1"/>
  <c r="O1044" i="5"/>
  <c r="O1039" i="5"/>
  <c r="S1043" i="5"/>
  <c r="W1043" i="5"/>
  <c r="AH83" i="40" s="1"/>
  <c r="AA1043" i="5"/>
  <c r="D1047" i="5"/>
  <c r="E1047" i="5" s="1"/>
  <c r="D1040" i="5"/>
  <c r="E1040" i="5" s="1"/>
  <c r="L1040" i="5"/>
  <c r="O980" i="5"/>
  <c r="L984" i="5"/>
  <c r="D985" i="5"/>
  <c r="E985" i="5" s="1"/>
  <c r="L978" i="5"/>
  <c r="O982" i="5"/>
  <c r="D988" i="5"/>
  <c r="L988" i="5"/>
  <c r="D965" i="5"/>
  <c r="E965" i="5" s="1"/>
  <c r="O966" i="5"/>
  <c r="L973" i="5"/>
  <c r="O969" i="5"/>
  <c r="O965" i="5"/>
  <c r="H899" i="5"/>
  <c r="AA891" i="5" s="1"/>
  <c r="H900" i="5"/>
  <c r="O889" i="5"/>
  <c r="O897" i="5"/>
  <c r="L890" i="5"/>
  <c r="D892" i="5"/>
  <c r="E892" i="5" s="1"/>
  <c r="I899" i="5"/>
  <c r="I900" i="5"/>
  <c r="W890" i="5"/>
  <c r="S890" i="5"/>
  <c r="M51" i="40" s="1"/>
  <c r="AA890" i="5"/>
  <c r="L892" i="5"/>
  <c r="L881" i="5"/>
  <c r="L875" i="5"/>
  <c r="O881" i="5"/>
  <c r="D883" i="5"/>
  <c r="O798" i="5"/>
  <c r="L806" i="5"/>
  <c r="O803" i="5"/>
  <c r="L799" i="5"/>
  <c r="D801" i="5"/>
  <c r="E801" i="5" s="1"/>
  <c r="O804" i="5"/>
  <c r="L801" i="5"/>
  <c r="D806" i="5"/>
  <c r="E806" i="5" s="1"/>
  <c r="O783" i="5"/>
  <c r="D790" i="5"/>
  <c r="E790" i="5" s="1"/>
  <c r="O787" i="5"/>
  <c r="L790" i="5"/>
  <c r="H794" i="5"/>
  <c r="S786" i="5" s="1"/>
  <c r="T68" i="40" s="1"/>
  <c r="H795" i="5"/>
  <c r="O710" i="5"/>
  <c r="L714" i="5"/>
  <c r="D715" i="5"/>
  <c r="E715" i="5" s="1"/>
  <c r="L708" i="5"/>
  <c r="O712" i="5"/>
  <c r="D718" i="5"/>
  <c r="L718" i="5"/>
  <c r="D695" i="5"/>
  <c r="E695" i="5" s="1"/>
  <c r="O696" i="5"/>
  <c r="L703" i="5"/>
  <c r="O699" i="5"/>
  <c r="O695" i="5"/>
  <c r="H629" i="5"/>
  <c r="AA621" i="5" s="1"/>
  <c r="H630" i="5"/>
  <c r="O619" i="5"/>
  <c r="O627" i="5"/>
  <c r="L620" i="5"/>
  <c r="D622" i="5"/>
  <c r="E622" i="5" s="1"/>
  <c r="I629" i="5"/>
  <c r="I630" i="5"/>
  <c r="S620" i="5"/>
  <c r="M15" i="40" s="1"/>
  <c r="W620" i="5"/>
  <c r="AA620" i="5"/>
  <c r="L622" i="5"/>
  <c r="L611" i="5"/>
  <c r="P611" i="5" s="1"/>
  <c r="L605" i="5"/>
  <c r="O611" i="5"/>
  <c r="D613" i="5"/>
  <c r="O528" i="5"/>
  <c r="L536" i="5"/>
  <c r="O533" i="5"/>
  <c r="L529" i="5"/>
  <c r="D531" i="5"/>
  <c r="E531" i="5" s="1"/>
  <c r="O534" i="5"/>
  <c r="L531" i="5"/>
  <c r="D536" i="5"/>
  <c r="E536" i="5" s="1"/>
  <c r="O513" i="5"/>
  <c r="D520" i="5"/>
  <c r="E520" i="5" s="1"/>
  <c r="O517" i="5"/>
  <c r="L520" i="5"/>
  <c r="H524" i="5"/>
  <c r="AA516" i="5" s="1"/>
  <c r="H525" i="5"/>
  <c r="D952" i="5"/>
  <c r="E952" i="5" s="1"/>
  <c r="O954" i="5"/>
  <c r="O949" i="5"/>
  <c r="D862" i="5"/>
  <c r="E862" i="5" s="1"/>
  <c r="O864" i="5"/>
  <c r="O859" i="5"/>
  <c r="D772" i="5"/>
  <c r="E772" i="5" s="1"/>
  <c r="O774" i="5"/>
  <c r="O769" i="5"/>
  <c r="D682" i="5"/>
  <c r="E682" i="5" s="1"/>
  <c r="O684" i="5"/>
  <c r="O679" i="5"/>
  <c r="D592" i="5"/>
  <c r="E592" i="5" s="1"/>
  <c r="O594" i="5"/>
  <c r="O589" i="5"/>
  <c r="D502" i="5"/>
  <c r="E502" i="5" s="1"/>
  <c r="O504" i="5"/>
  <c r="O499" i="5"/>
  <c r="O936" i="5"/>
  <c r="L942" i="5"/>
  <c r="O933" i="5"/>
  <c r="L941" i="5"/>
  <c r="O938" i="5"/>
  <c r="O926" i="5"/>
  <c r="D928" i="5"/>
  <c r="S925" i="5"/>
  <c r="AV12" i="40" s="1"/>
  <c r="W925" i="5"/>
  <c r="L924" i="5"/>
  <c r="O928" i="5"/>
  <c r="L919" i="5"/>
  <c r="L850" i="5"/>
  <c r="L848" i="5"/>
  <c r="O851" i="5"/>
  <c r="O845" i="5"/>
  <c r="L849" i="5"/>
  <c r="L835" i="5"/>
  <c r="H839" i="5"/>
  <c r="AA831" i="5" s="1"/>
  <c r="H840" i="5"/>
  <c r="S831" i="5"/>
  <c r="T13" i="40" s="1"/>
  <c r="W831" i="5"/>
  <c r="D837" i="5"/>
  <c r="O833" i="5"/>
  <c r="D835" i="5"/>
  <c r="L828" i="5"/>
  <c r="D759" i="5"/>
  <c r="E759" i="5" s="1"/>
  <c r="H764" i="5"/>
  <c r="AA756" i="5" s="1"/>
  <c r="H765" i="5"/>
  <c r="O754" i="5"/>
  <c r="D755" i="5"/>
  <c r="E755" i="5" s="1"/>
  <c r="O762" i="5"/>
  <c r="L748" i="5"/>
  <c r="O744" i="5"/>
  <c r="O740" i="5"/>
  <c r="O739" i="5"/>
  <c r="O745" i="5"/>
  <c r="E739" i="5"/>
  <c r="O747" i="5"/>
  <c r="D743" i="5"/>
  <c r="O666" i="5"/>
  <c r="L672" i="5"/>
  <c r="O663" i="5"/>
  <c r="L671" i="5"/>
  <c r="O668" i="5"/>
  <c r="O656" i="5"/>
  <c r="D658" i="5"/>
  <c r="S655" i="5"/>
  <c r="AV7" i="40" s="1"/>
  <c r="W655" i="5"/>
  <c r="L654" i="5"/>
  <c r="O658" i="5"/>
  <c r="L649" i="5"/>
  <c r="L580" i="5"/>
  <c r="L578" i="5"/>
  <c r="O581" i="5"/>
  <c r="O575" i="5"/>
  <c r="L579" i="5"/>
  <c r="L565" i="5"/>
  <c r="H569" i="5"/>
  <c r="AA561" i="5" s="1"/>
  <c r="H570" i="5"/>
  <c r="W561" i="5"/>
  <c r="D567" i="5"/>
  <c r="O563" i="5"/>
  <c r="D565" i="5"/>
  <c r="L558" i="5"/>
  <c r="D489" i="5"/>
  <c r="E489" i="5" s="1"/>
  <c r="H494" i="5"/>
  <c r="AA486" i="5" s="1"/>
  <c r="H495" i="5"/>
  <c r="O484" i="5"/>
  <c r="D485" i="5"/>
  <c r="E485" i="5" s="1"/>
  <c r="O492" i="5"/>
  <c r="L478" i="5"/>
  <c r="O474" i="5"/>
  <c r="O470" i="5"/>
  <c r="O469" i="5"/>
  <c r="O475" i="5"/>
  <c r="E469" i="5"/>
  <c r="O477" i="5"/>
  <c r="D473" i="5"/>
  <c r="S1000" i="5"/>
  <c r="AV14" i="40" s="1"/>
  <c r="W1000" i="5"/>
  <c r="L994" i="5"/>
  <c r="D995" i="5"/>
  <c r="E995" i="5" s="1"/>
  <c r="D998" i="5"/>
  <c r="O997" i="5"/>
  <c r="L1002" i="5"/>
  <c r="L997" i="5"/>
  <c r="O1001" i="5"/>
  <c r="L1001" i="5"/>
  <c r="P1001" i="5" s="1"/>
  <c r="O909" i="5"/>
  <c r="O904" i="5"/>
  <c r="D912" i="5"/>
  <c r="E912" i="5" s="1"/>
  <c r="D905" i="5"/>
  <c r="E905" i="5" s="1"/>
  <c r="L905" i="5"/>
  <c r="O819" i="5"/>
  <c r="O814" i="5"/>
  <c r="D822" i="5"/>
  <c r="E822" i="5" s="1"/>
  <c r="D815" i="5"/>
  <c r="E815" i="5" s="1"/>
  <c r="L815" i="5"/>
  <c r="O729" i="5"/>
  <c r="O724" i="5"/>
  <c r="D732" i="5"/>
  <c r="E732" i="5" s="1"/>
  <c r="D725" i="5"/>
  <c r="E725" i="5" s="1"/>
  <c r="L725" i="5"/>
  <c r="O639" i="5"/>
  <c r="O634" i="5"/>
  <c r="S638" i="5"/>
  <c r="AH5" i="40" s="1"/>
  <c r="W638" i="5"/>
  <c r="AA638" i="5"/>
  <c r="D642" i="5"/>
  <c r="E642" i="5" s="1"/>
  <c r="D635" i="5"/>
  <c r="E635" i="5" s="1"/>
  <c r="L635" i="5"/>
  <c r="O549" i="5"/>
  <c r="O544" i="5"/>
  <c r="D552" i="5"/>
  <c r="E552" i="5" s="1"/>
  <c r="D545" i="5"/>
  <c r="E545" i="5" s="1"/>
  <c r="L545" i="5"/>
  <c r="E409" i="5"/>
  <c r="L416" i="5"/>
  <c r="O418" i="5"/>
  <c r="D416" i="5"/>
  <c r="E416" i="5" s="1"/>
  <c r="H420" i="5"/>
  <c r="H419" i="5"/>
  <c r="AA411" i="5" s="1"/>
  <c r="E319" i="5"/>
  <c r="L326" i="5"/>
  <c r="O328" i="5"/>
  <c r="D326" i="5"/>
  <c r="E326" i="5" s="1"/>
  <c r="H330" i="5"/>
  <c r="H329" i="5"/>
  <c r="W321" i="5" s="1"/>
  <c r="E229" i="5"/>
  <c r="L236" i="5"/>
  <c r="O238" i="5"/>
  <c r="D236" i="5"/>
  <c r="E236" i="5" s="1"/>
  <c r="H240" i="5"/>
  <c r="H239" i="5"/>
  <c r="AA231" i="5" s="1"/>
  <c r="E139" i="5"/>
  <c r="L146" i="5"/>
  <c r="O148" i="5"/>
  <c r="D146" i="5"/>
  <c r="E146" i="5" s="1"/>
  <c r="H150" i="5"/>
  <c r="H149" i="5"/>
  <c r="W141" i="5" s="1"/>
  <c r="E49" i="5"/>
  <c r="L56" i="5"/>
  <c r="O58" i="5"/>
  <c r="D56" i="5"/>
  <c r="E56" i="5" s="1"/>
  <c r="H60" i="5"/>
  <c r="H59" i="5"/>
  <c r="W51" i="5" s="1"/>
  <c r="O402" i="5"/>
  <c r="L395" i="5"/>
  <c r="D397" i="5"/>
  <c r="I404" i="5"/>
  <c r="I405" i="5"/>
  <c r="S395" i="5"/>
  <c r="M47" i="40" s="1"/>
  <c r="W395" i="5"/>
  <c r="AA395" i="5"/>
  <c r="L397" i="5"/>
  <c r="F405" i="5"/>
  <c r="F404" i="5"/>
  <c r="S400" i="5"/>
  <c r="AV47" i="40" s="1"/>
  <c r="W400" i="5"/>
  <c r="L378" i="5"/>
  <c r="D381" i="5"/>
  <c r="L387" i="5"/>
  <c r="I389" i="5"/>
  <c r="I390" i="5"/>
  <c r="W380" i="5"/>
  <c r="S380" i="5"/>
  <c r="M4" i="40" s="1"/>
  <c r="AA380" i="5"/>
  <c r="F390" i="5"/>
  <c r="F389" i="5"/>
  <c r="O378" i="5"/>
  <c r="D385" i="5"/>
  <c r="E385" i="5" s="1"/>
  <c r="D387" i="5"/>
  <c r="O308" i="5"/>
  <c r="L304" i="5"/>
  <c r="D306" i="5"/>
  <c r="O309" i="5"/>
  <c r="L306" i="5"/>
  <c r="D311" i="5"/>
  <c r="E311" i="5" s="1"/>
  <c r="D305" i="5"/>
  <c r="E305" i="5" s="1"/>
  <c r="D293" i="5"/>
  <c r="D296" i="5"/>
  <c r="L293" i="5"/>
  <c r="L292" i="5"/>
  <c r="D290" i="5"/>
  <c r="E290" i="5" s="1"/>
  <c r="D220" i="5"/>
  <c r="E220" i="5" s="1"/>
  <c r="L213" i="5"/>
  <c r="O217" i="5"/>
  <c r="D223" i="5"/>
  <c r="L223" i="5"/>
  <c r="E214" i="5"/>
  <c r="L199" i="5"/>
  <c r="D202" i="5"/>
  <c r="D204" i="5"/>
  <c r="E204" i="5" s="1"/>
  <c r="L201" i="5"/>
  <c r="L206" i="5"/>
  <c r="O132" i="5"/>
  <c r="L125" i="5"/>
  <c r="D127" i="5"/>
  <c r="I134" i="5"/>
  <c r="I135" i="5"/>
  <c r="W125" i="5"/>
  <c r="S125" i="5"/>
  <c r="M35" i="40" s="1"/>
  <c r="AA125" i="5"/>
  <c r="L127" i="5"/>
  <c r="F135" i="5"/>
  <c r="F134" i="5"/>
  <c r="S130" i="5"/>
  <c r="AV35" i="40" s="1"/>
  <c r="W130" i="5"/>
  <c r="L108" i="5"/>
  <c r="D111" i="5"/>
  <c r="L117" i="5"/>
  <c r="I119" i="5"/>
  <c r="I120" i="5"/>
  <c r="S110" i="5"/>
  <c r="M42" i="40" s="1"/>
  <c r="W110" i="5"/>
  <c r="AA110" i="5"/>
  <c r="F120" i="5"/>
  <c r="F119" i="5"/>
  <c r="O108" i="5"/>
  <c r="D115" i="5"/>
  <c r="E115" i="5" s="1"/>
  <c r="D117" i="5"/>
  <c r="O38" i="5"/>
  <c r="L34" i="5"/>
  <c r="D36" i="5"/>
  <c r="E36" i="5" s="1"/>
  <c r="O39" i="5"/>
  <c r="L36" i="5"/>
  <c r="D41" i="5"/>
  <c r="E41" i="5" s="1"/>
  <c r="D35" i="5"/>
  <c r="E35" i="5" s="1"/>
  <c r="D23" i="5"/>
  <c r="D26" i="5"/>
  <c r="L23" i="5"/>
  <c r="L22" i="5"/>
  <c r="D20" i="5"/>
  <c r="E20" i="5" s="1"/>
  <c r="L458" i="5"/>
  <c r="L457" i="5"/>
  <c r="O458" i="5"/>
  <c r="F465" i="5"/>
  <c r="F464" i="5"/>
  <c r="D455" i="5"/>
  <c r="E455" i="5" s="1"/>
  <c r="W460" i="5"/>
  <c r="S460" i="5"/>
  <c r="AV3" i="40" s="1"/>
  <c r="L455" i="5"/>
  <c r="D371" i="5"/>
  <c r="H374" i="5"/>
  <c r="AA366" i="5" s="1"/>
  <c r="H375" i="5"/>
  <c r="O365" i="5"/>
  <c r="L369" i="5"/>
  <c r="W370" i="5"/>
  <c r="S370" i="5"/>
  <c r="AV55" i="40" s="1"/>
  <c r="L364" i="5"/>
  <c r="O366" i="5"/>
  <c r="D281" i="5"/>
  <c r="H284" i="5"/>
  <c r="AA276" i="5" s="1"/>
  <c r="H285" i="5"/>
  <c r="O275" i="5"/>
  <c r="L279" i="5"/>
  <c r="W280" i="5"/>
  <c r="S280" i="5"/>
  <c r="AV36" i="40" s="1"/>
  <c r="L274" i="5"/>
  <c r="O276" i="5"/>
  <c r="D191" i="5"/>
  <c r="H194" i="5"/>
  <c r="AA186" i="5" s="1"/>
  <c r="H195" i="5"/>
  <c r="O185" i="5"/>
  <c r="L189" i="5"/>
  <c r="W190" i="5"/>
  <c r="S190" i="5"/>
  <c r="AV10" i="40" s="1"/>
  <c r="L184" i="5"/>
  <c r="O186" i="5"/>
  <c r="D101" i="5"/>
  <c r="H104" i="5"/>
  <c r="AA96" i="5" s="1"/>
  <c r="H105" i="5"/>
  <c r="O95" i="5"/>
  <c r="L99" i="5"/>
  <c r="W100" i="5"/>
  <c r="S100" i="5"/>
  <c r="AV2" i="40" s="1"/>
  <c r="L94" i="5"/>
  <c r="O96" i="5"/>
  <c r="D11" i="5"/>
  <c r="H14" i="5"/>
  <c r="AA6" i="5" s="1"/>
  <c r="H15" i="5"/>
  <c r="O5" i="5"/>
  <c r="L9" i="5"/>
  <c r="W10" i="5"/>
  <c r="S10" i="5"/>
  <c r="AV65" i="40" s="1"/>
  <c r="L4" i="5"/>
  <c r="O6" i="5"/>
  <c r="E439" i="5"/>
  <c r="D443" i="5"/>
  <c r="D447" i="5"/>
  <c r="E447" i="5" s="1"/>
  <c r="L445" i="5"/>
  <c r="S426" i="5"/>
  <c r="T6" i="40" s="1"/>
  <c r="W426" i="5"/>
  <c r="D432" i="5"/>
  <c r="O428" i="5"/>
  <c r="L423" i="5"/>
  <c r="D426" i="5"/>
  <c r="E426" i="5" s="1"/>
  <c r="L432" i="5"/>
  <c r="I359" i="5"/>
  <c r="I360" i="5"/>
  <c r="W350" i="5"/>
  <c r="S350" i="5"/>
  <c r="M24" i="40" s="1"/>
  <c r="AA350" i="5"/>
  <c r="L352" i="5"/>
  <c r="F360" i="5"/>
  <c r="F359" i="5"/>
  <c r="S355" i="5"/>
  <c r="AV24" i="40" s="1"/>
  <c r="W355" i="5"/>
  <c r="O355" i="5"/>
  <c r="D354" i="5"/>
  <c r="O335" i="5"/>
  <c r="O334" i="5"/>
  <c r="O340" i="5"/>
  <c r="E334" i="5"/>
  <c r="O342" i="5"/>
  <c r="D338" i="5"/>
  <c r="D341" i="5"/>
  <c r="E341" i="5" s="1"/>
  <c r="L338" i="5"/>
  <c r="L337" i="5"/>
  <c r="L261" i="5"/>
  <c r="D266" i="5"/>
  <c r="D260" i="5"/>
  <c r="E260" i="5" s="1"/>
  <c r="O268" i="5"/>
  <c r="O261" i="5"/>
  <c r="L267" i="5"/>
  <c r="S250" i="5"/>
  <c r="AV28" i="40" s="1"/>
  <c r="W250" i="5"/>
  <c r="L249" i="5"/>
  <c r="O253" i="5"/>
  <c r="L244" i="5"/>
  <c r="D247" i="5"/>
  <c r="E247" i="5" s="1"/>
  <c r="D249" i="5"/>
  <c r="E249" i="5" s="1"/>
  <c r="L246" i="5"/>
  <c r="E169" i="5"/>
  <c r="D173" i="5"/>
  <c r="D177" i="5"/>
  <c r="E177" i="5" s="1"/>
  <c r="L175" i="5"/>
  <c r="W156" i="5"/>
  <c r="S156" i="5"/>
  <c r="T25" i="40" s="1"/>
  <c r="D162" i="5"/>
  <c r="O158" i="5"/>
  <c r="L153" i="5"/>
  <c r="D156" i="5"/>
  <c r="E156" i="5" s="1"/>
  <c r="L162" i="5"/>
  <c r="I89" i="5"/>
  <c r="I90" i="5"/>
  <c r="S80" i="5"/>
  <c r="M41" i="40" s="1"/>
  <c r="W80" i="5"/>
  <c r="AA80" i="5"/>
  <c r="L82" i="5"/>
  <c r="F90" i="5"/>
  <c r="F89" i="5"/>
  <c r="S85" i="5"/>
  <c r="AV41" i="40" s="1"/>
  <c r="W85" i="5"/>
  <c r="O85" i="5"/>
  <c r="D84" i="5"/>
  <c r="O65" i="5"/>
  <c r="O64" i="5"/>
  <c r="O70" i="5"/>
  <c r="E64" i="5"/>
  <c r="O72" i="5"/>
  <c r="D68" i="5"/>
  <c r="D71" i="5"/>
  <c r="E71" i="5" s="1"/>
  <c r="L68" i="5"/>
  <c r="L67" i="5"/>
  <c r="O1539" i="5"/>
  <c r="L1536" i="5"/>
  <c r="P1536" i="5" s="1"/>
  <c r="D1781" i="5"/>
  <c r="H1784" i="5"/>
  <c r="S1776" i="5" s="1"/>
  <c r="H1785" i="5"/>
  <c r="O1775" i="5"/>
  <c r="L1779" i="5"/>
  <c r="S1780" i="5"/>
  <c r="W1780" i="5"/>
  <c r="AV98" i="40" s="1"/>
  <c r="L1774" i="5"/>
  <c r="O1776" i="5"/>
  <c r="L1688" i="5"/>
  <c r="L1687" i="5"/>
  <c r="O1691" i="5"/>
  <c r="D1690" i="5"/>
  <c r="D1692" i="5"/>
  <c r="E1692" i="5" s="1"/>
  <c r="L1602" i="5"/>
  <c r="D1603" i="5"/>
  <c r="I1604" i="5"/>
  <c r="I1605" i="5"/>
  <c r="S1595" i="5"/>
  <c r="W1595" i="5"/>
  <c r="M80" i="40" s="1"/>
  <c r="AA1595" i="5"/>
  <c r="O1593" i="5"/>
  <c r="E1594" i="5"/>
  <c r="O1602" i="5"/>
  <c r="O1597" i="5"/>
  <c r="D1761" i="5"/>
  <c r="E1761" i="5" s="1"/>
  <c r="H1769" i="5"/>
  <c r="S1761" i="5" s="1"/>
  <c r="H1770" i="5"/>
  <c r="O1759" i="5"/>
  <c r="S1763" i="5"/>
  <c r="W1763" i="5"/>
  <c r="AH92" i="40" s="1"/>
  <c r="AA1763" i="5"/>
  <c r="O1767" i="5"/>
  <c r="L1760" i="5"/>
  <c r="D1762" i="5"/>
  <c r="E1762" i="5" s="1"/>
  <c r="W1750" i="5"/>
  <c r="AV124" i="40" s="1"/>
  <c r="S1750" i="5"/>
  <c r="L1749" i="5"/>
  <c r="P1749" i="5" s="1"/>
  <c r="O1753" i="5"/>
  <c r="L1744" i="5"/>
  <c r="D1747" i="5"/>
  <c r="E1747" i="5" s="1"/>
  <c r="D1749" i="5"/>
  <c r="E1749" i="5" s="1"/>
  <c r="L1746" i="5"/>
  <c r="P1746" i="5" s="1"/>
  <c r="E1669" i="5"/>
  <c r="D1673" i="5"/>
  <c r="D1677" i="5"/>
  <c r="L1675" i="5"/>
  <c r="O1656" i="5"/>
  <c r="L1663" i="5"/>
  <c r="O1659" i="5"/>
  <c r="O1578" i="5"/>
  <c r="W1581" i="5"/>
  <c r="T110" i="40" s="1"/>
  <c r="S1581" i="5"/>
  <c r="L1586" i="5"/>
  <c r="O1583" i="5"/>
  <c r="L1579" i="5"/>
  <c r="D1581" i="5"/>
  <c r="O1584" i="5"/>
  <c r="W1566" i="5"/>
  <c r="T82" i="40" s="1"/>
  <c r="S1566" i="5"/>
  <c r="D1572" i="5"/>
  <c r="O1568" i="5"/>
  <c r="L1563" i="5"/>
  <c r="D1566" i="5"/>
  <c r="E1566" i="5" s="1"/>
  <c r="L1572" i="5"/>
  <c r="S1525" i="5"/>
  <c r="W1525" i="5"/>
  <c r="AV99" i="40" s="1"/>
  <c r="L1524" i="5"/>
  <c r="O1521" i="5"/>
  <c r="L1525" i="5"/>
  <c r="O1520" i="5"/>
  <c r="L1528" i="5"/>
  <c r="O1528" i="5"/>
  <c r="E1474" i="5"/>
  <c r="D1478" i="5"/>
  <c r="D1482" i="5"/>
  <c r="E1482" i="5" s="1"/>
  <c r="L1480" i="5"/>
  <c r="L1478" i="5"/>
  <c r="P1478" i="5" s="1"/>
  <c r="O1481" i="5"/>
  <c r="L1466" i="5"/>
  <c r="P1466" i="5" s="1"/>
  <c r="S1465" i="5"/>
  <c r="W1465" i="5"/>
  <c r="AV102" i="40" s="1"/>
  <c r="L1460" i="5"/>
  <c r="D1462" i="5"/>
  <c r="O1466" i="5"/>
  <c r="D1468" i="5"/>
  <c r="O1383" i="5"/>
  <c r="L1391" i="5"/>
  <c r="O1388" i="5"/>
  <c r="L1384" i="5"/>
  <c r="O1389" i="5"/>
  <c r="L1386" i="5"/>
  <c r="D1391" i="5"/>
  <c r="O1369" i="5"/>
  <c r="O1375" i="5"/>
  <c r="E1369" i="5"/>
  <c r="O1377" i="5"/>
  <c r="D1376" i="5"/>
  <c r="E1376" i="5" s="1"/>
  <c r="L1373" i="5"/>
  <c r="L1372" i="5"/>
  <c r="P1372" i="5" s="1"/>
  <c r="F1304" i="5"/>
  <c r="F1305" i="5"/>
  <c r="S1300" i="5"/>
  <c r="W1300" i="5"/>
  <c r="AV115" i="40" s="1"/>
  <c r="O1300" i="5"/>
  <c r="O1278" i="5"/>
  <c r="D1285" i="5"/>
  <c r="E1285" i="5" s="1"/>
  <c r="O1282" i="5"/>
  <c r="D1281" i="5"/>
  <c r="L1285" i="5"/>
  <c r="H1290" i="5"/>
  <c r="H1289" i="5"/>
  <c r="AA1281" i="5" s="1"/>
  <c r="O1205" i="5"/>
  <c r="L1209" i="5"/>
  <c r="D1210" i="5"/>
  <c r="E1210" i="5" s="1"/>
  <c r="L1203" i="5"/>
  <c r="O1207" i="5"/>
  <c r="D1213" i="5"/>
  <c r="L1213" i="5"/>
  <c r="D1209" i="5"/>
  <c r="S1195" i="5"/>
  <c r="W1195" i="5"/>
  <c r="AV97" i="40" s="1"/>
  <c r="L1194" i="5"/>
  <c r="P1194" i="5" s="1"/>
  <c r="O1198" i="5"/>
  <c r="L1189" i="5"/>
  <c r="D1192" i="5"/>
  <c r="D1194" i="5"/>
  <c r="E1194" i="5" s="1"/>
  <c r="L1191" i="5"/>
  <c r="P1191" i="5" s="1"/>
  <c r="O1123" i="5"/>
  <c r="O1116" i="5"/>
  <c r="L1122" i="5"/>
  <c r="P1122" i="5" s="1"/>
  <c r="O1101" i="5"/>
  <c r="L1108" i="5"/>
  <c r="O1104" i="5"/>
  <c r="O1100" i="5"/>
  <c r="H1034" i="5"/>
  <c r="AA1026" i="5" s="1"/>
  <c r="H1035" i="5"/>
  <c r="O1024" i="5"/>
  <c r="O1032" i="5"/>
  <c r="L1025" i="5"/>
  <c r="I1035" i="5"/>
  <c r="I1034" i="5"/>
  <c r="S1025" i="5"/>
  <c r="M70" i="40" s="1"/>
  <c r="W1025" i="5"/>
  <c r="AA1025" i="5"/>
  <c r="L1027" i="5"/>
  <c r="L1016" i="5"/>
  <c r="P1016" i="5" s="1"/>
  <c r="S1015" i="5"/>
  <c r="AV29" i="40" s="1"/>
  <c r="W1015" i="5"/>
  <c r="L1010" i="5"/>
  <c r="D1012" i="5"/>
  <c r="O1016" i="5"/>
  <c r="D1018" i="5"/>
  <c r="S1510" i="5"/>
  <c r="W1510" i="5"/>
  <c r="AV71" i="40" s="1"/>
  <c r="L1504" i="5"/>
  <c r="O1506" i="5"/>
  <c r="L1513" i="5"/>
  <c r="D1509" i="5"/>
  <c r="E1504" i="5"/>
  <c r="L1511" i="5"/>
  <c r="O1450" i="5"/>
  <c r="L1443" i="5"/>
  <c r="D1446" i="5"/>
  <c r="E1446" i="5" s="1"/>
  <c r="L1452" i="5"/>
  <c r="D1453" i="5"/>
  <c r="I1454" i="5"/>
  <c r="I1455" i="5"/>
  <c r="W1445" i="5"/>
  <c r="M74" i="40" s="1"/>
  <c r="S1445" i="5"/>
  <c r="AA1445" i="5"/>
  <c r="O1443" i="5"/>
  <c r="S1446" i="5"/>
  <c r="W1446" i="5"/>
  <c r="T74" i="40" s="1"/>
  <c r="S1360" i="5"/>
  <c r="W1360" i="5"/>
  <c r="AV100" i="40" s="1"/>
  <c r="L1354" i="5"/>
  <c r="O1356" i="5"/>
  <c r="L1363" i="5"/>
  <c r="D1359" i="5"/>
  <c r="E1354" i="5"/>
  <c r="L1361" i="5"/>
  <c r="D1267" i="5"/>
  <c r="E1267" i="5" s="1"/>
  <c r="O1269" i="5"/>
  <c r="O1264" i="5"/>
  <c r="O1182" i="5"/>
  <c r="O1177" i="5"/>
  <c r="L1180" i="5"/>
  <c r="L1176" i="5"/>
  <c r="O1178" i="5"/>
  <c r="F1185" i="5"/>
  <c r="F1184" i="5"/>
  <c r="O1093" i="5"/>
  <c r="D1091" i="5"/>
  <c r="E1091" i="5" s="1"/>
  <c r="H1094" i="5"/>
  <c r="AA1086" i="5" s="1"/>
  <c r="H1095" i="5"/>
  <c r="O1085" i="5"/>
  <c r="L1089" i="5"/>
  <c r="O1431" i="5"/>
  <c r="L1437" i="5"/>
  <c r="O1428" i="5"/>
  <c r="S1431" i="5"/>
  <c r="W1431" i="5"/>
  <c r="T120" i="40" s="1"/>
  <c r="L1436" i="5"/>
  <c r="O1433" i="5"/>
  <c r="L1422" i="5"/>
  <c r="I1424" i="5"/>
  <c r="I1425" i="5"/>
  <c r="S1415" i="5"/>
  <c r="W1415" i="5"/>
  <c r="M72" i="40" s="1"/>
  <c r="AA1415" i="5"/>
  <c r="F1425" i="5"/>
  <c r="F1424" i="5"/>
  <c r="O1413" i="5"/>
  <c r="D1420" i="5"/>
  <c r="E1420" i="5" s="1"/>
  <c r="D1422" i="5"/>
  <c r="O1417" i="5"/>
  <c r="L1340" i="5"/>
  <c r="P1340" i="5" s="1"/>
  <c r="I1349" i="5"/>
  <c r="I1350" i="5"/>
  <c r="W1340" i="5"/>
  <c r="M73" i="40" s="1"/>
  <c r="S1340" i="5"/>
  <c r="AA1340" i="5"/>
  <c r="L1342" i="5"/>
  <c r="F1350" i="5"/>
  <c r="F1349" i="5"/>
  <c r="S1345" i="5"/>
  <c r="W1345" i="5"/>
  <c r="AV73" i="40" s="1"/>
  <c r="O1345" i="5"/>
  <c r="D1327" i="5"/>
  <c r="O1331" i="5"/>
  <c r="D1333" i="5"/>
  <c r="W1330" i="5"/>
  <c r="AV77" i="40" s="1"/>
  <c r="S1330" i="5"/>
  <c r="L1329" i="5"/>
  <c r="O1333" i="5"/>
  <c r="L1324" i="5"/>
  <c r="L1255" i="5"/>
  <c r="L1253" i="5"/>
  <c r="D1252" i="5"/>
  <c r="E1252" i="5" s="1"/>
  <c r="O1256" i="5"/>
  <c r="O1250" i="5"/>
  <c r="L1254" i="5"/>
  <c r="P1254" i="5" s="1"/>
  <c r="D1241" i="5"/>
  <c r="E1241" i="5" s="1"/>
  <c r="L1238" i="5"/>
  <c r="P1238" i="5" s="1"/>
  <c r="L1237" i="5"/>
  <c r="O1236" i="5"/>
  <c r="L1159" i="5"/>
  <c r="P1159" i="5" s="1"/>
  <c r="O1164" i="5"/>
  <c r="L1161" i="5"/>
  <c r="O1168" i="5"/>
  <c r="D1146" i="5"/>
  <c r="L1150" i="5"/>
  <c r="H1154" i="5"/>
  <c r="AA1146" i="5" s="1"/>
  <c r="H1155" i="5"/>
  <c r="D1145" i="5"/>
  <c r="E1145" i="5" s="1"/>
  <c r="D1152" i="5"/>
  <c r="O1148" i="5"/>
  <c r="D1150" i="5"/>
  <c r="E1150" i="5" s="1"/>
  <c r="L1143" i="5"/>
  <c r="D1071" i="5"/>
  <c r="E1071" i="5" s="1"/>
  <c r="H1079" i="5"/>
  <c r="AA1071" i="5" s="1"/>
  <c r="H1080" i="5"/>
  <c r="O1069" i="5"/>
  <c r="D1070" i="5"/>
  <c r="E1070" i="5" s="1"/>
  <c r="O1077" i="5"/>
  <c r="D1059" i="5"/>
  <c r="E1059" i="5" s="1"/>
  <c r="L1056" i="5"/>
  <c r="L1061" i="5"/>
  <c r="L1055" i="5"/>
  <c r="P1055" i="5" s="1"/>
  <c r="H1499" i="5"/>
  <c r="H1500" i="5"/>
  <c r="D1495" i="5"/>
  <c r="S1495" i="5"/>
  <c r="W1495" i="5"/>
  <c r="AV107" i="40" s="1"/>
  <c r="L1489" i="5"/>
  <c r="O1491" i="5"/>
  <c r="L1498" i="5"/>
  <c r="L1403" i="5"/>
  <c r="L1402" i="5"/>
  <c r="O1406" i="5"/>
  <c r="D1405" i="5"/>
  <c r="D1402" i="5"/>
  <c r="E1402" i="5" s="1"/>
  <c r="D1318" i="5"/>
  <c r="I1319" i="5"/>
  <c r="I1320" i="5"/>
  <c r="W1310" i="5"/>
  <c r="M84" i="40" s="1"/>
  <c r="S1310" i="5"/>
  <c r="AA1310" i="5"/>
  <c r="O1308" i="5"/>
  <c r="O1317" i="5"/>
  <c r="O1312" i="5"/>
  <c r="L1315" i="5"/>
  <c r="D1224" i="5"/>
  <c r="E1224" i="5" s="1"/>
  <c r="L1226" i="5"/>
  <c r="O1228" i="5"/>
  <c r="D1226" i="5"/>
  <c r="E1226" i="5" s="1"/>
  <c r="O1134" i="5"/>
  <c r="O1129" i="5"/>
  <c r="D1137" i="5"/>
  <c r="E1137" i="5" s="1"/>
  <c r="S1135" i="5"/>
  <c r="W1135" i="5"/>
  <c r="AV126" i="40" s="1"/>
  <c r="L1130" i="5"/>
  <c r="L1041" i="5"/>
  <c r="O1043" i="5"/>
  <c r="F1050" i="5"/>
  <c r="F1049" i="5"/>
  <c r="O1045" i="5"/>
  <c r="L1038" i="5"/>
  <c r="D1041" i="5"/>
  <c r="E1041" i="5" s="1"/>
  <c r="L1047" i="5"/>
  <c r="F990" i="5"/>
  <c r="F989" i="5"/>
  <c r="S985" i="5"/>
  <c r="AV59" i="40" s="1"/>
  <c r="W985" i="5"/>
  <c r="O985" i="5"/>
  <c r="W970" i="5"/>
  <c r="S970" i="5"/>
  <c r="AV26" i="40" s="1"/>
  <c r="L969" i="5"/>
  <c r="P969" i="5" s="1"/>
  <c r="O973" i="5"/>
  <c r="L964" i="5"/>
  <c r="D967" i="5"/>
  <c r="D969" i="5"/>
  <c r="E969" i="5" s="1"/>
  <c r="L966" i="5"/>
  <c r="P966" i="5" s="1"/>
  <c r="O898" i="5"/>
  <c r="O891" i="5"/>
  <c r="L897" i="5"/>
  <c r="P897" i="5" s="1"/>
  <c r="D882" i="5"/>
  <c r="O878" i="5"/>
  <c r="L873" i="5"/>
  <c r="D876" i="5"/>
  <c r="E876" i="5" s="1"/>
  <c r="L882" i="5"/>
  <c r="I884" i="5"/>
  <c r="I885" i="5"/>
  <c r="W875" i="5"/>
  <c r="S875" i="5"/>
  <c r="M37" i="40" s="1"/>
  <c r="AA875" i="5"/>
  <c r="F885" i="5"/>
  <c r="F884" i="5"/>
  <c r="E799" i="5"/>
  <c r="D803" i="5"/>
  <c r="D807" i="5"/>
  <c r="E807" i="5" s="1"/>
  <c r="L805" i="5"/>
  <c r="L803" i="5"/>
  <c r="P803" i="5" s="1"/>
  <c r="O806" i="5"/>
  <c r="O784" i="5"/>
  <c r="O790" i="5"/>
  <c r="E784" i="5"/>
  <c r="O792" i="5"/>
  <c r="D791" i="5"/>
  <c r="E791" i="5" s="1"/>
  <c r="L788" i="5"/>
  <c r="L787" i="5"/>
  <c r="P787" i="5" s="1"/>
  <c r="F720" i="5"/>
  <c r="F719" i="5"/>
  <c r="S715" i="5"/>
  <c r="AV63" i="40" s="1"/>
  <c r="W715" i="5"/>
  <c r="O715" i="5"/>
  <c r="S700" i="5"/>
  <c r="AV58" i="40" s="1"/>
  <c r="W700" i="5"/>
  <c r="L699" i="5"/>
  <c r="P699" i="5" s="1"/>
  <c r="O703" i="5"/>
  <c r="L694" i="5"/>
  <c r="D697" i="5"/>
  <c r="D699" i="5"/>
  <c r="E699" i="5" s="1"/>
  <c r="L696" i="5"/>
  <c r="P696" i="5" s="1"/>
  <c r="O628" i="5"/>
  <c r="O621" i="5"/>
  <c r="L627" i="5"/>
  <c r="P627" i="5" s="1"/>
  <c r="D612" i="5"/>
  <c r="O608" i="5"/>
  <c r="L603" i="5"/>
  <c r="D606" i="5"/>
  <c r="E606" i="5" s="1"/>
  <c r="L612" i="5"/>
  <c r="I615" i="5"/>
  <c r="I614" i="5"/>
  <c r="W605" i="5"/>
  <c r="S605" i="5"/>
  <c r="M61" i="40" s="1"/>
  <c r="AA605" i="5"/>
  <c r="F614" i="5"/>
  <c r="F615" i="5"/>
  <c r="E529" i="5"/>
  <c r="D533" i="5"/>
  <c r="D537" i="5"/>
  <c r="E537" i="5" s="1"/>
  <c r="L535" i="5"/>
  <c r="L533" i="5"/>
  <c r="P533" i="5" s="1"/>
  <c r="O536" i="5"/>
  <c r="O514" i="5"/>
  <c r="O520" i="5"/>
  <c r="E514" i="5"/>
  <c r="O522" i="5"/>
  <c r="D521" i="5"/>
  <c r="E521" i="5" s="1"/>
  <c r="L518" i="5"/>
  <c r="L517" i="5"/>
  <c r="P517" i="5" s="1"/>
  <c r="O957" i="5"/>
  <c r="O952" i="5"/>
  <c r="L955" i="5"/>
  <c r="L951" i="5"/>
  <c r="O953" i="5"/>
  <c r="F960" i="5"/>
  <c r="F959" i="5"/>
  <c r="O867" i="5"/>
  <c r="O862" i="5"/>
  <c r="L865" i="5"/>
  <c r="L861" i="5"/>
  <c r="O863" i="5"/>
  <c r="F869" i="5"/>
  <c r="F870" i="5"/>
  <c r="O777" i="5"/>
  <c r="O772" i="5"/>
  <c r="L775" i="5"/>
  <c r="L771" i="5"/>
  <c r="O773" i="5"/>
  <c r="F779" i="5"/>
  <c r="F780" i="5"/>
  <c r="O687" i="5"/>
  <c r="O682" i="5"/>
  <c r="L685" i="5"/>
  <c r="L681" i="5"/>
  <c r="O683" i="5"/>
  <c r="F689" i="5"/>
  <c r="F690" i="5"/>
  <c r="O597" i="5"/>
  <c r="O592" i="5"/>
  <c r="L595" i="5"/>
  <c r="L591" i="5"/>
  <c r="O593" i="5"/>
  <c r="F599" i="5"/>
  <c r="F600" i="5"/>
  <c r="O507" i="5"/>
  <c r="O502" i="5"/>
  <c r="L505" i="5"/>
  <c r="L501" i="5"/>
  <c r="O503" i="5"/>
  <c r="F509" i="5"/>
  <c r="F510" i="5"/>
  <c r="L933" i="5"/>
  <c r="O937" i="5"/>
  <c r="D943" i="5"/>
  <c r="L943" i="5"/>
  <c r="E934" i="5"/>
  <c r="D938" i="5"/>
  <c r="L927" i="5"/>
  <c r="I929" i="5"/>
  <c r="I930" i="5"/>
  <c r="S920" i="5"/>
  <c r="M12" i="40" s="1"/>
  <c r="W920" i="5"/>
  <c r="AA920" i="5"/>
  <c r="F929" i="5"/>
  <c r="F930" i="5"/>
  <c r="O918" i="5"/>
  <c r="D925" i="5"/>
  <c r="E925" i="5" s="1"/>
  <c r="D927" i="5"/>
  <c r="O922" i="5"/>
  <c r="L845" i="5"/>
  <c r="P845" i="5" s="1"/>
  <c r="I854" i="5"/>
  <c r="I855" i="5"/>
  <c r="S845" i="5"/>
  <c r="M9" i="40" s="1"/>
  <c r="W845" i="5"/>
  <c r="AA845" i="5"/>
  <c r="L847" i="5"/>
  <c r="F855" i="5"/>
  <c r="F854" i="5"/>
  <c r="S850" i="5"/>
  <c r="AV9" i="40" s="1"/>
  <c r="W850" i="5"/>
  <c r="O850" i="5"/>
  <c r="D836" i="5"/>
  <c r="E836" i="5" s="1"/>
  <c r="L833" i="5"/>
  <c r="P833" i="5" s="1"/>
  <c r="L832" i="5"/>
  <c r="O831" i="5"/>
  <c r="L754" i="5"/>
  <c r="P754" i="5" s="1"/>
  <c r="O759" i="5"/>
  <c r="L756" i="5"/>
  <c r="O763" i="5"/>
  <c r="D744" i="5"/>
  <c r="E744" i="5" s="1"/>
  <c r="L741" i="5"/>
  <c r="L746" i="5"/>
  <c r="L740" i="5"/>
  <c r="P740" i="5" s="1"/>
  <c r="L663" i="5"/>
  <c r="O667" i="5"/>
  <c r="D673" i="5"/>
  <c r="L673" i="5"/>
  <c r="E664" i="5"/>
  <c r="D668" i="5"/>
  <c r="L657" i="5"/>
  <c r="I659" i="5"/>
  <c r="I660" i="5"/>
  <c r="W650" i="5"/>
  <c r="S650" i="5"/>
  <c r="M7" i="40" s="1"/>
  <c r="AA650" i="5"/>
  <c r="F660" i="5"/>
  <c r="F659" i="5"/>
  <c r="O648" i="5"/>
  <c r="D655" i="5"/>
  <c r="E655" i="5" s="1"/>
  <c r="D657" i="5"/>
  <c r="O652" i="5"/>
  <c r="L575" i="5"/>
  <c r="P575" i="5" s="1"/>
  <c r="I584" i="5"/>
  <c r="I585" i="5"/>
  <c r="W575" i="5"/>
  <c r="S575" i="5"/>
  <c r="M38" i="40" s="1"/>
  <c r="AA575" i="5"/>
  <c r="L577" i="5"/>
  <c r="F585" i="5"/>
  <c r="F584" i="5"/>
  <c r="S580" i="5"/>
  <c r="AV38" i="40" s="1"/>
  <c r="W580" i="5"/>
  <c r="O580" i="5"/>
  <c r="D566" i="5"/>
  <c r="E566" i="5" s="1"/>
  <c r="L563" i="5"/>
  <c r="P563" i="5" s="1"/>
  <c r="L562" i="5"/>
  <c r="O561" i="5"/>
  <c r="L484" i="5"/>
  <c r="P484" i="5" s="1"/>
  <c r="O489" i="5"/>
  <c r="L486" i="5"/>
  <c r="O493" i="5"/>
  <c r="D474" i="5"/>
  <c r="E474" i="5" s="1"/>
  <c r="L471" i="5"/>
  <c r="L476" i="5"/>
  <c r="L470" i="5"/>
  <c r="P470" i="5" s="1"/>
  <c r="W996" i="5"/>
  <c r="S996" i="5"/>
  <c r="T14" i="40" s="1"/>
  <c r="O1000" i="5"/>
  <c r="L1003" i="5"/>
  <c r="D1002" i="5"/>
  <c r="L906" i="5"/>
  <c r="O908" i="5"/>
  <c r="F915" i="5"/>
  <c r="F914" i="5"/>
  <c r="O910" i="5"/>
  <c r="L903" i="5"/>
  <c r="D906" i="5"/>
  <c r="E906" i="5" s="1"/>
  <c r="L912" i="5"/>
  <c r="L816" i="5"/>
  <c r="O818" i="5"/>
  <c r="F825" i="5"/>
  <c r="F824" i="5"/>
  <c r="O820" i="5"/>
  <c r="L813" i="5"/>
  <c r="D816" i="5"/>
  <c r="E816" i="5" s="1"/>
  <c r="L822" i="5"/>
  <c r="L726" i="5"/>
  <c r="O728" i="5"/>
  <c r="F735" i="5"/>
  <c r="F734" i="5"/>
  <c r="O730" i="5"/>
  <c r="L723" i="5"/>
  <c r="D726" i="5"/>
  <c r="E726" i="5" s="1"/>
  <c r="L732" i="5"/>
  <c r="L636" i="5"/>
  <c r="O638" i="5"/>
  <c r="F645" i="5"/>
  <c r="F644" i="5"/>
  <c r="O640" i="5"/>
  <c r="L633" i="5"/>
  <c r="D636" i="5"/>
  <c r="E636" i="5" s="1"/>
  <c r="L642" i="5"/>
  <c r="L546" i="5"/>
  <c r="O548" i="5"/>
  <c r="F555" i="5"/>
  <c r="F554" i="5"/>
  <c r="O550" i="5"/>
  <c r="L543" i="5"/>
  <c r="D546" i="5"/>
  <c r="E546" i="5" s="1"/>
  <c r="L552" i="5"/>
  <c r="O409" i="5"/>
  <c r="D417" i="5"/>
  <c r="E417" i="5" s="1"/>
  <c r="S415" i="5"/>
  <c r="AV69" i="40" s="1"/>
  <c r="W415" i="5"/>
  <c r="L410" i="5"/>
  <c r="L413" i="5"/>
  <c r="L412" i="5"/>
  <c r="O416" i="5"/>
  <c r="O319" i="5"/>
  <c r="D327" i="5"/>
  <c r="E327" i="5" s="1"/>
  <c r="S325" i="5"/>
  <c r="AV56" i="40" s="1"/>
  <c r="W325" i="5"/>
  <c r="L320" i="5"/>
  <c r="L323" i="5"/>
  <c r="L322" i="5"/>
  <c r="O326" i="5"/>
  <c r="O229" i="5"/>
  <c r="D237" i="5"/>
  <c r="E237" i="5" s="1"/>
  <c r="S235" i="5"/>
  <c r="AV53" i="40" s="1"/>
  <c r="W235" i="5"/>
  <c r="L230" i="5"/>
  <c r="L233" i="5"/>
  <c r="L232" i="5"/>
  <c r="O236" i="5"/>
  <c r="O139" i="5"/>
  <c r="D147" i="5"/>
  <c r="E147" i="5" s="1"/>
  <c r="S145" i="5"/>
  <c r="AV20" i="40" s="1"/>
  <c r="W145" i="5"/>
  <c r="L140" i="5"/>
  <c r="L143" i="5"/>
  <c r="L142" i="5"/>
  <c r="O146" i="5"/>
  <c r="O49" i="5"/>
  <c r="D57" i="5"/>
  <c r="E57" i="5" s="1"/>
  <c r="S55" i="5"/>
  <c r="AV19" i="40" s="1"/>
  <c r="W55" i="5"/>
  <c r="L50" i="5"/>
  <c r="L53" i="5"/>
  <c r="L52" i="5"/>
  <c r="O56" i="5"/>
  <c r="O403" i="5"/>
  <c r="O396" i="5"/>
  <c r="L402" i="5"/>
  <c r="P402" i="5" s="1"/>
  <c r="O393" i="5"/>
  <c r="S396" i="5"/>
  <c r="T47" i="40" s="1"/>
  <c r="W396" i="5"/>
  <c r="L401" i="5"/>
  <c r="O381" i="5"/>
  <c r="L388" i="5"/>
  <c r="O384" i="5"/>
  <c r="O380" i="5"/>
  <c r="O379" i="5"/>
  <c r="O385" i="5"/>
  <c r="O387" i="5"/>
  <c r="D308" i="5"/>
  <c r="D312" i="5"/>
  <c r="E312" i="5" s="1"/>
  <c r="W306" i="5"/>
  <c r="S306" i="5"/>
  <c r="T49" i="40" s="1"/>
  <c r="L310" i="5"/>
  <c r="L308" i="5"/>
  <c r="P308" i="5" s="1"/>
  <c r="D307" i="5"/>
  <c r="E307" i="5" s="1"/>
  <c r="O311" i="5"/>
  <c r="O305" i="5"/>
  <c r="L309" i="5"/>
  <c r="P309" i="5" s="1"/>
  <c r="S295" i="5"/>
  <c r="AV44" i="40" s="1"/>
  <c r="W295" i="5"/>
  <c r="L290" i="5"/>
  <c r="D292" i="5"/>
  <c r="O296" i="5"/>
  <c r="D298" i="5"/>
  <c r="L294" i="5"/>
  <c r="O298" i="5"/>
  <c r="O220" i="5"/>
  <c r="D216" i="5"/>
  <c r="H224" i="5"/>
  <c r="AA216" i="5" s="1"/>
  <c r="H225" i="5"/>
  <c r="O214" i="5"/>
  <c r="O202" i="5"/>
  <c r="D201" i="5"/>
  <c r="L205" i="5"/>
  <c r="H209" i="5"/>
  <c r="AA201" i="5" s="1"/>
  <c r="H210" i="5"/>
  <c r="D200" i="5"/>
  <c r="E200" i="5" s="1"/>
  <c r="D207" i="5"/>
  <c r="O203" i="5"/>
  <c r="D205" i="5"/>
  <c r="E205" i="5" s="1"/>
  <c r="O133" i="5"/>
  <c r="O126" i="5"/>
  <c r="L132" i="5"/>
  <c r="P132" i="5" s="1"/>
  <c r="O123" i="5"/>
  <c r="W126" i="5"/>
  <c r="S126" i="5"/>
  <c r="T35" i="40" s="1"/>
  <c r="L131" i="5"/>
  <c r="O111" i="5"/>
  <c r="L118" i="5"/>
  <c r="O114" i="5"/>
  <c r="O110" i="5"/>
  <c r="O109" i="5"/>
  <c r="O115" i="5"/>
  <c r="O117" i="5"/>
  <c r="D38" i="5"/>
  <c r="D42" i="5"/>
  <c r="E42" i="5" s="1"/>
  <c r="W36" i="5"/>
  <c r="S36" i="5"/>
  <c r="T33" i="40" s="1"/>
  <c r="L40" i="5"/>
  <c r="L38" i="5"/>
  <c r="P38" i="5" s="1"/>
  <c r="D37" i="5"/>
  <c r="E37" i="5" s="1"/>
  <c r="O41" i="5"/>
  <c r="O35" i="5"/>
  <c r="L39" i="5"/>
  <c r="P39" i="5" s="1"/>
  <c r="S25" i="5"/>
  <c r="AV40" i="40" s="1"/>
  <c r="W25" i="5"/>
  <c r="L20" i="5"/>
  <c r="D22" i="5"/>
  <c r="O26" i="5"/>
  <c r="D28" i="5"/>
  <c r="L24" i="5"/>
  <c r="O28" i="5"/>
  <c r="D463" i="5"/>
  <c r="I464" i="5"/>
  <c r="I465" i="5"/>
  <c r="S455" i="5"/>
  <c r="M3" i="40" s="1"/>
  <c r="W455" i="5"/>
  <c r="AA455" i="5"/>
  <c r="O455" i="5"/>
  <c r="L459" i="5"/>
  <c r="L453" i="5"/>
  <c r="D456" i="5"/>
  <c r="E456" i="5" s="1"/>
  <c r="O459" i="5"/>
  <c r="L461" i="5"/>
  <c r="D462" i="5"/>
  <c r="L462" i="5"/>
  <c r="L368" i="5"/>
  <c r="L367" i="5"/>
  <c r="O371" i="5"/>
  <c r="D370" i="5"/>
  <c r="D372" i="5"/>
  <c r="E372" i="5" s="1"/>
  <c r="L278" i="5"/>
  <c r="L277" i="5"/>
  <c r="O281" i="5"/>
  <c r="D280" i="5"/>
  <c r="D282" i="5"/>
  <c r="E282" i="5" s="1"/>
  <c r="L188" i="5"/>
  <c r="L187" i="5"/>
  <c r="O191" i="5"/>
  <c r="D190" i="5"/>
  <c r="D192" i="5"/>
  <c r="E192" i="5" s="1"/>
  <c r="L98" i="5"/>
  <c r="L97" i="5"/>
  <c r="O101" i="5"/>
  <c r="D100" i="5"/>
  <c r="D102" i="5"/>
  <c r="E102" i="5" s="1"/>
  <c r="L8" i="5"/>
  <c r="L7" i="5"/>
  <c r="O11" i="5"/>
  <c r="D10" i="5"/>
  <c r="D12" i="5"/>
  <c r="E12" i="5" s="1"/>
  <c r="D441" i="5"/>
  <c r="E441" i="5" s="1"/>
  <c r="H449" i="5"/>
  <c r="W441" i="5" s="1"/>
  <c r="H450" i="5"/>
  <c r="O439" i="5"/>
  <c r="O447" i="5"/>
  <c r="L440" i="5"/>
  <c r="D442" i="5"/>
  <c r="O426" i="5"/>
  <c r="L433" i="5"/>
  <c r="O429" i="5"/>
  <c r="O348" i="5"/>
  <c r="W351" i="5"/>
  <c r="S351" i="5"/>
  <c r="T24" i="40" s="1"/>
  <c r="L356" i="5"/>
  <c r="O353" i="5"/>
  <c r="L349" i="5"/>
  <c r="D351" i="5"/>
  <c r="O354" i="5"/>
  <c r="L341" i="5"/>
  <c r="S340" i="5"/>
  <c r="AV54" i="40" s="1"/>
  <c r="W340" i="5"/>
  <c r="L335" i="5"/>
  <c r="P335" i="5" s="1"/>
  <c r="O341" i="5"/>
  <c r="D343" i="5"/>
  <c r="L263" i="5"/>
  <c r="D262" i="5"/>
  <c r="O266" i="5"/>
  <c r="O260" i="5"/>
  <c r="L264" i="5"/>
  <c r="D265" i="5"/>
  <c r="L258" i="5"/>
  <c r="O262" i="5"/>
  <c r="D268" i="5"/>
  <c r="L268" i="5"/>
  <c r="I255" i="5"/>
  <c r="I254" i="5"/>
  <c r="W245" i="5"/>
  <c r="S245" i="5"/>
  <c r="M28" i="40" s="1"/>
  <c r="AA245" i="5"/>
  <c r="F254" i="5"/>
  <c r="F255" i="5"/>
  <c r="O243" i="5"/>
  <c r="D250" i="5"/>
  <c r="E250" i="5" s="1"/>
  <c r="O247" i="5"/>
  <c r="L250" i="5"/>
  <c r="D171" i="5"/>
  <c r="E171" i="5" s="1"/>
  <c r="H179" i="5"/>
  <c r="W171" i="5" s="1"/>
  <c r="H180" i="5"/>
  <c r="O169" i="5"/>
  <c r="O177" i="5"/>
  <c r="L170" i="5"/>
  <c r="D172" i="5"/>
  <c r="E172" i="5" s="1"/>
  <c r="O156" i="5"/>
  <c r="L163" i="5"/>
  <c r="O159" i="5"/>
  <c r="O78" i="5"/>
  <c r="S81" i="5"/>
  <c r="T41" i="40" s="1"/>
  <c r="W81" i="5"/>
  <c r="L86" i="5"/>
  <c r="O83" i="5"/>
  <c r="L79" i="5"/>
  <c r="D81" i="5"/>
  <c r="O84" i="5"/>
  <c r="L71" i="5"/>
  <c r="S70" i="5"/>
  <c r="AV39" i="40" s="1"/>
  <c r="W70" i="5"/>
  <c r="L65" i="5"/>
  <c r="P65" i="5" s="1"/>
  <c r="O71" i="5"/>
  <c r="D73" i="5"/>
  <c r="L1540" i="5"/>
  <c r="P1540" i="5" s="1"/>
  <c r="L1538" i="5"/>
  <c r="P1538" i="5" s="1"/>
  <c r="D1537" i="5"/>
  <c r="E1537" i="5" s="1"/>
  <c r="O1541" i="5"/>
  <c r="O1535" i="5"/>
  <c r="L1539" i="5"/>
  <c r="P1539" i="5" s="1"/>
  <c r="L1778" i="5"/>
  <c r="P1778" i="5" s="1"/>
  <c r="L1777" i="5"/>
  <c r="O1781" i="5"/>
  <c r="D1780" i="5"/>
  <c r="D1782" i="5"/>
  <c r="E1782" i="5" s="1"/>
  <c r="L1692" i="5"/>
  <c r="D1693" i="5"/>
  <c r="I1694" i="5"/>
  <c r="I1695" i="5"/>
  <c r="S1685" i="5"/>
  <c r="W1685" i="5"/>
  <c r="M94" i="40" s="1"/>
  <c r="AA1685" i="5"/>
  <c r="O1683" i="5"/>
  <c r="E1684" i="5"/>
  <c r="O1692" i="5"/>
  <c r="O1687" i="5"/>
  <c r="L1603" i="5"/>
  <c r="D1599" i="5"/>
  <c r="E1599" i="5" s="1"/>
  <c r="L1601" i="5"/>
  <c r="P1601" i="5" s="1"/>
  <c r="O1603" i="5"/>
  <c r="D1595" i="5"/>
  <c r="E1595" i="5" s="1"/>
  <c r="L1761" i="5"/>
  <c r="S1765" i="5"/>
  <c r="W1765" i="5"/>
  <c r="AV92" i="40" s="1"/>
  <c r="O1768" i="5"/>
  <c r="O1761" i="5"/>
  <c r="L1767" i="5"/>
  <c r="P1767" i="5" s="1"/>
  <c r="I1754" i="5"/>
  <c r="I1755" i="5"/>
  <c r="W1745" i="5"/>
  <c r="M124" i="40" s="1"/>
  <c r="S1745" i="5"/>
  <c r="AA1745" i="5"/>
  <c r="F1755" i="5"/>
  <c r="F1754" i="5"/>
  <c r="O1743" i="5"/>
  <c r="D1750" i="5"/>
  <c r="E1750" i="5" s="1"/>
  <c r="O1747" i="5"/>
  <c r="L1750" i="5"/>
  <c r="H1679" i="5"/>
  <c r="S1671" i="5" s="1"/>
  <c r="H1680" i="5"/>
  <c r="D1676" i="5"/>
  <c r="E1676" i="5" s="1"/>
  <c r="O1669" i="5"/>
  <c r="O1677" i="5"/>
  <c r="L1670" i="5"/>
  <c r="D1672" i="5"/>
  <c r="E1672" i="5" s="1"/>
  <c r="S1660" i="5"/>
  <c r="W1660" i="5"/>
  <c r="AV101" i="40" s="1"/>
  <c r="L1659" i="5"/>
  <c r="P1659" i="5" s="1"/>
  <c r="O1663" i="5"/>
  <c r="L1654" i="5"/>
  <c r="D1657" i="5"/>
  <c r="E1657" i="5" s="1"/>
  <c r="L1656" i="5"/>
  <c r="P1656" i="5" s="1"/>
  <c r="D1583" i="5"/>
  <c r="D1587" i="5"/>
  <c r="L1585" i="5"/>
  <c r="P1585" i="5" s="1"/>
  <c r="E1564" i="5"/>
  <c r="O1566" i="5"/>
  <c r="L1573" i="5"/>
  <c r="O1569" i="5"/>
  <c r="O1518" i="5"/>
  <c r="D1525" i="5"/>
  <c r="E1525" i="5" s="1"/>
  <c r="O1523" i="5"/>
  <c r="L1519" i="5"/>
  <c r="D1522" i="5"/>
  <c r="E1522" i="5" s="1"/>
  <c r="D1527" i="5"/>
  <c r="E1527" i="5" s="1"/>
  <c r="H1484" i="5"/>
  <c r="W1476" i="5" s="1"/>
  <c r="T122" i="40" s="1"/>
  <c r="H1485" i="5"/>
  <c r="O1474" i="5"/>
  <c r="O1482" i="5"/>
  <c r="L1475" i="5"/>
  <c r="I1485" i="5"/>
  <c r="I1484" i="5"/>
  <c r="S1475" i="5"/>
  <c r="W1475" i="5"/>
  <c r="M122" i="40" s="1"/>
  <c r="AA1475" i="5"/>
  <c r="L1477" i="5"/>
  <c r="S1463" i="5"/>
  <c r="AA1463" i="5"/>
  <c r="D1467" i="5"/>
  <c r="E1467" i="5" s="1"/>
  <c r="O1463" i="5"/>
  <c r="L1458" i="5"/>
  <c r="D1461" i="5"/>
  <c r="E1461" i="5" s="1"/>
  <c r="L1467" i="5"/>
  <c r="P1467" i="5" s="1"/>
  <c r="I1469" i="5"/>
  <c r="I1470" i="5"/>
  <c r="W1460" i="5"/>
  <c r="M102" i="40" s="1"/>
  <c r="S1460" i="5"/>
  <c r="AA1460" i="5"/>
  <c r="F1469" i="5"/>
  <c r="F1470" i="5"/>
  <c r="D1388" i="5"/>
  <c r="D1392" i="5"/>
  <c r="E1392" i="5" s="1"/>
  <c r="D1390" i="5"/>
  <c r="E1390" i="5" s="1"/>
  <c r="L1390" i="5"/>
  <c r="P1390" i="5" s="1"/>
  <c r="L1388" i="5"/>
  <c r="P1388" i="5" s="1"/>
  <c r="O1391" i="5"/>
  <c r="L1376" i="5"/>
  <c r="S1375" i="5"/>
  <c r="W1375" i="5"/>
  <c r="AV121" i="40" s="1"/>
  <c r="L1370" i="5"/>
  <c r="D1372" i="5"/>
  <c r="E1372" i="5" s="1"/>
  <c r="O1376" i="5"/>
  <c r="D1378" i="5"/>
  <c r="O1293" i="5"/>
  <c r="L1301" i="5"/>
  <c r="O1298" i="5"/>
  <c r="L1294" i="5"/>
  <c r="O1299" i="5"/>
  <c r="L1296" i="5"/>
  <c r="D1301" i="5"/>
  <c r="E1301" i="5" s="1"/>
  <c r="O1279" i="5"/>
  <c r="O1285" i="5"/>
  <c r="E1279" i="5"/>
  <c r="O1287" i="5"/>
  <c r="D1286" i="5"/>
  <c r="E1286" i="5" s="1"/>
  <c r="L1283" i="5"/>
  <c r="L1282" i="5"/>
  <c r="P1282" i="5" s="1"/>
  <c r="F1214" i="5"/>
  <c r="F1215" i="5"/>
  <c r="O1210" i="5"/>
  <c r="O1188" i="5"/>
  <c r="D1195" i="5"/>
  <c r="E1195" i="5" s="1"/>
  <c r="O1192" i="5"/>
  <c r="D1191" i="5"/>
  <c r="E1191" i="5" s="1"/>
  <c r="L1195" i="5"/>
  <c r="H1200" i="5"/>
  <c r="H1199" i="5"/>
  <c r="AA1191" i="5" s="1"/>
  <c r="O1115" i="5"/>
  <c r="L1119" i="5"/>
  <c r="D1120" i="5"/>
  <c r="E1120" i="5" s="1"/>
  <c r="L1113" i="5"/>
  <c r="O1117" i="5"/>
  <c r="D1122" i="5"/>
  <c r="E1122" i="5" s="1"/>
  <c r="L1123" i="5"/>
  <c r="D1119" i="5"/>
  <c r="S1105" i="5"/>
  <c r="W1105" i="5"/>
  <c r="AV109" i="40" s="1"/>
  <c r="L1104" i="5"/>
  <c r="P1104" i="5" s="1"/>
  <c r="O1108" i="5"/>
  <c r="L1099" i="5"/>
  <c r="D1102" i="5"/>
  <c r="E1102" i="5" s="1"/>
  <c r="L1101" i="5"/>
  <c r="P1101" i="5" s="1"/>
  <c r="S1030" i="5"/>
  <c r="AV70" i="40" s="1"/>
  <c r="W1030" i="5"/>
  <c r="O1033" i="5"/>
  <c r="O1026" i="5"/>
  <c r="L1032" i="5"/>
  <c r="P1032" i="5" s="1"/>
  <c r="W1013" i="5"/>
  <c r="D1017" i="5"/>
  <c r="E1017" i="5" s="1"/>
  <c r="O1013" i="5"/>
  <c r="L1008" i="5"/>
  <c r="D1011" i="5"/>
  <c r="E1011" i="5" s="1"/>
  <c r="L1017" i="5"/>
  <c r="P1017" i="5" s="1"/>
  <c r="I1019" i="5"/>
  <c r="I1020" i="5"/>
  <c r="W1010" i="5"/>
  <c r="S1010" i="5"/>
  <c r="M29" i="40" s="1"/>
  <c r="AA1010" i="5"/>
  <c r="F1019" i="5"/>
  <c r="F1020" i="5"/>
  <c r="D1508" i="5"/>
  <c r="D1507" i="5"/>
  <c r="E1507" i="5" s="1"/>
  <c r="O1509" i="5"/>
  <c r="O1504" i="5"/>
  <c r="L1444" i="5"/>
  <c r="O1446" i="5"/>
  <c r="L1453" i="5"/>
  <c r="D1449" i="5"/>
  <c r="E1444" i="5"/>
  <c r="L1451" i="5"/>
  <c r="P1451" i="5" s="1"/>
  <c r="D1358" i="5"/>
  <c r="D1357" i="5"/>
  <c r="E1357" i="5" s="1"/>
  <c r="O1359" i="5"/>
  <c r="O1354" i="5"/>
  <c r="O1272" i="5"/>
  <c r="O1267" i="5"/>
  <c r="L1270" i="5"/>
  <c r="L1266" i="5"/>
  <c r="P1266" i="5" s="1"/>
  <c r="O1268" i="5"/>
  <c r="F1275" i="5"/>
  <c r="F1274" i="5"/>
  <c r="O1183" i="5"/>
  <c r="D1181" i="5"/>
  <c r="H1184" i="5"/>
  <c r="W1176" i="5" s="1"/>
  <c r="T114" i="40" s="1"/>
  <c r="H1185" i="5"/>
  <c r="O1175" i="5"/>
  <c r="L1179" i="5"/>
  <c r="P1179" i="5" s="1"/>
  <c r="S1090" i="5"/>
  <c r="W1090" i="5"/>
  <c r="AV87" i="40" s="1"/>
  <c r="L1085" i="5"/>
  <c r="P1085" i="5" s="1"/>
  <c r="L1088" i="5"/>
  <c r="P1088" i="5" s="1"/>
  <c r="L1087" i="5"/>
  <c r="P1087" i="5" s="1"/>
  <c r="O1091" i="5"/>
  <c r="L1428" i="5"/>
  <c r="O1432" i="5"/>
  <c r="D1437" i="5"/>
  <c r="L1438" i="5"/>
  <c r="E1429" i="5"/>
  <c r="D1433" i="5"/>
  <c r="L1423" i="5"/>
  <c r="O1419" i="5"/>
  <c r="O1415" i="5"/>
  <c r="O1414" i="5"/>
  <c r="O1420" i="5"/>
  <c r="E1414" i="5"/>
  <c r="O1422" i="5"/>
  <c r="O1341" i="5"/>
  <c r="L1347" i="5"/>
  <c r="O1338" i="5"/>
  <c r="L1346" i="5"/>
  <c r="P1346" i="5" s="1"/>
  <c r="O1343" i="5"/>
  <c r="L1332" i="5"/>
  <c r="D1329" i="5"/>
  <c r="E1329" i="5" s="1"/>
  <c r="I1334" i="5"/>
  <c r="I1335" i="5"/>
  <c r="S1325" i="5"/>
  <c r="W1325" i="5"/>
  <c r="M77" i="40" s="1"/>
  <c r="AA1325" i="5"/>
  <c r="F1335" i="5"/>
  <c r="F1334" i="5"/>
  <c r="O1323" i="5"/>
  <c r="D1330" i="5"/>
  <c r="E1330" i="5" s="1"/>
  <c r="D1332" i="5"/>
  <c r="E1332" i="5" s="1"/>
  <c r="O1327" i="5"/>
  <c r="L1250" i="5"/>
  <c r="P1250" i="5" s="1"/>
  <c r="I1259" i="5"/>
  <c r="I1260" i="5"/>
  <c r="W1250" i="5"/>
  <c r="M125" i="40" s="1"/>
  <c r="S1250" i="5"/>
  <c r="AA1250" i="5"/>
  <c r="L1252" i="5"/>
  <c r="F1260" i="5"/>
  <c r="F1259" i="5"/>
  <c r="O1255" i="5"/>
  <c r="D1237" i="5"/>
  <c r="E1237" i="5" s="1"/>
  <c r="O1241" i="5"/>
  <c r="D1243" i="5"/>
  <c r="W1240" i="5"/>
  <c r="AV93" i="40" s="1"/>
  <c r="S1240" i="5"/>
  <c r="L1239" i="5"/>
  <c r="O1243" i="5"/>
  <c r="L1234" i="5"/>
  <c r="D1165" i="5"/>
  <c r="E1165" i="5" s="1"/>
  <c r="L1165" i="5"/>
  <c r="L1163" i="5"/>
  <c r="D1162" i="5"/>
  <c r="E1162" i="5" s="1"/>
  <c r="O1166" i="5"/>
  <c r="O1160" i="5"/>
  <c r="L1164" i="5"/>
  <c r="P1164" i="5" s="1"/>
  <c r="D1151" i="5"/>
  <c r="E1151" i="5" s="1"/>
  <c r="L1148" i="5"/>
  <c r="P1148" i="5" s="1"/>
  <c r="L1147" i="5"/>
  <c r="O1146" i="5"/>
  <c r="L1069" i="5"/>
  <c r="P1069" i="5" s="1"/>
  <c r="O1074" i="5"/>
  <c r="L1071" i="5"/>
  <c r="O1078" i="5"/>
  <c r="D1056" i="5"/>
  <c r="L1060" i="5"/>
  <c r="P1060" i="5" s="1"/>
  <c r="H1064" i="5"/>
  <c r="AA1056" i="5" s="1"/>
  <c r="H1065" i="5"/>
  <c r="S1056" i="5"/>
  <c r="W1056" i="5"/>
  <c r="T104" i="40" s="1"/>
  <c r="D1055" i="5"/>
  <c r="E1055" i="5" s="1"/>
  <c r="D1062" i="5"/>
  <c r="O1058" i="5"/>
  <c r="D1060" i="5"/>
  <c r="E1060" i="5" s="1"/>
  <c r="L1053" i="5"/>
  <c r="L1493" i="5"/>
  <c r="L1492" i="5"/>
  <c r="O1496" i="5"/>
  <c r="O1488" i="5"/>
  <c r="W1491" i="5"/>
  <c r="T107" i="40" s="1"/>
  <c r="S1491" i="5"/>
  <c r="D1493" i="5"/>
  <c r="D1492" i="5"/>
  <c r="E1492" i="5" s="1"/>
  <c r="D1408" i="5"/>
  <c r="I1409" i="5"/>
  <c r="I1410" i="5"/>
  <c r="W1400" i="5"/>
  <c r="M111" i="40" s="1"/>
  <c r="S1400" i="5"/>
  <c r="AA1400" i="5"/>
  <c r="O1398" i="5"/>
  <c r="O1407" i="5"/>
  <c r="O1402" i="5"/>
  <c r="L1405" i="5"/>
  <c r="D1314" i="5"/>
  <c r="E1314" i="5" s="1"/>
  <c r="L1316" i="5"/>
  <c r="P1316" i="5" s="1"/>
  <c r="O1318" i="5"/>
  <c r="D1316" i="5"/>
  <c r="E1316" i="5" s="1"/>
  <c r="O1224" i="5"/>
  <c r="O1219" i="5"/>
  <c r="D1227" i="5"/>
  <c r="E1227" i="5" s="1"/>
  <c r="S1225" i="5"/>
  <c r="W1225" i="5"/>
  <c r="AV76" i="40" s="1"/>
  <c r="L1220" i="5"/>
  <c r="L1131" i="5"/>
  <c r="O1133" i="5"/>
  <c r="F1140" i="5"/>
  <c r="F1139" i="5"/>
  <c r="O1135" i="5"/>
  <c r="L1128" i="5"/>
  <c r="D1131" i="5"/>
  <c r="E1131" i="5" s="1"/>
  <c r="L1137" i="5"/>
  <c r="H1049" i="5"/>
  <c r="W1041" i="5" s="1"/>
  <c r="T83" i="40" s="1"/>
  <c r="H1050" i="5"/>
  <c r="O1040" i="5"/>
  <c r="L1044" i="5"/>
  <c r="P1044" i="5" s="1"/>
  <c r="L1039" i="5"/>
  <c r="P1039" i="5" s="1"/>
  <c r="O1041" i="5"/>
  <c r="L1048" i="5"/>
  <c r="O978" i="5"/>
  <c r="L986" i="5"/>
  <c r="O983" i="5"/>
  <c r="L979" i="5"/>
  <c r="O984" i="5"/>
  <c r="L981" i="5"/>
  <c r="D986" i="5"/>
  <c r="E986" i="5" s="1"/>
  <c r="O963" i="5"/>
  <c r="D970" i="5"/>
  <c r="E970" i="5" s="1"/>
  <c r="O967" i="5"/>
  <c r="D966" i="5"/>
  <c r="E966" i="5" s="1"/>
  <c r="L970" i="5"/>
  <c r="H974" i="5"/>
  <c r="W966" i="5" s="1"/>
  <c r="H975" i="5"/>
  <c r="O890" i="5"/>
  <c r="L894" i="5"/>
  <c r="D895" i="5"/>
  <c r="L888" i="5"/>
  <c r="O892" i="5"/>
  <c r="D897" i="5"/>
  <c r="E897" i="5" s="1"/>
  <c r="L898" i="5"/>
  <c r="D894" i="5"/>
  <c r="E874" i="5"/>
  <c r="O876" i="5"/>
  <c r="L883" i="5"/>
  <c r="O879" i="5"/>
  <c r="O875" i="5"/>
  <c r="H809" i="5"/>
  <c r="AA801" i="5" s="1"/>
  <c r="H810" i="5"/>
  <c r="O799" i="5"/>
  <c r="O807" i="5"/>
  <c r="L800" i="5"/>
  <c r="I809" i="5"/>
  <c r="I810" i="5"/>
  <c r="W800" i="5"/>
  <c r="S800" i="5"/>
  <c r="M34" i="40" s="1"/>
  <c r="AA800" i="5"/>
  <c r="L802" i="5"/>
  <c r="L791" i="5"/>
  <c r="P791" i="5" s="1"/>
  <c r="S790" i="5"/>
  <c r="AV68" i="40" s="1"/>
  <c r="W790" i="5"/>
  <c r="L785" i="5"/>
  <c r="D787" i="5"/>
  <c r="E787" i="5" s="1"/>
  <c r="O791" i="5"/>
  <c r="D793" i="5"/>
  <c r="O708" i="5"/>
  <c r="L716" i="5"/>
  <c r="O713" i="5"/>
  <c r="L709" i="5"/>
  <c r="O714" i="5"/>
  <c r="L711" i="5"/>
  <c r="D716" i="5"/>
  <c r="E716" i="5" s="1"/>
  <c r="O693" i="5"/>
  <c r="D700" i="5"/>
  <c r="E700" i="5" s="1"/>
  <c r="O697" i="5"/>
  <c r="D696" i="5"/>
  <c r="E696" i="5" s="1"/>
  <c r="L700" i="5"/>
  <c r="H704" i="5"/>
  <c r="W696" i="5" s="1"/>
  <c r="H705" i="5"/>
  <c r="O620" i="5"/>
  <c r="L624" i="5"/>
  <c r="D625" i="5"/>
  <c r="E625" i="5" s="1"/>
  <c r="L618" i="5"/>
  <c r="O622" i="5"/>
  <c r="D627" i="5"/>
  <c r="E627" i="5" s="1"/>
  <c r="L628" i="5"/>
  <c r="D624" i="5"/>
  <c r="E604" i="5"/>
  <c r="O606" i="5"/>
  <c r="L613" i="5"/>
  <c r="O609" i="5"/>
  <c r="O605" i="5"/>
  <c r="H539" i="5"/>
  <c r="AA531" i="5" s="1"/>
  <c r="H540" i="5"/>
  <c r="O529" i="5"/>
  <c r="O537" i="5"/>
  <c r="L530" i="5"/>
  <c r="I539" i="5"/>
  <c r="I540" i="5"/>
  <c r="W530" i="5"/>
  <c r="S530" i="5"/>
  <c r="M31" i="40" s="1"/>
  <c r="AA530" i="5"/>
  <c r="L532" i="5"/>
  <c r="L521" i="5"/>
  <c r="S520" i="5"/>
  <c r="AV27" i="40" s="1"/>
  <c r="W520" i="5"/>
  <c r="L515" i="5"/>
  <c r="D517" i="5"/>
  <c r="E517" i="5" s="1"/>
  <c r="O521" i="5"/>
  <c r="D523" i="5"/>
  <c r="O958" i="5"/>
  <c r="D956" i="5"/>
  <c r="H959" i="5"/>
  <c r="AA951" i="5" s="1"/>
  <c r="H960" i="5"/>
  <c r="O950" i="5"/>
  <c r="L954" i="5"/>
  <c r="P954" i="5" s="1"/>
  <c r="O868" i="5"/>
  <c r="D866" i="5"/>
  <c r="H869" i="5"/>
  <c r="AA861" i="5" s="1"/>
  <c r="H870" i="5"/>
  <c r="O860" i="5"/>
  <c r="L864" i="5"/>
  <c r="P864" i="5" s="1"/>
  <c r="O778" i="5"/>
  <c r="D776" i="5"/>
  <c r="H780" i="5"/>
  <c r="H779" i="5"/>
  <c r="AA771" i="5" s="1"/>
  <c r="O770" i="5"/>
  <c r="L774" i="5"/>
  <c r="P774" i="5" s="1"/>
  <c r="O688" i="5"/>
  <c r="D686" i="5"/>
  <c r="H690" i="5"/>
  <c r="H689" i="5"/>
  <c r="AA681" i="5" s="1"/>
  <c r="O680" i="5"/>
  <c r="L684" i="5"/>
  <c r="P684" i="5" s="1"/>
  <c r="O598" i="5"/>
  <c r="D596" i="5"/>
  <c r="H600" i="5"/>
  <c r="H599" i="5"/>
  <c r="W591" i="5" s="1"/>
  <c r="O590" i="5"/>
  <c r="L594" i="5"/>
  <c r="P594" i="5" s="1"/>
  <c r="O508" i="5"/>
  <c r="D506" i="5"/>
  <c r="H510" i="5"/>
  <c r="H509" i="5"/>
  <c r="AA501" i="5" s="1"/>
  <c r="O500" i="5"/>
  <c r="L504" i="5"/>
  <c r="P504" i="5" s="1"/>
  <c r="D936" i="5"/>
  <c r="E936" i="5" s="1"/>
  <c r="H944" i="5"/>
  <c r="S936" i="5" s="1"/>
  <c r="T30" i="40" s="1"/>
  <c r="H945" i="5"/>
  <c r="D941" i="5"/>
  <c r="O934" i="5"/>
  <c r="D935" i="5"/>
  <c r="E935" i="5" s="1"/>
  <c r="O942" i="5"/>
  <c r="L928" i="5"/>
  <c r="O924" i="5"/>
  <c r="O920" i="5"/>
  <c r="O919" i="5"/>
  <c r="O925" i="5"/>
  <c r="E919" i="5"/>
  <c r="O927" i="5"/>
  <c r="O846" i="5"/>
  <c r="L852" i="5"/>
  <c r="O843" i="5"/>
  <c r="L851" i="5"/>
  <c r="P851" i="5" s="1"/>
  <c r="O848" i="5"/>
  <c r="D832" i="5"/>
  <c r="E832" i="5" s="1"/>
  <c r="O836" i="5"/>
  <c r="D838" i="5"/>
  <c r="S835" i="5"/>
  <c r="AV13" i="40" s="1"/>
  <c r="W835" i="5"/>
  <c r="L834" i="5"/>
  <c r="O838" i="5"/>
  <c r="L829" i="5"/>
  <c r="D760" i="5"/>
  <c r="E760" i="5" s="1"/>
  <c r="L760" i="5"/>
  <c r="L758" i="5"/>
  <c r="D757" i="5"/>
  <c r="E757" i="5" s="1"/>
  <c r="O761" i="5"/>
  <c r="O755" i="5"/>
  <c r="L759" i="5"/>
  <c r="P759" i="5" s="1"/>
  <c r="D741" i="5"/>
  <c r="L745" i="5"/>
  <c r="P745" i="5" s="1"/>
  <c r="H749" i="5"/>
  <c r="AA741" i="5" s="1"/>
  <c r="H750" i="5"/>
  <c r="S741" i="5"/>
  <c r="T8" i="40" s="1"/>
  <c r="D740" i="5"/>
  <c r="E740" i="5" s="1"/>
  <c r="D747" i="5"/>
  <c r="O743" i="5"/>
  <c r="D745" i="5"/>
  <c r="E745" i="5" s="1"/>
  <c r="L738" i="5"/>
  <c r="D666" i="5"/>
  <c r="E666" i="5" s="1"/>
  <c r="H674" i="5"/>
  <c r="AA666" i="5" s="1"/>
  <c r="H675" i="5"/>
  <c r="D671" i="5"/>
  <c r="O664" i="5"/>
  <c r="D665" i="5"/>
  <c r="E665" i="5" s="1"/>
  <c r="O672" i="5"/>
  <c r="L658" i="5"/>
  <c r="O654" i="5"/>
  <c r="O650" i="5"/>
  <c r="O649" i="5"/>
  <c r="O655" i="5"/>
  <c r="E649" i="5"/>
  <c r="O657" i="5"/>
  <c r="O576" i="5"/>
  <c r="L582" i="5"/>
  <c r="O573" i="5"/>
  <c r="L581" i="5"/>
  <c r="P581" i="5" s="1"/>
  <c r="O578" i="5"/>
  <c r="D562" i="5"/>
  <c r="E562" i="5" s="1"/>
  <c r="O566" i="5"/>
  <c r="D568" i="5"/>
  <c r="S565" i="5"/>
  <c r="AV11" i="40" s="1"/>
  <c r="W565" i="5"/>
  <c r="L564" i="5"/>
  <c r="O568" i="5"/>
  <c r="L559" i="5"/>
  <c r="D490" i="5"/>
  <c r="E490" i="5" s="1"/>
  <c r="L490" i="5"/>
  <c r="L488" i="5"/>
  <c r="D487" i="5"/>
  <c r="E487" i="5" s="1"/>
  <c r="O491" i="5"/>
  <c r="O485" i="5"/>
  <c r="L489" i="5"/>
  <c r="P489" i="5" s="1"/>
  <c r="D471" i="5"/>
  <c r="L475" i="5"/>
  <c r="P475" i="5" s="1"/>
  <c r="H479" i="5"/>
  <c r="AA471" i="5" s="1"/>
  <c r="H480" i="5"/>
  <c r="D470" i="5"/>
  <c r="E470" i="5" s="1"/>
  <c r="D477" i="5"/>
  <c r="O473" i="5"/>
  <c r="D475" i="5"/>
  <c r="E475" i="5" s="1"/>
  <c r="L468" i="5"/>
  <c r="O993" i="5"/>
  <c r="L995" i="5"/>
  <c r="D996" i="5"/>
  <c r="E996" i="5" s="1"/>
  <c r="D999" i="5"/>
  <c r="E999" i="5" s="1"/>
  <c r="F1005" i="5"/>
  <c r="F1004" i="5"/>
  <c r="H914" i="5"/>
  <c r="AA906" i="5" s="1"/>
  <c r="H915" i="5"/>
  <c r="O905" i="5"/>
  <c r="L909" i="5"/>
  <c r="P909" i="5" s="1"/>
  <c r="L904" i="5"/>
  <c r="P904" i="5" s="1"/>
  <c r="O906" i="5"/>
  <c r="L913" i="5"/>
  <c r="H824" i="5"/>
  <c r="W816" i="5" s="1"/>
  <c r="H825" i="5"/>
  <c r="O815" i="5"/>
  <c r="L819" i="5"/>
  <c r="P819" i="5" s="1"/>
  <c r="L814" i="5"/>
  <c r="P814" i="5" s="1"/>
  <c r="O816" i="5"/>
  <c r="L823" i="5"/>
  <c r="H734" i="5"/>
  <c r="AA726" i="5" s="1"/>
  <c r="H735" i="5"/>
  <c r="O725" i="5"/>
  <c r="L729" i="5"/>
  <c r="P729" i="5" s="1"/>
  <c r="L724" i="5"/>
  <c r="P724" i="5" s="1"/>
  <c r="O726" i="5"/>
  <c r="L733" i="5"/>
  <c r="H644" i="5"/>
  <c r="W636" i="5" s="1"/>
  <c r="H645" i="5"/>
  <c r="O635" i="5"/>
  <c r="L639" i="5"/>
  <c r="P639" i="5" s="1"/>
  <c r="L634" i="5"/>
  <c r="P634" i="5" s="1"/>
  <c r="O636" i="5"/>
  <c r="L643" i="5"/>
  <c r="H554" i="5"/>
  <c r="AA546" i="5" s="1"/>
  <c r="H555" i="5"/>
  <c r="O545" i="5"/>
  <c r="L549" i="5"/>
  <c r="P549" i="5" s="1"/>
  <c r="L544" i="5"/>
  <c r="P544" i="5" s="1"/>
  <c r="O546" i="5"/>
  <c r="L553" i="5"/>
  <c r="O413" i="5"/>
  <c r="F419" i="5"/>
  <c r="F420" i="5"/>
  <c r="O415" i="5"/>
  <c r="L408" i="5"/>
  <c r="D411" i="5"/>
  <c r="E411" i="5" s="1"/>
  <c r="L417" i="5"/>
  <c r="D418" i="5"/>
  <c r="I419" i="5"/>
  <c r="I420" i="5"/>
  <c r="S410" i="5"/>
  <c r="M69" i="40" s="1"/>
  <c r="W410" i="5"/>
  <c r="AA410" i="5"/>
  <c r="O323" i="5"/>
  <c r="F329" i="5"/>
  <c r="F330" i="5"/>
  <c r="O325" i="5"/>
  <c r="L318" i="5"/>
  <c r="D321" i="5"/>
  <c r="E321" i="5" s="1"/>
  <c r="L327" i="5"/>
  <c r="D328" i="5"/>
  <c r="I329" i="5"/>
  <c r="I330" i="5"/>
  <c r="W320" i="5"/>
  <c r="S320" i="5"/>
  <c r="M56" i="40" s="1"/>
  <c r="AA320" i="5"/>
  <c r="O233" i="5"/>
  <c r="F239" i="5"/>
  <c r="F240" i="5"/>
  <c r="O235" i="5"/>
  <c r="L228" i="5"/>
  <c r="D231" i="5"/>
  <c r="E231" i="5" s="1"/>
  <c r="L237" i="5"/>
  <c r="D238" i="5"/>
  <c r="I239" i="5"/>
  <c r="I240" i="5"/>
  <c r="W230" i="5"/>
  <c r="S230" i="5"/>
  <c r="M53" i="40" s="1"/>
  <c r="AA230" i="5"/>
  <c r="O143" i="5"/>
  <c r="F149" i="5"/>
  <c r="F150" i="5"/>
  <c r="O145" i="5"/>
  <c r="L138" i="5"/>
  <c r="D141" i="5"/>
  <c r="E141" i="5" s="1"/>
  <c r="L147" i="5"/>
  <c r="D148" i="5"/>
  <c r="I149" i="5"/>
  <c r="I150" i="5"/>
  <c r="S140" i="5"/>
  <c r="M20" i="40" s="1"/>
  <c r="W140" i="5"/>
  <c r="AA140" i="5"/>
  <c r="O53" i="5"/>
  <c r="F59" i="5"/>
  <c r="F60" i="5"/>
  <c r="O55" i="5"/>
  <c r="L48" i="5"/>
  <c r="D51" i="5"/>
  <c r="E51" i="5" s="1"/>
  <c r="L57" i="5"/>
  <c r="D58" i="5"/>
  <c r="I59" i="5"/>
  <c r="I60" i="5"/>
  <c r="W50" i="5"/>
  <c r="S50" i="5"/>
  <c r="M19" i="40" s="1"/>
  <c r="AA50" i="5"/>
  <c r="D400" i="5"/>
  <c r="E400" i="5" s="1"/>
  <c r="L393" i="5"/>
  <c r="O397" i="5"/>
  <c r="D402" i="5"/>
  <c r="E402" i="5" s="1"/>
  <c r="L403" i="5"/>
  <c r="D399" i="5"/>
  <c r="E394" i="5"/>
  <c r="L379" i="5"/>
  <c r="P379" i="5" s="1"/>
  <c r="D382" i="5"/>
  <c r="E382" i="5" s="1"/>
  <c r="L381" i="5"/>
  <c r="P381" i="5" s="1"/>
  <c r="L386" i="5"/>
  <c r="O312" i="5"/>
  <c r="L305" i="5"/>
  <c r="P305" i="5" s="1"/>
  <c r="I314" i="5"/>
  <c r="I315" i="5"/>
  <c r="W305" i="5"/>
  <c r="S305" i="5"/>
  <c r="M49" i="40" s="1"/>
  <c r="AA305" i="5"/>
  <c r="L307" i="5"/>
  <c r="F315" i="5"/>
  <c r="F314" i="5"/>
  <c r="S310" i="5"/>
  <c r="AV49" i="40" s="1"/>
  <c r="W310" i="5"/>
  <c r="L288" i="5"/>
  <c r="D291" i="5"/>
  <c r="E291" i="5" s="1"/>
  <c r="L297" i="5"/>
  <c r="D294" i="5"/>
  <c r="E294" i="5" s="1"/>
  <c r="I299" i="5"/>
  <c r="I300" i="5"/>
  <c r="W290" i="5"/>
  <c r="S290" i="5"/>
  <c r="M44" i="40" s="1"/>
  <c r="AA290" i="5"/>
  <c r="F300" i="5"/>
  <c r="F299" i="5"/>
  <c r="O288" i="5"/>
  <c r="D295" i="5"/>
  <c r="D297" i="5"/>
  <c r="E297" i="5" s="1"/>
  <c r="O218" i="5"/>
  <c r="L214" i="5"/>
  <c r="P214" i="5" s="1"/>
  <c r="O219" i="5"/>
  <c r="L216" i="5"/>
  <c r="D215" i="5"/>
  <c r="E215" i="5" s="1"/>
  <c r="D206" i="5"/>
  <c r="E206" i="5" s="1"/>
  <c r="L203" i="5"/>
  <c r="P203" i="5" s="1"/>
  <c r="L202" i="5"/>
  <c r="P202" i="5" s="1"/>
  <c r="D130" i="5"/>
  <c r="L123" i="5"/>
  <c r="O127" i="5"/>
  <c r="D132" i="5"/>
  <c r="E132" i="5" s="1"/>
  <c r="L133" i="5"/>
  <c r="D129" i="5"/>
  <c r="E124" i="5"/>
  <c r="L109" i="5"/>
  <c r="P109" i="5" s="1"/>
  <c r="D112" i="5"/>
  <c r="E112" i="5" s="1"/>
  <c r="L111" i="5"/>
  <c r="P111" i="5" s="1"/>
  <c r="L116" i="5"/>
  <c r="O42" i="5"/>
  <c r="L35" i="5"/>
  <c r="P35" i="5" s="1"/>
  <c r="I44" i="5"/>
  <c r="I45" i="5"/>
  <c r="S35" i="5"/>
  <c r="M33" i="40" s="1"/>
  <c r="W35" i="5"/>
  <c r="AA35" i="5"/>
  <c r="L37" i="5"/>
  <c r="F45" i="5"/>
  <c r="F44" i="5"/>
  <c r="S40" i="5"/>
  <c r="AV33" i="40" s="1"/>
  <c r="W40" i="5"/>
  <c r="L18" i="5"/>
  <c r="D21" i="5"/>
  <c r="E21" i="5" s="1"/>
  <c r="L27" i="5"/>
  <c r="D24" i="5"/>
  <c r="E24" i="5" s="1"/>
  <c r="I29" i="5"/>
  <c r="I30" i="5"/>
  <c r="W20" i="5"/>
  <c r="S20" i="5"/>
  <c r="M40" i="40" s="1"/>
  <c r="AA20" i="5"/>
  <c r="F30" i="5"/>
  <c r="F29" i="5"/>
  <c r="O18" i="5"/>
  <c r="D25" i="5"/>
  <c r="E25" i="5" s="1"/>
  <c r="D27" i="5"/>
  <c r="E27" i="5" s="1"/>
  <c r="D459" i="5"/>
  <c r="L454" i="5"/>
  <c r="O456" i="5"/>
  <c r="O462" i="5"/>
  <c r="L463" i="5"/>
  <c r="L372" i="5"/>
  <c r="D373" i="5"/>
  <c r="I374" i="5"/>
  <c r="I375" i="5"/>
  <c r="W365" i="5"/>
  <c r="S365" i="5"/>
  <c r="M55" i="40" s="1"/>
  <c r="AA365" i="5"/>
  <c r="O363" i="5"/>
  <c r="E364" i="5"/>
  <c r="O372" i="5"/>
  <c r="O367" i="5"/>
  <c r="L282" i="5"/>
  <c r="P282" i="5" s="1"/>
  <c r="D283" i="5"/>
  <c r="I284" i="5"/>
  <c r="I285" i="5"/>
  <c r="S275" i="5"/>
  <c r="M36" i="40" s="1"/>
  <c r="W275" i="5"/>
  <c r="AA275" i="5"/>
  <c r="O273" i="5"/>
  <c r="E274" i="5"/>
  <c r="O282" i="5"/>
  <c r="O277" i="5"/>
  <c r="L192" i="5"/>
  <c r="P192" i="5" s="1"/>
  <c r="D193" i="5"/>
  <c r="I194" i="5"/>
  <c r="I195" i="5"/>
  <c r="S185" i="5"/>
  <c r="M10" i="40" s="1"/>
  <c r="W185" i="5"/>
  <c r="AA185" i="5"/>
  <c r="O183" i="5"/>
  <c r="E184" i="5"/>
  <c r="O192" i="5"/>
  <c r="O187" i="5"/>
  <c r="L102" i="5"/>
  <c r="D103" i="5"/>
  <c r="I104" i="5"/>
  <c r="I105" i="5"/>
  <c r="W95" i="5"/>
  <c r="S95" i="5"/>
  <c r="M2" i="40" s="1"/>
  <c r="AA95" i="5"/>
  <c r="O93" i="5"/>
  <c r="E94" i="5"/>
  <c r="O102" i="5"/>
  <c r="O97" i="5"/>
  <c r="L12" i="5"/>
  <c r="D13" i="5"/>
  <c r="I14" i="5"/>
  <c r="I15" i="5"/>
  <c r="S5" i="5"/>
  <c r="M65" i="40" s="1"/>
  <c r="W5" i="5"/>
  <c r="AA5" i="5"/>
  <c r="O3" i="5"/>
  <c r="E4" i="5"/>
  <c r="O12" i="5"/>
  <c r="O7" i="5"/>
  <c r="L441" i="5"/>
  <c r="S445" i="5"/>
  <c r="AV17" i="40" s="1"/>
  <c r="W445" i="5"/>
  <c r="O448" i="5"/>
  <c r="O441" i="5"/>
  <c r="L447" i="5"/>
  <c r="P447" i="5" s="1"/>
  <c r="S430" i="5"/>
  <c r="AV6" i="40" s="1"/>
  <c r="W430" i="5"/>
  <c r="L429" i="5"/>
  <c r="P429" i="5" s="1"/>
  <c r="O433" i="5"/>
  <c r="L424" i="5"/>
  <c r="D427" i="5"/>
  <c r="E427" i="5" s="1"/>
  <c r="L426" i="5"/>
  <c r="P426" i="5" s="1"/>
  <c r="D353" i="5"/>
  <c r="D357" i="5"/>
  <c r="L355" i="5"/>
  <c r="P355" i="5" s="1"/>
  <c r="S336" i="5"/>
  <c r="T54" i="40" s="1"/>
  <c r="W336" i="5"/>
  <c r="S338" i="5"/>
  <c r="AH54" i="40" s="1"/>
  <c r="W338" i="5"/>
  <c r="D342" i="5"/>
  <c r="E342" i="5" s="1"/>
  <c r="O338" i="5"/>
  <c r="L333" i="5"/>
  <c r="D336" i="5"/>
  <c r="E336" i="5" s="1"/>
  <c r="L342" i="5"/>
  <c r="P342" i="5" s="1"/>
  <c r="I269" i="5"/>
  <c r="I270" i="5"/>
  <c r="W260" i="5"/>
  <c r="S260" i="5"/>
  <c r="M23" i="40" s="1"/>
  <c r="AA260" i="5"/>
  <c r="L262" i="5"/>
  <c r="P262" i="5" s="1"/>
  <c r="F270" i="5"/>
  <c r="F269" i="5"/>
  <c r="O265" i="5"/>
  <c r="D264" i="5"/>
  <c r="O245" i="5"/>
  <c r="O244" i="5"/>
  <c r="O250" i="5"/>
  <c r="E244" i="5"/>
  <c r="O252" i="5"/>
  <c r="D251" i="5"/>
  <c r="E251" i="5" s="1"/>
  <c r="L248" i="5"/>
  <c r="L247" i="5"/>
  <c r="P247" i="5" s="1"/>
  <c r="L171" i="5"/>
  <c r="P171" i="5" s="1"/>
  <c r="S175" i="5"/>
  <c r="AV43" i="40" s="1"/>
  <c r="W175" i="5"/>
  <c r="O178" i="5"/>
  <c r="O171" i="5"/>
  <c r="L177" i="5"/>
  <c r="P177" i="5" s="1"/>
  <c r="S160" i="5"/>
  <c r="AV25" i="40" s="1"/>
  <c r="W160" i="5"/>
  <c r="L159" i="5"/>
  <c r="P159" i="5" s="1"/>
  <c r="O163" i="5"/>
  <c r="L154" i="5"/>
  <c r="D157" i="5"/>
  <c r="E157" i="5" s="1"/>
  <c r="L156" i="5"/>
  <c r="P156" i="5" s="1"/>
  <c r="D83" i="5"/>
  <c r="D87" i="5"/>
  <c r="L85" i="5"/>
  <c r="P85" i="5" s="1"/>
  <c r="S66" i="5"/>
  <c r="T39" i="40" s="1"/>
  <c r="W66" i="5"/>
  <c r="AA68" i="5"/>
  <c r="D72" i="5"/>
  <c r="E72" i="5" s="1"/>
  <c r="O68" i="5"/>
  <c r="L63" i="5"/>
  <c r="D66" i="5"/>
  <c r="E66" i="5" s="1"/>
  <c r="L72" i="5"/>
  <c r="P72" i="5" s="1"/>
  <c r="I1544" i="5"/>
  <c r="I1545" i="5"/>
  <c r="W1535" i="5"/>
  <c r="M90" i="40" s="1"/>
  <c r="S1535" i="5"/>
  <c r="AA1535" i="5"/>
  <c r="L1537" i="5"/>
  <c r="P1537" i="5" s="1"/>
  <c r="F1544" i="5"/>
  <c r="F1545" i="5"/>
  <c r="L1782" i="5"/>
  <c r="D1783" i="5"/>
  <c r="I1784" i="5"/>
  <c r="I1785" i="5"/>
  <c r="S1775" i="5"/>
  <c r="W1775" i="5"/>
  <c r="M98" i="40" s="1"/>
  <c r="AA1775" i="5"/>
  <c r="O1773" i="5"/>
  <c r="E1774" i="5"/>
  <c r="O1782" i="5"/>
  <c r="O1777" i="5"/>
  <c r="L1693" i="5"/>
  <c r="D1689" i="5"/>
  <c r="E1689" i="5" s="1"/>
  <c r="L1691" i="5"/>
  <c r="P1691" i="5" s="1"/>
  <c r="O1693" i="5"/>
  <c r="D1685" i="5"/>
  <c r="E1685" i="5" s="1"/>
  <c r="O1599" i="5"/>
  <c r="O1594" i="5"/>
  <c r="L1595" i="5"/>
  <c r="L1763" i="5"/>
  <c r="O1766" i="5"/>
  <c r="O1760" i="5"/>
  <c r="L1764" i="5"/>
  <c r="L1758" i="5"/>
  <c r="O1762" i="5"/>
  <c r="D1768" i="5"/>
  <c r="L1768" i="5"/>
  <c r="O1745" i="5"/>
  <c r="O1744" i="5"/>
  <c r="O1750" i="5"/>
  <c r="O1752" i="5"/>
  <c r="D1751" i="5"/>
  <c r="E1751" i="5" s="1"/>
  <c r="L1748" i="5"/>
  <c r="L1747" i="5"/>
  <c r="P1747" i="5" s="1"/>
  <c r="L1671" i="5"/>
  <c r="W1675" i="5"/>
  <c r="AV79" i="40" s="1"/>
  <c r="S1675" i="5"/>
  <c r="O1678" i="5"/>
  <c r="O1671" i="5"/>
  <c r="L1677" i="5"/>
  <c r="P1677" i="5" s="1"/>
  <c r="I1664" i="5"/>
  <c r="I1665" i="5"/>
  <c r="W1655" i="5"/>
  <c r="M101" i="40" s="1"/>
  <c r="S1655" i="5"/>
  <c r="AA1655" i="5"/>
  <c r="F1665" i="5"/>
  <c r="F1664" i="5"/>
  <c r="O1653" i="5"/>
  <c r="D1658" i="5"/>
  <c r="O1657" i="5"/>
  <c r="L1660" i="5"/>
  <c r="D1586" i="5"/>
  <c r="E1586" i="5" s="1"/>
  <c r="O1579" i="5"/>
  <c r="S1583" i="5"/>
  <c r="W1583" i="5"/>
  <c r="AH110" i="40" s="1"/>
  <c r="AA1583" i="5"/>
  <c r="D1580" i="5"/>
  <c r="E1580" i="5" s="1"/>
  <c r="O1587" i="5"/>
  <c r="L1580" i="5"/>
  <c r="D1582" i="5"/>
  <c r="E1582" i="5" s="1"/>
  <c r="L1569" i="5"/>
  <c r="P1569" i="5" s="1"/>
  <c r="O1573" i="5"/>
  <c r="L1564" i="5"/>
  <c r="L1566" i="5"/>
  <c r="P1566" i="5" s="1"/>
  <c r="O1519" i="5"/>
  <c r="O1525" i="5"/>
  <c r="O1522" i="5"/>
  <c r="O1526" i="5"/>
  <c r="O1524" i="5"/>
  <c r="O1527" i="5"/>
  <c r="S1480" i="5"/>
  <c r="W1480" i="5"/>
  <c r="AV122" i="40" s="1"/>
  <c r="O1483" i="5"/>
  <c r="O1476" i="5"/>
  <c r="L1482" i="5"/>
  <c r="P1482" i="5" s="1"/>
  <c r="O1461" i="5"/>
  <c r="L1468" i="5"/>
  <c r="O1464" i="5"/>
  <c r="O1460" i="5"/>
  <c r="H1394" i="5"/>
  <c r="S1386" i="5" s="1"/>
  <c r="H1395" i="5"/>
  <c r="O1384" i="5"/>
  <c r="S1388" i="5"/>
  <c r="W1388" i="5"/>
  <c r="AH88" i="40" s="1"/>
  <c r="AA1388" i="5"/>
  <c r="D1385" i="5"/>
  <c r="E1385" i="5" s="1"/>
  <c r="O1392" i="5"/>
  <c r="L1385" i="5"/>
  <c r="I1395" i="5"/>
  <c r="I1394" i="5"/>
  <c r="W1385" i="5"/>
  <c r="M88" i="40" s="1"/>
  <c r="S1385" i="5"/>
  <c r="AA1385" i="5"/>
  <c r="L1387" i="5"/>
  <c r="S1373" i="5"/>
  <c r="W1373" i="5"/>
  <c r="AH121" i="40" s="1"/>
  <c r="O1373" i="5"/>
  <c r="L1368" i="5"/>
  <c r="P1368" i="5" s="1"/>
  <c r="L1377" i="5"/>
  <c r="P1377" i="5" s="1"/>
  <c r="I1379" i="5"/>
  <c r="I1380" i="5"/>
  <c r="S1370" i="5"/>
  <c r="W1370" i="5"/>
  <c r="M121" i="40" s="1"/>
  <c r="AA1370" i="5"/>
  <c r="F1379" i="5"/>
  <c r="F1380" i="5"/>
  <c r="D1298" i="5"/>
  <c r="L1300" i="5"/>
  <c r="P1300" i="5" s="1"/>
  <c r="L1298" i="5"/>
  <c r="P1298" i="5" s="1"/>
  <c r="O1301" i="5"/>
  <c r="L1286" i="5"/>
  <c r="P1286" i="5" s="1"/>
  <c r="L1280" i="5"/>
  <c r="O1286" i="5"/>
  <c r="D1288" i="5"/>
  <c r="O1203" i="5"/>
  <c r="L1211" i="5"/>
  <c r="O1208" i="5"/>
  <c r="L1204" i="5"/>
  <c r="O1209" i="5"/>
  <c r="L1206" i="5"/>
  <c r="P1206" i="5" s="1"/>
  <c r="D1211" i="5"/>
  <c r="E1211" i="5" s="1"/>
  <c r="O1189" i="5"/>
  <c r="O1195" i="5"/>
  <c r="O1197" i="5"/>
  <c r="D1196" i="5"/>
  <c r="E1196" i="5" s="1"/>
  <c r="L1193" i="5"/>
  <c r="L1192" i="5"/>
  <c r="P1192" i="5" s="1"/>
  <c r="F1124" i="5"/>
  <c r="F1125" i="5"/>
  <c r="O1120" i="5"/>
  <c r="E1114" i="5"/>
  <c r="O1098" i="5"/>
  <c r="O1102" i="5"/>
  <c r="L1105" i="5"/>
  <c r="O1025" i="5"/>
  <c r="L1029" i="5"/>
  <c r="L1023" i="5"/>
  <c r="O1027" i="5"/>
  <c r="L1033" i="5"/>
  <c r="D1029" i="5"/>
  <c r="E1029" i="5" s="1"/>
  <c r="O1011" i="5"/>
  <c r="L1018" i="5"/>
  <c r="O1014" i="5"/>
  <c r="O1010" i="5"/>
  <c r="O1512" i="5"/>
  <c r="O1507" i="5"/>
  <c r="L1510" i="5"/>
  <c r="P1510" i="5" s="1"/>
  <c r="L1506" i="5"/>
  <c r="P1506" i="5" s="1"/>
  <c r="O1508" i="5"/>
  <c r="F1515" i="5"/>
  <c r="F1514" i="5"/>
  <c r="D1452" i="5"/>
  <c r="D1448" i="5"/>
  <c r="D1447" i="5"/>
  <c r="E1447" i="5" s="1"/>
  <c r="O1449" i="5"/>
  <c r="O1444" i="5"/>
  <c r="O1362" i="5"/>
  <c r="O1357" i="5"/>
  <c r="L1360" i="5"/>
  <c r="P1360" i="5" s="1"/>
  <c r="L1356" i="5"/>
  <c r="P1356" i="5" s="1"/>
  <c r="O1358" i="5"/>
  <c r="F1365" i="5"/>
  <c r="F1364" i="5"/>
  <c r="O1273" i="5"/>
  <c r="D1265" i="5"/>
  <c r="E1265" i="5" s="1"/>
  <c r="D1271" i="5"/>
  <c r="H1274" i="5"/>
  <c r="W1266" i="5" s="1"/>
  <c r="T85" i="40" s="1"/>
  <c r="H1275" i="5"/>
  <c r="O1265" i="5"/>
  <c r="L1269" i="5"/>
  <c r="P1269" i="5" s="1"/>
  <c r="D1180" i="5"/>
  <c r="S1180" i="5"/>
  <c r="W1180" i="5"/>
  <c r="AV114" i="40" s="1"/>
  <c r="L1175" i="5"/>
  <c r="P1175" i="5" s="1"/>
  <c r="L1178" i="5"/>
  <c r="P1178" i="5" s="1"/>
  <c r="L1177" i="5"/>
  <c r="P1177" i="5" s="1"/>
  <c r="O1181" i="5"/>
  <c r="O1090" i="5"/>
  <c r="L1083" i="5"/>
  <c r="D1086" i="5"/>
  <c r="E1086" i="5" s="1"/>
  <c r="L1092" i="5"/>
  <c r="P1092" i="5" s="1"/>
  <c r="D1093" i="5"/>
  <c r="I1094" i="5"/>
  <c r="I1095" i="5"/>
  <c r="W1085" i="5"/>
  <c r="M87" i="40" s="1"/>
  <c r="S1085" i="5"/>
  <c r="AA1085" i="5"/>
  <c r="O1083" i="5"/>
  <c r="W1086" i="5"/>
  <c r="T87" i="40" s="1"/>
  <c r="S1086" i="5"/>
  <c r="D1431" i="5"/>
  <c r="D1436" i="5"/>
  <c r="O1429" i="5"/>
  <c r="D1430" i="5"/>
  <c r="E1430" i="5" s="1"/>
  <c r="O1437" i="5"/>
  <c r="L1416" i="5"/>
  <c r="L1421" i="5"/>
  <c r="P1421" i="5" s="1"/>
  <c r="L1415" i="5"/>
  <c r="P1415" i="5" s="1"/>
  <c r="L1338" i="5"/>
  <c r="O1342" i="5"/>
  <c r="D1347" i="5"/>
  <c r="L1348" i="5"/>
  <c r="E1339" i="5"/>
  <c r="L1333" i="5"/>
  <c r="O1329" i="5"/>
  <c r="O1325" i="5"/>
  <c r="O1324" i="5"/>
  <c r="O1330" i="5"/>
  <c r="O1332" i="5"/>
  <c r="O1251" i="5"/>
  <c r="L1257" i="5"/>
  <c r="O1248" i="5"/>
  <c r="L1256" i="5"/>
  <c r="P1256" i="5" s="1"/>
  <c r="O1253" i="5"/>
  <c r="L1242" i="5"/>
  <c r="D1239" i="5"/>
  <c r="E1239" i="5" s="1"/>
  <c r="I1244" i="5"/>
  <c r="I1245" i="5"/>
  <c r="W1235" i="5"/>
  <c r="M93" i="40" s="1"/>
  <c r="S1235" i="5"/>
  <c r="AA1235" i="5"/>
  <c r="F1245" i="5"/>
  <c r="F1244" i="5"/>
  <c r="O1233" i="5"/>
  <c r="D1238" i="5"/>
  <c r="O1237" i="5"/>
  <c r="L1160" i="5"/>
  <c r="P1160" i="5" s="1"/>
  <c r="I1169" i="5"/>
  <c r="I1170" i="5"/>
  <c r="S1160" i="5"/>
  <c r="W1160" i="5"/>
  <c r="M118" i="40" s="1"/>
  <c r="AA1160" i="5"/>
  <c r="L1162" i="5"/>
  <c r="F1170" i="5"/>
  <c r="F1169" i="5"/>
  <c r="O1165" i="5"/>
  <c r="D1147" i="5"/>
  <c r="E1147" i="5" s="1"/>
  <c r="O1151" i="5"/>
  <c r="D1153" i="5"/>
  <c r="L1149" i="5"/>
  <c r="O1153" i="5"/>
  <c r="L1144" i="5"/>
  <c r="S1071" i="5"/>
  <c r="W1071" i="5"/>
  <c r="T91" i="40" s="1"/>
  <c r="D1075" i="5"/>
  <c r="E1075" i="5" s="1"/>
  <c r="L1075" i="5"/>
  <c r="L1073" i="5"/>
  <c r="D1072" i="5"/>
  <c r="E1072" i="5" s="1"/>
  <c r="O1076" i="5"/>
  <c r="O1070" i="5"/>
  <c r="L1074" i="5"/>
  <c r="P1074" i="5" s="1"/>
  <c r="D1061" i="5"/>
  <c r="E1061" i="5" s="1"/>
  <c r="L1058" i="5"/>
  <c r="P1058" i="5" s="1"/>
  <c r="L1057" i="5"/>
  <c r="O1056" i="5"/>
  <c r="D1498" i="5"/>
  <c r="I1499" i="5"/>
  <c r="I1500" i="5"/>
  <c r="W1490" i="5"/>
  <c r="M107" i="40" s="1"/>
  <c r="S1490" i="5"/>
  <c r="AA1490" i="5"/>
  <c r="E1489" i="5"/>
  <c r="L1496" i="5"/>
  <c r="P1496" i="5" s="1"/>
  <c r="O1497" i="5"/>
  <c r="O1492" i="5"/>
  <c r="L1495" i="5"/>
  <c r="P1495" i="5" s="1"/>
  <c r="D1404" i="5"/>
  <c r="E1404" i="5" s="1"/>
  <c r="L1406" i="5"/>
  <c r="P1406" i="5" s="1"/>
  <c r="O1408" i="5"/>
  <c r="D1400" i="5"/>
  <c r="E1400" i="5" s="1"/>
  <c r="O1314" i="5"/>
  <c r="O1309" i="5"/>
  <c r="S1313" i="5"/>
  <c r="W1313" i="5"/>
  <c r="AH84" i="40" s="1"/>
  <c r="AA1313" i="5"/>
  <c r="S1315" i="5"/>
  <c r="W1315" i="5"/>
  <c r="AV84" i="40" s="1"/>
  <c r="L1310" i="5"/>
  <c r="L1221" i="5"/>
  <c r="O1223" i="5"/>
  <c r="F1230" i="5"/>
  <c r="F1229" i="5"/>
  <c r="O1225" i="5"/>
  <c r="L1218" i="5"/>
  <c r="D1221" i="5"/>
  <c r="E1221" i="5" s="1"/>
  <c r="L1227" i="5"/>
  <c r="P1227" i="5" s="1"/>
  <c r="H1139" i="5"/>
  <c r="AA1131" i="5" s="1"/>
  <c r="H1140" i="5"/>
  <c r="O1130" i="5"/>
  <c r="L1134" i="5"/>
  <c r="P1134" i="5" s="1"/>
  <c r="L1129" i="5"/>
  <c r="P1129" i="5" s="1"/>
  <c r="O1131" i="5"/>
  <c r="L1138" i="5"/>
  <c r="L1043" i="5"/>
  <c r="P1043" i="5" s="1"/>
  <c r="L1042" i="5"/>
  <c r="O1046" i="5"/>
  <c r="D1042" i="5"/>
  <c r="E1042" i="5" s="1"/>
  <c r="D983" i="5"/>
  <c r="L985" i="5"/>
  <c r="P985" i="5" s="1"/>
  <c r="L983" i="5"/>
  <c r="P983" i="5" s="1"/>
  <c r="O986" i="5"/>
  <c r="O964" i="5"/>
  <c r="O970" i="5"/>
  <c r="O972" i="5"/>
  <c r="D971" i="5"/>
  <c r="E971" i="5" s="1"/>
  <c r="L968" i="5"/>
  <c r="L967" i="5"/>
  <c r="P967" i="5" s="1"/>
  <c r="F900" i="5"/>
  <c r="F899" i="5"/>
  <c r="O895" i="5"/>
  <c r="E889" i="5"/>
  <c r="L879" i="5"/>
  <c r="P879" i="5" s="1"/>
  <c r="O883" i="5"/>
  <c r="L874" i="5"/>
  <c r="L876" i="5"/>
  <c r="P876" i="5" s="1"/>
  <c r="S805" i="5"/>
  <c r="AV34" i="40" s="1"/>
  <c r="W805" i="5"/>
  <c r="O808" i="5"/>
  <c r="O801" i="5"/>
  <c r="L807" i="5"/>
  <c r="P807" i="5" s="1"/>
  <c r="S788" i="5"/>
  <c r="AH68" i="40" s="1"/>
  <c r="W788" i="5"/>
  <c r="AA788" i="5"/>
  <c r="O788" i="5"/>
  <c r="L783" i="5"/>
  <c r="L792" i="5"/>
  <c r="P792" i="5" s="1"/>
  <c r="I795" i="5"/>
  <c r="I794" i="5"/>
  <c r="W785" i="5"/>
  <c r="S785" i="5"/>
  <c r="M68" i="40" s="1"/>
  <c r="AA785" i="5"/>
  <c r="F794" i="5"/>
  <c r="F795" i="5"/>
  <c r="D713" i="5"/>
  <c r="L715" i="5"/>
  <c r="P715" i="5" s="1"/>
  <c r="L713" i="5"/>
  <c r="P713" i="5" s="1"/>
  <c r="O716" i="5"/>
  <c r="O694" i="5"/>
  <c r="O700" i="5"/>
  <c r="O702" i="5"/>
  <c r="D701" i="5"/>
  <c r="E701" i="5" s="1"/>
  <c r="L698" i="5"/>
  <c r="L697" i="5"/>
  <c r="P697" i="5" s="1"/>
  <c r="F630" i="5"/>
  <c r="F629" i="5"/>
  <c r="O625" i="5"/>
  <c r="E619" i="5"/>
  <c r="L609" i="5"/>
  <c r="P609" i="5" s="1"/>
  <c r="O613" i="5"/>
  <c r="L604" i="5"/>
  <c r="L606" i="5"/>
  <c r="P606" i="5" s="1"/>
  <c r="S535" i="5"/>
  <c r="AV31" i="40" s="1"/>
  <c r="W535" i="5"/>
  <c r="O538" i="5"/>
  <c r="O531" i="5"/>
  <c r="L537" i="5"/>
  <c r="P537" i="5" s="1"/>
  <c r="S518" i="5"/>
  <c r="AH27" i="40" s="1"/>
  <c r="W518" i="5"/>
  <c r="O518" i="5"/>
  <c r="L513" i="5"/>
  <c r="L522" i="5"/>
  <c r="P522" i="5" s="1"/>
  <c r="I525" i="5"/>
  <c r="I524" i="5"/>
  <c r="W515" i="5"/>
  <c r="S515" i="5"/>
  <c r="M27" i="40" s="1"/>
  <c r="AA515" i="5"/>
  <c r="F524" i="5"/>
  <c r="F525" i="5"/>
  <c r="D955" i="5"/>
  <c r="S955" i="5"/>
  <c r="AV67" i="40" s="1"/>
  <c r="W955" i="5"/>
  <c r="L950" i="5"/>
  <c r="P950" i="5" s="1"/>
  <c r="L953" i="5"/>
  <c r="P953" i="5" s="1"/>
  <c r="L952" i="5"/>
  <c r="P952" i="5" s="1"/>
  <c r="O956" i="5"/>
  <c r="D865" i="5"/>
  <c r="W865" i="5"/>
  <c r="S865" i="5"/>
  <c r="AV18" i="40" s="1"/>
  <c r="L860" i="5"/>
  <c r="P860" i="5" s="1"/>
  <c r="L863" i="5"/>
  <c r="P863" i="5" s="1"/>
  <c r="L862" i="5"/>
  <c r="P862" i="5" s="1"/>
  <c r="O866" i="5"/>
  <c r="D775" i="5"/>
  <c r="S775" i="5"/>
  <c r="AV48" i="40" s="1"/>
  <c r="W775" i="5"/>
  <c r="L770" i="5"/>
  <c r="P770" i="5" s="1"/>
  <c r="L773" i="5"/>
  <c r="P773" i="5" s="1"/>
  <c r="L772" i="5"/>
  <c r="P772" i="5" s="1"/>
  <c r="O776" i="5"/>
  <c r="D685" i="5"/>
  <c r="S685" i="5"/>
  <c r="AV50" i="40" s="1"/>
  <c r="W685" i="5"/>
  <c r="L680" i="5"/>
  <c r="P680" i="5" s="1"/>
  <c r="L683" i="5"/>
  <c r="P683" i="5" s="1"/>
  <c r="L682" i="5"/>
  <c r="P682" i="5" s="1"/>
  <c r="O686" i="5"/>
  <c r="D595" i="5"/>
  <c r="S595" i="5"/>
  <c r="AV64" i="40" s="1"/>
  <c r="W595" i="5"/>
  <c r="L590" i="5"/>
  <c r="P590" i="5" s="1"/>
  <c r="L593" i="5"/>
  <c r="P593" i="5" s="1"/>
  <c r="L592" i="5"/>
  <c r="P592" i="5" s="1"/>
  <c r="O596" i="5"/>
  <c r="D505" i="5"/>
  <c r="S505" i="5"/>
  <c r="AV46" i="40" s="1"/>
  <c r="W505" i="5"/>
  <c r="L500" i="5"/>
  <c r="P500" i="5" s="1"/>
  <c r="L503" i="5"/>
  <c r="P503" i="5" s="1"/>
  <c r="L502" i="5"/>
  <c r="P502" i="5" s="1"/>
  <c r="O506" i="5"/>
  <c r="L934" i="5"/>
  <c r="P934" i="5" s="1"/>
  <c r="O939" i="5"/>
  <c r="L936" i="5"/>
  <c r="P936" i="5" s="1"/>
  <c r="O943" i="5"/>
  <c r="L921" i="5"/>
  <c r="L926" i="5"/>
  <c r="P926" i="5" s="1"/>
  <c r="L920" i="5"/>
  <c r="P920" i="5" s="1"/>
  <c r="L843" i="5"/>
  <c r="O847" i="5"/>
  <c r="D852" i="5"/>
  <c r="L853" i="5"/>
  <c r="E844" i="5"/>
  <c r="L837" i="5"/>
  <c r="D834" i="5"/>
  <c r="I839" i="5"/>
  <c r="I840" i="5"/>
  <c r="W830" i="5"/>
  <c r="S830" i="5"/>
  <c r="M13" i="40" s="1"/>
  <c r="AA830" i="5"/>
  <c r="F840" i="5"/>
  <c r="F839" i="5"/>
  <c r="O828" i="5"/>
  <c r="D833" i="5"/>
  <c r="S833" i="5" s="1"/>
  <c r="AH13" i="40" s="1"/>
  <c r="O832" i="5"/>
  <c r="L755" i="5"/>
  <c r="P755" i="5" s="1"/>
  <c r="I764" i="5"/>
  <c r="I765" i="5"/>
  <c r="S755" i="5"/>
  <c r="M60" i="40" s="1"/>
  <c r="W755" i="5"/>
  <c r="AA755" i="5"/>
  <c r="L757" i="5"/>
  <c r="F765" i="5"/>
  <c r="F764" i="5"/>
  <c r="O760" i="5"/>
  <c r="D746" i="5"/>
  <c r="E746" i="5" s="1"/>
  <c r="L743" i="5"/>
  <c r="P743" i="5" s="1"/>
  <c r="L742" i="5"/>
  <c r="O741" i="5"/>
  <c r="L664" i="5"/>
  <c r="P664" i="5" s="1"/>
  <c r="O669" i="5"/>
  <c r="L666" i="5"/>
  <c r="P666" i="5" s="1"/>
  <c r="O673" i="5"/>
  <c r="L651" i="5"/>
  <c r="L656" i="5"/>
  <c r="P656" i="5" s="1"/>
  <c r="L650" i="5"/>
  <c r="P650" i="5" s="1"/>
  <c r="L573" i="5"/>
  <c r="O577" i="5"/>
  <c r="D582" i="5"/>
  <c r="L583" i="5"/>
  <c r="E574" i="5"/>
  <c r="L567" i="5"/>
  <c r="D564" i="5"/>
  <c r="E564" i="5" s="1"/>
  <c r="I569" i="5"/>
  <c r="I570" i="5"/>
  <c r="W560" i="5"/>
  <c r="S560" i="5"/>
  <c r="M11" i="40" s="1"/>
  <c r="AA560" i="5"/>
  <c r="F570" i="5"/>
  <c r="F569" i="5"/>
  <c r="O558" i="5"/>
  <c r="D563" i="5"/>
  <c r="AA563" i="5" s="1"/>
  <c r="O562" i="5"/>
  <c r="L485" i="5"/>
  <c r="P485" i="5" s="1"/>
  <c r="I494" i="5"/>
  <c r="I495" i="5"/>
  <c r="W485" i="5"/>
  <c r="S485" i="5"/>
  <c r="M32" i="40" s="1"/>
  <c r="AA485" i="5"/>
  <c r="L487" i="5"/>
  <c r="F495" i="5"/>
  <c r="F494" i="5"/>
  <c r="O490" i="5"/>
  <c r="D476" i="5"/>
  <c r="E476" i="5" s="1"/>
  <c r="L473" i="5"/>
  <c r="P473" i="5" s="1"/>
  <c r="L472" i="5"/>
  <c r="O471" i="5"/>
  <c r="L998" i="5"/>
  <c r="L1000" i="5"/>
  <c r="P1000" i="5" s="1"/>
  <c r="O999" i="5"/>
  <c r="I1004" i="5"/>
  <c r="I1005" i="5"/>
  <c r="W995" i="5"/>
  <c r="S995" i="5"/>
  <c r="M14" i="40" s="1"/>
  <c r="AA995" i="5"/>
  <c r="O995" i="5"/>
  <c r="L999" i="5"/>
  <c r="P999" i="5" s="1"/>
  <c r="L908" i="5"/>
  <c r="P908" i="5" s="1"/>
  <c r="L907" i="5"/>
  <c r="O911" i="5"/>
  <c r="D907" i="5"/>
  <c r="E907" i="5" s="1"/>
  <c r="L818" i="5"/>
  <c r="P818" i="5" s="1"/>
  <c r="L817" i="5"/>
  <c r="O821" i="5"/>
  <c r="D817" i="5"/>
  <c r="E817" i="5" s="1"/>
  <c r="L728" i="5"/>
  <c r="P728" i="5" s="1"/>
  <c r="L727" i="5"/>
  <c r="O731" i="5"/>
  <c r="D727" i="5"/>
  <c r="E727" i="5" s="1"/>
  <c r="L638" i="5"/>
  <c r="P638" i="5" s="1"/>
  <c r="L637" i="5"/>
  <c r="O641" i="5"/>
  <c r="D637" i="5"/>
  <c r="E637" i="5" s="1"/>
  <c r="L548" i="5"/>
  <c r="P548" i="5" s="1"/>
  <c r="L547" i="5"/>
  <c r="O551" i="5"/>
  <c r="D547" i="5"/>
  <c r="E547" i="5" s="1"/>
  <c r="O410" i="5"/>
  <c r="L414" i="5"/>
  <c r="L409" i="5"/>
  <c r="P409" i="5" s="1"/>
  <c r="O411" i="5"/>
  <c r="L418" i="5"/>
  <c r="D414" i="5"/>
  <c r="E414" i="5" s="1"/>
  <c r="O320" i="5"/>
  <c r="L324" i="5"/>
  <c r="L319" i="5"/>
  <c r="P319" i="5" s="1"/>
  <c r="O321" i="5"/>
  <c r="L328" i="5"/>
  <c r="D324" i="5"/>
  <c r="E324" i="5" s="1"/>
  <c r="O230" i="5"/>
  <c r="L234" i="5"/>
  <c r="L229" i="5"/>
  <c r="P229" i="5" s="1"/>
  <c r="O231" i="5"/>
  <c r="L238" i="5"/>
  <c r="D234" i="5"/>
  <c r="E234" i="5" s="1"/>
  <c r="O140" i="5"/>
  <c r="L144" i="5"/>
  <c r="L139" i="5"/>
  <c r="P139" i="5" s="1"/>
  <c r="O141" i="5"/>
  <c r="L148" i="5"/>
  <c r="D144" i="5"/>
  <c r="E144" i="5" s="1"/>
  <c r="O50" i="5"/>
  <c r="L54" i="5"/>
  <c r="L49" i="5"/>
  <c r="P49" i="5" s="1"/>
  <c r="O51" i="5"/>
  <c r="L58" i="5"/>
  <c r="D54" i="5"/>
  <c r="E54" i="5" s="1"/>
  <c r="O400" i="5"/>
  <c r="D396" i="5"/>
  <c r="E396" i="5" s="1"/>
  <c r="O394" i="5"/>
  <c r="O382" i="5"/>
  <c r="L385" i="5"/>
  <c r="P385" i="5" s="1"/>
  <c r="D380" i="5"/>
  <c r="E380" i="5" s="1"/>
  <c r="O383" i="5"/>
  <c r="O313" i="5"/>
  <c r="O306" i="5"/>
  <c r="L312" i="5"/>
  <c r="P312" i="5" s="1"/>
  <c r="O303" i="5"/>
  <c r="L311" i="5"/>
  <c r="P311" i="5" s="1"/>
  <c r="E289" i="5"/>
  <c r="O291" i="5"/>
  <c r="L298" i="5"/>
  <c r="O294" i="5"/>
  <c r="O290" i="5"/>
  <c r="O289" i="5"/>
  <c r="O295" i="5"/>
  <c r="O297" i="5"/>
  <c r="D218" i="5"/>
  <c r="S218" i="5" s="1"/>
  <c r="AH22" i="40" s="1"/>
  <c r="W216" i="5"/>
  <c r="S216" i="5"/>
  <c r="T22" i="40" s="1"/>
  <c r="L220" i="5"/>
  <c r="P220" i="5" s="1"/>
  <c r="L218" i="5"/>
  <c r="P218" i="5" s="1"/>
  <c r="D217" i="5"/>
  <c r="E217" i="5" s="1"/>
  <c r="O221" i="5"/>
  <c r="O215" i="5"/>
  <c r="L219" i="5"/>
  <c r="P219" i="5" s="1"/>
  <c r="S205" i="5"/>
  <c r="AV21" i="40" s="1"/>
  <c r="W205" i="5"/>
  <c r="L200" i="5"/>
  <c r="O206" i="5"/>
  <c r="D208" i="5"/>
  <c r="L204" i="5"/>
  <c r="O208" i="5"/>
  <c r="O130" i="5"/>
  <c r="D126" i="5"/>
  <c r="E126" i="5" s="1"/>
  <c r="O124" i="5"/>
  <c r="O112" i="5"/>
  <c r="L115" i="5"/>
  <c r="P115" i="5" s="1"/>
  <c r="D110" i="5"/>
  <c r="E110" i="5" s="1"/>
  <c r="O113" i="5"/>
  <c r="O43" i="5"/>
  <c r="O36" i="5"/>
  <c r="L42" i="5"/>
  <c r="P42" i="5" s="1"/>
  <c r="O33" i="5"/>
  <c r="L41" i="5"/>
  <c r="P41" i="5" s="1"/>
  <c r="E19" i="5"/>
  <c r="O21" i="5"/>
  <c r="L28" i="5"/>
  <c r="O24" i="5"/>
  <c r="O20" i="5"/>
  <c r="O19" i="5"/>
  <c r="O25" i="5"/>
  <c r="O27" i="5"/>
  <c r="O453" i="5"/>
  <c r="S456" i="5"/>
  <c r="T3" i="40" s="1"/>
  <c r="W456" i="5"/>
  <c r="D458" i="5"/>
  <c r="D461" i="5"/>
  <c r="O463" i="5"/>
  <c r="L373" i="5"/>
  <c r="D369" i="5"/>
  <c r="E369" i="5" s="1"/>
  <c r="L371" i="5"/>
  <c r="P371" i="5" s="1"/>
  <c r="O373" i="5"/>
  <c r="D365" i="5"/>
  <c r="E365" i="5" s="1"/>
  <c r="L283" i="5"/>
  <c r="D279" i="5"/>
  <c r="E279" i="5" s="1"/>
  <c r="L281" i="5"/>
  <c r="P281" i="5" s="1"/>
  <c r="O283" i="5"/>
  <c r="D275" i="5"/>
  <c r="E275" i="5" s="1"/>
  <c r="L193" i="5"/>
  <c r="D189" i="5"/>
  <c r="E189" i="5" s="1"/>
  <c r="L191" i="5"/>
  <c r="P191" i="5" s="1"/>
  <c r="O193" i="5"/>
  <c r="D185" i="5"/>
  <c r="E185" i="5" s="1"/>
  <c r="L103" i="5"/>
  <c r="D99" i="5"/>
  <c r="E99" i="5" s="1"/>
  <c r="L101" i="5"/>
  <c r="P101" i="5" s="1"/>
  <c r="O103" i="5"/>
  <c r="D95" i="5"/>
  <c r="E95" i="5" s="1"/>
  <c r="L13" i="5"/>
  <c r="D9" i="5"/>
  <c r="E9" i="5" s="1"/>
  <c r="L11" i="5"/>
  <c r="P11" i="5" s="1"/>
  <c r="O13" i="5"/>
  <c r="D5" i="5"/>
  <c r="E5" i="5" s="1"/>
  <c r="L443" i="5"/>
  <c r="O446" i="5"/>
  <c r="O440" i="5"/>
  <c r="L444" i="5"/>
  <c r="L438" i="5"/>
  <c r="O442" i="5"/>
  <c r="D448" i="5"/>
  <c r="AA443" i="5" s="1"/>
  <c r="L448" i="5"/>
  <c r="I435" i="5"/>
  <c r="I434" i="5"/>
  <c r="S425" i="5"/>
  <c r="M6" i="40" s="1"/>
  <c r="W425" i="5"/>
  <c r="AA425" i="5"/>
  <c r="F434" i="5"/>
  <c r="F435" i="5"/>
  <c r="O423" i="5"/>
  <c r="D428" i="5"/>
  <c r="W428" i="5" s="1"/>
  <c r="O427" i="5"/>
  <c r="L430" i="5"/>
  <c r="D356" i="5"/>
  <c r="E356" i="5" s="1"/>
  <c r="O349" i="5"/>
  <c r="S353" i="5"/>
  <c r="AH24" i="40" s="1"/>
  <c r="D350" i="5"/>
  <c r="E350" i="5" s="1"/>
  <c r="O357" i="5"/>
  <c r="L350" i="5"/>
  <c r="D352" i="5"/>
  <c r="E352" i="5" s="1"/>
  <c r="O336" i="5"/>
  <c r="L343" i="5"/>
  <c r="O339" i="5"/>
  <c r="O258" i="5"/>
  <c r="W261" i="5"/>
  <c r="S261" i="5"/>
  <c r="T23" i="40" s="1"/>
  <c r="L266" i="5"/>
  <c r="P266" i="5" s="1"/>
  <c r="O263" i="5"/>
  <c r="L259" i="5"/>
  <c r="D261" i="5"/>
  <c r="E261" i="5" s="1"/>
  <c r="O264" i="5"/>
  <c r="L251" i="5"/>
  <c r="P251" i="5" s="1"/>
  <c r="L245" i="5"/>
  <c r="P245" i="5" s="1"/>
  <c r="O251" i="5"/>
  <c r="L173" i="5"/>
  <c r="O176" i="5"/>
  <c r="O170" i="5"/>
  <c r="L174" i="5"/>
  <c r="L168" i="5"/>
  <c r="O172" i="5"/>
  <c r="D178" i="5"/>
  <c r="AA173" i="5" s="1"/>
  <c r="L178" i="5"/>
  <c r="I165" i="5"/>
  <c r="I164" i="5"/>
  <c r="W155" i="5"/>
  <c r="S155" i="5"/>
  <c r="M25" i="40" s="1"/>
  <c r="AA155" i="5"/>
  <c r="F164" i="5"/>
  <c r="F165" i="5"/>
  <c r="O153" i="5"/>
  <c r="D158" i="5"/>
  <c r="S158" i="5" s="1"/>
  <c r="AH25" i="40" s="1"/>
  <c r="O157" i="5"/>
  <c r="L160" i="5"/>
  <c r="D86" i="5"/>
  <c r="E86" i="5" s="1"/>
  <c r="O79" i="5"/>
  <c r="S83" i="5"/>
  <c r="AH41" i="40" s="1"/>
  <c r="D80" i="5"/>
  <c r="E80" i="5" s="1"/>
  <c r="O87" i="5"/>
  <c r="L80" i="5"/>
  <c r="D82" i="5"/>
  <c r="E82" i="5" s="1"/>
  <c r="O66" i="5"/>
  <c r="L73" i="5"/>
  <c r="O69" i="5"/>
  <c r="L1542" i="5"/>
  <c r="P1542" i="5" s="1"/>
  <c r="O1533" i="5"/>
  <c r="L1541" i="5"/>
  <c r="P1541" i="5" s="1"/>
  <c r="L1783" i="5"/>
  <c r="D1779" i="5"/>
  <c r="E1779" i="5" s="1"/>
  <c r="L1781" i="5"/>
  <c r="P1781" i="5" s="1"/>
  <c r="O1783" i="5"/>
  <c r="D1775" i="5"/>
  <c r="E1775" i="5" s="1"/>
  <c r="O1689" i="5"/>
  <c r="O1684" i="5"/>
  <c r="S1688" i="5"/>
  <c r="W1688" i="5"/>
  <c r="AH94" i="40" s="1"/>
  <c r="AA1688" i="5"/>
  <c r="L1685" i="5"/>
  <c r="P1685" i="5" s="1"/>
  <c r="L1600" i="5"/>
  <c r="L1596" i="5"/>
  <c r="O1598" i="5"/>
  <c r="F1605" i="5"/>
  <c r="F1604" i="5"/>
  <c r="O1600" i="5"/>
  <c r="L1593" i="5"/>
  <c r="P1593" i="5" s="1"/>
  <c r="I1769" i="5"/>
  <c r="I1770" i="5"/>
  <c r="S1760" i="5"/>
  <c r="W1760" i="5"/>
  <c r="M92" i="40" s="1"/>
  <c r="AA1760" i="5"/>
  <c r="L1762" i="5"/>
  <c r="P1762" i="5" s="1"/>
  <c r="F1770" i="5"/>
  <c r="F1769" i="5"/>
  <c r="O1765" i="5"/>
  <c r="L1751" i="5"/>
  <c r="L1745" i="5"/>
  <c r="P1745" i="5" s="1"/>
  <c r="O1751" i="5"/>
  <c r="L1673" i="5"/>
  <c r="P1673" i="5" s="1"/>
  <c r="O1676" i="5"/>
  <c r="O1670" i="5"/>
  <c r="L1674" i="5"/>
  <c r="P1674" i="5" s="1"/>
  <c r="L1668" i="5"/>
  <c r="O1672" i="5"/>
  <c r="D1678" i="5"/>
  <c r="W1673" i="5" s="1"/>
  <c r="AH79" i="40" s="1"/>
  <c r="L1678" i="5"/>
  <c r="O1655" i="5"/>
  <c r="O1654" i="5"/>
  <c r="O1660" i="5"/>
  <c r="O1662" i="5"/>
  <c r="D1661" i="5"/>
  <c r="E1661" i="5" s="1"/>
  <c r="L1658" i="5"/>
  <c r="P1658" i="5" s="1"/>
  <c r="L1657" i="5"/>
  <c r="P1657" i="5" s="1"/>
  <c r="L1581" i="5"/>
  <c r="P1581" i="5" s="1"/>
  <c r="O1588" i="5"/>
  <c r="O1581" i="5"/>
  <c r="L1587" i="5"/>
  <c r="P1587" i="5" s="1"/>
  <c r="I1574" i="5"/>
  <c r="I1575" i="5"/>
  <c r="W1565" i="5"/>
  <c r="M82" i="40" s="1"/>
  <c r="S1565" i="5"/>
  <c r="AA1565" i="5"/>
  <c r="F1575" i="5"/>
  <c r="F1574" i="5"/>
  <c r="O1563" i="5"/>
  <c r="D1568" i="5"/>
  <c r="S1568" i="5" s="1"/>
  <c r="O1567" i="5"/>
  <c r="L1570" i="5"/>
  <c r="L1526" i="5"/>
  <c r="P1526" i="5" s="1"/>
  <c r="L1521" i="5"/>
  <c r="P1521" i="5" s="1"/>
  <c r="O1475" i="5"/>
  <c r="L1479" i="5"/>
  <c r="P1479" i="5" s="1"/>
  <c r="L1473" i="5"/>
  <c r="O1477" i="5"/>
  <c r="L1483" i="5"/>
  <c r="D1479" i="5"/>
  <c r="E1479" i="5" s="1"/>
  <c r="L1464" i="5"/>
  <c r="P1464" i="5" s="1"/>
  <c r="O1468" i="5"/>
  <c r="L1459" i="5"/>
  <c r="P1459" i="5" s="1"/>
  <c r="L1461" i="5"/>
  <c r="P1461" i="5" s="1"/>
  <c r="O1393" i="5"/>
  <c r="O1386" i="5"/>
  <c r="L1392" i="5"/>
  <c r="P1392" i="5" s="1"/>
  <c r="O1371" i="5"/>
  <c r="L1378" i="5"/>
  <c r="O1374" i="5"/>
  <c r="O1370" i="5"/>
  <c r="H1304" i="5"/>
  <c r="S1296" i="5" s="1"/>
  <c r="H1305" i="5"/>
  <c r="O1294" i="5"/>
  <c r="S1298" i="5"/>
  <c r="W1298" i="5"/>
  <c r="AH115" i="40" s="1"/>
  <c r="AA1298" i="5"/>
  <c r="D1295" i="5"/>
  <c r="E1295" i="5" s="1"/>
  <c r="O1302" i="5"/>
  <c r="L1295" i="5"/>
  <c r="P1295" i="5" s="1"/>
  <c r="I1305" i="5"/>
  <c r="I1304" i="5"/>
  <c r="W1295" i="5"/>
  <c r="M115" i="40" s="1"/>
  <c r="S1295" i="5"/>
  <c r="AA1295" i="5"/>
  <c r="L1297" i="5"/>
  <c r="P1297" i="5" s="1"/>
  <c r="D1280" i="5"/>
  <c r="E1280" i="5" s="1"/>
  <c r="S1283" i="5"/>
  <c r="W1283" i="5"/>
  <c r="AH86" i="40" s="1"/>
  <c r="AA1283" i="5"/>
  <c r="O1283" i="5"/>
  <c r="L1278" i="5"/>
  <c r="L1287" i="5"/>
  <c r="P1287" i="5" s="1"/>
  <c r="I1289" i="5"/>
  <c r="I1290" i="5"/>
  <c r="S1280" i="5"/>
  <c r="W1280" i="5"/>
  <c r="M86" i="40" s="1"/>
  <c r="AA1280" i="5"/>
  <c r="F1289" i="5"/>
  <c r="F1290" i="5"/>
  <c r="D1208" i="5"/>
  <c r="L1210" i="5"/>
  <c r="P1210" i="5" s="1"/>
  <c r="L1208" i="5"/>
  <c r="P1208" i="5" s="1"/>
  <c r="D1207" i="5"/>
  <c r="E1207" i="5" s="1"/>
  <c r="O1211" i="5"/>
  <c r="L1196" i="5"/>
  <c r="P1196" i="5" s="1"/>
  <c r="L1190" i="5"/>
  <c r="P1190" i="5" s="1"/>
  <c r="O1196" i="5"/>
  <c r="D1198" i="5"/>
  <c r="O1113" i="5"/>
  <c r="W1116" i="5"/>
  <c r="T119" i="40" s="1"/>
  <c r="S1116" i="5"/>
  <c r="L1121" i="5"/>
  <c r="O1118" i="5"/>
  <c r="L1114" i="5"/>
  <c r="P1114" i="5" s="1"/>
  <c r="O1119" i="5"/>
  <c r="L1116" i="5"/>
  <c r="P1116" i="5" s="1"/>
  <c r="O1099" i="5"/>
  <c r="O1105" i="5"/>
  <c r="O1107" i="5"/>
  <c r="D1106" i="5"/>
  <c r="E1106" i="5" s="1"/>
  <c r="L1103" i="5"/>
  <c r="P1103" i="5" s="1"/>
  <c r="L1102" i="5"/>
  <c r="P1102" i="5" s="1"/>
  <c r="F1034" i="5"/>
  <c r="F1035" i="5"/>
  <c r="O1030" i="5"/>
  <c r="D1026" i="5"/>
  <c r="E1026" i="5" s="1"/>
  <c r="L1014" i="5"/>
  <c r="P1014" i="5" s="1"/>
  <c r="O1018" i="5"/>
  <c r="L1009" i="5"/>
  <c r="P1009" i="5" s="1"/>
  <c r="L1011" i="5"/>
  <c r="P1011" i="5" s="1"/>
  <c r="O1513" i="5"/>
  <c r="D1505" i="5"/>
  <c r="E1505" i="5" s="1"/>
  <c r="D1511" i="5"/>
  <c r="O1505" i="5"/>
  <c r="L1509" i="5"/>
  <c r="P1509" i="5" s="1"/>
  <c r="O1452" i="5"/>
  <c r="O1447" i="5"/>
  <c r="L1450" i="5"/>
  <c r="P1450" i="5" s="1"/>
  <c r="L1446" i="5"/>
  <c r="P1446" i="5" s="1"/>
  <c r="O1448" i="5"/>
  <c r="F1455" i="5"/>
  <c r="F1454" i="5"/>
  <c r="O1363" i="5"/>
  <c r="D1355" i="5"/>
  <c r="E1355" i="5" s="1"/>
  <c r="D1361" i="5"/>
  <c r="O1355" i="5"/>
  <c r="L1359" i="5"/>
  <c r="P1359" i="5" s="1"/>
  <c r="D1270" i="5"/>
  <c r="E1270" i="5" s="1"/>
  <c r="L1265" i="5"/>
  <c r="P1265" i="5" s="1"/>
  <c r="L1268" i="5"/>
  <c r="P1268" i="5" s="1"/>
  <c r="L1267" i="5"/>
  <c r="P1267" i="5" s="1"/>
  <c r="O1271" i="5"/>
  <c r="O1180" i="5"/>
  <c r="L1173" i="5"/>
  <c r="L1182" i="5"/>
  <c r="P1182" i="5" s="1"/>
  <c r="D1183" i="5"/>
  <c r="I1184" i="5"/>
  <c r="I1185" i="5"/>
  <c r="W1175" i="5"/>
  <c r="M114" i="40" s="1"/>
  <c r="S1175" i="5"/>
  <c r="AA1175" i="5"/>
  <c r="O1173" i="5"/>
  <c r="L1084" i="5"/>
  <c r="O1086" i="5"/>
  <c r="L1093" i="5"/>
  <c r="D1089" i="5"/>
  <c r="E1089" i="5" s="1"/>
  <c r="L1091" i="5"/>
  <c r="P1091" i="5" s="1"/>
  <c r="L1429" i="5"/>
  <c r="P1429" i="5" s="1"/>
  <c r="O1434" i="5"/>
  <c r="L1431" i="5"/>
  <c r="P1431" i="5" s="1"/>
  <c r="O1438" i="5"/>
  <c r="D1416" i="5"/>
  <c r="E1416" i="5" s="1"/>
  <c r="L1420" i="5"/>
  <c r="P1420" i="5" s="1"/>
  <c r="D1415" i="5"/>
  <c r="E1415" i="5" s="1"/>
  <c r="O1418" i="5"/>
  <c r="L1413" i="5"/>
  <c r="P1413" i="5" s="1"/>
  <c r="D1341" i="5"/>
  <c r="D1346" i="5"/>
  <c r="E1346" i="5" s="1"/>
  <c r="O1339" i="5"/>
  <c r="S1343" i="5"/>
  <c r="D1340" i="5"/>
  <c r="E1340" i="5" s="1"/>
  <c r="O1347" i="5"/>
  <c r="L1326" i="5"/>
  <c r="P1326" i="5" s="1"/>
  <c r="L1331" i="5"/>
  <c r="P1331" i="5" s="1"/>
  <c r="L1325" i="5"/>
  <c r="P1325" i="5" s="1"/>
  <c r="L1248" i="5"/>
  <c r="O1252" i="5"/>
  <c r="D1257" i="5"/>
  <c r="E1257" i="5" s="1"/>
  <c r="L1258" i="5"/>
  <c r="D1254" i="5"/>
  <c r="E1254" i="5" s="1"/>
  <c r="E1249" i="5"/>
  <c r="L1243" i="5"/>
  <c r="O1239" i="5"/>
  <c r="O1235" i="5"/>
  <c r="O1234" i="5"/>
  <c r="O1240" i="5"/>
  <c r="O1242" i="5"/>
  <c r="O1161" i="5"/>
  <c r="L1167" i="5"/>
  <c r="P1167" i="5" s="1"/>
  <c r="O1158" i="5"/>
  <c r="L1166" i="5"/>
  <c r="P1166" i="5" s="1"/>
  <c r="O1163" i="5"/>
  <c r="L1152" i="5"/>
  <c r="I1154" i="5"/>
  <c r="I1155" i="5"/>
  <c r="W1145" i="5"/>
  <c r="M81" i="40" s="1"/>
  <c r="S1145" i="5"/>
  <c r="AA1145" i="5"/>
  <c r="F1155" i="5"/>
  <c r="F1154" i="5"/>
  <c r="O1143" i="5"/>
  <c r="D1148" i="5"/>
  <c r="W1148" i="5" s="1"/>
  <c r="AH81" i="40" s="1"/>
  <c r="O1147" i="5"/>
  <c r="L1070" i="5"/>
  <c r="P1070" i="5" s="1"/>
  <c r="I1079" i="5"/>
  <c r="I1080" i="5"/>
  <c r="W1070" i="5"/>
  <c r="M91" i="40" s="1"/>
  <c r="S1070" i="5"/>
  <c r="AA1070" i="5"/>
  <c r="L1072" i="5"/>
  <c r="P1072" i="5" s="1"/>
  <c r="F1080" i="5"/>
  <c r="F1079" i="5"/>
  <c r="O1075" i="5"/>
  <c r="D1057" i="5"/>
  <c r="E1057" i="5" s="1"/>
  <c r="O1061" i="5"/>
  <c r="D1063" i="5"/>
  <c r="L1059" i="5"/>
  <c r="P1059" i="5" s="1"/>
  <c r="O1063" i="5"/>
  <c r="L1054" i="5"/>
  <c r="P1054" i="5" s="1"/>
  <c r="D1494" i="5"/>
  <c r="E1494" i="5" s="1"/>
  <c r="O1489" i="5"/>
  <c r="S1493" i="5"/>
  <c r="O1498" i="5"/>
  <c r="D1490" i="5"/>
  <c r="E1490" i="5" s="1"/>
  <c r="O1404" i="5"/>
  <c r="O1399" i="5"/>
  <c r="S1403" i="5"/>
  <c r="W1403" i="5"/>
  <c r="AH111" i="40" s="1"/>
  <c r="AA1403" i="5"/>
  <c r="L1400" i="5"/>
  <c r="P1400" i="5" s="1"/>
  <c r="L1311" i="5"/>
  <c r="O1313" i="5"/>
  <c r="F1320" i="5"/>
  <c r="F1319" i="5"/>
  <c r="O1315" i="5"/>
  <c r="L1308" i="5"/>
  <c r="L1317" i="5"/>
  <c r="P1317" i="5" s="1"/>
  <c r="O1220" i="5"/>
  <c r="L1224" i="5"/>
  <c r="P1224" i="5" s="1"/>
  <c r="L1219" i="5"/>
  <c r="P1219" i="5" s="1"/>
  <c r="O1221" i="5"/>
  <c r="L1228" i="5"/>
  <c r="L1133" i="5"/>
  <c r="P1133" i="5" s="1"/>
  <c r="L1132" i="5"/>
  <c r="O1136" i="5"/>
  <c r="D1048" i="5"/>
  <c r="I1049" i="5"/>
  <c r="I1050" i="5"/>
  <c r="S1040" i="5"/>
  <c r="W1040" i="5"/>
  <c r="M83" i="40" s="1"/>
  <c r="AA1040" i="5"/>
  <c r="O1038" i="5"/>
  <c r="E1039" i="5"/>
  <c r="O1047" i="5"/>
  <c r="O1042" i="5"/>
  <c r="L1045" i="5"/>
  <c r="P1045" i="5" s="1"/>
  <c r="H989" i="5"/>
  <c r="AA981" i="5" s="1"/>
  <c r="H990" i="5"/>
  <c r="O979" i="5"/>
  <c r="S983" i="5"/>
  <c r="AH59" i="40" s="1"/>
  <c r="W983" i="5"/>
  <c r="AA983" i="5"/>
  <c r="D980" i="5"/>
  <c r="E980" i="5" s="1"/>
  <c r="O987" i="5"/>
  <c r="L980" i="5"/>
  <c r="P980" i="5" s="1"/>
  <c r="I989" i="5"/>
  <c r="I990" i="5"/>
  <c r="W980" i="5"/>
  <c r="S980" i="5"/>
  <c r="M59" i="40" s="1"/>
  <c r="AA980" i="5"/>
  <c r="L982" i="5"/>
  <c r="P982" i="5" s="1"/>
  <c r="L971" i="5"/>
  <c r="L965" i="5"/>
  <c r="P965" i="5" s="1"/>
  <c r="O971" i="5"/>
  <c r="D973" i="5"/>
  <c r="O888" i="5"/>
  <c r="W891" i="5"/>
  <c r="S891" i="5"/>
  <c r="T51" i="40" s="1"/>
  <c r="L896" i="5"/>
  <c r="O893" i="5"/>
  <c r="L889" i="5"/>
  <c r="P889" i="5" s="1"/>
  <c r="O894" i="5"/>
  <c r="L891" i="5"/>
  <c r="P891" i="5" s="1"/>
  <c r="O873" i="5"/>
  <c r="O877" i="5"/>
  <c r="L880" i="5"/>
  <c r="O800" i="5"/>
  <c r="L804" i="5"/>
  <c r="P804" i="5" s="1"/>
  <c r="L798" i="5"/>
  <c r="O802" i="5"/>
  <c r="L808" i="5"/>
  <c r="D804" i="5"/>
  <c r="E804" i="5" s="1"/>
  <c r="O786" i="5"/>
  <c r="L793" i="5"/>
  <c r="O789" i="5"/>
  <c r="O785" i="5"/>
  <c r="H719" i="5"/>
  <c r="W711" i="5" s="1"/>
  <c r="H720" i="5"/>
  <c r="O709" i="5"/>
  <c r="S713" i="5"/>
  <c r="AH63" i="40" s="1"/>
  <c r="W713" i="5"/>
  <c r="AA713" i="5"/>
  <c r="D710" i="5"/>
  <c r="E710" i="5" s="1"/>
  <c r="O717" i="5"/>
  <c r="L710" i="5"/>
  <c r="P710" i="5" s="1"/>
  <c r="I719" i="5"/>
  <c r="I720" i="5"/>
  <c r="S710" i="5"/>
  <c r="M63" i="40" s="1"/>
  <c r="W710" i="5"/>
  <c r="AA710" i="5"/>
  <c r="L712" i="5"/>
  <c r="P712" i="5" s="1"/>
  <c r="L701" i="5"/>
  <c r="L695" i="5"/>
  <c r="P695" i="5" s="1"/>
  <c r="O701" i="5"/>
  <c r="D703" i="5"/>
  <c r="O618" i="5"/>
  <c r="S621" i="5"/>
  <c r="T15" i="40" s="1"/>
  <c r="W621" i="5"/>
  <c r="L626" i="5"/>
  <c r="O623" i="5"/>
  <c r="L619" i="5"/>
  <c r="P619" i="5" s="1"/>
  <c r="O624" i="5"/>
  <c r="L621" i="5"/>
  <c r="P621" i="5" s="1"/>
  <c r="O603" i="5"/>
  <c r="O607" i="5"/>
  <c r="L610" i="5"/>
  <c r="O530" i="5"/>
  <c r="L534" i="5"/>
  <c r="P534" i="5" s="1"/>
  <c r="L528" i="5"/>
  <c r="O532" i="5"/>
  <c r="L538" i="5"/>
  <c r="D534" i="5"/>
  <c r="E534" i="5" s="1"/>
  <c r="O516" i="5"/>
  <c r="L523" i="5"/>
  <c r="O519" i="5"/>
  <c r="O515" i="5"/>
  <c r="O955" i="5"/>
  <c r="L948" i="5"/>
  <c r="L957" i="5"/>
  <c r="P957" i="5" s="1"/>
  <c r="D958" i="5"/>
  <c r="I959" i="5"/>
  <c r="I960" i="5"/>
  <c r="S950" i="5"/>
  <c r="M67" i="40" s="1"/>
  <c r="W950" i="5"/>
  <c r="AA950" i="5"/>
  <c r="O948" i="5"/>
  <c r="O865" i="5"/>
  <c r="L858" i="5"/>
  <c r="L867" i="5"/>
  <c r="P867" i="5" s="1"/>
  <c r="D868" i="5"/>
  <c r="I869" i="5"/>
  <c r="I870" i="5"/>
  <c r="W860" i="5"/>
  <c r="S860" i="5"/>
  <c r="M18" i="40" s="1"/>
  <c r="AA860" i="5"/>
  <c r="O858" i="5"/>
  <c r="O775" i="5"/>
  <c r="L768" i="5"/>
  <c r="L777" i="5"/>
  <c r="P777" i="5" s="1"/>
  <c r="D778" i="5"/>
  <c r="I779" i="5"/>
  <c r="I780" i="5"/>
  <c r="W770" i="5"/>
  <c r="S770" i="5"/>
  <c r="M48" i="40" s="1"/>
  <c r="AA770" i="5"/>
  <c r="O768" i="5"/>
  <c r="O685" i="5"/>
  <c r="L678" i="5"/>
  <c r="L687" i="5"/>
  <c r="P687" i="5" s="1"/>
  <c r="D688" i="5"/>
  <c r="I689" i="5"/>
  <c r="I690" i="5"/>
  <c r="S680" i="5"/>
  <c r="M50" i="40" s="1"/>
  <c r="W680" i="5"/>
  <c r="AA680" i="5"/>
  <c r="O678" i="5"/>
  <c r="O595" i="5"/>
  <c r="L588" i="5"/>
  <c r="L597" i="5"/>
  <c r="P597" i="5" s="1"/>
  <c r="D598" i="5"/>
  <c r="I599" i="5"/>
  <c r="I600" i="5"/>
  <c r="W590" i="5"/>
  <c r="S590" i="5"/>
  <c r="M64" i="40" s="1"/>
  <c r="AA590" i="5"/>
  <c r="O588" i="5"/>
  <c r="O505" i="5"/>
  <c r="L498" i="5"/>
  <c r="L507" i="5"/>
  <c r="P507" i="5" s="1"/>
  <c r="D508" i="5"/>
  <c r="I509" i="5"/>
  <c r="I510" i="5"/>
  <c r="W500" i="5"/>
  <c r="S500" i="5"/>
  <c r="M46" i="40" s="1"/>
  <c r="AA500" i="5"/>
  <c r="O498" i="5"/>
  <c r="D940" i="5"/>
  <c r="E940" i="5" s="1"/>
  <c r="L940" i="5"/>
  <c r="L938" i="5"/>
  <c r="P938" i="5" s="1"/>
  <c r="D937" i="5"/>
  <c r="E937" i="5" s="1"/>
  <c r="O941" i="5"/>
  <c r="O935" i="5"/>
  <c r="L939" i="5"/>
  <c r="P939" i="5" s="1"/>
  <c r="D921" i="5"/>
  <c r="L925" i="5"/>
  <c r="P925" i="5" s="1"/>
  <c r="D920" i="5"/>
  <c r="E920" i="5" s="1"/>
  <c r="O923" i="5"/>
  <c r="L918" i="5"/>
  <c r="D846" i="5"/>
  <c r="D851" i="5"/>
  <c r="E851" i="5" s="1"/>
  <c r="O844" i="5"/>
  <c r="AA848" i="5"/>
  <c r="D845" i="5"/>
  <c r="E845" i="5" s="1"/>
  <c r="O852" i="5"/>
  <c r="L838" i="5"/>
  <c r="O834" i="5"/>
  <c r="O830" i="5"/>
  <c r="O829" i="5"/>
  <c r="O835" i="5"/>
  <c r="O837" i="5"/>
  <c r="O756" i="5"/>
  <c r="L762" i="5"/>
  <c r="P762" i="5" s="1"/>
  <c r="O753" i="5"/>
  <c r="L761" i="5"/>
  <c r="P761" i="5" s="1"/>
  <c r="O758" i="5"/>
  <c r="D742" i="5"/>
  <c r="E742" i="5" s="1"/>
  <c r="O746" i="5"/>
  <c r="D748" i="5"/>
  <c r="L744" i="5"/>
  <c r="P744" i="5" s="1"/>
  <c r="O748" i="5"/>
  <c r="L739" i="5"/>
  <c r="P739" i="5" s="1"/>
  <c r="D670" i="5"/>
  <c r="E670" i="5" s="1"/>
  <c r="L670" i="5"/>
  <c r="L668" i="5"/>
  <c r="P668" i="5" s="1"/>
  <c r="D667" i="5"/>
  <c r="E667" i="5" s="1"/>
  <c r="O671" i="5"/>
  <c r="O665" i="5"/>
  <c r="L669" i="5"/>
  <c r="P669" i="5" s="1"/>
  <c r="D651" i="5"/>
  <c r="E651" i="5" s="1"/>
  <c r="L655" i="5"/>
  <c r="P655" i="5" s="1"/>
  <c r="D650" i="5"/>
  <c r="E650" i="5" s="1"/>
  <c r="O653" i="5"/>
  <c r="L648" i="5"/>
  <c r="D576" i="5"/>
  <c r="D581" i="5"/>
  <c r="E581" i="5" s="1"/>
  <c r="O574" i="5"/>
  <c r="D575" i="5"/>
  <c r="E575" i="5" s="1"/>
  <c r="O582" i="5"/>
  <c r="L568" i="5"/>
  <c r="O564" i="5"/>
  <c r="O560" i="5"/>
  <c r="O559" i="5"/>
  <c r="O565" i="5"/>
  <c r="O567" i="5"/>
  <c r="O486" i="5"/>
  <c r="L492" i="5"/>
  <c r="P492" i="5" s="1"/>
  <c r="O483" i="5"/>
  <c r="L491" i="5"/>
  <c r="P491" i="5" s="1"/>
  <c r="O488" i="5"/>
  <c r="D472" i="5"/>
  <c r="E472" i="5" s="1"/>
  <c r="O476" i="5"/>
  <c r="D478" i="5"/>
  <c r="L474" i="5"/>
  <c r="P474" i="5" s="1"/>
  <c r="O478" i="5"/>
  <c r="L469" i="5"/>
  <c r="P469" i="5" s="1"/>
  <c r="O994" i="5"/>
  <c r="O1002" i="5"/>
  <c r="O996" i="5"/>
  <c r="D997" i="5"/>
  <c r="E997" i="5" s="1"/>
  <c r="D1001" i="5"/>
  <c r="E1001" i="5" s="1"/>
  <c r="L996" i="5"/>
  <c r="D913" i="5"/>
  <c r="I914" i="5"/>
  <c r="I915" i="5"/>
  <c r="S905" i="5"/>
  <c r="M57" i="40" s="1"/>
  <c r="W905" i="5"/>
  <c r="AA905" i="5"/>
  <c r="O903" i="5"/>
  <c r="E904" i="5"/>
  <c r="O912" i="5"/>
  <c r="O907" i="5"/>
  <c r="L910" i="5"/>
  <c r="P910" i="5" s="1"/>
  <c r="D823" i="5"/>
  <c r="I824" i="5"/>
  <c r="I825" i="5"/>
  <c r="S815" i="5"/>
  <c r="M52" i="40" s="1"/>
  <c r="W815" i="5"/>
  <c r="AA815" i="5"/>
  <c r="O813" i="5"/>
  <c r="E814" i="5"/>
  <c r="O822" i="5"/>
  <c r="O817" i="5"/>
  <c r="L820" i="5"/>
  <c r="P820" i="5" s="1"/>
  <c r="D733" i="5"/>
  <c r="I734" i="5"/>
  <c r="I735" i="5"/>
  <c r="W725" i="5"/>
  <c r="S725" i="5"/>
  <c r="M16" i="40" s="1"/>
  <c r="AA725" i="5"/>
  <c r="O723" i="5"/>
  <c r="E724" i="5"/>
  <c r="O732" i="5"/>
  <c r="O727" i="5"/>
  <c r="L730" i="5"/>
  <c r="P730" i="5" s="1"/>
  <c r="D643" i="5"/>
  <c r="I644" i="5"/>
  <c r="I645" i="5"/>
  <c r="S635" i="5"/>
  <c r="M5" i="40" s="1"/>
  <c r="W635" i="5"/>
  <c r="AA635" i="5"/>
  <c r="O633" i="5"/>
  <c r="E634" i="5"/>
  <c r="O642" i="5"/>
  <c r="O637" i="5"/>
  <c r="L640" i="5"/>
  <c r="P640" i="5" s="1"/>
  <c r="D553" i="5"/>
  <c r="I554" i="5"/>
  <c r="I555" i="5"/>
  <c r="S545" i="5"/>
  <c r="M62" i="40" s="1"/>
  <c r="W545" i="5"/>
  <c r="AA545" i="5"/>
  <c r="O543" i="5"/>
  <c r="E544" i="5"/>
  <c r="O552" i="5"/>
  <c r="O547" i="5"/>
  <c r="L550" i="5"/>
  <c r="P550" i="5" s="1"/>
  <c r="O414" i="5"/>
  <c r="O324" i="5"/>
  <c r="O234" i="5"/>
  <c r="O144" i="5"/>
  <c r="O54" i="5"/>
  <c r="O398" i="5"/>
  <c r="L394" i="5"/>
  <c r="P394" i="5" s="1"/>
  <c r="O399" i="5"/>
  <c r="L396" i="5"/>
  <c r="P396" i="5" s="1"/>
  <c r="D386" i="5"/>
  <c r="E386" i="5" s="1"/>
  <c r="L383" i="5"/>
  <c r="P383" i="5" s="1"/>
  <c r="L382" i="5"/>
  <c r="P382" i="5" s="1"/>
  <c r="L303" i="5"/>
  <c r="O307" i="5"/>
  <c r="L313" i="5"/>
  <c r="D309" i="5"/>
  <c r="E309" i="5" s="1"/>
  <c r="E304" i="5"/>
  <c r="L289" i="5"/>
  <c r="P289" i="5" s="1"/>
  <c r="L291" i="5"/>
  <c r="P291" i="5" s="1"/>
  <c r="L296" i="5"/>
  <c r="P296" i="5" s="1"/>
  <c r="O222" i="5"/>
  <c r="L215" i="5"/>
  <c r="P215" i="5" s="1"/>
  <c r="I224" i="5"/>
  <c r="I225" i="5"/>
  <c r="W215" i="5"/>
  <c r="S215" i="5"/>
  <c r="M22" i="40" s="1"/>
  <c r="AA215" i="5"/>
  <c r="L217" i="5"/>
  <c r="P217" i="5" s="1"/>
  <c r="F225" i="5"/>
  <c r="F224" i="5"/>
  <c r="S220" i="5"/>
  <c r="AV22" i="40" s="1"/>
  <c r="W220" i="5"/>
  <c r="L198" i="5"/>
  <c r="L207" i="5"/>
  <c r="I209" i="5"/>
  <c r="I210" i="5"/>
  <c r="S200" i="5"/>
  <c r="M21" i="40" s="1"/>
  <c r="W200" i="5"/>
  <c r="AA200" i="5"/>
  <c r="F210" i="5"/>
  <c r="F209" i="5"/>
  <c r="O198" i="5"/>
  <c r="O128" i="5"/>
  <c r="L124" i="5"/>
  <c r="P124" i="5" s="1"/>
  <c r="O129" i="5"/>
  <c r="L126" i="5"/>
  <c r="P126" i="5" s="1"/>
  <c r="D116" i="5"/>
  <c r="E116" i="5" s="1"/>
  <c r="L113" i="5"/>
  <c r="P113" i="5" s="1"/>
  <c r="L112" i="5"/>
  <c r="P112" i="5" s="1"/>
  <c r="L33" i="5"/>
  <c r="O37" i="5"/>
  <c r="L43" i="5"/>
  <c r="D39" i="5"/>
  <c r="E39" i="5" s="1"/>
  <c r="E34" i="5"/>
  <c r="L19" i="5"/>
  <c r="P19" i="5" s="1"/>
  <c r="L21" i="5"/>
  <c r="P21" i="5" s="1"/>
  <c r="L26" i="5"/>
  <c r="P26" i="5" s="1"/>
  <c r="L456" i="5"/>
  <c r="P456" i="5" s="1"/>
  <c r="E454" i="5"/>
  <c r="O457" i="5"/>
  <c r="O461" i="5"/>
  <c r="D460" i="5"/>
  <c r="E460" i="5" s="1"/>
  <c r="L460" i="5"/>
  <c r="O369" i="5"/>
  <c r="O364" i="5"/>
  <c r="S368" i="5"/>
  <c r="AH55" i="40" s="1"/>
  <c r="W368" i="5"/>
  <c r="AA368" i="5"/>
  <c r="L365" i="5"/>
  <c r="P365" i="5" s="1"/>
  <c r="O279" i="5"/>
  <c r="O274" i="5"/>
  <c r="S278" i="5"/>
  <c r="AH36" i="40" s="1"/>
  <c r="W278" i="5"/>
  <c r="AA278" i="5"/>
  <c r="L275" i="5"/>
  <c r="P275" i="5" s="1"/>
  <c r="O189" i="5"/>
  <c r="O184" i="5"/>
  <c r="S188" i="5"/>
  <c r="AH10" i="40" s="1"/>
  <c r="W188" i="5"/>
  <c r="AA188" i="5"/>
  <c r="L185" i="5"/>
  <c r="P185" i="5" s="1"/>
  <c r="O99" i="5"/>
  <c r="O94" i="5"/>
  <c r="S98" i="5"/>
  <c r="AH2" i="40" s="1"/>
  <c r="W98" i="5"/>
  <c r="AA98" i="5"/>
  <c r="L95" i="5"/>
  <c r="P95" i="5" s="1"/>
  <c r="O9" i="5"/>
  <c r="O4" i="5"/>
  <c r="S8" i="5"/>
  <c r="AH65" i="40" s="1"/>
  <c r="W8" i="5"/>
  <c r="L5" i="5"/>
  <c r="P5" i="5" s="1"/>
  <c r="I449" i="5"/>
  <c r="I450" i="5"/>
  <c r="W440" i="5"/>
  <c r="S440" i="5"/>
  <c r="M17" i="40" s="1"/>
  <c r="AA440" i="5"/>
  <c r="L442" i="5"/>
  <c r="P442" i="5" s="1"/>
  <c r="F450" i="5"/>
  <c r="F449" i="5"/>
  <c r="O445" i="5"/>
  <c r="O425" i="5"/>
  <c r="O424" i="5"/>
  <c r="O430" i="5"/>
  <c r="O432" i="5"/>
  <c r="D431" i="5"/>
  <c r="E431" i="5" s="1"/>
  <c r="L428" i="5"/>
  <c r="P428" i="5" s="1"/>
  <c r="L427" i="5"/>
  <c r="P427" i="5" s="1"/>
  <c r="L351" i="5"/>
  <c r="P351" i="5" s="1"/>
  <c r="O358" i="5"/>
  <c r="O351" i="5"/>
  <c r="L357" i="5"/>
  <c r="P357" i="5" s="1"/>
  <c r="L339" i="5"/>
  <c r="P339" i="5" s="1"/>
  <c r="O343" i="5"/>
  <c r="L334" i="5"/>
  <c r="P334" i="5" s="1"/>
  <c r="L336" i="5"/>
  <c r="P336" i="5" s="1"/>
  <c r="D263" i="5"/>
  <c r="L265" i="5"/>
  <c r="P265" i="5" s="1"/>
  <c r="D245" i="5"/>
  <c r="E245" i="5" s="1"/>
  <c r="S248" i="5"/>
  <c r="AH28" i="40" s="1"/>
  <c r="W248" i="5"/>
  <c r="AA248" i="5"/>
  <c r="O248" i="5"/>
  <c r="L243" i="5"/>
  <c r="L252" i="5"/>
  <c r="P252" i="5" s="1"/>
  <c r="I179" i="5"/>
  <c r="I180" i="5"/>
  <c r="S170" i="5"/>
  <c r="M43" i="40" s="1"/>
  <c r="W170" i="5"/>
  <c r="AA170" i="5"/>
  <c r="L172" i="5"/>
  <c r="P172" i="5" s="1"/>
  <c r="F180" i="5"/>
  <c r="F179" i="5"/>
  <c r="O175" i="5"/>
  <c r="O155" i="5"/>
  <c r="O154" i="5"/>
  <c r="O160" i="5"/>
  <c r="O162" i="5"/>
  <c r="D161" i="5"/>
  <c r="E161" i="5" s="1"/>
  <c r="L158" i="5"/>
  <c r="P158" i="5" s="1"/>
  <c r="L157" i="5"/>
  <c r="P157" i="5" s="1"/>
  <c r="L81" i="5"/>
  <c r="O88" i="5"/>
  <c r="O81" i="5"/>
  <c r="L87" i="5"/>
  <c r="P87" i="5" s="1"/>
  <c r="L69" i="5"/>
  <c r="P69" i="5" s="1"/>
  <c r="O73" i="5"/>
  <c r="L64" i="5"/>
  <c r="P64" i="5" s="1"/>
  <c r="L66" i="5"/>
  <c r="P66" i="5" s="1"/>
  <c r="L1543" i="5"/>
  <c r="O1779" i="5"/>
  <c r="O1774" i="5"/>
  <c r="W1778" i="5"/>
  <c r="AH98" i="40" s="1"/>
  <c r="S1778" i="5"/>
  <c r="L1775" i="5"/>
  <c r="P1775" i="5" s="1"/>
  <c r="L1690" i="5"/>
  <c r="P1690" i="5" s="1"/>
  <c r="L1686" i="5"/>
  <c r="P1686" i="5" s="1"/>
  <c r="O1688" i="5"/>
  <c r="F1695" i="5"/>
  <c r="F1694" i="5"/>
  <c r="O1690" i="5"/>
  <c r="L1683" i="5"/>
  <c r="D1601" i="5"/>
  <c r="E1601" i="5" s="1"/>
  <c r="O1595" i="5"/>
  <c r="L1599" i="5"/>
  <c r="P1599" i="5" s="1"/>
  <c r="L1594" i="5"/>
  <c r="P1594" i="5" s="1"/>
  <c r="O1596" i="5"/>
  <c r="O1758" i="5"/>
  <c r="L1766" i="5"/>
  <c r="P1766" i="5" s="1"/>
  <c r="O1763" i="5"/>
  <c r="L1759" i="5"/>
  <c r="P1759" i="5" s="1"/>
  <c r="O1764" i="5"/>
  <c r="S1748" i="5"/>
  <c r="W1748" i="5"/>
  <c r="AH124" i="40" s="1"/>
  <c r="AA1748" i="5"/>
  <c r="O1748" i="5"/>
  <c r="L1743" i="5"/>
  <c r="L1752" i="5"/>
  <c r="P1752" i="5" s="1"/>
  <c r="I1679" i="5"/>
  <c r="I1680" i="5"/>
  <c r="S1670" i="5"/>
  <c r="W1670" i="5"/>
  <c r="M79" i="40" s="1"/>
  <c r="AA1670" i="5"/>
  <c r="L1672" i="5"/>
  <c r="P1672" i="5" s="1"/>
  <c r="F1680" i="5"/>
  <c r="F1679" i="5"/>
  <c r="O1675" i="5"/>
  <c r="L1661" i="5"/>
  <c r="P1661" i="5" s="1"/>
  <c r="L1655" i="5"/>
  <c r="P1655" i="5" s="1"/>
  <c r="O1661" i="5"/>
  <c r="L1583" i="5"/>
  <c r="P1583" i="5" s="1"/>
  <c r="O1586" i="5"/>
  <c r="O1580" i="5"/>
  <c r="L1584" i="5"/>
  <c r="P1584" i="5" s="1"/>
  <c r="L1578" i="5"/>
  <c r="O1582" i="5"/>
  <c r="L1588" i="5"/>
  <c r="O1565" i="5"/>
  <c r="O1564" i="5"/>
  <c r="O1570" i="5"/>
  <c r="O1572" i="5"/>
  <c r="D1571" i="5"/>
  <c r="E1571" i="5" s="1"/>
  <c r="L1568" i="5"/>
  <c r="P1568" i="5" s="1"/>
  <c r="L1567" i="5"/>
  <c r="P1567" i="5" s="1"/>
  <c r="W1523" i="5"/>
  <c r="AH99" i="40" s="1"/>
  <c r="S1523" i="5"/>
  <c r="AA1523" i="5"/>
  <c r="L1520" i="5"/>
  <c r="P1520" i="5" s="1"/>
  <c r="F1484" i="5"/>
  <c r="F1485" i="5"/>
  <c r="O1480" i="5"/>
  <c r="O1458" i="5"/>
  <c r="W1461" i="5"/>
  <c r="T102" i="40" s="1"/>
  <c r="S1461" i="5"/>
  <c r="O1462" i="5"/>
  <c r="L1465" i="5"/>
  <c r="P1465" i="5" s="1"/>
  <c r="O1385" i="5"/>
  <c r="L1389" i="5"/>
  <c r="P1389" i="5" s="1"/>
  <c r="L1383" i="5"/>
  <c r="P1383" i="5" s="1"/>
  <c r="O1387" i="5"/>
  <c r="L1393" i="5"/>
  <c r="L1374" i="5"/>
  <c r="P1374" i="5" s="1"/>
  <c r="O1378" i="5"/>
  <c r="L1369" i="5"/>
  <c r="P1369" i="5" s="1"/>
  <c r="L1371" i="5"/>
  <c r="P1371" i="5" s="1"/>
  <c r="O1303" i="5"/>
  <c r="O1296" i="5"/>
  <c r="L1302" i="5"/>
  <c r="P1302" i="5" s="1"/>
  <c r="O1281" i="5"/>
  <c r="L1288" i="5"/>
  <c r="O1284" i="5"/>
  <c r="O1280" i="5"/>
  <c r="H1214" i="5"/>
  <c r="S1206" i="5" s="1"/>
  <c r="H1215" i="5"/>
  <c r="O1204" i="5"/>
  <c r="S1208" i="5"/>
  <c r="W1208" i="5"/>
  <c r="AH105" i="40" s="1"/>
  <c r="AA1208" i="5"/>
  <c r="O1212" i="5"/>
  <c r="L1205" i="5"/>
  <c r="P1205" i="5" s="1"/>
  <c r="I1215" i="5"/>
  <c r="I1214" i="5"/>
  <c r="W1205" i="5"/>
  <c r="M105" i="40" s="1"/>
  <c r="S1205" i="5"/>
  <c r="AA1205" i="5"/>
  <c r="L1207" i="5"/>
  <c r="P1207" i="5" s="1"/>
  <c r="S1193" i="5"/>
  <c r="W1193" i="5"/>
  <c r="AH97" i="40" s="1"/>
  <c r="AA1193" i="5"/>
  <c r="O1193" i="5"/>
  <c r="L1188" i="5"/>
  <c r="L1197" i="5"/>
  <c r="P1197" i="5" s="1"/>
  <c r="I1199" i="5"/>
  <c r="I1200" i="5"/>
  <c r="S1190" i="5"/>
  <c r="W1190" i="5"/>
  <c r="M97" i="40" s="1"/>
  <c r="AA1190" i="5"/>
  <c r="F1199" i="5"/>
  <c r="F1200" i="5"/>
  <c r="D1118" i="5"/>
  <c r="AA1118" i="5" s="1"/>
  <c r="L1120" i="5"/>
  <c r="P1120" i="5" s="1"/>
  <c r="L1118" i="5"/>
  <c r="P1118" i="5" s="1"/>
  <c r="O1121" i="5"/>
  <c r="L1106" i="5"/>
  <c r="P1106" i="5" s="1"/>
  <c r="L1100" i="5"/>
  <c r="P1100" i="5" s="1"/>
  <c r="O1106" i="5"/>
  <c r="O1023" i="5"/>
  <c r="L1031" i="5"/>
  <c r="P1031" i="5" s="1"/>
  <c r="O1028" i="5"/>
  <c r="L1024" i="5"/>
  <c r="P1024" i="5" s="1"/>
  <c r="O1029" i="5"/>
  <c r="L1026" i="5"/>
  <c r="P1026" i="5" s="1"/>
  <c r="O1008" i="5"/>
  <c r="W1011" i="5"/>
  <c r="S1011" i="5"/>
  <c r="T29" i="40" s="1"/>
  <c r="O1012" i="5"/>
  <c r="L1015" i="5"/>
  <c r="P1015" i="5" s="1"/>
  <c r="D1510" i="5"/>
  <c r="E1510" i="5" s="1"/>
  <c r="L1505" i="5"/>
  <c r="P1505" i="5" s="1"/>
  <c r="L1508" i="5"/>
  <c r="P1508" i="5" s="1"/>
  <c r="L1507" i="5"/>
  <c r="P1507" i="5" s="1"/>
  <c r="O1511" i="5"/>
  <c r="O1453" i="5"/>
  <c r="D1451" i="5"/>
  <c r="E1451" i="5" s="1"/>
  <c r="O1445" i="5"/>
  <c r="L1449" i="5"/>
  <c r="P1449" i="5" s="1"/>
  <c r="D1360" i="5"/>
  <c r="E1360" i="5" s="1"/>
  <c r="L1355" i="5"/>
  <c r="P1355" i="5" s="1"/>
  <c r="L1358" i="5"/>
  <c r="P1358" i="5" s="1"/>
  <c r="L1357" i="5"/>
  <c r="P1357" i="5" s="1"/>
  <c r="O1361" i="5"/>
  <c r="O1270" i="5"/>
  <c r="L1263" i="5"/>
  <c r="L1272" i="5"/>
  <c r="P1272" i="5" s="1"/>
  <c r="D1273" i="5"/>
  <c r="I1274" i="5"/>
  <c r="I1275" i="5"/>
  <c r="S1265" i="5"/>
  <c r="W1265" i="5"/>
  <c r="M85" i="40" s="1"/>
  <c r="AA1265" i="5"/>
  <c r="O1263" i="5"/>
  <c r="L1174" i="5"/>
  <c r="P1174" i="5" s="1"/>
  <c r="O1176" i="5"/>
  <c r="L1183" i="5"/>
  <c r="D1179" i="5"/>
  <c r="E1179" i="5" s="1"/>
  <c r="L1181" i="5"/>
  <c r="P1181" i="5" s="1"/>
  <c r="D1092" i="5"/>
  <c r="E1092" i="5" s="1"/>
  <c r="O1089" i="5"/>
  <c r="O1084" i="5"/>
  <c r="AA1088" i="5"/>
  <c r="D1435" i="5"/>
  <c r="E1435" i="5" s="1"/>
  <c r="L1435" i="5"/>
  <c r="P1435" i="5" s="1"/>
  <c r="L1433" i="5"/>
  <c r="P1433" i="5" s="1"/>
  <c r="O1436" i="5"/>
  <c r="O1430" i="5"/>
  <c r="L1434" i="5"/>
  <c r="P1434" i="5" s="1"/>
  <c r="D1421" i="5"/>
  <c r="E1421" i="5" s="1"/>
  <c r="L1418" i="5"/>
  <c r="P1418" i="5" s="1"/>
  <c r="L1417" i="5"/>
  <c r="P1417" i="5" s="1"/>
  <c r="O1416" i="5"/>
  <c r="L1339" i="5"/>
  <c r="P1339" i="5" s="1"/>
  <c r="O1344" i="5"/>
  <c r="L1341" i="5"/>
  <c r="P1341" i="5" s="1"/>
  <c r="O1348" i="5"/>
  <c r="D1326" i="5"/>
  <c r="E1326" i="5" s="1"/>
  <c r="L1330" i="5"/>
  <c r="P1330" i="5" s="1"/>
  <c r="S1328" i="5"/>
  <c r="W1328" i="5"/>
  <c r="AH77" i="40" s="1"/>
  <c r="AA1328" i="5"/>
  <c r="O1328" i="5"/>
  <c r="L1323" i="5"/>
  <c r="O1249" i="5"/>
  <c r="S1253" i="5"/>
  <c r="W1253" i="5"/>
  <c r="AH125" i="40" s="1"/>
  <c r="AA1253" i="5"/>
  <c r="O1257" i="5"/>
  <c r="L1236" i="5"/>
  <c r="P1236" i="5" s="1"/>
  <c r="L1241" i="5"/>
  <c r="P1241" i="5" s="1"/>
  <c r="L1235" i="5"/>
  <c r="P1235" i="5" s="1"/>
  <c r="L1158" i="5"/>
  <c r="O1162" i="5"/>
  <c r="D1167" i="5"/>
  <c r="E1167" i="5" s="1"/>
  <c r="L1168" i="5"/>
  <c r="L1153" i="5"/>
  <c r="O1149" i="5"/>
  <c r="O1145" i="5"/>
  <c r="O1144" i="5"/>
  <c r="O1150" i="5"/>
  <c r="O1152" i="5"/>
  <c r="O1071" i="5"/>
  <c r="L1077" i="5"/>
  <c r="P1077" i="5" s="1"/>
  <c r="O1068" i="5"/>
  <c r="L1076" i="5"/>
  <c r="P1076" i="5" s="1"/>
  <c r="O1073" i="5"/>
  <c r="L1062" i="5"/>
  <c r="P1062" i="5" s="1"/>
  <c r="I1064" i="5"/>
  <c r="I1065" i="5"/>
  <c r="S1055" i="5"/>
  <c r="W1055" i="5"/>
  <c r="M104" i="40" s="1"/>
  <c r="AA1055" i="5"/>
  <c r="F1065" i="5"/>
  <c r="F1064" i="5"/>
  <c r="O1053" i="5"/>
  <c r="O1057" i="5"/>
  <c r="O1494" i="5"/>
  <c r="O1493" i="5"/>
  <c r="F1500" i="5"/>
  <c r="F1499" i="5"/>
  <c r="L1490" i="5"/>
  <c r="P1490" i="5" s="1"/>
  <c r="L1401" i="5"/>
  <c r="P1401" i="5" s="1"/>
  <c r="O1403" i="5"/>
  <c r="F1410" i="5"/>
  <c r="F1409" i="5"/>
  <c r="O1405" i="5"/>
  <c r="L1398" i="5"/>
  <c r="P1398" i="5" s="1"/>
  <c r="L1407" i="5"/>
  <c r="P1407" i="5" s="1"/>
  <c r="O1310" i="5"/>
  <c r="L1314" i="5"/>
  <c r="P1314" i="5" s="1"/>
  <c r="L1309" i="5"/>
  <c r="P1309" i="5" s="1"/>
  <c r="O1311" i="5"/>
  <c r="L1318" i="5"/>
  <c r="L1223" i="5"/>
  <c r="P1223" i="5" s="1"/>
  <c r="L1222" i="5"/>
  <c r="P1222" i="5" s="1"/>
  <c r="O1226" i="5"/>
  <c r="D1138" i="5"/>
  <c r="S1133" i="5" s="1"/>
  <c r="I1139" i="5"/>
  <c r="I1140" i="5"/>
  <c r="S1130" i="5"/>
  <c r="W1130" i="5"/>
  <c r="M126" i="40" s="1"/>
  <c r="AA1130" i="5"/>
  <c r="O1128" i="5"/>
  <c r="O1137" i="5"/>
  <c r="O1132" i="5"/>
  <c r="L1135" i="5"/>
  <c r="P1135" i="5" s="1"/>
  <c r="D1044" i="5"/>
  <c r="E1044" i="5" s="1"/>
  <c r="L1046" i="5"/>
  <c r="P1046" i="5" s="1"/>
  <c r="O1048" i="5"/>
  <c r="O988" i="5"/>
  <c r="O981" i="5"/>
  <c r="L987" i="5"/>
  <c r="P987" i="5" s="1"/>
  <c r="S968" i="5"/>
  <c r="AH26" i="40" s="1"/>
  <c r="W968" i="5"/>
  <c r="AA968" i="5"/>
  <c r="O968" i="5"/>
  <c r="L963" i="5"/>
  <c r="L972" i="5"/>
  <c r="P972" i="5" s="1"/>
  <c r="I974" i="5"/>
  <c r="I975" i="5"/>
  <c r="W965" i="5"/>
  <c r="S965" i="5"/>
  <c r="M26" i="40" s="1"/>
  <c r="AA965" i="5"/>
  <c r="F975" i="5"/>
  <c r="F974" i="5"/>
  <c r="D893" i="5"/>
  <c r="AA893" i="5" s="1"/>
  <c r="L895" i="5"/>
  <c r="P895" i="5" s="1"/>
  <c r="L893" i="5"/>
  <c r="P893" i="5" s="1"/>
  <c r="O896" i="5"/>
  <c r="O874" i="5"/>
  <c r="O880" i="5"/>
  <c r="O882" i="5"/>
  <c r="D881" i="5"/>
  <c r="E881" i="5" s="1"/>
  <c r="L878" i="5"/>
  <c r="P878" i="5" s="1"/>
  <c r="L877" i="5"/>
  <c r="P877" i="5" s="1"/>
  <c r="F810" i="5"/>
  <c r="F809" i="5"/>
  <c r="O805" i="5"/>
  <c r="L789" i="5"/>
  <c r="P789" i="5" s="1"/>
  <c r="O793" i="5"/>
  <c r="L784" i="5"/>
  <c r="P784" i="5" s="1"/>
  <c r="L786" i="5"/>
  <c r="P786" i="5" s="1"/>
  <c r="O718" i="5"/>
  <c r="O711" i="5"/>
  <c r="L717" i="5"/>
  <c r="P717" i="5" s="1"/>
  <c r="S698" i="5"/>
  <c r="AH58" i="40" s="1"/>
  <c r="W698" i="5"/>
  <c r="AA698" i="5"/>
  <c r="O698" i="5"/>
  <c r="L693" i="5"/>
  <c r="L702" i="5"/>
  <c r="P702" i="5" s="1"/>
  <c r="I705" i="5"/>
  <c r="I704" i="5"/>
  <c r="W695" i="5"/>
  <c r="S695" i="5"/>
  <c r="M58" i="40" s="1"/>
  <c r="AA695" i="5"/>
  <c r="F704" i="5"/>
  <c r="F705" i="5"/>
  <c r="D623" i="5"/>
  <c r="S623" i="5" s="1"/>
  <c r="AH15" i="40" s="1"/>
  <c r="L625" i="5"/>
  <c r="P625" i="5" s="1"/>
  <c r="L623" i="5"/>
  <c r="P623" i="5" s="1"/>
  <c r="O626" i="5"/>
  <c r="O604" i="5"/>
  <c r="O610" i="5"/>
  <c r="O612" i="5"/>
  <c r="D611" i="5"/>
  <c r="E611" i="5" s="1"/>
  <c r="L608" i="5"/>
  <c r="P608" i="5" s="1"/>
  <c r="L607" i="5"/>
  <c r="P607" i="5" s="1"/>
  <c r="F540" i="5"/>
  <c r="F539" i="5"/>
  <c r="O535" i="5"/>
  <c r="L519" i="5"/>
  <c r="P519" i="5" s="1"/>
  <c r="O523" i="5"/>
  <c r="L514" i="5"/>
  <c r="P514" i="5" s="1"/>
  <c r="L516" i="5"/>
  <c r="P516" i="5" s="1"/>
  <c r="L949" i="5"/>
  <c r="P949" i="5" s="1"/>
  <c r="O951" i="5"/>
  <c r="L958" i="5"/>
  <c r="D954" i="5"/>
  <c r="E954" i="5" s="1"/>
  <c r="L956" i="5"/>
  <c r="P956" i="5" s="1"/>
  <c r="L859" i="5"/>
  <c r="P859" i="5" s="1"/>
  <c r="O861" i="5"/>
  <c r="L868" i="5"/>
  <c r="D864" i="5"/>
  <c r="E864" i="5" s="1"/>
  <c r="L866" i="5"/>
  <c r="P866" i="5" s="1"/>
  <c r="L769" i="5"/>
  <c r="P769" i="5" s="1"/>
  <c r="O771" i="5"/>
  <c r="L778" i="5"/>
  <c r="D774" i="5"/>
  <c r="E774" i="5" s="1"/>
  <c r="L776" i="5"/>
  <c r="P776" i="5" s="1"/>
  <c r="L679" i="5"/>
  <c r="P679" i="5" s="1"/>
  <c r="O681" i="5"/>
  <c r="L688" i="5"/>
  <c r="D684" i="5"/>
  <c r="E684" i="5" s="1"/>
  <c r="L686" i="5"/>
  <c r="P686" i="5" s="1"/>
  <c r="L589" i="5"/>
  <c r="P589" i="5" s="1"/>
  <c r="O591" i="5"/>
  <c r="L598" i="5"/>
  <c r="D594" i="5"/>
  <c r="E594" i="5" s="1"/>
  <c r="L596" i="5"/>
  <c r="P596" i="5" s="1"/>
  <c r="L499" i="5"/>
  <c r="P499" i="5" s="1"/>
  <c r="O501" i="5"/>
  <c r="L508" i="5"/>
  <c r="D504" i="5"/>
  <c r="E504" i="5" s="1"/>
  <c r="L506" i="5"/>
  <c r="P506" i="5" s="1"/>
  <c r="L935" i="5"/>
  <c r="P935" i="5" s="1"/>
  <c r="I945" i="5"/>
  <c r="I944" i="5"/>
  <c r="W935" i="5"/>
  <c r="S935" i="5"/>
  <c r="M30" i="40" s="1"/>
  <c r="AA935" i="5"/>
  <c r="L937" i="5"/>
  <c r="P937" i="5" s="1"/>
  <c r="F944" i="5"/>
  <c r="F945" i="5"/>
  <c r="O940" i="5"/>
  <c r="D926" i="5"/>
  <c r="E926" i="5" s="1"/>
  <c r="L923" i="5"/>
  <c r="P923" i="5" s="1"/>
  <c r="L922" i="5"/>
  <c r="P922" i="5" s="1"/>
  <c r="O921" i="5"/>
  <c r="L844" i="5"/>
  <c r="P844" i="5" s="1"/>
  <c r="O849" i="5"/>
  <c r="L846" i="5"/>
  <c r="P846" i="5" s="1"/>
  <c r="O853" i="5"/>
  <c r="L831" i="5"/>
  <c r="P831" i="5" s="1"/>
  <c r="L836" i="5"/>
  <c r="P836" i="5" s="1"/>
  <c r="L830" i="5"/>
  <c r="P830" i="5" s="1"/>
  <c r="L753" i="5"/>
  <c r="O757" i="5"/>
  <c r="D762" i="5"/>
  <c r="E762" i="5" s="1"/>
  <c r="L763" i="5"/>
  <c r="L747" i="5"/>
  <c r="P747" i="5" s="1"/>
  <c r="I749" i="5"/>
  <c r="I750" i="5"/>
  <c r="W740" i="5"/>
  <c r="S740" i="5"/>
  <c r="M8" i="40" s="1"/>
  <c r="AA740" i="5"/>
  <c r="F750" i="5"/>
  <c r="F749" i="5"/>
  <c r="O738" i="5"/>
  <c r="O742" i="5"/>
  <c r="L665" i="5"/>
  <c r="P665" i="5" s="1"/>
  <c r="I674" i="5"/>
  <c r="I675" i="5"/>
  <c r="S665" i="5"/>
  <c r="M66" i="40" s="1"/>
  <c r="W665" i="5"/>
  <c r="AA665" i="5"/>
  <c r="L667" i="5"/>
  <c r="P667" i="5" s="1"/>
  <c r="F675" i="5"/>
  <c r="F674" i="5"/>
  <c r="O670" i="5"/>
  <c r="D656" i="5"/>
  <c r="E656" i="5" s="1"/>
  <c r="L653" i="5"/>
  <c r="P653" i="5" s="1"/>
  <c r="L652" i="5"/>
  <c r="P652" i="5" s="1"/>
  <c r="O651" i="5"/>
  <c r="L574" i="5"/>
  <c r="P574" i="5" s="1"/>
  <c r="O579" i="5"/>
  <c r="L576" i="5"/>
  <c r="P576" i="5" s="1"/>
  <c r="O583" i="5"/>
  <c r="L561" i="5"/>
  <c r="P561" i="5" s="1"/>
  <c r="L566" i="5"/>
  <c r="P566" i="5" s="1"/>
  <c r="L560" i="5"/>
  <c r="P560" i="5" s="1"/>
  <c r="L483" i="5"/>
  <c r="O487" i="5"/>
  <c r="D492" i="5"/>
  <c r="E492" i="5" s="1"/>
  <c r="L493" i="5"/>
  <c r="L477" i="5"/>
  <c r="P477" i="5" s="1"/>
  <c r="I479" i="5"/>
  <c r="I480" i="5"/>
  <c r="S470" i="5"/>
  <c r="M45" i="40" s="1"/>
  <c r="W470" i="5"/>
  <c r="AA470" i="5"/>
  <c r="F480" i="5"/>
  <c r="F479" i="5"/>
  <c r="O468" i="5"/>
  <c r="O472" i="5"/>
  <c r="O998" i="5"/>
  <c r="L993" i="5"/>
  <c r="O1003" i="5"/>
  <c r="D909" i="5"/>
  <c r="E909" i="5" s="1"/>
  <c r="L911" i="5"/>
  <c r="P911" i="5" s="1"/>
  <c r="O913" i="5"/>
  <c r="D819" i="5"/>
  <c r="E819" i="5" s="1"/>
  <c r="L821" i="5"/>
  <c r="P821" i="5" s="1"/>
  <c r="O823" i="5"/>
  <c r="D729" i="5"/>
  <c r="E729" i="5" s="1"/>
  <c r="L731" i="5"/>
  <c r="P731" i="5" s="1"/>
  <c r="O733" i="5"/>
  <c r="D639" i="5"/>
  <c r="E639" i="5" s="1"/>
  <c r="L641" i="5"/>
  <c r="P641" i="5" s="1"/>
  <c r="O643" i="5"/>
  <c r="D549" i="5"/>
  <c r="E549" i="5" s="1"/>
  <c r="L551" i="5"/>
  <c r="P551" i="5" s="1"/>
  <c r="O553" i="5"/>
  <c r="O408" i="5"/>
  <c r="O417" i="5"/>
  <c r="O412" i="5"/>
  <c r="L415" i="5"/>
  <c r="P415" i="5" s="1"/>
  <c r="L411" i="5"/>
  <c r="P411" i="5" s="1"/>
  <c r="O318" i="5"/>
  <c r="O327" i="5"/>
  <c r="O322" i="5"/>
  <c r="L325" i="5"/>
  <c r="P325" i="5" s="1"/>
  <c r="L321" i="5"/>
  <c r="P321" i="5" s="1"/>
  <c r="O228" i="5"/>
  <c r="O237" i="5"/>
  <c r="O232" i="5"/>
  <c r="L235" i="5"/>
  <c r="P235" i="5" s="1"/>
  <c r="L231" i="5"/>
  <c r="P231" i="5" s="1"/>
  <c r="O138" i="5"/>
  <c r="O147" i="5"/>
  <c r="O142" i="5"/>
  <c r="L145" i="5"/>
  <c r="P145" i="5" s="1"/>
  <c r="L141" i="5"/>
  <c r="P141" i="5" s="1"/>
  <c r="O48" i="5"/>
  <c r="O57" i="5"/>
  <c r="O52" i="5"/>
  <c r="L55" i="5"/>
  <c r="P55" i="5" s="1"/>
  <c r="L51" i="5"/>
  <c r="P51" i="5" s="1"/>
  <c r="D398" i="5"/>
  <c r="W398" i="5" s="1"/>
  <c r="L400" i="5"/>
  <c r="P400" i="5" s="1"/>
  <c r="L398" i="5"/>
  <c r="P398" i="5" s="1"/>
  <c r="O401" i="5"/>
  <c r="O395" i="5"/>
  <c r="L399" i="5"/>
  <c r="P399" i="5" s="1"/>
  <c r="S385" i="5"/>
  <c r="AV4" i="40" s="1"/>
  <c r="W385" i="5"/>
  <c r="L380" i="5"/>
  <c r="P380" i="5" s="1"/>
  <c r="O386" i="5"/>
  <c r="L384" i="5"/>
  <c r="P384" i="5" s="1"/>
  <c r="O388" i="5"/>
  <c r="O310" i="5"/>
  <c r="O304" i="5"/>
  <c r="W308" i="5"/>
  <c r="S308" i="5"/>
  <c r="AH49" i="40" s="1"/>
  <c r="AA308" i="5"/>
  <c r="W291" i="5"/>
  <c r="S291" i="5"/>
  <c r="T44" i="40" s="1"/>
  <c r="O292" i="5"/>
  <c r="L295" i="5"/>
  <c r="P295" i="5" s="1"/>
  <c r="S293" i="5"/>
  <c r="AH44" i="40" s="1"/>
  <c r="W293" i="5"/>
  <c r="AA293" i="5"/>
  <c r="O293" i="5"/>
  <c r="O223" i="5"/>
  <c r="O216" i="5"/>
  <c r="L222" i="5"/>
  <c r="P222" i="5" s="1"/>
  <c r="O213" i="5"/>
  <c r="L221" i="5"/>
  <c r="P221" i="5" s="1"/>
  <c r="E199" i="5"/>
  <c r="O201" i="5"/>
  <c r="L208" i="5"/>
  <c r="O204" i="5"/>
  <c r="O200" i="5"/>
  <c r="O199" i="5"/>
  <c r="O205" i="5"/>
  <c r="O207" i="5"/>
  <c r="D128" i="5"/>
  <c r="AA128" i="5" s="1"/>
  <c r="L130" i="5"/>
  <c r="P130" i="5" s="1"/>
  <c r="L128" i="5"/>
  <c r="P128" i="5" s="1"/>
  <c r="O131" i="5"/>
  <c r="O125" i="5"/>
  <c r="L129" i="5"/>
  <c r="P129" i="5" s="1"/>
  <c r="S115" i="5"/>
  <c r="AV42" i="40" s="1"/>
  <c r="W115" i="5"/>
  <c r="L110" i="5"/>
  <c r="P110" i="5" s="1"/>
  <c r="O116" i="5"/>
  <c r="L114" i="5"/>
  <c r="P114" i="5" s="1"/>
  <c r="O118" i="5"/>
  <c r="O40" i="5"/>
  <c r="O34" i="5"/>
  <c r="W38" i="5"/>
  <c r="S38" i="5"/>
  <c r="AH33" i="40" s="1"/>
  <c r="AA38" i="5"/>
  <c r="S21" i="5"/>
  <c r="T40" i="40" s="1"/>
  <c r="W21" i="5"/>
  <c r="O22" i="5"/>
  <c r="L25" i="5"/>
  <c r="P25" i="5" s="1"/>
  <c r="S23" i="5"/>
  <c r="AH40" i="40" s="1"/>
  <c r="W23" i="5"/>
  <c r="AA23" i="5"/>
  <c r="O23" i="5"/>
  <c r="O454" i="5"/>
  <c r="S458" i="5"/>
  <c r="AH3" i="40" s="1"/>
  <c r="W458" i="5"/>
  <c r="AA458" i="5"/>
  <c r="O460" i="5"/>
  <c r="L370" i="5"/>
  <c r="L366" i="5"/>
  <c r="P366" i="5" s="1"/>
  <c r="O368" i="5"/>
  <c r="F375" i="5"/>
  <c r="F374" i="5"/>
  <c r="O370" i="5"/>
  <c r="L363" i="5"/>
  <c r="L280" i="5"/>
  <c r="P280" i="5" s="1"/>
  <c r="L276" i="5"/>
  <c r="P276" i="5" s="1"/>
  <c r="O278" i="5"/>
  <c r="F285" i="5"/>
  <c r="F284" i="5"/>
  <c r="O280" i="5"/>
  <c r="L273" i="5"/>
  <c r="L190" i="5"/>
  <c r="L186" i="5"/>
  <c r="P186" i="5" s="1"/>
  <c r="O188" i="5"/>
  <c r="F195" i="5"/>
  <c r="F194" i="5"/>
  <c r="O190" i="5"/>
  <c r="L183" i="5"/>
  <c r="L100" i="5"/>
  <c r="L96" i="5"/>
  <c r="P96" i="5" s="1"/>
  <c r="O98" i="5"/>
  <c r="F105" i="5"/>
  <c r="F104" i="5"/>
  <c r="O100" i="5"/>
  <c r="L93" i="5"/>
  <c r="L10" i="5"/>
  <c r="P10" i="5" s="1"/>
  <c r="L6" i="5"/>
  <c r="P6" i="5" s="1"/>
  <c r="O8" i="5"/>
  <c r="F15" i="5"/>
  <c r="F14" i="5"/>
  <c r="O10" i="5"/>
  <c r="L3" i="5"/>
  <c r="O438" i="5"/>
  <c r="L446" i="5"/>
  <c r="P446" i="5" s="1"/>
  <c r="O443" i="5"/>
  <c r="L439" i="5"/>
  <c r="P439" i="5" s="1"/>
  <c r="O444" i="5"/>
  <c r="L431" i="5"/>
  <c r="P431" i="5" s="1"/>
  <c r="L425" i="5"/>
  <c r="P425" i="5" s="1"/>
  <c r="O431" i="5"/>
  <c r="L353" i="5"/>
  <c r="P353" i="5" s="1"/>
  <c r="O356" i="5"/>
  <c r="O350" i="5"/>
  <c r="L354" i="5"/>
  <c r="P354" i="5" s="1"/>
  <c r="L348" i="5"/>
  <c r="O352" i="5"/>
  <c r="L358" i="5"/>
  <c r="I345" i="5"/>
  <c r="I344" i="5"/>
  <c r="S335" i="5"/>
  <c r="M54" i="40" s="1"/>
  <c r="W335" i="5"/>
  <c r="AA335" i="5"/>
  <c r="F344" i="5"/>
  <c r="F345" i="5"/>
  <c r="O333" i="5"/>
  <c r="O337" i="5"/>
  <c r="L340" i="5"/>
  <c r="P340" i="5" s="1"/>
  <c r="O259" i="5"/>
  <c r="S263" i="5"/>
  <c r="AH23" i="40" s="1"/>
  <c r="W263" i="5"/>
  <c r="AA263" i="5"/>
  <c r="O267" i="5"/>
  <c r="L260" i="5"/>
  <c r="P260" i="5" s="1"/>
  <c r="O246" i="5"/>
  <c r="L253" i="5"/>
  <c r="O249" i="5"/>
  <c r="O168" i="5"/>
  <c r="L176" i="5"/>
  <c r="P176" i="5" s="1"/>
  <c r="O173" i="5"/>
  <c r="L169" i="5"/>
  <c r="P169" i="5" s="1"/>
  <c r="O174" i="5"/>
  <c r="L161" i="5"/>
  <c r="P161" i="5" s="1"/>
  <c r="L155" i="5"/>
  <c r="P155" i="5" s="1"/>
  <c r="O161" i="5"/>
  <c r="L83" i="5"/>
  <c r="P83" i="5" s="1"/>
  <c r="O86" i="5"/>
  <c r="O80" i="5"/>
  <c r="L84" i="5"/>
  <c r="P84" i="5" s="1"/>
  <c r="L78" i="5"/>
  <c r="O82" i="5"/>
  <c r="L88" i="5"/>
  <c r="I75" i="5"/>
  <c r="I74" i="5"/>
  <c r="W65" i="5"/>
  <c r="S65" i="5"/>
  <c r="M39" i="40" s="1"/>
  <c r="AA65" i="5"/>
  <c r="F74" i="5"/>
  <c r="F75" i="5"/>
  <c r="O63" i="5"/>
  <c r="O67" i="5"/>
  <c r="L70" i="5"/>
  <c r="P70" i="5" s="1"/>
  <c r="AL80" i="40"/>
  <c r="AL98" i="40"/>
  <c r="AL91" i="40"/>
  <c r="AL104" i="40"/>
  <c r="AL126" i="40"/>
  <c r="AL72" i="40"/>
  <c r="AD26" i="40"/>
  <c r="BJ80" i="40"/>
  <c r="BJ88" i="40"/>
  <c r="I42" i="40"/>
  <c r="R62" i="40"/>
  <c r="I15" i="40"/>
  <c r="AD37" i="40"/>
  <c r="I61" i="40"/>
  <c r="AL82" i="40"/>
  <c r="Q63" i="40"/>
  <c r="Q31" i="40"/>
  <c r="R31" i="40" s="1"/>
  <c r="Q70" i="40"/>
  <c r="R70" i="40" s="1"/>
  <c r="Q55" i="40"/>
  <c r="Q23" i="40"/>
  <c r="AD34" i="40"/>
  <c r="I60" i="40"/>
  <c r="AL75" i="40"/>
  <c r="BJ85" i="40"/>
  <c r="I175" i="40"/>
  <c r="J175" i="40" s="1"/>
  <c r="I178" i="40"/>
  <c r="J178" i="40" s="1"/>
  <c r="I185" i="40"/>
  <c r="J185" i="40" s="1"/>
  <c r="I194" i="40"/>
  <c r="J194" i="40" s="1"/>
  <c r="I196" i="40"/>
  <c r="J196" i="40" s="1"/>
  <c r="I210" i="40"/>
  <c r="J210" i="40" s="1"/>
  <c r="I232" i="40"/>
  <c r="J232" i="40" s="1"/>
  <c r="I142" i="40"/>
  <c r="J142" i="40" s="1"/>
  <c r="I151" i="40"/>
  <c r="J151" i="40" s="1"/>
  <c r="I171" i="40"/>
  <c r="J171" i="40" s="1"/>
  <c r="I190" i="40"/>
  <c r="J190" i="40" s="1"/>
  <c r="I193" i="40"/>
  <c r="J193" i="40" s="1"/>
  <c r="I197" i="40"/>
  <c r="J197" i="40" s="1"/>
  <c r="I205" i="40"/>
  <c r="J205" i="40" s="1"/>
  <c r="I212" i="40"/>
  <c r="J212" i="40" s="1"/>
  <c r="I218" i="40"/>
  <c r="J218" i="40" s="1"/>
  <c r="I221" i="40"/>
  <c r="J221" i="40" s="1"/>
  <c r="I181" i="40"/>
  <c r="J181" i="40" s="1"/>
  <c r="I231" i="40"/>
  <c r="J231" i="40" s="1"/>
  <c r="I164" i="40"/>
  <c r="J164" i="40" s="1"/>
  <c r="I172" i="40"/>
  <c r="J172" i="40" s="1"/>
  <c r="I198" i="40"/>
  <c r="J198" i="40" s="1"/>
  <c r="I201" i="40"/>
  <c r="J201" i="40" s="1"/>
  <c r="I169" i="40"/>
  <c r="I177" i="40"/>
  <c r="J177" i="40" s="1"/>
  <c r="I195" i="40"/>
  <c r="J195" i="40" s="1"/>
  <c r="I200" i="40"/>
  <c r="J200" i="40" s="1"/>
  <c r="I203" i="40"/>
  <c r="J203" i="40" s="1"/>
  <c r="I215" i="40"/>
  <c r="J215" i="40" s="1"/>
  <c r="BI133" i="40"/>
  <c r="BJ133" i="40" s="1"/>
  <c r="BI148" i="40"/>
  <c r="BJ148" i="40" s="1"/>
  <c r="BI163" i="40"/>
  <c r="BJ163" i="40" s="1"/>
  <c r="AD10" i="40"/>
  <c r="AD25" i="40"/>
  <c r="Q35" i="40"/>
  <c r="R35" i="40" s="1"/>
  <c r="Q47" i="40"/>
  <c r="R47" i="40" s="1"/>
  <c r="AD59" i="40"/>
  <c r="AD70" i="40"/>
  <c r="AL84" i="40"/>
  <c r="BI129" i="40"/>
  <c r="BJ129" i="40" s="1"/>
  <c r="P151" i="40"/>
  <c r="Q151" i="40" s="1"/>
  <c r="AL93" i="40"/>
  <c r="BI128" i="40"/>
  <c r="BJ128" i="40" s="1"/>
  <c r="I170" i="40"/>
  <c r="J170" i="40" s="1"/>
  <c r="I214" i="40"/>
  <c r="J214" i="40" s="1"/>
  <c r="BJ89" i="40"/>
  <c r="I133" i="40"/>
  <c r="J133" i="40" s="1"/>
  <c r="P197" i="40"/>
  <c r="Q197" i="40" s="1"/>
  <c r="BI208" i="40"/>
  <c r="BJ208" i="40" s="1"/>
  <c r="BI135" i="40"/>
  <c r="BJ135" i="40" s="1"/>
  <c r="AL95" i="40"/>
  <c r="BI199" i="40"/>
  <c r="BJ199" i="40" s="1"/>
  <c r="I230" i="40"/>
  <c r="J230" i="40" s="1"/>
  <c r="BJ106" i="40"/>
  <c r="P163" i="40"/>
  <c r="Q163" i="40" s="1"/>
  <c r="P209" i="40"/>
  <c r="Q209" i="40" s="1"/>
  <c r="P246" i="40"/>
  <c r="Q246" i="40" s="1"/>
  <c r="BJ105" i="40"/>
  <c r="I173" i="40"/>
  <c r="J173" i="40" s="1"/>
  <c r="P171" i="40"/>
  <c r="Q171" i="40" s="1"/>
  <c r="BJ76" i="40"/>
  <c r="AD4" i="40"/>
  <c r="I11" i="40"/>
  <c r="R50" i="40"/>
  <c r="AD60" i="40"/>
  <c r="I14" i="40"/>
  <c r="I27" i="40"/>
  <c r="AD41" i="40"/>
  <c r="AL81" i="40"/>
  <c r="BJ91" i="40"/>
  <c r="R5" i="40"/>
  <c r="AD16" i="40"/>
  <c r="AD33" i="40"/>
  <c r="I46" i="40"/>
  <c r="AD67" i="40"/>
  <c r="BJ84" i="40"/>
  <c r="AD38" i="40"/>
  <c r="Q51" i="40"/>
  <c r="R51" i="40" s="1"/>
  <c r="AD65" i="40"/>
  <c r="Q57" i="40"/>
  <c r="R57" i="40" s="1"/>
  <c r="Q28" i="40"/>
  <c r="R28" i="40" s="1"/>
  <c r="Q13" i="40"/>
  <c r="R13" i="40" s="1"/>
  <c r="Q49" i="40"/>
  <c r="R49" i="40" s="1"/>
  <c r="Q20" i="40"/>
  <c r="R20" i="40" s="1"/>
  <c r="I8" i="40"/>
  <c r="I29" i="40"/>
  <c r="I35" i="40"/>
  <c r="AD46" i="40"/>
  <c r="Q66" i="40"/>
  <c r="R66" i="40" s="1"/>
  <c r="AL76" i="40"/>
  <c r="AD12" i="40"/>
  <c r="AD27" i="40"/>
  <c r="AZ39" i="40"/>
  <c r="I49" i="40"/>
  <c r="Q60" i="40"/>
  <c r="R60" i="40" s="1"/>
  <c r="AL89" i="40"/>
  <c r="P130" i="40"/>
  <c r="Q130" i="40" s="1"/>
  <c r="BI138" i="40"/>
  <c r="BJ138" i="40" s="1"/>
  <c r="AL97" i="40"/>
  <c r="BI141" i="40"/>
  <c r="BJ141" i="40" s="1"/>
  <c r="P180" i="40"/>
  <c r="Q180" i="40" s="1"/>
  <c r="P228" i="40"/>
  <c r="Q228" i="40" s="1"/>
  <c r="AL90" i="40"/>
  <c r="BI169" i="40"/>
  <c r="BJ169" i="40" s="1"/>
  <c r="I208" i="40"/>
  <c r="J208" i="40" s="1"/>
  <c r="BI233" i="40"/>
  <c r="BJ233" i="40" s="1"/>
  <c r="P148" i="40"/>
  <c r="Q148" i="40" s="1"/>
  <c r="BI202" i="40"/>
  <c r="BJ202" i="40" s="1"/>
  <c r="P254" i="40"/>
  <c r="Q254" i="40" s="1"/>
  <c r="P174" i="40"/>
  <c r="Q174" i="40" s="1"/>
  <c r="P215" i="40"/>
  <c r="Q215" i="40" s="1"/>
  <c r="P252" i="40"/>
  <c r="Q252" i="40" s="1"/>
  <c r="AL108" i="40"/>
  <c r="I176" i="40"/>
  <c r="J176" i="40" s="1"/>
  <c r="P221" i="40"/>
  <c r="Q221" i="40" s="1"/>
  <c r="BJ95" i="40"/>
  <c r="BJ86" i="40"/>
  <c r="BJ126" i="40"/>
  <c r="I66" i="40"/>
  <c r="J66" i="40" s="1"/>
  <c r="R16" i="40"/>
  <c r="I30" i="40"/>
  <c r="I68" i="40"/>
  <c r="R18" i="40"/>
  <c r="R37" i="40"/>
  <c r="AD47" i="40"/>
  <c r="R7" i="40"/>
  <c r="AD28" i="40"/>
  <c r="Q54" i="40"/>
  <c r="R54" i="40" s="1"/>
  <c r="Q25" i="40"/>
  <c r="R25" i="40" s="1"/>
  <c r="Q68" i="40"/>
  <c r="R68" i="40" s="1"/>
  <c r="Q41" i="40"/>
  <c r="Q15" i="40"/>
  <c r="R15" i="40" s="1"/>
  <c r="Q12" i="40"/>
  <c r="R12" i="40" s="1"/>
  <c r="I47" i="40"/>
  <c r="BI136" i="40"/>
  <c r="BJ136" i="40" s="1"/>
  <c r="I145" i="40"/>
  <c r="J145" i="40" s="1"/>
  <c r="BI151" i="40"/>
  <c r="BJ151" i="40" s="1"/>
  <c r="AD3" i="40"/>
  <c r="AD20" i="40"/>
  <c r="I41" i="40"/>
  <c r="J41" i="40" s="1"/>
  <c r="I52" i="40"/>
  <c r="J52" i="40" s="1"/>
  <c r="I132" i="40"/>
  <c r="J132" i="40" s="1"/>
  <c r="BI153" i="40"/>
  <c r="BJ153" i="40" s="1"/>
  <c r="AL99" i="40"/>
  <c r="P145" i="40"/>
  <c r="Q145" i="40" s="1"/>
  <c r="P193" i="40"/>
  <c r="Q193" i="40" s="1"/>
  <c r="P231" i="40"/>
  <c r="Q231" i="40" s="1"/>
  <c r="BJ102" i="40"/>
  <c r="BI132" i="40"/>
  <c r="BJ132" i="40" s="1"/>
  <c r="BI214" i="40"/>
  <c r="BJ214" i="40" s="1"/>
  <c r="BJ99" i="40"/>
  <c r="BJ98" i="40"/>
  <c r="I204" i="40"/>
  <c r="J204" i="40" s="1"/>
  <c r="I256" i="40"/>
  <c r="J256" i="40" s="1"/>
  <c r="P136" i="40"/>
  <c r="Q136" i="40" s="1"/>
  <c r="P177" i="40"/>
  <c r="Q177" i="40" s="1"/>
  <c r="P218" i="40"/>
  <c r="Q218" i="40" s="1"/>
  <c r="P224" i="40"/>
  <c r="Q224" i="40" s="1"/>
  <c r="P190" i="40"/>
  <c r="Q190" i="40" s="1"/>
  <c r="R2" i="40"/>
  <c r="R52" i="40"/>
  <c r="R67" i="40"/>
  <c r="AL78" i="40"/>
  <c r="I2" i="40"/>
  <c r="J2" i="40" s="1"/>
  <c r="I18" i="40"/>
  <c r="J18" i="40" s="1"/>
  <c r="AD32" i="40"/>
  <c r="AL83" i="40"/>
  <c r="I7" i="40"/>
  <c r="J7" i="40" s="1"/>
  <c r="I20" i="40"/>
  <c r="J20" i="40" s="1"/>
  <c r="R38" i="40"/>
  <c r="I51" i="40"/>
  <c r="J51" i="40" s="1"/>
  <c r="Q22" i="40"/>
  <c r="R22" i="40" s="1"/>
  <c r="AD30" i="40"/>
  <c r="Q42" i="40"/>
  <c r="R42" i="40" s="1"/>
  <c r="I55" i="40"/>
  <c r="J55" i="40" s="1"/>
  <c r="BJ78" i="40"/>
  <c r="BJ87" i="40"/>
  <c r="Q48" i="40"/>
  <c r="R48" i="40" s="1"/>
  <c r="Q17" i="40"/>
  <c r="R17" i="40" s="1"/>
  <c r="Q64" i="40"/>
  <c r="R64" i="40" s="1"/>
  <c r="Q34" i="40"/>
  <c r="R34" i="40" s="1"/>
  <c r="Q14" i="40"/>
  <c r="R14" i="40" s="1"/>
  <c r="I32" i="40"/>
  <c r="J32" i="40" s="1"/>
  <c r="AD51" i="40"/>
  <c r="AL92" i="40"/>
  <c r="BI257" i="40"/>
  <c r="BJ257" i="40" s="1"/>
  <c r="BI175" i="40"/>
  <c r="BJ175" i="40" s="1"/>
  <c r="BI182" i="40"/>
  <c r="BJ182" i="40" s="1"/>
  <c r="BI188" i="40"/>
  <c r="BJ188" i="40" s="1"/>
  <c r="BI228" i="40"/>
  <c r="BJ228" i="40" s="1"/>
  <c r="BI256" i="40"/>
  <c r="BJ256" i="40" s="1"/>
  <c r="BI142" i="40"/>
  <c r="BJ142" i="40" s="1"/>
  <c r="BI174" i="40"/>
  <c r="BJ174" i="40" s="1"/>
  <c r="BI177" i="40"/>
  <c r="BJ177" i="40" s="1"/>
  <c r="BI181" i="40"/>
  <c r="BJ181" i="40" s="1"/>
  <c r="BI195" i="40"/>
  <c r="BJ195" i="40" s="1"/>
  <c r="BI206" i="40"/>
  <c r="BJ206" i="40" s="1"/>
  <c r="BI209" i="40"/>
  <c r="BJ209" i="40" s="1"/>
  <c r="BI178" i="40"/>
  <c r="BJ178" i="40" s="1"/>
  <c r="BI185" i="40"/>
  <c r="BJ185" i="40" s="1"/>
  <c r="BI198" i="40"/>
  <c r="BJ198" i="40" s="1"/>
  <c r="BI201" i="40"/>
  <c r="BJ201" i="40" s="1"/>
  <c r="BI210" i="40"/>
  <c r="BJ210" i="40" s="1"/>
  <c r="BI213" i="40"/>
  <c r="BJ213" i="40" s="1"/>
  <c r="BI219" i="40"/>
  <c r="BJ219" i="40" s="1"/>
  <c r="BI229" i="40"/>
  <c r="BJ229" i="40" s="1"/>
  <c r="BI171" i="40"/>
  <c r="BJ171" i="40" s="1"/>
  <c r="BI180" i="40"/>
  <c r="BJ180" i="40" s="1"/>
  <c r="BI197" i="40"/>
  <c r="BJ197" i="40" s="1"/>
  <c r="BI200" i="40"/>
  <c r="BJ200" i="40" s="1"/>
  <c r="BI212" i="40"/>
  <c r="BJ212" i="40" s="1"/>
  <c r="BI215" i="40"/>
  <c r="BJ215" i="40" s="1"/>
  <c r="BI218" i="40"/>
  <c r="BJ218" i="40" s="1"/>
  <c r="BI221" i="40"/>
  <c r="BJ221" i="40" s="1"/>
  <c r="BI234" i="40"/>
  <c r="BJ234" i="40" s="1"/>
  <c r="I139" i="40"/>
  <c r="J139" i="40" s="1"/>
  <c r="I154" i="40"/>
  <c r="J154" i="40" s="1"/>
  <c r="Q4" i="40"/>
  <c r="R4" i="40" s="1"/>
  <c r="Q21" i="40"/>
  <c r="R21" i="40" s="1"/>
  <c r="Q29" i="40"/>
  <c r="R29" i="40" s="1"/>
  <c r="AZ53" i="40"/>
  <c r="AL94" i="40"/>
  <c r="P133" i="40"/>
  <c r="Q133" i="40" s="1"/>
  <c r="P142" i="40"/>
  <c r="Q142" i="40" s="1"/>
  <c r="I155" i="40"/>
  <c r="J155" i="40" s="1"/>
  <c r="BJ100" i="40"/>
  <c r="BI147" i="40"/>
  <c r="BJ147" i="40" s="1"/>
  <c r="P200" i="40"/>
  <c r="Q200" i="40" s="1"/>
  <c r="P187" i="40"/>
  <c r="Q187" i="40" s="1"/>
  <c r="BJ104" i="40"/>
  <c r="I156" i="40"/>
  <c r="J156" i="40" s="1"/>
  <c r="P237" i="40"/>
  <c r="Q237" i="40" s="1"/>
  <c r="AL100" i="40"/>
  <c r="BI162" i="40"/>
  <c r="BJ162" i="40" s="1"/>
  <c r="BJ108" i="40"/>
  <c r="P212" i="40"/>
  <c r="Q212" i="40" s="1"/>
  <c r="I179" i="40"/>
  <c r="J179" i="40" s="1"/>
  <c r="I158" i="40"/>
  <c r="J158" i="40" s="1"/>
  <c r="BI196" i="40"/>
  <c r="BJ196" i="40" s="1"/>
  <c r="BI227" i="40"/>
  <c r="BJ227" i="40" s="1"/>
  <c r="I141" i="40"/>
  <c r="J141" i="40" s="1"/>
  <c r="BI194" i="40"/>
  <c r="BJ194" i="40" s="1"/>
  <c r="I6" i="40"/>
  <c r="J6" i="40" s="1"/>
  <c r="I10" i="40"/>
  <c r="J10" i="40" s="1"/>
  <c r="I25" i="40"/>
  <c r="J25" i="40" s="1"/>
  <c r="I28" i="40"/>
  <c r="J28" i="40" s="1"/>
  <c r="I31" i="40"/>
  <c r="J31" i="40" s="1"/>
  <c r="I36" i="40"/>
  <c r="J36" i="40" s="1"/>
  <c r="I39" i="40"/>
  <c r="J39" i="40" s="1"/>
  <c r="I45" i="40"/>
  <c r="J45" i="40" s="1"/>
  <c r="I48" i="40"/>
  <c r="J48" i="40" s="1"/>
  <c r="I54" i="40"/>
  <c r="J54" i="40" s="1"/>
  <c r="I57" i="40"/>
  <c r="J57" i="40" s="1"/>
  <c r="I63" i="40"/>
  <c r="J63" i="40" s="1"/>
  <c r="I5" i="40"/>
  <c r="J5" i="40" s="1"/>
  <c r="I12" i="40"/>
  <c r="J12" i="40" s="1"/>
  <c r="I19" i="40"/>
  <c r="J19" i="40" s="1"/>
  <c r="I3" i="40"/>
  <c r="J3" i="40" s="1"/>
  <c r="I16" i="40"/>
  <c r="J16" i="40" s="1"/>
  <c r="I21" i="40"/>
  <c r="J21" i="40" s="1"/>
  <c r="I44" i="40"/>
  <c r="J44" i="40" s="1"/>
  <c r="I50" i="40"/>
  <c r="J50" i="40" s="1"/>
  <c r="I56" i="40"/>
  <c r="J56" i="40" s="1"/>
  <c r="I59" i="40"/>
  <c r="J59" i="40" s="1"/>
  <c r="I62" i="40"/>
  <c r="J62" i="40" s="1"/>
  <c r="I65" i="40"/>
  <c r="J65" i="40" s="1"/>
  <c r="I67" i="40"/>
  <c r="J67" i="40" s="1"/>
  <c r="BJ75" i="40"/>
  <c r="AD11" i="40"/>
  <c r="AD14" i="40"/>
  <c r="AD15" i="40"/>
  <c r="AD29" i="40"/>
  <c r="AD43" i="40"/>
  <c r="AD49" i="40"/>
  <c r="AD55" i="40"/>
  <c r="AD58" i="40"/>
  <c r="AD6" i="40"/>
  <c r="AD7" i="40"/>
  <c r="AD13" i="40"/>
  <c r="AD9" i="40"/>
  <c r="AD19" i="40"/>
  <c r="AD22" i="40"/>
  <c r="AD31" i="40"/>
  <c r="AD36" i="40"/>
  <c r="AD40" i="40"/>
  <c r="AD45" i="40"/>
  <c r="AD48" i="40"/>
  <c r="AD54" i="40"/>
  <c r="AD57" i="40"/>
  <c r="AD63" i="40"/>
  <c r="AD8" i="40"/>
  <c r="I13" i="40"/>
  <c r="J13" i="40" s="1"/>
  <c r="R43" i="40"/>
  <c r="I53" i="40"/>
  <c r="J53" i="40" s="1"/>
  <c r="AD69" i="40"/>
  <c r="AE69" i="40" s="1"/>
  <c r="AD21" i="40"/>
  <c r="AE21" i="40" s="1"/>
  <c r="I33" i="40"/>
  <c r="J33" i="40" s="1"/>
  <c r="AD50" i="40"/>
  <c r="AE50" i="40" s="1"/>
  <c r="BJ74" i="40"/>
  <c r="AL85" i="40"/>
  <c r="I22" i="40"/>
  <c r="J22" i="40" s="1"/>
  <c r="AD39" i="40"/>
  <c r="AE39" i="40" s="1"/>
  <c r="AD53" i="40"/>
  <c r="AE53" i="40" s="1"/>
  <c r="AD23" i="40"/>
  <c r="AE23" i="40" s="1"/>
  <c r="AL79" i="40"/>
  <c r="Q45" i="40"/>
  <c r="R45" i="40" s="1"/>
  <c r="Q10" i="40"/>
  <c r="R10" i="40" s="1"/>
  <c r="Q61" i="40"/>
  <c r="R61" i="40" s="1"/>
  <c r="Q32" i="40"/>
  <c r="R32" i="40" s="1"/>
  <c r="Q24" i="40"/>
  <c r="R24" i="40" s="1"/>
  <c r="AD42" i="40"/>
  <c r="AE42" i="40" s="1"/>
  <c r="I69" i="40"/>
  <c r="J69" i="40" s="1"/>
  <c r="BJ82" i="40"/>
  <c r="BJ92" i="40"/>
  <c r="BI145" i="40"/>
  <c r="BJ145" i="40" s="1"/>
  <c r="AD5" i="40"/>
  <c r="AE5" i="40" s="1"/>
  <c r="AD56" i="40"/>
  <c r="AE56" i="40" s="1"/>
  <c r="P214" i="40"/>
  <c r="Q214" i="40" s="1"/>
  <c r="P223" i="40"/>
  <c r="Q223" i="40" s="1"/>
  <c r="P227" i="40"/>
  <c r="Q227" i="40" s="1"/>
  <c r="P230" i="40"/>
  <c r="Q230" i="40" s="1"/>
  <c r="P233" i="40"/>
  <c r="Q233" i="40" s="1"/>
  <c r="P236" i="40"/>
  <c r="Q236" i="40" s="1"/>
  <c r="P245" i="40"/>
  <c r="Q245" i="40" s="1"/>
  <c r="P256" i="40"/>
  <c r="Q256" i="40" s="1"/>
  <c r="P179" i="40"/>
  <c r="Q179" i="40" s="1"/>
  <c r="P181" i="40"/>
  <c r="Q181" i="40" s="1"/>
  <c r="P183" i="40"/>
  <c r="Q183" i="40" s="1"/>
  <c r="P189" i="40"/>
  <c r="Q189" i="40" s="1"/>
  <c r="P192" i="40"/>
  <c r="Q192" i="40" s="1"/>
  <c r="P199" i="40"/>
  <c r="Q199" i="40" s="1"/>
  <c r="P202" i="40"/>
  <c r="Q202" i="40" s="1"/>
  <c r="P226" i="40"/>
  <c r="Q226" i="40" s="1"/>
  <c r="P239" i="40"/>
  <c r="Q239" i="40" s="1"/>
  <c r="P242" i="40"/>
  <c r="Q242" i="40" s="1"/>
  <c r="P248" i="40"/>
  <c r="Q248" i="40" s="1"/>
  <c r="P251" i="40"/>
  <c r="Q251" i="40" s="1"/>
  <c r="P255" i="40"/>
  <c r="Q255" i="40" s="1"/>
  <c r="P149" i="40"/>
  <c r="Q149" i="40" s="1"/>
  <c r="P152" i="40"/>
  <c r="Q152" i="40" s="1"/>
  <c r="P164" i="40"/>
  <c r="Q164" i="40" s="1"/>
  <c r="P167" i="40"/>
  <c r="Q167" i="40" s="1"/>
  <c r="P169" i="40"/>
  <c r="Q169" i="40" s="1"/>
  <c r="P172" i="40"/>
  <c r="Q172" i="40" s="1"/>
  <c r="P182" i="40"/>
  <c r="Q182" i="40" s="1"/>
  <c r="P198" i="40"/>
  <c r="Q198" i="40" s="1"/>
  <c r="P201" i="40"/>
  <c r="Q201" i="40" s="1"/>
  <c r="P207" i="40"/>
  <c r="Q207" i="40" s="1"/>
  <c r="P241" i="40"/>
  <c r="Q241" i="40" s="1"/>
  <c r="P229" i="40"/>
  <c r="Q229" i="40" s="1"/>
  <c r="P259" i="40"/>
  <c r="Q259" i="40" s="1"/>
  <c r="P168" i="40"/>
  <c r="Q168" i="40" s="1"/>
  <c r="P170" i="40"/>
  <c r="Q170" i="40" s="1"/>
  <c r="P173" i="40"/>
  <c r="Q173" i="40" s="1"/>
  <c r="P176" i="40"/>
  <c r="Q176" i="40" s="1"/>
  <c r="P186" i="40"/>
  <c r="Q186" i="40" s="1"/>
  <c r="P204" i="40"/>
  <c r="Q204" i="40" s="1"/>
  <c r="P208" i="40"/>
  <c r="Q208" i="40" s="1"/>
  <c r="P211" i="40"/>
  <c r="Q211" i="40" s="1"/>
  <c r="P217" i="40"/>
  <c r="Q217" i="40" s="1"/>
  <c r="P220" i="40"/>
  <c r="Q220" i="40" s="1"/>
  <c r="P253" i="40"/>
  <c r="Q253" i="40" s="1"/>
  <c r="P235" i="40"/>
  <c r="Q235" i="40" s="1"/>
  <c r="P238" i="40"/>
  <c r="Q238" i="40" s="1"/>
  <c r="P244" i="40"/>
  <c r="Q244" i="40" s="1"/>
  <c r="P250" i="40"/>
  <c r="Q250" i="40" s="1"/>
  <c r="P175" i="40"/>
  <c r="Q175" i="40" s="1"/>
  <c r="P178" i="40"/>
  <c r="Q178" i="40" s="1"/>
  <c r="P185" i="40"/>
  <c r="Q185" i="40" s="1"/>
  <c r="P188" i="40"/>
  <c r="Q188" i="40" s="1"/>
  <c r="P191" i="40"/>
  <c r="Q191" i="40" s="1"/>
  <c r="P194" i="40"/>
  <c r="Q194" i="40" s="1"/>
  <c r="P196" i="40"/>
  <c r="Q196" i="40" s="1"/>
  <c r="P210" i="40"/>
  <c r="Q210" i="40" s="1"/>
  <c r="P213" i="40"/>
  <c r="Q213" i="40" s="1"/>
  <c r="P216" i="40"/>
  <c r="Q216" i="40" s="1"/>
  <c r="P219" i="40"/>
  <c r="Q219" i="40" s="1"/>
  <c r="P222" i="40"/>
  <c r="Q222" i="40" s="1"/>
  <c r="P225" i="40"/>
  <c r="Q225" i="40" s="1"/>
  <c r="P232" i="40"/>
  <c r="Q232" i="40" s="1"/>
  <c r="P247" i="40"/>
  <c r="Q247" i="40" s="1"/>
  <c r="P258" i="40"/>
  <c r="Q258" i="40" s="1"/>
  <c r="P257" i="40"/>
  <c r="Q257" i="40" s="1"/>
  <c r="BJ107" i="40"/>
  <c r="P154" i="40"/>
  <c r="Q154" i="40" s="1"/>
  <c r="P203" i="40"/>
  <c r="Q203" i="40" s="1"/>
  <c r="I202" i="40"/>
  <c r="J202" i="40" s="1"/>
  <c r="BJ110" i="40"/>
  <c r="I165" i="40"/>
  <c r="J165" i="40" s="1"/>
  <c r="P243" i="40"/>
  <c r="Q243" i="40" s="1"/>
  <c r="AL101" i="40"/>
  <c r="P166" i="40"/>
  <c r="Q166" i="40" s="1"/>
  <c r="P139" i="40"/>
  <c r="Q139" i="40" s="1"/>
  <c r="BI223" i="40"/>
  <c r="BJ223" i="40" s="1"/>
  <c r="BJ103" i="40"/>
  <c r="BI158" i="40"/>
  <c r="BJ158" i="40" s="1"/>
  <c r="I199" i="40"/>
  <c r="J199" i="40" s="1"/>
  <c r="P234" i="40"/>
  <c r="Q234" i="40" s="1"/>
  <c r="I223" i="40"/>
  <c r="J223" i="40" s="1"/>
  <c r="I161" i="40"/>
  <c r="J161" i="40" s="1"/>
  <c r="P205" i="40"/>
  <c r="Q205" i="40" s="1"/>
  <c r="I9" i="40"/>
  <c r="J9" i="40" s="1"/>
  <c r="I23" i="40"/>
  <c r="J23" i="40" s="1"/>
  <c r="R9" i="40"/>
  <c r="AD24" i="40"/>
  <c r="AE24" i="40" s="1"/>
  <c r="I34" i="40"/>
  <c r="J34" i="40" s="1"/>
  <c r="BJ77" i="40"/>
  <c r="AL88" i="40"/>
  <c r="R27" i="40"/>
  <c r="I40" i="40"/>
  <c r="J40" i="40" s="1"/>
  <c r="I58" i="40"/>
  <c r="J58" i="40" s="1"/>
  <c r="Q3" i="40"/>
  <c r="R3" i="40" s="1"/>
  <c r="I24" i="40"/>
  <c r="J24" i="40" s="1"/>
  <c r="Q46" i="40"/>
  <c r="R46" i="40" s="1"/>
  <c r="Q59" i="40"/>
  <c r="R59" i="40" s="1"/>
  <c r="Q36" i="40"/>
  <c r="R36" i="40" s="1"/>
  <c r="Q6" i="40"/>
  <c r="R6" i="40" s="1"/>
  <c r="Q58" i="40"/>
  <c r="R58" i="40" s="1"/>
  <c r="Q26" i="40"/>
  <c r="R26" i="40" s="1"/>
  <c r="I4" i="40"/>
  <c r="J4" i="40" s="1"/>
  <c r="I26" i="40"/>
  <c r="J26" i="40" s="1"/>
  <c r="Q44" i="40"/>
  <c r="R44" i="40" s="1"/>
  <c r="Q56" i="40"/>
  <c r="R56" i="40" s="1"/>
  <c r="BJ72" i="40"/>
  <c r="BJ93" i="40"/>
  <c r="I162" i="40"/>
  <c r="J162" i="40" s="1"/>
  <c r="Q8" i="40"/>
  <c r="R8" i="40" s="1"/>
  <c r="AZ24" i="40"/>
  <c r="AZ33" i="40"/>
  <c r="AD44" i="40"/>
  <c r="AE44" i="40" s="1"/>
  <c r="Q69" i="40"/>
  <c r="R69" i="40" s="1"/>
  <c r="BJ83" i="40"/>
  <c r="I138" i="40"/>
  <c r="J138" i="40" s="1"/>
  <c r="BI144" i="40"/>
  <c r="BJ144" i="40" s="1"/>
  <c r="P157" i="40"/>
  <c r="Q157" i="40" s="1"/>
  <c r="I140" i="40"/>
  <c r="J140" i="40" s="1"/>
  <c r="P159" i="40"/>
  <c r="Q159" i="40" s="1"/>
  <c r="P206" i="40"/>
  <c r="Q206" i="40" s="1"/>
  <c r="BI204" i="40"/>
  <c r="BJ204" i="40" s="1"/>
  <c r="BJ125" i="40"/>
  <c r="P184" i="40"/>
  <c r="Q184" i="40" s="1"/>
  <c r="P249" i="40"/>
  <c r="Q249" i="40" s="1"/>
  <c r="P129" i="40"/>
  <c r="Q129" i="40" s="1"/>
  <c r="BI173" i="40"/>
  <c r="BJ173" i="40" s="1"/>
  <c r="BI150" i="40"/>
  <c r="BJ150" i="40" s="1"/>
  <c r="I227" i="40"/>
  <c r="J227" i="40" s="1"/>
  <c r="AL105" i="40"/>
  <c r="P162" i="40"/>
  <c r="Q162" i="40" s="1"/>
  <c r="BI205" i="40"/>
  <c r="BJ205" i="40" s="1"/>
  <c r="P240" i="40"/>
  <c r="Q240" i="40" s="1"/>
  <c r="BJ101" i="40"/>
  <c r="BI170" i="40"/>
  <c r="BJ170" i="40" s="1"/>
  <c r="BI258" i="40"/>
  <c r="BJ258" i="40" s="1"/>
  <c r="AA1420" i="5"/>
  <c r="AA2545" i="5"/>
  <c r="AV131" i="40" s="1"/>
  <c r="AA2005" i="5"/>
  <c r="AV237" i="40" s="1"/>
  <c r="AA3400" i="5"/>
  <c r="AV139" i="40" s="1"/>
  <c r="AA2245" i="5"/>
  <c r="AV127" i="40" s="1"/>
  <c r="AA2950" i="5"/>
  <c r="AV247" i="40" s="1"/>
  <c r="AA2200" i="5"/>
  <c r="AV167" i="40" s="1"/>
  <c r="AA2215" i="5"/>
  <c r="AV241" i="40" s="1"/>
  <c r="AA2020" i="5"/>
  <c r="AV207" i="40" s="1"/>
  <c r="AA2740" i="5"/>
  <c r="AV205" i="40" s="1"/>
  <c r="AA1240" i="5"/>
  <c r="AA2065" i="5"/>
  <c r="AV238" i="40" s="1"/>
  <c r="AA2830" i="5"/>
  <c r="AV153" i="40" s="1"/>
  <c r="AA2050" i="5"/>
  <c r="AV146" i="40" s="1"/>
  <c r="AA2650" i="5"/>
  <c r="AV221" i="40" s="1"/>
  <c r="AA1915" i="5"/>
  <c r="AV151" i="40" s="1"/>
  <c r="AA2125" i="5"/>
  <c r="AV154" i="40" s="1"/>
  <c r="AA3820" i="5"/>
  <c r="AV163" i="40" s="1"/>
  <c r="AA1945" i="5"/>
  <c r="AV190" i="40" s="1"/>
  <c r="AA2800" i="5"/>
  <c r="AV256" i="40" s="1"/>
  <c r="AA2635" i="5"/>
  <c r="AV245" i="40" s="1"/>
  <c r="AA1508" i="5"/>
  <c r="AA1778" i="5"/>
  <c r="AA2335" i="5"/>
  <c r="AV220" i="40" s="1"/>
  <c r="AA1840" i="5"/>
  <c r="AA1013" i="5"/>
  <c r="AA338" i="5"/>
  <c r="AA2408" i="5"/>
  <c r="AH171" i="40" s="1"/>
  <c r="AA3490" i="5"/>
  <c r="AV137" i="40" s="1"/>
  <c r="AA488" i="5"/>
  <c r="AA2633" i="5"/>
  <c r="AH245" i="40" s="1"/>
  <c r="AA2410" i="5"/>
  <c r="AV171" i="40" s="1"/>
  <c r="AA3040" i="5"/>
  <c r="AV129" i="40" s="1"/>
  <c r="AA1630" i="5"/>
  <c r="AA1041" i="5"/>
  <c r="AA3610" i="5"/>
  <c r="AV257" i="40" s="1"/>
  <c r="AA1405" i="5"/>
  <c r="AA2530" i="5"/>
  <c r="AV132" i="40" s="1"/>
  <c r="AA3535" i="5"/>
  <c r="AV169" i="40" s="1"/>
  <c r="AA3831" i="5"/>
  <c r="T175" i="40" s="1"/>
  <c r="AA1988" i="5"/>
  <c r="AH156" i="40" s="1"/>
  <c r="AA2185" i="5"/>
  <c r="AV170" i="40" s="1"/>
  <c r="AA3145" i="5"/>
  <c r="AV178" i="40" s="1"/>
  <c r="AA1478" i="5"/>
  <c r="AA1390" i="5"/>
  <c r="AA1270" i="5"/>
  <c r="AA2616" i="5"/>
  <c r="T244" i="40" s="1"/>
  <c r="AA2946" i="5"/>
  <c r="T247" i="40" s="1"/>
  <c r="AA2560" i="5"/>
  <c r="AV204" i="40" s="1"/>
  <c r="AA3246" i="5"/>
  <c r="T251" i="40" s="1"/>
  <c r="AA2106" i="5"/>
  <c r="T176" i="40" s="1"/>
  <c r="AA3085" i="5"/>
  <c r="AV213" i="40" s="1"/>
  <c r="AA3126" i="5"/>
  <c r="T218" i="40" s="1"/>
  <c r="AA1810" i="5"/>
  <c r="AA2901" i="5"/>
  <c r="T191" i="40" s="1"/>
  <c r="AA1956" i="5"/>
  <c r="T140" i="40" s="1"/>
  <c r="AA2856" i="5"/>
  <c r="T196" i="40" s="1"/>
  <c r="AA1926" i="5"/>
  <c r="T227" i="40" s="1"/>
  <c r="AA1596" i="5"/>
  <c r="AA2166" i="5"/>
  <c r="T240" i="40" s="1"/>
  <c r="AA2991" i="5"/>
  <c r="T235" i="40" s="1"/>
  <c r="AA3636" i="5"/>
  <c r="T194" i="40" s="1"/>
  <c r="AA2721" i="5"/>
  <c r="T259" i="40" s="1"/>
  <c r="AA2290" i="5"/>
  <c r="AV149" i="40" s="1"/>
  <c r="AA1046" i="5"/>
  <c r="AA2436" i="5"/>
  <c r="T234" i="40" s="1"/>
  <c r="AA2451" i="5"/>
  <c r="T211" i="40" s="1"/>
  <c r="AA3010" i="5"/>
  <c r="AV183" i="40" s="1"/>
  <c r="AA1731" i="5"/>
  <c r="AA1718" i="5"/>
  <c r="AA2676" i="5"/>
  <c r="T208" i="40" s="1"/>
  <c r="AA2770" i="5"/>
  <c r="AV174" i="40" s="1"/>
  <c r="AA2496" i="5"/>
  <c r="T159" i="40" s="1"/>
  <c r="AA3081" i="5"/>
  <c r="T213" i="40" s="1"/>
  <c r="AA3291" i="5"/>
  <c r="T198" i="40" s="1"/>
  <c r="AA2181" i="5"/>
  <c r="T170" i="40" s="1"/>
  <c r="AA3201" i="5"/>
  <c r="T250" i="40" s="1"/>
  <c r="AA2796" i="5"/>
  <c r="T256" i="40" s="1"/>
  <c r="AA1971" i="5"/>
  <c r="T152" i="40" s="1"/>
  <c r="AA3336" i="5"/>
  <c r="T180" i="40" s="1"/>
  <c r="AA2140" i="5"/>
  <c r="AV162" i="40" s="1"/>
  <c r="AA3055" i="5"/>
  <c r="AV128" i="40" s="1"/>
  <c r="AA2305" i="5"/>
  <c r="AV187" i="40" s="1"/>
  <c r="AA3756" i="5"/>
  <c r="T150" i="40" s="1"/>
  <c r="AA3805" i="5"/>
  <c r="AV210" i="40" s="1"/>
  <c r="AA3786" i="5"/>
  <c r="T130" i="40" s="1"/>
  <c r="AA1716" i="5"/>
  <c r="AA1356" i="5"/>
  <c r="AA51" i="5"/>
  <c r="AA2361" i="5"/>
  <c r="T215" i="40" s="1"/>
  <c r="AA1446" i="5"/>
  <c r="AA2860" i="5"/>
  <c r="AV196" i="40" s="1"/>
  <c r="AA3235" i="5"/>
  <c r="AV209" i="40" s="1"/>
  <c r="AA3531" i="5"/>
  <c r="T169" i="40" s="1"/>
  <c r="AA1883" i="5"/>
  <c r="AH179" i="40" s="1"/>
  <c r="AA1765" i="5"/>
  <c r="AA3550" i="5"/>
  <c r="AV193" i="40" s="1"/>
  <c r="AA1735" i="5"/>
  <c r="AA1373" i="5"/>
  <c r="AA2350" i="5"/>
  <c r="AV164" i="40" s="1"/>
  <c r="AA1551" i="5"/>
  <c r="AA3325" i="5"/>
  <c r="AV229" i="40" s="1"/>
  <c r="AA1251" i="5"/>
  <c r="AA1911" i="5"/>
  <c r="T151" i="40" s="1"/>
  <c r="AA2168" i="5"/>
  <c r="AH240" i="40" s="1"/>
  <c r="AA3220" i="5"/>
  <c r="AV185" i="40" s="1"/>
  <c r="AA3385" i="5"/>
  <c r="AV253" i="40" s="1"/>
  <c r="AA966" i="5"/>
  <c r="AA3111" i="5"/>
  <c r="T248" i="40" s="1"/>
  <c r="AA3653" i="5"/>
  <c r="AH200" i="40" s="1"/>
  <c r="AA2331" i="5"/>
  <c r="T220" i="40" s="1"/>
  <c r="AA518" i="5"/>
  <c r="AA1866" i="5"/>
  <c r="AA1836" i="5"/>
  <c r="AA3546" i="5"/>
  <c r="T193" i="40" s="1"/>
  <c r="AA2961" i="5"/>
  <c r="T165" i="40" s="1"/>
  <c r="AA1401" i="5"/>
  <c r="AA3741" i="5"/>
  <c r="T214" i="40" s="1"/>
  <c r="AA2661" i="5"/>
  <c r="T224" i="40" s="1"/>
  <c r="AA786" i="5"/>
  <c r="AA1375" i="5"/>
  <c r="AA3773" i="5"/>
  <c r="AH182" i="40" s="1"/>
  <c r="AA2481" i="5"/>
  <c r="T172" i="40" s="1"/>
  <c r="AA1660" i="5"/>
  <c r="AA2965" i="5"/>
  <c r="AV165" i="40" s="1"/>
  <c r="AA2755" i="5"/>
  <c r="AV231" i="40" s="1"/>
  <c r="AA2886" i="5"/>
  <c r="T166" i="40" s="1"/>
  <c r="AA1656" i="5"/>
  <c r="AA3066" i="5"/>
  <c r="T226" i="40" s="1"/>
  <c r="AA2785" i="5"/>
  <c r="AV195" i="40" s="1"/>
  <c r="AA141" i="5"/>
  <c r="AA2781" i="5"/>
  <c r="T195" i="40" s="1"/>
  <c r="AA3096" i="5"/>
  <c r="T141" i="40" s="1"/>
  <c r="AA2766" i="5"/>
  <c r="T174" i="40" s="1"/>
  <c r="AA3471" i="5"/>
  <c r="T177" i="40" s="1"/>
  <c r="AA2260" i="5"/>
  <c r="AV199" i="40" s="1"/>
  <c r="AA2196" i="5"/>
  <c r="T167" i="40" s="1"/>
  <c r="AA591" i="5"/>
  <c r="AA3156" i="5"/>
  <c r="T225" i="40" s="1"/>
  <c r="AA3801" i="5"/>
  <c r="T210" i="40" s="1"/>
  <c r="AA1626" i="5"/>
  <c r="AA711" i="5"/>
  <c r="AA3413" i="5"/>
  <c r="AH254" i="40" s="1"/>
  <c r="AA1855" i="5"/>
  <c r="AA816" i="5"/>
  <c r="AA636" i="5"/>
  <c r="AA3771" i="5"/>
  <c r="T182" i="40" s="1"/>
  <c r="AA2316" i="5"/>
  <c r="T232" i="40" s="1"/>
  <c r="AA1941" i="5"/>
  <c r="T190" i="40" s="1"/>
  <c r="AA1101" i="5"/>
  <c r="AA936" i="5"/>
  <c r="AA306" i="5"/>
  <c r="AA441" i="5"/>
  <c r="AA2035" i="5"/>
  <c r="AV212" i="40" s="1"/>
  <c r="AA1930" i="5"/>
  <c r="AV227" i="40" s="1"/>
  <c r="AA1896" i="5"/>
  <c r="T219" i="40" s="1"/>
  <c r="AA2976" i="5"/>
  <c r="T203" i="40" s="1"/>
  <c r="AA1791" i="5"/>
  <c r="AA2046" i="5"/>
  <c r="T146" i="40" s="1"/>
  <c r="AA2395" i="5"/>
  <c r="AV202" i="40" s="1"/>
  <c r="AA2001" i="5"/>
  <c r="T237" i="40" s="1"/>
  <c r="AA3295" i="5"/>
  <c r="AV198" i="40" s="1"/>
  <c r="AA2648" i="5"/>
  <c r="AH221" i="40" s="1"/>
  <c r="AA1326" i="5"/>
  <c r="AA2241" i="5"/>
  <c r="T127" i="40" s="1"/>
  <c r="AA2391" i="5"/>
  <c r="T202" i="40" s="1"/>
  <c r="AA1705" i="5"/>
  <c r="AA1581" i="5"/>
  <c r="AA3758" i="5"/>
  <c r="AH150" i="40" s="1"/>
  <c r="AA2256" i="5"/>
  <c r="T199" i="40" s="1"/>
  <c r="AA1975" i="5"/>
  <c r="AV152" i="40" s="1"/>
  <c r="AA3760" i="5"/>
  <c r="AV150" i="40" s="1"/>
  <c r="AA2406" i="5"/>
  <c r="T171" i="40" s="1"/>
  <c r="AA1960" i="5"/>
  <c r="AV140" i="40" s="1"/>
  <c r="AA2095" i="5"/>
  <c r="AV197" i="40" s="1"/>
  <c r="AA2871" i="5"/>
  <c r="T246" i="40" s="1"/>
  <c r="AA1776" i="5"/>
  <c r="AA2031" i="5"/>
  <c r="T212" i="40" s="1"/>
  <c r="AA3021" i="5"/>
  <c r="T161" i="40" s="1"/>
  <c r="AA2931" i="5"/>
  <c r="T230" i="40" s="1"/>
  <c r="AA1386" i="5"/>
  <c r="AA1521" i="5"/>
  <c r="AA2466" i="5"/>
  <c r="T223" i="40" s="1"/>
  <c r="AA1476" i="5"/>
  <c r="AA1266" i="5"/>
  <c r="AA2841" i="5"/>
  <c r="T134" i="40" s="1"/>
  <c r="AA246" i="5"/>
  <c r="AA3576" i="5"/>
  <c r="T181" i="40" s="1"/>
  <c r="AA3711" i="5"/>
  <c r="T186" i="40" s="1"/>
  <c r="AA3025" i="5"/>
  <c r="AV161" i="40" s="1"/>
  <c r="AA1465" i="5"/>
  <c r="AA2226" i="5"/>
  <c r="T242" i="40" s="1"/>
  <c r="AA2590" i="5"/>
  <c r="AV135" i="40" s="1"/>
  <c r="AA2155" i="5"/>
  <c r="AV145" i="40" s="1"/>
  <c r="AA1495" i="5"/>
  <c r="AA1600" i="5"/>
  <c r="AA2646" i="5"/>
  <c r="T221" i="40" s="1"/>
  <c r="AA2211" i="5"/>
  <c r="T241" i="40" s="1"/>
  <c r="AA2076" i="5"/>
  <c r="T239" i="40" s="1"/>
  <c r="AA3445" i="5"/>
  <c r="AV168" i="40" s="1"/>
  <c r="AA2826" i="5"/>
  <c r="T153" i="40" s="1"/>
  <c r="AA2575" i="5"/>
  <c r="AV143" i="40" s="1"/>
  <c r="AA3340" i="5"/>
  <c r="AV180" i="40" s="1"/>
  <c r="AA3051" i="5"/>
  <c r="T128" i="40" s="1"/>
  <c r="AA1161" i="5"/>
  <c r="AA2875" i="5"/>
  <c r="AV246" i="40" s="1"/>
  <c r="AA696" i="5"/>
  <c r="AA1870" i="5"/>
  <c r="AA1491" i="5"/>
  <c r="AA2301" i="5"/>
  <c r="T187" i="40" s="1"/>
  <c r="AA321" i="5"/>
  <c r="AA2091" i="5"/>
  <c r="T197" i="40" s="1"/>
  <c r="AA1781" i="5"/>
  <c r="AA3746" i="5"/>
  <c r="BC214" i="40" s="1"/>
  <c r="AA3381" i="5"/>
  <c r="T253" i="40" s="1"/>
  <c r="AA846" i="5"/>
  <c r="AA156" i="5"/>
  <c r="AA3128" i="5"/>
  <c r="AH218" i="40" s="1"/>
  <c r="AA1761" i="5"/>
  <c r="AA3216" i="5"/>
  <c r="T185" i="40" s="1"/>
  <c r="AA3396" i="5"/>
  <c r="T139" i="40" s="1"/>
  <c r="AA3803" i="5"/>
  <c r="AH210" i="40" s="1"/>
  <c r="AA3456" i="5"/>
  <c r="T142" i="40" s="1"/>
  <c r="AA171" i="5"/>
  <c r="AA2333" i="5"/>
  <c r="AH220" i="40" s="1"/>
  <c r="AA426" i="5"/>
  <c r="AA2121" i="5"/>
  <c r="T154" i="40" s="1"/>
  <c r="AA3098" i="5"/>
  <c r="AH141" i="40" s="1"/>
  <c r="AA3351" i="5"/>
  <c r="T188" i="40" s="1"/>
  <c r="AA2286" i="5"/>
  <c r="T149" i="40" s="1"/>
  <c r="AA1431" i="5"/>
  <c r="AA8" i="5"/>
  <c r="AA3533" i="5"/>
  <c r="AH169" i="40" s="1"/>
  <c r="AA3141" i="5"/>
  <c r="T178" i="40" s="1"/>
  <c r="AA576" i="5"/>
  <c r="AA2916" i="5"/>
  <c r="T192" i="40" s="1"/>
  <c r="AA3608" i="5"/>
  <c r="AH257" i="40" s="1"/>
  <c r="AA1116" i="5"/>
  <c r="AA2303" i="5"/>
  <c r="AH187" i="40" s="1"/>
  <c r="AA2346" i="5"/>
  <c r="T164" i="40" s="1"/>
  <c r="AA1296" i="5"/>
  <c r="AA1206" i="5"/>
  <c r="AA126" i="5"/>
  <c r="AA1671" i="5"/>
  <c r="AA1176" i="5"/>
  <c r="AA2541" i="5"/>
  <c r="T131" i="40" s="1"/>
  <c r="AA1011" i="5"/>
  <c r="AA3728" i="5"/>
  <c r="AH217" i="40" s="1"/>
  <c r="AA3231" i="5"/>
  <c r="T209" i="40" s="1"/>
  <c r="AA2631" i="5"/>
  <c r="T245" i="40" s="1"/>
  <c r="AA3611" i="5"/>
  <c r="BC257" i="40" s="1"/>
  <c r="AA1796" i="5"/>
  <c r="AA2501" i="5"/>
  <c r="BC159" i="40" s="1"/>
  <c r="AA3836" i="5"/>
  <c r="BC175" i="40" s="1"/>
  <c r="AA641" i="5"/>
  <c r="AA3716" i="5"/>
  <c r="BC186" i="40" s="1"/>
  <c r="AA3834" i="5"/>
  <c r="AA1884" i="5"/>
  <c r="AA639" i="5"/>
  <c r="W2753" i="5" l="1"/>
  <c r="W2931" i="5"/>
  <c r="W651" i="5"/>
  <c r="W3111" i="5"/>
  <c r="W2076" i="5"/>
  <c r="S1896" i="5"/>
  <c r="S2166" i="5"/>
  <c r="W3726" i="5"/>
  <c r="W1986" i="5"/>
  <c r="S1986" i="5"/>
  <c r="S2841" i="5"/>
  <c r="W2706" i="5"/>
  <c r="W3353" i="5"/>
  <c r="W2781" i="5"/>
  <c r="W3381" i="5"/>
  <c r="S3696" i="5"/>
  <c r="S1746" i="5"/>
  <c r="W576" i="5"/>
  <c r="S2736" i="5"/>
  <c r="W3801" i="5"/>
  <c r="W3696" i="5"/>
  <c r="W1326" i="5"/>
  <c r="T77" i="40" s="1"/>
  <c r="W1746" i="5"/>
  <c r="T124" i="40" s="1"/>
  <c r="S651" i="5"/>
  <c r="T7" i="40" s="1"/>
  <c r="AO206" i="40"/>
  <c r="AO210" i="40"/>
  <c r="AO133" i="40"/>
  <c r="AO257" i="40"/>
  <c r="AO217" i="40"/>
  <c r="AO182" i="40"/>
  <c r="AO215" i="40"/>
  <c r="AO158" i="40"/>
  <c r="AO214" i="40"/>
  <c r="AO179" i="40"/>
  <c r="AO175" i="40"/>
  <c r="AO181" i="40"/>
  <c r="AO172" i="40"/>
  <c r="AO159" i="40"/>
  <c r="AO186" i="40"/>
  <c r="AE45" i="40"/>
  <c r="AE9" i="40"/>
  <c r="AE49" i="40"/>
  <c r="AE2" i="40"/>
  <c r="AE30" i="40"/>
  <c r="AE47" i="40"/>
  <c r="AE38" i="40"/>
  <c r="AE60" i="40"/>
  <c r="AE26" i="40"/>
  <c r="S67" i="5"/>
  <c r="AA39" i="40" s="1"/>
  <c r="W67" i="5"/>
  <c r="AA67" i="5"/>
  <c r="L254" i="5"/>
  <c r="L255" i="5"/>
  <c r="P253" i="5"/>
  <c r="L359" i="5"/>
  <c r="L360" i="5"/>
  <c r="P358" i="5"/>
  <c r="P273" i="5"/>
  <c r="AA280" i="5"/>
  <c r="P483" i="5"/>
  <c r="AA490" i="5"/>
  <c r="S742" i="5"/>
  <c r="AA8" i="40" s="1"/>
  <c r="W742" i="5"/>
  <c r="AA742" i="5"/>
  <c r="S937" i="5"/>
  <c r="AA30" i="40" s="1"/>
  <c r="W937" i="5"/>
  <c r="AA937" i="5"/>
  <c r="L959" i="5"/>
  <c r="L960" i="5"/>
  <c r="P958" i="5"/>
  <c r="P1158" i="5"/>
  <c r="AA1165" i="5"/>
  <c r="P1683" i="5"/>
  <c r="AA1690" i="5"/>
  <c r="P1543" i="5"/>
  <c r="L1544" i="5"/>
  <c r="L1545" i="5"/>
  <c r="W172" i="5"/>
  <c r="S172" i="5"/>
  <c r="AA43" i="40" s="1"/>
  <c r="AA172" i="5"/>
  <c r="S817" i="5"/>
  <c r="AA52" i="40" s="1"/>
  <c r="W817" i="5"/>
  <c r="AA817" i="5"/>
  <c r="E913" i="5"/>
  <c r="E914" i="5"/>
  <c r="E915" i="5"/>
  <c r="S653" i="5"/>
  <c r="AH7" i="40" s="1"/>
  <c r="P918" i="5"/>
  <c r="AA925" i="5"/>
  <c r="S592" i="5"/>
  <c r="AA64" i="40" s="1"/>
  <c r="W592" i="5"/>
  <c r="AA592" i="5"/>
  <c r="S862" i="5"/>
  <c r="AA18" i="40" s="1"/>
  <c r="W862" i="5"/>
  <c r="AA862" i="5"/>
  <c r="E703" i="5"/>
  <c r="E704" i="5"/>
  <c r="E705" i="5"/>
  <c r="L809" i="5"/>
  <c r="L810" i="5"/>
  <c r="P808" i="5"/>
  <c r="P896" i="5"/>
  <c r="P1311" i="5"/>
  <c r="P1258" i="5"/>
  <c r="L1259" i="5"/>
  <c r="L1260" i="5"/>
  <c r="W1418" i="5"/>
  <c r="AH72" i="40" s="1"/>
  <c r="P1378" i="5"/>
  <c r="L1379" i="5"/>
  <c r="L1380" i="5"/>
  <c r="P1473" i="5"/>
  <c r="AA1480" i="5"/>
  <c r="P1668" i="5"/>
  <c r="AA1675" i="5"/>
  <c r="P80" i="5"/>
  <c r="P350" i="5"/>
  <c r="P103" i="5"/>
  <c r="L104" i="5"/>
  <c r="L105" i="5"/>
  <c r="E458" i="5"/>
  <c r="AA113" i="5"/>
  <c r="AA383" i="5"/>
  <c r="AA398" i="5"/>
  <c r="P637" i="5"/>
  <c r="P907" i="5"/>
  <c r="S487" i="5"/>
  <c r="AA32" i="40" s="1"/>
  <c r="W487" i="5"/>
  <c r="AA487" i="5"/>
  <c r="P573" i="5"/>
  <c r="AA580" i="5"/>
  <c r="E852" i="5"/>
  <c r="E685" i="5"/>
  <c r="P513" i="5"/>
  <c r="AA520" i="5"/>
  <c r="P698" i="5"/>
  <c r="P968" i="5"/>
  <c r="P1075" i="5"/>
  <c r="P1149" i="5"/>
  <c r="S1162" i="5"/>
  <c r="W1162" i="5"/>
  <c r="AA118" i="40" s="1"/>
  <c r="AA1162" i="5"/>
  <c r="P1333" i="5"/>
  <c r="L1334" i="5"/>
  <c r="L1335" i="5"/>
  <c r="W1433" i="5"/>
  <c r="AH120" i="40" s="1"/>
  <c r="S1087" i="5"/>
  <c r="W1087" i="5"/>
  <c r="AA87" i="40" s="1"/>
  <c r="AA1087" i="5"/>
  <c r="E1180" i="5"/>
  <c r="P1193" i="5"/>
  <c r="W1206" i="5"/>
  <c r="T105" i="40" s="1"/>
  <c r="E1769" i="5"/>
  <c r="AA1759" i="5" s="1"/>
  <c r="E1770" i="5"/>
  <c r="E1768" i="5"/>
  <c r="P1763" i="5"/>
  <c r="S1537" i="5"/>
  <c r="W1537" i="5"/>
  <c r="AA90" i="40" s="1"/>
  <c r="AA1537" i="5"/>
  <c r="E87" i="5"/>
  <c r="S7" i="5"/>
  <c r="AA65" i="40" s="1"/>
  <c r="W7" i="5"/>
  <c r="AA7" i="5"/>
  <c r="E103" i="5"/>
  <c r="E104" i="5"/>
  <c r="E105" i="5"/>
  <c r="P116" i="5"/>
  <c r="P133" i="5"/>
  <c r="L134" i="5"/>
  <c r="L135" i="5"/>
  <c r="P297" i="5"/>
  <c r="S307" i="5"/>
  <c r="AA49" i="40" s="1"/>
  <c r="W307" i="5"/>
  <c r="AA307" i="5"/>
  <c r="P393" i="5"/>
  <c r="AA400" i="5"/>
  <c r="S52" i="5"/>
  <c r="AA19" i="40" s="1"/>
  <c r="W52" i="5"/>
  <c r="AA52" i="5"/>
  <c r="P228" i="5"/>
  <c r="AA235" i="5"/>
  <c r="P417" i="5"/>
  <c r="P468" i="5"/>
  <c r="AA475" i="5"/>
  <c r="S473" i="5"/>
  <c r="AH45" i="40" s="1"/>
  <c r="P488" i="5"/>
  <c r="E747" i="5"/>
  <c r="W741" i="5"/>
  <c r="P829" i="5"/>
  <c r="S938" i="5"/>
  <c r="AH30" i="40" s="1"/>
  <c r="E523" i="5"/>
  <c r="E524" i="5"/>
  <c r="E525" i="5"/>
  <c r="P521" i="5"/>
  <c r="W532" i="5"/>
  <c r="S532" i="5"/>
  <c r="AA31" i="40" s="1"/>
  <c r="AA532" i="5"/>
  <c r="P618" i="5"/>
  <c r="AA625" i="5"/>
  <c r="P700" i="5"/>
  <c r="P711" i="5"/>
  <c r="S711" i="5"/>
  <c r="T63" i="40" s="1"/>
  <c r="W803" i="5"/>
  <c r="P986" i="5"/>
  <c r="P1131" i="5"/>
  <c r="W1223" i="5"/>
  <c r="AH76" i="40" s="1"/>
  <c r="P1492" i="5"/>
  <c r="AA1058" i="5"/>
  <c r="E1243" i="5"/>
  <c r="E1244" i="5"/>
  <c r="E1245" i="5"/>
  <c r="P1252" i="5"/>
  <c r="E1181" i="5"/>
  <c r="P1270" i="5"/>
  <c r="E1449" i="5"/>
  <c r="E1119" i="5"/>
  <c r="P1119" i="5"/>
  <c r="P1301" i="5"/>
  <c r="W1463" i="5"/>
  <c r="AH102" i="40" s="1"/>
  <c r="S1477" i="5"/>
  <c r="W1477" i="5"/>
  <c r="AA122" i="40" s="1"/>
  <c r="AA1477" i="5"/>
  <c r="S1526" i="5"/>
  <c r="P1654" i="5"/>
  <c r="P1670" i="5"/>
  <c r="P1603" i="5"/>
  <c r="L1604" i="5"/>
  <c r="L1605" i="5"/>
  <c r="E81" i="5"/>
  <c r="P264" i="5"/>
  <c r="E351" i="5"/>
  <c r="P8" i="5"/>
  <c r="E280" i="5"/>
  <c r="P24" i="5"/>
  <c r="P40" i="5"/>
  <c r="P131" i="5"/>
  <c r="S203" i="5"/>
  <c r="AH21" i="40" s="1"/>
  <c r="P52" i="5"/>
  <c r="AA53" i="5"/>
  <c r="P143" i="5"/>
  <c r="W143" i="5"/>
  <c r="P230" i="5"/>
  <c r="S233" i="5"/>
  <c r="AH53" i="40" s="1"/>
  <c r="P552" i="5"/>
  <c r="P723" i="5"/>
  <c r="AA730" i="5"/>
  <c r="P822" i="5"/>
  <c r="S998" i="5"/>
  <c r="AH14" i="40" s="1"/>
  <c r="E668" i="5"/>
  <c r="E938" i="5"/>
  <c r="AA942" i="5" s="1"/>
  <c r="W942" i="5"/>
  <c r="P685" i="5"/>
  <c r="P771" i="5"/>
  <c r="S607" i="5"/>
  <c r="AA61" i="40" s="1"/>
  <c r="W607" i="5"/>
  <c r="AA607" i="5"/>
  <c r="E612" i="5"/>
  <c r="P873" i="5"/>
  <c r="AA880" i="5"/>
  <c r="P964" i="5"/>
  <c r="P1038" i="5"/>
  <c r="AA1045" i="5"/>
  <c r="P1130" i="5"/>
  <c r="E1405" i="5"/>
  <c r="P1489" i="5"/>
  <c r="AA1073" i="5"/>
  <c r="E1327" i="5"/>
  <c r="P1342" i="5"/>
  <c r="P1422" i="5"/>
  <c r="P1437" i="5"/>
  <c r="P1180" i="5"/>
  <c r="P1363" i="5"/>
  <c r="L1364" i="5"/>
  <c r="L1365" i="5"/>
  <c r="S1447" i="5"/>
  <c r="W1447" i="5"/>
  <c r="AA74" i="40" s="1"/>
  <c r="AA1447" i="5"/>
  <c r="P1511" i="5"/>
  <c r="W1028" i="5"/>
  <c r="P1203" i="5"/>
  <c r="AA1210" i="5"/>
  <c r="P1285" i="5"/>
  <c r="P1386" i="5"/>
  <c r="W1386" i="5"/>
  <c r="T88" i="40" s="1"/>
  <c r="P1525" i="5"/>
  <c r="L1664" i="5"/>
  <c r="L1665" i="5"/>
  <c r="P1663" i="5"/>
  <c r="E1690" i="5"/>
  <c r="E1781" i="5"/>
  <c r="E68" i="5"/>
  <c r="E84" i="5"/>
  <c r="P82" i="5"/>
  <c r="P162" i="5"/>
  <c r="W158" i="5"/>
  <c r="S171" i="5"/>
  <c r="T43" i="40" s="1"/>
  <c r="P267" i="5"/>
  <c r="P337" i="5"/>
  <c r="E101" i="5"/>
  <c r="E281" i="5"/>
  <c r="P458" i="5"/>
  <c r="E111" i="5"/>
  <c r="P127" i="5"/>
  <c r="E127" i="5"/>
  <c r="E202" i="5"/>
  <c r="P213" i="5"/>
  <c r="AA220" i="5"/>
  <c r="E293" i="5"/>
  <c r="P304" i="5"/>
  <c r="P387" i="5"/>
  <c r="S397" i="5"/>
  <c r="AA47" i="40" s="1"/>
  <c r="W397" i="5"/>
  <c r="AA397" i="5"/>
  <c r="P635" i="5"/>
  <c r="W728" i="5"/>
  <c r="P905" i="5"/>
  <c r="E473" i="5"/>
  <c r="S666" i="5"/>
  <c r="T66" i="40" s="1"/>
  <c r="P748" i="5"/>
  <c r="L749" i="5"/>
  <c r="L750" i="5"/>
  <c r="W936" i="5"/>
  <c r="W503" i="5"/>
  <c r="W593" i="5"/>
  <c r="W683" i="5"/>
  <c r="W773" i="5"/>
  <c r="W863" i="5"/>
  <c r="W953" i="5"/>
  <c r="P531" i="5"/>
  <c r="W531" i="5"/>
  <c r="W622" i="5"/>
  <c r="S622" i="5"/>
  <c r="AA15" i="40" s="1"/>
  <c r="AA622" i="5"/>
  <c r="L704" i="5"/>
  <c r="L705" i="5"/>
  <c r="P703" i="5"/>
  <c r="P708" i="5"/>
  <c r="AA715" i="5"/>
  <c r="P790" i="5"/>
  <c r="W801" i="5"/>
  <c r="P892" i="5"/>
  <c r="E1223" i="5"/>
  <c r="W1227" i="5" s="1"/>
  <c r="BF76" i="40" s="1"/>
  <c r="E1315" i="5"/>
  <c r="P1399" i="5"/>
  <c r="P1078" i="5"/>
  <c r="L1079" i="5"/>
  <c r="L1080" i="5"/>
  <c r="P1146" i="5"/>
  <c r="S1163" i="5"/>
  <c r="E1240" i="5"/>
  <c r="P1419" i="5"/>
  <c r="E1088" i="5"/>
  <c r="E1363" i="5"/>
  <c r="E1364" i="5"/>
  <c r="E1365" i="5"/>
  <c r="P1447" i="5"/>
  <c r="E1514" i="5"/>
  <c r="E1515" i="5"/>
  <c r="E1513" i="5"/>
  <c r="P1013" i="5"/>
  <c r="P1098" i="5"/>
  <c r="AA1105" i="5"/>
  <c r="P1117" i="5"/>
  <c r="P1281" i="5"/>
  <c r="E1463" i="5"/>
  <c r="P1476" i="5"/>
  <c r="S1476" i="5"/>
  <c r="P1523" i="5"/>
  <c r="E1573" i="5"/>
  <c r="E1574" i="5"/>
  <c r="E1575" i="5"/>
  <c r="P1653" i="5"/>
  <c r="P1676" i="5"/>
  <c r="E1763" i="5"/>
  <c r="AA1767" i="5" s="1"/>
  <c r="W1767" i="5"/>
  <c r="BF92" i="40" s="1"/>
  <c r="P1597" i="5"/>
  <c r="P1689" i="5"/>
  <c r="P1773" i="5"/>
  <c r="AA1780" i="5"/>
  <c r="P1780" i="5"/>
  <c r="E1718" i="5"/>
  <c r="E1739" i="5"/>
  <c r="E1738" i="5"/>
  <c r="E1740" i="5"/>
  <c r="P2203" i="5"/>
  <c r="L2204" i="5"/>
  <c r="L2205" i="5"/>
  <c r="E2384" i="5"/>
  <c r="AA2374" i="5" s="1"/>
  <c r="F243" i="40" s="1"/>
  <c r="E2385" i="5"/>
  <c r="E2383" i="5"/>
  <c r="S2557" i="5"/>
  <c r="W2557" i="5"/>
  <c r="AA2557" i="5"/>
  <c r="AA204" i="40" s="1"/>
  <c r="S2512" i="5"/>
  <c r="W2512" i="5"/>
  <c r="AA2512" i="5"/>
  <c r="AA206" i="40" s="1"/>
  <c r="E2633" i="5"/>
  <c r="P2788" i="5"/>
  <c r="L2789" i="5"/>
  <c r="L2790" i="5"/>
  <c r="S2872" i="5"/>
  <c r="W2872" i="5"/>
  <c r="AA2872" i="5"/>
  <c r="AA246" i="40" s="1"/>
  <c r="P2928" i="5"/>
  <c r="AA2935" i="5"/>
  <c r="AV230" i="40" s="1"/>
  <c r="L2984" i="5"/>
  <c r="L2985" i="5"/>
  <c r="P2983" i="5"/>
  <c r="E2918" i="5"/>
  <c r="P3193" i="5"/>
  <c r="L3194" i="5"/>
  <c r="L3195" i="5"/>
  <c r="S3217" i="5"/>
  <c r="W3217" i="5"/>
  <c r="AA3217" i="5"/>
  <c r="AA185" i="40" s="1"/>
  <c r="L1559" i="5"/>
  <c r="L1560" i="5"/>
  <c r="P1558" i="5"/>
  <c r="P1638" i="5"/>
  <c r="AA1645" i="5"/>
  <c r="P1871" i="5"/>
  <c r="E1958" i="5"/>
  <c r="P2268" i="5"/>
  <c r="AA2275" i="5"/>
  <c r="AV236" i="40" s="1"/>
  <c r="P2275" i="5"/>
  <c r="P2113" i="5"/>
  <c r="L2114" i="5"/>
  <c r="L2115" i="5"/>
  <c r="P2613" i="5"/>
  <c r="AA2620" i="5"/>
  <c r="AV244" i="40" s="1"/>
  <c r="E2428" i="5"/>
  <c r="E2429" i="5"/>
  <c r="E2430" i="5"/>
  <c r="P2349" i="5"/>
  <c r="S2362" i="5"/>
  <c r="W2362" i="5"/>
  <c r="AA2362" i="5"/>
  <c r="AA215" i="40" s="1"/>
  <c r="P2668" i="5"/>
  <c r="L2669" i="5"/>
  <c r="L2670" i="5"/>
  <c r="P2681" i="5"/>
  <c r="E2788" i="5"/>
  <c r="E2789" i="5"/>
  <c r="E2790" i="5"/>
  <c r="P2968" i="5"/>
  <c r="L2969" i="5"/>
  <c r="L2970" i="5"/>
  <c r="P3198" i="5"/>
  <c r="AA3205" i="5"/>
  <c r="AV250" i="40" s="1"/>
  <c r="S1613" i="5"/>
  <c r="S1552" i="5"/>
  <c r="W1552" i="5"/>
  <c r="AA112" i="40" s="1"/>
  <c r="AA1552" i="5"/>
  <c r="P1643" i="5"/>
  <c r="S1643" i="5"/>
  <c r="E1828" i="5"/>
  <c r="E1829" i="5"/>
  <c r="E1830" i="5"/>
  <c r="P2065" i="5"/>
  <c r="W1898" i="5"/>
  <c r="P2005" i="5"/>
  <c r="W1928" i="5"/>
  <c r="E1932" i="5"/>
  <c r="P2014" i="5"/>
  <c r="P1954" i="5"/>
  <c r="E2038" i="5"/>
  <c r="E2039" i="5"/>
  <c r="E2040" i="5"/>
  <c r="E2093" i="5"/>
  <c r="P2257" i="5"/>
  <c r="P2213" i="5"/>
  <c r="P2300" i="5"/>
  <c r="P2313" i="5"/>
  <c r="AA2320" i="5"/>
  <c r="AV232" i="40" s="1"/>
  <c r="P2391" i="5"/>
  <c r="E2411" i="5"/>
  <c r="E2425" i="5"/>
  <c r="P2603" i="5"/>
  <c r="S2662" i="5"/>
  <c r="W2662" i="5"/>
  <c r="AA2662" i="5"/>
  <c r="AA224" i="40" s="1"/>
  <c r="P2743" i="5"/>
  <c r="L2744" i="5"/>
  <c r="L2745" i="5"/>
  <c r="E2759" i="5"/>
  <c r="E2760" i="5"/>
  <c r="E2758" i="5"/>
  <c r="S2977" i="5"/>
  <c r="W2977" i="5"/>
  <c r="AA2977" i="5"/>
  <c r="AA203" i="40" s="1"/>
  <c r="AA2918" i="5"/>
  <c r="AH192" i="40" s="1"/>
  <c r="P2914" i="5"/>
  <c r="W3233" i="5"/>
  <c r="AA3248" i="5"/>
  <c r="AH251" i="40" s="1"/>
  <c r="S3412" i="5"/>
  <c r="W3412" i="5"/>
  <c r="AA3412" i="5"/>
  <c r="AA254" i="40" s="1"/>
  <c r="P1553" i="5"/>
  <c r="W1553" i="5"/>
  <c r="AH112" i="40" s="1"/>
  <c r="E1916" i="5"/>
  <c r="P2001" i="5"/>
  <c r="E1929" i="5"/>
  <c r="E2024" i="5"/>
  <c r="E2025" i="5"/>
  <c r="E2023" i="5"/>
  <c r="P2240" i="5"/>
  <c r="P2188" i="5"/>
  <c r="L2189" i="5"/>
  <c r="L2190" i="5"/>
  <c r="P2328" i="5"/>
  <c r="P2126" i="5"/>
  <c r="S2213" i="5"/>
  <c r="AA2228" i="5"/>
  <c r="AH242" i="40" s="1"/>
  <c r="E2306" i="5"/>
  <c r="P2575" i="5"/>
  <c r="S2572" i="5"/>
  <c r="W2572" i="5"/>
  <c r="AA2572" i="5"/>
  <c r="AA143" i="40" s="1"/>
  <c r="P2413" i="5"/>
  <c r="L2414" i="5"/>
  <c r="L2415" i="5"/>
  <c r="P2481" i="5"/>
  <c r="P2593" i="5"/>
  <c r="L2594" i="5"/>
  <c r="L2595" i="5"/>
  <c r="W2528" i="5"/>
  <c r="E2713" i="5"/>
  <c r="E2714" i="5"/>
  <c r="E2715" i="5"/>
  <c r="S2723" i="5"/>
  <c r="P2664" i="5"/>
  <c r="P2755" i="5"/>
  <c r="S2768" i="5"/>
  <c r="P2950" i="5"/>
  <c r="E2968" i="5"/>
  <c r="E2969" i="5"/>
  <c r="E2970" i="5"/>
  <c r="E2858" i="5"/>
  <c r="AA2862" i="5" s="1"/>
  <c r="BF196" i="40" s="1"/>
  <c r="W2862" i="5"/>
  <c r="E3081" i="5"/>
  <c r="W3203" i="5"/>
  <c r="P2992" i="5"/>
  <c r="P3037" i="5"/>
  <c r="E3223" i="5"/>
  <c r="E3224" i="5"/>
  <c r="E3225" i="5"/>
  <c r="P3233" i="5"/>
  <c r="E3313" i="5"/>
  <c r="E3314" i="5"/>
  <c r="E3315" i="5"/>
  <c r="E3098" i="5"/>
  <c r="E3178" i="5"/>
  <c r="E3179" i="5"/>
  <c r="E3180" i="5"/>
  <c r="S3263" i="5"/>
  <c r="E3358" i="5"/>
  <c r="E3359" i="5"/>
  <c r="E3360" i="5"/>
  <c r="P1706" i="5"/>
  <c r="L1904" i="5"/>
  <c r="L1905" i="5"/>
  <c r="P1903" i="5"/>
  <c r="E1934" i="5"/>
  <c r="E1935" i="5"/>
  <c r="E1933" i="5"/>
  <c r="P2017" i="5"/>
  <c r="P1806" i="5"/>
  <c r="E1963" i="5"/>
  <c r="E1964" i="5"/>
  <c r="E1965" i="5"/>
  <c r="E2111" i="5"/>
  <c r="W2288" i="5"/>
  <c r="P2305" i="5"/>
  <c r="E2573" i="5"/>
  <c r="S2543" i="5"/>
  <c r="S2392" i="5"/>
  <c r="W2392" i="5"/>
  <c r="AA2392" i="5"/>
  <c r="AA202" i="40" s="1"/>
  <c r="P2503" i="5"/>
  <c r="L2504" i="5"/>
  <c r="L2505" i="5"/>
  <c r="P2589" i="5"/>
  <c r="S2591" i="5" s="1"/>
  <c r="P2456" i="5"/>
  <c r="P2606" i="5"/>
  <c r="P2707" i="5"/>
  <c r="E2666" i="5"/>
  <c r="E2751" i="5"/>
  <c r="S2842" i="5"/>
  <c r="W2842" i="5"/>
  <c r="AA2842" i="5"/>
  <c r="AA134" i="40" s="1"/>
  <c r="P2863" i="5"/>
  <c r="L2864" i="5"/>
  <c r="L2865" i="5"/>
  <c r="P2884" i="5"/>
  <c r="S2827" i="5"/>
  <c r="W2827" i="5"/>
  <c r="AA2827" i="5"/>
  <c r="AA153" i="40" s="1"/>
  <c r="P2980" i="5"/>
  <c r="W2916" i="5"/>
  <c r="P3086" i="5"/>
  <c r="S3052" i="5"/>
  <c r="W3052" i="5"/>
  <c r="AA3052" i="5"/>
  <c r="AA128" i="40" s="1"/>
  <c r="P3051" i="5"/>
  <c r="L2999" i="5"/>
  <c r="L3000" i="5"/>
  <c r="P2998" i="5"/>
  <c r="S3186" i="5"/>
  <c r="S3218" i="5"/>
  <c r="S3231" i="5"/>
  <c r="E3312" i="5"/>
  <c r="AA3308" i="5"/>
  <c r="AH160" i="40" s="1"/>
  <c r="P3160" i="5"/>
  <c r="L3269" i="5"/>
  <c r="L3270" i="5"/>
  <c r="P3268" i="5"/>
  <c r="S3337" i="5"/>
  <c r="W3337" i="5"/>
  <c r="AA3337" i="5"/>
  <c r="AA180" i="40" s="1"/>
  <c r="P1629" i="5"/>
  <c r="S1796" i="5"/>
  <c r="W1796" i="5"/>
  <c r="BC95" i="40" s="1"/>
  <c r="P1729" i="5"/>
  <c r="E1821" i="5"/>
  <c r="E1902" i="5"/>
  <c r="P1916" i="5"/>
  <c r="E1988" i="5"/>
  <c r="E1836" i="5"/>
  <c r="P1925" i="5"/>
  <c r="P1809" i="5"/>
  <c r="P1865" i="5"/>
  <c r="P2049" i="5"/>
  <c r="P2156" i="5"/>
  <c r="P2088" i="5"/>
  <c r="P2095" i="5"/>
  <c r="W2167" i="5"/>
  <c r="S2167" i="5"/>
  <c r="AA2167" i="5"/>
  <c r="AA240" i="40" s="1"/>
  <c r="S2182" i="5"/>
  <c r="W2182" i="5"/>
  <c r="AA2182" i="5"/>
  <c r="AA170" i="40" s="1"/>
  <c r="P2276" i="5"/>
  <c r="E2200" i="5"/>
  <c r="P2127" i="5"/>
  <c r="E2139" i="5"/>
  <c r="P2299" i="5"/>
  <c r="P2555" i="5"/>
  <c r="S2558" i="5"/>
  <c r="P2394" i="5"/>
  <c r="S2501" i="5"/>
  <c r="W2501" i="5"/>
  <c r="L2519" i="5"/>
  <c r="L2520" i="5"/>
  <c r="P2518" i="5"/>
  <c r="E2348" i="5"/>
  <c r="E2454" i="5"/>
  <c r="L2534" i="5"/>
  <c r="L2535" i="5"/>
  <c r="P2533" i="5"/>
  <c r="P2630" i="5"/>
  <c r="W2603" i="5"/>
  <c r="P2703" i="5"/>
  <c r="AA2710" i="5"/>
  <c r="AV216" i="40" s="1"/>
  <c r="P2718" i="5"/>
  <c r="AA2725" i="5"/>
  <c r="AV259" i="40" s="1"/>
  <c r="P2651" i="5"/>
  <c r="AA2663" i="5"/>
  <c r="AH224" i="40" s="1"/>
  <c r="AA2678" i="5"/>
  <c r="AH208" i="40" s="1"/>
  <c r="AA2783" i="5"/>
  <c r="AH195" i="40" s="1"/>
  <c r="E2740" i="5"/>
  <c r="P2810" i="5"/>
  <c r="P2765" i="5"/>
  <c r="S2947" i="5"/>
  <c r="W2947" i="5"/>
  <c r="AA2947" i="5"/>
  <c r="AA247" i="40" s="1"/>
  <c r="AA2828" i="5"/>
  <c r="AH153" i="40" s="1"/>
  <c r="S2978" i="5"/>
  <c r="W3082" i="5"/>
  <c r="S3082" i="5"/>
  <c r="AA3082" i="5"/>
  <c r="AA213" i="40" s="1"/>
  <c r="P3139" i="5"/>
  <c r="P3058" i="5"/>
  <c r="L3059" i="5"/>
  <c r="L3060" i="5"/>
  <c r="E3068" i="5"/>
  <c r="W3023" i="5"/>
  <c r="P3108" i="5"/>
  <c r="AA3115" i="5"/>
  <c r="AV248" i="40" s="1"/>
  <c r="P3228" i="5"/>
  <c r="E3251" i="5"/>
  <c r="E3263" i="5"/>
  <c r="W3262" i="5"/>
  <c r="S3262" i="5"/>
  <c r="AA3262" i="5"/>
  <c r="AA173" i="40" s="1"/>
  <c r="P3327" i="5"/>
  <c r="W3622" i="5"/>
  <c r="S3622" i="5"/>
  <c r="AA3622" i="5"/>
  <c r="AA255" i="40" s="1"/>
  <c r="L3794" i="5"/>
  <c r="L3795" i="5"/>
  <c r="P3793" i="5"/>
  <c r="P3289" i="5"/>
  <c r="P3424" i="5"/>
  <c r="P3565" i="5"/>
  <c r="P3589" i="5"/>
  <c r="P3553" i="5"/>
  <c r="L3554" i="5"/>
  <c r="L3555" i="5"/>
  <c r="E3673" i="5"/>
  <c r="E3674" i="5"/>
  <c r="AA3664" i="5" s="1"/>
  <c r="F158" i="40" s="1"/>
  <c r="E3675" i="5"/>
  <c r="L3809" i="5"/>
  <c r="L3810" i="5"/>
  <c r="P3808" i="5"/>
  <c r="P3493" i="5"/>
  <c r="L3494" i="5"/>
  <c r="L3495" i="5"/>
  <c r="P3373" i="5"/>
  <c r="L3374" i="5"/>
  <c r="L3375" i="5"/>
  <c r="S3562" i="5"/>
  <c r="W3562" i="5"/>
  <c r="AA3562" i="5"/>
  <c r="AA184" i="40" s="1"/>
  <c r="P3532" i="5"/>
  <c r="E3520" i="5"/>
  <c r="P3681" i="5"/>
  <c r="P3633" i="5"/>
  <c r="AA3640" i="5"/>
  <c r="AV194" i="40" s="1"/>
  <c r="S3607" i="5"/>
  <c r="W3607" i="5"/>
  <c r="AA3607" i="5"/>
  <c r="AA257" i="40" s="1"/>
  <c r="P3672" i="5"/>
  <c r="P3777" i="5"/>
  <c r="E3486" i="5"/>
  <c r="P3432" i="5"/>
  <c r="P3562" i="5"/>
  <c r="P3590" i="5"/>
  <c r="P3499" i="5"/>
  <c r="P3520" i="5"/>
  <c r="P3627" i="5"/>
  <c r="P3636" i="5"/>
  <c r="P3651" i="5"/>
  <c r="E3773" i="5"/>
  <c r="AA3777" i="5" s="1"/>
  <c r="BF182" i="40" s="1"/>
  <c r="W3777" i="5"/>
  <c r="E3696" i="5"/>
  <c r="P3733" i="5"/>
  <c r="L3734" i="5"/>
  <c r="L3735" i="5"/>
  <c r="S3848" i="5"/>
  <c r="P3273" i="5"/>
  <c r="AA3280" i="5"/>
  <c r="AV228" i="40" s="1"/>
  <c r="P3384" i="5"/>
  <c r="AA3458" i="5"/>
  <c r="AH142" i="40" s="1"/>
  <c r="E3493" i="5"/>
  <c r="E3494" i="5"/>
  <c r="E3495" i="5"/>
  <c r="P3491" i="5"/>
  <c r="E3369" i="5"/>
  <c r="S3576" i="5"/>
  <c r="E3596" i="5"/>
  <c r="P3761" i="5"/>
  <c r="P3791" i="5"/>
  <c r="S3741" i="5"/>
  <c r="P3831" i="5"/>
  <c r="E3849" i="5"/>
  <c r="P3849" i="5"/>
  <c r="E3462" i="5"/>
  <c r="E3474" i="5"/>
  <c r="E3477" i="5"/>
  <c r="W3443" i="5"/>
  <c r="S3427" i="5"/>
  <c r="W3427" i="5"/>
  <c r="AA3427" i="5"/>
  <c r="AA147" i="40" s="1"/>
  <c r="S3367" i="5"/>
  <c r="W3367" i="5"/>
  <c r="AA3367" i="5"/>
  <c r="AA252" i="40" s="1"/>
  <c r="P3563" i="5"/>
  <c r="E3576" i="5"/>
  <c r="P3528" i="5"/>
  <c r="AA3518" i="5"/>
  <c r="AH189" i="40" s="1"/>
  <c r="P3515" i="5"/>
  <c r="W3683" i="5"/>
  <c r="P3653" i="5"/>
  <c r="E3715" i="5"/>
  <c r="P3775" i="5"/>
  <c r="W3773" i="5"/>
  <c r="E3823" i="5"/>
  <c r="E3824" i="5"/>
  <c r="E3825" i="5"/>
  <c r="P3730" i="5"/>
  <c r="E186" i="5"/>
  <c r="S141" i="5"/>
  <c r="T20" i="40" s="1"/>
  <c r="S321" i="5"/>
  <c r="T56" i="40" s="1"/>
  <c r="W1131" i="5"/>
  <c r="T126" i="40" s="1"/>
  <c r="E383" i="5"/>
  <c r="S636" i="5"/>
  <c r="T5" i="40" s="1"/>
  <c r="S816" i="5"/>
  <c r="T52" i="40" s="1"/>
  <c r="E763" i="5"/>
  <c r="E764" i="5"/>
  <c r="E765" i="5"/>
  <c r="S1041" i="5"/>
  <c r="E1393" i="5"/>
  <c r="E1394" i="5"/>
  <c r="E1395" i="5"/>
  <c r="E1663" i="5"/>
  <c r="E1664" i="5"/>
  <c r="E1665" i="5"/>
  <c r="E339" i="5"/>
  <c r="E43" i="5"/>
  <c r="E44" i="5"/>
  <c r="E45" i="5"/>
  <c r="S756" i="5"/>
  <c r="T60" i="40" s="1"/>
  <c r="E698" i="5"/>
  <c r="W702" i="5" s="1"/>
  <c r="E968" i="5"/>
  <c r="W972" i="5" s="1"/>
  <c r="E1163" i="5"/>
  <c r="E1362" i="5"/>
  <c r="E1748" i="5"/>
  <c r="AA1752" i="5" s="1"/>
  <c r="W1752" i="5"/>
  <c r="BF124" i="40" s="1"/>
  <c r="E1753" i="5"/>
  <c r="E1754" i="5"/>
  <c r="E1755" i="5"/>
  <c r="E252" i="5"/>
  <c r="S96" i="5"/>
  <c r="T2" i="40" s="1"/>
  <c r="W276" i="5"/>
  <c r="E203" i="5"/>
  <c r="E235" i="5"/>
  <c r="E672" i="5"/>
  <c r="E853" i="5"/>
  <c r="E854" i="5"/>
  <c r="E855" i="5"/>
  <c r="E535" i="5"/>
  <c r="E1403" i="5"/>
  <c r="E1253" i="5"/>
  <c r="E1287" i="5"/>
  <c r="E1777" i="5"/>
  <c r="E277" i="5"/>
  <c r="E114" i="5"/>
  <c r="E222" i="5"/>
  <c r="E640" i="5"/>
  <c r="E820" i="5"/>
  <c r="E486" i="5"/>
  <c r="S846" i="5"/>
  <c r="T9" i="40" s="1"/>
  <c r="S501" i="5"/>
  <c r="T46" i="40" s="1"/>
  <c r="E597" i="5"/>
  <c r="E771" i="5"/>
  <c r="E863" i="5"/>
  <c r="W951" i="5"/>
  <c r="E518" i="5"/>
  <c r="W522" i="5" s="1"/>
  <c r="W786" i="5"/>
  <c r="E987" i="5"/>
  <c r="E1313" i="5"/>
  <c r="S1341" i="5"/>
  <c r="E1104" i="5"/>
  <c r="S1371" i="5"/>
  <c r="E1528" i="5"/>
  <c r="E1529" i="5"/>
  <c r="E1530" i="5"/>
  <c r="S1596" i="5"/>
  <c r="W2151" i="5"/>
  <c r="S2376" i="5"/>
  <c r="E1721" i="5"/>
  <c r="E1853" i="5"/>
  <c r="E2458" i="5"/>
  <c r="E2459" i="5"/>
  <c r="E2460" i="5"/>
  <c r="E2877" i="5"/>
  <c r="E3163" i="5"/>
  <c r="E3164" i="5"/>
  <c r="E3165" i="5"/>
  <c r="E1947" i="5"/>
  <c r="E2184" i="5"/>
  <c r="E2233" i="5"/>
  <c r="E2234" i="5"/>
  <c r="E2235" i="5"/>
  <c r="E2757" i="5"/>
  <c r="E3043" i="5"/>
  <c r="E3044" i="5"/>
  <c r="E3045" i="5"/>
  <c r="E3100" i="5"/>
  <c r="E3414" i="5"/>
  <c r="W1731" i="5"/>
  <c r="T96" i="40" s="1"/>
  <c r="E2046" i="5"/>
  <c r="E2076" i="5"/>
  <c r="E2098" i="5"/>
  <c r="E2099" i="5"/>
  <c r="E2100" i="5"/>
  <c r="E2335" i="5"/>
  <c r="W2286" i="5"/>
  <c r="E2307" i="5"/>
  <c r="E2618" i="5"/>
  <c r="E2591" i="5"/>
  <c r="S2511" i="5"/>
  <c r="E2603" i="5"/>
  <c r="E2697" i="5"/>
  <c r="E2648" i="5"/>
  <c r="S2766" i="5"/>
  <c r="E3011" i="5"/>
  <c r="E3051" i="5"/>
  <c r="E2997" i="5"/>
  <c r="S3021" i="5"/>
  <c r="E3119" i="5"/>
  <c r="E3120" i="5"/>
  <c r="E3118" i="5"/>
  <c r="E3252" i="5"/>
  <c r="E3343" i="5"/>
  <c r="E3344" i="5"/>
  <c r="E3345" i="5"/>
  <c r="E1627" i="5"/>
  <c r="E1643" i="5"/>
  <c r="E1898" i="5"/>
  <c r="E1899" i="5"/>
  <c r="E1873" i="5"/>
  <c r="E1874" i="5"/>
  <c r="E1875" i="5"/>
  <c r="E2049" i="5"/>
  <c r="E2168" i="5"/>
  <c r="E2169" i="5"/>
  <c r="E2196" i="5"/>
  <c r="E2128" i="5"/>
  <c r="E2129" i="5"/>
  <c r="E2130" i="5"/>
  <c r="S2316" i="5"/>
  <c r="W2541" i="5"/>
  <c r="E2562" i="5"/>
  <c r="W2421" i="5"/>
  <c r="E2436" i="5"/>
  <c r="E2607" i="5"/>
  <c r="E2796" i="5"/>
  <c r="E2667" i="5"/>
  <c r="E2743" i="5"/>
  <c r="E2744" i="5"/>
  <c r="E2745" i="5"/>
  <c r="E2755" i="5"/>
  <c r="S2961" i="5"/>
  <c r="S2826" i="5"/>
  <c r="E2978" i="5"/>
  <c r="E3009" i="5"/>
  <c r="E3055" i="5"/>
  <c r="S3126" i="5"/>
  <c r="E3234" i="5"/>
  <c r="E3171" i="5"/>
  <c r="E3253" i="5"/>
  <c r="E3254" i="5"/>
  <c r="E3255" i="5"/>
  <c r="S3441" i="5"/>
  <c r="E3713" i="5"/>
  <c r="AA3717" i="5" s="1"/>
  <c r="BF186" i="40" s="1"/>
  <c r="E3666" i="5"/>
  <c r="E3868" i="5"/>
  <c r="E3869" i="5"/>
  <c r="E3870" i="5"/>
  <c r="E3276" i="5"/>
  <c r="E3582" i="5"/>
  <c r="S3516" i="5"/>
  <c r="E3621" i="5"/>
  <c r="E3862" i="5"/>
  <c r="E3277" i="5"/>
  <c r="E3373" i="5"/>
  <c r="E3374" i="5"/>
  <c r="E3375" i="5"/>
  <c r="W3561" i="5"/>
  <c r="W3681" i="5"/>
  <c r="E3638" i="5"/>
  <c r="AA3642" i="5" s="1"/>
  <c r="BF194" i="40" s="1"/>
  <c r="W3642" i="5"/>
  <c r="E3763" i="5"/>
  <c r="E3764" i="5"/>
  <c r="E3765" i="5"/>
  <c r="E3717" i="5"/>
  <c r="E3822" i="5"/>
  <c r="AE8" i="40"/>
  <c r="AE40" i="40"/>
  <c r="AE13" i="40"/>
  <c r="AE43" i="40"/>
  <c r="AE51" i="40"/>
  <c r="AE32" i="40"/>
  <c r="J49" i="40"/>
  <c r="AE46" i="40"/>
  <c r="AE25" i="40"/>
  <c r="J60" i="40"/>
  <c r="R63" i="40"/>
  <c r="J42" i="40"/>
  <c r="R11" i="40"/>
  <c r="P363" i="5"/>
  <c r="AA370" i="5"/>
  <c r="P370" i="5"/>
  <c r="E128" i="5"/>
  <c r="P208" i="5"/>
  <c r="L209" i="5"/>
  <c r="L210" i="5"/>
  <c r="S472" i="5"/>
  <c r="AA45" i="40" s="1"/>
  <c r="W472" i="5"/>
  <c r="AA472" i="5"/>
  <c r="P868" i="5"/>
  <c r="L870" i="5"/>
  <c r="L869" i="5"/>
  <c r="E623" i="5"/>
  <c r="S697" i="5"/>
  <c r="AA58" i="40" s="1"/>
  <c r="W697" i="5"/>
  <c r="AA697" i="5"/>
  <c r="P963" i="5"/>
  <c r="AA970" i="5"/>
  <c r="L1319" i="5"/>
  <c r="L1320" i="5"/>
  <c r="P1318" i="5"/>
  <c r="S1088" i="5"/>
  <c r="P1263" i="5"/>
  <c r="P1188" i="5"/>
  <c r="AA1195" i="5"/>
  <c r="L1394" i="5"/>
  <c r="L1395" i="5"/>
  <c r="P1393" i="5"/>
  <c r="P1588" i="5"/>
  <c r="L1589" i="5"/>
  <c r="L1590" i="5"/>
  <c r="S1672" i="5"/>
  <c r="W1672" i="5"/>
  <c r="AA79" i="40" s="1"/>
  <c r="AA1672" i="5"/>
  <c r="S202" i="5"/>
  <c r="AA21" i="40" s="1"/>
  <c r="W202" i="5"/>
  <c r="AA202" i="5"/>
  <c r="S217" i="5"/>
  <c r="AA22" i="40" s="1"/>
  <c r="W217" i="5"/>
  <c r="AA217" i="5"/>
  <c r="S727" i="5"/>
  <c r="AA16" i="40" s="1"/>
  <c r="W727" i="5"/>
  <c r="AA727" i="5"/>
  <c r="E823" i="5"/>
  <c r="E824" i="5"/>
  <c r="E825" i="5"/>
  <c r="P996" i="5"/>
  <c r="E576" i="5"/>
  <c r="S848" i="5"/>
  <c r="AH9" i="40" s="1"/>
  <c r="E921" i="5"/>
  <c r="P940" i="5"/>
  <c r="E598" i="5"/>
  <c r="E599" i="5"/>
  <c r="E600" i="5"/>
  <c r="P678" i="5"/>
  <c r="AA685" i="5"/>
  <c r="E868" i="5"/>
  <c r="E869" i="5"/>
  <c r="E870" i="5"/>
  <c r="P948" i="5"/>
  <c r="AA955" i="5"/>
  <c r="P610" i="5"/>
  <c r="P971" i="5"/>
  <c r="S982" i="5"/>
  <c r="AA59" i="40" s="1"/>
  <c r="W982" i="5"/>
  <c r="AA982" i="5"/>
  <c r="L1229" i="5"/>
  <c r="L1230" i="5"/>
  <c r="P1228" i="5"/>
  <c r="P1308" i="5"/>
  <c r="AA1315" i="5"/>
  <c r="E1148" i="5"/>
  <c r="S1418" i="5"/>
  <c r="P1084" i="5"/>
  <c r="S1177" i="5"/>
  <c r="W1177" i="5"/>
  <c r="AA114" i="40" s="1"/>
  <c r="AA1177" i="5"/>
  <c r="E1361" i="5"/>
  <c r="E1511" i="5"/>
  <c r="P1278" i="5"/>
  <c r="AA1285" i="5"/>
  <c r="E1568" i="5"/>
  <c r="W1572" i="5" s="1"/>
  <c r="BF82" i="40" s="1"/>
  <c r="P1751" i="5"/>
  <c r="L179" i="5"/>
  <c r="L180" i="5"/>
  <c r="P178" i="5"/>
  <c r="L449" i="5"/>
  <c r="L450" i="5"/>
  <c r="P448" i="5"/>
  <c r="P13" i="5"/>
  <c r="L14" i="5"/>
  <c r="L15" i="5"/>
  <c r="W113" i="5"/>
  <c r="S128" i="5"/>
  <c r="AH35" i="40" s="1"/>
  <c r="P204" i="5"/>
  <c r="W383" i="5"/>
  <c r="S398" i="5"/>
  <c r="AH47" i="40" s="1"/>
  <c r="P58" i="5"/>
  <c r="L59" i="5"/>
  <c r="L60" i="5"/>
  <c r="P148" i="5"/>
  <c r="L149" i="5"/>
  <c r="L150" i="5"/>
  <c r="P238" i="5"/>
  <c r="L239" i="5"/>
  <c r="L240" i="5"/>
  <c r="P328" i="5"/>
  <c r="L329" i="5"/>
  <c r="L330" i="5"/>
  <c r="P418" i="5"/>
  <c r="L419" i="5"/>
  <c r="L420" i="5"/>
  <c r="P472" i="5"/>
  <c r="P487" i="5"/>
  <c r="P567" i="5"/>
  <c r="S832" i="5"/>
  <c r="AA13" i="40" s="1"/>
  <c r="W832" i="5"/>
  <c r="AA832" i="5"/>
  <c r="E775" i="5"/>
  <c r="L1139" i="5"/>
  <c r="L1140" i="5"/>
  <c r="P1138" i="5"/>
  <c r="W1492" i="5"/>
  <c r="AA107" i="40" s="1"/>
  <c r="S1492" i="5"/>
  <c r="AA1492" i="5"/>
  <c r="E1153" i="5"/>
  <c r="E1154" i="5"/>
  <c r="E1155" i="5"/>
  <c r="P1162" i="5"/>
  <c r="P1242" i="5"/>
  <c r="S1433" i="5"/>
  <c r="E1093" i="5"/>
  <c r="E1094" i="5"/>
  <c r="E1095" i="5"/>
  <c r="P1023" i="5"/>
  <c r="AA1030" i="5"/>
  <c r="E1658" i="5"/>
  <c r="AA1662" i="5" s="1"/>
  <c r="P1595" i="5"/>
  <c r="W68" i="5"/>
  <c r="E83" i="5"/>
  <c r="E357" i="5"/>
  <c r="E13" i="5"/>
  <c r="E14" i="5"/>
  <c r="E15" i="5"/>
  <c r="P102" i="5"/>
  <c r="S22" i="5"/>
  <c r="AA40" i="40" s="1"/>
  <c r="W22" i="5"/>
  <c r="AA22" i="5"/>
  <c r="P307" i="5"/>
  <c r="E58" i="5"/>
  <c r="E59" i="5"/>
  <c r="E60" i="5"/>
  <c r="S142" i="5"/>
  <c r="AA20" i="40" s="1"/>
  <c r="W142" i="5"/>
  <c r="AA142" i="5"/>
  <c r="P318" i="5"/>
  <c r="AA325" i="5"/>
  <c r="P553" i="5"/>
  <c r="L554" i="5"/>
  <c r="L555" i="5"/>
  <c r="E471" i="5"/>
  <c r="P490" i="5"/>
  <c r="AA668" i="5"/>
  <c r="AA743" i="5"/>
  <c r="P928" i="5"/>
  <c r="L929" i="5"/>
  <c r="L930" i="5"/>
  <c r="P532" i="5"/>
  <c r="P530" i="5"/>
  <c r="S803" i="5"/>
  <c r="AH34" i="40" s="1"/>
  <c r="P883" i="5"/>
  <c r="L884" i="5"/>
  <c r="L885" i="5"/>
  <c r="S981" i="5"/>
  <c r="T59" i="40" s="1"/>
  <c r="P1128" i="5"/>
  <c r="AA1135" i="5"/>
  <c r="P1220" i="5"/>
  <c r="S1223" i="5"/>
  <c r="E1493" i="5"/>
  <c r="P1493" i="5"/>
  <c r="W1058" i="5"/>
  <c r="AH104" i="40" s="1"/>
  <c r="P1234" i="5"/>
  <c r="P1332" i="5"/>
  <c r="P1423" i="5"/>
  <c r="L1424" i="5"/>
  <c r="L1425" i="5"/>
  <c r="P1428" i="5"/>
  <c r="AA1435" i="5"/>
  <c r="P1453" i="5"/>
  <c r="L1454" i="5"/>
  <c r="L1455" i="5"/>
  <c r="P1008" i="5"/>
  <c r="AA1015" i="5"/>
  <c r="P1099" i="5"/>
  <c r="L1124" i="5"/>
  <c r="L1125" i="5"/>
  <c r="P1123" i="5"/>
  <c r="P1283" i="5"/>
  <c r="W1296" i="5"/>
  <c r="T115" i="40" s="1"/>
  <c r="P1370" i="5"/>
  <c r="S1747" i="5"/>
  <c r="W1747" i="5"/>
  <c r="AA124" i="40" s="1"/>
  <c r="AA1747" i="5"/>
  <c r="P1761" i="5"/>
  <c r="E1780" i="5"/>
  <c r="P79" i="5"/>
  <c r="L269" i="5"/>
  <c r="L270" i="5"/>
  <c r="P268" i="5"/>
  <c r="P349" i="5"/>
  <c r="E190" i="5"/>
  <c r="P367" i="5"/>
  <c r="E29" i="5"/>
  <c r="E30" i="5"/>
  <c r="E28" i="5"/>
  <c r="AA218" i="5"/>
  <c r="E216" i="5"/>
  <c r="E292" i="5"/>
  <c r="P53" i="5"/>
  <c r="W53" i="5"/>
  <c r="P140" i="5"/>
  <c r="S143" i="5"/>
  <c r="AH20" i="40" s="1"/>
  <c r="P546" i="5"/>
  <c r="P816" i="5"/>
  <c r="W998" i="5"/>
  <c r="P476" i="5"/>
  <c r="E657" i="5"/>
  <c r="P746" i="5"/>
  <c r="AA746" i="5" s="1"/>
  <c r="E927" i="5"/>
  <c r="P775" i="5"/>
  <c r="P861" i="5"/>
  <c r="P518" i="5"/>
  <c r="S521" i="5" s="1"/>
  <c r="BC27" i="40" s="1"/>
  <c r="AA608" i="5"/>
  <c r="E803" i="5"/>
  <c r="P1315" i="5"/>
  <c r="P1061" i="5"/>
  <c r="W1073" i="5"/>
  <c r="AH91" i="40" s="1"/>
  <c r="P1143" i="5"/>
  <c r="AA1150" i="5"/>
  <c r="S1148" i="5"/>
  <c r="P1150" i="5"/>
  <c r="P1329" i="5"/>
  <c r="E1453" i="5"/>
  <c r="E1454" i="5"/>
  <c r="E1455" i="5"/>
  <c r="S1027" i="5"/>
  <c r="AA70" i="40" s="1"/>
  <c r="W1027" i="5"/>
  <c r="AA1027" i="5"/>
  <c r="S1028" i="5"/>
  <c r="AH70" i="40" s="1"/>
  <c r="P1108" i="5"/>
  <c r="L1109" i="5"/>
  <c r="L1110" i="5"/>
  <c r="E1281" i="5"/>
  <c r="E1478" i="5"/>
  <c r="P1563" i="5"/>
  <c r="AA1570" i="5"/>
  <c r="P1586" i="5"/>
  <c r="W1586" i="5" s="1"/>
  <c r="BC110" i="40" s="1"/>
  <c r="P244" i="5"/>
  <c r="P338" i="5"/>
  <c r="E432" i="5"/>
  <c r="P445" i="5"/>
  <c r="E117" i="5"/>
  <c r="P108" i="5"/>
  <c r="AA115" i="5"/>
  <c r="P125" i="5"/>
  <c r="P199" i="5"/>
  <c r="E381" i="5"/>
  <c r="P397" i="5"/>
  <c r="E397" i="5"/>
  <c r="AA548" i="5"/>
  <c r="S728" i="5"/>
  <c r="AH16" i="40" s="1"/>
  <c r="AA818" i="5"/>
  <c r="E998" i="5"/>
  <c r="P478" i="5"/>
  <c r="L479" i="5"/>
  <c r="L480" i="5"/>
  <c r="E567" i="5"/>
  <c r="P578" i="5"/>
  <c r="W666" i="5"/>
  <c r="E837" i="5"/>
  <c r="P848" i="5"/>
  <c r="S503" i="5"/>
  <c r="AH46" i="40" s="1"/>
  <c r="S593" i="5"/>
  <c r="AH64" i="40" s="1"/>
  <c r="S683" i="5"/>
  <c r="AH50" i="40" s="1"/>
  <c r="S773" i="5"/>
  <c r="AH48" i="40" s="1"/>
  <c r="S863" i="5"/>
  <c r="AH18" i="40" s="1"/>
  <c r="S953" i="5"/>
  <c r="AH67" i="40" s="1"/>
  <c r="P520" i="5"/>
  <c r="S531" i="5"/>
  <c r="T31" i="40" s="1"/>
  <c r="P622" i="5"/>
  <c r="P890" i="5"/>
  <c r="P984" i="5"/>
  <c r="P1136" i="5"/>
  <c r="P1497" i="5"/>
  <c r="P1491" i="5"/>
  <c r="E1079" i="5"/>
  <c r="E1080" i="5"/>
  <c r="E1078" i="5"/>
  <c r="E1149" i="5"/>
  <c r="P1264" i="5"/>
  <c r="P1362" i="5"/>
  <c r="P1448" i="5"/>
  <c r="S1451" i="5" s="1"/>
  <c r="P1512" i="5"/>
  <c r="E1028" i="5"/>
  <c r="P1115" i="5"/>
  <c r="P1299" i="5"/>
  <c r="W1671" i="5"/>
  <c r="T79" i="40" s="1"/>
  <c r="P1598" i="5"/>
  <c r="S1882" i="5"/>
  <c r="W1882" i="5"/>
  <c r="AA1882" i="5"/>
  <c r="AA179" i="40" s="1"/>
  <c r="S1912" i="5"/>
  <c r="W1912" i="5"/>
  <c r="AA1912" i="5"/>
  <c r="AA151" i="40" s="1"/>
  <c r="E1868" i="5"/>
  <c r="P2038" i="5"/>
  <c r="L2039" i="5"/>
  <c r="L2040" i="5"/>
  <c r="P2143" i="5"/>
  <c r="L2144" i="5"/>
  <c r="L2145" i="5"/>
  <c r="S2212" i="5"/>
  <c r="W2212" i="5"/>
  <c r="AA2212" i="5"/>
  <c r="AA241" i="40" s="1"/>
  <c r="P2688" i="5"/>
  <c r="AA2695" i="5"/>
  <c r="AV148" i="40" s="1"/>
  <c r="P2848" i="5"/>
  <c r="L2849" i="5"/>
  <c r="L2850" i="5"/>
  <c r="S2917" i="5"/>
  <c r="W2917" i="5"/>
  <c r="AA2917" i="5"/>
  <c r="AA192" i="40" s="1"/>
  <c r="P1796" i="5"/>
  <c r="P1733" i="5"/>
  <c r="P2061" i="5"/>
  <c r="E1841" i="5"/>
  <c r="S2032" i="5"/>
  <c r="W2032" i="5"/>
  <c r="AA2032" i="5"/>
  <c r="AA212" i="40" s="1"/>
  <c r="L2249" i="5"/>
  <c r="L2250" i="5"/>
  <c r="P2248" i="5"/>
  <c r="P2073" i="5"/>
  <c r="AA2080" i="5"/>
  <c r="AV239" i="40" s="1"/>
  <c r="P2720" i="5"/>
  <c r="W2722" i="5"/>
  <c r="S2722" i="5"/>
  <c r="AA2722" i="5"/>
  <c r="AA259" i="40" s="1"/>
  <c r="P2846" i="5"/>
  <c r="P2961" i="5"/>
  <c r="P2920" i="5"/>
  <c r="W3352" i="5"/>
  <c r="S3352" i="5"/>
  <c r="AA3352" i="5"/>
  <c r="AA188" i="40" s="1"/>
  <c r="W1613" i="5"/>
  <c r="AH75" i="40" s="1"/>
  <c r="P1633" i="5"/>
  <c r="L1634" i="5"/>
  <c r="L1635" i="5"/>
  <c r="W1718" i="5"/>
  <c r="AH117" i="40" s="1"/>
  <c r="P1791" i="5"/>
  <c r="P1640" i="5"/>
  <c r="P1736" i="5"/>
  <c r="L1889" i="5"/>
  <c r="L1890" i="5"/>
  <c r="P1888" i="5"/>
  <c r="S2062" i="5"/>
  <c r="W2062" i="5"/>
  <c r="AA2062" i="5"/>
  <c r="AA238" i="40" s="1"/>
  <c r="S1898" i="5"/>
  <c r="S1928" i="5"/>
  <c r="E1808" i="5"/>
  <c r="AA1812" i="5" s="1"/>
  <c r="E2048" i="5"/>
  <c r="P2098" i="5"/>
  <c r="L2099" i="5"/>
  <c r="L2100" i="5"/>
  <c r="P2180" i="5"/>
  <c r="P2103" i="5"/>
  <c r="AA2110" i="5"/>
  <c r="AV176" i="40" s="1"/>
  <c r="AA2123" i="5"/>
  <c r="AH154" i="40" s="1"/>
  <c r="E2127" i="5"/>
  <c r="E2216" i="5"/>
  <c r="P2466" i="5"/>
  <c r="P2618" i="5"/>
  <c r="P2696" i="5"/>
  <c r="L2819" i="5"/>
  <c r="L2820" i="5"/>
  <c r="P2818" i="5"/>
  <c r="E2841" i="5"/>
  <c r="W2918" i="5"/>
  <c r="P3115" i="5"/>
  <c r="P3100" i="5"/>
  <c r="L3179" i="5"/>
  <c r="L3180" i="5"/>
  <c r="P3178" i="5"/>
  <c r="P3417" i="5"/>
  <c r="E3418" i="5"/>
  <c r="E3419" i="5"/>
  <c r="E3420" i="5"/>
  <c r="P1535" i="5"/>
  <c r="E1719" i="5"/>
  <c r="P1795" i="5"/>
  <c r="P1550" i="5"/>
  <c r="S1553" i="5"/>
  <c r="P1646" i="5"/>
  <c r="P1822" i="5"/>
  <c r="E1992" i="5"/>
  <c r="P1933" i="5"/>
  <c r="L1934" i="5"/>
  <c r="L1935" i="5"/>
  <c r="P2022" i="5"/>
  <c r="P1863" i="5"/>
  <c r="P1945" i="5"/>
  <c r="P2044" i="5"/>
  <c r="E2158" i="5"/>
  <c r="E2159" i="5"/>
  <c r="E2160" i="5"/>
  <c r="AA2258" i="5"/>
  <c r="AH199" i="40" s="1"/>
  <c r="W2213" i="5"/>
  <c r="W2228" i="5"/>
  <c r="E2576" i="5"/>
  <c r="E2412" i="5"/>
  <c r="E2501" i="5"/>
  <c r="E2426" i="5"/>
  <c r="P2515" i="5"/>
  <c r="P2343" i="5"/>
  <c r="S2348" i="5"/>
  <c r="P2435" i="5"/>
  <c r="S2528" i="5"/>
  <c r="L2639" i="5"/>
  <c r="L2640" i="5"/>
  <c r="P2638" i="5"/>
  <c r="E2606" i="5"/>
  <c r="P2704" i="5"/>
  <c r="P2719" i="5"/>
  <c r="E2726" i="5"/>
  <c r="AA2798" i="5"/>
  <c r="AH256" i="40" s="1"/>
  <c r="E2669" i="5"/>
  <c r="E2670" i="5"/>
  <c r="E2668" i="5"/>
  <c r="E2679" i="5"/>
  <c r="P2679" i="5"/>
  <c r="P2735" i="5"/>
  <c r="P2812" i="5"/>
  <c r="E2753" i="5"/>
  <c r="AA2757" i="5" s="1"/>
  <c r="BF231" i="40" s="1"/>
  <c r="W2757" i="5"/>
  <c r="W2768" i="5"/>
  <c r="P2946" i="5"/>
  <c r="P2981" i="5"/>
  <c r="P2923" i="5"/>
  <c r="L2924" i="5"/>
  <c r="L2925" i="5"/>
  <c r="S3203" i="5"/>
  <c r="S3022" i="5"/>
  <c r="W3022" i="5"/>
  <c r="AA3022" i="5"/>
  <c r="AA161" i="40" s="1"/>
  <c r="P3113" i="5"/>
  <c r="P3236" i="5"/>
  <c r="P3310" i="5"/>
  <c r="P3313" i="5"/>
  <c r="L3314" i="5"/>
  <c r="L3315" i="5"/>
  <c r="P3410" i="5"/>
  <c r="E3326" i="5"/>
  <c r="S1536" i="5"/>
  <c r="S1792" i="5"/>
  <c r="W1792" i="5"/>
  <c r="AA95" i="40" s="1"/>
  <c r="AA1792" i="5"/>
  <c r="P1819" i="5"/>
  <c r="P1880" i="5"/>
  <c r="L2069" i="5"/>
  <c r="L2070" i="5"/>
  <c r="P2068" i="5"/>
  <c r="E1913" i="5"/>
  <c r="AA2003" i="5"/>
  <c r="AH237" i="40" s="1"/>
  <c r="E2001" i="5"/>
  <c r="P1834" i="5"/>
  <c r="P1932" i="5"/>
  <c r="P2018" i="5"/>
  <c r="P2152" i="5"/>
  <c r="AA2153" i="5"/>
  <c r="AH145" i="40" s="1"/>
  <c r="P2246" i="5"/>
  <c r="W2077" i="5"/>
  <c r="S2077" i="5"/>
  <c r="AA2077" i="5"/>
  <c r="AA239" i="40" s="1"/>
  <c r="S2092" i="5"/>
  <c r="W2092" i="5"/>
  <c r="AA2092" i="5"/>
  <c r="AA197" i="40" s="1"/>
  <c r="P2278" i="5"/>
  <c r="L2279" i="5"/>
  <c r="L2280" i="5"/>
  <c r="P2330" i="5"/>
  <c r="S2288" i="5"/>
  <c r="P2134" i="5"/>
  <c r="P2216" i="5"/>
  <c r="S2303" i="5"/>
  <c r="E2574" i="5"/>
  <c r="P2397" i="5"/>
  <c r="P2412" i="5"/>
  <c r="E2503" i="5"/>
  <c r="E2504" i="5"/>
  <c r="E2505" i="5"/>
  <c r="P2438" i="5"/>
  <c r="E2456" i="5"/>
  <c r="S2451" i="5"/>
  <c r="P2523" i="5"/>
  <c r="P2801" i="5"/>
  <c r="P2785" i="5"/>
  <c r="P2740" i="5"/>
  <c r="S2753" i="5"/>
  <c r="P2773" i="5"/>
  <c r="L2774" i="5"/>
  <c r="L2775" i="5"/>
  <c r="P2856" i="5"/>
  <c r="AA2873" i="5"/>
  <c r="AH246" i="40" s="1"/>
  <c r="P2930" i="5"/>
  <c r="P3142" i="5"/>
  <c r="E3203" i="5"/>
  <c r="P3069" i="5"/>
  <c r="S3067" i="5"/>
  <c r="W3067" i="5"/>
  <c r="AA3067" i="5"/>
  <c r="AA226" i="40" s="1"/>
  <c r="P2994" i="5"/>
  <c r="P3183" i="5"/>
  <c r="AA3190" i="5"/>
  <c r="AV249" i="40" s="1"/>
  <c r="P3038" i="5"/>
  <c r="S3112" i="5"/>
  <c r="W3112" i="5"/>
  <c r="AA3112" i="5"/>
  <c r="AA248" i="40" s="1"/>
  <c r="P3110" i="5"/>
  <c r="W3218" i="5"/>
  <c r="E3099" i="5"/>
  <c r="P3246" i="5"/>
  <c r="S1717" i="5"/>
  <c r="W1717" i="5"/>
  <c r="AA117" i="40" s="1"/>
  <c r="AA1717" i="5"/>
  <c r="E1798" i="5"/>
  <c r="E1799" i="5"/>
  <c r="AA1789" i="5" s="1"/>
  <c r="E1800" i="5"/>
  <c r="E1553" i="5"/>
  <c r="P1818" i="5"/>
  <c r="AA1825" i="5"/>
  <c r="E1973" i="5"/>
  <c r="W1977" i="5" s="1"/>
  <c r="P2067" i="5"/>
  <c r="S1911" i="5"/>
  <c r="L1994" i="5"/>
  <c r="L1995" i="5"/>
  <c r="P1993" i="5"/>
  <c r="P1998" i="5"/>
  <c r="E1857" i="5"/>
  <c r="P1962" i="5"/>
  <c r="E2032" i="5"/>
  <c r="P2053" i="5"/>
  <c r="L2054" i="5"/>
  <c r="L2055" i="5"/>
  <c r="S2242" i="5"/>
  <c r="W2242" i="5"/>
  <c r="AA2242" i="5"/>
  <c r="AA127" i="40" s="1"/>
  <c r="P2079" i="5"/>
  <c r="P2170" i="5"/>
  <c r="P2182" i="5"/>
  <c r="E2182" i="5"/>
  <c r="S2271" i="5"/>
  <c r="P2293" i="5"/>
  <c r="L2294" i="5"/>
  <c r="L2295" i="5"/>
  <c r="E2121" i="5"/>
  <c r="AA2573" i="5"/>
  <c r="AH143" i="40" s="1"/>
  <c r="P2573" i="5"/>
  <c r="S2467" i="5"/>
  <c r="W2467" i="5"/>
  <c r="AA2467" i="5"/>
  <c r="AA223" i="40" s="1"/>
  <c r="P2557" i="5"/>
  <c r="AA2618" i="5"/>
  <c r="AH244" i="40" s="1"/>
  <c r="E2487" i="5"/>
  <c r="P2501" i="5"/>
  <c r="E2588" i="5"/>
  <c r="P2368" i="5"/>
  <c r="L2369" i="5"/>
  <c r="L2370" i="5"/>
  <c r="E2533" i="5"/>
  <c r="E2534" i="5"/>
  <c r="E2535" i="5"/>
  <c r="S2603" i="5"/>
  <c r="E2710" i="5"/>
  <c r="W2663" i="5"/>
  <c r="S2678" i="5"/>
  <c r="W2783" i="5"/>
  <c r="P2769" i="5"/>
  <c r="E2872" i="5"/>
  <c r="W2828" i="5"/>
  <c r="P3013" i="5"/>
  <c r="L3014" i="5"/>
  <c r="L3015" i="5"/>
  <c r="E3082" i="5"/>
  <c r="E3146" i="5"/>
  <c r="E3070" i="5"/>
  <c r="AA2993" i="5"/>
  <c r="AH235" i="40" s="1"/>
  <c r="S3023" i="5"/>
  <c r="P3043" i="5"/>
  <c r="L3044" i="5"/>
  <c r="L3045" i="5"/>
  <c r="E3309" i="5"/>
  <c r="P3095" i="5"/>
  <c r="P3262" i="5"/>
  <c r="S3353" i="5"/>
  <c r="E3353" i="5"/>
  <c r="AA3357" i="5" s="1"/>
  <c r="BF188" i="40" s="1"/>
  <c r="P3413" i="5"/>
  <c r="P3326" i="5"/>
  <c r="P3401" i="5"/>
  <c r="S3667" i="5"/>
  <c r="W3667" i="5"/>
  <c r="AA3667" i="5"/>
  <c r="AA158" i="40" s="1"/>
  <c r="S3832" i="5"/>
  <c r="W3832" i="5"/>
  <c r="AA3832" i="5"/>
  <c r="AA175" i="40" s="1"/>
  <c r="P3441" i="5"/>
  <c r="P3598" i="5"/>
  <c r="L3599" i="5"/>
  <c r="L3600" i="5"/>
  <c r="P3611" i="5"/>
  <c r="P3823" i="5"/>
  <c r="L3824" i="5"/>
  <c r="L3825" i="5"/>
  <c r="S3397" i="5"/>
  <c r="W3397" i="5"/>
  <c r="AA3397" i="5"/>
  <c r="AA139" i="40" s="1"/>
  <c r="AA3473" i="5"/>
  <c r="AH177" i="40" s="1"/>
  <c r="P3588" i="5"/>
  <c r="AA3595" i="5"/>
  <c r="AV233" i="40" s="1"/>
  <c r="AA3503" i="5"/>
  <c r="AH222" i="40" s="1"/>
  <c r="P3656" i="5"/>
  <c r="P3807" i="5"/>
  <c r="P3858" i="5"/>
  <c r="AA3865" i="5"/>
  <c r="AV258" i="40" s="1"/>
  <c r="AA3383" i="5"/>
  <c r="AH253" i="40" s="1"/>
  <c r="P3463" i="5"/>
  <c r="L3464" i="5"/>
  <c r="L3465" i="5"/>
  <c r="E3476" i="5"/>
  <c r="P3568" i="5"/>
  <c r="L3569" i="5"/>
  <c r="L3570" i="5"/>
  <c r="P3559" i="5"/>
  <c r="P3762" i="5"/>
  <c r="W3608" i="5"/>
  <c r="W3664" i="5"/>
  <c r="S3664" i="5"/>
  <c r="P3768" i="5"/>
  <c r="AA3775" i="5"/>
  <c r="AV182" i="40" s="1"/>
  <c r="E3793" i="5"/>
  <c r="E3794" i="5"/>
  <c r="E3795" i="5"/>
  <c r="P3727" i="5"/>
  <c r="P3723" i="5"/>
  <c r="AA3730" i="5"/>
  <c r="AV217" i="40" s="1"/>
  <c r="P3277" i="5"/>
  <c r="W3458" i="5"/>
  <c r="P3488" i="5"/>
  <c r="P3475" i="5"/>
  <c r="P3471" i="5"/>
  <c r="E3371" i="5"/>
  <c r="P3502" i="5"/>
  <c r="L3629" i="5"/>
  <c r="L3630" i="5"/>
  <c r="P3628" i="5"/>
  <c r="P3684" i="5"/>
  <c r="P3778" i="5"/>
  <c r="L3779" i="5"/>
  <c r="L3780" i="5"/>
  <c r="P3801" i="5"/>
  <c r="E3834" i="5"/>
  <c r="P3853" i="5"/>
  <c r="L3854" i="5"/>
  <c r="L3855" i="5"/>
  <c r="P3468" i="5"/>
  <c r="AA3475" i="5"/>
  <c r="AV177" i="40" s="1"/>
  <c r="S3443" i="5"/>
  <c r="E3427" i="5"/>
  <c r="E3372" i="5"/>
  <c r="P3566" i="5"/>
  <c r="E3579" i="5"/>
  <c r="P3550" i="5"/>
  <c r="P3508" i="5"/>
  <c r="L3509" i="5"/>
  <c r="L3510" i="5"/>
  <c r="W3518" i="5"/>
  <c r="P3516" i="5"/>
  <c r="S3683" i="5"/>
  <c r="P3642" i="5"/>
  <c r="E3669" i="5"/>
  <c r="P3666" i="5"/>
  <c r="S3773" i="5"/>
  <c r="P3726" i="5"/>
  <c r="E3747" i="5"/>
  <c r="E3801" i="5"/>
  <c r="W3861" i="5"/>
  <c r="E276" i="5"/>
  <c r="S1131" i="5"/>
  <c r="E401" i="5"/>
  <c r="E638" i="5"/>
  <c r="AA642" i="5" s="1"/>
  <c r="E818" i="5"/>
  <c r="AA822" i="5" s="1"/>
  <c r="E1103" i="5"/>
  <c r="E340" i="5"/>
  <c r="E758" i="5"/>
  <c r="E702" i="5"/>
  <c r="E972" i="5"/>
  <c r="E1259" i="5"/>
  <c r="E1260" i="5"/>
  <c r="E1258" i="5"/>
  <c r="E1512" i="5"/>
  <c r="S1191" i="5"/>
  <c r="E1483" i="5"/>
  <c r="E1484" i="5"/>
  <c r="E1485" i="5"/>
  <c r="W1776" i="5"/>
  <c r="T98" i="40" s="1"/>
  <c r="W96" i="5"/>
  <c r="S276" i="5"/>
  <c r="T36" i="40" s="1"/>
  <c r="E221" i="5"/>
  <c r="E325" i="5"/>
  <c r="E981" i="5"/>
  <c r="E1349" i="5"/>
  <c r="E1350" i="5"/>
  <c r="E1348" i="5"/>
  <c r="E1266" i="5"/>
  <c r="E1296" i="5"/>
  <c r="E367" i="5"/>
  <c r="E133" i="5"/>
  <c r="E134" i="5"/>
  <c r="AA124" i="5" s="1"/>
  <c r="E135" i="5"/>
  <c r="E232" i="5"/>
  <c r="E848" i="5"/>
  <c r="E507" i="5"/>
  <c r="E681" i="5"/>
  <c r="E773" i="5"/>
  <c r="S861" i="5"/>
  <c r="T18" i="40" s="1"/>
  <c r="S951" i="5"/>
  <c r="T67" i="40" s="1"/>
  <c r="E522" i="5"/>
  <c r="E626" i="5"/>
  <c r="E899" i="5"/>
  <c r="E900" i="5"/>
  <c r="E898" i="5"/>
  <c r="E1317" i="5"/>
  <c r="E1166" i="5"/>
  <c r="E1343" i="5"/>
  <c r="W1347" i="5" s="1"/>
  <c r="BF73" i="40" s="1"/>
  <c r="E1176" i="5"/>
  <c r="E1027" i="5"/>
  <c r="E1105" i="5"/>
  <c r="W1371" i="5"/>
  <c r="T121" i="40" s="1"/>
  <c r="E1598" i="5"/>
  <c r="S2151" i="5"/>
  <c r="W2376" i="5"/>
  <c r="E2547" i="5"/>
  <c r="E2589" i="5"/>
  <c r="E2681" i="5"/>
  <c r="E2892" i="5"/>
  <c r="W3006" i="5"/>
  <c r="W1701" i="5"/>
  <c r="T103" i="40" s="1"/>
  <c r="E1842" i="5"/>
  <c r="E1956" i="5"/>
  <c r="E2561" i="5"/>
  <c r="E2698" i="5"/>
  <c r="E2699" i="5"/>
  <c r="E2700" i="5"/>
  <c r="E3116" i="5"/>
  <c r="E1540" i="5"/>
  <c r="E1552" i="5"/>
  <c r="E1733" i="5"/>
  <c r="AA1737" i="5" s="1"/>
  <c r="W1737" i="5"/>
  <c r="BF96" i="40" s="1"/>
  <c r="E1914" i="5"/>
  <c r="E1962" i="5"/>
  <c r="E2078" i="5"/>
  <c r="E2107" i="5"/>
  <c r="S2616" i="5"/>
  <c r="E2587" i="5"/>
  <c r="E2517" i="5"/>
  <c r="E2529" i="5"/>
  <c r="S2646" i="5"/>
  <c r="E2787" i="5"/>
  <c r="E2861" i="5"/>
  <c r="E2991" i="5"/>
  <c r="E3037" i="5"/>
  <c r="E3340" i="5"/>
  <c r="E1630" i="5"/>
  <c r="E1797" i="5"/>
  <c r="E1647" i="5"/>
  <c r="E2067" i="5"/>
  <c r="E2004" i="5"/>
  <c r="E1930" i="5"/>
  <c r="E2052" i="5"/>
  <c r="E2188" i="5"/>
  <c r="E2189" i="5"/>
  <c r="E2190" i="5"/>
  <c r="E2198" i="5"/>
  <c r="E2124" i="5"/>
  <c r="E2322" i="5"/>
  <c r="E2488" i="5"/>
  <c r="E2489" i="5"/>
  <c r="E2490" i="5"/>
  <c r="S2421" i="5"/>
  <c r="S2436" i="5"/>
  <c r="E2527" i="5"/>
  <c r="E2683" i="5"/>
  <c r="E2684" i="5"/>
  <c r="E2685" i="5"/>
  <c r="E2781" i="5"/>
  <c r="E2902" i="5"/>
  <c r="E2953" i="5"/>
  <c r="E2954" i="5"/>
  <c r="E2955" i="5"/>
  <c r="E2966" i="5"/>
  <c r="E3088" i="5"/>
  <c r="E3089" i="5"/>
  <c r="E3090" i="5"/>
  <c r="S3051" i="5"/>
  <c r="E3191" i="5"/>
  <c r="E3040" i="5"/>
  <c r="E3128" i="5"/>
  <c r="E3097" i="5"/>
  <c r="E3598" i="5"/>
  <c r="E3599" i="5"/>
  <c r="AA3589" i="5" s="1"/>
  <c r="F233" i="40" s="1"/>
  <c r="E3600" i="5"/>
  <c r="E3385" i="5"/>
  <c r="W3441" i="5"/>
  <c r="S3711" i="5"/>
  <c r="E3479" i="5"/>
  <c r="E3480" i="5"/>
  <c r="E3478" i="5"/>
  <c r="E3534" i="5"/>
  <c r="E3703" i="5"/>
  <c r="E3704" i="5"/>
  <c r="AA3694" i="5" s="1"/>
  <c r="F133" i="40" s="1"/>
  <c r="E3705" i="5"/>
  <c r="E3457" i="5"/>
  <c r="W3516" i="5"/>
  <c r="E3688" i="5"/>
  <c r="E3689" i="5"/>
  <c r="E3690" i="5"/>
  <c r="E3776" i="5"/>
  <c r="E3731" i="5"/>
  <c r="E3283" i="5"/>
  <c r="E3284" i="5"/>
  <c r="E3285" i="5"/>
  <c r="E3492" i="5"/>
  <c r="S3426" i="5"/>
  <c r="E3433" i="5"/>
  <c r="E3434" i="5"/>
  <c r="E3435" i="5"/>
  <c r="E3367" i="5"/>
  <c r="S3561" i="5"/>
  <c r="S3681" i="5"/>
  <c r="E3637" i="5"/>
  <c r="E3610" i="5"/>
  <c r="E3805" i="5"/>
  <c r="AE63" i="40"/>
  <c r="AE36" i="40"/>
  <c r="AE7" i="40"/>
  <c r="AE29" i="40"/>
  <c r="J35" i="40"/>
  <c r="AE67" i="40"/>
  <c r="J11" i="40"/>
  <c r="AE10" i="40"/>
  <c r="AE34" i="40"/>
  <c r="R30" i="40"/>
  <c r="AE68" i="40"/>
  <c r="L89" i="5"/>
  <c r="L90" i="5"/>
  <c r="P88" i="5"/>
  <c r="P348" i="5"/>
  <c r="AA355" i="5"/>
  <c r="S667" i="5"/>
  <c r="AA66" i="40" s="1"/>
  <c r="W667" i="5"/>
  <c r="AA667" i="5"/>
  <c r="P763" i="5"/>
  <c r="L764" i="5"/>
  <c r="L765" i="5"/>
  <c r="P778" i="5"/>
  <c r="L779" i="5"/>
  <c r="L780" i="5"/>
  <c r="W1132" i="5"/>
  <c r="AA126" i="40" s="1"/>
  <c r="S1132" i="5"/>
  <c r="AA1132" i="5"/>
  <c r="S1057" i="5"/>
  <c r="W1057" i="5"/>
  <c r="AA104" i="40" s="1"/>
  <c r="AA1057" i="5"/>
  <c r="P1153" i="5"/>
  <c r="L1154" i="5"/>
  <c r="L1155" i="5"/>
  <c r="W1088" i="5"/>
  <c r="AH87" i="40" s="1"/>
  <c r="P1183" i="5"/>
  <c r="S1174" i="5" s="1"/>
  <c r="L1184" i="5"/>
  <c r="L1185" i="5"/>
  <c r="P81" i="5"/>
  <c r="P243" i="5"/>
  <c r="AA250" i="5"/>
  <c r="P43" i="5"/>
  <c r="L44" i="5"/>
  <c r="L45" i="5"/>
  <c r="P207" i="5"/>
  <c r="S637" i="5"/>
  <c r="AA5" i="40" s="1"/>
  <c r="W637" i="5"/>
  <c r="AA637" i="5"/>
  <c r="E733" i="5"/>
  <c r="E734" i="5"/>
  <c r="E735" i="5"/>
  <c r="AA578" i="5"/>
  <c r="P648" i="5"/>
  <c r="AA655" i="5"/>
  <c r="E749" i="5"/>
  <c r="AA739" i="5" s="1"/>
  <c r="E750" i="5"/>
  <c r="E748" i="5"/>
  <c r="W848" i="5"/>
  <c r="AA923" i="5"/>
  <c r="S502" i="5"/>
  <c r="AA46" i="40" s="1"/>
  <c r="W502" i="5"/>
  <c r="AA502" i="5"/>
  <c r="S772" i="5"/>
  <c r="AA48" i="40" s="1"/>
  <c r="W772" i="5"/>
  <c r="AA772" i="5"/>
  <c r="L539" i="5"/>
  <c r="L540" i="5"/>
  <c r="P538" i="5"/>
  <c r="P626" i="5"/>
  <c r="P798" i="5"/>
  <c r="AA805" i="5"/>
  <c r="W1042" i="5"/>
  <c r="AA83" i="40" s="1"/>
  <c r="S1042" i="5"/>
  <c r="AA1042" i="5"/>
  <c r="E1341" i="5"/>
  <c r="E1183" i="5"/>
  <c r="E1184" i="5"/>
  <c r="E1185" i="5"/>
  <c r="E1198" i="5"/>
  <c r="E1199" i="5"/>
  <c r="E1200" i="5"/>
  <c r="P160" i="5"/>
  <c r="E178" i="5"/>
  <c r="E179" i="5"/>
  <c r="E180" i="5"/>
  <c r="P173" i="5"/>
  <c r="P259" i="5"/>
  <c r="P430" i="5"/>
  <c r="E448" i="5"/>
  <c r="E449" i="5"/>
  <c r="E450" i="5"/>
  <c r="P443" i="5"/>
  <c r="W446" i="5" s="1"/>
  <c r="S113" i="5"/>
  <c r="AH42" i="40" s="1"/>
  <c r="W128" i="5"/>
  <c r="E209" i="5"/>
  <c r="E210" i="5"/>
  <c r="E208" i="5"/>
  <c r="S383" i="5"/>
  <c r="AH4" i="40" s="1"/>
  <c r="P547" i="5"/>
  <c r="P817" i="5"/>
  <c r="S997" i="5"/>
  <c r="AA14" i="40" s="1"/>
  <c r="W997" i="5"/>
  <c r="AA997" i="5"/>
  <c r="S757" i="5"/>
  <c r="AA60" i="40" s="1"/>
  <c r="W757" i="5"/>
  <c r="AA757" i="5"/>
  <c r="E834" i="5"/>
  <c r="P843" i="5"/>
  <c r="AA850" i="5"/>
  <c r="E865" i="5"/>
  <c r="W867" i="5" s="1"/>
  <c r="E713" i="5"/>
  <c r="S787" i="5"/>
  <c r="AA68" i="40" s="1"/>
  <c r="W787" i="5"/>
  <c r="AA787" i="5"/>
  <c r="E983" i="5"/>
  <c r="E1498" i="5"/>
  <c r="E1499" i="5"/>
  <c r="E1500" i="5"/>
  <c r="P1348" i="5"/>
  <c r="L1349" i="5"/>
  <c r="L1350" i="5"/>
  <c r="P1416" i="5"/>
  <c r="P1018" i="5"/>
  <c r="L1019" i="5"/>
  <c r="L1020" i="5"/>
  <c r="P1029" i="5"/>
  <c r="P1204" i="5"/>
  <c r="E1288" i="5"/>
  <c r="E1289" i="5"/>
  <c r="E1290" i="5"/>
  <c r="S1387" i="5"/>
  <c r="W1387" i="5"/>
  <c r="AA88" i="40" s="1"/>
  <c r="AA1387" i="5"/>
  <c r="P1758" i="5"/>
  <c r="AA1598" i="5"/>
  <c r="S1777" i="5"/>
  <c r="W1777" i="5"/>
  <c r="AA98" i="40" s="1"/>
  <c r="AA1777" i="5"/>
  <c r="S68" i="5"/>
  <c r="AH39" i="40" s="1"/>
  <c r="W262" i="5"/>
  <c r="S262" i="5"/>
  <c r="AA23" i="40" s="1"/>
  <c r="AA262" i="5"/>
  <c r="E353" i="5"/>
  <c r="P12" i="5"/>
  <c r="S367" i="5"/>
  <c r="AA55" i="40" s="1"/>
  <c r="W367" i="5"/>
  <c r="AA367" i="5"/>
  <c r="P454" i="5"/>
  <c r="E295" i="5"/>
  <c r="W297" i="5" s="1"/>
  <c r="P288" i="5"/>
  <c r="AA295" i="5"/>
  <c r="E399" i="5"/>
  <c r="P57" i="5"/>
  <c r="E148" i="5"/>
  <c r="E149" i="5"/>
  <c r="E150" i="5"/>
  <c r="S232" i="5"/>
  <c r="AA53" i="40" s="1"/>
  <c r="W232" i="5"/>
  <c r="AA232" i="5"/>
  <c r="P408" i="5"/>
  <c r="AA415" i="5"/>
  <c r="P643" i="5"/>
  <c r="L644" i="5"/>
  <c r="L645" i="5"/>
  <c r="S476" i="5"/>
  <c r="BC45" i="40" s="1"/>
  <c r="W476" i="5"/>
  <c r="W471" i="5"/>
  <c r="E569" i="5"/>
  <c r="E570" i="5"/>
  <c r="E568" i="5"/>
  <c r="P582" i="5"/>
  <c r="S668" i="5"/>
  <c r="AH66" i="40" s="1"/>
  <c r="W743" i="5"/>
  <c r="P834" i="5"/>
  <c r="W836" i="5" s="1"/>
  <c r="E941" i="5"/>
  <c r="E624" i="5"/>
  <c r="W627" i="5" s="1"/>
  <c r="P624" i="5"/>
  <c r="P709" i="5"/>
  <c r="E793" i="5"/>
  <c r="E794" i="5"/>
  <c r="E795" i="5"/>
  <c r="W802" i="5"/>
  <c r="S802" i="5"/>
  <c r="AA34" i="40" s="1"/>
  <c r="AA802" i="5"/>
  <c r="P888" i="5"/>
  <c r="AA895" i="5"/>
  <c r="P970" i="5"/>
  <c r="S971" i="5" s="1"/>
  <c r="BC26" i="40" s="1"/>
  <c r="P981" i="5"/>
  <c r="W981" i="5"/>
  <c r="P1405" i="5"/>
  <c r="P1053" i="5"/>
  <c r="AA1060" i="5"/>
  <c r="S1058" i="5"/>
  <c r="E1433" i="5"/>
  <c r="S1016" i="5"/>
  <c r="BC29" i="40" s="1"/>
  <c r="P1296" i="5"/>
  <c r="P1458" i="5"/>
  <c r="P1477" i="5"/>
  <c r="P1475" i="5"/>
  <c r="E1587" i="5"/>
  <c r="AA1673" i="5"/>
  <c r="L164" i="5"/>
  <c r="L165" i="5"/>
  <c r="P163" i="5"/>
  <c r="W173" i="5"/>
  <c r="P250" i="5"/>
  <c r="E268" i="5"/>
  <c r="E269" i="5"/>
  <c r="E270" i="5"/>
  <c r="L434" i="5"/>
  <c r="L435" i="5"/>
  <c r="P433" i="5"/>
  <c r="W443" i="5"/>
  <c r="E100" i="5"/>
  <c r="P277" i="5"/>
  <c r="P368" i="5"/>
  <c r="P453" i="5"/>
  <c r="AA460" i="5"/>
  <c r="P290" i="5"/>
  <c r="E308" i="5"/>
  <c r="W312" i="5" s="1"/>
  <c r="P388" i="5"/>
  <c r="L389" i="5"/>
  <c r="L390" i="5"/>
  <c r="P50" i="5"/>
  <c r="S53" i="5"/>
  <c r="AH19" i="40" s="1"/>
  <c r="P412" i="5"/>
  <c r="AA413" i="5"/>
  <c r="P543" i="5"/>
  <c r="AA550" i="5"/>
  <c r="P642" i="5"/>
  <c r="W641" i="5"/>
  <c r="S641" i="5"/>
  <c r="BC5" i="40" s="1"/>
  <c r="P813" i="5"/>
  <c r="AA820" i="5"/>
  <c r="P912" i="5"/>
  <c r="P1003" i="5"/>
  <c r="L1004" i="5"/>
  <c r="L1005" i="5"/>
  <c r="P471" i="5"/>
  <c r="P673" i="5"/>
  <c r="L674" i="5"/>
  <c r="L675" i="5"/>
  <c r="P741" i="5"/>
  <c r="L944" i="5"/>
  <c r="L945" i="5"/>
  <c r="P943" i="5"/>
  <c r="P865" i="5"/>
  <c r="W866" i="5" s="1"/>
  <c r="P951" i="5"/>
  <c r="P612" i="5"/>
  <c r="W608" i="5"/>
  <c r="E882" i="5"/>
  <c r="P1402" i="5"/>
  <c r="P1056" i="5"/>
  <c r="S1073" i="5"/>
  <c r="E1146" i="5"/>
  <c r="P1237" i="5"/>
  <c r="E1422" i="5"/>
  <c r="P1436" i="5"/>
  <c r="P1089" i="5"/>
  <c r="P1354" i="5"/>
  <c r="P1452" i="5"/>
  <c r="E1509" i="5"/>
  <c r="E1018" i="5"/>
  <c r="E1019" i="5"/>
  <c r="E1020" i="5"/>
  <c r="E1192" i="5"/>
  <c r="E1209" i="5"/>
  <c r="P1209" i="5"/>
  <c r="P1384" i="5"/>
  <c r="E1468" i="5"/>
  <c r="E1469" i="5"/>
  <c r="E1470" i="5"/>
  <c r="P1524" i="5"/>
  <c r="P1675" i="5"/>
  <c r="S1597" i="5"/>
  <c r="W1597" i="5"/>
  <c r="AA80" i="40" s="1"/>
  <c r="AA1597" i="5"/>
  <c r="P1687" i="5"/>
  <c r="P1779" i="5"/>
  <c r="P153" i="5"/>
  <c r="AA160" i="5"/>
  <c r="E173" i="5"/>
  <c r="W352" i="5"/>
  <c r="S352" i="5"/>
  <c r="AA24" i="40" s="1"/>
  <c r="AA352" i="5"/>
  <c r="AA428" i="5"/>
  <c r="S441" i="5"/>
  <c r="T17" i="40" s="1"/>
  <c r="P4" i="5"/>
  <c r="P99" i="5"/>
  <c r="P184" i="5"/>
  <c r="P279" i="5"/>
  <c r="P364" i="5"/>
  <c r="P22" i="5"/>
  <c r="P36" i="5"/>
  <c r="E387" i="5"/>
  <c r="P378" i="5"/>
  <c r="AA385" i="5"/>
  <c r="P395" i="5"/>
  <c r="P56" i="5"/>
  <c r="P146" i="5"/>
  <c r="P236" i="5"/>
  <c r="P326" i="5"/>
  <c r="P416" i="5"/>
  <c r="W548" i="5"/>
  <c r="P725" i="5"/>
  <c r="W818" i="5"/>
  <c r="P580" i="5"/>
  <c r="E659" i="5"/>
  <c r="E660" i="5"/>
  <c r="E658" i="5"/>
  <c r="AA833" i="5"/>
  <c r="P850" i="5"/>
  <c r="E928" i="5"/>
  <c r="E929" i="5"/>
  <c r="E930" i="5"/>
  <c r="P620" i="5"/>
  <c r="P714" i="5"/>
  <c r="P799" i="5"/>
  <c r="E883" i="5"/>
  <c r="E884" i="5"/>
  <c r="E885" i="5"/>
  <c r="P988" i="5"/>
  <c r="L989" i="5"/>
  <c r="L990" i="5"/>
  <c r="P1312" i="5"/>
  <c r="E1491" i="5"/>
  <c r="E1058" i="5"/>
  <c r="E1242" i="5"/>
  <c r="P1251" i="5"/>
  <c r="P1327" i="5"/>
  <c r="P1343" i="5"/>
  <c r="AA1178" i="5"/>
  <c r="P1271" i="5"/>
  <c r="E1356" i="5"/>
  <c r="P1445" i="5"/>
  <c r="E1506" i="5"/>
  <c r="E1013" i="5"/>
  <c r="P1028" i="5"/>
  <c r="E1107" i="5"/>
  <c r="P1212" i="5"/>
  <c r="E1282" i="5"/>
  <c r="L1304" i="5"/>
  <c r="L1305" i="5"/>
  <c r="P1303" i="5"/>
  <c r="P1565" i="5"/>
  <c r="E1662" i="5"/>
  <c r="P1765" i="5"/>
  <c r="L1649" i="5"/>
  <c r="L1650" i="5"/>
  <c r="P1648" i="5"/>
  <c r="S1942" i="5"/>
  <c r="W1942" i="5"/>
  <c r="AA1942" i="5"/>
  <c r="AA190" i="40" s="1"/>
  <c r="S1957" i="5"/>
  <c r="W1957" i="5"/>
  <c r="AA1957" i="5"/>
  <c r="AA140" i="40" s="1"/>
  <c r="S2152" i="5"/>
  <c r="W2152" i="5"/>
  <c r="AA2152" i="5"/>
  <c r="AA145" i="40" s="1"/>
  <c r="W2257" i="5"/>
  <c r="S2257" i="5"/>
  <c r="AA2257" i="5"/>
  <c r="AA199" i="40" s="1"/>
  <c r="P2323" i="5"/>
  <c r="L2324" i="5"/>
  <c r="L2325" i="5"/>
  <c r="S2497" i="5"/>
  <c r="W2497" i="5"/>
  <c r="AA2497" i="5"/>
  <c r="AA159" i="40" s="1"/>
  <c r="E2518" i="5"/>
  <c r="E2519" i="5"/>
  <c r="AA2509" i="5" s="1"/>
  <c r="F206" i="40" s="1"/>
  <c r="E2520" i="5"/>
  <c r="P2458" i="5"/>
  <c r="L2459" i="5"/>
  <c r="L2460" i="5"/>
  <c r="P2711" i="5"/>
  <c r="S2647" i="5"/>
  <c r="W2647" i="5"/>
  <c r="AA2647" i="5"/>
  <c r="AA221" i="40" s="1"/>
  <c r="S2782" i="5"/>
  <c r="W2782" i="5"/>
  <c r="AA2782" i="5"/>
  <c r="AA195" i="40" s="1"/>
  <c r="P2953" i="5"/>
  <c r="L2954" i="5"/>
  <c r="L2955" i="5"/>
  <c r="P2988" i="5"/>
  <c r="AA2995" i="5"/>
  <c r="AV235" i="40" s="1"/>
  <c r="S3187" i="5"/>
  <c r="W3187" i="5"/>
  <c r="AA3187" i="5"/>
  <c r="AA249" i="40" s="1"/>
  <c r="W3304" i="5"/>
  <c r="S3304" i="5"/>
  <c r="S3307" i="5"/>
  <c r="W3307" i="5"/>
  <c r="AA3307" i="5"/>
  <c r="AA160" i="40" s="1"/>
  <c r="S3311" i="5"/>
  <c r="W3311" i="5"/>
  <c r="AA3338" i="5"/>
  <c r="AH180" i="40" s="1"/>
  <c r="S1642" i="5"/>
  <c r="W1642" i="5"/>
  <c r="AA108" i="40" s="1"/>
  <c r="AA1642" i="5"/>
  <c r="S2047" i="5"/>
  <c r="W2047" i="5"/>
  <c r="AA2047" i="5"/>
  <c r="AA146" i="40" s="1"/>
  <c r="P2104" i="5"/>
  <c r="P2322" i="5"/>
  <c r="P2377" i="5"/>
  <c r="E2391" i="5"/>
  <c r="P2418" i="5"/>
  <c r="AA2425" i="5"/>
  <c r="AV138" i="40" s="1"/>
  <c r="P2358" i="5"/>
  <c r="AA2365" i="5"/>
  <c r="AV215" i="40" s="1"/>
  <c r="P2905" i="5"/>
  <c r="P2934" i="5"/>
  <c r="P2997" i="5"/>
  <c r="W2992" i="5"/>
  <c r="S2992" i="5"/>
  <c r="AA2992" i="5"/>
  <c r="AA235" i="40" s="1"/>
  <c r="P3018" i="5"/>
  <c r="E3133" i="5"/>
  <c r="E3134" i="5"/>
  <c r="E3135" i="5"/>
  <c r="E3308" i="5"/>
  <c r="AA3312" i="5" s="1"/>
  <c r="BF160" i="40" s="1"/>
  <c r="AA3158" i="5"/>
  <c r="AH225" i="40" s="1"/>
  <c r="E3248" i="5"/>
  <c r="P3418" i="5"/>
  <c r="L3419" i="5"/>
  <c r="L3420" i="5"/>
  <c r="S1718" i="5"/>
  <c r="E1558" i="5"/>
  <c r="E1559" i="5"/>
  <c r="E1560" i="5"/>
  <c r="P2060" i="5"/>
  <c r="P1855" i="5"/>
  <c r="P1961" i="5"/>
  <c r="P2030" i="5"/>
  <c r="L2159" i="5"/>
  <c r="L2160" i="5"/>
  <c r="P2158" i="5"/>
  <c r="L2339" i="5"/>
  <c r="L2340" i="5"/>
  <c r="P2338" i="5"/>
  <c r="S2123" i="5"/>
  <c r="P2463" i="5"/>
  <c r="AA2470" i="5"/>
  <c r="AV223" i="40" s="1"/>
  <c r="P2478" i="5"/>
  <c r="AA2485" i="5"/>
  <c r="AV172" i="40" s="1"/>
  <c r="E2353" i="5"/>
  <c r="E2354" i="5"/>
  <c r="E2355" i="5"/>
  <c r="P2710" i="5"/>
  <c r="P2756" i="5"/>
  <c r="P2838" i="5"/>
  <c r="AA2845" i="5"/>
  <c r="AV134" i="40" s="1"/>
  <c r="P2892" i="5"/>
  <c r="P2974" i="5"/>
  <c r="S2918" i="5"/>
  <c r="P3082" i="5"/>
  <c r="S3142" i="5"/>
  <c r="W3142" i="5"/>
  <c r="AA3142" i="5"/>
  <c r="AA178" i="40" s="1"/>
  <c r="P3028" i="5"/>
  <c r="L3029" i="5"/>
  <c r="L3030" i="5"/>
  <c r="AA3038" i="5"/>
  <c r="AH129" i="40" s="1"/>
  <c r="P3114" i="5"/>
  <c r="S3157" i="5"/>
  <c r="W3157" i="5"/>
  <c r="AA3157" i="5"/>
  <c r="AA225" i="40" s="1"/>
  <c r="S3248" i="5"/>
  <c r="E3323" i="5"/>
  <c r="E3337" i="5"/>
  <c r="E1707" i="5"/>
  <c r="P1723" i="5"/>
  <c r="L1724" i="5"/>
  <c r="L1725" i="5"/>
  <c r="E1823" i="5"/>
  <c r="AA1827" i="5" s="1"/>
  <c r="W1827" i="5"/>
  <c r="BF106" i="40" s="1"/>
  <c r="P1823" i="5"/>
  <c r="AA1913" i="5"/>
  <c r="AH151" i="40" s="1"/>
  <c r="W1988" i="5"/>
  <c r="P1804" i="5"/>
  <c r="P2157" i="5"/>
  <c r="W2258" i="5"/>
  <c r="P2270" i="5"/>
  <c r="S2228" i="5"/>
  <c r="S2542" i="5"/>
  <c r="W2542" i="5"/>
  <c r="AA2542" i="5"/>
  <c r="AA131" i="40" s="1"/>
  <c r="P2554" i="5"/>
  <c r="P2584" i="5"/>
  <c r="E2638" i="5"/>
  <c r="E2639" i="5"/>
  <c r="E2640" i="5"/>
  <c r="P2695" i="5"/>
  <c r="L2729" i="5"/>
  <c r="L2730" i="5"/>
  <c r="P2728" i="5"/>
  <c r="S2726" i="5" s="1"/>
  <c r="P2722" i="5"/>
  <c r="P2650" i="5"/>
  <c r="W2798" i="5"/>
  <c r="P2683" i="5"/>
  <c r="L2684" i="5"/>
  <c r="L2685" i="5"/>
  <c r="P2750" i="5"/>
  <c r="P2878" i="5"/>
  <c r="L2879" i="5"/>
  <c r="L2880" i="5"/>
  <c r="L2894" i="5"/>
  <c r="L2895" i="5"/>
  <c r="P2893" i="5"/>
  <c r="P2823" i="5"/>
  <c r="P3205" i="5"/>
  <c r="P3063" i="5"/>
  <c r="AA3070" i="5"/>
  <c r="AV226" i="40" s="1"/>
  <c r="E3188" i="5"/>
  <c r="W3192" i="5" s="1"/>
  <c r="P3103" i="5"/>
  <c r="L3104" i="5"/>
  <c r="L3105" i="5"/>
  <c r="P3258" i="5"/>
  <c r="AA3265" i="5"/>
  <c r="AV173" i="40" s="1"/>
  <c r="P3355" i="5"/>
  <c r="P3411" i="5"/>
  <c r="W1536" i="5"/>
  <c r="T90" i="40" s="1"/>
  <c r="P1556" i="5"/>
  <c r="P1991" i="5"/>
  <c r="S1991" i="5" s="1"/>
  <c r="W2003" i="5"/>
  <c r="P1841" i="5"/>
  <c r="P1953" i="5"/>
  <c r="P2035" i="5"/>
  <c r="P2153" i="5"/>
  <c r="W2153" i="5"/>
  <c r="P2080" i="5"/>
  <c r="E2278" i="5"/>
  <c r="E2279" i="5"/>
  <c r="E2280" i="5"/>
  <c r="P2109" i="5"/>
  <c r="W2111" i="5" s="1"/>
  <c r="W2303" i="5"/>
  <c r="P2544" i="5"/>
  <c r="P2620" i="5"/>
  <c r="P2421" i="5"/>
  <c r="P2451" i="5"/>
  <c r="E2652" i="5"/>
  <c r="S2797" i="5"/>
  <c r="W2797" i="5"/>
  <c r="AA2797" i="5"/>
  <c r="AA256" i="40" s="1"/>
  <c r="P2802" i="5"/>
  <c r="AA2813" i="5"/>
  <c r="AH144" i="40" s="1"/>
  <c r="E2773" i="5"/>
  <c r="E2774" i="5"/>
  <c r="E2775" i="5"/>
  <c r="P2841" i="5"/>
  <c r="E2905" i="5"/>
  <c r="P2951" i="5"/>
  <c r="W2951" i="5" s="1"/>
  <c r="P2966" i="5"/>
  <c r="P2858" i="5"/>
  <c r="W2873" i="5"/>
  <c r="P2937" i="5"/>
  <c r="P2978" i="5"/>
  <c r="E3143" i="5"/>
  <c r="AA3147" i="5" s="1"/>
  <c r="BF178" i="40" s="1"/>
  <c r="W3147" i="5"/>
  <c r="E3058" i="5"/>
  <c r="E3059" i="5"/>
  <c r="AA3049" i="5" s="1"/>
  <c r="F128" i="40" s="1"/>
  <c r="E3060" i="5"/>
  <c r="P3070" i="5"/>
  <c r="P2993" i="5"/>
  <c r="P3220" i="5"/>
  <c r="P3303" i="5"/>
  <c r="AA3310" i="5"/>
  <c r="AV160" i="40" s="1"/>
  <c r="W3308" i="5"/>
  <c r="S3097" i="5"/>
  <c r="W3097" i="5"/>
  <c r="AA3097" i="5"/>
  <c r="AA141" i="40" s="1"/>
  <c r="P3171" i="5"/>
  <c r="P3266" i="5"/>
  <c r="S3322" i="5"/>
  <c r="W3322" i="5"/>
  <c r="AA3322" i="5"/>
  <c r="AA229" i="40" s="1"/>
  <c r="P3339" i="5"/>
  <c r="S1612" i="5"/>
  <c r="W1612" i="5"/>
  <c r="AA75" i="40" s="1"/>
  <c r="AA1612" i="5"/>
  <c r="E1628" i="5"/>
  <c r="W1632" i="5" s="1"/>
  <c r="BF123" i="40" s="1"/>
  <c r="P1708" i="5"/>
  <c r="L1709" i="5"/>
  <c r="L1710" i="5"/>
  <c r="P1717" i="5"/>
  <c r="E1717" i="5"/>
  <c r="E1645" i="5"/>
  <c r="P1886" i="5"/>
  <c r="E2003" i="5"/>
  <c r="P2019" i="5"/>
  <c r="E1809" i="5"/>
  <c r="S1852" i="5"/>
  <c r="W1852" i="5"/>
  <c r="AA78" i="40" s="1"/>
  <c r="AA1852" i="5"/>
  <c r="AA1853" i="5"/>
  <c r="AA1868" i="5"/>
  <c r="P2029" i="5"/>
  <c r="E2053" i="5"/>
  <c r="E2054" i="5"/>
  <c r="E2055" i="5"/>
  <c r="P2241" i="5"/>
  <c r="P2094" i="5"/>
  <c r="E2261" i="5"/>
  <c r="W2271" i="5"/>
  <c r="P2106" i="5"/>
  <c r="E2202" i="5"/>
  <c r="P2218" i="5"/>
  <c r="L2219" i="5"/>
  <c r="L2220" i="5"/>
  <c r="P2224" i="5"/>
  <c r="P2306" i="5"/>
  <c r="S2573" i="5"/>
  <c r="P2571" i="5"/>
  <c r="P2470" i="5"/>
  <c r="E2474" i="5"/>
  <c r="E2475" i="5"/>
  <c r="E2473" i="5"/>
  <c r="P2563" i="5"/>
  <c r="L2564" i="5"/>
  <c r="L2565" i="5"/>
  <c r="W2618" i="5"/>
  <c r="W2496" i="5"/>
  <c r="E2586" i="5"/>
  <c r="P2587" i="5"/>
  <c r="P2509" i="5"/>
  <c r="E2368" i="5"/>
  <c r="E2369" i="5"/>
  <c r="S2359" i="5" s="1"/>
  <c r="E2370" i="5"/>
  <c r="P2440" i="5"/>
  <c r="W2633" i="5"/>
  <c r="P2694" i="5"/>
  <c r="E2799" i="5"/>
  <c r="S2663" i="5"/>
  <c r="S2677" i="5"/>
  <c r="W2677" i="5"/>
  <c r="AA2677" i="5"/>
  <c r="AA208" i="40" s="1"/>
  <c r="S2783" i="5"/>
  <c r="S2737" i="5"/>
  <c r="W2737" i="5"/>
  <c r="AA2737" i="5"/>
  <c r="AA205" i="40" s="1"/>
  <c r="P2965" i="5"/>
  <c r="S2966" i="5" s="1"/>
  <c r="P2876" i="5"/>
  <c r="S2828" i="5"/>
  <c r="P2976" i="5"/>
  <c r="P3005" i="5"/>
  <c r="E3145" i="5"/>
  <c r="E3202" i="5"/>
  <c r="W2993" i="5"/>
  <c r="W3188" i="5"/>
  <c r="P3023" i="5"/>
  <c r="P3118" i="5"/>
  <c r="L3119" i="5"/>
  <c r="L3120" i="5"/>
  <c r="P3101" i="5"/>
  <c r="S3156" i="5"/>
  <c r="P3174" i="5"/>
  <c r="P3250" i="5"/>
  <c r="P3323" i="5"/>
  <c r="L3344" i="5"/>
  <c r="L3345" i="5"/>
  <c r="P3343" i="5"/>
  <c r="P3478" i="5"/>
  <c r="L3479" i="5"/>
  <c r="L3480" i="5"/>
  <c r="P3693" i="5"/>
  <c r="AA3700" i="5"/>
  <c r="AV133" i="40" s="1"/>
  <c r="S3742" i="5"/>
  <c r="W3742" i="5"/>
  <c r="AA3742" i="5"/>
  <c r="AA214" i="40" s="1"/>
  <c r="P3477" i="5"/>
  <c r="L3449" i="5"/>
  <c r="L3450" i="5"/>
  <c r="P3448" i="5"/>
  <c r="P3618" i="5"/>
  <c r="AA3625" i="5"/>
  <c r="AV255" i="40" s="1"/>
  <c r="P3757" i="5"/>
  <c r="AA3818" i="5"/>
  <c r="AH163" i="40" s="1"/>
  <c r="S3701" i="5"/>
  <c r="W3701" i="5"/>
  <c r="P3868" i="5"/>
  <c r="L3869" i="5"/>
  <c r="L3870" i="5"/>
  <c r="E3848" i="5"/>
  <c r="P3394" i="5"/>
  <c r="P3399" i="5"/>
  <c r="W3473" i="5"/>
  <c r="S3566" i="5"/>
  <c r="W3566" i="5"/>
  <c r="P3685" i="5"/>
  <c r="P3828" i="5"/>
  <c r="AA3835" i="5"/>
  <c r="AV175" i="40" s="1"/>
  <c r="P3283" i="5"/>
  <c r="L3284" i="5"/>
  <c r="L3285" i="5"/>
  <c r="W3383" i="5"/>
  <c r="E3473" i="5"/>
  <c r="AA3477" i="5" s="1"/>
  <c r="BF177" i="40" s="1"/>
  <c r="W3442" i="5"/>
  <c r="S3442" i="5"/>
  <c r="AA3442" i="5"/>
  <c r="AA168" i="40" s="1"/>
  <c r="E3368" i="5"/>
  <c r="AA3372" i="5" s="1"/>
  <c r="BF252" i="40" s="1"/>
  <c r="W3372" i="5"/>
  <c r="E3578" i="5"/>
  <c r="AA3582" i="5" s="1"/>
  <c r="BF181" i="40" s="1"/>
  <c r="W3582" i="5"/>
  <c r="P3518" i="5"/>
  <c r="S3637" i="5"/>
  <c r="W3637" i="5"/>
  <c r="AA3637" i="5"/>
  <c r="AA194" i="40" s="1"/>
  <c r="P3657" i="5"/>
  <c r="P3671" i="5"/>
  <c r="W3771" i="5"/>
  <c r="P3863" i="5"/>
  <c r="P3278" i="5"/>
  <c r="E3291" i="5"/>
  <c r="P3379" i="5"/>
  <c r="S3458" i="5"/>
  <c r="P3486" i="5"/>
  <c r="S3581" i="5"/>
  <c r="W3581" i="5"/>
  <c r="P3548" i="5"/>
  <c r="W3551" i="5" s="1"/>
  <c r="E3643" i="5"/>
  <c r="E3644" i="5"/>
  <c r="E3645" i="5"/>
  <c r="P3665" i="5"/>
  <c r="S3817" i="5"/>
  <c r="W3817" i="5"/>
  <c r="AA3817" i="5"/>
  <c r="AA163" i="40" s="1"/>
  <c r="P3731" i="5"/>
  <c r="E3837" i="5"/>
  <c r="E3853" i="5"/>
  <c r="E3854" i="5"/>
  <c r="E3855" i="5"/>
  <c r="P3290" i="5"/>
  <c r="E3456" i="5"/>
  <c r="P3472" i="5"/>
  <c r="E3583" i="5"/>
  <c r="E3584" i="5"/>
  <c r="AA3574" i="5" s="1"/>
  <c r="F181" i="40" s="1"/>
  <c r="E3585" i="5"/>
  <c r="E3548" i="5"/>
  <c r="AA3552" i="5" s="1"/>
  <c r="BF193" i="40" s="1"/>
  <c r="W3552" i="5"/>
  <c r="P3498" i="5"/>
  <c r="AA3505" i="5"/>
  <c r="AV222" i="40" s="1"/>
  <c r="S3518" i="5"/>
  <c r="P3619" i="5"/>
  <c r="S3626" i="5"/>
  <c r="W3626" i="5"/>
  <c r="AA3626" i="5"/>
  <c r="BC255" i="40" s="1"/>
  <c r="S3757" i="5"/>
  <c r="W3757" i="5"/>
  <c r="AA3757" i="5"/>
  <c r="AA150" i="40" s="1"/>
  <c r="P3709" i="5"/>
  <c r="P3605" i="5"/>
  <c r="S3671" i="5"/>
  <c r="W3671" i="5"/>
  <c r="P3669" i="5"/>
  <c r="E3727" i="5"/>
  <c r="P3861" i="5"/>
  <c r="S3861" i="5"/>
  <c r="E366" i="5"/>
  <c r="E143" i="5"/>
  <c r="W147" i="5" s="1"/>
  <c r="E323" i="5"/>
  <c r="E608" i="5"/>
  <c r="E1133" i="5"/>
  <c r="W1137" i="5" s="1"/>
  <c r="BF126" i="40" s="1"/>
  <c r="E163" i="5"/>
  <c r="E164" i="5"/>
  <c r="AA154" i="5" s="1"/>
  <c r="E165" i="5"/>
  <c r="E113" i="5"/>
  <c r="W546" i="5"/>
  <c r="S726" i="5"/>
  <c r="T16" i="40" s="1"/>
  <c r="W906" i="5"/>
  <c r="E493" i="5"/>
  <c r="E494" i="5"/>
  <c r="E495" i="5"/>
  <c r="E1043" i="5"/>
  <c r="AA1047" i="5" s="1"/>
  <c r="W1047" i="5"/>
  <c r="BF83" i="40" s="1"/>
  <c r="E85" i="5"/>
  <c r="S486" i="5"/>
  <c r="T32" i="40" s="1"/>
  <c r="E538" i="5"/>
  <c r="E539" i="5"/>
  <c r="E540" i="5"/>
  <c r="E808" i="5"/>
  <c r="E809" i="5"/>
  <c r="E810" i="5"/>
  <c r="W1191" i="5"/>
  <c r="T97" i="40" s="1"/>
  <c r="E246" i="5"/>
  <c r="E98" i="5"/>
  <c r="AA102" i="5" s="1"/>
  <c r="W102" i="5"/>
  <c r="E278" i="5"/>
  <c r="E40" i="5"/>
  <c r="E310" i="5"/>
  <c r="E415" i="5"/>
  <c r="E583" i="5"/>
  <c r="E584" i="5"/>
  <c r="E585" i="5"/>
  <c r="E711" i="5"/>
  <c r="E879" i="5"/>
  <c r="E1496" i="5"/>
  <c r="E1268" i="5"/>
  <c r="E1033" i="5"/>
  <c r="E1034" i="5"/>
  <c r="E1035" i="5"/>
  <c r="E1212" i="5"/>
  <c r="E444" i="5"/>
  <c r="E457" i="5"/>
  <c r="E578" i="5"/>
  <c r="W582" i="5" s="1"/>
  <c r="E922" i="5"/>
  <c r="E591" i="5"/>
  <c r="E683" i="5"/>
  <c r="W771" i="5"/>
  <c r="W861" i="5"/>
  <c r="E957" i="5"/>
  <c r="E607" i="5"/>
  <c r="E788" i="5"/>
  <c r="W792" i="5" s="1"/>
  <c r="E1406" i="5"/>
  <c r="W1407" i="5" s="1"/>
  <c r="BF111" i="40" s="1"/>
  <c r="E1161" i="5"/>
  <c r="E1417" i="5"/>
  <c r="E1178" i="5"/>
  <c r="E1030" i="5"/>
  <c r="E1373" i="5"/>
  <c r="E1687" i="5"/>
  <c r="E2153" i="5"/>
  <c r="E2378" i="5"/>
  <c r="AA2382" i="5" s="1"/>
  <c r="BF243" i="40" s="1"/>
  <c r="W2382" i="5"/>
  <c r="E2528" i="5"/>
  <c r="E1796" i="5"/>
  <c r="E2558" i="5"/>
  <c r="E2981" i="5"/>
  <c r="S3006" i="5"/>
  <c r="S1701" i="5"/>
  <c r="E1975" i="5"/>
  <c r="S2211" i="5"/>
  <c r="E2409" i="5"/>
  <c r="E2351" i="5"/>
  <c r="W2352" i="5" s="1"/>
  <c r="E2859" i="5"/>
  <c r="E3113" i="5"/>
  <c r="W3117" i="5" s="1"/>
  <c r="E1737" i="5"/>
  <c r="E1917" i="5"/>
  <c r="E2020" i="5"/>
  <c r="W2031" i="5"/>
  <c r="E2230" i="5"/>
  <c r="E2380" i="5"/>
  <c r="E2691" i="5"/>
  <c r="E2711" i="5"/>
  <c r="E2742" i="5"/>
  <c r="E2770" i="5"/>
  <c r="E2887" i="5"/>
  <c r="W3216" i="5"/>
  <c r="E3103" i="5"/>
  <c r="E3104" i="5"/>
  <c r="E3105" i="5"/>
  <c r="E3411" i="5"/>
  <c r="E1882" i="5"/>
  <c r="E2062" i="5"/>
  <c r="E2007" i="5"/>
  <c r="E2017" i="5"/>
  <c r="E1858" i="5"/>
  <c r="E1859" i="5"/>
  <c r="E1860" i="5"/>
  <c r="E1871" i="5"/>
  <c r="E2152" i="5"/>
  <c r="E2248" i="5"/>
  <c r="E2249" i="5"/>
  <c r="E2250" i="5"/>
  <c r="S2196" i="5"/>
  <c r="E2316" i="5"/>
  <c r="E2483" i="5"/>
  <c r="AA2487" i="5" s="1"/>
  <c r="BF172" i="40" s="1"/>
  <c r="E2484" i="5"/>
  <c r="E2427" i="5"/>
  <c r="E2723" i="5"/>
  <c r="E2846" i="5"/>
  <c r="E2949" i="5"/>
  <c r="E2873" i="5"/>
  <c r="E2893" i="5"/>
  <c r="E2894" i="5"/>
  <c r="E2895" i="5"/>
  <c r="E2977" i="5"/>
  <c r="W2991" i="5"/>
  <c r="E3112" i="5"/>
  <c r="E3266" i="5"/>
  <c r="E3381" i="5"/>
  <c r="E3803" i="5"/>
  <c r="AA3807" i="5" s="1"/>
  <c r="BF210" i="40" s="1"/>
  <c r="E3458" i="5"/>
  <c r="S3726" i="5"/>
  <c r="E3802" i="5"/>
  <c r="E3294" i="5"/>
  <c r="E3491" i="5"/>
  <c r="E3597" i="5"/>
  <c r="E3518" i="5"/>
  <c r="AA3522" i="5" s="1"/>
  <c r="BF189" i="40" s="1"/>
  <c r="W3522" i="5"/>
  <c r="E3279" i="5"/>
  <c r="E3489" i="5"/>
  <c r="W3426" i="5"/>
  <c r="E3563" i="5"/>
  <c r="AA3567" i="5" s="1"/>
  <c r="BF184" i="40" s="1"/>
  <c r="E3508" i="5"/>
  <c r="E3509" i="5"/>
  <c r="E3510" i="5"/>
  <c r="E3653" i="5"/>
  <c r="AA3657" i="5" s="1"/>
  <c r="BF200" i="40" s="1"/>
  <c r="W3657" i="5"/>
  <c r="E3699" i="5"/>
  <c r="AE57" i="40"/>
  <c r="AE31" i="40"/>
  <c r="AE6" i="40"/>
  <c r="AE15" i="40"/>
  <c r="J47" i="40"/>
  <c r="J68" i="40"/>
  <c r="AE27" i="40"/>
  <c r="J29" i="40"/>
  <c r="J46" i="40"/>
  <c r="AE41" i="40"/>
  <c r="AE4" i="40"/>
  <c r="AE70" i="40"/>
  <c r="R23" i="40"/>
  <c r="J61" i="40"/>
  <c r="J43" i="40"/>
  <c r="P3" i="5"/>
  <c r="AA10" i="5"/>
  <c r="E398" i="5"/>
  <c r="P993" i="5"/>
  <c r="AA1000" i="5"/>
  <c r="P493" i="5"/>
  <c r="L494" i="5"/>
  <c r="L495" i="5"/>
  <c r="P688" i="5"/>
  <c r="L689" i="5"/>
  <c r="L690" i="5"/>
  <c r="E1138" i="5"/>
  <c r="E1139" i="5"/>
  <c r="E1140" i="5"/>
  <c r="P1168" i="5"/>
  <c r="L1169" i="5"/>
  <c r="L1170" i="5"/>
  <c r="P1323" i="5"/>
  <c r="AA1330" i="5"/>
  <c r="P1578" i="5"/>
  <c r="AA1585" i="5"/>
  <c r="P1743" i="5"/>
  <c r="AA1750" i="5"/>
  <c r="E263" i="5"/>
  <c r="W442" i="5"/>
  <c r="S442" i="5"/>
  <c r="AA17" i="40" s="1"/>
  <c r="AA442" i="5"/>
  <c r="P460" i="5"/>
  <c r="P198" i="5"/>
  <c r="AA205" i="5"/>
  <c r="P313" i="5"/>
  <c r="L314" i="5"/>
  <c r="L315" i="5"/>
  <c r="S547" i="5"/>
  <c r="AA62" i="40" s="1"/>
  <c r="W547" i="5"/>
  <c r="AA547" i="5"/>
  <c r="E643" i="5"/>
  <c r="E644" i="5"/>
  <c r="AA634" i="5" s="1"/>
  <c r="E645" i="5"/>
  <c r="S578" i="5"/>
  <c r="AH38" i="40" s="1"/>
  <c r="P670" i="5"/>
  <c r="P838" i="5"/>
  <c r="L839" i="5"/>
  <c r="L840" i="5"/>
  <c r="W923" i="5"/>
  <c r="E508" i="5"/>
  <c r="E509" i="5"/>
  <c r="E510" i="5"/>
  <c r="P588" i="5"/>
  <c r="AA595" i="5"/>
  <c r="E778" i="5"/>
  <c r="E779" i="5"/>
  <c r="AA769" i="5" s="1"/>
  <c r="E780" i="5"/>
  <c r="P858" i="5"/>
  <c r="AA865" i="5"/>
  <c r="P701" i="5"/>
  <c r="W712" i="5"/>
  <c r="S712" i="5"/>
  <c r="AA63" i="40" s="1"/>
  <c r="AA712" i="5"/>
  <c r="L794" i="5"/>
  <c r="L795" i="5"/>
  <c r="P793" i="5"/>
  <c r="E1048" i="5"/>
  <c r="E1049" i="5"/>
  <c r="AA1039" i="5" s="1"/>
  <c r="E1050" i="5"/>
  <c r="AA1493" i="5"/>
  <c r="S1147" i="5"/>
  <c r="W1147" i="5"/>
  <c r="AA81" i="40" s="1"/>
  <c r="AA1147" i="5"/>
  <c r="P1243" i="5"/>
  <c r="L1244" i="5"/>
  <c r="L1245" i="5"/>
  <c r="P1248" i="5"/>
  <c r="AA1255" i="5"/>
  <c r="AA1343" i="5"/>
  <c r="W1567" i="5"/>
  <c r="AA82" i="40" s="1"/>
  <c r="S1567" i="5"/>
  <c r="AA1567" i="5"/>
  <c r="P1678" i="5"/>
  <c r="L1679" i="5"/>
  <c r="L1680" i="5"/>
  <c r="L74" i="5"/>
  <c r="L75" i="5"/>
  <c r="P73" i="5"/>
  <c r="AA83" i="5"/>
  <c r="L344" i="5"/>
  <c r="L345" i="5"/>
  <c r="P343" i="5"/>
  <c r="AA353" i="5"/>
  <c r="P373" i="5"/>
  <c r="L374" i="5"/>
  <c r="L375" i="5"/>
  <c r="P28" i="5"/>
  <c r="L29" i="5"/>
  <c r="L30" i="5"/>
  <c r="E218" i="5"/>
  <c r="P298" i="5"/>
  <c r="L299" i="5"/>
  <c r="L300" i="5"/>
  <c r="E563" i="5"/>
  <c r="P583" i="5"/>
  <c r="L584" i="5"/>
  <c r="L585" i="5"/>
  <c r="P651" i="5"/>
  <c r="P742" i="5"/>
  <c r="P757" i="5"/>
  <c r="P837" i="5"/>
  <c r="E955" i="5"/>
  <c r="S517" i="5"/>
  <c r="AA27" i="40" s="1"/>
  <c r="W517" i="5"/>
  <c r="AA517" i="5"/>
  <c r="P1221" i="5"/>
  <c r="E1238" i="5"/>
  <c r="AA1242" i="5" s="1"/>
  <c r="W1242" i="5"/>
  <c r="BF93" i="40" s="1"/>
  <c r="E1347" i="5"/>
  <c r="E1436" i="5"/>
  <c r="AA1448" i="5"/>
  <c r="E1448" i="5"/>
  <c r="W1452" i="5" s="1"/>
  <c r="BF74" i="40" s="1"/>
  <c r="E1298" i="5"/>
  <c r="P1468" i="5"/>
  <c r="L1469" i="5"/>
  <c r="L1470" i="5"/>
  <c r="P1580" i="5"/>
  <c r="W1657" i="5"/>
  <c r="AA101" i="40" s="1"/>
  <c r="S1657" i="5"/>
  <c r="AA1657" i="5"/>
  <c r="P1671" i="5"/>
  <c r="P1764" i="5"/>
  <c r="W1598" i="5"/>
  <c r="AH80" i="40" s="1"/>
  <c r="E1783" i="5"/>
  <c r="E1784" i="5"/>
  <c r="AA1774" i="5" s="1"/>
  <c r="E1785" i="5"/>
  <c r="P63" i="5"/>
  <c r="AA70" i="5"/>
  <c r="P441" i="5"/>
  <c r="S277" i="5"/>
  <c r="AA36" i="40" s="1"/>
  <c r="W277" i="5"/>
  <c r="AA277" i="5"/>
  <c r="E373" i="5"/>
  <c r="E374" i="5"/>
  <c r="E375" i="5"/>
  <c r="E459" i="5"/>
  <c r="P27" i="5"/>
  <c r="S37" i="5"/>
  <c r="AA33" i="40" s="1"/>
  <c r="W37" i="5"/>
  <c r="AA37" i="5"/>
  <c r="P123" i="5"/>
  <c r="AA130" i="5"/>
  <c r="P216" i="5"/>
  <c r="P386" i="5"/>
  <c r="P403" i="5"/>
  <c r="L404" i="5"/>
  <c r="L405" i="5"/>
  <c r="P147" i="5"/>
  <c r="E238" i="5"/>
  <c r="E239" i="5"/>
  <c r="E240" i="5"/>
  <c r="S322" i="5"/>
  <c r="AA56" i="40" s="1"/>
  <c r="W322" i="5"/>
  <c r="AA322" i="5"/>
  <c r="P733" i="5"/>
  <c r="L734" i="5"/>
  <c r="L735" i="5"/>
  <c r="E477" i="5"/>
  <c r="S471" i="5"/>
  <c r="T45" i="40" s="1"/>
  <c r="P559" i="5"/>
  <c r="W668" i="5"/>
  <c r="P738" i="5"/>
  <c r="AA745" i="5"/>
  <c r="S743" i="5"/>
  <c r="AH8" i="40" s="1"/>
  <c r="P758" i="5"/>
  <c r="P515" i="5"/>
  <c r="AA533" i="5"/>
  <c r="L629" i="5"/>
  <c r="L630" i="5"/>
  <c r="P628" i="5"/>
  <c r="P802" i="5"/>
  <c r="P800" i="5"/>
  <c r="E895" i="5"/>
  <c r="E1056" i="5"/>
  <c r="P1147" i="5"/>
  <c r="P1239" i="5"/>
  <c r="W1241" i="5" s="1"/>
  <c r="BC93" i="40" s="1"/>
  <c r="AA1358" i="5"/>
  <c r="E1358" i="5"/>
  <c r="W1362" i="5" s="1"/>
  <c r="BF100" i="40" s="1"/>
  <c r="P1444" i="5"/>
  <c r="E1508" i="5"/>
  <c r="W1512" i="5"/>
  <c r="BF71" i="40" s="1"/>
  <c r="E1583" i="5"/>
  <c r="P1750" i="5"/>
  <c r="S1687" i="5"/>
  <c r="W1687" i="5"/>
  <c r="AA94" i="40" s="1"/>
  <c r="AA1687" i="5"/>
  <c r="P1777" i="5"/>
  <c r="P86" i="5"/>
  <c r="S173" i="5"/>
  <c r="AH43" i="40" s="1"/>
  <c r="E262" i="5"/>
  <c r="P356" i="5"/>
  <c r="S443" i="5"/>
  <c r="AH17" i="40" s="1"/>
  <c r="E10" i="5"/>
  <c r="P187" i="5"/>
  <c r="P278" i="5"/>
  <c r="P462" i="5"/>
  <c r="P459" i="5"/>
  <c r="S457" i="5"/>
  <c r="AA3" i="40" s="1"/>
  <c r="W457" i="5"/>
  <c r="AA457" i="5"/>
  <c r="E22" i="5"/>
  <c r="E207" i="5"/>
  <c r="W207" i="5" s="1"/>
  <c r="W218" i="5"/>
  <c r="P322" i="5"/>
  <c r="AA323" i="5"/>
  <c r="P413" i="5"/>
  <c r="W416" i="5" s="1"/>
  <c r="W413" i="5"/>
  <c r="P636" i="5"/>
  <c r="P906" i="5"/>
  <c r="P562" i="5"/>
  <c r="E673" i="5"/>
  <c r="E674" i="5"/>
  <c r="E675" i="5"/>
  <c r="P832" i="5"/>
  <c r="E943" i="5"/>
  <c r="E944" i="5"/>
  <c r="E945" i="5"/>
  <c r="P501" i="5"/>
  <c r="P955" i="5"/>
  <c r="S956" i="5" s="1"/>
  <c r="BC67" i="40" s="1"/>
  <c r="P535" i="5"/>
  <c r="S608" i="5"/>
  <c r="AH61" i="40" s="1"/>
  <c r="E697" i="5"/>
  <c r="P788" i="5"/>
  <c r="S791" i="5" s="1"/>
  <c r="BC68" i="40" s="1"/>
  <c r="S877" i="5"/>
  <c r="AA37" i="40" s="1"/>
  <c r="W877" i="5"/>
  <c r="AA877" i="5"/>
  <c r="AA878" i="5"/>
  <c r="W1312" i="5"/>
  <c r="AA84" i="40" s="1"/>
  <c r="S1312" i="5"/>
  <c r="AA1312" i="5"/>
  <c r="P1403" i="5"/>
  <c r="E1495" i="5"/>
  <c r="S1146" i="5"/>
  <c r="P1253" i="5"/>
  <c r="S1256" i="5" s="1"/>
  <c r="AA1268" i="5"/>
  <c r="P1361" i="5"/>
  <c r="P1513" i="5"/>
  <c r="L1514" i="5"/>
  <c r="L1515" i="5"/>
  <c r="P1027" i="5"/>
  <c r="P1025" i="5"/>
  <c r="P1189" i="5"/>
  <c r="L1214" i="5"/>
  <c r="L1215" i="5"/>
  <c r="P1213" i="5"/>
  <c r="E1572" i="5"/>
  <c r="E1677" i="5"/>
  <c r="P1744" i="5"/>
  <c r="P1760" i="5"/>
  <c r="E1604" i="5"/>
  <c r="E1605" i="5"/>
  <c r="E1603" i="5"/>
  <c r="P1688" i="5"/>
  <c r="P67" i="5"/>
  <c r="S161" i="5"/>
  <c r="BC25" i="40" s="1"/>
  <c r="W161" i="5"/>
  <c r="P249" i="5"/>
  <c r="E338" i="5"/>
  <c r="E354" i="5"/>
  <c r="P352" i="5"/>
  <c r="P432" i="5"/>
  <c r="E11" i="5"/>
  <c r="E191" i="5"/>
  <c r="E371" i="5"/>
  <c r="P23" i="5"/>
  <c r="P206" i="5"/>
  <c r="P223" i="5"/>
  <c r="L224" i="5"/>
  <c r="L225" i="5"/>
  <c r="P292" i="5"/>
  <c r="P306" i="5"/>
  <c r="S548" i="5"/>
  <c r="AH62" i="40" s="1"/>
  <c r="S818" i="5"/>
  <c r="AH52" i="40" s="1"/>
  <c r="AA908" i="5"/>
  <c r="P994" i="5"/>
  <c r="W563" i="5"/>
  <c r="P565" i="5"/>
  <c r="P649" i="5"/>
  <c r="P672" i="5"/>
  <c r="AA758" i="5"/>
  <c r="W833" i="5"/>
  <c r="P835" i="5"/>
  <c r="P919" i="5"/>
  <c r="P942" i="5"/>
  <c r="P529" i="5"/>
  <c r="E613" i="5"/>
  <c r="E614" i="5"/>
  <c r="E615" i="5"/>
  <c r="L719" i="5"/>
  <c r="L720" i="5"/>
  <c r="P718" i="5"/>
  <c r="E989" i="5"/>
  <c r="E990" i="5"/>
  <c r="E988" i="5"/>
  <c r="P1040" i="5"/>
  <c r="W1222" i="5"/>
  <c r="AA76" i="40" s="1"/>
  <c r="S1222" i="5"/>
  <c r="AA1222" i="5"/>
  <c r="P1313" i="5"/>
  <c r="P1404" i="5"/>
  <c r="P1488" i="5"/>
  <c r="P1063" i="5"/>
  <c r="L1064" i="5"/>
  <c r="L1065" i="5"/>
  <c r="P1068" i="5"/>
  <c r="AA1075" i="5"/>
  <c r="AA1238" i="5"/>
  <c r="P1328" i="5"/>
  <c r="P1345" i="5"/>
  <c r="E1423" i="5"/>
  <c r="E1424" i="5"/>
  <c r="AA1414" i="5" s="1"/>
  <c r="E1425" i="5"/>
  <c r="S1432" i="5"/>
  <c r="W1432" i="5"/>
  <c r="AA120" i="40" s="1"/>
  <c r="AA1432" i="5"/>
  <c r="P1086" i="5"/>
  <c r="S1178" i="5"/>
  <c r="P1353" i="5"/>
  <c r="AA1360" i="5"/>
  <c r="P1503" i="5"/>
  <c r="AA1510" i="5"/>
  <c r="P1030" i="5"/>
  <c r="S1102" i="5"/>
  <c r="W1102" i="5"/>
  <c r="AA109" i="40" s="1"/>
  <c r="AA1102" i="5"/>
  <c r="AA1103" i="5"/>
  <c r="P1279" i="5"/>
  <c r="E1303" i="5"/>
  <c r="E1304" i="5"/>
  <c r="AA1294" i="5" s="1"/>
  <c r="E1305" i="5"/>
  <c r="E1389" i="5"/>
  <c r="P1462" i="5"/>
  <c r="P1474" i="5"/>
  <c r="P1527" i="5"/>
  <c r="P1518" i="5"/>
  <c r="AA1525" i="5"/>
  <c r="P1571" i="5"/>
  <c r="S1582" i="5"/>
  <c r="W1582" i="5"/>
  <c r="AA110" i="40" s="1"/>
  <c r="AA1582" i="5"/>
  <c r="AA1658" i="5"/>
  <c r="W1761" i="5"/>
  <c r="T92" i="40" s="1"/>
  <c r="E1602" i="5"/>
  <c r="P1684" i="5"/>
  <c r="S1538" i="5"/>
  <c r="E1888" i="5"/>
  <c r="E1889" i="5"/>
  <c r="AA1879" i="5" s="1"/>
  <c r="F179" i="40" s="1"/>
  <c r="E1890" i="5"/>
  <c r="P1856" i="5"/>
  <c r="E2338" i="5"/>
  <c r="E2339" i="5"/>
  <c r="E2340" i="5"/>
  <c r="S2287" i="5"/>
  <c r="W2287" i="5"/>
  <c r="AA2287" i="5"/>
  <c r="AA149" i="40" s="1"/>
  <c r="P2208" i="5"/>
  <c r="E2653" i="5"/>
  <c r="E2654" i="5"/>
  <c r="E2655" i="5"/>
  <c r="W2674" i="5"/>
  <c r="S2674" i="5"/>
  <c r="S3127" i="5"/>
  <c r="W3127" i="5"/>
  <c r="AA3127" i="5"/>
  <c r="AA218" i="40" s="1"/>
  <c r="W3338" i="5"/>
  <c r="P1533" i="5"/>
  <c r="AA1540" i="5"/>
  <c r="E1708" i="5"/>
  <c r="E1709" i="5"/>
  <c r="E1710" i="5"/>
  <c r="P1554" i="5"/>
  <c r="S1556" i="5" s="1"/>
  <c r="AA1733" i="5"/>
  <c r="P1882" i="5"/>
  <c r="S2002" i="5"/>
  <c r="W2002" i="5"/>
  <c r="AA2002" i="5"/>
  <c r="AA237" i="40" s="1"/>
  <c r="E2091" i="5"/>
  <c r="E2218" i="5"/>
  <c r="E2219" i="5"/>
  <c r="AA2209" i="5" s="1"/>
  <c r="F241" i="40" s="1"/>
  <c r="E2220" i="5"/>
  <c r="P2233" i="5"/>
  <c r="L2234" i="5"/>
  <c r="L2235" i="5"/>
  <c r="S2302" i="5"/>
  <c r="W2302" i="5"/>
  <c r="AA2302" i="5"/>
  <c r="AA187" i="40" s="1"/>
  <c r="W2374" i="5"/>
  <c r="S2374" i="5"/>
  <c r="AA2393" i="5"/>
  <c r="AH202" i="40" s="1"/>
  <c r="S2479" i="5"/>
  <c r="W2479" i="5"/>
  <c r="W2494" i="5"/>
  <c r="S2494" i="5"/>
  <c r="P2590" i="5"/>
  <c r="W2591" i="5" s="1"/>
  <c r="W2347" i="5"/>
  <c r="S2347" i="5"/>
  <c r="AA2347" i="5"/>
  <c r="AA164" i="40" s="1"/>
  <c r="AA2843" i="5"/>
  <c r="AH134" i="40" s="1"/>
  <c r="E2878" i="5"/>
  <c r="E2879" i="5"/>
  <c r="E2880" i="5"/>
  <c r="L3089" i="5"/>
  <c r="L3090" i="5"/>
  <c r="P3088" i="5"/>
  <c r="S3116" i="5"/>
  <c r="W3116" i="5"/>
  <c r="W3158" i="5"/>
  <c r="E3250" i="5"/>
  <c r="W3252" i="5" s="1"/>
  <c r="P1971" i="5"/>
  <c r="P1893" i="5"/>
  <c r="AA1900" i="5"/>
  <c r="AV219" i="40" s="1"/>
  <c r="E2019" i="5"/>
  <c r="W1956" i="5"/>
  <c r="P2036" i="5"/>
  <c r="P2163" i="5"/>
  <c r="AA2170" i="5"/>
  <c r="AV240" i="40" s="1"/>
  <c r="E2181" i="5"/>
  <c r="S2107" i="5"/>
  <c r="W2107" i="5"/>
  <c r="AA2107" i="5"/>
  <c r="AA176" i="40" s="1"/>
  <c r="W2123" i="5"/>
  <c r="S2137" i="5"/>
  <c r="W2137" i="5"/>
  <c r="AA2137" i="5"/>
  <c r="AA162" i="40" s="1"/>
  <c r="P2304" i="5"/>
  <c r="S2317" i="5"/>
  <c r="W2317" i="5"/>
  <c r="AA2317" i="5"/>
  <c r="AA232" i="40" s="1"/>
  <c r="P2578" i="5"/>
  <c r="L2579" i="5"/>
  <c r="L2580" i="5"/>
  <c r="P2561" i="5"/>
  <c r="W2408" i="5"/>
  <c r="S2486" i="5"/>
  <c r="W2486" i="5"/>
  <c r="E2481" i="5"/>
  <c r="W2437" i="5"/>
  <c r="S2437" i="5"/>
  <c r="AA2437" i="5"/>
  <c r="AA234" i="40" s="1"/>
  <c r="S2452" i="5"/>
  <c r="W2452" i="5"/>
  <c r="AA2452" i="5"/>
  <c r="AA211" i="40" s="1"/>
  <c r="W2632" i="5"/>
  <c r="S2632" i="5"/>
  <c r="AA2632" i="5"/>
  <c r="AA245" i="40" s="1"/>
  <c r="P2598" i="5"/>
  <c r="AA2605" i="5"/>
  <c r="AV201" i="40" s="1"/>
  <c r="P2796" i="5"/>
  <c r="P2658" i="5"/>
  <c r="AA2665" i="5"/>
  <c r="AV224" i="40" s="1"/>
  <c r="S2738" i="5"/>
  <c r="P2758" i="5"/>
  <c r="L2759" i="5"/>
  <c r="L2760" i="5"/>
  <c r="P2901" i="5"/>
  <c r="E2888" i="5"/>
  <c r="W2892" i="5" s="1"/>
  <c r="AA3083" i="5"/>
  <c r="AH213" i="40" s="1"/>
  <c r="P3081" i="5"/>
  <c r="P3048" i="5"/>
  <c r="S3026" i="5"/>
  <c r="W3026" i="5"/>
  <c r="S3038" i="5"/>
  <c r="S3232" i="5"/>
  <c r="W3232" i="5"/>
  <c r="AA3232" i="5"/>
  <c r="AA209" i="40" s="1"/>
  <c r="S3306" i="5"/>
  <c r="P3247" i="5"/>
  <c r="P3415" i="5"/>
  <c r="P3336" i="5"/>
  <c r="P1616" i="5"/>
  <c r="AA1703" i="5"/>
  <c r="P1735" i="5"/>
  <c r="P1887" i="5"/>
  <c r="S1886" i="5"/>
  <c r="W1886" i="5"/>
  <c r="AA1973" i="5"/>
  <c r="AH152" i="40" s="1"/>
  <c r="W1913" i="5"/>
  <c r="E1911" i="5"/>
  <c r="S1988" i="5"/>
  <c r="AA1838" i="5"/>
  <c r="E1838" i="5"/>
  <c r="P1924" i="5"/>
  <c r="P2013" i="5"/>
  <c r="S1811" i="5"/>
  <c r="W1811" i="5"/>
  <c r="BC89" i="40" s="1"/>
  <c r="AA1811" i="5"/>
  <c r="E1869" i="5"/>
  <c r="W1872" i="5" s="1"/>
  <c r="BF113" i="40" s="1"/>
  <c r="P1869" i="5"/>
  <c r="P2051" i="5"/>
  <c r="S2051" i="5" s="1"/>
  <c r="P2089" i="5"/>
  <c r="P2097" i="5"/>
  <c r="P2166" i="5"/>
  <c r="P2253" i="5"/>
  <c r="S2258" i="5"/>
  <c r="P2332" i="5"/>
  <c r="S2227" i="5"/>
  <c r="W2227" i="5"/>
  <c r="AA2227" i="5"/>
  <c r="AA242" i="40" s="1"/>
  <c r="P2318" i="5"/>
  <c r="P2382" i="5"/>
  <c r="S2381" i="5"/>
  <c r="W2381" i="5"/>
  <c r="AA2381" i="5"/>
  <c r="BC243" i="40" s="1"/>
  <c r="P2548" i="5"/>
  <c r="L2549" i="5"/>
  <c r="L2550" i="5"/>
  <c r="P2560" i="5"/>
  <c r="P2398" i="5"/>
  <c r="L2399" i="5"/>
  <c r="L2400" i="5"/>
  <c r="L2354" i="5"/>
  <c r="L2355" i="5"/>
  <c r="P2353" i="5"/>
  <c r="P2628" i="5"/>
  <c r="E2634" i="5"/>
  <c r="W2637" i="5" s="1"/>
  <c r="P2709" i="5"/>
  <c r="S2798" i="5"/>
  <c r="E2901" i="5"/>
  <c r="W2902" i="5"/>
  <c r="S2902" i="5"/>
  <c r="AA2902" i="5"/>
  <c r="AA191" i="40" s="1"/>
  <c r="AA2888" i="5"/>
  <c r="AH166" i="40" s="1"/>
  <c r="P2938" i="5"/>
  <c r="L2939" i="5"/>
  <c r="L2940" i="5"/>
  <c r="S2932" i="5"/>
  <c r="W2932" i="5"/>
  <c r="AA2932" i="5"/>
  <c r="AA230" i="40" s="1"/>
  <c r="P3146" i="5"/>
  <c r="E3217" i="5"/>
  <c r="E3161" i="5"/>
  <c r="P3173" i="5"/>
  <c r="S3176" i="5" s="1"/>
  <c r="P3354" i="5"/>
  <c r="E3327" i="5"/>
  <c r="E1542" i="5"/>
  <c r="S1627" i="5"/>
  <c r="W1627" i="5"/>
  <c r="AA123" i="40" s="1"/>
  <c r="AA1627" i="5"/>
  <c r="E1702" i="5"/>
  <c r="P1641" i="5"/>
  <c r="E2065" i="5"/>
  <c r="P1918" i="5"/>
  <c r="L1919" i="5"/>
  <c r="L1920" i="5"/>
  <c r="P1986" i="5"/>
  <c r="S2003" i="5"/>
  <c r="P1923" i="5"/>
  <c r="P1858" i="5"/>
  <c r="L1859" i="5"/>
  <c r="L1860" i="5"/>
  <c r="E1960" i="5"/>
  <c r="E2031" i="5"/>
  <c r="P2150" i="5"/>
  <c r="S2153" i="5"/>
  <c r="P2179" i="5"/>
  <c r="P2187" i="5"/>
  <c r="P2256" i="5"/>
  <c r="P2128" i="5"/>
  <c r="L2129" i="5"/>
  <c r="L2130" i="5"/>
  <c r="P2141" i="5"/>
  <c r="W2141" i="5" s="1"/>
  <c r="P2230" i="5"/>
  <c r="P2316" i="5"/>
  <c r="P2471" i="5"/>
  <c r="E2397" i="5"/>
  <c r="P2411" i="5"/>
  <c r="S2411" i="5" s="1"/>
  <c r="P2488" i="5"/>
  <c r="L2489" i="5"/>
  <c r="L2490" i="5"/>
  <c r="P2493" i="5"/>
  <c r="AA2500" i="5"/>
  <c r="AV159" i="40" s="1"/>
  <c r="P2425" i="5"/>
  <c r="P2364" i="5"/>
  <c r="E2728" i="5"/>
  <c r="E2729" i="5"/>
  <c r="AA2719" i="5" s="1"/>
  <c r="F259" i="40" s="1"/>
  <c r="E2730" i="5"/>
  <c r="W2648" i="5"/>
  <c r="E2798" i="5"/>
  <c r="P2797" i="5"/>
  <c r="W2813" i="5"/>
  <c r="P2815" i="5"/>
  <c r="P2906" i="5"/>
  <c r="P2900" i="5"/>
  <c r="P2907" i="5"/>
  <c r="S2873" i="5"/>
  <c r="P2932" i="5"/>
  <c r="P2916" i="5"/>
  <c r="E3013" i="5"/>
  <c r="E3014" i="5"/>
  <c r="E3015" i="5"/>
  <c r="P3080" i="5"/>
  <c r="P3147" i="5"/>
  <c r="E3057" i="5"/>
  <c r="P3065" i="5"/>
  <c r="E2995" i="5"/>
  <c r="E3189" i="5"/>
  <c r="P3130" i="5"/>
  <c r="P3324" i="5"/>
  <c r="E3322" i="5"/>
  <c r="P3342" i="5"/>
  <c r="P1534" i="5"/>
  <c r="P1617" i="5"/>
  <c r="P1628" i="5"/>
  <c r="P1715" i="5"/>
  <c r="P1789" i="5"/>
  <c r="S1551" i="5"/>
  <c r="P1734" i="5"/>
  <c r="P1824" i="5"/>
  <c r="S1972" i="5"/>
  <c r="W1972" i="5"/>
  <c r="AA1972" i="5"/>
  <c r="AA152" i="40" s="1"/>
  <c r="W1897" i="5"/>
  <c r="S1897" i="5"/>
  <c r="AA1897" i="5"/>
  <c r="AA219" i="40" s="1"/>
  <c r="S1837" i="5"/>
  <c r="W1837" i="5"/>
  <c r="AA116" i="40" s="1"/>
  <c r="AA1837" i="5"/>
  <c r="P1857" i="5"/>
  <c r="S1853" i="5"/>
  <c r="W1868" i="5"/>
  <c r="AH113" i="40" s="1"/>
  <c r="P2245" i="5"/>
  <c r="E2172" i="5"/>
  <c r="E2258" i="5"/>
  <c r="AA2198" i="5"/>
  <c r="AH167" i="40" s="1"/>
  <c r="P2284" i="5"/>
  <c r="P2301" i="5"/>
  <c r="W2573" i="5"/>
  <c r="P2542" i="5"/>
  <c r="P2556" i="5"/>
  <c r="S2618" i="5"/>
  <c r="E2398" i="5"/>
  <c r="E2399" i="5"/>
  <c r="E2400" i="5"/>
  <c r="S2407" i="5"/>
  <c r="W2407" i="5"/>
  <c r="AA2407" i="5"/>
  <c r="AA171" i="40" s="1"/>
  <c r="P2586" i="5"/>
  <c r="AA2423" i="5"/>
  <c r="AH138" i="40" s="1"/>
  <c r="P2516" i="5"/>
  <c r="P2525" i="5"/>
  <c r="S2633" i="5"/>
  <c r="P2604" i="5"/>
  <c r="P2698" i="5"/>
  <c r="L2699" i="5"/>
  <c r="L2700" i="5"/>
  <c r="P2653" i="5"/>
  <c r="L2654" i="5"/>
  <c r="L2655" i="5"/>
  <c r="P2677" i="5"/>
  <c r="E2677" i="5"/>
  <c r="P2736" i="5"/>
  <c r="E2752" i="5"/>
  <c r="P2772" i="5"/>
  <c r="E2903" i="5"/>
  <c r="E2948" i="5"/>
  <c r="W2952" i="5" s="1"/>
  <c r="P2875" i="5"/>
  <c r="P2891" i="5"/>
  <c r="S2887" i="5"/>
  <c r="W2887" i="5"/>
  <c r="AA2887" i="5"/>
  <c r="AA166" i="40" s="1"/>
  <c r="P2936" i="5"/>
  <c r="P2982" i="5"/>
  <c r="P3010" i="5"/>
  <c r="S3011" i="5" s="1"/>
  <c r="S2993" i="5"/>
  <c r="S3188" i="5"/>
  <c r="P3021" i="5"/>
  <c r="E3029" i="5"/>
  <c r="AA3019" i="5" s="1"/>
  <c r="F161" i="40" s="1"/>
  <c r="E3030" i="5"/>
  <c r="E3028" i="5"/>
  <c r="P3040" i="5"/>
  <c r="S3041" i="5" s="1"/>
  <c r="P3237" i="5"/>
  <c r="E3158" i="5"/>
  <c r="W3162" i="5" s="1"/>
  <c r="P3249" i="5"/>
  <c r="E3328" i="5"/>
  <c r="E3329" i="5"/>
  <c r="E3330" i="5"/>
  <c r="S3341" i="5"/>
  <c r="W3341" i="5"/>
  <c r="P3763" i="5"/>
  <c r="L3764" i="5"/>
  <c r="L3765" i="5"/>
  <c r="L3614" i="5"/>
  <c r="L3615" i="5"/>
  <c r="P3613" i="5"/>
  <c r="S3772" i="5"/>
  <c r="W3772" i="5"/>
  <c r="AA3772" i="5"/>
  <c r="AA182" i="40" s="1"/>
  <c r="P3738" i="5"/>
  <c r="AA3745" i="5"/>
  <c r="AV214" i="40" s="1"/>
  <c r="E3398" i="5"/>
  <c r="S3457" i="5"/>
  <c r="W3457" i="5"/>
  <c r="AA3457" i="5"/>
  <c r="AA142" i="40" s="1"/>
  <c r="P3371" i="5"/>
  <c r="S3577" i="5"/>
  <c r="W3577" i="5"/>
  <c r="AA3577" i="5"/>
  <c r="AA181" i="40" s="1"/>
  <c r="P3640" i="5"/>
  <c r="W3818" i="5"/>
  <c r="P3381" i="5"/>
  <c r="S3473" i="5"/>
  <c r="P3447" i="5"/>
  <c r="S3589" i="5"/>
  <c r="W3589" i="5"/>
  <c r="S3503" i="5"/>
  <c r="P3513" i="5"/>
  <c r="AA3520" i="5"/>
  <c r="P3683" i="5"/>
  <c r="P3717" i="5"/>
  <c r="E3833" i="5"/>
  <c r="AA3837" i="5" s="1"/>
  <c r="BF175" i="40" s="1"/>
  <c r="W3837" i="5"/>
  <c r="S3383" i="5"/>
  <c r="S3472" i="5"/>
  <c r="W3472" i="5"/>
  <c r="AA3472" i="5"/>
  <c r="AA177" i="40" s="1"/>
  <c r="E3445" i="5"/>
  <c r="E3533" i="5"/>
  <c r="AA3537" i="5" s="1"/>
  <c r="BF169" i="40" s="1"/>
  <c r="P3545" i="5"/>
  <c r="E3503" i="5"/>
  <c r="E3628" i="5"/>
  <c r="E3629" i="5"/>
  <c r="AA3619" i="5" s="1"/>
  <c r="F255" i="40" s="1"/>
  <c r="E3630" i="5"/>
  <c r="P3638" i="5"/>
  <c r="S3716" i="5"/>
  <c r="W3716" i="5"/>
  <c r="W3712" i="5"/>
  <c r="S3712" i="5"/>
  <c r="AA3712" i="5"/>
  <c r="AA186" i="40" s="1"/>
  <c r="E3698" i="5"/>
  <c r="AA3702" i="5" s="1"/>
  <c r="BF133" i="40" s="1"/>
  <c r="S3697" i="5"/>
  <c r="W3697" i="5"/>
  <c r="AA3697" i="5"/>
  <c r="AA133" i="40" s="1"/>
  <c r="P3742" i="5"/>
  <c r="P3860" i="5"/>
  <c r="P3851" i="5"/>
  <c r="E3293" i="5"/>
  <c r="AA3488" i="5"/>
  <c r="AH137" i="40" s="1"/>
  <c r="P3446" i="5"/>
  <c r="P3363" i="5"/>
  <c r="AA3370" i="5"/>
  <c r="AV252" i="40" s="1"/>
  <c r="P3567" i="5"/>
  <c r="E3532" i="5"/>
  <c r="E3546" i="5"/>
  <c r="P3686" i="5"/>
  <c r="P3754" i="5"/>
  <c r="P3756" i="5"/>
  <c r="AA3668" i="5"/>
  <c r="AH158" i="40" s="1"/>
  <c r="P3814" i="5"/>
  <c r="E3791" i="5"/>
  <c r="E3788" i="5"/>
  <c r="AA3792" i="5" s="1"/>
  <c r="BF130" i="40" s="1"/>
  <c r="W3792" i="5"/>
  <c r="P3748" i="5"/>
  <c r="L3749" i="5"/>
  <c r="L3750" i="5"/>
  <c r="P3805" i="5"/>
  <c r="E3865" i="5"/>
  <c r="P3281" i="5"/>
  <c r="E3389" i="5"/>
  <c r="E3390" i="5"/>
  <c r="E3388" i="5"/>
  <c r="P3461" i="5"/>
  <c r="P3579" i="5"/>
  <c r="E3593" i="5"/>
  <c r="AA3597" i="5" s="1"/>
  <c r="BF233" i="40" s="1"/>
  <c r="W3593" i="5"/>
  <c r="E3502" i="5"/>
  <c r="E3521" i="5"/>
  <c r="P3680" i="5"/>
  <c r="P3639" i="5"/>
  <c r="P3759" i="5"/>
  <c r="P3708" i="5"/>
  <c r="AA3715" i="5"/>
  <c r="AV186" i="40" s="1"/>
  <c r="S3611" i="5"/>
  <c r="W3611" i="5"/>
  <c r="P3747" i="5"/>
  <c r="E3743" i="5"/>
  <c r="AA3747" i="5" s="1"/>
  <c r="BF214" i="40" s="1"/>
  <c r="W3747" i="5"/>
  <c r="P3865" i="5"/>
  <c r="P3836" i="5"/>
  <c r="S51" i="5"/>
  <c r="T19" i="40" s="1"/>
  <c r="W231" i="5"/>
  <c r="S411" i="5"/>
  <c r="T69" i="40" s="1"/>
  <c r="E131" i="5"/>
  <c r="S546" i="5"/>
  <c r="T62" i="40" s="1"/>
  <c r="W726" i="5"/>
  <c r="S906" i="5"/>
  <c r="T57" i="40" s="1"/>
  <c r="E1169" i="5"/>
  <c r="E1170" i="5"/>
  <c r="E1168" i="5"/>
  <c r="E1523" i="5"/>
  <c r="AA1527" i="5" s="1"/>
  <c r="W1527" i="5"/>
  <c r="BF99" i="40" s="1"/>
  <c r="E1596" i="5"/>
  <c r="E355" i="5"/>
  <c r="W486" i="5"/>
  <c r="E1225" i="5"/>
  <c r="E1434" i="5"/>
  <c r="E1193" i="5"/>
  <c r="W1197" i="5" s="1"/>
  <c r="BF97" i="40" s="1"/>
  <c r="E1585" i="5"/>
  <c r="E1752" i="5"/>
  <c r="E1778" i="5"/>
  <c r="AA1782" i="5" s="1"/>
  <c r="E248" i="5"/>
  <c r="AA252" i="5" s="1"/>
  <c r="E253" i="5"/>
  <c r="E254" i="5"/>
  <c r="E255" i="5"/>
  <c r="W6" i="5"/>
  <c r="W186" i="5"/>
  <c r="S366" i="5"/>
  <c r="T55" i="40" s="1"/>
  <c r="E923" i="5"/>
  <c r="AA927" i="5" s="1"/>
  <c r="E939" i="5"/>
  <c r="E609" i="5"/>
  <c r="E880" i="5"/>
  <c r="E1135" i="5"/>
  <c r="E1401" i="5"/>
  <c r="E1255" i="5"/>
  <c r="W1257" i="5" s="1"/>
  <c r="BF125" i="40" s="1"/>
  <c r="S1266" i="5"/>
  <c r="S1281" i="5"/>
  <c r="E1477" i="5"/>
  <c r="W1686" i="5"/>
  <c r="T94" i="40" s="1"/>
  <c r="E174" i="5"/>
  <c r="W177" i="5" s="1"/>
  <c r="E358" i="5"/>
  <c r="E359" i="5"/>
  <c r="AA349" i="5" s="1"/>
  <c r="E360" i="5"/>
  <c r="E7" i="5"/>
  <c r="E389" i="5"/>
  <c r="AA379" i="5" s="1"/>
  <c r="E390" i="5"/>
  <c r="E388" i="5"/>
  <c r="E52" i="5"/>
  <c r="E322" i="5"/>
  <c r="E550" i="5"/>
  <c r="E730" i="5"/>
  <c r="E910" i="5"/>
  <c r="E652" i="5"/>
  <c r="E847" i="5"/>
  <c r="E501" i="5"/>
  <c r="E593" i="5"/>
  <c r="W597" i="5" s="1"/>
  <c r="S681" i="5"/>
  <c r="T50" i="40" s="1"/>
  <c r="S771" i="5"/>
  <c r="T48" i="40" s="1"/>
  <c r="E867" i="5"/>
  <c r="E516" i="5"/>
  <c r="E714" i="5"/>
  <c r="E792" i="5"/>
  <c r="E896" i="5"/>
  <c r="E1045" i="5"/>
  <c r="E1311" i="5"/>
  <c r="E1074" i="5"/>
  <c r="E1342" i="5"/>
  <c r="E1439" i="5"/>
  <c r="E1440" i="5"/>
  <c r="E1438" i="5"/>
  <c r="S1176" i="5"/>
  <c r="E1123" i="5"/>
  <c r="E1124" i="5"/>
  <c r="E1125" i="5"/>
  <c r="E1299" i="5"/>
  <c r="E1377" i="5"/>
  <c r="E1526" i="5"/>
  <c r="W1881" i="5"/>
  <c r="E2333" i="5"/>
  <c r="AA2337" i="5" s="1"/>
  <c r="BF220" i="40" s="1"/>
  <c r="E2623" i="5"/>
  <c r="E2624" i="5"/>
  <c r="E2625" i="5"/>
  <c r="E2961" i="5"/>
  <c r="E1813" i="5"/>
  <c r="E1814" i="5"/>
  <c r="AA1804" i="5" s="1"/>
  <c r="E1815" i="5"/>
  <c r="E2094" i="5"/>
  <c r="E2123" i="5"/>
  <c r="AA2127" i="5" s="1"/>
  <c r="BF154" i="40" s="1"/>
  <c r="S2556" i="5"/>
  <c r="E2593" i="5"/>
  <c r="E2594" i="5"/>
  <c r="E2595" i="5"/>
  <c r="E3008" i="5"/>
  <c r="AA3012" i="5" s="1"/>
  <c r="BF183" i="40" s="1"/>
  <c r="E1703" i="5"/>
  <c r="AA1707" i="5" s="1"/>
  <c r="W1941" i="5"/>
  <c r="E2470" i="5"/>
  <c r="W2361" i="5"/>
  <c r="E2786" i="5"/>
  <c r="E2906" i="5"/>
  <c r="E1633" i="5"/>
  <c r="E1634" i="5"/>
  <c r="E1635" i="5"/>
  <c r="E1826" i="5"/>
  <c r="E2242" i="5"/>
  <c r="E2257" i="5"/>
  <c r="E2286" i="5"/>
  <c r="S2301" i="5"/>
  <c r="E2467" i="5"/>
  <c r="E2622" i="5"/>
  <c r="E2511" i="5"/>
  <c r="W2691" i="5"/>
  <c r="E2817" i="5"/>
  <c r="E2936" i="5"/>
  <c r="E3083" i="5"/>
  <c r="AA3087" i="5" s="1"/>
  <c r="BF213" i="40" s="1"/>
  <c r="W3087" i="5"/>
  <c r="E3073" i="5"/>
  <c r="E3074" i="5"/>
  <c r="E3075" i="5"/>
  <c r="E1723" i="5"/>
  <c r="E1724" i="5"/>
  <c r="E1725" i="5"/>
  <c r="E1641" i="5"/>
  <c r="S2061" i="5"/>
  <c r="E1854" i="5"/>
  <c r="E2097" i="5"/>
  <c r="E2141" i="5"/>
  <c r="E2320" i="5"/>
  <c r="E2556" i="5"/>
  <c r="W2481" i="5"/>
  <c r="E2592" i="5"/>
  <c r="E2367" i="5"/>
  <c r="E2438" i="5"/>
  <c r="AA2442" i="5" s="1"/>
  <c r="BF234" i="40" s="1"/>
  <c r="W2442" i="5"/>
  <c r="W2721" i="5"/>
  <c r="S2661" i="5"/>
  <c r="E2738" i="5"/>
  <c r="AA2742" i="5" s="1"/>
  <c r="BF205" i="40" s="1"/>
  <c r="W2742" i="5"/>
  <c r="E2813" i="5"/>
  <c r="E2842" i="5"/>
  <c r="E2952" i="5"/>
  <c r="E2965" i="5"/>
  <c r="E2857" i="5"/>
  <c r="S2871" i="5"/>
  <c r="E2932" i="5"/>
  <c r="E2919" i="5"/>
  <c r="E3053" i="5"/>
  <c r="AA3057" i="5" s="1"/>
  <c r="BF128" i="40" s="1"/>
  <c r="E3025" i="5"/>
  <c r="E3220" i="5"/>
  <c r="W3171" i="5"/>
  <c r="E3417" i="5"/>
  <c r="E3561" i="5"/>
  <c r="E3403" i="5"/>
  <c r="E3404" i="5"/>
  <c r="E3405" i="5"/>
  <c r="W3456" i="5"/>
  <c r="E3432" i="5"/>
  <c r="E3448" i="5"/>
  <c r="E3449" i="5"/>
  <c r="E3450" i="5"/>
  <c r="E3681" i="5"/>
  <c r="S3621" i="5"/>
  <c r="E3299" i="5"/>
  <c r="E3300" i="5"/>
  <c r="E3298" i="5"/>
  <c r="E3428" i="5"/>
  <c r="AA3432" i="5" s="1"/>
  <c r="BF147" i="40" s="1"/>
  <c r="E3535" i="5"/>
  <c r="W3651" i="5"/>
  <c r="E3761" i="5"/>
  <c r="E3606" i="5"/>
  <c r="E3702" i="5"/>
  <c r="AE54" i="40"/>
  <c r="AE22" i="40"/>
  <c r="AE58" i="40"/>
  <c r="AE14" i="40"/>
  <c r="AE20" i="40"/>
  <c r="AE28" i="40"/>
  <c r="J30" i="40"/>
  <c r="AE12" i="40"/>
  <c r="J8" i="40"/>
  <c r="AE65" i="40"/>
  <c r="AE33" i="40"/>
  <c r="J27" i="40"/>
  <c r="AE59" i="40"/>
  <c r="R55" i="40"/>
  <c r="AE37" i="40"/>
  <c r="P78" i="5"/>
  <c r="AA85" i="5"/>
  <c r="S337" i="5"/>
  <c r="AA54" i="40" s="1"/>
  <c r="W337" i="5"/>
  <c r="AA337" i="5"/>
  <c r="P93" i="5"/>
  <c r="AA100" i="5"/>
  <c r="P100" i="5"/>
  <c r="P598" i="5"/>
  <c r="L599" i="5"/>
  <c r="L600" i="5"/>
  <c r="P693" i="5"/>
  <c r="AA700" i="5"/>
  <c r="E893" i="5"/>
  <c r="W1331" i="5"/>
  <c r="BC77" i="40" s="1"/>
  <c r="S1331" i="5"/>
  <c r="S1414" i="5"/>
  <c r="W1414" i="5"/>
  <c r="F72" i="40" s="1"/>
  <c r="S1267" i="5"/>
  <c r="W1267" i="5"/>
  <c r="AA85" i="40" s="1"/>
  <c r="AA1267" i="5"/>
  <c r="E1118" i="5"/>
  <c r="W1122" i="5" s="1"/>
  <c r="BF119" i="40" s="1"/>
  <c r="S1207" i="5"/>
  <c r="W1207" i="5"/>
  <c r="AA105" i="40" s="1"/>
  <c r="AA1207" i="5"/>
  <c r="P1288" i="5"/>
  <c r="L1289" i="5"/>
  <c r="L1290" i="5"/>
  <c r="S1766" i="5"/>
  <c r="W1766" i="5"/>
  <c r="BC92" i="40" s="1"/>
  <c r="AA1766" i="5"/>
  <c r="W154" i="5"/>
  <c r="S154" i="5"/>
  <c r="F25" i="40" s="1"/>
  <c r="P33" i="5"/>
  <c r="AA40" i="5"/>
  <c r="E553" i="5"/>
  <c r="E554" i="5"/>
  <c r="AA544" i="5" s="1"/>
  <c r="E555" i="5"/>
  <c r="E479" i="5"/>
  <c r="AA469" i="5" s="1"/>
  <c r="E480" i="5"/>
  <c r="E478" i="5"/>
  <c r="W578" i="5"/>
  <c r="AA653" i="5"/>
  <c r="S923" i="5"/>
  <c r="AH12" i="40" s="1"/>
  <c r="S682" i="5"/>
  <c r="AA50" i="40" s="1"/>
  <c r="W682" i="5"/>
  <c r="AA682" i="5"/>
  <c r="W952" i="5"/>
  <c r="S952" i="5"/>
  <c r="AA67" i="40" s="1"/>
  <c r="AA952" i="5"/>
  <c r="P528" i="5"/>
  <c r="AA535" i="5"/>
  <c r="E973" i="5"/>
  <c r="E974" i="5"/>
  <c r="E975" i="5"/>
  <c r="W1493" i="5"/>
  <c r="AH107" i="40" s="1"/>
  <c r="S1072" i="5"/>
  <c r="W1072" i="5"/>
  <c r="AA91" i="40" s="1"/>
  <c r="AA1072" i="5"/>
  <c r="P1152" i="5"/>
  <c r="W1343" i="5"/>
  <c r="AH73" i="40" s="1"/>
  <c r="W1421" i="5"/>
  <c r="BC72" i="40" s="1"/>
  <c r="S1421" i="5"/>
  <c r="P1173" i="5"/>
  <c r="AA1180" i="5"/>
  <c r="P1121" i="5"/>
  <c r="E1208" i="5"/>
  <c r="L1484" i="5"/>
  <c r="L1485" i="5"/>
  <c r="P1483" i="5"/>
  <c r="E1678" i="5"/>
  <c r="E1679" i="5"/>
  <c r="S1669" i="5" s="1"/>
  <c r="E1680" i="5"/>
  <c r="S1762" i="5"/>
  <c r="W1762" i="5"/>
  <c r="AA92" i="40" s="1"/>
  <c r="AA1762" i="5"/>
  <c r="P1596" i="5"/>
  <c r="P1783" i="5"/>
  <c r="L1784" i="5"/>
  <c r="L1785" i="5"/>
  <c r="W83" i="5"/>
  <c r="E158" i="5"/>
  <c r="W162" i="5" s="1"/>
  <c r="P168" i="5"/>
  <c r="AA175" i="5"/>
  <c r="W353" i="5"/>
  <c r="E428" i="5"/>
  <c r="P438" i="5"/>
  <c r="AA445" i="5"/>
  <c r="P283" i="5"/>
  <c r="L284" i="5"/>
  <c r="L285" i="5"/>
  <c r="P200" i="5"/>
  <c r="P54" i="5"/>
  <c r="S56" i="5" s="1"/>
  <c r="BC19" i="40" s="1"/>
  <c r="P144" i="5"/>
  <c r="W146" i="5" s="1"/>
  <c r="P234" i="5"/>
  <c r="P324" i="5"/>
  <c r="P414" i="5"/>
  <c r="P727" i="5"/>
  <c r="E582" i="5"/>
  <c r="W739" i="5"/>
  <c r="S739" i="5"/>
  <c r="F8" i="40" s="1"/>
  <c r="E505" i="5"/>
  <c r="W859" i="5"/>
  <c r="S859" i="5"/>
  <c r="F18" i="40" s="1"/>
  <c r="P604" i="5"/>
  <c r="P874" i="5"/>
  <c r="P1218" i="5"/>
  <c r="AA1225" i="5"/>
  <c r="P1310" i="5"/>
  <c r="P1057" i="5"/>
  <c r="P1144" i="5"/>
  <c r="E1431" i="5"/>
  <c r="P1083" i="5"/>
  <c r="AA1090" i="5"/>
  <c r="S1361" i="5"/>
  <c r="W1361" i="5"/>
  <c r="BC100" i="40" s="1"/>
  <c r="S1448" i="5"/>
  <c r="E1452" i="5"/>
  <c r="P1105" i="5"/>
  <c r="P1211" i="5"/>
  <c r="S1211" i="5" s="1"/>
  <c r="P1280" i="5"/>
  <c r="S1372" i="5"/>
  <c r="W1372" i="5"/>
  <c r="AA121" i="40" s="1"/>
  <c r="AA1372" i="5"/>
  <c r="P1387" i="5"/>
  <c r="P1385" i="5"/>
  <c r="S1598" i="5"/>
  <c r="P1782" i="5"/>
  <c r="P154" i="5"/>
  <c r="P248" i="5"/>
  <c r="S251" i="5" s="1"/>
  <c r="BC28" i="40" s="1"/>
  <c r="S187" i="5"/>
  <c r="AA10" i="40" s="1"/>
  <c r="W187" i="5"/>
  <c r="AA187" i="5"/>
  <c r="E283" i="5"/>
  <c r="W282" i="5" s="1"/>
  <c r="E284" i="5"/>
  <c r="AA274" i="5" s="1"/>
  <c r="E285" i="5"/>
  <c r="P372" i="5"/>
  <c r="P37" i="5"/>
  <c r="E130" i="5"/>
  <c r="S292" i="5"/>
  <c r="AA44" i="40" s="1"/>
  <c r="W292" i="5"/>
  <c r="AA292" i="5"/>
  <c r="P48" i="5"/>
  <c r="AA55" i="5"/>
  <c r="P237" i="5"/>
  <c r="E328" i="5"/>
  <c r="E329" i="5"/>
  <c r="E330" i="5"/>
  <c r="S412" i="5"/>
  <c r="AA69" i="40" s="1"/>
  <c r="W412" i="5"/>
  <c r="AA412" i="5"/>
  <c r="P823" i="5"/>
  <c r="L824" i="5"/>
  <c r="L825" i="5"/>
  <c r="P995" i="5"/>
  <c r="AA473" i="5"/>
  <c r="P658" i="5"/>
  <c r="L659" i="5"/>
  <c r="L660" i="5"/>
  <c r="E741" i="5"/>
  <c r="P760" i="5"/>
  <c r="AA938" i="5"/>
  <c r="E506" i="5"/>
  <c r="E596" i="5"/>
  <c r="E686" i="5"/>
  <c r="E776" i="5"/>
  <c r="W777" i="5" s="1"/>
  <c r="E866" i="5"/>
  <c r="E956" i="5"/>
  <c r="W533" i="5"/>
  <c r="P716" i="5"/>
  <c r="W716" i="5" s="1"/>
  <c r="E894" i="5"/>
  <c r="W897" i="5" s="1"/>
  <c r="P894" i="5"/>
  <c r="P979" i="5"/>
  <c r="L1049" i="5"/>
  <c r="L1050" i="5"/>
  <c r="P1048" i="5"/>
  <c r="W1402" i="5"/>
  <c r="AA111" i="40" s="1"/>
  <c r="S1402" i="5"/>
  <c r="AA1402" i="5"/>
  <c r="W1061" i="5"/>
  <c r="BC104" i="40" s="1"/>
  <c r="S1061" i="5"/>
  <c r="P1163" i="5"/>
  <c r="P1438" i="5"/>
  <c r="L1439" i="5"/>
  <c r="L1440" i="5"/>
  <c r="S1358" i="5"/>
  <c r="W1508" i="5"/>
  <c r="AH71" i="40" s="1"/>
  <c r="S1012" i="5"/>
  <c r="AA29" i="40" s="1"/>
  <c r="W1012" i="5"/>
  <c r="AA1012" i="5"/>
  <c r="P1113" i="5"/>
  <c r="AA1120" i="5"/>
  <c r="P1195" i="5"/>
  <c r="P1294" i="5"/>
  <c r="E1378" i="5"/>
  <c r="E1379" i="5"/>
  <c r="E1380" i="5"/>
  <c r="P1376" i="5"/>
  <c r="E1388" i="5"/>
  <c r="W1478" i="5"/>
  <c r="AH122" i="40" s="1"/>
  <c r="L1574" i="5"/>
  <c r="L1575" i="5"/>
  <c r="P1573" i="5"/>
  <c r="S1673" i="5"/>
  <c r="E1694" i="5"/>
  <c r="E1695" i="5"/>
  <c r="E1693" i="5"/>
  <c r="S1774" i="5"/>
  <c r="W1774" i="5"/>
  <c r="F98" i="40" s="1"/>
  <c r="P71" i="5"/>
  <c r="P258" i="5"/>
  <c r="AA265" i="5"/>
  <c r="P263" i="5"/>
  <c r="P341" i="5"/>
  <c r="E442" i="5"/>
  <c r="P97" i="5"/>
  <c r="P188" i="5"/>
  <c r="E462" i="5"/>
  <c r="E463" i="5"/>
  <c r="E464" i="5"/>
  <c r="E465" i="5"/>
  <c r="P20" i="5"/>
  <c r="E38" i="5"/>
  <c r="AA42" i="5" s="1"/>
  <c r="W42" i="5"/>
  <c r="P118" i="5"/>
  <c r="L119" i="5"/>
  <c r="L120" i="5"/>
  <c r="AA203" i="5"/>
  <c r="P205" i="5"/>
  <c r="S206" i="5" s="1"/>
  <c r="BC21" i="40" s="1"/>
  <c r="P294" i="5"/>
  <c r="P310" i="5"/>
  <c r="S311" i="5" s="1"/>
  <c r="BC49" i="40" s="1"/>
  <c r="P401" i="5"/>
  <c r="W401" i="5" s="1"/>
  <c r="P232" i="5"/>
  <c r="AA233" i="5"/>
  <c r="P323" i="5"/>
  <c r="W323" i="5"/>
  <c r="P410" i="5"/>
  <c r="S413" i="5"/>
  <c r="AH69" i="40" s="1"/>
  <c r="P633" i="5"/>
  <c r="AA640" i="5"/>
  <c r="P732" i="5"/>
  <c r="S731" i="5" s="1"/>
  <c r="BC16" i="40" s="1"/>
  <c r="W731" i="5"/>
  <c r="P903" i="5"/>
  <c r="AA910" i="5"/>
  <c r="E1002" i="5"/>
  <c r="S577" i="5"/>
  <c r="AA38" i="40" s="1"/>
  <c r="W577" i="5"/>
  <c r="AA577" i="5"/>
  <c r="S652" i="5"/>
  <c r="AA7" i="40" s="1"/>
  <c r="W652" i="5"/>
  <c r="AA652" i="5"/>
  <c r="S847" i="5"/>
  <c r="AA9" i="40" s="1"/>
  <c r="W847" i="5"/>
  <c r="AA847" i="5"/>
  <c r="S922" i="5"/>
  <c r="AA12" i="40" s="1"/>
  <c r="W922" i="5"/>
  <c r="AA922" i="5"/>
  <c r="P505" i="5"/>
  <c r="P591" i="5"/>
  <c r="S686" i="5"/>
  <c r="BC50" i="40" s="1"/>
  <c r="W686" i="5"/>
  <c r="P603" i="5"/>
  <c r="AA610" i="5"/>
  <c r="P694" i="5"/>
  <c r="P882" i="5"/>
  <c r="W878" i="5"/>
  <c r="P1047" i="5"/>
  <c r="S1046" i="5"/>
  <c r="W1046" i="5"/>
  <c r="BC83" i="40" s="1"/>
  <c r="AA1133" i="5"/>
  <c r="E1318" i="5"/>
  <c r="E1319" i="5"/>
  <c r="AA1309" i="5" s="1"/>
  <c r="E1320" i="5"/>
  <c r="L1499" i="5"/>
  <c r="L1500" i="5"/>
  <c r="P1498" i="5"/>
  <c r="E1152" i="5"/>
  <c r="W1146" i="5"/>
  <c r="T81" i="40" s="1"/>
  <c r="P1161" i="5"/>
  <c r="P1255" i="5"/>
  <c r="E1333" i="5"/>
  <c r="E1334" i="5"/>
  <c r="AA1324" i="5" s="1"/>
  <c r="E1335" i="5"/>
  <c r="S1181" i="5"/>
  <c r="W1181" i="5"/>
  <c r="BC114" i="40" s="1"/>
  <c r="S1268" i="5"/>
  <c r="P1443" i="5"/>
  <c r="AA1450" i="5"/>
  <c r="E1012" i="5"/>
  <c r="E1213" i="5"/>
  <c r="E1214" i="5"/>
  <c r="AA1204" i="5" s="1"/>
  <c r="E1215" i="5"/>
  <c r="P1391" i="5"/>
  <c r="W1391" i="5" s="1"/>
  <c r="BC88" i="40" s="1"/>
  <c r="E1462" i="5"/>
  <c r="P1528" i="5"/>
  <c r="L1529" i="5"/>
  <c r="L1530" i="5"/>
  <c r="AA1568" i="5"/>
  <c r="E1581" i="5"/>
  <c r="E1673" i="5"/>
  <c r="P1602" i="5"/>
  <c r="P68" i="5"/>
  <c r="S71" i="5" s="1"/>
  <c r="BC39" i="40" s="1"/>
  <c r="E162" i="5"/>
  <c r="P175" i="5"/>
  <c r="P246" i="5"/>
  <c r="E266" i="5"/>
  <c r="S428" i="5"/>
  <c r="AH6" i="40" s="1"/>
  <c r="P455" i="5"/>
  <c r="E26" i="5"/>
  <c r="S112" i="5"/>
  <c r="AA42" i="40" s="1"/>
  <c r="W112" i="5"/>
  <c r="AA112" i="5"/>
  <c r="P201" i="5"/>
  <c r="E223" i="5"/>
  <c r="E224" i="5"/>
  <c r="AA214" i="5" s="1"/>
  <c r="E225" i="5"/>
  <c r="P293" i="5"/>
  <c r="W296" i="5" s="1"/>
  <c r="P545" i="5"/>
  <c r="P815" i="5"/>
  <c r="S908" i="5"/>
  <c r="AH57" i="40" s="1"/>
  <c r="P997" i="5"/>
  <c r="S488" i="5"/>
  <c r="AH32" i="40" s="1"/>
  <c r="P558" i="5"/>
  <c r="AA565" i="5"/>
  <c r="S563" i="5"/>
  <c r="AH11" i="40" s="1"/>
  <c r="P579" i="5"/>
  <c r="S758" i="5"/>
  <c r="AH60" i="40" s="1"/>
  <c r="P828" i="5"/>
  <c r="AA835" i="5"/>
  <c r="P849" i="5"/>
  <c r="AA623" i="5"/>
  <c r="E718" i="5"/>
  <c r="E719" i="5"/>
  <c r="E720" i="5"/>
  <c r="P806" i="5"/>
  <c r="P875" i="5"/>
  <c r="W893" i="5"/>
  <c r="P1225" i="5"/>
  <c r="E1228" i="5"/>
  <c r="E1229" i="5"/>
  <c r="E1230" i="5"/>
  <c r="L1409" i="5"/>
  <c r="L1410" i="5"/>
  <c r="P1408" i="5"/>
  <c r="E1073" i="5"/>
  <c r="P1145" i="5"/>
  <c r="AA1163" i="5"/>
  <c r="W1238" i="5"/>
  <c r="AH93" i="40" s="1"/>
  <c r="P1240" i="5"/>
  <c r="E1251" i="5"/>
  <c r="E1331" i="5"/>
  <c r="P1414" i="5"/>
  <c r="P1432" i="5"/>
  <c r="E1432" i="5"/>
  <c r="P1090" i="5"/>
  <c r="W1178" i="5"/>
  <c r="AH114" i="40" s="1"/>
  <c r="S1026" i="5"/>
  <c r="T70" i="40" s="1"/>
  <c r="P1107" i="5"/>
  <c r="W1103" i="5"/>
  <c r="AH109" i="40" s="1"/>
  <c r="S1117" i="5"/>
  <c r="W1117" i="5"/>
  <c r="AA119" i="40" s="1"/>
  <c r="AA1117" i="5"/>
  <c r="W1118" i="5"/>
  <c r="AH119" i="40" s="1"/>
  <c r="P1463" i="5"/>
  <c r="W1466" i="5" s="1"/>
  <c r="BC102" i="40" s="1"/>
  <c r="S1522" i="5"/>
  <c r="W1522" i="5"/>
  <c r="AA99" i="40" s="1"/>
  <c r="AA1522" i="5"/>
  <c r="E1584" i="5"/>
  <c r="W1587" i="5" s="1"/>
  <c r="BF110" i="40" s="1"/>
  <c r="P1582" i="5"/>
  <c r="P1662" i="5"/>
  <c r="W1658" i="5"/>
  <c r="AH101" i="40" s="1"/>
  <c r="P1669" i="5"/>
  <c r="E1600" i="5"/>
  <c r="E1691" i="5"/>
  <c r="S1781" i="5"/>
  <c r="W1781" i="5"/>
  <c r="BC98" i="40" s="1"/>
  <c r="S1702" i="5"/>
  <c r="W1702" i="5"/>
  <c r="AA103" i="40" s="1"/>
  <c r="AA1702" i="5"/>
  <c r="S1789" i="5"/>
  <c r="W1789" i="5"/>
  <c r="F95" i="40" s="1"/>
  <c r="S1826" i="5"/>
  <c r="W1826" i="5"/>
  <c r="BC106" i="40" s="1"/>
  <c r="L1814" i="5"/>
  <c r="L1815" i="5"/>
  <c r="P1813" i="5"/>
  <c r="S2332" i="5"/>
  <c r="W2332" i="5"/>
  <c r="AA2332" i="5"/>
  <c r="AA220" i="40" s="1"/>
  <c r="E2294" i="5"/>
  <c r="E2295" i="5"/>
  <c r="E2293" i="5"/>
  <c r="L2624" i="5"/>
  <c r="L2625" i="5"/>
  <c r="P2623" i="5"/>
  <c r="P2508" i="5"/>
  <c r="AA2515" i="5"/>
  <c r="AV206" i="40" s="1"/>
  <c r="P2448" i="5"/>
  <c r="AA2455" i="5"/>
  <c r="AV211" i="40" s="1"/>
  <c r="P2608" i="5"/>
  <c r="L2609" i="5"/>
  <c r="L2610" i="5"/>
  <c r="P2652" i="5"/>
  <c r="L2909" i="5"/>
  <c r="L2910" i="5"/>
  <c r="P2908" i="5"/>
  <c r="S3007" i="5"/>
  <c r="W3007" i="5"/>
  <c r="AA3007" i="5"/>
  <c r="AA183" i="40" s="1"/>
  <c r="L3359" i="5"/>
  <c r="L3360" i="5"/>
  <c r="P3358" i="5"/>
  <c r="S3338" i="5"/>
  <c r="P1788" i="5"/>
  <c r="AA1795" i="5"/>
  <c r="E1648" i="5"/>
  <c r="E1649" i="5"/>
  <c r="E1650" i="5"/>
  <c r="S1733" i="5"/>
  <c r="W1879" i="5"/>
  <c r="S1879" i="5"/>
  <c r="E1993" i="5"/>
  <c r="E1994" i="5"/>
  <c r="AA1984" i="5" s="1"/>
  <c r="F156" i="40" s="1"/>
  <c r="E1995" i="5"/>
  <c r="E2018" i="5"/>
  <c r="AA2022" i="5" s="1"/>
  <c r="BF207" i="40" s="1"/>
  <c r="W2022" i="5"/>
  <c r="E1948" i="5"/>
  <c r="E1949" i="5"/>
  <c r="E1950" i="5"/>
  <c r="P2244" i="5"/>
  <c r="L2174" i="5"/>
  <c r="L2175" i="5"/>
  <c r="P2173" i="5"/>
  <c r="S2171" i="5" s="1"/>
  <c r="P2181" i="5"/>
  <c r="E2263" i="5"/>
  <c r="E2264" i="5"/>
  <c r="E2265" i="5"/>
  <c r="S2197" i="5"/>
  <c r="W2197" i="5"/>
  <c r="AA2197" i="5"/>
  <c r="AA167" i="40" s="1"/>
  <c r="P2473" i="5"/>
  <c r="L2474" i="5"/>
  <c r="L2475" i="5"/>
  <c r="E2564" i="5"/>
  <c r="AA2554" i="5" s="1"/>
  <c r="F204" i="40" s="1"/>
  <c r="E2565" i="5"/>
  <c r="E2563" i="5"/>
  <c r="S2393" i="5"/>
  <c r="P2500" i="5"/>
  <c r="S2422" i="5"/>
  <c r="W2422" i="5"/>
  <c r="AA2422" i="5"/>
  <c r="AA138" i="40" s="1"/>
  <c r="P2600" i="5"/>
  <c r="W2644" i="5"/>
  <c r="S2644" i="5"/>
  <c r="P2757" i="5"/>
  <c r="W2843" i="5"/>
  <c r="P2973" i="5"/>
  <c r="AA2980" i="5"/>
  <c r="AV203" i="40" s="1"/>
  <c r="E3141" i="5"/>
  <c r="P3184" i="5"/>
  <c r="P3123" i="5"/>
  <c r="AA3130" i="5"/>
  <c r="AV218" i="40" s="1"/>
  <c r="E3233" i="5"/>
  <c r="AA3237" i="5" s="1"/>
  <c r="BF209" i="40" s="1"/>
  <c r="W3237" i="5"/>
  <c r="S3158" i="5"/>
  <c r="AA1643" i="5"/>
  <c r="E1896" i="5"/>
  <c r="P1987" i="5"/>
  <c r="P2023" i="5"/>
  <c r="L2024" i="5"/>
  <c r="L2025" i="5"/>
  <c r="P1943" i="5"/>
  <c r="P2081" i="5"/>
  <c r="W2171" i="5"/>
  <c r="AA2183" i="5"/>
  <c r="AH170" i="40" s="1"/>
  <c r="L2264" i="5"/>
  <c r="L2265" i="5"/>
  <c r="P2263" i="5"/>
  <c r="P2271" i="5"/>
  <c r="E2114" i="5"/>
  <c r="E2115" i="5"/>
  <c r="E2113" i="5"/>
  <c r="P2137" i="5"/>
  <c r="P2135" i="5"/>
  <c r="E2308" i="5"/>
  <c r="E2309" i="5"/>
  <c r="E2310" i="5"/>
  <c r="P2317" i="5"/>
  <c r="P2569" i="5"/>
  <c r="S2408" i="5"/>
  <c r="W2366" i="5"/>
  <c r="S2366" i="5"/>
  <c r="P2452" i="5"/>
  <c r="P2450" i="5"/>
  <c r="E2708" i="5"/>
  <c r="W2712" i="5" s="1"/>
  <c r="P2798" i="5"/>
  <c r="E2665" i="5"/>
  <c r="P2814" i="5"/>
  <c r="AA2903" i="5"/>
  <c r="AH191" i="40" s="1"/>
  <c r="S2962" i="5"/>
  <c r="W2962" i="5"/>
  <c r="AA2962" i="5"/>
  <c r="AA165" i="40" s="1"/>
  <c r="P2883" i="5"/>
  <c r="AA2890" i="5"/>
  <c r="AV166" i="40" s="1"/>
  <c r="P2917" i="5"/>
  <c r="P3006" i="5"/>
  <c r="W3083" i="5"/>
  <c r="S3202" i="5"/>
  <c r="W3202" i="5"/>
  <c r="AA3202" i="5"/>
  <c r="AA250" i="40" s="1"/>
  <c r="P3067" i="5"/>
  <c r="E3193" i="5"/>
  <c r="E3194" i="5"/>
  <c r="E3195" i="5"/>
  <c r="W3038" i="5"/>
  <c r="W3306" i="5"/>
  <c r="W3172" i="5"/>
  <c r="S3172" i="5"/>
  <c r="AA3172" i="5"/>
  <c r="AA155" i="40" s="1"/>
  <c r="P3243" i="5"/>
  <c r="AA3250" i="5"/>
  <c r="AV251" i="40" s="1"/>
  <c r="P3408" i="5"/>
  <c r="AA3415" i="5"/>
  <c r="AV254" i="40" s="1"/>
  <c r="P3403" i="5"/>
  <c r="L3404" i="5"/>
  <c r="L3405" i="5"/>
  <c r="S1703" i="5"/>
  <c r="E1701" i="5"/>
  <c r="P1881" i="5"/>
  <c r="W1973" i="5"/>
  <c r="P1901" i="5"/>
  <c r="S1913" i="5"/>
  <c r="P1983" i="5"/>
  <c r="AA1990" i="5"/>
  <c r="AV156" i="40" s="1"/>
  <c r="E1986" i="5"/>
  <c r="W1838" i="5"/>
  <c r="AH116" i="40" s="1"/>
  <c r="P1811" i="5"/>
  <c r="P1849" i="5"/>
  <c r="P1873" i="5"/>
  <c r="L1874" i="5"/>
  <c r="L1875" i="5"/>
  <c r="P2033" i="5"/>
  <c r="W2046" i="5"/>
  <c r="P2148" i="5"/>
  <c r="E2187" i="5"/>
  <c r="E2260" i="5"/>
  <c r="P2337" i="5"/>
  <c r="P2290" i="5"/>
  <c r="E2138" i="5"/>
  <c r="P2227" i="5"/>
  <c r="P2225" i="5"/>
  <c r="P2376" i="5"/>
  <c r="E2408" i="5"/>
  <c r="E2496" i="5"/>
  <c r="P2347" i="5"/>
  <c r="E2443" i="5"/>
  <c r="E2444" i="5"/>
  <c r="E2445" i="5"/>
  <c r="P2441" i="5"/>
  <c r="E2453" i="5"/>
  <c r="AA2457" i="5" s="1"/>
  <c r="BF211" i="40" s="1"/>
  <c r="E2532" i="5"/>
  <c r="W2532" i="5" s="1"/>
  <c r="E2635" i="5"/>
  <c r="S2692" i="5"/>
  <c r="W2692" i="5"/>
  <c r="AA2692" i="5"/>
  <c r="AA148" i="40" s="1"/>
  <c r="AA2723" i="5"/>
  <c r="AH259" i="40" s="1"/>
  <c r="L2804" i="5"/>
  <c r="L2805" i="5"/>
  <c r="P2803" i="5"/>
  <c r="P2660" i="5"/>
  <c r="P2779" i="5"/>
  <c r="P2741" i="5"/>
  <c r="W2734" i="5" s="1"/>
  <c r="S2767" i="5"/>
  <c r="W2767" i="5"/>
  <c r="AA2767" i="5"/>
  <c r="AA174" i="40" s="1"/>
  <c r="P2967" i="5"/>
  <c r="S2959" i="5" s="1"/>
  <c r="W2888" i="5"/>
  <c r="P2833" i="5"/>
  <c r="W2831" i="5" s="1"/>
  <c r="L2834" i="5"/>
  <c r="L2835" i="5"/>
  <c r="P2827" i="5"/>
  <c r="P3143" i="5"/>
  <c r="P3208" i="5"/>
  <c r="L3209" i="5"/>
  <c r="L3210" i="5"/>
  <c r="P3052" i="5"/>
  <c r="P3133" i="5"/>
  <c r="L3134" i="5"/>
  <c r="L3135" i="5"/>
  <c r="P3153" i="5"/>
  <c r="AA3160" i="5"/>
  <c r="AV225" i="40" s="1"/>
  <c r="P3252" i="5"/>
  <c r="AA3263" i="5"/>
  <c r="AH173" i="40" s="1"/>
  <c r="P3320" i="5"/>
  <c r="P3328" i="5"/>
  <c r="L3329" i="5"/>
  <c r="L3330" i="5"/>
  <c r="P3402" i="5"/>
  <c r="E1538" i="5"/>
  <c r="P1618" i="5"/>
  <c r="L1619" i="5"/>
  <c r="L1620" i="5"/>
  <c r="P1627" i="5"/>
  <c r="P1794" i="5"/>
  <c r="P1645" i="5"/>
  <c r="S1646" i="5" s="1"/>
  <c r="E1825" i="5"/>
  <c r="E1918" i="5"/>
  <c r="E1919" i="5"/>
  <c r="E1920" i="5"/>
  <c r="E1839" i="5"/>
  <c r="E1942" i="5"/>
  <c r="E1959" i="5"/>
  <c r="P1959" i="5"/>
  <c r="E2082" i="5"/>
  <c r="E2277" i="5"/>
  <c r="W2333" i="5"/>
  <c r="P2333" i="5"/>
  <c r="S2201" i="5"/>
  <c r="W2201" i="5"/>
  <c r="E2292" i="5"/>
  <c r="E2212" i="5"/>
  <c r="P2375" i="5"/>
  <c r="AA2543" i="5"/>
  <c r="AH131" i="40" s="1"/>
  <c r="P2616" i="5"/>
  <c r="E2498" i="5"/>
  <c r="AA2502" i="5" s="1"/>
  <c r="BF159" i="40" s="1"/>
  <c r="W2502" i="5"/>
  <c r="P2345" i="5"/>
  <c r="P2449" i="5"/>
  <c r="W2527" i="5"/>
  <c r="S2527" i="5"/>
  <c r="AA2527" i="5"/>
  <c r="AA132" i="40" s="1"/>
  <c r="S2602" i="5"/>
  <c r="W2602" i="5"/>
  <c r="AA2602" i="5"/>
  <c r="AA201" i="40" s="1"/>
  <c r="L2714" i="5"/>
  <c r="L2715" i="5"/>
  <c r="P2713" i="5"/>
  <c r="E2727" i="5"/>
  <c r="S2648" i="5"/>
  <c r="E2801" i="5"/>
  <c r="E2803" i="5"/>
  <c r="E2804" i="5"/>
  <c r="E2805" i="5"/>
  <c r="S2813" i="5"/>
  <c r="E2818" i="5"/>
  <c r="E2819" i="5"/>
  <c r="AA2809" i="5" s="1"/>
  <c r="F144" i="40" s="1"/>
  <c r="E2820" i="5"/>
  <c r="P2754" i="5"/>
  <c r="W2749" i="5" s="1"/>
  <c r="P2768" i="5"/>
  <c r="W2771" i="5" s="1"/>
  <c r="E2845" i="5"/>
  <c r="P2933" i="5"/>
  <c r="W2936" i="5" s="1"/>
  <c r="E3007" i="5"/>
  <c r="S3004" i="5"/>
  <c r="W3004" i="5"/>
  <c r="S3141" i="5"/>
  <c r="E3148" i="5"/>
  <c r="E3149" i="5"/>
  <c r="E3150" i="5"/>
  <c r="W3206" i="5"/>
  <c r="P3190" i="5"/>
  <c r="P3232" i="5"/>
  <c r="W3098" i="5"/>
  <c r="P3096" i="5"/>
  <c r="E3175" i="5"/>
  <c r="E3352" i="5"/>
  <c r="AA3323" i="5"/>
  <c r="AH229" i="40" s="1"/>
  <c r="E3339" i="5"/>
  <c r="S1541" i="5"/>
  <c r="W1541" i="5"/>
  <c r="BC90" i="40" s="1"/>
  <c r="E1611" i="5"/>
  <c r="P1630" i="5"/>
  <c r="P1551" i="5"/>
  <c r="L1739" i="5"/>
  <c r="L1740" i="5"/>
  <c r="P1738" i="5"/>
  <c r="P2063" i="5"/>
  <c r="P1902" i="5"/>
  <c r="P1917" i="5"/>
  <c r="P2008" i="5"/>
  <c r="L2009" i="5"/>
  <c r="L2010" i="5"/>
  <c r="E1844" i="5"/>
  <c r="E1845" i="5"/>
  <c r="E1843" i="5"/>
  <c r="P1927" i="5"/>
  <c r="P1803" i="5"/>
  <c r="W1853" i="5"/>
  <c r="AH78" i="40" s="1"/>
  <c r="S1867" i="5"/>
  <c r="W1867" i="5"/>
  <c r="AA113" i="40" s="1"/>
  <c r="AA1867" i="5"/>
  <c r="S1868" i="5"/>
  <c r="P1948" i="5"/>
  <c r="L1949" i="5"/>
  <c r="L1950" i="5"/>
  <c r="P2034" i="5"/>
  <c r="P2043" i="5"/>
  <c r="E2083" i="5"/>
  <c r="E2084" i="5"/>
  <c r="E2085" i="5"/>
  <c r="P2269" i="5"/>
  <c r="P2277" i="5"/>
  <c r="W2198" i="5"/>
  <c r="P2291" i="5"/>
  <c r="P2231" i="5"/>
  <c r="S2231" i="5" s="1"/>
  <c r="E2468" i="5"/>
  <c r="AA2472" i="5" s="1"/>
  <c r="BF223" i="40" s="1"/>
  <c r="AA2558" i="5"/>
  <c r="AH204" i="40" s="1"/>
  <c r="P2614" i="5"/>
  <c r="P2389" i="5"/>
  <c r="P2407" i="5"/>
  <c r="E2407" i="5"/>
  <c r="S2482" i="5"/>
  <c r="W2482" i="5"/>
  <c r="AA2482" i="5"/>
  <c r="AA172" i="40" s="1"/>
  <c r="P2592" i="5"/>
  <c r="W2423" i="5"/>
  <c r="P2712" i="5"/>
  <c r="AA2708" i="5"/>
  <c r="AH216" i="40" s="1"/>
  <c r="P2675" i="5"/>
  <c r="P2780" i="5"/>
  <c r="S2816" i="5"/>
  <c r="W2816" i="5"/>
  <c r="P2847" i="5"/>
  <c r="AA2978" i="5"/>
  <c r="AH203" i="40" s="1"/>
  <c r="P2922" i="5"/>
  <c r="P3138" i="5"/>
  <c r="P3206" i="5"/>
  <c r="E3206" i="5"/>
  <c r="W3207" i="5" s="1"/>
  <c r="E2996" i="5"/>
  <c r="P2996" i="5"/>
  <c r="P3111" i="5"/>
  <c r="E3132" i="5"/>
  <c r="P3223" i="5"/>
  <c r="L3224" i="5"/>
  <c r="L3225" i="5"/>
  <c r="P3238" i="5"/>
  <c r="L3239" i="5"/>
  <c r="L3240" i="5"/>
  <c r="E3310" i="5"/>
  <c r="P3162" i="5"/>
  <c r="P3168" i="5"/>
  <c r="AA3175" i="5"/>
  <c r="AV155" i="40" s="1"/>
  <c r="L3254" i="5"/>
  <c r="L3255" i="5"/>
  <c r="P3253" i="5"/>
  <c r="S3247" i="5"/>
  <c r="W3247" i="5"/>
  <c r="AA3247" i="5"/>
  <c r="AA251" i="40" s="1"/>
  <c r="P3244" i="5"/>
  <c r="P3264" i="5"/>
  <c r="E3413" i="5"/>
  <c r="AA3417" i="5" s="1"/>
  <c r="BF254" i="40" s="1"/>
  <c r="P3400" i="5"/>
  <c r="P3500" i="5"/>
  <c r="S3517" i="5"/>
  <c r="W3517" i="5"/>
  <c r="AA3517" i="5"/>
  <c r="AA189" i="40" s="1"/>
  <c r="P3658" i="5"/>
  <c r="L3659" i="5"/>
  <c r="L3660" i="5"/>
  <c r="L3704" i="5"/>
  <c r="L3705" i="5"/>
  <c r="P3703" i="5"/>
  <c r="S3847" i="5"/>
  <c r="W3847" i="5"/>
  <c r="AA3847" i="5"/>
  <c r="AA157" i="40" s="1"/>
  <c r="E3400" i="5"/>
  <c r="W3402" i="5" s="1"/>
  <c r="E3463" i="5"/>
  <c r="E3464" i="5"/>
  <c r="AA3454" i="5" s="1"/>
  <c r="F142" i="40" s="1"/>
  <c r="E3465" i="5"/>
  <c r="W3469" i="5"/>
  <c r="P3445" i="5"/>
  <c r="S3446" i="5" s="1"/>
  <c r="S3619" i="5"/>
  <c r="W3619" i="5"/>
  <c r="P3673" i="5"/>
  <c r="L3674" i="5"/>
  <c r="L3675" i="5"/>
  <c r="S3818" i="5"/>
  <c r="S3787" i="5"/>
  <c r="W3787" i="5"/>
  <c r="AA3787" i="5"/>
  <c r="AA130" i="40" s="1"/>
  <c r="P3746" i="5"/>
  <c r="P3859" i="5"/>
  <c r="E3839" i="5"/>
  <c r="AA3829" i="5" s="1"/>
  <c r="F175" i="40" s="1"/>
  <c r="E3840" i="5"/>
  <c r="E3838" i="5"/>
  <c r="W3401" i="5"/>
  <c r="P3386" i="5"/>
  <c r="P3462" i="5"/>
  <c r="P3476" i="5"/>
  <c r="L3434" i="5"/>
  <c r="L3435" i="5"/>
  <c r="P3433" i="5"/>
  <c r="S3364" i="5"/>
  <c r="E3538" i="5"/>
  <c r="E3539" i="5"/>
  <c r="E3540" i="5"/>
  <c r="P3634" i="5"/>
  <c r="E3608" i="5"/>
  <c r="AA3612" i="5" s="1"/>
  <c r="BF257" i="40" s="1"/>
  <c r="P3772" i="5"/>
  <c r="S3866" i="5"/>
  <c r="W3866" i="5"/>
  <c r="S3836" i="5"/>
  <c r="W3836" i="5"/>
  <c r="P3282" i="5"/>
  <c r="P3492" i="5"/>
  <c r="S3487" i="5"/>
  <c r="W3487" i="5"/>
  <c r="AA3487" i="5"/>
  <c r="AA137" i="40" s="1"/>
  <c r="P3474" i="5"/>
  <c r="P3425" i="5"/>
  <c r="P3620" i="5"/>
  <c r="P3710" i="5"/>
  <c r="E3609" i="5"/>
  <c r="E3818" i="5"/>
  <c r="E3790" i="5"/>
  <c r="E3730" i="5"/>
  <c r="P3799" i="5"/>
  <c r="W3802" i="5"/>
  <c r="S3802" i="5"/>
  <c r="AA3802" i="5"/>
  <c r="AA210" i="40" s="1"/>
  <c r="E3846" i="5"/>
  <c r="P3369" i="5"/>
  <c r="P3573" i="5"/>
  <c r="AA3580" i="5"/>
  <c r="AV181" i="40" s="1"/>
  <c r="P3581" i="5"/>
  <c r="P3533" i="5"/>
  <c r="S3536" i="5" s="1"/>
  <c r="P3517" i="5"/>
  <c r="S3682" i="5"/>
  <c r="W3682" i="5"/>
  <c r="AA3682" i="5"/>
  <c r="AA136" i="40" s="1"/>
  <c r="E3641" i="5"/>
  <c r="E3711" i="5"/>
  <c r="S3776" i="5"/>
  <c r="W3776" i="5"/>
  <c r="W3731" i="5"/>
  <c r="S3731" i="5"/>
  <c r="S3727" i="5"/>
  <c r="W3727" i="5"/>
  <c r="AA3727" i="5"/>
  <c r="AA217" i="40" s="1"/>
  <c r="P3740" i="5"/>
  <c r="P3864" i="5"/>
  <c r="P3843" i="5"/>
  <c r="AA3850" i="5"/>
  <c r="AV157" i="40" s="1"/>
  <c r="S3292" i="5"/>
  <c r="W3292" i="5"/>
  <c r="AA3292" i="5"/>
  <c r="AA198" i="40" s="1"/>
  <c r="P3378" i="5"/>
  <c r="P3483" i="5"/>
  <c r="E3487" i="5"/>
  <c r="P3438" i="5"/>
  <c r="W3371" i="5"/>
  <c r="S3371" i="5"/>
  <c r="P3558" i="5"/>
  <c r="AA3565" i="5"/>
  <c r="AV184" i="40" s="1"/>
  <c r="E3581" i="5"/>
  <c r="S3593" i="5"/>
  <c r="E3547" i="5"/>
  <c r="S3547" i="5"/>
  <c r="W3547" i="5"/>
  <c r="AA3547" i="5"/>
  <c r="AA193" i="40" s="1"/>
  <c r="P3503" i="5"/>
  <c r="S3502" i="5"/>
  <c r="W3502" i="5"/>
  <c r="AA3502" i="5"/>
  <c r="AA222" i="40" s="1"/>
  <c r="E3523" i="5"/>
  <c r="E3524" i="5"/>
  <c r="E3525" i="5"/>
  <c r="P3625" i="5"/>
  <c r="P3687" i="5"/>
  <c r="P3678" i="5"/>
  <c r="AA3685" i="5"/>
  <c r="AV136" i="40" s="1"/>
  <c r="P3637" i="5"/>
  <c r="L3719" i="5"/>
  <c r="L3720" i="5"/>
  <c r="P3718" i="5"/>
  <c r="P3603" i="5"/>
  <c r="P3663" i="5"/>
  <c r="AA3670" i="5"/>
  <c r="AV158" i="40" s="1"/>
  <c r="E3778" i="5"/>
  <c r="E3779" i="5"/>
  <c r="AA3769" i="5" s="1"/>
  <c r="F182" i="40" s="1"/>
  <c r="E3780" i="5"/>
  <c r="E3816" i="5"/>
  <c r="P3696" i="5"/>
  <c r="P3729" i="5"/>
  <c r="P3744" i="5"/>
  <c r="P3830" i="5"/>
  <c r="E6" i="5"/>
  <c r="S231" i="5"/>
  <c r="T53" i="40" s="1"/>
  <c r="W411" i="5"/>
  <c r="E548" i="5"/>
  <c r="AA552" i="5" s="1"/>
  <c r="E728" i="5"/>
  <c r="AA732" i="5" s="1"/>
  <c r="E908" i="5"/>
  <c r="AA912" i="5" s="1"/>
  <c r="W912" i="5"/>
  <c r="E1543" i="5"/>
  <c r="E1544" i="5"/>
  <c r="S1534" i="5" s="1"/>
  <c r="E1545" i="5"/>
  <c r="E488" i="5"/>
  <c r="S696" i="5"/>
  <c r="T58" i="40" s="1"/>
  <c r="S966" i="5"/>
  <c r="T26" i="40" s="1"/>
  <c r="W1161" i="5"/>
  <c r="T118" i="40" s="1"/>
  <c r="E1328" i="5"/>
  <c r="AA1332" i="5" s="1"/>
  <c r="E1090" i="5"/>
  <c r="W1092" i="5" s="1"/>
  <c r="BF87" i="40" s="1"/>
  <c r="E1014" i="5"/>
  <c r="E1197" i="5"/>
  <c r="E1464" i="5"/>
  <c r="W1467" i="5" s="1"/>
  <c r="BF102" i="40" s="1"/>
  <c r="E67" i="5"/>
  <c r="W246" i="5"/>
  <c r="E267" i="5"/>
  <c r="S6" i="5"/>
  <c r="T65" i="40" s="1"/>
  <c r="S186" i="5"/>
  <c r="T10" i="40" s="1"/>
  <c r="W366" i="5"/>
  <c r="W201" i="5"/>
  <c r="E55" i="5"/>
  <c r="E654" i="5"/>
  <c r="S921" i="5"/>
  <c r="T12" i="40" s="1"/>
  <c r="E942" i="5"/>
  <c r="E610" i="5"/>
  <c r="E802" i="5"/>
  <c r="E1222" i="5"/>
  <c r="W1401" i="5"/>
  <c r="T111" i="40" s="1"/>
  <c r="W1251" i="5"/>
  <c r="T125" i="40" s="1"/>
  <c r="E1418" i="5"/>
  <c r="AA1422" i="5" s="1"/>
  <c r="E1087" i="5"/>
  <c r="W1281" i="5"/>
  <c r="T86" i="40" s="1"/>
  <c r="E1480" i="5"/>
  <c r="W1482" i="5" s="1"/>
  <c r="BF122" i="40" s="1"/>
  <c r="E1674" i="5"/>
  <c r="W1677" i="5" s="1"/>
  <c r="BF79" i="40" s="1"/>
  <c r="S1686" i="5"/>
  <c r="E88" i="5"/>
  <c r="E89" i="5"/>
  <c r="AA79" i="5" s="1"/>
  <c r="E90" i="5"/>
  <c r="E429" i="5"/>
  <c r="E97" i="5"/>
  <c r="E384" i="5"/>
  <c r="W387" i="5" s="1"/>
  <c r="E1000" i="5"/>
  <c r="E577" i="5"/>
  <c r="E761" i="5"/>
  <c r="W762" i="5" s="1"/>
  <c r="E850" i="5"/>
  <c r="W852" i="5" s="1"/>
  <c r="E503" i="5"/>
  <c r="AA507" i="5" s="1"/>
  <c r="W507" i="5"/>
  <c r="S591" i="5"/>
  <c r="T64" i="40" s="1"/>
  <c r="W681" i="5"/>
  <c r="E777" i="5"/>
  <c r="E951" i="5"/>
  <c r="W516" i="5"/>
  <c r="E717" i="5"/>
  <c r="E877" i="5"/>
  <c r="E1132" i="5"/>
  <c r="S1311" i="5"/>
  <c r="E1077" i="5"/>
  <c r="E1345" i="5"/>
  <c r="E1450" i="5"/>
  <c r="E1302" i="5"/>
  <c r="E1386" i="5"/>
  <c r="E1567" i="5"/>
  <c r="E1588" i="5"/>
  <c r="E1589" i="5"/>
  <c r="S1579" i="5" s="1"/>
  <c r="E1590" i="5"/>
  <c r="E1764" i="5"/>
  <c r="S1881" i="5"/>
  <c r="S2331" i="5"/>
  <c r="E3067" i="5"/>
  <c r="E2143" i="5"/>
  <c r="W2142" i="5" s="1"/>
  <c r="E2144" i="5"/>
  <c r="AA2134" i="5" s="1"/>
  <c r="F162" i="40" s="1"/>
  <c r="E2145" i="5"/>
  <c r="W2556" i="5"/>
  <c r="E2783" i="5"/>
  <c r="AA2787" i="5" s="1"/>
  <c r="BF195" i="40" s="1"/>
  <c r="E3209" i="5"/>
  <c r="AA3199" i="5" s="1"/>
  <c r="F250" i="40" s="1"/>
  <c r="E3210" i="5"/>
  <c r="E3208" i="5"/>
  <c r="E1555" i="5"/>
  <c r="E2213" i="5"/>
  <c r="W2217" i="5" s="1"/>
  <c r="E2548" i="5"/>
  <c r="E2549" i="5"/>
  <c r="E2550" i="5"/>
  <c r="E2908" i="5"/>
  <c r="E2909" i="5"/>
  <c r="AA2899" i="5" s="1"/>
  <c r="F191" i="40" s="1"/>
  <c r="E2910" i="5"/>
  <c r="E2939" i="5"/>
  <c r="AA2929" i="5" s="1"/>
  <c r="F230" i="40" s="1"/>
  <c r="E2940" i="5"/>
  <c r="E2938" i="5"/>
  <c r="E3264" i="5"/>
  <c r="E1793" i="5"/>
  <c r="AA1797" i="5" s="1"/>
  <c r="E1731" i="5"/>
  <c r="E1885" i="5"/>
  <c r="E2033" i="5"/>
  <c r="E2275" i="5"/>
  <c r="E2288" i="5"/>
  <c r="AA2292" i="5" s="1"/>
  <c r="BF149" i="40" s="1"/>
  <c r="W2292" i="5"/>
  <c r="E2393" i="5"/>
  <c r="AA2397" i="5" s="1"/>
  <c r="BF202" i="40" s="1"/>
  <c r="E2499" i="5"/>
  <c r="E2513" i="5"/>
  <c r="AA2517" i="5" s="1"/>
  <c r="BF206" i="40" s="1"/>
  <c r="E2361" i="5"/>
  <c r="S2691" i="5"/>
  <c r="E2724" i="5"/>
  <c r="E2767" i="5"/>
  <c r="E2831" i="5"/>
  <c r="E3084" i="5"/>
  <c r="E3023" i="5"/>
  <c r="AA3027" i="5" s="1"/>
  <c r="BF161" i="40" s="1"/>
  <c r="W3027" i="5"/>
  <c r="E3218" i="5"/>
  <c r="AA3222" i="5" s="1"/>
  <c r="BF185" i="40" s="1"/>
  <c r="W3222" i="5"/>
  <c r="E1618" i="5"/>
  <c r="E1619" i="5"/>
  <c r="AA1609" i="5" s="1"/>
  <c r="E1620" i="5"/>
  <c r="S1641" i="5"/>
  <c r="W2061" i="5"/>
  <c r="E1806" i="5"/>
  <c r="E1855" i="5"/>
  <c r="E2154" i="5"/>
  <c r="W2157" i="5" s="1"/>
  <c r="E2092" i="5"/>
  <c r="E2332" i="5"/>
  <c r="E2136" i="5"/>
  <c r="E2318" i="5"/>
  <c r="AA2322" i="5" s="1"/>
  <c r="BF232" i="40" s="1"/>
  <c r="E2577" i="5"/>
  <c r="E2545" i="5"/>
  <c r="E2542" i="5"/>
  <c r="E2392" i="5"/>
  <c r="E2421" i="5"/>
  <c r="E2442" i="5"/>
  <c r="W2736" i="5"/>
  <c r="W2811" i="5"/>
  <c r="E2843" i="5"/>
  <c r="E2963" i="5"/>
  <c r="AA2967" i="5" s="1"/>
  <c r="BF165" i="40" s="1"/>
  <c r="W2976" i="5"/>
  <c r="E3142" i="5"/>
  <c r="E3072" i="5"/>
  <c r="E2993" i="5"/>
  <c r="E3027" i="5"/>
  <c r="E3236" i="5"/>
  <c r="E3162" i="5"/>
  <c r="S3171" i="5"/>
  <c r="E3267" i="5"/>
  <c r="E3324" i="5"/>
  <c r="E3577" i="5"/>
  <c r="E3659" i="5"/>
  <c r="AA3649" i="5" s="1"/>
  <c r="F200" i="40" s="1"/>
  <c r="E3660" i="5"/>
  <c r="E3658" i="5"/>
  <c r="E3383" i="5"/>
  <c r="E3569" i="5"/>
  <c r="AA3559" i="5" s="1"/>
  <c r="F184" i="40" s="1"/>
  <c r="E3570" i="5"/>
  <c r="E3568" i="5"/>
  <c r="E3728" i="5"/>
  <c r="AA3732" i="5" s="1"/>
  <c r="BF217" i="40" s="1"/>
  <c r="E3460" i="5"/>
  <c r="E3430" i="5"/>
  <c r="E3549" i="5"/>
  <c r="W3621" i="5"/>
  <c r="E3656" i="5"/>
  <c r="E3733" i="5"/>
  <c r="E3734" i="5"/>
  <c r="AA3724" i="5" s="1"/>
  <c r="F217" i="40" s="1"/>
  <c r="E3735" i="5"/>
  <c r="E3280" i="5"/>
  <c r="W3276" i="5"/>
  <c r="E3295" i="5"/>
  <c r="E3447" i="5"/>
  <c r="E3562" i="5"/>
  <c r="E3592" i="5"/>
  <c r="E3553" i="5"/>
  <c r="E3554" i="5"/>
  <c r="AA3544" i="5" s="1"/>
  <c r="E3555" i="5"/>
  <c r="E3685" i="5"/>
  <c r="S3636" i="5"/>
  <c r="S3651" i="5"/>
  <c r="E3759" i="5"/>
  <c r="E3671" i="5"/>
  <c r="E3786" i="5"/>
  <c r="AE48" i="40"/>
  <c r="AE19" i="40"/>
  <c r="AE55" i="40"/>
  <c r="AE11" i="40"/>
  <c r="AE3" i="40"/>
  <c r="AE16" i="40"/>
  <c r="J14" i="40"/>
  <c r="J15" i="40"/>
  <c r="R53" i="40"/>
  <c r="P183" i="5"/>
  <c r="AA190" i="5"/>
  <c r="P190" i="5"/>
  <c r="W124" i="5"/>
  <c r="S124" i="5"/>
  <c r="F35" i="40" s="1"/>
  <c r="P753" i="5"/>
  <c r="AA760" i="5"/>
  <c r="P508" i="5"/>
  <c r="L509" i="5"/>
  <c r="L510" i="5"/>
  <c r="S701" i="5"/>
  <c r="BC58" i="40" s="1"/>
  <c r="W701" i="5"/>
  <c r="S967" i="5"/>
  <c r="AA26" i="40" s="1"/>
  <c r="W967" i="5"/>
  <c r="AA967" i="5"/>
  <c r="S1406" i="5"/>
  <c r="W1406" i="5"/>
  <c r="BC111" i="40" s="1"/>
  <c r="E1273" i="5"/>
  <c r="E1274" i="5"/>
  <c r="E1275" i="5"/>
  <c r="W1354" i="5"/>
  <c r="F100" i="40" s="1"/>
  <c r="S1354" i="5"/>
  <c r="S1192" i="5"/>
  <c r="W1192" i="5"/>
  <c r="AA97" i="40" s="1"/>
  <c r="AA1192" i="5"/>
  <c r="S131" i="5"/>
  <c r="BC35" i="40" s="1"/>
  <c r="W131" i="5"/>
  <c r="P303" i="5"/>
  <c r="AA310" i="5"/>
  <c r="S907" i="5"/>
  <c r="AA57" i="40" s="1"/>
  <c r="W907" i="5"/>
  <c r="AA907" i="5"/>
  <c r="P568" i="5"/>
  <c r="L569" i="5"/>
  <c r="L570" i="5"/>
  <c r="W653" i="5"/>
  <c r="S761" i="5"/>
  <c r="BC60" i="40" s="1"/>
  <c r="W761" i="5"/>
  <c r="E846" i="5"/>
  <c r="P498" i="5"/>
  <c r="AA505" i="5"/>
  <c r="E688" i="5"/>
  <c r="E689" i="5"/>
  <c r="AA679" i="5" s="1"/>
  <c r="E690" i="5"/>
  <c r="P768" i="5"/>
  <c r="AA775" i="5"/>
  <c r="E958" i="5"/>
  <c r="E959" i="5"/>
  <c r="AA949" i="5" s="1"/>
  <c r="E960" i="5"/>
  <c r="L524" i="5"/>
  <c r="L525" i="5"/>
  <c r="P523" i="5"/>
  <c r="P880" i="5"/>
  <c r="P1132" i="5"/>
  <c r="S1316" i="5"/>
  <c r="W1316" i="5"/>
  <c r="BC84" i="40" s="1"/>
  <c r="E1063" i="5"/>
  <c r="E1064" i="5"/>
  <c r="AA1054" i="5" s="1"/>
  <c r="E1065" i="5"/>
  <c r="AA1418" i="5"/>
  <c r="P1093" i="5"/>
  <c r="L1094" i="5"/>
  <c r="L1095" i="5"/>
  <c r="S1282" i="5"/>
  <c r="W1282" i="5"/>
  <c r="AA86" i="40" s="1"/>
  <c r="AA1282" i="5"/>
  <c r="S1297" i="5"/>
  <c r="W1297" i="5"/>
  <c r="AA115" i="40" s="1"/>
  <c r="AA1297" i="5"/>
  <c r="P1570" i="5"/>
  <c r="P1600" i="5"/>
  <c r="S1601" i="5" s="1"/>
  <c r="S157" i="5"/>
  <c r="AA25" i="40" s="1"/>
  <c r="W157" i="5"/>
  <c r="AA157" i="5"/>
  <c r="P174" i="5"/>
  <c r="S176" i="5" s="1"/>
  <c r="BC43" i="40" s="1"/>
  <c r="S427" i="5"/>
  <c r="AA6" i="40" s="1"/>
  <c r="W427" i="5"/>
  <c r="AA427" i="5"/>
  <c r="P444" i="5"/>
  <c r="P193" i="5"/>
  <c r="L194" i="5"/>
  <c r="L195" i="5"/>
  <c r="E461" i="5"/>
  <c r="W214" i="5"/>
  <c r="S214" i="5"/>
  <c r="F22" i="40" s="1"/>
  <c r="S386" i="5"/>
  <c r="BC4" i="40" s="1"/>
  <c r="W386" i="5"/>
  <c r="W724" i="5"/>
  <c r="S724" i="5"/>
  <c r="F16" i="40" s="1"/>
  <c r="P998" i="5"/>
  <c r="S1001" i="5" s="1"/>
  <c r="BC14" i="40" s="1"/>
  <c r="S562" i="5"/>
  <c r="AA11" i="40" s="1"/>
  <c r="W562" i="5"/>
  <c r="AA562" i="5"/>
  <c r="E833" i="5"/>
  <c r="P853" i="5"/>
  <c r="L854" i="5"/>
  <c r="L855" i="5"/>
  <c r="P921" i="5"/>
  <c r="E595" i="5"/>
  <c r="S949" i="5"/>
  <c r="F67" i="40" s="1"/>
  <c r="P783" i="5"/>
  <c r="AA790" i="5"/>
  <c r="P1042" i="5"/>
  <c r="P1073" i="5"/>
  <c r="S1237" i="5"/>
  <c r="W1237" i="5"/>
  <c r="AA93" i="40" s="1"/>
  <c r="AA1237" i="5"/>
  <c r="P1257" i="5"/>
  <c r="P1338" i="5"/>
  <c r="AA1345" i="5"/>
  <c r="AA1433" i="5"/>
  <c r="E1271" i="5"/>
  <c r="W1448" i="5"/>
  <c r="AH74" i="40" s="1"/>
  <c r="L1034" i="5"/>
  <c r="L1035" i="5"/>
  <c r="P1033" i="5"/>
  <c r="P1564" i="5"/>
  <c r="P1660" i="5"/>
  <c r="S1654" i="5" s="1"/>
  <c r="P1748" i="5"/>
  <c r="P1768" i="5"/>
  <c r="L1769" i="5"/>
  <c r="L1770" i="5"/>
  <c r="P1693" i="5"/>
  <c r="L1694" i="5"/>
  <c r="L1695" i="5"/>
  <c r="E264" i="5"/>
  <c r="W267" i="5" s="1"/>
  <c r="P333" i="5"/>
  <c r="AA340" i="5"/>
  <c r="P424" i="5"/>
  <c r="S97" i="5"/>
  <c r="AA2" i="40" s="1"/>
  <c r="W97" i="5"/>
  <c r="AA97" i="5"/>
  <c r="E193" i="5"/>
  <c r="E194" i="5"/>
  <c r="E195" i="5"/>
  <c r="P463" i="5"/>
  <c r="L464" i="5"/>
  <c r="L465" i="5"/>
  <c r="P18" i="5"/>
  <c r="AA25" i="5"/>
  <c r="E129" i="5"/>
  <c r="P138" i="5"/>
  <c r="AA145" i="5"/>
  <c r="P327" i="5"/>
  <c r="W326" i="5" s="1"/>
  <c r="S326" i="5"/>
  <c r="BC56" i="40" s="1"/>
  <c r="E418" i="5"/>
  <c r="E419" i="5"/>
  <c r="AA409" i="5" s="1"/>
  <c r="E420" i="5"/>
  <c r="P913" i="5"/>
  <c r="L914" i="5"/>
  <c r="L915" i="5"/>
  <c r="W473" i="5"/>
  <c r="P564" i="5"/>
  <c r="S581" i="5"/>
  <c r="BC38" i="40" s="1"/>
  <c r="W581" i="5"/>
  <c r="E671" i="5"/>
  <c r="S746" i="5"/>
  <c r="BC8" i="40" s="1"/>
  <c r="W746" i="5"/>
  <c r="E839" i="5"/>
  <c r="AA829" i="5" s="1"/>
  <c r="E840" i="5"/>
  <c r="E838" i="5"/>
  <c r="P852" i="5"/>
  <c r="W938" i="5"/>
  <c r="S533" i="5"/>
  <c r="AH31" i="40" s="1"/>
  <c r="L614" i="5"/>
  <c r="L615" i="5"/>
  <c r="P613" i="5"/>
  <c r="W611" i="5" s="1"/>
  <c r="P785" i="5"/>
  <c r="AA803" i="5"/>
  <c r="P898" i="5"/>
  <c r="L899" i="5"/>
  <c r="L900" i="5"/>
  <c r="S986" i="5"/>
  <c r="BC59" i="40" s="1"/>
  <c r="W986" i="5"/>
  <c r="P1137" i="5"/>
  <c r="S1136" i="5"/>
  <c r="W1136" i="5"/>
  <c r="BC126" i="40" s="1"/>
  <c r="AA1223" i="5"/>
  <c r="E1408" i="5"/>
  <c r="E1409" i="5"/>
  <c r="AA1399" i="5" s="1"/>
  <c r="E1410" i="5"/>
  <c r="E1062" i="5"/>
  <c r="W1062" i="5" s="1"/>
  <c r="BF104" i="40" s="1"/>
  <c r="P1071" i="5"/>
  <c r="P1165" i="5"/>
  <c r="W1166" i="5" s="1"/>
  <c r="BC118" i="40" s="1"/>
  <c r="S1252" i="5"/>
  <c r="W1252" i="5"/>
  <c r="AA125" i="40" s="1"/>
  <c r="AA1252" i="5"/>
  <c r="S1327" i="5"/>
  <c r="W1327" i="5"/>
  <c r="AA77" i="40" s="1"/>
  <c r="AA1327" i="5"/>
  <c r="P1347" i="5"/>
  <c r="E1437" i="5"/>
  <c r="W1358" i="5"/>
  <c r="AH100" i="40" s="1"/>
  <c r="S1508" i="5"/>
  <c r="S1013" i="5"/>
  <c r="AH29" i="40" s="1"/>
  <c r="S1301" i="5"/>
  <c r="W1301" i="5"/>
  <c r="BC115" i="40" s="1"/>
  <c r="S1462" i="5"/>
  <c r="W1462" i="5"/>
  <c r="AA102" i="40" s="1"/>
  <c r="AA1462" i="5"/>
  <c r="S1478" i="5"/>
  <c r="P1519" i="5"/>
  <c r="P1692" i="5"/>
  <c r="W1691" i="5" s="1"/>
  <c r="BC94" i="40" s="1"/>
  <c r="E73" i="5"/>
  <c r="E74" i="5"/>
  <c r="AA64" i="5" s="1"/>
  <c r="E75" i="5"/>
  <c r="P170" i="5"/>
  <c r="S247" i="5"/>
  <c r="AA28" i="40" s="1"/>
  <c r="W247" i="5"/>
  <c r="AA247" i="5"/>
  <c r="E265" i="5"/>
  <c r="E343" i="5"/>
  <c r="E344" i="5"/>
  <c r="E345" i="5"/>
  <c r="P440" i="5"/>
  <c r="P7" i="5"/>
  <c r="P98" i="5"/>
  <c r="E370" i="5"/>
  <c r="P461" i="5"/>
  <c r="S34" i="5"/>
  <c r="F33" i="40" s="1"/>
  <c r="W34" i="5"/>
  <c r="W203" i="5"/>
  <c r="E201" i="5"/>
  <c r="E299" i="5"/>
  <c r="AA289" i="5" s="1"/>
  <c r="E300" i="5"/>
  <c r="E298" i="5"/>
  <c r="P142" i="5"/>
  <c r="AA143" i="5"/>
  <c r="P233" i="5"/>
  <c r="S236" i="5" s="1"/>
  <c r="BC53" i="40" s="1"/>
  <c r="W233" i="5"/>
  <c r="P320" i="5"/>
  <c r="S323" i="5"/>
  <c r="AH56" i="40" s="1"/>
  <c r="P726" i="5"/>
  <c r="AA998" i="5"/>
  <c r="P486" i="5"/>
  <c r="P577" i="5"/>
  <c r="P657" i="5"/>
  <c r="P663" i="5"/>
  <c r="AA670" i="5"/>
  <c r="P756" i="5"/>
  <c r="P847" i="5"/>
  <c r="P927" i="5"/>
  <c r="P933" i="5"/>
  <c r="AA940" i="5"/>
  <c r="P595" i="5"/>
  <c r="P681" i="5"/>
  <c r="S776" i="5"/>
  <c r="BC48" i="40" s="1"/>
  <c r="W776" i="5"/>
  <c r="E533" i="5"/>
  <c r="AA537" i="5" s="1"/>
  <c r="W537" i="5"/>
  <c r="S611" i="5"/>
  <c r="BC61" i="40" s="1"/>
  <c r="P805" i="5"/>
  <c r="W806" i="5" s="1"/>
  <c r="S878" i="5"/>
  <c r="AH37" i="40" s="1"/>
  <c r="E967" i="5"/>
  <c r="P1041" i="5"/>
  <c r="W1133" i="5"/>
  <c r="AH126" i="40" s="1"/>
  <c r="P1226" i="5"/>
  <c r="AA1148" i="5"/>
  <c r="P1324" i="5"/>
  <c r="S1342" i="5"/>
  <c r="W1342" i="5"/>
  <c r="AA73" i="40" s="1"/>
  <c r="AA1342" i="5"/>
  <c r="S1417" i="5"/>
  <c r="W1417" i="5"/>
  <c r="AA72" i="40" s="1"/>
  <c r="AA1417" i="5"/>
  <c r="P1176" i="5"/>
  <c r="W1268" i="5"/>
  <c r="AH85" i="40" s="1"/>
  <c r="E1359" i="5"/>
  <c r="P1504" i="5"/>
  <c r="P1010" i="5"/>
  <c r="AA1028" i="5"/>
  <c r="P1373" i="5"/>
  <c r="E1391" i="5"/>
  <c r="W1392" i="5" s="1"/>
  <c r="BF88" i="40" s="1"/>
  <c r="P1460" i="5"/>
  <c r="P1480" i="5"/>
  <c r="P1572" i="5"/>
  <c r="W1568" i="5"/>
  <c r="AH82" i="40" s="1"/>
  <c r="P1579" i="5"/>
  <c r="P1774" i="5"/>
  <c r="W82" i="5"/>
  <c r="S82" i="5"/>
  <c r="AA41" i="40" s="1"/>
  <c r="AA82" i="5"/>
  <c r="AA158" i="5"/>
  <c r="P261" i="5"/>
  <c r="P423" i="5"/>
  <c r="AA430" i="5"/>
  <c r="E443" i="5"/>
  <c r="AA447" i="5" s="1"/>
  <c r="P9" i="5"/>
  <c r="W11" i="5" s="1"/>
  <c r="P94" i="5"/>
  <c r="P189" i="5"/>
  <c r="P274" i="5"/>
  <c r="P369" i="5"/>
  <c r="S371" i="5" s="1"/>
  <c r="BC55" i="40" s="1"/>
  <c r="P457" i="5"/>
  <c r="E23" i="5"/>
  <c r="W27" i="5"/>
  <c r="P34" i="5"/>
  <c r="P117" i="5"/>
  <c r="S116" i="5" s="1"/>
  <c r="BC42" i="40" s="1"/>
  <c r="S127" i="5"/>
  <c r="AA35" i="40" s="1"/>
  <c r="W127" i="5"/>
  <c r="AA127" i="5"/>
  <c r="E296" i="5"/>
  <c r="E306" i="5"/>
  <c r="S382" i="5"/>
  <c r="AA4" i="40" s="1"/>
  <c r="W382" i="5"/>
  <c r="AA382" i="5"/>
  <c r="AA728" i="5"/>
  <c r="W908" i="5"/>
  <c r="P1002" i="5"/>
  <c r="W488" i="5"/>
  <c r="E565" i="5"/>
  <c r="W567" i="5" s="1"/>
  <c r="S561" i="5"/>
  <c r="T11" i="40" s="1"/>
  <c r="P654" i="5"/>
  <c r="P671" i="5"/>
  <c r="W671" i="5" s="1"/>
  <c r="E743" i="5"/>
  <c r="AA747" i="5" s="1"/>
  <c r="W758" i="5"/>
  <c r="E835" i="5"/>
  <c r="W837" i="5" s="1"/>
  <c r="P924" i="5"/>
  <c r="S926" i="5" s="1"/>
  <c r="BC12" i="40" s="1"/>
  <c r="P941" i="5"/>
  <c r="W941" i="5" s="1"/>
  <c r="AA503" i="5"/>
  <c r="AA593" i="5"/>
  <c r="AA683" i="5"/>
  <c r="AA773" i="5"/>
  <c r="AA863" i="5"/>
  <c r="AA953" i="5"/>
  <c r="P536" i="5"/>
  <c r="S536" i="5" s="1"/>
  <c r="BC31" i="40" s="1"/>
  <c r="P605" i="5"/>
  <c r="W623" i="5"/>
  <c r="P801" i="5"/>
  <c r="S801" i="5"/>
  <c r="T34" i="40" s="1"/>
  <c r="P881" i="5"/>
  <c r="S892" i="5"/>
  <c r="AA51" i="40" s="1"/>
  <c r="W892" i="5"/>
  <c r="AA892" i="5"/>
  <c r="S893" i="5"/>
  <c r="AH51" i="40" s="1"/>
  <c r="P973" i="5"/>
  <c r="L974" i="5"/>
  <c r="L975" i="5"/>
  <c r="P978" i="5"/>
  <c r="AA985" i="5"/>
  <c r="P1494" i="5"/>
  <c r="S1496" i="5" s="1"/>
  <c r="P1151" i="5"/>
  <c r="S1151" i="5" s="1"/>
  <c r="W1163" i="5"/>
  <c r="AH118" i="40" s="1"/>
  <c r="P1233" i="5"/>
  <c r="S1238" i="5"/>
  <c r="P1249" i="5"/>
  <c r="P1344" i="5"/>
  <c r="P1430" i="5"/>
  <c r="P1273" i="5"/>
  <c r="L1274" i="5"/>
  <c r="L1275" i="5"/>
  <c r="S1357" i="5"/>
  <c r="W1357" i="5"/>
  <c r="AA100" i="40" s="1"/>
  <c r="AA1357" i="5"/>
  <c r="S1507" i="5"/>
  <c r="W1507" i="5"/>
  <c r="AA71" i="40" s="1"/>
  <c r="AA1507" i="5"/>
  <c r="P1012" i="5"/>
  <c r="W1026" i="5"/>
  <c r="S1103" i="5"/>
  <c r="S1118" i="5"/>
  <c r="P1198" i="5"/>
  <c r="L1199" i="5"/>
  <c r="L1200" i="5"/>
  <c r="P1284" i="5"/>
  <c r="S1286" i="5" s="1"/>
  <c r="P1293" i="5"/>
  <c r="AA1300" i="5"/>
  <c r="P1375" i="5"/>
  <c r="P1481" i="5"/>
  <c r="P1522" i="5"/>
  <c r="S1658" i="5"/>
  <c r="W1676" i="5"/>
  <c r="BC79" i="40" s="1"/>
  <c r="S1676" i="5"/>
  <c r="P1753" i="5"/>
  <c r="L1754" i="5"/>
  <c r="L1755" i="5"/>
  <c r="E1776" i="5"/>
  <c r="P1776" i="5"/>
  <c r="W1732" i="5"/>
  <c r="AA96" i="40" s="1"/>
  <c r="S1732" i="5"/>
  <c r="AA1732" i="5"/>
  <c r="W1987" i="5"/>
  <c r="S1987" i="5"/>
  <c r="AA1987" i="5"/>
  <c r="AA156" i="40" s="1"/>
  <c r="S2021" i="5"/>
  <c r="W2021" i="5"/>
  <c r="W1864" i="5"/>
  <c r="F113" i="40" s="1"/>
  <c r="S1864" i="5"/>
  <c r="S1946" i="5"/>
  <c r="W1946" i="5"/>
  <c r="L2084" i="5"/>
  <c r="L2085" i="5"/>
  <c r="P2083" i="5"/>
  <c r="S2272" i="5"/>
  <c r="W2272" i="5"/>
  <c r="AA2272" i="5"/>
  <c r="AA236" i="40" s="1"/>
  <c r="S2216" i="5"/>
  <c r="W2216" i="5"/>
  <c r="P2308" i="5"/>
  <c r="L2309" i="5"/>
  <c r="L2310" i="5"/>
  <c r="S2377" i="5"/>
  <c r="W2377" i="5"/>
  <c r="AA2377" i="5"/>
  <c r="AA243" i="40" s="1"/>
  <c r="P2545" i="5"/>
  <c r="W2546" i="5" s="1"/>
  <c r="W2389" i="5"/>
  <c r="S2389" i="5"/>
  <c r="L2429" i="5"/>
  <c r="L2430" i="5"/>
  <c r="P2428" i="5"/>
  <c r="W2696" i="5"/>
  <c r="W2719" i="5"/>
  <c r="S2719" i="5"/>
  <c r="E2678" i="5"/>
  <c r="AA2682" i="5" s="1"/>
  <c r="BF208" i="40" s="1"/>
  <c r="W2682" i="5"/>
  <c r="W2812" i="5"/>
  <c r="S2812" i="5"/>
  <c r="AA2812" i="5"/>
  <c r="AA144" i="40" s="1"/>
  <c r="E2923" i="5"/>
  <c r="E2924" i="5"/>
  <c r="E2925" i="5"/>
  <c r="P3348" i="5"/>
  <c r="AA3355" i="5"/>
  <c r="AV188" i="40" s="1"/>
  <c r="S1609" i="5"/>
  <c r="W1609" i="5"/>
  <c r="F75" i="40" s="1"/>
  <c r="W1733" i="5"/>
  <c r="AH96" i="40" s="1"/>
  <c r="L1979" i="5"/>
  <c r="L1980" i="5"/>
  <c r="P1978" i="5"/>
  <c r="P1915" i="5"/>
  <c r="S1871" i="5"/>
  <c r="W1871" i="5"/>
  <c r="BC113" i="40" s="1"/>
  <c r="W2269" i="5"/>
  <c r="S2269" i="5"/>
  <c r="E2204" i="5"/>
  <c r="S2194" i="5" s="1"/>
  <c r="E2205" i="5"/>
  <c r="E2203" i="5"/>
  <c r="P2223" i="5"/>
  <c r="AA2230" i="5"/>
  <c r="AV242" i="40" s="1"/>
  <c r="S2617" i="5"/>
  <c r="W2617" i="5"/>
  <c r="AA2617" i="5"/>
  <c r="AA244" i="40" s="1"/>
  <c r="W2393" i="5"/>
  <c r="L2444" i="5"/>
  <c r="L2445" i="5"/>
  <c r="P2443" i="5"/>
  <c r="P2693" i="5"/>
  <c r="S2696" i="5" s="1"/>
  <c r="S2681" i="5"/>
  <c r="W2681" i="5"/>
  <c r="P2787" i="5"/>
  <c r="P2737" i="5"/>
  <c r="P2808" i="5"/>
  <c r="AA2815" i="5"/>
  <c r="AV144" i="40" s="1"/>
  <c r="P2751" i="5"/>
  <c r="S2843" i="5"/>
  <c r="P3087" i="5"/>
  <c r="P3148" i="5"/>
  <c r="L3149" i="5"/>
  <c r="L3150" i="5"/>
  <c r="W3184" i="5"/>
  <c r="S3184" i="5"/>
  <c r="P3158" i="5"/>
  <c r="AA1613" i="5"/>
  <c r="S1699" i="5"/>
  <c r="W1699" i="5"/>
  <c r="F103" i="40" s="1"/>
  <c r="P1548" i="5"/>
  <c r="AA1555" i="5"/>
  <c r="W1643" i="5"/>
  <c r="AH108" i="40" s="1"/>
  <c r="W1822" i="5"/>
  <c r="AA106" i="40" s="1"/>
  <c r="S1822" i="5"/>
  <c r="AA1822" i="5"/>
  <c r="P2062" i="5"/>
  <c r="AA1898" i="5"/>
  <c r="AH219" i="40" s="1"/>
  <c r="W1984" i="5"/>
  <c r="S1984" i="5"/>
  <c r="P2003" i="5"/>
  <c r="S2006" i="5" s="1"/>
  <c r="AA1928" i="5"/>
  <c r="AH227" i="40" s="1"/>
  <c r="E1928" i="5"/>
  <c r="AA1932" i="5" s="1"/>
  <c r="BF227" i="40" s="1"/>
  <c r="W1932" i="5"/>
  <c r="S1807" i="5"/>
  <c r="W1807" i="5"/>
  <c r="AA89" i="40" s="1"/>
  <c r="AA1807" i="5"/>
  <c r="S2044" i="5"/>
  <c r="W2044" i="5"/>
  <c r="P2154" i="5"/>
  <c r="P2076" i="5"/>
  <c r="W2183" i="5"/>
  <c r="P2112" i="5"/>
  <c r="P2383" i="5"/>
  <c r="L2384" i="5"/>
  <c r="L2385" i="5"/>
  <c r="P2615" i="5"/>
  <c r="S2587" i="5"/>
  <c r="W2587" i="5"/>
  <c r="AA2587" i="5"/>
  <c r="AA135" i="40" s="1"/>
  <c r="E2516" i="5"/>
  <c r="P2366" i="5"/>
  <c r="P2433" i="5"/>
  <c r="AA2440" i="5"/>
  <c r="AV234" i="40" s="1"/>
  <c r="S2707" i="5"/>
  <c r="W2707" i="5"/>
  <c r="AA2707" i="5"/>
  <c r="AA216" i="40" s="1"/>
  <c r="P2786" i="5"/>
  <c r="S2779" i="5" s="1"/>
  <c r="P2742" i="5"/>
  <c r="S2752" i="5"/>
  <c r="W2752" i="5"/>
  <c r="AA2752" i="5"/>
  <c r="AA231" i="40" s="1"/>
  <c r="W2903" i="5"/>
  <c r="S2981" i="5"/>
  <c r="W2981" i="5"/>
  <c r="P2913" i="5"/>
  <c r="AA2920" i="5"/>
  <c r="AV192" i="40" s="1"/>
  <c r="S3083" i="5"/>
  <c r="S2996" i="5"/>
  <c r="W2996" i="5"/>
  <c r="P3126" i="5"/>
  <c r="AA3233" i="5"/>
  <c r="AH209" i="40" s="1"/>
  <c r="P3099" i="5"/>
  <c r="P3172" i="5"/>
  <c r="W1703" i="5"/>
  <c r="AH103" i="40" s="1"/>
  <c r="P1713" i="5"/>
  <c r="AA1720" i="5"/>
  <c r="AA1553" i="5"/>
  <c r="P1878" i="5"/>
  <c r="AA1885" i="5"/>
  <c r="AV179" i="40" s="1"/>
  <c r="P1970" i="5"/>
  <c r="P1896" i="5"/>
  <c r="S1838" i="5"/>
  <c r="S2017" i="5"/>
  <c r="W2017" i="5"/>
  <c r="AA2017" i="5"/>
  <c r="AA207" i="40" s="1"/>
  <c r="P2046" i="5"/>
  <c r="P2243" i="5"/>
  <c r="E2183" i="5"/>
  <c r="S2261" i="5"/>
  <c r="W2261" i="5"/>
  <c r="E2110" i="5"/>
  <c r="AA2213" i="5"/>
  <c r="AH241" i="40" s="1"/>
  <c r="P2303" i="5"/>
  <c r="P2373" i="5"/>
  <c r="AA2380" i="5"/>
  <c r="AV243" i="40" s="1"/>
  <c r="P2465" i="5"/>
  <c r="S2561" i="5"/>
  <c r="W2561" i="5"/>
  <c r="P2486" i="5"/>
  <c r="P2583" i="5"/>
  <c r="S2516" i="5"/>
  <c r="W2516" i="5"/>
  <c r="P2348" i="5"/>
  <c r="W2351" i="5" s="1"/>
  <c r="AA2348" i="5"/>
  <c r="AH164" i="40" s="1"/>
  <c r="AA2528" i="5"/>
  <c r="AH132" i="40" s="1"/>
  <c r="P2634" i="5"/>
  <c r="P2599" i="5"/>
  <c r="E2709" i="5"/>
  <c r="W2723" i="5"/>
  <c r="P2673" i="5"/>
  <c r="AA2680" i="5"/>
  <c r="AV208" i="40" s="1"/>
  <c r="S2786" i="5"/>
  <c r="P2767" i="5"/>
  <c r="AA2768" i="5"/>
  <c r="AH174" i="40" s="1"/>
  <c r="P2840" i="5"/>
  <c r="P2944" i="5"/>
  <c r="S2861" i="5"/>
  <c r="W2861" i="5"/>
  <c r="AA2861" i="5"/>
  <c r="BC196" i="40" s="1"/>
  <c r="S2888" i="5"/>
  <c r="P2825" i="5"/>
  <c r="S3086" i="5"/>
  <c r="W3086" i="5"/>
  <c r="AA3203" i="5"/>
  <c r="AH250" i="40" s="1"/>
  <c r="P3050" i="5"/>
  <c r="L3074" i="5"/>
  <c r="L3075" i="5"/>
  <c r="P3073" i="5"/>
  <c r="P3187" i="5"/>
  <c r="S3037" i="5"/>
  <c r="W3037" i="5"/>
  <c r="AA3037" i="5"/>
  <c r="AA129" i="40" s="1"/>
  <c r="W3101" i="5"/>
  <c r="S3101" i="5"/>
  <c r="P3170" i="5"/>
  <c r="W3263" i="5"/>
  <c r="W3411" i="5"/>
  <c r="S3326" i="5"/>
  <c r="W3326" i="5"/>
  <c r="P1721" i="5"/>
  <c r="S1714" i="5" s="1"/>
  <c r="L1829" i="5"/>
  <c r="L1830" i="5"/>
  <c r="P1828" i="5"/>
  <c r="P1976" i="5"/>
  <c r="E2068" i="5"/>
  <c r="E2069" i="5"/>
  <c r="AA2059" i="5" s="1"/>
  <c r="F238" i="40" s="1"/>
  <c r="E2070" i="5"/>
  <c r="P1843" i="5"/>
  <c r="L1844" i="5"/>
  <c r="L1845" i="5"/>
  <c r="S1927" i="5"/>
  <c r="W1927" i="5"/>
  <c r="AA1927" i="5"/>
  <c r="AA227" i="40" s="1"/>
  <c r="P1939" i="5"/>
  <c r="P1963" i="5"/>
  <c r="L1964" i="5"/>
  <c r="L1965" i="5"/>
  <c r="P2186" i="5"/>
  <c r="S2179" i="5" s="1"/>
  <c r="E2273" i="5"/>
  <c r="W2277" i="5" s="1"/>
  <c r="S2333" i="5"/>
  <c r="P2331" i="5"/>
  <c r="P2196" i="5"/>
  <c r="AA2288" i="5"/>
  <c r="AH149" i="40" s="1"/>
  <c r="P2136" i="5"/>
  <c r="E2228" i="5"/>
  <c r="AA2232" i="5" s="1"/>
  <c r="BF242" i="40" s="1"/>
  <c r="W2232" i="5"/>
  <c r="P2315" i="5"/>
  <c r="P2540" i="5"/>
  <c r="W2543" i="5"/>
  <c r="P2621" i="5"/>
  <c r="P2359" i="5"/>
  <c r="W2456" i="5"/>
  <c r="S2456" i="5"/>
  <c r="P2532" i="5"/>
  <c r="W2524" i="5" s="1"/>
  <c r="P2663" i="5"/>
  <c r="P2734" i="5"/>
  <c r="AA2753" i="5"/>
  <c r="AH231" i="40" s="1"/>
  <c r="P2898" i="5"/>
  <c r="AA2905" i="5"/>
  <c r="AV191" i="40" s="1"/>
  <c r="S2944" i="5"/>
  <c r="W2944" i="5"/>
  <c r="E2889" i="5"/>
  <c r="E2933" i="5"/>
  <c r="AA2937" i="5" s="1"/>
  <c r="BF230" i="40" s="1"/>
  <c r="E2833" i="5"/>
  <c r="E2834" i="5"/>
  <c r="AA2824" i="5" s="1"/>
  <c r="F153" i="40" s="1"/>
  <c r="E2835" i="5"/>
  <c r="E3144" i="5"/>
  <c r="E2998" i="5"/>
  <c r="W2997" i="5" s="1"/>
  <c r="E2999" i="5"/>
  <c r="AA2989" i="5" s="1"/>
  <c r="F235" i="40" s="1"/>
  <c r="E3000" i="5"/>
  <c r="W3191" i="5"/>
  <c r="S3191" i="5"/>
  <c r="W3186" i="5"/>
  <c r="E3038" i="5"/>
  <c r="AA3042" i="5" s="1"/>
  <c r="BF129" i="40" s="1"/>
  <c r="AA3218" i="5"/>
  <c r="AH185" i="40" s="1"/>
  <c r="E3238" i="5"/>
  <c r="E3239" i="5"/>
  <c r="AA3229" i="5" s="1"/>
  <c r="F209" i="40" s="1"/>
  <c r="E3240" i="5"/>
  <c r="S3098" i="5"/>
  <c r="L3164" i="5"/>
  <c r="L3165" i="5"/>
  <c r="P3163" i="5"/>
  <c r="P3177" i="5"/>
  <c r="P3414" i="5"/>
  <c r="S3416" i="5" s="1"/>
  <c r="W3323" i="5"/>
  <c r="E3338" i="5"/>
  <c r="AA3342" i="5" s="1"/>
  <c r="BF180" i="40" s="1"/>
  <c r="W3342" i="5"/>
  <c r="E1617" i="5"/>
  <c r="P1608" i="5"/>
  <c r="AA1615" i="5"/>
  <c r="P1798" i="5"/>
  <c r="L1799" i="5"/>
  <c r="L1800" i="5"/>
  <c r="P1555" i="5"/>
  <c r="W1556" i="5" s="1"/>
  <c r="BC112" i="40" s="1"/>
  <c r="P1827" i="5"/>
  <c r="P1821" i="5"/>
  <c r="P1975" i="5"/>
  <c r="E1978" i="5"/>
  <c r="E1979" i="5"/>
  <c r="AA1969" i="5" s="1"/>
  <c r="F152" i="40" s="1"/>
  <c r="E1980" i="5"/>
  <c r="W1916" i="5"/>
  <c r="S1916" i="5"/>
  <c r="E2008" i="5"/>
  <c r="E2009" i="5"/>
  <c r="AA1999" i="5" s="1"/>
  <c r="F237" i="40" s="1"/>
  <c r="E2010" i="5"/>
  <c r="P1842" i="5"/>
  <c r="P1928" i="5"/>
  <c r="E1810" i="5"/>
  <c r="P1848" i="5"/>
  <c r="P1867" i="5"/>
  <c r="P2031" i="5"/>
  <c r="E2243" i="5"/>
  <c r="W2247" i="5" s="1"/>
  <c r="P2074" i="5"/>
  <c r="P2093" i="5"/>
  <c r="W2096" i="5" s="1"/>
  <c r="W2276" i="5"/>
  <c r="S2276" i="5"/>
  <c r="P2336" i="5"/>
  <c r="E2108" i="5"/>
  <c r="AA2112" i="5" s="1"/>
  <c r="BF176" i="40" s="1"/>
  <c r="W2112" i="5"/>
  <c r="S2198" i="5"/>
  <c r="S2122" i="5"/>
  <c r="W2122" i="5"/>
  <c r="AA2122" i="5"/>
  <c r="AA154" i="40" s="1"/>
  <c r="P2226" i="5"/>
  <c r="E2302" i="5"/>
  <c r="E2323" i="5"/>
  <c r="E2324" i="5"/>
  <c r="AA2314" i="5" s="1"/>
  <c r="F232" i="40" s="1"/>
  <c r="E2325" i="5"/>
  <c r="P2568" i="5"/>
  <c r="P2381" i="5"/>
  <c r="W2558" i="5"/>
  <c r="P2405" i="5"/>
  <c r="P2487" i="5"/>
  <c r="P2502" i="5"/>
  <c r="S2423" i="5"/>
  <c r="P2346" i="5"/>
  <c r="E2632" i="5"/>
  <c r="AA2603" i="5"/>
  <c r="AH201" i="40" s="1"/>
  <c r="P2689" i="5"/>
  <c r="W2708" i="5"/>
  <c r="P2644" i="5"/>
  <c r="E2802" i="5"/>
  <c r="P2665" i="5"/>
  <c r="P2781" i="5"/>
  <c r="E2816" i="5"/>
  <c r="W2817" i="5" s="1"/>
  <c r="P2766" i="5"/>
  <c r="P2844" i="5"/>
  <c r="S2839" i="5" s="1"/>
  <c r="P2902" i="5"/>
  <c r="P2862" i="5"/>
  <c r="S2857" i="5"/>
  <c r="W2857" i="5"/>
  <c r="AA2857" i="5"/>
  <c r="AA196" i="40" s="1"/>
  <c r="E2876" i="5"/>
  <c r="E2826" i="5"/>
  <c r="W2978" i="5"/>
  <c r="P2921" i="5"/>
  <c r="W2914" i="5" s="1"/>
  <c r="P3140" i="5"/>
  <c r="S3056" i="5"/>
  <c r="W3056" i="5"/>
  <c r="AA3023" i="5"/>
  <c r="AH161" i="40" s="1"/>
  <c r="P3036" i="5"/>
  <c r="P3093" i="5"/>
  <c r="AA3100" i="5"/>
  <c r="AV141" i="40" s="1"/>
  <c r="P3260" i="5"/>
  <c r="AA3353" i="5"/>
  <c r="AH188" i="40" s="1"/>
  <c r="S3334" i="5"/>
  <c r="W3334" i="5"/>
  <c r="P3455" i="5"/>
  <c r="P3643" i="5"/>
  <c r="L3644" i="5"/>
  <c r="L3645" i="5"/>
  <c r="S3656" i="5"/>
  <c r="W3656" i="5"/>
  <c r="AA3656" i="5"/>
  <c r="BC200" i="40" s="1"/>
  <c r="W3532" i="5"/>
  <c r="S3532" i="5"/>
  <c r="AA3532" i="5"/>
  <c r="AA169" i="40" s="1"/>
  <c r="S3592" i="5"/>
  <c r="W3592" i="5"/>
  <c r="AA3592" i="5"/>
  <c r="AA233" i="40" s="1"/>
  <c r="P3648" i="5"/>
  <c r="AA3655" i="5"/>
  <c r="AV200" i="40" s="1"/>
  <c r="S3652" i="5"/>
  <c r="W3652" i="5"/>
  <c r="AA3652" i="5"/>
  <c r="AA200" i="40" s="1"/>
  <c r="E3821" i="5"/>
  <c r="W3822" i="5" s="1"/>
  <c r="P3380" i="5"/>
  <c r="P3470" i="5"/>
  <c r="W3439" i="5"/>
  <c r="S3439" i="5"/>
  <c r="P3423" i="5"/>
  <c r="AA3430" i="5"/>
  <c r="AV147" i="40" s="1"/>
  <c r="P3716" i="5"/>
  <c r="E3668" i="5"/>
  <c r="AA3672" i="5" s="1"/>
  <c r="BF158" i="40" s="1"/>
  <c r="P3832" i="5"/>
  <c r="S3386" i="5"/>
  <c r="S3382" i="5"/>
  <c r="W3382" i="5"/>
  <c r="AA3382" i="5"/>
  <c r="AA253" i="40" s="1"/>
  <c r="P3453" i="5"/>
  <c r="AA3460" i="5"/>
  <c r="AV142" i="40" s="1"/>
  <c r="E3488" i="5"/>
  <c r="AA3492" i="5" s="1"/>
  <c r="BF137" i="40" s="1"/>
  <c r="W3492" i="5"/>
  <c r="P3583" i="5"/>
  <c r="L3584" i="5"/>
  <c r="L3585" i="5"/>
  <c r="P3530" i="5"/>
  <c r="P3522" i="5"/>
  <c r="P3621" i="5"/>
  <c r="P3612" i="5"/>
  <c r="P3820" i="5"/>
  <c r="P3783" i="5"/>
  <c r="AA3790" i="5"/>
  <c r="AV130" i="40" s="1"/>
  <c r="S3862" i="5"/>
  <c r="W3862" i="5"/>
  <c r="AA3862" i="5"/>
  <c r="AA258" i="40" s="1"/>
  <c r="AA3848" i="5"/>
  <c r="AH157" i="40" s="1"/>
  <c r="E3387" i="5"/>
  <c r="W3387" i="5" s="1"/>
  <c r="W3488" i="5"/>
  <c r="P3591" i="5"/>
  <c r="P3544" i="5"/>
  <c r="P3507" i="5"/>
  <c r="P3688" i="5"/>
  <c r="L3689" i="5"/>
  <c r="L3690" i="5"/>
  <c r="P3758" i="5"/>
  <c r="W3668" i="5"/>
  <c r="E3697" i="5"/>
  <c r="P3788" i="5"/>
  <c r="P3732" i="5"/>
  <c r="P3741" i="5"/>
  <c r="P3866" i="5"/>
  <c r="E3852" i="5"/>
  <c r="E3402" i="5"/>
  <c r="S3277" i="5"/>
  <c r="W3277" i="5"/>
  <c r="AA3277" i="5"/>
  <c r="AA228" i="40" s="1"/>
  <c r="P3298" i="5"/>
  <c r="L3299" i="5"/>
  <c r="L3300" i="5"/>
  <c r="P3388" i="5"/>
  <c r="L3389" i="5"/>
  <c r="L3390" i="5"/>
  <c r="P3490" i="5"/>
  <c r="S3491" i="5" s="1"/>
  <c r="AA3443" i="5"/>
  <c r="AH168" i="40" s="1"/>
  <c r="P3431" i="5"/>
  <c r="L3539" i="5"/>
  <c r="L3540" i="5"/>
  <c r="P3538" i="5"/>
  <c r="S3596" i="5"/>
  <c r="W3596" i="5"/>
  <c r="AA3596" i="5"/>
  <c r="BC233" i="40" s="1"/>
  <c r="P3504" i="5"/>
  <c r="L3524" i="5"/>
  <c r="L3525" i="5"/>
  <c r="P3523" i="5"/>
  <c r="AA3683" i="5"/>
  <c r="AH136" i="40" s="1"/>
  <c r="E3652" i="5"/>
  <c r="E3758" i="5"/>
  <c r="AA3762" i="5" s="1"/>
  <c r="BF150" i="40" s="1"/>
  <c r="W3762" i="5"/>
  <c r="E3774" i="5"/>
  <c r="P3813" i="5"/>
  <c r="P3701" i="5"/>
  <c r="P3725" i="5"/>
  <c r="E3749" i="5"/>
  <c r="AA3739" i="5" s="1"/>
  <c r="F214" i="40" s="1"/>
  <c r="E3750" i="5"/>
  <c r="E3748" i="5"/>
  <c r="S3746" i="5"/>
  <c r="W3746" i="5"/>
  <c r="S3806" i="5"/>
  <c r="W3806" i="5"/>
  <c r="E3863" i="5"/>
  <c r="AA3867" i="5" s="1"/>
  <c r="BF258" i="40" s="1"/>
  <c r="W3867" i="5"/>
  <c r="P3838" i="5"/>
  <c r="L3839" i="5"/>
  <c r="L3840" i="5"/>
  <c r="P3852" i="5"/>
  <c r="S3851" i="5" s="1"/>
  <c r="E96" i="5"/>
  <c r="E53" i="5"/>
  <c r="AA57" i="5" s="1"/>
  <c r="E233" i="5"/>
  <c r="AA237" i="5" s="1"/>
  <c r="E413" i="5"/>
  <c r="AA417" i="5" s="1"/>
  <c r="W417" i="5"/>
  <c r="E878" i="5"/>
  <c r="AA882" i="5" s="1"/>
  <c r="E1686" i="5"/>
  <c r="E433" i="5"/>
  <c r="E434" i="5"/>
  <c r="AA424" i="5" s="1"/>
  <c r="E435" i="5"/>
  <c r="E1003" i="5"/>
  <c r="E1004" i="5"/>
  <c r="AA994" i="5" s="1"/>
  <c r="E1005" i="5"/>
  <c r="E69" i="5"/>
  <c r="E313" i="5"/>
  <c r="E314" i="5"/>
  <c r="AA304" i="5" s="1"/>
  <c r="E315" i="5"/>
  <c r="W756" i="5"/>
  <c r="E1206" i="5"/>
  <c r="E1746" i="5"/>
  <c r="E337" i="5"/>
  <c r="E8" i="5"/>
  <c r="AA12" i="5" s="1"/>
  <c r="W12" i="5"/>
  <c r="E188" i="5"/>
  <c r="AA192" i="5" s="1"/>
  <c r="W192" i="5"/>
  <c r="E368" i="5"/>
  <c r="AA372" i="5" s="1"/>
  <c r="W372" i="5"/>
  <c r="S201" i="5"/>
  <c r="T21" i="40" s="1"/>
  <c r="E145" i="5"/>
  <c r="E653" i="5"/>
  <c r="AA657" i="5" s="1"/>
  <c r="W657" i="5"/>
  <c r="E669" i="5"/>
  <c r="W672" i="5" s="1"/>
  <c r="W921" i="5"/>
  <c r="E532" i="5"/>
  <c r="E805" i="5"/>
  <c r="E1076" i="5"/>
  <c r="W1077" i="5" s="1"/>
  <c r="BF91" i="40" s="1"/>
  <c r="W1416" i="5"/>
  <c r="T72" i="40" s="1"/>
  <c r="E1272" i="5"/>
  <c r="E1283" i="5"/>
  <c r="AA1287" i="5" s="1"/>
  <c r="W1287" i="5"/>
  <c r="BF86" i="40" s="1"/>
  <c r="E1569" i="5"/>
  <c r="E1688" i="5"/>
  <c r="AA1692" i="5" s="1"/>
  <c r="W1692" i="5"/>
  <c r="BF94" i="40" s="1"/>
  <c r="E159" i="5"/>
  <c r="E187" i="5"/>
  <c r="E119" i="5"/>
  <c r="AA109" i="5" s="1"/>
  <c r="E120" i="5"/>
  <c r="E118" i="5"/>
  <c r="W117" i="5" s="1"/>
  <c r="E219" i="5"/>
  <c r="E403" i="5"/>
  <c r="W402" i="5" s="1"/>
  <c r="E404" i="5"/>
  <c r="AA394" i="5" s="1"/>
  <c r="E405" i="5"/>
  <c r="E142" i="5"/>
  <c r="E412" i="5"/>
  <c r="E491" i="5"/>
  <c r="W492" i="5" s="1"/>
  <c r="E580" i="5"/>
  <c r="E756" i="5"/>
  <c r="W501" i="5"/>
  <c r="E687" i="5"/>
  <c r="E861" i="5"/>
  <c r="E953" i="5"/>
  <c r="AA957" i="5" s="1"/>
  <c r="S516" i="5"/>
  <c r="T27" i="40" s="1"/>
  <c r="E628" i="5"/>
  <c r="E629" i="5"/>
  <c r="W619" i="5" s="1"/>
  <c r="E630" i="5"/>
  <c r="E786" i="5"/>
  <c r="E984" i="5"/>
  <c r="W987" i="5" s="1"/>
  <c r="W1311" i="5"/>
  <c r="T84" i="40" s="1"/>
  <c r="W1341" i="5"/>
  <c r="T73" i="40" s="1"/>
  <c r="E1182" i="5"/>
  <c r="W1182" i="5" s="1"/>
  <c r="BF114" i="40" s="1"/>
  <c r="E1108" i="5"/>
  <c r="E1109" i="5"/>
  <c r="AA1099" i="5" s="1"/>
  <c r="E1110" i="5"/>
  <c r="E1121" i="5"/>
  <c r="E1371" i="5"/>
  <c r="E1659" i="5"/>
  <c r="E1883" i="5"/>
  <c r="AA1887" i="5" s="1"/>
  <c r="BF179" i="40" s="1"/>
  <c r="W1887" i="5"/>
  <c r="E1613" i="5"/>
  <c r="AA1617" i="5" s="1"/>
  <c r="W1617" i="5"/>
  <c r="BF75" i="40" s="1"/>
  <c r="E2737" i="5"/>
  <c r="E2983" i="5"/>
  <c r="E2984" i="5"/>
  <c r="AA2974" i="5" s="1"/>
  <c r="F203" i="40" s="1"/>
  <c r="E2985" i="5"/>
  <c r="E1943" i="5"/>
  <c r="AA1947" i="5" s="1"/>
  <c r="BF190" i="40" s="1"/>
  <c r="W1947" i="5"/>
  <c r="E2185" i="5"/>
  <c r="W2187" i="5" s="1"/>
  <c r="E2217" i="5"/>
  <c r="E2578" i="5"/>
  <c r="E2579" i="5"/>
  <c r="AA2569" i="5" s="1"/>
  <c r="F143" i="40" s="1"/>
  <c r="E2580" i="5"/>
  <c r="E2363" i="5"/>
  <c r="AA2367" i="5" s="1"/>
  <c r="BF215" i="40" s="1"/>
  <c r="W2367" i="5"/>
  <c r="E2812" i="5"/>
  <c r="E3130" i="5"/>
  <c r="W3132" i="5" s="1"/>
  <c r="E1972" i="5"/>
  <c r="E2006" i="5"/>
  <c r="W2007" i="5" s="1"/>
  <c r="E2037" i="5"/>
  <c r="W2037" i="5" s="1"/>
  <c r="E2244" i="5"/>
  <c r="E2274" i="5"/>
  <c r="E2303" i="5"/>
  <c r="AA2307" i="5" s="1"/>
  <c r="BF187" i="40" s="1"/>
  <c r="W2307" i="5"/>
  <c r="E2616" i="5"/>
  <c r="E2502" i="5"/>
  <c r="W2511" i="5"/>
  <c r="E2636" i="5"/>
  <c r="E2608" i="5"/>
  <c r="E2609" i="5"/>
  <c r="E2610" i="5"/>
  <c r="E2693" i="5"/>
  <c r="AA2697" i="5" s="1"/>
  <c r="BF148" i="40" s="1"/>
  <c r="W2697" i="5"/>
  <c r="E2646" i="5"/>
  <c r="E2768" i="5"/>
  <c r="AA2772" i="5" s="1"/>
  <c r="BF174" i="40" s="1"/>
  <c r="W2772" i="5"/>
  <c r="E2849" i="5"/>
  <c r="AA2839" i="5" s="1"/>
  <c r="F134" i="40" s="1"/>
  <c r="E2850" i="5"/>
  <c r="E2848" i="5"/>
  <c r="E1614" i="5"/>
  <c r="W1641" i="5"/>
  <c r="T108" i="40" s="1"/>
  <c r="E2063" i="5"/>
  <c r="AA2067" i="5" s="1"/>
  <c r="BF238" i="40" s="1"/>
  <c r="E1903" i="5"/>
  <c r="W1902" i="5" s="1"/>
  <c r="E1904" i="5"/>
  <c r="AA1894" i="5" s="1"/>
  <c r="F219" i="40" s="1"/>
  <c r="E1905" i="5"/>
  <c r="E1812" i="5"/>
  <c r="E2166" i="5"/>
  <c r="E2173" i="5"/>
  <c r="E2174" i="5"/>
  <c r="AA2164" i="5" s="1"/>
  <c r="F240" i="40" s="1"/>
  <c r="E2175" i="5"/>
  <c r="E2377" i="5"/>
  <c r="E2543" i="5"/>
  <c r="AA2547" i="5" s="1"/>
  <c r="BF131" i="40" s="1"/>
  <c r="W2547" i="5"/>
  <c r="E2413" i="5"/>
  <c r="E2414" i="5"/>
  <c r="AA2404" i="5" s="1"/>
  <c r="F171" i="40" s="1"/>
  <c r="E2415" i="5"/>
  <c r="E2423" i="5"/>
  <c r="W2427" i="5"/>
  <c r="E2451" i="5"/>
  <c r="E2601" i="5"/>
  <c r="E2721" i="5"/>
  <c r="E2663" i="5"/>
  <c r="AA2667" i="5" s="1"/>
  <c r="BF224" i="40" s="1"/>
  <c r="S2811" i="5"/>
  <c r="E2863" i="5"/>
  <c r="E2864" i="5"/>
  <c r="AA2854" i="5" s="1"/>
  <c r="F196" i="40" s="1"/>
  <c r="E2865" i="5"/>
  <c r="E2890" i="5"/>
  <c r="E2828" i="5"/>
  <c r="AA2832" i="5" s="1"/>
  <c r="BF153" i="40" s="1"/>
  <c r="W2832" i="5"/>
  <c r="E3186" i="5"/>
  <c r="E3021" i="5"/>
  <c r="E3232" i="5"/>
  <c r="E3156" i="5"/>
  <c r="E3173" i="5"/>
  <c r="AA3177" i="5" s="1"/>
  <c r="BF155" i="40" s="1"/>
  <c r="W3177" i="5"/>
  <c r="E3268" i="5"/>
  <c r="E3269" i="5"/>
  <c r="AA3259" i="5" s="1"/>
  <c r="F173" i="40" s="1"/>
  <c r="E3270" i="5"/>
  <c r="E3443" i="5"/>
  <c r="AA3447" i="5" s="1"/>
  <c r="BF168" i="40" s="1"/>
  <c r="W3447" i="5"/>
  <c r="E3687" i="5"/>
  <c r="E3613" i="5"/>
  <c r="E3614" i="5"/>
  <c r="AA3604" i="5" s="1"/>
  <c r="F257" i="40" s="1"/>
  <c r="E3615" i="5"/>
  <c r="E3718" i="5"/>
  <c r="E3719" i="5"/>
  <c r="S3709" i="5" s="1"/>
  <c r="E3720" i="5"/>
  <c r="E3808" i="5"/>
  <c r="E3809" i="5"/>
  <c r="AA3799" i="5" s="1"/>
  <c r="F210" i="40" s="1"/>
  <c r="E3810" i="5"/>
  <c r="E3366" i="5"/>
  <c r="E3623" i="5"/>
  <c r="AA3627" i="5" s="1"/>
  <c r="BF255" i="40" s="1"/>
  <c r="E3745" i="5"/>
  <c r="E3278" i="5"/>
  <c r="AA3282" i="5" s="1"/>
  <c r="BF228" i="40" s="1"/>
  <c r="W3282" i="5"/>
  <c r="E3442" i="5"/>
  <c r="E3566" i="5"/>
  <c r="E3551" i="5"/>
  <c r="E3505" i="5"/>
  <c r="W3507" i="5" s="1"/>
  <c r="E3683" i="5"/>
  <c r="AA3687" i="5" s="1"/>
  <c r="BF136" i="40" s="1"/>
  <c r="W3687" i="5"/>
  <c r="E3712" i="5"/>
  <c r="E3771" i="5"/>
  <c r="E3835" i="5"/>
  <c r="AA3671" i="5"/>
  <c r="BC158" i="40" s="1"/>
  <c r="AA762" i="5"/>
  <c r="AA2681" i="5"/>
  <c r="BC208" i="40" s="1"/>
  <c r="AA1017" i="5"/>
  <c r="AA34" i="5"/>
  <c r="AA1181" i="5"/>
  <c r="AA3439" i="5"/>
  <c r="F168" i="40" s="1"/>
  <c r="AA1091" i="5"/>
  <c r="AA3784" i="5"/>
  <c r="F130" i="40" s="1"/>
  <c r="AA3207" i="5"/>
  <c r="BF250" i="40" s="1"/>
  <c r="AA2359" i="5"/>
  <c r="F215" i="40" s="1"/>
  <c r="AA3536" i="5"/>
  <c r="BC169" i="40" s="1"/>
  <c r="AA2516" i="5"/>
  <c r="BC206" i="40" s="1"/>
  <c r="AA979" i="5"/>
  <c r="AA461" i="5"/>
  <c r="AA26" i="5"/>
  <c r="AA1706" i="5"/>
  <c r="AA686" i="5"/>
  <c r="AA3754" i="5"/>
  <c r="F150" i="40" s="1"/>
  <c r="AA3866" i="5"/>
  <c r="BC258" i="40" s="1"/>
  <c r="AA1174" i="5"/>
  <c r="AA491" i="5"/>
  <c r="AA3424" i="5"/>
  <c r="F147" i="40" s="1"/>
  <c r="AA3236" i="5"/>
  <c r="BC209" i="40" s="1"/>
  <c r="AA926" i="5"/>
  <c r="AA3776" i="5"/>
  <c r="BC182" i="40" s="1"/>
  <c r="AA3581" i="5"/>
  <c r="BC181" i="40" s="1"/>
  <c r="AA1061" i="5"/>
  <c r="AA3806" i="5"/>
  <c r="BC210" i="40" s="1"/>
  <c r="AA1301" i="5"/>
  <c r="AA1722" i="5"/>
  <c r="AA3791" i="5"/>
  <c r="BC130" i="40" s="1"/>
  <c r="AA1182" i="5"/>
  <c r="AA3731" i="5"/>
  <c r="BC217" i="40" s="1"/>
  <c r="AA2366" i="5"/>
  <c r="BC215" i="40" s="1"/>
  <c r="AA2479" i="5"/>
  <c r="F172" i="40" s="1"/>
  <c r="AA1579" i="5"/>
  <c r="AA1392" i="5"/>
  <c r="AA27" i="5"/>
  <c r="AA986" i="5"/>
  <c r="AA3431" i="5"/>
  <c r="BC147" i="40" s="1"/>
  <c r="AA334" i="5"/>
  <c r="AA2486" i="5"/>
  <c r="BC172" i="40" s="1"/>
  <c r="AA1699" i="5"/>
  <c r="AA2051" i="5"/>
  <c r="BC146" i="40" s="1"/>
  <c r="AA56" i="5"/>
  <c r="AA2231" i="5"/>
  <c r="BC242" i="40" s="1"/>
  <c r="AA2494" i="5"/>
  <c r="F159" i="40" s="1"/>
  <c r="AA3311" i="5"/>
  <c r="BC160" i="40" s="1"/>
  <c r="AA499" i="5"/>
  <c r="AA1526" i="5"/>
  <c r="AA1196" i="5"/>
  <c r="AA1227" i="5"/>
  <c r="AA3401" i="5"/>
  <c r="BC139" i="40" s="1"/>
  <c r="AA1961" i="5"/>
  <c r="BC140" i="40" s="1"/>
  <c r="AA1954" i="5"/>
  <c r="F140" i="40" s="1"/>
  <c r="AA2224" i="5"/>
  <c r="F242" i="40" s="1"/>
  <c r="AA1076" i="5"/>
  <c r="AA2074" i="5"/>
  <c r="F239" i="40" s="1"/>
  <c r="AA1646" i="5"/>
  <c r="AA1639" i="5"/>
  <c r="AA2194" i="5"/>
  <c r="F167" i="40" s="1"/>
  <c r="AA1541" i="5"/>
  <c r="AA1466" i="5"/>
  <c r="AA1519" i="5"/>
  <c r="AA1189" i="5"/>
  <c r="AA589" i="5"/>
  <c r="AA2456" i="5"/>
  <c r="BC211" i="40" s="1"/>
  <c r="AA1976" i="5"/>
  <c r="BC152" i="40" s="1"/>
  <c r="AA3514" i="5"/>
  <c r="F189" i="40" s="1"/>
  <c r="AA2427" i="5"/>
  <c r="BF138" i="40" s="1"/>
  <c r="AA956" i="5"/>
  <c r="AA1069" i="5"/>
  <c r="AA3334" i="5"/>
  <c r="F180" i="40" s="1"/>
  <c r="AA1916" i="5"/>
  <c r="BC151" i="40" s="1"/>
  <c r="AA2306" i="5"/>
  <c r="BC187" i="40" s="1"/>
  <c r="AA1714" i="5"/>
  <c r="AA2884" i="5"/>
  <c r="F166" i="40" s="1"/>
  <c r="AA1857" i="5"/>
  <c r="AA1001" i="5"/>
  <c r="AA1106" i="5"/>
  <c r="AA3461" i="5"/>
  <c r="BC142" i="40" s="1"/>
  <c r="AA244" i="5"/>
  <c r="AA2441" i="5"/>
  <c r="BC234" i="40" s="1"/>
  <c r="AA2411" i="5"/>
  <c r="BC171" i="40" s="1"/>
  <c r="AA3296" i="5"/>
  <c r="BC198" i="40" s="1"/>
  <c r="AA874" i="5"/>
  <c r="AA1534" i="5"/>
  <c r="AA1459" i="5"/>
  <c r="AA3176" i="5"/>
  <c r="BC155" i="40" s="1"/>
  <c r="AA3169" i="5"/>
  <c r="F155" i="40" s="1"/>
  <c r="AA431" i="5"/>
  <c r="AA709" i="5"/>
  <c r="AA596" i="5"/>
  <c r="AA3266" i="5"/>
  <c r="BC173" i="40" s="1"/>
  <c r="AA566" i="5"/>
  <c r="AA619" i="5"/>
  <c r="AA1624" i="5"/>
  <c r="AA2651" i="5"/>
  <c r="BC221" i="40" s="1"/>
  <c r="AA3221" i="5"/>
  <c r="BC185" i="40" s="1"/>
  <c r="AA1856" i="5"/>
  <c r="AA3214" i="5"/>
  <c r="F185" i="40" s="1"/>
  <c r="AA2336" i="5"/>
  <c r="BC220" i="40" s="1"/>
  <c r="AA3161" i="5"/>
  <c r="BC225" i="40" s="1"/>
  <c r="AA1669" i="5"/>
  <c r="AA2906" i="5"/>
  <c r="BC191" i="40" s="1"/>
  <c r="AA1886" i="5"/>
  <c r="BC179" i="40" s="1"/>
  <c r="AA1496" i="5"/>
  <c r="AA1931" i="5"/>
  <c r="BC227" i="40" s="1"/>
  <c r="AA3701" i="5"/>
  <c r="BC133" i="40" s="1"/>
  <c r="AA2726" i="5"/>
  <c r="BC259" i="40" s="1"/>
  <c r="AA2021" i="5"/>
  <c r="BC207" i="40" s="1"/>
  <c r="AA2816" i="5"/>
  <c r="BC144" i="40" s="1"/>
  <c r="AA1571" i="5"/>
  <c r="AA506" i="5"/>
  <c r="AA3341" i="5"/>
  <c r="BC180" i="40" s="1"/>
  <c r="AA1849" i="5"/>
  <c r="AA1924" i="5"/>
  <c r="F227" i="40" s="1"/>
  <c r="AA1556" i="5"/>
  <c r="AA2599" i="5"/>
  <c r="F201" i="40" s="1"/>
  <c r="AA1506" i="5"/>
  <c r="AA3117" i="5"/>
  <c r="BF248" i="40" s="1"/>
  <c r="AA3109" i="5"/>
  <c r="F248" i="40" s="1"/>
  <c r="S1359" i="5"/>
  <c r="W1359" i="5"/>
  <c r="AA1359" i="5"/>
  <c r="AA2784" i="5"/>
  <c r="S2784" i="5"/>
  <c r="W2784" i="5"/>
  <c r="S2739" i="5"/>
  <c r="AA2739" i="5"/>
  <c r="W2739" i="5"/>
  <c r="S204" i="5"/>
  <c r="AA204" i="5"/>
  <c r="W204" i="5"/>
  <c r="W864" i="5"/>
  <c r="S864" i="5"/>
  <c r="AA864" i="5"/>
  <c r="AA1389" i="5"/>
  <c r="S1389" i="5"/>
  <c r="W1389" i="5"/>
  <c r="S1419" i="5"/>
  <c r="W1419" i="5"/>
  <c r="AA1419" i="5"/>
  <c r="AA1104" i="5"/>
  <c r="W1104" i="5"/>
  <c r="S1104" i="5"/>
  <c r="S474" i="5"/>
  <c r="W474" i="5"/>
  <c r="AA474" i="5"/>
  <c r="W2034" i="5"/>
  <c r="S2034" i="5"/>
  <c r="AA2034" i="5"/>
  <c r="W3174" i="5"/>
  <c r="S3174" i="5"/>
  <c r="AA3174" i="5"/>
  <c r="W2064" i="5"/>
  <c r="S2064" i="5"/>
  <c r="AA2064" i="5"/>
  <c r="AA1014" i="5"/>
  <c r="W1014" i="5"/>
  <c r="S1014" i="5"/>
  <c r="W2319" i="5"/>
  <c r="AA2319" i="5"/>
  <c r="S2319" i="5"/>
  <c r="S2334" i="5"/>
  <c r="W2334" i="5"/>
  <c r="AA2334" i="5"/>
  <c r="S2679" i="5"/>
  <c r="W2679" i="5"/>
  <c r="AA2679" i="5"/>
  <c r="AA2214" i="5"/>
  <c r="W2214" i="5"/>
  <c r="S2214" i="5"/>
  <c r="S3339" i="5"/>
  <c r="W3339" i="5"/>
  <c r="AA3339" i="5"/>
  <c r="S3444" i="5"/>
  <c r="W3444" i="5"/>
  <c r="AA3444" i="5"/>
  <c r="AA579" i="5"/>
  <c r="S579" i="5"/>
  <c r="W579" i="5"/>
  <c r="S2394" i="5"/>
  <c r="W2394" i="5"/>
  <c r="AA2394" i="5"/>
  <c r="S2649" i="5"/>
  <c r="W2649" i="5"/>
  <c r="AA2649" i="5"/>
  <c r="S654" i="5"/>
  <c r="W654" i="5"/>
  <c r="AA654" i="5"/>
  <c r="AA2169" i="5"/>
  <c r="S2169" i="5"/>
  <c r="W2169" i="5"/>
  <c r="AA2019" i="5"/>
  <c r="S2019" i="5"/>
  <c r="W2019" i="5"/>
  <c r="S1614" i="5"/>
  <c r="W1614" i="5"/>
  <c r="AA1614" i="5"/>
  <c r="AA1029" i="5"/>
  <c r="W1029" i="5"/>
  <c r="S1029" i="5"/>
  <c r="W894" i="5"/>
  <c r="AA894" i="5"/>
  <c r="S894" i="5"/>
  <c r="AA1194" i="5"/>
  <c r="W1194" i="5"/>
  <c r="S1194" i="5"/>
  <c r="AA2424" i="5"/>
  <c r="W2424" i="5"/>
  <c r="S2424" i="5"/>
  <c r="AA2439" i="5"/>
  <c r="W2439" i="5"/>
  <c r="S2439" i="5"/>
  <c r="AA1254" i="5"/>
  <c r="S1254" i="5"/>
  <c r="W1254" i="5"/>
  <c r="S2184" i="5"/>
  <c r="AA2184" i="5"/>
  <c r="W2184" i="5"/>
  <c r="AA2409" i="5"/>
  <c r="S2409" i="5"/>
  <c r="W2409" i="5"/>
  <c r="W444" i="5"/>
  <c r="AA444" i="5"/>
  <c r="S444" i="5"/>
  <c r="AA144" i="5"/>
  <c r="W144" i="5"/>
  <c r="S144" i="5"/>
  <c r="AA324" i="5"/>
  <c r="W324" i="5"/>
  <c r="S324" i="5"/>
  <c r="W1119" i="5"/>
  <c r="S1119" i="5"/>
  <c r="AA1119" i="5"/>
  <c r="AA264" i="5"/>
  <c r="S264" i="5"/>
  <c r="W264" i="5"/>
  <c r="AA1929" i="5"/>
  <c r="S1929" i="5"/>
  <c r="W1929" i="5"/>
  <c r="S2634" i="5"/>
  <c r="W2634" i="5"/>
  <c r="AA2634" i="5"/>
  <c r="AA2919" i="5"/>
  <c r="W2919" i="5"/>
  <c r="S2919" i="5"/>
  <c r="W2289" i="5"/>
  <c r="AA2289" i="5"/>
  <c r="S2289" i="5"/>
  <c r="AA3039" i="5"/>
  <c r="W3039" i="5"/>
  <c r="S3039" i="5"/>
  <c r="AA3504" i="5"/>
  <c r="S3504" i="5"/>
  <c r="W3504" i="5"/>
  <c r="S774" i="5"/>
  <c r="W774" i="5"/>
  <c r="AA774" i="5"/>
  <c r="AA1344" i="5"/>
  <c r="S1344" i="5"/>
  <c r="W1344" i="5"/>
  <c r="W984" i="5"/>
  <c r="S984" i="5"/>
  <c r="AA984" i="5"/>
  <c r="S2949" i="5"/>
  <c r="W2949" i="5"/>
  <c r="AA2949" i="5"/>
  <c r="W3474" i="5"/>
  <c r="S3474" i="5"/>
  <c r="AA3474" i="5"/>
  <c r="W3279" i="5"/>
  <c r="AA3279" i="5"/>
  <c r="S3279" i="5"/>
  <c r="AA489" i="5"/>
  <c r="S489" i="5"/>
  <c r="W489" i="5"/>
  <c r="W834" i="5"/>
  <c r="S834" i="5"/>
  <c r="AA834" i="5"/>
  <c r="S69" i="5"/>
  <c r="AA69" i="5"/>
  <c r="W69" i="5"/>
  <c r="W729" i="5"/>
  <c r="S729" i="5"/>
  <c r="AA729" i="5"/>
  <c r="S1209" i="5"/>
  <c r="AA1209" i="5"/>
  <c r="W1209" i="5"/>
  <c r="AA1284" i="5"/>
  <c r="W1284" i="5"/>
  <c r="S1284" i="5"/>
  <c r="S819" i="5"/>
  <c r="W819" i="5"/>
  <c r="AA819" i="5"/>
  <c r="AA3204" i="5"/>
  <c r="S3204" i="5"/>
  <c r="W3204" i="5"/>
  <c r="S3324" i="5"/>
  <c r="AA3324" i="5"/>
  <c r="W3324" i="5"/>
  <c r="S2709" i="5"/>
  <c r="AA2709" i="5"/>
  <c r="W2709" i="5"/>
  <c r="AA849" i="5"/>
  <c r="S849" i="5"/>
  <c r="W849" i="5"/>
  <c r="AA1689" i="5"/>
  <c r="W1689" i="5"/>
  <c r="S1689" i="5"/>
  <c r="W2079" i="5"/>
  <c r="S2079" i="5"/>
  <c r="AA2079" i="5"/>
  <c r="S2304" i="5"/>
  <c r="AA2304" i="5"/>
  <c r="W2304" i="5"/>
  <c r="AA3684" i="5"/>
  <c r="S3684" i="5"/>
  <c r="W3684" i="5"/>
  <c r="S3384" i="5"/>
  <c r="W3384" i="5"/>
  <c r="AA3384" i="5"/>
  <c r="AA354" i="5"/>
  <c r="W354" i="5"/>
  <c r="S354" i="5"/>
  <c r="S1539" i="5"/>
  <c r="W1539" i="5"/>
  <c r="AA1539" i="5"/>
  <c r="S1599" i="5"/>
  <c r="AA1599" i="5"/>
  <c r="W1599" i="5"/>
  <c r="S1554" i="5"/>
  <c r="AA1554" i="5"/>
  <c r="W1554" i="5"/>
  <c r="S1899" i="5"/>
  <c r="W1899" i="5"/>
  <c r="AA1899" i="5"/>
  <c r="AA3264" i="5"/>
  <c r="W3264" i="5"/>
  <c r="S3264" i="5"/>
  <c r="W3054" i="5"/>
  <c r="S3054" i="5"/>
  <c r="AA3054" i="5"/>
  <c r="W3369" i="5"/>
  <c r="S3369" i="5"/>
  <c r="AA3369" i="5"/>
  <c r="AA9" i="5"/>
  <c r="W9" i="5"/>
  <c r="S9" i="5"/>
  <c r="AA2244" i="5"/>
  <c r="W2244" i="5"/>
  <c r="S2244" i="5"/>
  <c r="AA2769" i="5"/>
  <c r="W2769" i="5"/>
  <c r="S2769" i="5"/>
  <c r="W2049" i="5"/>
  <c r="S2049" i="5"/>
  <c r="AA2049" i="5"/>
  <c r="S3459" i="5"/>
  <c r="AA3459" i="5"/>
  <c r="W3459" i="5"/>
  <c r="S3849" i="5"/>
  <c r="AA3849" i="5"/>
  <c r="W3849" i="5"/>
  <c r="S1179" i="5"/>
  <c r="W1179" i="5"/>
  <c r="AA1179" i="5"/>
  <c r="S39" i="5"/>
  <c r="W39" i="5"/>
  <c r="AA39" i="5"/>
  <c r="W384" i="5"/>
  <c r="AA384" i="5"/>
  <c r="S384" i="5"/>
  <c r="AA3414" i="5"/>
  <c r="W3414" i="5"/>
  <c r="S3414" i="5"/>
  <c r="AA3024" i="5"/>
  <c r="W3024" i="5"/>
  <c r="S3024" i="5"/>
  <c r="AA1719" i="5"/>
  <c r="W1719" i="5"/>
  <c r="S1719" i="5"/>
  <c r="W2724" i="5"/>
  <c r="S2724" i="5"/>
  <c r="AA2724" i="5"/>
  <c r="S3114" i="5"/>
  <c r="AA3114" i="5"/>
  <c r="W3114" i="5"/>
  <c r="S1674" i="5"/>
  <c r="W1674" i="5"/>
  <c r="AA1674" i="5"/>
  <c r="W2544" i="5"/>
  <c r="S2544" i="5"/>
  <c r="AA2544" i="5"/>
  <c r="AA594" i="5"/>
  <c r="S594" i="5"/>
  <c r="W594" i="5"/>
  <c r="AA1434" i="5"/>
  <c r="S1434" i="5"/>
  <c r="W1434" i="5"/>
  <c r="W114" i="5"/>
  <c r="AA114" i="5"/>
  <c r="S114" i="5"/>
  <c r="W2469" i="5"/>
  <c r="S2469" i="5"/>
  <c r="AA2469" i="5"/>
  <c r="S3399" i="5"/>
  <c r="AA3399" i="5"/>
  <c r="W3399" i="5"/>
  <c r="S2829" i="5"/>
  <c r="W2829" i="5"/>
  <c r="AA2829" i="5"/>
  <c r="W3219" i="5"/>
  <c r="AA3219" i="5"/>
  <c r="S3219" i="5"/>
  <c r="S3249" i="5"/>
  <c r="AA3249" i="5"/>
  <c r="W3249" i="5"/>
  <c r="AA3429" i="5"/>
  <c r="S3429" i="5"/>
  <c r="W3429" i="5"/>
  <c r="AA459" i="5"/>
  <c r="W459" i="5"/>
  <c r="S459" i="5"/>
  <c r="S3069" i="5"/>
  <c r="AA3069" i="5"/>
  <c r="W3069" i="5"/>
  <c r="AA1329" i="5"/>
  <c r="S1329" i="5"/>
  <c r="W1329" i="5"/>
  <c r="AA2529" i="5"/>
  <c r="S2529" i="5"/>
  <c r="W2529" i="5"/>
  <c r="S2139" i="5"/>
  <c r="W2139" i="5"/>
  <c r="AA2139" i="5"/>
  <c r="W2094" i="5"/>
  <c r="AA2094" i="5"/>
  <c r="S2094" i="5"/>
  <c r="W1989" i="5"/>
  <c r="S1989" i="5"/>
  <c r="AA1989" i="5"/>
  <c r="W159" i="5"/>
  <c r="S159" i="5"/>
  <c r="AA159" i="5"/>
  <c r="S669" i="5"/>
  <c r="W669" i="5"/>
  <c r="AA669" i="5"/>
  <c r="S939" i="5"/>
  <c r="W939" i="5"/>
  <c r="AA939" i="5"/>
  <c r="W2454" i="5"/>
  <c r="S2454" i="5"/>
  <c r="AA2454" i="5"/>
  <c r="AA2154" i="5"/>
  <c r="W2154" i="5"/>
  <c r="S2154" i="5"/>
  <c r="S2889" i="5"/>
  <c r="AA2889" i="5"/>
  <c r="W2889" i="5"/>
  <c r="AA3099" i="5"/>
  <c r="S3099" i="5"/>
  <c r="W3099" i="5"/>
  <c r="W789" i="5"/>
  <c r="S789" i="5"/>
  <c r="AA789" i="5"/>
  <c r="AA2934" i="5"/>
  <c r="W2934" i="5"/>
  <c r="S2934" i="5"/>
  <c r="W1479" i="5"/>
  <c r="S1479" i="5"/>
  <c r="AA1479" i="5"/>
  <c r="W2604" i="5"/>
  <c r="S2604" i="5"/>
  <c r="AA2604" i="5"/>
  <c r="S2904" i="5"/>
  <c r="W2904" i="5"/>
  <c r="AA2904" i="5"/>
  <c r="S3354" i="5"/>
  <c r="AA3354" i="5"/>
  <c r="W3354" i="5"/>
  <c r="S2004" i="5"/>
  <c r="W2004" i="5"/>
  <c r="AA2004" i="5"/>
  <c r="AA1089" i="5"/>
  <c r="W1089" i="5"/>
  <c r="S1089" i="5"/>
  <c r="W909" i="5"/>
  <c r="AA909" i="5"/>
  <c r="S909" i="5"/>
  <c r="W609" i="5"/>
  <c r="S609" i="5"/>
  <c r="AA609" i="5"/>
  <c r="AA804" i="5"/>
  <c r="W804" i="5"/>
  <c r="S804" i="5"/>
  <c r="S129" i="5"/>
  <c r="W129" i="5"/>
  <c r="AA129" i="5"/>
  <c r="W1659" i="5"/>
  <c r="AA1659" i="5"/>
  <c r="S1659" i="5"/>
  <c r="AA2979" i="5"/>
  <c r="S2979" i="5"/>
  <c r="W2979" i="5"/>
  <c r="S2109" i="5"/>
  <c r="AA2109" i="5"/>
  <c r="W2109" i="5"/>
  <c r="S2664" i="5"/>
  <c r="AA2664" i="5"/>
  <c r="W2664" i="5"/>
  <c r="W174" i="5"/>
  <c r="AA174" i="5"/>
  <c r="S174" i="5"/>
  <c r="AA54" i="5"/>
  <c r="W54" i="5"/>
  <c r="S54" i="5"/>
  <c r="AA234" i="5"/>
  <c r="W234" i="5"/>
  <c r="S234" i="5"/>
  <c r="AA414" i="5"/>
  <c r="W414" i="5"/>
  <c r="S414" i="5"/>
  <c r="W1134" i="5"/>
  <c r="S1134" i="5"/>
  <c r="AA1134" i="5"/>
  <c r="S549" i="5"/>
  <c r="W549" i="5"/>
  <c r="AA549" i="5"/>
  <c r="W84" i="5"/>
  <c r="S84" i="5"/>
  <c r="AA84" i="5"/>
  <c r="AA759" i="5"/>
  <c r="S759" i="5"/>
  <c r="W759" i="5"/>
  <c r="S1149" i="5"/>
  <c r="AA1149" i="5"/>
  <c r="W1149" i="5"/>
  <c r="S534" i="5"/>
  <c r="W534" i="5"/>
  <c r="AA534" i="5"/>
  <c r="W2874" i="5"/>
  <c r="S2874" i="5"/>
  <c r="AA2874" i="5"/>
  <c r="S684" i="5"/>
  <c r="AA684" i="5"/>
  <c r="W684" i="5"/>
  <c r="W1164" i="5"/>
  <c r="AA1164" i="5"/>
  <c r="S1164" i="5"/>
  <c r="S24" i="5"/>
  <c r="W24" i="5"/>
  <c r="AA24" i="5"/>
  <c r="S1059" i="5"/>
  <c r="W1059" i="5"/>
  <c r="AA1059" i="5"/>
  <c r="S3084" i="5"/>
  <c r="W3084" i="5"/>
  <c r="AA3084" i="5"/>
  <c r="S2754" i="5"/>
  <c r="AA2754" i="5"/>
  <c r="W2754" i="5"/>
  <c r="AA1914" i="5"/>
  <c r="W1914" i="5"/>
  <c r="S1914" i="5"/>
  <c r="W1854" i="5"/>
  <c r="AA1854" i="5"/>
  <c r="S1854" i="5"/>
  <c r="S279" i="5"/>
  <c r="AA279" i="5"/>
  <c r="W279" i="5"/>
  <c r="AA1569" i="5"/>
  <c r="W1569" i="5"/>
  <c r="S1569" i="5"/>
  <c r="AA2619" i="5"/>
  <c r="W2619" i="5"/>
  <c r="S2619" i="5"/>
  <c r="AA2259" i="5"/>
  <c r="W2259" i="5"/>
  <c r="S2259" i="5"/>
  <c r="AA1944" i="5"/>
  <c r="W1944" i="5"/>
  <c r="S1944" i="5"/>
  <c r="W504" i="5"/>
  <c r="AA504" i="5"/>
  <c r="S504" i="5"/>
  <c r="AA189" i="5"/>
  <c r="W189" i="5"/>
  <c r="S189" i="5"/>
  <c r="S1839" i="5"/>
  <c r="AA1839" i="5"/>
  <c r="W1839" i="5"/>
  <c r="W3159" i="5"/>
  <c r="S3159" i="5"/>
  <c r="AA3159" i="5"/>
  <c r="AA3294" i="5"/>
  <c r="W3294" i="5"/>
  <c r="S3294" i="5"/>
  <c r="W3519" i="5"/>
  <c r="AA3519" i="5"/>
  <c r="S3519" i="5"/>
  <c r="S249" i="5"/>
  <c r="AA249" i="5"/>
  <c r="W249" i="5"/>
  <c r="AA1374" i="5"/>
  <c r="W1374" i="5"/>
  <c r="S1374" i="5"/>
  <c r="S2199" i="5"/>
  <c r="W2199" i="5"/>
  <c r="AA2199" i="5"/>
  <c r="W2964" i="5"/>
  <c r="S2964" i="5"/>
  <c r="AA2964" i="5"/>
  <c r="S2589" i="5"/>
  <c r="AA2589" i="5"/>
  <c r="W2589" i="5"/>
  <c r="AA2994" i="5"/>
  <c r="S2994" i="5"/>
  <c r="W2994" i="5"/>
  <c r="AA3489" i="5"/>
  <c r="S3489" i="5"/>
  <c r="W3489" i="5"/>
  <c r="W1314" i="5"/>
  <c r="S1314" i="5"/>
  <c r="AA1314" i="5"/>
  <c r="AA924" i="5"/>
  <c r="W924" i="5"/>
  <c r="S924" i="5"/>
  <c r="AA1449" i="5"/>
  <c r="S1449" i="5"/>
  <c r="W1449" i="5"/>
  <c r="S2844" i="5"/>
  <c r="AA2844" i="5"/>
  <c r="W2844" i="5"/>
  <c r="AA2814" i="5"/>
  <c r="W2814" i="5"/>
  <c r="S2814" i="5"/>
  <c r="S3309" i="5"/>
  <c r="W3309" i="5"/>
  <c r="AA3309" i="5"/>
  <c r="S3009" i="5"/>
  <c r="W3009" i="5"/>
  <c r="AA3009" i="5"/>
  <c r="S3819" i="5"/>
  <c r="W3819" i="5"/>
  <c r="AA3819" i="5"/>
  <c r="S429" i="5"/>
  <c r="AA429" i="5"/>
  <c r="W429" i="5"/>
  <c r="AA999" i="5"/>
  <c r="S999" i="5"/>
  <c r="W999" i="5"/>
  <c r="W1299" i="5"/>
  <c r="AA1299" i="5"/>
  <c r="S1299" i="5"/>
  <c r="AA1644" i="5"/>
  <c r="W1644" i="5"/>
  <c r="S1644" i="5"/>
  <c r="W1704" i="5"/>
  <c r="S1704" i="5"/>
  <c r="AA1704" i="5"/>
  <c r="AA2559" i="5"/>
  <c r="W2559" i="5"/>
  <c r="S2559" i="5"/>
  <c r="W339" i="5"/>
  <c r="S339" i="5"/>
  <c r="AA339" i="5"/>
  <c r="S1509" i="5"/>
  <c r="AA1509" i="5"/>
  <c r="W1509" i="5"/>
  <c r="S219" i="5"/>
  <c r="W219" i="5"/>
  <c r="AA219" i="5"/>
  <c r="W714" i="5"/>
  <c r="S714" i="5"/>
  <c r="AA714" i="5"/>
  <c r="S2229" i="5"/>
  <c r="W2229" i="5"/>
  <c r="AA2229" i="5"/>
  <c r="S2574" i="5"/>
  <c r="W2574" i="5"/>
  <c r="AA2574" i="5"/>
  <c r="S2349" i="5"/>
  <c r="W2349" i="5"/>
  <c r="AA2349" i="5"/>
  <c r="AA1494" i="5"/>
  <c r="W1494" i="5"/>
  <c r="S1494" i="5"/>
  <c r="S1869" i="5"/>
  <c r="W1869" i="5"/>
  <c r="AA1869" i="5"/>
  <c r="AA2799" i="5"/>
  <c r="S2799" i="5"/>
  <c r="W2799" i="5"/>
  <c r="W3129" i="5"/>
  <c r="S3129" i="5"/>
  <c r="AA3129" i="5"/>
  <c r="S1734" i="5"/>
  <c r="AA1734" i="5"/>
  <c r="W1734" i="5"/>
  <c r="S3234" i="5"/>
  <c r="W3234" i="5"/>
  <c r="AA3234" i="5"/>
  <c r="AA564" i="5"/>
  <c r="W564" i="5"/>
  <c r="S564" i="5"/>
  <c r="S1269" i="5"/>
  <c r="AA1269" i="5"/>
  <c r="W1269" i="5"/>
  <c r="AA3144" i="5"/>
  <c r="S3144" i="5"/>
  <c r="W3144" i="5"/>
  <c r="AA1959" i="5"/>
  <c r="S1959" i="5"/>
  <c r="W1959" i="5"/>
  <c r="S744" i="5"/>
  <c r="W1884" i="5"/>
  <c r="S954" i="5"/>
  <c r="S3189" i="5"/>
  <c r="AA954" i="5"/>
  <c r="W744" i="5"/>
  <c r="S1884" i="5"/>
  <c r="W954" i="5"/>
  <c r="AA1974" i="5"/>
  <c r="AA1584" i="5"/>
  <c r="AA294" i="5"/>
  <c r="W624" i="5"/>
  <c r="S2274" i="5"/>
  <c r="W1044" i="5"/>
  <c r="S624" i="5"/>
  <c r="W2274" i="5"/>
  <c r="AA1044" i="5"/>
  <c r="S1044" i="5"/>
  <c r="W3834" i="5"/>
  <c r="W639" i="5"/>
  <c r="AA1224" i="5"/>
  <c r="S3834" i="5"/>
  <c r="S639" i="5"/>
  <c r="W3189" i="5"/>
  <c r="AA744" i="5"/>
  <c r="AA369" i="5"/>
  <c r="S1239" i="5"/>
  <c r="S1224" i="5"/>
  <c r="W879" i="5"/>
  <c r="S1974" i="5"/>
  <c r="S2124" i="5"/>
  <c r="W1054" i="5" l="1"/>
  <c r="F104" i="40" s="1"/>
  <c r="W3267" i="5"/>
  <c r="S2831" i="5"/>
  <c r="W1542" i="5"/>
  <c r="BF90" i="40" s="1"/>
  <c r="S851" i="5"/>
  <c r="BC9" i="40" s="1"/>
  <c r="W499" i="5"/>
  <c r="S221" i="5"/>
  <c r="BC22" i="40" s="1"/>
  <c r="W1504" i="5"/>
  <c r="F71" i="40" s="1"/>
  <c r="W3462" i="5"/>
  <c r="W1272" i="5"/>
  <c r="BF85" i="40" s="1"/>
  <c r="W612" i="5"/>
  <c r="S1706" i="5"/>
  <c r="W2156" i="5"/>
  <c r="W3327" i="5"/>
  <c r="S1031" i="5"/>
  <c r="BC70" i="40" s="1"/>
  <c r="W1437" i="5"/>
  <c r="BF120" i="40" s="1"/>
  <c r="W717" i="5"/>
  <c r="W2592" i="5"/>
  <c r="S1511" i="5"/>
  <c r="W132" i="5"/>
  <c r="W2652" i="5"/>
  <c r="W3072" i="5"/>
  <c r="W2097" i="5"/>
  <c r="W2922" i="5"/>
  <c r="AA3709" i="5"/>
  <c r="F186" i="40" s="1"/>
  <c r="W3521" i="5"/>
  <c r="S3161" i="5"/>
  <c r="S1054" i="5"/>
  <c r="W2847" i="5"/>
  <c r="S3251" i="5"/>
  <c r="W2802" i="5"/>
  <c r="W2419" i="5"/>
  <c r="W2727" i="5"/>
  <c r="W2982" i="5"/>
  <c r="W327" i="5"/>
  <c r="W3852" i="5"/>
  <c r="W1647" i="5"/>
  <c r="BF108" i="40" s="1"/>
  <c r="S2651" i="5"/>
  <c r="W1017" i="5"/>
  <c r="W904" i="5"/>
  <c r="W551" i="5"/>
  <c r="W87" i="5"/>
  <c r="W432" i="5"/>
  <c r="W889" i="5"/>
  <c r="W1842" i="5"/>
  <c r="BF116" i="40" s="1"/>
  <c r="W2562" i="5"/>
  <c r="W687" i="5"/>
  <c r="W2202" i="5"/>
  <c r="W2164" i="5"/>
  <c r="W1317" i="5"/>
  <c r="BF84" i="40" s="1"/>
  <c r="W1167" i="5"/>
  <c r="BF118" i="40" s="1"/>
  <c r="W3102" i="5"/>
  <c r="W477" i="5"/>
  <c r="S109" i="5"/>
  <c r="F42" i="40" s="1"/>
  <c r="S3064" i="5"/>
  <c r="S3199" i="5"/>
  <c r="W2082" i="5"/>
  <c r="W3686" i="5"/>
  <c r="W2907" i="5"/>
  <c r="S2606" i="5"/>
  <c r="S2906" i="5"/>
  <c r="W342" i="5"/>
  <c r="W1377" i="5"/>
  <c r="BF121" i="40" s="1"/>
  <c r="S2621" i="5"/>
  <c r="W1841" i="5"/>
  <c r="BC116" i="40" s="1"/>
  <c r="W2726" i="5"/>
  <c r="W357" i="5"/>
  <c r="W1107" i="5"/>
  <c r="BF109" i="40" s="1"/>
  <c r="W2607" i="5"/>
  <c r="W2052" i="5"/>
  <c r="S1294" i="5"/>
  <c r="W807" i="5"/>
  <c r="S491" i="5"/>
  <c r="BC32" i="40" s="1"/>
  <c r="W2172" i="5"/>
  <c r="W1857" i="5"/>
  <c r="BF78" i="40" s="1"/>
  <c r="W2577" i="5"/>
  <c r="W3386" i="5"/>
  <c r="W461" i="5"/>
  <c r="S566" i="5"/>
  <c r="BC11" i="40" s="1"/>
  <c r="S3401" i="5"/>
  <c r="W2412" i="5"/>
  <c r="W821" i="5"/>
  <c r="W2622" i="5"/>
  <c r="S3454" i="5"/>
  <c r="S3236" i="5"/>
  <c r="W2262" i="5"/>
  <c r="W1302" i="5"/>
  <c r="BF115" i="40" s="1"/>
  <c r="W769" i="5"/>
  <c r="W222" i="5"/>
  <c r="W2877" i="5"/>
  <c r="W1032" i="5"/>
  <c r="W3574" i="5"/>
  <c r="S2471" i="5"/>
  <c r="W1174" i="5"/>
  <c r="F114" i="40" s="1"/>
  <c r="W1602" i="5"/>
  <c r="BF80" i="40" s="1"/>
  <c r="W1557" i="5"/>
  <c r="BF112" i="40" s="1"/>
  <c r="W1917" i="5"/>
  <c r="W2621" i="5"/>
  <c r="W1152" i="5"/>
  <c r="BF81" i="40" s="1"/>
  <c r="W1129" i="5"/>
  <c r="F126" i="40" s="1"/>
  <c r="W1497" i="5"/>
  <c r="BF107" i="40" s="1"/>
  <c r="W1722" i="5"/>
  <c r="BF117" i="40" s="1"/>
  <c r="W72" i="5"/>
  <c r="S896" i="5"/>
  <c r="BC51" i="40" s="1"/>
  <c r="W1002" i="5"/>
  <c r="W1616" i="5"/>
  <c r="BC75" i="40" s="1"/>
  <c r="S3146" i="5"/>
  <c r="W1091" i="5"/>
  <c r="BC87" i="40" s="1"/>
  <c r="W191" i="5"/>
  <c r="S1196" i="5"/>
  <c r="W1212" i="5"/>
  <c r="BF105" i="40" s="1"/>
  <c r="W3297" i="5"/>
  <c r="W462" i="5"/>
  <c r="W1016" i="5"/>
  <c r="S424" i="5"/>
  <c r="F6" i="40" s="1"/>
  <c r="W2576" i="5"/>
  <c r="W1992" i="5"/>
  <c r="S1736" i="5"/>
  <c r="W1962" i="5"/>
  <c r="AO7" i="40"/>
  <c r="AO119" i="40"/>
  <c r="AO30" i="40"/>
  <c r="AO122" i="40"/>
  <c r="AO50" i="40"/>
  <c r="AO78" i="40"/>
  <c r="AO31" i="40"/>
  <c r="AO66" i="40"/>
  <c r="AO151" i="40"/>
  <c r="AO113" i="40"/>
  <c r="AO100" i="40"/>
  <c r="AO173" i="40"/>
  <c r="AO95" i="40"/>
  <c r="AO13" i="40"/>
  <c r="AO18" i="40"/>
  <c r="AO79" i="40"/>
  <c r="AO90" i="40"/>
  <c r="AO114" i="40"/>
  <c r="AO5" i="40"/>
  <c r="AO16" i="40"/>
  <c r="AO255" i="40"/>
  <c r="AO144" i="40"/>
  <c r="AO72" i="40"/>
  <c r="AO233" i="40"/>
  <c r="AO48" i="40"/>
  <c r="AO89" i="40"/>
  <c r="AO199" i="40"/>
  <c r="AO22" i="40"/>
  <c r="AO15" i="40"/>
  <c r="AO83" i="40"/>
  <c r="AO75" i="40"/>
  <c r="AO33" i="40"/>
  <c r="AO104" i="40"/>
  <c r="AO25" i="40"/>
  <c r="AO243" i="40"/>
  <c r="AO204" i="40"/>
  <c r="AO147" i="40"/>
  <c r="AO152" i="40"/>
  <c r="AO35" i="40"/>
  <c r="AO98" i="40"/>
  <c r="AO45" i="40"/>
  <c r="AO103" i="40"/>
  <c r="AO67" i="40"/>
  <c r="AO8" i="40"/>
  <c r="AO171" i="40"/>
  <c r="AO62" i="40"/>
  <c r="W3627" i="5"/>
  <c r="W882" i="5"/>
  <c r="W57" i="5"/>
  <c r="P3839" i="5"/>
  <c r="P3840" i="5"/>
  <c r="P3524" i="5"/>
  <c r="P3525" i="5"/>
  <c r="P3299" i="5"/>
  <c r="P3300" i="5"/>
  <c r="S3754" i="5"/>
  <c r="W3754" i="5"/>
  <c r="AA3761" i="5"/>
  <c r="BC150" i="40" s="1"/>
  <c r="W1924" i="5"/>
  <c r="S1924" i="5"/>
  <c r="P1844" i="5"/>
  <c r="P1845" i="5"/>
  <c r="W2786" i="5"/>
  <c r="AA3101" i="5"/>
  <c r="BC141" i="40" s="1"/>
  <c r="S2824" i="5"/>
  <c r="P2444" i="5"/>
  <c r="P2445" i="5"/>
  <c r="S1721" i="5"/>
  <c r="W747" i="5"/>
  <c r="W94" i="5"/>
  <c r="S94" i="5"/>
  <c r="F2" i="40" s="1"/>
  <c r="AA101" i="5"/>
  <c r="AA184" i="5"/>
  <c r="P1034" i="5"/>
  <c r="P1035" i="5"/>
  <c r="W1069" i="5"/>
  <c r="F91" i="40" s="1"/>
  <c r="S1069" i="5"/>
  <c r="AA837" i="5"/>
  <c r="S1166" i="5"/>
  <c r="S619" i="5"/>
  <c r="F15" i="40" s="1"/>
  <c r="W371" i="5"/>
  <c r="W3732" i="5"/>
  <c r="AA3387" i="5"/>
  <c r="BF253" i="40" s="1"/>
  <c r="AA2997" i="5"/>
  <c r="BF235" i="40" s="1"/>
  <c r="W2397" i="5"/>
  <c r="AA2037" i="5"/>
  <c r="BF212" i="40" s="1"/>
  <c r="W1422" i="5"/>
  <c r="BF72" i="40" s="1"/>
  <c r="W552" i="5"/>
  <c r="S3499" i="5"/>
  <c r="W3499" i="5"/>
  <c r="AA3506" i="5"/>
  <c r="BC222" i="40" s="1"/>
  <c r="AA3822" i="5"/>
  <c r="BF163" i="40" s="1"/>
  <c r="W3491" i="5"/>
  <c r="S3469" i="5"/>
  <c r="AA3191" i="5"/>
  <c r="BC249" i="40" s="1"/>
  <c r="W2329" i="5"/>
  <c r="S2329" i="5"/>
  <c r="P2834" i="5"/>
  <c r="P2835" i="5"/>
  <c r="AA2831" i="5"/>
  <c r="BC153" i="40" s="1"/>
  <c r="AA2142" i="5"/>
  <c r="BF162" i="40" s="1"/>
  <c r="P1874" i="5"/>
  <c r="P1875" i="5"/>
  <c r="S3071" i="5"/>
  <c r="W2194" i="5"/>
  <c r="AA2104" i="5"/>
  <c r="F176" i="40" s="1"/>
  <c r="P2024" i="5"/>
  <c r="P2025" i="5"/>
  <c r="P2474" i="5"/>
  <c r="P2475" i="5"/>
  <c r="P2174" i="5"/>
  <c r="P2175" i="5"/>
  <c r="S1954" i="5"/>
  <c r="W1909" i="5"/>
  <c r="W3064" i="5"/>
  <c r="S2914" i="5"/>
  <c r="P2624" i="5"/>
  <c r="P2625" i="5"/>
  <c r="AA1077" i="5"/>
  <c r="S941" i="5"/>
  <c r="BC30" i="40" s="1"/>
  <c r="S671" i="5"/>
  <c r="BC66" i="40" s="1"/>
  <c r="AA1677" i="5"/>
  <c r="W1474" i="5"/>
  <c r="F122" i="40" s="1"/>
  <c r="S1084" i="5"/>
  <c r="P1439" i="5"/>
  <c r="P1440" i="5"/>
  <c r="P659" i="5"/>
  <c r="P660" i="5"/>
  <c r="W236" i="5"/>
  <c r="S1691" i="5"/>
  <c r="S1076" i="5"/>
  <c r="W3057" i="5"/>
  <c r="W1707" i="5"/>
  <c r="BF103" i="40" s="1"/>
  <c r="W2337" i="5"/>
  <c r="AA1429" i="5"/>
  <c r="W252" i="5"/>
  <c r="W3604" i="5"/>
  <c r="W3739" i="5"/>
  <c r="P3614" i="5"/>
  <c r="P3615" i="5"/>
  <c r="S3289" i="5"/>
  <c r="P2699" i="5"/>
  <c r="P2700" i="5"/>
  <c r="W2231" i="5"/>
  <c r="S2756" i="5"/>
  <c r="W3041" i="5"/>
  <c r="P2354" i="5"/>
  <c r="P2355" i="5"/>
  <c r="S2314" i="5"/>
  <c r="W2314" i="5"/>
  <c r="AA2321" i="5"/>
  <c r="BC232" i="40" s="1"/>
  <c r="S2336" i="5"/>
  <c r="S3124" i="5"/>
  <c r="S1849" i="5"/>
  <c r="AA2644" i="5"/>
  <c r="F221" i="40" s="1"/>
  <c r="P1214" i="5"/>
  <c r="P1215" i="5"/>
  <c r="W1234" i="5"/>
  <c r="F93" i="40" s="1"/>
  <c r="W1151" i="5"/>
  <c r="BC81" i="40" s="1"/>
  <c r="AA356" i="5"/>
  <c r="S716" i="5"/>
  <c r="BC63" i="40" s="1"/>
  <c r="S754" i="5"/>
  <c r="F60" i="40" s="1"/>
  <c r="W754" i="5"/>
  <c r="AA761" i="5"/>
  <c r="S146" i="5"/>
  <c r="BC20" i="40" s="1"/>
  <c r="W814" i="5"/>
  <c r="S656" i="5"/>
  <c r="BC7" i="40" s="1"/>
  <c r="AA267" i="5"/>
  <c r="W3567" i="5"/>
  <c r="AA2532" i="5"/>
  <c r="BF132" i="40" s="1"/>
  <c r="AA1024" i="5"/>
  <c r="AA484" i="5"/>
  <c r="AA117" i="5"/>
  <c r="AA3844" i="5"/>
  <c r="F157" i="40" s="1"/>
  <c r="S3574" i="5"/>
  <c r="S3461" i="5"/>
  <c r="S3799" i="5"/>
  <c r="S3769" i="5"/>
  <c r="P3479" i="5"/>
  <c r="P3480" i="5"/>
  <c r="S3019" i="5"/>
  <c r="W3019" i="5"/>
  <c r="AA3026" i="5"/>
  <c r="BC161" i="40" s="1"/>
  <c r="P2564" i="5"/>
  <c r="P2565" i="5"/>
  <c r="AA2007" i="5"/>
  <c r="BF237" i="40" s="1"/>
  <c r="S3356" i="5"/>
  <c r="W2906" i="5"/>
  <c r="W2411" i="5"/>
  <c r="S2224" i="5"/>
  <c r="AA3206" i="5"/>
  <c r="BC250" i="40" s="1"/>
  <c r="P2894" i="5"/>
  <c r="P2895" i="5"/>
  <c r="AA2629" i="5"/>
  <c r="F245" i="40" s="1"/>
  <c r="S1819" i="5"/>
  <c r="W1819" i="5"/>
  <c r="F106" i="40" s="1"/>
  <c r="AA1826" i="5"/>
  <c r="AA3252" i="5"/>
  <c r="BF251" i="40" s="1"/>
  <c r="S2869" i="5"/>
  <c r="W2636" i="5"/>
  <c r="W2081" i="5"/>
  <c r="S1091" i="5"/>
  <c r="AA1062" i="5"/>
  <c r="AA1676" i="5"/>
  <c r="AA1009" i="5"/>
  <c r="AA1436" i="5"/>
  <c r="P944" i="5"/>
  <c r="P945" i="5"/>
  <c r="P674" i="5"/>
  <c r="P675" i="5"/>
  <c r="S911" i="5"/>
  <c r="BC57" i="40" s="1"/>
  <c r="W356" i="5"/>
  <c r="W56" i="5"/>
  <c r="W1256" i="5"/>
  <c r="BC125" i="40" s="1"/>
  <c r="S1226" i="5"/>
  <c r="AA439" i="5"/>
  <c r="AA169" i="5"/>
  <c r="W1204" i="5"/>
  <c r="F105" i="40" s="1"/>
  <c r="W1264" i="5"/>
  <c r="F85" i="40" s="1"/>
  <c r="AA724" i="5"/>
  <c r="W1196" i="5"/>
  <c r="BC97" i="40" s="1"/>
  <c r="S1504" i="5"/>
  <c r="P1184" i="5"/>
  <c r="P1185" i="5"/>
  <c r="W971" i="5"/>
  <c r="W874" i="5"/>
  <c r="S101" i="5"/>
  <c r="BC2" i="40" s="1"/>
  <c r="S79" i="5"/>
  <c r="F41" i="40" s="1"/>
  <c r="AA3274" i="5"/>
  <c r="F228" i="40" s="1"/>
  <c r="AA3132" i="5"/>
  <c r="BF218" i="40" s="1"/>
  <c r="AA2082" i="5"/>
  <c r="BF239" i="40" s="1"/>
  <c r="AA1339" i="5"/>
  <c r="W642" i="5"/>
  <c r="P3509" i="5"/>
  <c r="P3510" i="5"/>
  <c r="P3629" i="5"/>
  <c r="P3630" i="5"/>
  <c r="S3551" i="5"/>
  <c r="P3824" i="5"/>
  <c r="P3825" i="5"/>
  <c r="W3694" i="5"/>
  <c r="AA3686" i="5"/>
  <c r="BC136" i="40" s="1"/>
  <c r="P3044" i="5"/>
  <c r="P3045" i="5"/>
  <c r="P3014" i="5"/>
  <c r="P3015" i="5"/>
  <c r="S2951" i="5"/>
  <c r="P2369" i="5"/>
  <c r="P2370" i="5"/>
  <c r="W2704" i="5"/>
  <c r="P3179" i="5"/>
  <c r="P3180" i="5"/>
  <c r="S3244" i="5"/>
  <c r="AA1872" i="5"/>
  <c r="S1661" i="5"/>
  <c r="AA1032" i="5"/>
  <c r="P1109" i="5"/>
  <c r="P1110" i="5"/>
  <c r="AA1444" i="5"/>
  <c r="S881" i="5"/>
  <c r="BC37" i="40" s="1"/>
  <c r="W956" i="5"/>
  <c r="P269" i="5"/>
  <c r="P270" i="5"/>
  <c r="P1124" i="5"/>
  <c r="P1125" i="5"/>
  <c r="W1511" i="5"/>
  <c r="BC71" i="40" s="1"/>
  <c r="P14" i="5"/>
  <c r="P15" i="5"/>
  <c r="W1099" i="5"/>
  <c r="F109" i="40" s="1"/>
  <c r="AA1152" i="5"/>
  <c r="AA611" i="5"/>
  <c r="W424" i="5"/>
  <c r="P1394" i="5"/>
  <c r="P1395" i="5"/>
  <c r="AA627" i="5"/>
  <c r="AA3154" i="5"/>
  <c r="F225" i="40" s="1"/>
  <c r="AA1407" i="5"/>
  <c r="AA1654" i="5"/>
  <c r="AA387" i="5"/>
  <c r="W3649" i="5"/>
  <c r="S3649" i="5"/>
  <c r="W3559" i="5"/>
  <c r="S3559" i="5"/>
  <c r="AA3566" i="5"/>
  <c r="BC184" i="40" s="1"/>
  <c r="AA3484" i="5"/>
  <c r="F137" i="40" s="1"/>
  <c r="W3476" i="5"/>
  <c r="S3296" i="5"/>
  <c r="P3794" i="5"/>
  <c r="P3795" i="5"/>
  <c r="AA3349" i="5"/>
  <c r="F188" i="40" s="1"/>
  <c r="AA2951" i="5"/>
  <c r="BC247" i="40" s="1"/>
  <c r="W2449" i="5"/>
  <c r="S2134" i="5"/>
  <c r="AA2749" i="5"/>
  <c r="F231" i="40" s="1"/>
  <c r="AA2419" i="5"/>
  <c r="F138" i="40" s="1"/>
  <c r="P2114" i="5"/>
  <c r="P2115" i="5"/>
  <c r="W3161" i="5"/>
  <c r="P2984" i="5"/>
  <c r="P2985" i="5"/>
  <c r="AA2637" i="5"/>
  <c r="BF245" i="40" s="1"/>
  <c r="P2204" i="5"/>
  <c r="P2205" i="5"/>
  <c r="AA2201" i="5"/>
  <c r="BC167" i="40" s="1"/>
  <c r="W1519" i="5"/>
  <c r="F99" i="40" s="1"/>
  <c r="S1519" i="5"/>
  <c r="AA1504" i="5"/>
  <c r="AA1092" i="5"/>
  <c r="P749" i="5"/>
  <c r="P750" i="5"/>
  <c r="W454" i="5"/>
  <c r="S454" i="5"/>
  <c r="F3" i="40" s="1"/>
  <c r="AA672" i="5"/>
  <c r="AA41" i="5"/>
  <c r="W1526" i="5"/>
  <c r="BC99" i="40" s="1"/>
  <c r="S1384" i="5"/>
  <c r="AA1234" i="5"/>
  <c r="AA514" i="5"/>
  <c r="W484" i="5"/>
  <c r="S484" i="5"/>
  <c r="F32" i="40" s="1"/>
  <c r="W221" i="5"/>
  <c r="S1039" i="5"/>
  <c r="S499" i="5"/>
  <c r="F46" i="40" s="1"/>
  <c r="W934" i="5"/>
  <c r="W349" i="5"/>
  <c r="P254" i="5"/>
  <c r="P255" i="5"/>
  <c r="W2667" i="5"/>
  <c r="P3539" i="5"/>
  <c r="P3540" i="5"/>
  <c r="P3644" i="5"/>
  <c r="P3645" i="5"/>
  <c r="AA2846" i="5"/>
  <c r="BC134" i="40" s="1"/>
  <c r="AA2247" i="5"/>
  <c r="BF127" i="40" s="1"/>
  <c r="P3164" i="5"/>
  <c r="P3165" i="5"/>
  <c r="AA2277" i="5"/>
  <c r="BF236" i="40" s="1"/>
  <c r="AA2636" i="5"/>
  <c r="BC245" i="40" s="1"/>
  <c r="P1979" i="5"/>
  <c r="P1980" i="5"/>
  <c r="P1754" i="5"/>
  <c r="P1755" i="5"/>
  <c r="P1199" i="5"/>
  <c r="P1200" i="5"/>
  <c r="W896" i="5"/>
  <c r="AA2847" i="5"/>
  <c r="BF134" i="40" s="1"/>
  <c r="AA2539" i="5"/>
  <c r="F131" i="40" s="1"/>
  <c r="P1619" i="5"/>
  <c r="P1620" i="5"/>
  <c r="P3329" i="5"/>
  <c r="P3330" i="5"/>
  <c r="P3209" i="5"/>
  <c r="P3210" i="5"/>
  <c r="P2804" i="5"/>
  <c r="P2805" i="5"/>
  <c r="AA2412" i="5"/>
  <c r="BF171" i="40" s="1"/>
  <c r="AA2291" i="5"/>
  <c r="BC149" i="40" s="1"/>
  <c r="S1616" i="5"/>
  <c r="W2584" i="5"/>
  <c r="W2284" i="5"/>
  <c r="W1954" i="5"/>
  <c r="S1909" i="5"/>
  <c r="W1646" i="5"/>
  <c r="BC108" i="40" s="1"/>
  <c r="P1409" i="5"/>
  <c r="P1410" i="5"/>
  <c r="AA1226" i="5"/>
  <c r="S461" i="5"/>
  <c r="BC3" i="40" s="1"/>
  <c r="S1474" i="5"/>
  <c r="S559" i="5"/>
  <c r="F11" i="40" s="1"/>
  <c r="AA401" i="5"/>
  <c r="AA454" i="5"/>
  <c r="AA1684" i="5"/>
  <c r="W1084" i="5"/>
  <c r="F87" i="40" s="1"/>
  <c r="S1159" i="5"/>
  <c r="W1159" i="5"/>
  <c r="F118" i="40" s="1"/>
  <c r="AA1166" i="5"/>
  <c r="W71" i="5"/>
  <c r="AA162" i="5"/>
  <c r="AA1122" i="5"/>
  <c r="W1496" i="5"/>
  <c r="BC107" i="40" s="1"/>
  <c r="AA3064" i="5"/>
  <c r="F226" i="40" s="1"/>
  <c r="AA1114" i="5"/>
  <c r="AA597" i="5"/>
  <c r="AA1197" i="5"/>
  <c r="S3604" i="5"/>
  <c r="W3289" i="5"/>
  <c r="AA3319" i="5"/>
  <c r="F229" i="40" s="1"/>
  <c r="AA2907" i="5"/>
  <c r="BF191" i="40" s="1"/>
  <c r="AA2262" i="5"/>
  <c r="BF199" i="40" s="1"/>
  <c r="P2129" i="5"/>
  <c r="P2130" i="5"/>
  <c r="P2399" i="5"/>
  <c r="P2400" i="5"/>
  <c r="P2549" i="5"/>
  <c r="P2550" i="5"/>
  <c r="AA1871" i="5"/>
  <c r="W2846" i="5"/>
  <c r="P3089" i="5"/>
  <c r="P3090" i="5"/>
  <c r="P2234" i="5"/>
  <c r="P2235" i="5"/>
  <c r="W1849" i="5"/>
  <c r="F78" i="40" s="1"/>
  <c r="W1309" i="5"/>
  <c r="F84" i="40" s="1"/>
  <c r="S1309" i="5"/>
  <c r="AA1316" i="5"/>
  <c r="W19" i="5"/>
  <c r="S19" i="5"/>
  <c r="F40" i="40" s="1"/>
  <c r="S1234" i="5"/>
  <c r="AA536" i="5"/>
  <c r="AA934" i="5"/>
  <c r="P629" i="5"/>
  <c r="P630" i="5"/>
  <c r="AA1302" i="5"/>
  <c r="P344" i="5"/>
  <c r="P345" i="5"/>
  <c r="P74" i="5"/>
  <c r="P75" i="5"/>
  <c r="P794" i="5"/>
  <c r="P795" i="5"/>
  <c r="W251" i="5"/>
  <c r="S1429" i="5"/>
  <c r="AA3462" i="5"/>
  <c r="BF142" i="40" s="1"/>
  <c r="AA2877" i="5"/>
  <c r="BF246" i="40" s="1"/>
  <c r="AA2239" i="5"/>
  <c r="F127" i="40" s="1"/>
  <c r="AA1377" i="5"/>
  <c r="AA582" i="5"/>
  <c r="AA612" i="5"/>
  <c r="W3461" i="5"/>
  <c r="W3424" i="5"/>
  <c r="W3454" i="5"/>
  <c r="AA3852" i="5"/>
  <c r="BF157" i="40" s="1"/>
  <c r="W3769" i="5"/>
  <c r="P3449" i="5"/>
  <c r="P3450" i="5"/>
  <c r="P3344" i="5"/>
  <c r="P3345" i="5"/>
  <c r="AA2044" i="5"/>
  <c r="F146" i="40" s="1"/>
  <c r="P1709" i="5"/>
  <c r="P1710" i="5"/>
  <c r="AA2269" i="5"/>
  <c r="F236" i="40" s="1"/>
  <c r="P3104" i="5"/>
  <c r="P3105" i="5"/>
  <c r="W3079" i="5"/>
  <c r="P2729" i="5"/>
  <c r="P2730" i="5"/>
  <c r="W2051" i="5"/>
  <c r="AA2344" i="5"/>
  <c r="F164" i="40" s="1"/>
  <c r="P2159" i="5"/>
  <c r="P2160" i="5"/>
  <c r="AA3124" i="5"/>
  <c r="F218" i="40" s="1"/>
  <c r="S2636" i="5"/>
  <c r="W2396" i="5"/>
  <c r="S2081" i="5"/>
  <c r="S2524" i="5"/>
  <c r="P2459" i="5"/>
  <c r="P2460" i="5"/>
  <c r="P1649" i="5"/>
  <c r="P1650" i="5"/>
  <c r="W1339" i="5"/>
  <c r="F73" i="40" s="1"/>
  <c r="S1339" i="5"/>
  <c r="AA1346" i="5"/>
  <c r="AA919" i="5"/>
  <c r="AA649" i="5"/>
  <c r="W1571" i="5"/>
  <c r="BC82" i="40" s="1"/>
  <c r="AA911" i="5"/>
  <c r="W206" i="5"/>
  <c r="S356" i="5"/>
  <c r="BC24" i="40" s="1"/>
  <c r="P164" i="5"/>
  <c r="P165" i="5"/>
  <c r="AA784" i="5"/>
  <c r="W851" i="5"/>
  <c r="AA357" i="5"/>
  <c r="AA717" i="5"/>
  <c r="W469" i="5"/>
  <c r="AA199" i="5"/>
  <c r="S1264" i="5"/>
  <c r="S889" i="5"/>
  <c r="F51" i="40" s="1"/>
  <c r="W101" i="5"/>
  <c r="W79" i="5"/>
  <c r="AA2202" i="5"/>
  <c r="BF167" i="40" s="1"/>
  <c r="W3484" i="5"/>
  <c r="S3484" i="5"/>
  <c r="AA3491" i="5"/>
  <c r="BC137" i="40" s="1"/>
  <c r="P3569" i="5"/>
  <c r="P3570" i="5"/>
  <c r="AA1557" i="5"/>
  <c r="P2774" i="5"/>
  <c r="P2775" i="5"/>
  <c r="S2704" i="5"/>
  <c r="W2434" i="5"/>
  <c r="S2434" i="5"/>
  <c r="AA2149" i="5"/>
  <c r="F145" i="40" s="1"/>
  <c r="P2819" i="5"/>
  <c r="P2820" i="5"/>
  <c r="W2321" i="5"/>
  <c r="AA2052" i="5"/>
  <c r="BF146" i="40" s="1"/>
  <c r="W3244" i="5"/>
  <c r="P2144" i="5"/>
  <c r="P2145" i="5"/>
  <c r="AA1136" i="5"/>
  <c r="S844" i="5"/>
  <c r="F9" i="40" s="1"/>
  <c r="W844" i="5"/>
  <c r="AA851" i="5"/>
  <c r="W881" i="5"/>
  <c r="AA476" i="5"/>
  <c r="P1424" i="5"/>
  <c r="P1425" i="5"/>
  <c r="AA1497" i="5"/>
  <c r="AA4" i="5"/>
  <c r="W1294" i="5"/>
  <c r="F115" i="40" s="1"/>
  <c r="S904" i="5"/>
  <c r="F57" i="40" s="1"/>
  <c r="P329" i="5"/>
  <c r="P330" i="5"/>
  <c r="P149" i="5"/>
  <c r="P150" i="5"/>
  <c r="AA206" i="5"/>
  <c r="P449" i="5"/>
  <c r="P450" i="5"/>
  <c r="S1099" i="5"/>
  <c r="W926" i="5"/>
  <c r="P1589" i="5"/>
  <c r="P1590" i="5"/>
  <c r="S394" i="5"/>
  <c r="F47" i="40" s="1"/>
  <c r="P209" i="5"/>
  <c r="P210" i="5"/>
  <c r="AA3859" i="5"/>
  <c r="F258" i="40" s="1"/>
  <c r="AA2172" i="5"/>
  <c r="BF240" i="40" s="1"/>
  <c r="AA2652" i="5"/>
  <c r="BF221" i="40" s="1"/>
  <c r="AA2089" i="5"/>
  <c r="F197" i="40" s="1"/>
  <c r="AA1317" i="5"/>
  <c r="AA1744" i="5"/>
  <c r="AA1167" i="5"/>
  <c r="AA754" i="5"/>
  <c r="AA3814" i="5"/>
  <c r="F163" i="40" s="1"/>
  <c r="W3431" i="5"/>
  <c r="AA3851" i="5"/>
  <c r="BC157" i="40" s="1"/>
  <c r="S3476" i="5"/>
  <c r="W3844" i="5"/>
  <c r="P3554" i="5"/>
  <c r="P3555" i="5"/>
  <c r="P2999" i="5"/>
  <c r="P3000" i="5"/>
  <c r="P2504" i="5"/>
  <c r="P2505" i="5"/>
  <c r="AA2577" i="5"/>
  <c r="BF143" i="40" s="1"/>
  <c r="P1904" i="5"/>
  <c r="P1905" i="5"/>
  <c r="AA3102" i="5"/>
  <c r="BF141" i="40" s="1"/>
  <c r="P2189" i="5"/>
  <c r="P2190" i="5"/>
  <c r="W1991" i="5"/>
  <c r="S2599" i="5"/>
  <c r="W2599" i="5"/>
  <c r="AA2606" i="5"/>
  <c r="BC201" i="40" s="1"/>
  <c r="W2471" i="5"/>
  <c r="AA2029" i="5"/>
  <c r="F212" i="40" s="1"/>
  <c r="AA1819" i="5"/>
  <c r="S2509" i="5"/>
  <c r="AA2276" i="5"/>
  <c r="BC236" i="40" s="1"/>
  <c r="W1931" i="5"/>
  <c r="P1559" i="5"/>
  <c r="P1560" i="5"/>
  <c r="S1969" i="5"/>
  <c r="AA1421" i="5"/>
  <c r="P1079" i="5"/>
  <c r="P1080" i="5"/>
  <c r="AA72" i="5"/>
  <c r="S1586" i="5"/>
  <c r="S551" i="5"/>
  <c r="BC62" i="40" s="1"/>
  <c r="S139" i="5"/>
  <c r="F20" i="40" s="1"/>
  <c r="W139" i="5"/>
  <c r="AA146" i="5"/>
  <c r="W1384" i="5"/>
  <c r="F88" i="40" s="1"/>
  <c r="S964" i="5"/>
  <c r="F26" i="40" s="1"/>
  <c r="W964" i="5"/>
  <c r="AA971" i="5"/>
  <c r="P104" i="5"/>
  <c r="P105" i="5"/>
  <c r="S1129" i="5"/>
  <c r="AA904" i="5"/>
  <c r="S401" i="5"/>
  <c r="BC47" i="40" s="1"/>
  <c r="W3851" i="5"/>
  <c r="W2659" i="5"/>
  <c r="S2659" i="5"/>
  <c r="AA2666" i="5"/>
  <c r="BC224" i="40" s="1"/>
  <c r="AA2186" i="5"/>
  <c r="BC170" i="40" s="1"/>
  <c r="AA1721" i="5"/>
  <c r="P3074" i="5"/>
  <c r="P3075" i="5"/>
  <c r="W2299" i="5"/>
  <c r="S2299" i="5"/>
  <c r="AA2187" i="5"/>
  <c r="BF170" i="40" s="1"/>
  <c r="W2666" i="5"/>
  <c r="S1999" i="5"/>
  <c r="W1999" i="5"/>
  <c r="AA2006" i="5"/>
  <c r="BC237" i="40" s="1"/>
  <c r="S3154" i="5"/>
  <c r="W3154" i="5"/>
  <c r="AA2914" i="5"/>
  <c r="F192" i="40" s="1"/>
  <c r="P1274" i="5"/>
  <c r="P1275" i="5"/>
  <c r="S1369" i="5"/>
  <c r="W1369" i="5"/>
  <c r="F121" i="40" s="1"/>
  <c r="AA1376" i="5"/>
  <c r="P614" i="5"/>
  <c r="P615" i="5"/>
  <c r="P914" i="5"/>
  <c r="P915" i="5"/>
  <c r="P1769" i="5"/>
  <c r="P1770" i="5"/>
  <c r="P194" i="5"/>
  <c r="P195" i="5"/>
  <c r="AA3529" i="5"/>
  <c r="P3434" i="5"/>
  <c r="P3435" i="5"/>
  <c r="P3239" i="5"/>
  <c r="P3240" i="5"/>
  <c r="W2472" i="5"/>
  <c r="AA1834" i="5"/>
  <c r="S2059" i="5"/>
  <c r="W2059" i="5"/>
  <c r="AA2066" i="5"/>
  <c r="BC238" i="40" s="1"/>
  <c r="S3206" i="5"/>
  <c r="W2929" i="5"/>
  <c r="S2929" i="5"/>
  <c r="AA2936" i="5"/>
  <c r="BC230" i="40" s="1"/>
  <c r="S3139" i="5"/>
  <c r="W3139" i="5"/>
  <c r="AA3146" i="5"/>
  <c r="BC178" i="40" s="1"/>
  <c r="AA2434" i="5"/>
  <c r="F234" i="40" s="1"/>
  <c r="AA1901" i="5"/>
  <c r="BC219" i="40" s="1"/>
  <c r="AA3184" i="5"/>
  <c r="F249" i="40" s="1"/>
  <c r="AA2299" i="5"/>
  <c r="F187" i="40" s="1"/>
  <c r="P2264" i="5"/>
  <c r="P2265" i="5"/>
  <c r="AA2261" i="5"/>
  <c r="BC199" i="40" s="1"/>
  <c r="W3251" i="5"/>
  <c r="S2584" i="5"/>
  <c r="S2284" i="5"/>
  <c r="S2404" i="5"/>
  <c r="W1714" i="5"/>
  <c r="F117" i="40" s="1"/>
  <c r="W1481" i="5"/>
  <c r="BC122" i="40" s="1"/>
  <c r="W559" i="5"/>
  <c r="AA311" i="5"/>
  <c r="P119" i="5"/>
  <c r="P120" i="5"/>
  <c r="S259" i="5"/>
  <c r="F23" i="40" s="1"/>
  <c r="W259" i="5"/>
  <c r="AA266" i="5"/>
  <c r="S1144" i="5"/>
  <c r="AA432" i="5"/>
  <c r="P1289" i="5"/>
  <c r="P1290" i="5"/>
  <c r="W1001" i="5"/>
  <c r="AA3289" i="5"/>
  <c r="F198" i="40" s="1"/>
  <c r="W3012" i="5"/>
  <c r="W2127" i="5"/>
  <c r="W1782" i="5"/>
  <c r="BF98" i="40" s="1"/>
  <c r="AA3507" i="5"/>
  <c r="BF222" i="40" s="1"/>
  <c r="S3679" i="5"/>
  <c r="W3679" i="5"/>
  <c r="AA3402" i="5"/>
  <c r="BF139" i="40" s="1"/>
  <c r="AA3011" i="5"/>
  <c r="BC183" i="40" s="1"/>
  <c r="AA2891" i="5"/>
  <c r="BC166" i="40" s="1"/>
  <c r="W2126" i="5"/>
  <c r="AA3356" i="5"/>
  <c r="BC188" i="40" s="1"/>
  <c r="P2939" i="5"/>
  <c r="P2940" i="5"/>
  <c r="AA2561" i="5"/>
  <c r="BC204" i="40" s="1"/>
  <c r="AA1616" i="5"/>
  <c r="S2846" i="5"/>
  <c r="S2464" i="5"/>
  <c r="W2179" i="5"/>
  <c r="S1684" i="5"/>
  <c r="W1684" i="5"/>
  <c r="F94" i="40" s="1"/>
  <c r="AA1691" i="5"/>
  <c r="P1514" i="5"/>
  <c r="P1515" i="5"/>
  <c r="W1399" i="5"/>
  <c r="F111" i="40" s="1"/>
  <c r="S1399" i="5"/>
  <c r="AA1406" i="5"/>
  <c r="S304" i="5"/>
  <c r="F49" i="40" s="1"/>
  <c r="S274" i="5"/>
  <c r="F36" i="40" s="1"/>
  <c r="W274" i="5"/>
  <c r="AA281" i="5"/>
  <c r="AA1587" i="5"/>
  <c r="W1211" i="5"/>
  <c r="BC105" i="40" s="1"/>
  <c r="P584" i="5"/>
  <c r="P585" i="5"/>
  <c r="P29" i="5"/>
  <c r="P30" i="5"/>
  <c r="P1679" i="5"/>
  <c r="P1680" i="5"/>
  <c r="W1429" i="5"/>
  <c r="F120" i="40" s="1"/>
  <c r="AA402" i="5"/>
  <c r="W3807" i="5"/>
  <c r="W2487" i="5"/>
  <c r="AA3094" i="5"/>
  <c r="F141" i="40" s="1"/>
  <c r="AA574" i="5"/>
  <c r="AA282" i="5"/>
  <c r="AA799" i="5"/>
  <c r="W3446" i="5"/>
  <c r="W3274" i="5"/>
  <c r="S3274" i="5"/>
  <c r="AA3281" i="5"/>
  <c r="BC228" i="40" s="1"/>
  <c r="W3514" i="5"/>
  <c r="S3514" i="5"/>
  <c r="AA3521" i="5"/>
  <c r="BC189" i="40" s="1"/>
  <c r="S3424" i="5"/>
  <c r="W2891" i="5"/>
  <c r="W2854" i="5"/>
  <c r="S2854" i="5"/>
  <c r="W2531" i="5"/>
  <c r="AA1841" i="5"/>
  <c r="S3079" i="5"/>
  <c r="W2291" i="5"/>
  <c r="P3029" i="5"/>
  <c r="P3030" i="5"/>
  <c r="W2359" i="5"/>
  <c r="W1976" i="5"/>
  <c r="W3312" i="5"/>
  <c r="S2921" i="5"/>
  <c r="S2396" i="5"/>
  <c r="W2074" i="5"/>
  <c r="S1571" i="5"/>
  <c r="AA1211" i="5"/>
  <c r="AA987" i="5"/>
  <c r="S469" i="5"/>
  <c r="F45" i="40" s="1"/>
  <c r="AA161" i="5"/>
  <c r="P539" i="5"/>
  <c r="P540" i="5"/>
  <c r="P44" i="5"/>
  <c r="P45" i="5"/>
  <c r="W1114" i="5"/>
  <c r="F119" i="40" s="1"/>
  <c r="P764" i="5"/>
  <c r="P765" i="5"/>
  <c r="AA2674" i="5"/>
  <c r="F208" i="40" s="1"/>
  <c r="AA852" i="5"/>
  <c r="AA1474" i="5"/>
  <c r="AA1249" i="5"/>
  <c r="W3536" i="5"/>
  <c r="S3686" i="5"/>
  <c r="AA2524" i="5"/>
  <c r="F132" i="40" s="1"/>
  <c r="AA2592" i="5"/>
  <c r="BF135" i="40" s="1"/>
  <c r="W2426" i="5"/>
  <c r="W3109" i="5"/>
  <c r="S3109" i="5"/>
  <c r="AA3116" i="5"/>
  <c r="BC248" i="40" s="1"/>
  <c r="S2321" i="5"/>
  <c r="S2254" i="5"/>
  <c r="W1961" i="5"/>
  <c r="P1634" i="5"/>
  <c r="P1635" i="5"/>
  <c r="W2306" i="5"/>
  <c r="P2249" i="5"/>
  <c r="P2250" i="5"/>
  <c r="S2936" i="5"/>
  <c r="W2006" i="5"/>
  <c r="W1444" i="5"/>
  <c r="F74" i="40" s="1"/>
  <c r="S1444" i="5"/>
  <c r="AA1451" i="5"/>
  <c r="P479" i="5"/>
  <c r="P480" i="5"/>
  <c r="W334" i="5"/>
  <c r="S334" i="5"/>
  <c r="F54" i="40" s="1"/>
  <c r="AA341" i="5"/>
  <c r="AA1482" i="5"/>
  <c r="W1436" i="5"/>
  <c r="BC120" i="40" s="1"/>
  <c r="W49" i="5"/>
  <c r="S49" i="5"/>
  <c r="F19" i="40" s="1"/>
  <c r="AA19" i="5"/>
  <c r="P1454" i="5"/>
  <c r="P1455" i="5"/>
  <c r="W1662" i="5"/>
  <c r="BF101" i="40" s="1"/>
  <c r="P1139" i="5"/>
  <c r="P1140" i="5"/>
  <c r="S589" i="5"/>
  <c r="F64" i="40" s="1"/>
  <c r="S379" i="5"/>
  <c r="F4" i="40" s="1"/>
  <c r="W1579" i="5"/>
  <c r="F110" i="40" s="1"/>
  <c r="S1564" i="5"/>
  <c r="W394" i="5"/>
  <c r="AA3244" i="5"/>
  <c r="F251" i="40" s="1"/>
  <c r="AA2119" i="5"/>
  <c r="F154" i="40" s="1"/>
  <c r="AA1902" i="5"/>
  <c r="BF219" i="40" s="1"/>
  <c r="AA2622" i="5"/>
  <c r="BF244" i="40" s="1"/>
  <c r="AA867" i="5"/>
  <c r="AA207" i="5"/>
  <c r="S3431" i="5"/>
  <c r="S3844" i="5"/>
  <c r="P3059" i="5"/>
  <c r="P3060" i="5"/>
  <c r="AA3056" i="5"/>
  <c r="BC128" i="40" s="1"/>
  <c r="W3011" i="5"/>
  <c r="AA2352" i="5"/>
  <c r="BF164" i="40" s="1"/>
  <c r="AA2396" i="5"/>
  <c r="BC202" i="40" s="1"/>
  <c r="P3269" i="5"/>
  <c r="P3270" i="5"/>
  <c r="AA3086" i="5"/>
  <c r="BC213" i="40" s="1"/>
  <c r="AA2704" i="5"/>
  <c r="F216" i="40" s="1"/>
  <c r="W2441" i="5"/>
  <c r="W2209" i="5"/>
  <c r="S2209" i="5"/>
  <c r="AA2216" i="5"/>
  <c r="BC241" i="40" s="1"/>
  <c r="S1841" i="5"/>
  <c r="P2669" i="5"/>
  <c r="P2670" i="5"/>
  <c r="W2509" i="5"/>
  <c r="S1931" i="5"/>
  <c r="S3259" i="5"/>
  <c r="S3094" i="5"/>
  <c r="W2809" i="5"/>
  <c r="P2789" i="5"/>
  <c r="P2790" i="5"/>
  <c r="W1969" i="5"/>
  <c r="W566" i="5"/>
  <c r="S821" i="5"/>
  <c r="BC52" i="40" s="1"/>
  <c r="AA1271" i="5"/>
  <c r="W199" i="5"/>
  <c r="P134" i="5"/>
  <c r="P135" i="5"/>
  <c r="W791" i="5"/>
  <c r="W694" i="5"/>
  <c r="S694" i="5"/>
  <c r="F58" i="40" s="1"/>
  <c r="AA701" i="5"/>
  <c r="P959" i="5"/>
  <c r="P960" i="5"/>
  <c r="P3389" i="5"/>
  <c r="P3390" i="5"/>
  <c r="S3784" i="5"/>
  <c r="W3784" i="5"/>
  <c r="P3689" i="5"/>
  <c r="P3690" i="5"/>
  <c r="AA3821" i="5"/>
  <c r="BC163" i="40" s="1"/>
  <c r="W3672" i="5"/>
  <c r="W3042" i="5"/>
  <c r="W2937" i="5"/>
  <c r="AA2531" i="5"/>
  <c r="BC132" i="40" s="1"/>
  <c r="S2239" i="5"/>
  <c r="W2239" i="5"/>
  <c r="AA2246" i="5"/>
  <c r="BC127" i="40" s="1"/>
  <c r="S2666" i="5"/>
  <c r="P3149" i="5"/>
  <c r="P3150" i="5"/>
  <c r="P2429" i="5"/>
  <c r="P2430" i="5"/>
  <c r="P974" i="5"/>
  <c r="P975" i="5"/>
  <c r="AA656" i="5"/>
  <c r="W1744" i="5"/>
  <c r="F124" i="40" s="1"/>
  <c r="S1744" i="5"/>
  <c r="AA1751" i="5"/>
  <c r="W949" i="5"/>
  <c r="W116" i="5"/>
  <c r="P1094" i="5"/>
  <c r="P1095" i="5"/>
  <c r="AA881" i="5"/>
  <c r="AA1264" i="5"/>
  <c r="W2517" i="5"/>
  <c r="W1797" i="5"/>
  <c r="BF95" i="40" s="1"/>
  <c r="W2787" i="5"/>
  <c r="AA3371" i="5"/>
  <c r="BC252" i="40" s="1"/>
  <c r="P1740" i="5"/>
  <c r="P1739" i="5"/>
  <c r="S2186" i="5"/>
  <c r="AA1542" i="5"/>
  <c r="P3134" i="5"/>
  <c r="P3135" i="5"/>
  <c r="S2899" i="5"/>
  <c r="W2029" i="5"/>
  <c r="S2029" i="5"/>
  <c r="AA2036" i="5"/>
  <c r="BC212" i="40" s="1"/>
  <c r="P3404" i="5"/>
  <c r="P3405" i="5"/>
  <c r="W2794" i="5"/>
  <c r="S2794" i="5"/>
  <c r="AA2801" i="5"/>
  <c r="BC256" i="40" s="1"/>
  <c r="W1939" i="5"/>
  <c r="S1939" i="5"/>
  <c r="AA1946" i="5"/>
  <c r="BC190" i="40" s="1"/>
  <c r="W1901" i="5"/>
  <c r="S2741" i="5"/>
  <c r="AA2254" i="5"/>
  <c r="F199" i="40" s="1"/>
  <c r="P3359" i="5"/>
  <c r="P3360" i="5"/>
  <c r="P2909" i="5"/>
  <c r="P2910" i="5"/>
  <c r="P2609" i="5"/>
  <c r="P2610" i="5"/>
  <c r="W2404" i="5"/>
  <c r="P1814" i="5"/>
  <c r="P1815" i="5"/>
  <c r="S1481" i="5"/>
  <c r="W536" i="5"/>
  <c r="W64" i="5"/>
  <c r="S64" i="5"/>
  <c r="F39" i="40" s="1"/>
  <c r="AA71" i="5"/>
  <c r="S829" i="5"/>
  <c r="F13" i="40" s="1"/>
  <c r="P1574" i="5"/>
  <c r="P1575" i="5"/>
  <c r="W1144" i="5"/>
  <c r="F81" i="40" s="1"/>
  <c r="AA896" i="5"/>
  <c r="AA1212" i="5"/>
  <c r="P599" i="5"/>
  <c r="P600" i="5"/>
  <c r="AA3297" i="5"/>
  <c r="BF198" i="40" s="1"/>
  <c r="W3634" i="5"/>
  <c r="S3634" i="5"/>
  <c r="AV189" i="40"/>
  <c r="F169" i="40"/>
  <c r="W3761" i="5"/>
  <c r="AA3251" i="5"/>
  <c r="BC251" i="40" s="1"/>
  <c r="AA2876" i="5"/>
  <c r="BC246" i="40" s="1"/>
  <c r="P2654" i="5"/>
  <c r="P2655" i="5"/>
  <c r="S2126" i="5"/>
  <c r="W1624" i="5"/>
  <c r="F123" i="40" s="1"/>
  <c r="S1624" i="5"/>
  <c r="AA1631" i="5"/>
  <c r="AA3131" i="5"/>
  <c r="BC218" i="40" s="1"/>
  <c r="S3169" i="5"/>
  <c r="W3169" i="5"/>
  <c r="AA2711" i="5"/>
  <c r="BC216" i="40" s="1"/>
  <c r="S2546" i="5"/>
  <c r="AA1842" i="5"/>
  <c r="S2884" i="5"/>
  <c r="W2464" i="5"/>
  <c r="AA604" i="5"/>
  <c r="AA342" i="5"/>
  <c r="AA1361" i="5"/>
  <c r="W596" i="5"/>
  <c r="W304" i="5"/>
  <c r="AA86" i="5"/>
  <c r="AA1362" i="5"/>
  <c r="AA229" i="5"/>
  <c r="AA364" i="5"/>
  <c r="S544" i="5"/>
  <c r="F62" i="40" s="1"/>
  <c r="P299" i="5"/>
  <c r="P300" i="5"/>
  <c r="P839" i="5"/>
  <c r="P840" i="5"/>
  <c r="P1169" i="5"/>
  <c r="P1170" i="5"/>
  <c r="P689" i="5"/>
  <c r="P690" i="5"/>
  <c r="AA2562" i="5"/>
  <c r="BF204" i="40" s="1"/>
  <c r="AA792" i="5"/>
  <c r="AA687" i="5"/>
  <c r="AA1272" i="5"/>
  <c r="AA327" i="5"/>
  <c r="AA3634" i="5"/>
  <c r="F194" i="40" s="1"/>
  <c r="W3859" i="5"/>
  <c r="S3859" i="5"/>
  <c r="W3506" i="5"/>
  <c r="S2891" i="5"/>
  <c r="W2711" i="5"/>
  <c r="AA2464" i="5"/>
  <c r="F223" i="40" s="1"/>
  <c r="AA1632" i="5"/>
  <c r="S2531" i="5"/>
  <c r="AA2546" i="5"/>
  <c r="BC131" i="40" s="1"/>
  <c r="AA3192" i="5"/>
  <c r="BF249" i="40" s="1"/>
  <c r="P2684" i="5"/>
  <c r="P2685" i="5"/>
  <c r="S2291" i="5"/>
  <c r="AA3327" i="5"/>
  <c r="BF229" i="40" s="1"/>
  <c r="S2419" i="5"/>
  <c r="W2539" i="5"/>
  <c r="S1976" i="5"/>
  <c r="W2921" i="5"/>
  <c r="W3416" i="5"/>
  <c r="P2954" i="5"/>
  <c r="P2955" i="5"/>
  <c r="S2629" i="5"/>
  <c r="S2074" i="5"/>
  <c r="S1834" i="5"/>
  <c r="P1304" i="5"/>
  <c r="P1305" i="5"/>
  <c r="S1024" i="5"/>
  <c r="F70" i="40" s="1"/>
  <c r="W1024" i="5"/>
  <c r="AA1031" i="5"/>
  <c r="AA866" i="5"/>
  <c r="P389" i="5"/>
  <c r="P390" i="5"/>
  <c r="P434" i="5"/>
  <c r="P435" i="5"/>
  <c r="AA259" i="5"/>
  <c r="AA1437" i="5"/>
  <c r="AA836" i="5"/>
  <c r="AA559" i="5"/>
  <c r="P644" i="5"/>
  <c r="P645" i="5"/>
  <c r="AA1279" i="5"/>
  <c r="P1019" i="5"/>
  <c r="P1020" i="5"/>
  <c r="AA1489" i="5"/>
  <c r="W679" i="5"/>
  <c r="W1286" i="5"/>
  <c r="BC86" i="40" s="1"/>
  <c r="S1114" i="5"/>
  <c r="AA3469" i="5"/>
  <c r="F177" i="40" s="1"/>
  <c r="AA2944" i="5"/>
  <c r="F247" i="40" s="1"/>
  <c r="AA2179" i="5"/>
  <c r="F170" i="40" s="1"/>
  <c r="AA2689" i="5"/>
  <c r="F148" i="40" s="1"/>
  <c r="AA1107" i="5"/>
  <c r="W3791" i="5"/>
  <c r="W3379" i="5"/>
  <c r="S3409" i="5"/>
  <c r="W3409" i="5"/>
  <c r="AA3416" i="5"/>
  <c r="BC254" i="40" s="1"/>
  <c r="W2966" i="5"/>
  <c r="P2294" i="5"/>
  <c r="P2295" i="5"/>
  <c r="AA2171" i="5"/>
  <c r="BC240" i="40" s="1"/>
  <c r="P1994" i="5"/>
  <c r="P1995" i="5"/>
  <c r="AA1977" i="5"/>
  <c r="BF152" i="40" s="1"/>
  <c r="W3034" i="5"/>
  <c r="S3034" i="5"/>
  <c r="AA3041" i="5"/>
  <c r="BC129" i="40" s="1"/>
  <c r="AA2741" i="5"/>
  <c r="BC205" i="40" s="1"/>
  <c r="S2426" i="5"/>
  <c r="S2014" i="5"/>
  <c r="W2014" i="5"/>
  <c r="AA1917" i="5"/>
  <c r="BF151" i="40" s="1"/>
  <c r="P2924" i="5"/>
  <c r="P2925" i="5"/>
  <c r="AA2659" i="5"/>
  <c r="F224" i="40" s="1"/>
  <c r="P2639" i="5"/>
  <c r="P2640" i="5"/>
  <c r="P1934" i="5"/>
  <c r="P1935" i="5"/>
  <c r="AA3409" i="5"/>
  <c r="F254" i="40" s="1"/>
  <c r="W2254" i="5"/>
  <c r="P2099" i="5"/>
  <c r="P2100" i="5"/>
  <c r="S1961" i="5"/>
  <c r="S2306" i="5"/>
  <c r="S2164" i="5"/>
  <c r="S1594" i="5"/>
  <c r="W1594" i="5"/>
  <c r="F80" i="40" s="1"/>
  <c r="AA1601" i="5"/>
  <c r="W1106" i="5"/>
  <c r="BC109" i="40" s="1"/>
  <c r="S1436" i="5"/>
  <c r="AA807" i="5"/>
  <c r="AA776" i="5"/>
  <c r="P884" i="5"/>
  <c r="P885" i="5"/>
  <c r="P929" i="5"/>
  <c r="P930" i="5"/>
  <c r="AA1084" i="5"/>
  <c r="AA1144" i="5"/>
  <c r="W589" i="5"/>
  <c r="AA1572" i="5"/>
  <c r="P1229" i="5"/>
  <c r="P1230" i="5"/>
  <c r="AA814" i="5"/>
  <c r="W379" i="5"/>
  <c r="W1564" i="5"/>
  <c r="F82" i="40" s="1"/>
  <c r="P1319" i="5"/>
  <c r="P1320" i="5"/>
  <c r="P869" i="5"/>
  <c r="P870" i="5"/>
  <c r="AA132" i="5"/>
  <c r="S11" i="5"/>
  <c r="BC65" i="40" s="1"/>
  <c r="AA2734" i="5"/>
  <c r="F205" i="40" s="1"/>
  <c r="AA3034" i="5"/>
  <c r="F129" i="40" s="1"/>
  <c r="AA844" i="5"/>
  <c r="AA972" i="5"/>
  <c r="AA1384" i="5"/>
  <c r="AA3386" i="5"/>
  <c r="BC253" i="40" s="1"/>
  <c r="P3734" i="5"/>
  <c r="P3735" i="5"/>
  <c r="AA3641" i="5"/>
  <c r="BC194" i="40" s="1"/>
  <c r="S3281" i="5"/>
  <c r="P2534" i="5"/>
  <c r="P2535" i="5"/>
  <c r="P2519" i="5"/>
  <c r="P2520" i="5"/>
  <c r="W1856" i="5"/>
  <c r="BC78" i="40" s="1"/>
  <c r="AA1992" i="5"/>
  <c r="BF156" i="40" s="1"/>
  <c r="AA3304" i="5"/>
  <c r="F160" i="40" s="1"/>
  <c r="P2414" i="5"/>
  <c r="P2415" i="5"/>
  <c r="AA2126" i="5"/>
  <c r="BC154" i="40" s="1"/>
  <c r="P2744" i="5"/>
  <c r="P2745" i="5"/>
  <c r="S2441" i="5"/>
  <c r="W2554" i="5"/>
  <c r="W3221" i="5"/>
  <c r="P2969" i="5"/>
  <c r="P2970" i="5"/>
  <c r="AA2779" i="5"/>
  <c r="F195" i="40" s="1"/>
  <c r="W2066" i="5"/>
  <c r="W3259" i="5"/>
  <c r="W3094" i="5"/>
  <c r="W3214" i="5"/>
  <c r="P3194" i="5"/>
  <c r="P3195" i="5"/>
  <c r="S2809" i="5"/>
  <c r="W2801" i="5"/>
  <c r="AA1729" i="5"/>
  <c r="S1009" i="5"/>
  <c r="F29" i="40" s="1"/>
  <c r="W1009" i="5"/>
  <c r="AA1016" i="5"/>
  <c r="AA1354" i="5"/>
  <c r="S836" i="5"/>
  <c r="BC13" i="40" s="1"/>
  <c r="AA297" i="5"/>
  <c r="W431" i="5"/>
  <c r="AA551" i="5"/>
  <c r="S4" i="5"/>
  <c r="F65" i="40" s="1"/>
  <c r="W4" i="5"/>
  <c r="AA11" i="5"/>
  <c r="P1604" i="5"/>
  <c r="P1605" i="5"/>
  <c r="S199" i="5"/>
  <c r="F21" i="40" s="1"/>
  <c r="AA116" i="5"/>
  <c r="S1189" i="5"/>
  <c r="W1189" i="5"/>
  <c r="F97" i="40" s="1"/>
  <c r="AA1151" i="5"/>
  <c r="S979" i="5"/>
  <c r="F59" i="40" s="1"/>
  <c r="AA694" i="5"/>
  <c r="W109" i="5"/>
  <c r="P359" i="5"/>
  <c r="P360" i="5"/>
  <c r="W2067" i="5"/>
  <c r="W957" i="5"/>
  <c r="W237" i="5"/>
  <c r="P3584" i="5"/>
  <c r="P3585" i="5"/>
  <c r="W3814" i="5"/>
  <c r="W2089" i="5"/>
  <c r="S2089" i="5"/>
  <c r="AA2096" i="5"/>
  <c r="BC197" i="40" s="1"/>
  <c r="P1799" i="5"/>
  <c r="P1800" i="5"/>
  <c r="S2344" i="5"/>
  <c r="W2344" i="5"/>
  <c r="AA2351" i="5"/>
  <c r="BC164" i="40" s="1"/>
  <c r="P2309" i="5"/>
  <c r="P2310" i="5"/>
  <c r="P2084" i="5"/>
  <c r="P2085" i="5"/>
  <c r="W447" i="5"/>
  <c r="AA806" i="5"/>
  <c r="W229" i="5"/>
  <c r="S229" i="5"/>
  <c r="F53" i="40" s="1"/>
  <c r="AA236" i="5"/>
  <c r="P464" i="5"/>
  <c r="P465" i="5"/>
  <c r="AA1661" i="5"/>
  <c r="P854" i="5"/>
  <c r="P855" i="5"/>
  <c r="W994" i="5"/>
  <c r="S994" i="5"/>
  <c r="F14" i="40" s="1"/>
  <c r="P524" i="5"/>
  <c r="P525" i="5"/>
  <c r="S604" i="5"/>
  <c r="F61" i="40" s="1"/>
  <c r="P509" i="5"/>
  <c r="P510" i="5"/>
  <c r="W2967" i="5"/>
  <c r="W2322" i="5"/>
  <c r="AA2217" i="5"/>
  <c r="BF241" i="40" s="1"/>
  <c r="W1332" i="5"/>
  <c r="BF77" i="40" s="1"/>
  <c r="AA492" i="5"/>
  <c r="W732" i="5"/>
  <c r="P3719" i="5"/>
  <c r="P3720" i="5"/>
  <c r="W3612" i="5"/>
  <c r="W3364" i="5"/>
  <c r="P3659" i="5"/>
  <c r="P3660" i="5"/>
  <c r="W3417" i="5"/>
  <c r="P1949" i="5"/>
  <c r="P1950" i="5"/>
  <c r="AA3139" i="5"/>
  <c r="F178" i="40" s="1"/>
  <c r="W2764" i="5"/>
  <c r="S2764" i="5"/>
  <c r="AA2771" i="5"/>
  <c r="BC174" i="40" s="1"/>
  <c r="P2714" i="5"/>
  <c r="P2715" i="5"/>
  <c r="W2186" i="5"/>
  <c r="W2899" i="5"/>
  <c r="W2457" i="5"/>
  <c r="S1901" i="5"/>
  <c r="W2741" i="5"/>
  <c r="W2036" i="5"/>
  <c r="W1894" i="5"/>
  <c r="W3199" i="5"/>
  <c r="W1459" i="5"/>
  <c r="F102" i="40" s="1"/>
  <c r="S1459" i="5"/>
  <c r="W289" i="5"/>
  <c r="S289" i="5"/>
  <c r="F44" i="40" s="1"/>
  <c r="AA296" i="5"/>
  <c r="P1499" i="5"/>
  <c r="P1500" i="5"/>
  <c r="W799" i="5"/>
  <c r="W829" i="5"/>
  <c r="AA731" i="5"/>
  <c r="W319" i="5"/>
  <c r="S319" i="5"/>
  <c r="F56" i="40" s="1"/>
  <c r="AA326" i="5"/>
  <c r="W184" i="5"/>
  <c r="S184" i="5"/>
  <c r="F10" i="40" s="1"/>
  <c r="AA191" i="5"/>
  <c r="W1271" i="5"/>
  <c r="BC85" i="40" s="1"/>
  <c r="AA319" i="5"/>
  <c r="P284" i="5"/>
  <c r="P285" i="5"/>
  <c r="W1669" i="5"/>
  <c r="F79" i="40" s="1"/>
  <c r="AA964" i="5"/>
  <c r="S1751" i="5"/>
  <c r="AA897" i="5"/>
  <c r="S649" i="5"/>
  <c r="F7" i="40" s="1"/>
  <c r="S281" i="5"/>
  <c r="BC36" i="40" s="1"/>
  <c r="W3432" i="5"/>
  <c r="AA2817" i="5"/>
  <c r="BF144" i="40" s="1"/>
  <c r="AA2614" i="5"/>
  <c r="F244" i="40" s="1"/>
  <c r="W927" i="5"/>
  <c r="W3597" i="5"/>
  <c r="AA3379" i="5"/>
  <c r="F253" i="40" s="1"/>
  <c r="P3749" i="5"/>
  <c r="P3750" i="5"/>
  <c r="W3702" i="5"/>
  <c r="W3537" i="5"/>
  <c r="S3761" i="5"/>
  <c r="W2959" i="5"/>
  <c r="P2489" i="5"/>
  <c r="P2490" i="5"/>
  <c r="AA2141" i="5"/>
  <c r="BC162" i="40" s="1"/>
  <c r="W2876" i="5"/>
  <c r="W2779" i="5"/>
  <c r="S2351" i="5"/>
  <c r="P2579" i="5"/>
  <c r="P2580" i="5"/>
  <c r="W3266" i="5"/>
  <c r="W2884" i="5"/>
  <c r="S1324" i="5"/>
  <c r="W1324" i="5"/>
  <c r="F77" i="40" s="1"/>
  <c r="AA1331" i="5"/>
  <c r="P1064" i="5"/>
  <c r="P1065" i="5"/>
  <c r="S806" i="5"/>
  <c r="BC34" i="40" s="1"/>
  <c r="W784" i="5"/>
  <c r="S784" i="5"/>
  <c r="F68" i="40" s="1"/>
  <c r="AA791" i="5"/>
  <c r="S596" i="5"/>
  <c r="BC64" i="40" s="1"/>
  <c r="W1534" i="5"/>
  <c r="F90" i="40" s="1"/>
  <c r="S1466" i="5"/>
  <c r="P734" i="5"/>
  <c r="P735" i="5"/>
  <c r="P404" i="5"/>
  <c r="P405" i="5"/>
  <c r="S769" i="5"/>
  <c r="F48" i="40" s="1"/>
  <c r="AA567" i="5"/>
  <c r="W544" i="5"/>
  <c r="W266" i="5"/>
  <c r="W1601" i="5"/>
  <c r="BC80" i="40" s="1"/>
  <c r="W1654" i="5"/>
  <c r="F101" i="40" s="1"/>
  <c r="W1121" i="5"/>
  <c r="BC119" i="40" s="1"/>
  <c r="AA671" i="5"/>
  <c r="P314" i="5"/>
  <c r="P315" i="5"/>
  <c r="W919" i="5"/>
  <c r="P494" i="5"/>
  <c r="P495" i="5"/>
  <c r="S296" i="5"/>
  <c r="BC44" i="40" s="1"/>
  <c r="AA3499" i="5"/>
  <c r="F222" i="40" s="1"/>
  <c r="AA2157" i="5"/>
  <c r="BF145" i="40" s="1"/>
  <c r="S3821" i="5"/>
  <c r="S3724" i="5"/>
  <c r="S3506" i="5"/>
  <c r="W3477" i="5"/>
  <c r="S3521" i="5"/>
  <c r="P3869" i="5"/>
  <c r="P3870" i="5"/>
  <c r="W3319" i="5"/>
  <c r="S3319" i="5"/>
  <c r="AA3326" i="5"/>
  <c r="BC229" i="40" s="1"/>
  <c r="S2711" i="5"/>
  <c r="AA2471" i="5"/>
  <c r="BC223" i="40" s="1"/>
  <c r="W2989" i="5"/>
  <c r="S2989" i="5"/>
  <c r="AA2996" i="5"/>
  <c r="BC235" i="40" s="1"/>
  <c r="AA2764" i="5"/>
  <c r="F174" i="40" s="1"/>
  <c r="S2141" i="5"/>
  <c r="AA1991" i="5"/>
  <c r="BC156" i="40" s="1"/>
  <c r="S2104" i="5"/>
  <c r="S2539" i="5"/>
  <c r="P2339" i="5"/>
  <c r="P2340" i="5"/>
  <c r="P3419" i="5"/>
  <c r="P3420" i="5"/>
  <c r="W3236" i="5"/>
  <c r="W2606" i="5"/>
  <c r="S2734" i="5"/>
  <c r="W2629" i="5"/>
  <c r="P2324" i="5"/>
  <c r="P2325" i="5"/>
  <c r="W1834" i="5"/>
  <c r="F116" i="40" s="1"/>
  <c r="W1631" i="5"/>
  <c r="BC123" i="40" s="1"/>
  <c r="AA716" i="5"/>
  <c r="AA177" i="5"/>
  <c r="W529" i="5"/>
  <c r="W506" i="5"/>
  <c r="P1004" i="5"/>
  <c r="P1005" i="5"/>
  <c r="W86" i="5"/>
  <c r="W1346" i="5"/>
  <c r="BC73" i="40" s="1"/>
  <c r="AA626" i="5"/>
  <c r="AA139" i="5"/>
  <c r="S679" i="5"/>
  <c r="F50" i="40" s="1"/>
  <c r="W439" i="5"/>
  <c r="S439" i="5"/>
  <c r="F17" i="40" s="1"/>
  <c r="AA446" i="5"/>
  <c r="S169" i="5"/>
  <c r="F43" i="40" s="1"/>
  <c r="W169" i="5"/>
  <c r="AA176" i="5"/>
  <c r="S664" i="5"/>
  <c r="F66" i="40" s="1"/>
  <c r="P1154" i="5"/>
  <c r="P1155" i="5"/>
  <c r="W176" i="5"/>
  <c r="P89" i="5"/>
  <c r="P90" i="5"/>
  <c r="AA889" i="5"/>
  <c r="AA777" i="5"/>
  <c r="W822" i="5"/>
  <c r="P3779" i="5"/>
  <c r="P3780" i="5"/>
  <c r="W3709" i="5"/>
  <c r="P3599" i="5"/>
  <c r="P3600" i="5"/>
  <c r="S3791" i="5"/>
  <c r="S3379" i="5"/>
  <c r="W3357" i="5"/>
  <c r="W3049" i="5"/>
  <c r="S2569" i="5"/>
  <c r="W2569" i="5"/>
  <c r="AA2576" i="5"/>
  <c r="BC143" i="40" s="1"/>
  <c r="AA2081" i="5"/>
  <c r="BC239" i="40" s="1"/>
  <c r="P2054" i="5"/>
  <c r="P2055" i="5"/>
  <c r="AA3071" i="5"/>
  <c r="BC226" i="40" s="1"/>
  <c r="AA2786" i="5"/>
  <c r="BC195" i="40" s="1"/>
  <c r="P2069" i="5"/>
  <c r="P2070" i="5"/>
  <c r="W2246" i="5"/>
  <c r="W1812" i="5"/>
  <c r="BF89" i="40" s="1"/>
  <c r="W3394" i="5"/>
  <c r="W2119" i="5"/>
  <c r="W1729" i="5"/>
  <c r="F96" i="40" s="1"/>
  <c r="S1729" i="5"/>
  <c r="AA1736" i="5"/>
  <c r="P2039" i="5"/>
  <c r="P2040" i="5"/>
  <c r="S1106" i="5"/>
  <c r="W574" i="5"/>
  <c r="S574" i="5"/>
  <c r="F38" i="40" s="1"/>
  <c r="AA581" i="5"/>
  <c r="AA1002" i="5"/>
  <c r="AA1586" i="5"/>
  <c r="P554" i="5"/>
  <c r="P555" i="5"/>
  <c r="W1376" i="5"/>
  <c r="BC121" i="40" s="1"/>
  <c r="W634" i="5"/>
  <c r="P419" i="5"/>
  <c r="P420" i="5"/>
  <c r="P239" i="5"/>
  <c r="P240" i="5"/>
  <c r="P59" i="5"/>
  <c r="P60" i="5"/>
  <c r="P179" i="5"/>
  <c r="P180" i="5"/>
  <c r="W626" i="5"/>
  <c r="AA859" i="5"/>
  <c r="W26" i="5"/>
  <c r="AA3364" i="5"/>
  <c r="F252" i="40" s="1"/>
  <c r="W3717" i="5"/>
  <c r="AA2982" i="5"/>
  <c r="BF203" i="40" s="1"/>
  <c r="AA1864" i="5"/>
  <c r="AA1647" i="5"/>
  <c r="AA2607" i="5"/>
  <c r="BF201" i="40" s="1"/>
  <c r="AA2449" i="5"/>
  <c r="F211" i="40" s="1"/>
  <c r="AA1257" i="5"/>
  <c r="W3829" i="5"/>
  <c r="P3494" i="5"/>
  <c r="P3495" i="5"/>
  <c r="S3641" i="5"/>
  <c r="W3281" i="5"/>
  <c r="AA3267" i="5"/>
  <c r="BF173" i="40" s="1"/>
  <c r="S1856" i="5"/>
  <c r="W3131" i="5"/>
  <c r="S2771" i="5"/>
  <c r="AA2591" i="5"/>
  <c r="BC135" i="40" s="1"/>
  <c r="AA2959" i="5"/>
  <c r="F165" i="40" s="1"/>
  <c r="W1804" i="5"/>
  <c r="F89" i="40" s="1"/>
  <c r="AA2014" i="5"/>
  <c r="F207" i="40" s="1"/>
  <c r="S2554" i="5"/>
  <c r="S2576" i="5"/>
  <c r="W1639" i="5"/>
  <c r="F108" i="40" s="1"/>
  <c r="S1639" i="5"/>
  <c r="S3221" i="5"/>
  <c r="S2066" i="5"/>
  <c r="S3349" i="5"/>
  <c r="S3214" i="5"/>
  <c r="S2801" i="5"/>
  <c r="AA1564" i="5"/>
  <c r="AA1467" i="5"/>
  <c r="W41" i="5"/>
  <c r="S431" i="5"/>
  <c r="BC6" i="40" s="1"/>
  <c r="P1664" i="5"/>
  <c r="P1665" i="5"/>
  <c r="AA1511" i="5"/>
  <c r="P1364" i="5"/>
  <c r="P1365" i="5"/>
  <c r="AA821" i="5"/>
  <c r="W341" i="5"/>
  <c r="S1759" i="5"/>
  <c r="W1759" i="5"/>
  <c r="F92" i="40" s="1"/>
  <c r="W979" i="5"/>
  <c r="W709" i="5"/>
  <c r="AA462" i="5"/>
  <c r="P1379" i="5"/>
  <c r="P1380" i="5"/>
  <c r="P1259" i="5"/>
  <c r="P1260" i="5"/>
  <c r="S1219" i="5"/>
  <c r="S446" i="5"/>
  <c r="BC17" i="40" s="1"/>
  <c r="S3814" i="5"/>
  <c r="P1964" i="5"/>
  <c r="P1965" i="5"/>
  <c r="P1829" i="5"/>
  <c r="P1830" i="5"/>
  <c r="W2839" i="5"/>
  <c r="P2384" i="5"/>
  <c r="P2385" i="5"/>
  <c r="W2824" i="5"/>
  <c r="W2689" i="5"/>
  <c r="S2689" i="5"/>
  <c r="AA2696" i="5"/>
  <c r="BC148" i="40" s="1"/>
  <c r="W1721" i="5"/>
  <c r="BC117" i="40" s="1"/>
  <c r="AA1481" i="5"/>
  <c r="P899" i="5"/>
  <c r="P900" i="5"/>
  <c r="P1694" i="5"/>
  <c r="P1695" i="5"/>
  <c r="P569" i="5"/>
  <c r="P570" i="5"/>
  <c r="W604" i="5"/>
  <c r="W3529" i="5"/>
  <c r="S3529" i="5"/>
  <c r="AA3476" i="5"/>
  <c r="BC177" i="40" s="1"/>
  <c r="P3674" i="5"/>
  <c r="P3675" i="5"/>
  <c r="AA3446" i="5"/>
  <c r="BC168" i="40" s="1"/>
  <c r="P3704" i="5"/>
  <c r="P3705" i="5"/>
  <c r="P3254" i="5"/>
  <c r="P3255" i="5"/>
  <c r="P3224" i="5"/>
  <c r="P3225" i="5"/>
  <c r="P2009" i="5"/>
  <c r="P2010" i="5"/>
  <c r="AA2756" i="5"/>
  <c r="BC231" i="40" s="1"/>
  <c r="AA2794" i="5"/>
  <c r="F256" i="40" s="1"/>
  <c r="AA1909" i="5"/>
  <c r="F151" i="40" s="1"/>
  <c r="S2096" i="5"/>
  <c r="W3071" i="5"/>
  <c r="AA2712" i="5"/>
  <c r="BF216" i="40" s="1"/>
  <c r="S2036" i="5"/>
  <c r="AA1939" i="5"/>
  <c r="F190" i="40" s="1"/>
  <c r="S1894" i="5"/>
  <c r="AA2284" i="5"/>
  <c r="F149" i="40" s="1"/>
  <c r="AA1219" i="5"/>
  <c r="P1529" i="5"/>
  <c r="P1530" i="5"/>
  <c r="AA1391" i="5"/>
  <c r="S799" i="5"/>
  <c r="F34" i="40" s="1"/>
  <c r="AA1369" i="5"/>
  <c r="S1271" i="5"/>
  <c r="P1049" i="5"/>
  <c r="P1050" i="5"/>
  <c r="P824" i="5"/>
  <c r="P825" i="5"/>
  <c r="W244" i="5"/>
  <c r="S244" i="5"/>
  <c r="F28" i="40" s="1"/>
  <c r="AA251" i="5"/>
  <c r="P1784" i="5"/>
  <c r="P1785" i="5"/>
  <c r="P1484" i="5"/>
  <c r="P1485" i="5"/>
  <c r="W1751" i="5"/>
  <c r="BC124" i="40" s="1"/>
  <c r="W1076" i="5"/>
  <c r="BC91" i="40" s="1"/>
  <c r="W649" i="5"/>
  <c r="W281" i="5"/>
  <c r="AA3394" i="5"/>
  <c r="F139" i="40" s="1"/>
  <c r="AA2584" i="5"/>
  <c r="F135" i="40" s="1"/>
  <c r="AA1159" i="5"/>
  <c r="S3739" i="5"/>
  <c r="P3764" i="5"/>
  <c r="P3765" i="5"/>
  <c r="AA3162" i="5"/>
  <c r="BF225" i="40" s="1"/>
  <c r="AA2952" i="5"/>
  <c r="BF247" i="40" s="1"/>
  <c r="AA2389" i="5"/>
  <c r="F202" i="40" s="1"/>
  <c r="AA3004" i="5"/>
  <c r="F183" i="40" s="1"/>
  <c r="W2756" i="5"/>
  <c r="AA2802" i="5"/>
  <c r="BF256" i="40" s="1"/>
  <c r="AA2426" i="5"/>
  <c r="BC138" i="40" s="1"/>
  <c r="P1859" i="5"/>
  <c r="P1860" i="5"/>
  <c r="P1919" i="5"/>
  <c r="P1920" i="5"/>
  <c r="S2876" i="5"/>
  <c r="W2336" i="5"/>
  <c r="AA2892" i="5"/>
  <c r="BF166" i="40" s="1"/>
  <c r="P2759" i="5"/>
  <c r="P2760" i="5"/>
  <c r="W3124" i="5"/>
  <c r="W3146" i="5"/>
  <c r="AA2869" i="5"/>
  <c r="F246" i="40" s="1"/>
  <c r="S3266" i="5"/>
  <c r="AA2329" i="5"/>
  <c r="F220" i="40" s="1"/>
  <c r="P719" i="5"/>
  <c r="P720" i="5"/>
  <c r="P224" i="5"/>
  <c r="P225" i="5"/>
  <c r="AA221" i="5"/>
  <c r="AA1594" i="5"/>
  <c r="S1391" i="5"/>
  <c r="S1249" i="5"/>
  <c r="W1249" i="5"/>
  <c r="F125" i="40" s="1"/>
  <c r="AA1256" i="5"/>
  <c r="AA664" i="5"/>
  <c r="S409" i="5"/>
  <c r="F69" i="40" s="1"/>
  <c r="W409" i="5"/>
  <c r="AA416" i="5"/>
  <c r="AA1241" i="5"/>
  <c r="AA386" i="5"/>
  <c r="P1469" i="5"/>
  <c r="P1470" i="5"/>
  <c r="AA1452" i="5"/>
  <c r="S814" i="5"/>
  <c r="F52" i="40" s="1"/>
  <c r="AA222" i="5"/>
  <c r="P374" i="5"/>
  <c r="P375" i="5"/>
  <c r="S266" i="5"/>
  <c r="BC23" i="40" s="1"/>
  <c r="S1121" i="5"/>
  <c r="P1244" i="5"/>
  <c r="P1245" i="5"/>
  <c r="W656" i="5"/>
  <c r="AA1129" i="5"/>
  <c r="S919" i="5"/>
  <c r="F12" i="40" s="1"/>
  <c r="S191" i="5"/>
  <c r="BC10" i="40" s="1"/>
  <c r="AA2727" i="5"/>
  <c r="BF259" i="40" s="1"/>
  <c r="AA529" i="5"/>
  <c r="AA1137" i="5"/>
  <c r="AA147" i="5"/>
  <c r="W3821" i="5"/>
  <c r="W3544" i="5"/>
  <c r="S3544" i="5"/>
  <c r="AA3551" i="5"/>
  <c r="BC193" i="40" s="1"/>
  <c r="W3724" i="5"/>
  <c r="P3284" i="5"/>
  <c r="P3285" i="5"/>
  <c r="W3799" i="5"/>
  <c r="P3119" i="5"/>
  <c r="P3120" i="5"/>
  <c r="AA2966" i="5"/>
  <c r="BC165" i="40" s="1"/>
  <c r="P2219" i="5"/>
  <c r="P2220" i="5"/>
  <c r="W3356" i="5"/>
  <c r="W2974" i="5"/>
  <c r="S2974" i="5"/>
  <c r="AA2981" i="5"/>
  <c r="BC203" i="40" s="1"/>
  <c r="W2224" i="5"/>
  <c r="AA2111" i="5"/>
  <c r="BC176" i="40" s="1"/>
  <c r="W2149" i="5"/>
  <c r="S2149" i="5"/>
  <c r="AA2156" i="5"/>
  <c r="BC145" i="40" s="1"/>
  <c r="P2879" i="5"/>
  <c r="P2880" i="5"/>
  <c r="W2104" i="5"/>
  <c r="S2156" i="5"/>
  <c r="P1724" i="5"/>
  <c r="P1725" i="5"/>
  <c r="W3176" i="5"/>
  <c r="AA1549" i="5"/>
  <c r="W2869" i="5"/>
  <c r="S1631" i="5"/>
  <c r="P989" i="5"/>
  <c r="P990" i="5"/>
  <c r="S529" i="5"/>
  <c r="F31" i="40" s="1"/>
  <c r="S506" i="5"/>
  <c r="BC46" i="40" s="1"/>
  <c r="W911" i="5"/>
  <c r="AA312" i="5"/>
  <c r="W364" i="5"/>
  <c r="S364" i="5"/>
  <c r="F55" i="40" s="1"/>
  <c r="AA371" i="5"/>
  <c r="S86" i="5"/>
  <c r="BC41" i="40" s="1"/>
  <c r="S1346" i="5"/>
  <c r="P1349" i="5"/>
  <c r="P1350" i="5"/>
  <c r="W1226" i="5"/>
  <c r="BC76" i="40" s="1"/>
  <c r="S1204" i="5"/>
  <c r="W664" i="5"/>
  <c r="S874" i="5"/>
  <c r="F37" i="40" s="1"/>
  <c r="P779" i="5"/>
  <c r="P780" i="5"/>
  <c r="AA3679" i="5"/>
  <c r="F136" i="40" s="1"/>
  <c r="AA3079" i="5"/>
  <c r="F213" i="40" s="1"/>
  <c r="AA1602" i="5"/>
  <c r="AA1347" i="5"/>
  <c r="P3854" i="5"/>
  <c r="P3855" i="5"/>
  <c r="P3464" i="5"/>
  <c r="P3465" i="5"/>
  <c r="S3694" i="5"/>
  <c r="S3049" i="5"/>
  <c r="S2111" i="5"/>
  <c r="P2279" i="5"/>
  <c r="P2280" i="5"/>
  <c r="P3314" i="5"/>
  <c r="P3315" i="5"/>
  <c r="W1706" i="5"/>
  <c r="BC103" i="40" s="1"/>
  <c r="S2614" i="5"/>
  <c r="W2614" i="5"/>
  <c r="AA2621" i="5"/>
  <c r="BC244" i="40" s="1"/>
  <c r="S2246" i="5"/>
  <c r="P1889" i="5"/>
  <c r="P1890" i="5"/>
  <c r="S3394" i="5"/>
  <c r="AA2921" i="5"/>
  <c r="BC192" i="40" s="1"/>
  <c r="S2119" i="5"/>
  <c r="P2849" i="5"/>
  <c r="P2850" i="5"/>
  <c r="W1661" i="5"/>
  <c r="BC101" i="40" s="1"/>
  <c r="S1241" i="5"/>
  <c r="W311" i="5"/>
  <c r="W514" i="5"/>
  <c r="S514" i="5"/>
  <c r="F27" i="40" s="1"/>
  <c r="AA521" i="5"/>
  <c r="S1279" i="5"/>
  <c r="W1279" i="5"/>
  <c r="F86" i="40" s="1"/>
  <c r="AA1286" i="5"/>
  <c r="W1489" i="5"/>
  <c r="F107" i="40" s="1"/>
  <c r="S1489" i="5"/>
  <c r="AA49" i="5"/>
  <c r="AA87" i="5"/>
  <c r="S1376" i="5"/>
  <c r="W521" i="5"/>
  <c r="S634" i="5"/>
  <c r="F5" i="40" s="1"/>
  <c r="S626" i="5"/>
  <c r="BC15" i="40" s="1"/>
  <c r="AA941" i="5"/>
  <c r="W491" i="5"/>
  <c r="W1031" i="5"/>
  <c r="S26" i="5"/>
  <c r="BC40" i="40" s="1"/>
  <c r="AA522" i="5"/>
  <c r="AA702" i="5"/>
  <c r="S3829" i="5"/>
  <c r="P3374" i="5"/>
  <c r="P3375" i="5"/>
  <c r="W3296" i="5"/>
  <c r="P3809" i="5"/>
  <c r="P3810" i="5"/>
  <c r="W3641" i="5"/>
  <c r="AA3072" i="5"/>
  <c r="BF226" i="40" s="1"/>
  <c r="S3131" i="5"/>
  <c r="P2864" i="5"/>
  <c r="P2865" i="5"/>
  <c r="W3229" i="5"/>
  <c r="S3229" i="5"/>
  <c r="W2651" i="5"/>
  <c r="S2449" i="5"/>
  <c r="P2594" i="5"/>
  <c r="P2595" i="5"/>
  <c r="W2134" i="5"/>
  <c r="S1804" i="5"/>
  <c r="W1549" i="5"/>
  <c r="F112" i="40" s="1"/>
  <c r="S1549" i="5"/>
  <c r="AA2097" i="5"/>
  <c r="BF197" i="40" s="1"/>
  <c r="S2749" i="5"/>
  <c r="AA1962" i="5"/>
  <c r="BF140" i="40" s="1"/>
  <c r="W3349" i="5"/>
  <c r="AA2922" i="5"/>
  <c r="BF192" i="40" s="1"/>
  <c r="W1736" i="5"/>
  <c r="BC96" i="40" s="1"/>
  <c r="P704" i="5"/>
  <c r="P705" i="5"/>
  <c r="AA477" i="5"/>
  <c r="S41" i="5"/>
  <c r="BC33" i="40" s="1"/>
  <c r="S866" i="5"/>
  <c r="BC18" i="40" s="1"/>
  <c r="AA131" i="5"/>
  <c r="AA1121" i="5"/>
  <c r="S416" i="5"/>
  <c r="BC69" i="40" s="1"/>
  <c r="AA94" i="5"/>
  <c r="S341" i="5"/>
  <c r="BC54" i="40" s="1"/>
  <c r="P1334" i="5"/>
  <c r="P1335" i="5"/>
  <c r="W1039" i="5"/>
  <c r="F83" i="40" s="1"/>
  <c r="S709" i="5"/>
  <c r="F63" i="40" s="1"/>
  <c r="W1451" i="5"/>
  <c r="BC74" i="40" s="1"/>
  <c r="P809" i="5"/>
  <c r="P810" i="5"/>
  <c r="S934" i="5"/>
  <c r="F30" i="40" s="1"/>
  <c r="P1544" i="5"/>
  <c r="P1545" i="5"/>
  <c r="W1219" i="5"/>
  <c r="F76" i="40" s="1"/>
  <c r="S349" i="5"/>
  <c r="F24" i="40" s="1"/>
  <c r="AA1512" i="5"/>
  <c r="S99" i="5"/>
  <c r="AA1074" i="5"/>
  <c r="AA3189" i="5"/>
  <c r="AA399" i="5"/>
  <c r="W2124" i="5"/>
  <c r="AA969" i="5"/>
  <c r="AA309" i="5"/>
  <c r="W699" i="5"/>
  <c r="W2694" i="5"/>
  <c r="S369" i="5"/>
  <c r="W1524" i="5"/>
  <c r="AA2274" i="5"/>
  <c r="S699" i="5"/>
  <c r="W309" i="5"/>
  <c r="S2694" i="5"/>
  <c r="S1074" i="5"/>
  <c r="S1524" i="5"/>
  <c r="W969" i="5"/>
  <c r="W1224" i="5"/>
  <c r="AA1404" i="5"/>
  <c r="AA1629" i="5"/>
  <c r="W1584" i="5"/>
  <c r="W399" i="5"/>
  <c r="AA1464" i="5"/>
  <c r="AA624" i="5"/>
  <c r="S1584" i="5"/>
  <c r="AA99" i="5"/>
  <c r="W1074" i="5"/>
  <c r="S969" i="5"/>
  <c r="W1239" i="5"/>
  <c r="S1629" i="5"/>
  <c r="AA2124" i="5"/>
  <c r="S294" i="5"/>
  <c r="W1974" i="5"/>
  <c r="S309" i="5"/>
  <c r="AA519" i="5"/>
  <c r="S879" i="5"/>
  <c r="W1404" i="5"/>
  <c r="W1629" i="5"/>
  <c r="W1464" i="5"/>
  <c r="W294" i="5"/>
  <c r="S399" i="5"/>
  <c r="AA1239" i="5"/>
  <c r="W519" i="5"/>
  <c r="W99" i="5"/>
  <c r="AA1524" i="5"/>
  <c r="S1404" i="5"/>
  <c r="AA699" i="5"/>
  <c r="AA879" i="5"/>
  <c r="S1464" i="5"/>
  <c r="AA2694" i="5"/>
  <c r="W369" i="5"/>
  <c r="S519" i="5"/>
  <c r="AO112" i="40" l="1"/>
  <c r="AO27" i="40"/>
  <c r="AO165" i="40"/>
  <c r="AO148" i="40"/>
  <c r="AO96" i="40"/>
  <c r="AO143" i="40"/>
  <c r="AO43" i="40"/>
  <c r="AO17" i="40"/>
  <c r="AO156" i="40"/>
  <c r="AO162" i="40"/>
  <c r="AO164" i="40"/>
  <c r="AO46" i="40"/>
  <c r="AO88" i="40"/>
  <c r="AO65" i="40"/>
  <c r="AO29" i="40"/>
  <c r="AO211" i="40"/>
  <c r="AO253" i="40"/>
  <c r="AO80" i="40"/>
  <c r="AO51" i="40"/>
  <c r="AO131" i="40"/>
  <c r="AO242" i="40"/>
  <c r="AO246" i="40"/>
  <c r="AO212" i="40"/>
  <c r="AO130" i="40"/>
  <c r="AO71" i="40"/>
  <c r="AO85" i="40"/>
  <c r="AO238" i="40"/>
  <c r="AO225" i="40"/>
  <c r="AO237" i="40"/>
  <c r="AO170" i="40"/>
  <c r="AO201" i="40"/>
  <c r="AO146" i="40"/>
  <c r="AO157" i="40"/>
  <c r="AO73" i="40"/>
  <c r="AO63" i="40"/>
  <c r="AO3" i="40"/>
  <c r="AO200" i="40"/>
  <c r="AO106" i="40"/>
  <c r="AO34" i="40"/>
  <c r="AO220" i="40"/>
  <c r="AO61" i="40"/>
  <c r="AO209" i="40"/>
  <c r="AO107" i="40"/>
  <c r="AO86" i="40"/>
  <c r="AO193" i="40"/>
  <c r="AO69" i="40"/>
  <c r="AO47" i="40"/>
  <c r="AO77" i="40"/>
  <c r="AO81" i="40"/>
  <c r="AO10" i="40"/>
  <c r="AO56" i="40"/>
  <c r="AO102" i="40"/>
  <c r="AO205" i="40"/>
  <c r="AO191" i="40"/>
  <c r="AO120" i="40"/>
  <c r="AO155" i="40"/>
  <c r="AO123" i="40"/>
  <c r="AO252" i="40"/>
  <c r="AO24" i="40"/>
  <c r="AO213" i="40"/>
  <c r="AO74" i="40"/>
  <c r="AO248" i="40"/>
  <c r="AO105" i="40"/>
  <c r="AO228" i="40"/>
  <c r="AO111" i="40"/>
  <c r="AO224" i="40"/>
  <c r="AO37" i="40"/>
  <c r="AO180" i="40"/>
  <c r="AO245" i="40"/>
  <c r="AO134" i="40"/>
  <c r="AO32" i="40"/>
  <c r="AO60" i="40"/>
  <c r="AO232" i="40"/>
  <c r="AO153" i="40"/>
  <c r="AO141" i="40"/>
  <c r="AO221" i="40"/>
  <c r="AO203" i="40"/>
  <c r="AO49" i="40"/>
  <c r="AO125" i="40"/>
  <c r="AO177" i="40"/>
  <c r="AO229" i="40"/>
  <c r="AO44" i="40"/>
  <c r="AO174" i="40"/>
  <c r="AO53" i="40"/>
  <c r="AO197" i="40"/>
  <c r="AO97" i="40"/>
  <c r="AO154" i="40"/>
  <c r="AO70" i="40"/>
  <c r="AO218" i="40"/>
  <c r="AO251" i="40"/>
  <c r="AO163" i="40"/>
  <c r="AO57" i="40"/>
  <c r="AO19" i="40"/>
  <c r="AO189" i="40"/>
  <c r="AO93" i="40"/>
  <c r="AO183" i="40"/>
  <c r="AO87" i="40"/>
  <c r="AO23" i="40"/>
  <c r="AO219" i="40"/>
  <c r="AO121" i="40"/>
  <c r="AO187" i="40"/>
  <c r="AO26" i="40"/>
  <c r="AO12" i="40"/>
  <c r="AO91" i="40"/>
  <c r="AO42" i="40"/>
  <c r="AO59" i="40"/>
  <c r="AO21" i="40"/>
  <c r="AO82" i="40"/>
  <c r="AO192" i="40"/>
  <c r="AO116" i="40"/>
  <c r="AO138" i="40"/>
  <c r="AO169" i="40"/>
  <c r="AO108" i="40"/>
  <c r="AO38" i="40"/>
  <c r="AO239" i="40"/>
  <c r="AO139" i="40"/>
  <c r="AO14" i="40"/>
  <c r="AO110" i="40"/>
  <c r="AO109" i="40"/>
  <c r="AO115" i="40"/>
  <c r="AO129" i="40"/>
  <c r="AO185" i="40"/>
  <c r="AO117" i="40"/>
  <c r="AO190" i="40"/>
  <c r="AO127" i="40"/>
  <c r="AO132" i="40"/>
  <c r="AO128" i="40"/>
  <c r="AO188" i="40"/>
  <c r="AO76" i="40"/>
  <c r="AO20" i="40"/>
  <c r="AO149" i="40"/>
  <c r="AO247" i="40"/>
  <c r="AO161" i="40"/>
  <c r="AO4" i="40"/>
  <c r="AO64" i="40"/>
  <c r="AO244" i="40"/>
  <c r="AO168" i="40"/>
  <c r="AO92" i="40"/>
  <c r="AO195" i="40"/>
  <c r="AO223" i="40"/>
  <c r="AO68" i="40"/>
  <c r="AO254" i="40"/>
  <c r="AO258" i="40"/>
  <c r="AO194" i="40"/>
  <c r="AO256" i="40"/>
  <c r="AO58" i="40"/>
  <c r="AO241" i="40"/>
  <c r="AO202" i="40"/>
  <c r="AO54" i="40"/>
  <c r="AO94" i="40"/>
  <c r="AO178" i="40"/>
  <c r="AO230" i="40"/>
  <c r="AO236" i="40"/>
  <c r="AO9" i="40"/>
  <c r="AO137" i="40"/>
  <c r="AO142" i="40"/>
  <c r="AO99" i="40"/>
  <c r="AO222" i="40"/>
  <c r="AO150" i="40"/>
  <c r="AO198" i="40"/>
  <c r="AO208" i="40"/>
  <c r="AO55" i="40"/>
  <c r="AO145" i="40"/>
  <c r="AO176" i="40"/>
  <c r="AO28" i="40"/>
  <c r="AO231" i="40"/>
  <c r="AO135" i="40"/>
  <c r="AO226" i="40"/>
  <c r="AO235" i="40"/>
  <c r="AO11" i="40"/>
  <c r="AO126" i="40"/>
  <c r="AO207" i="40"/>
  <c r="AO240" i="40"/>
  <c r="AO41" i="40"/>
  <c r="AO216" i="40"/>
  <c r="AO39" i="40"/>
  <c r="AO124" i="40"/>
  <c r="AO6" i="40"/>
  <c r="AO196" i="40"/>
  <c r="AO36" i="40"/>
  <c r="AO166" i="40"/>
  <c r="AO136" i="40"/>
  <c r="AO234" i="40"/>
  <c r="AO259" i="40"/>
  <c r="AO52" i="40"/>
  <c r="AO40" i="40"/>
  <c r="AO84" i="40"/>
  <c r="AO118" i="40"/>
  <c r="AO167" i="40"/>
  <c r="AO184" i="40"/>
  <c r="AO160" i="40"/>
  <c r="AO250" i="40"/>
  <c r="AO101" i="40"/>
  <c r="AO140" i="40"/>
  <c r="AO249" i="40"/>
  <c r="AO2" i="40"/>
  <c r="AO227" i="4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Brian Du</author>
  </authors>
  <commentList>
    <comment ref="AA1" authorId="0" shapeId="0" xr:uid="{BAB74ACF-8691-9842-ABDC-289884FC43F9}">
      <text>
        <r>
          <rPr>
            <b/>
            <sz val="9"/>
            <color rgb="FF000000"/>
            <rFont val="Tahoma"/>
            <family val="2"/>
          </rPr>
          <t>Brian Du:</t>
        </r>
        <r>
          <rPr>
            <sz val="9"/>
            <color rgb="FF000000"/>
            <rFont val="Tahoma"/>
            <family val="2"/>
          </rPr>
          <t xml:space="preserve">
</t>
        </r>
        <r>
          <rPr>
            <sz val="9"/>
            <color rgb="FF000000"/>
            <rFont val="Tahoma"/>
            <family val="2"/>
          </rPr>
          <t xml:space="preserve">This measure looks at the change in the number of shares outstanding in a firm. Firms that buyback shares will have lower shares outstanding and firms that issue more shares will have higher shares outstanding.
</t>
        </r>
        <r>
          <rPr>
            <sz val="9"/>
            <color rgb="FF000000"/>
            <rFont val="Tahoma"/>
            <family val="2"/>
          </rPr>
          <t xml:space="preserve">
</t>
        </r>
        <r>
          <rPr>
            <sz val="9"/>
            <color rgb="FF000000"/>
            <rFont val="Tahoma"/>
            <family val="2"/>
          </rPr>
          <t xml:space="preserve">Stock repurchases are another way to return money to shareholders because it makes the shares more valuable. We want shares outstanding to be decreasing over time. 
</t>
        </r>
        <r>
          <rPr>
            <sz val="9"/>
            <color rgb="FF000000"/>
            <rFont val="Tahoma"/>
            <family val="2"/>
          </rPr>
          <t xml:space="preserve">
</t>
        </r>
        <r>
          <rPr>
            <sz val="9"/>
            <color rgb="FF000000"/>
            <rFont val="Tahoma"/>
            <family val="2"/>
          </rPr>
          <t xml:space="preserve">
</t>
        </r>
        <r>
          <rPr>
            <sz val="9"/>
            <color rgb="FF000000"/>
            <rFont val="Tahoma"/>
            <family val="2"/>
          </rPr>
          <t>The more negative, the better.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Brian Du</author>
    <author>brian du</author>
  </authors>
  <commentList>
    <comment ref="R4" authorId="0" shapeId="0" xr:uid="{8507377E-EA1D-4AD5-8EF8-CF1B088FC98C}">
      <text>
        <r>
          <rPr>
            <b/>
            <sz val="9"/>
            <color rgb="FF000000"/>
            <rFont val="Tahoma"/>
            <family val="2"/>
          </rPr>
          <t>Brian Du:</t>
        </r>
        <r>
          <rPr>
            <sz val="9"/>
            <color rgb="FF000000"/>
            <rFont val="Tahoma"/>
            <family val="2"/>
          </rPr>
          <t xml:space="preserve">
</t>
        </r>
        <r>
          <rPr>
            <sz val="9"/>
            <color rgb="FF000000"/>
            <rFont val="Tahoma"/>
            <family val="2"/>
          </rPr>
          <t xml:space="preserve">This ratio compares the stock price (P) to the firm's free cash flow to equity (FCFE). We want a low stock price because it is cheap for us to invest. We want high FCFE because the firm is more profitable.
</t>
        </r>
        <r>
          <rPr>
            <sz val="9"/>
            <color rgb="FF000000"/>
            <rFont val="Tahoma"/>
            <family val="2"/>
          </rPr>
          <t xml:space="preserve">
</t>
        </r>
        <r>
          <rPr>
            <sz val="9"/>
            <color rgb="FF000000"/>
            <rFont val="Tahoma"/>
            <family val="2"/>
          </rPr>
          <t>We want this ratio to be as LOW as possible, but not negative. Negative means negative FCFE. Give a 1 for negative.</t>
        </r>
      </text>
    </comment>
    <comment ref="V4" authorId="0" shapeId="0" xr:uid="{E813ACAC-5100-4011-AB4B-240E0A8A4A55}">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4" authorId="0" shapeId="0" xr:uid="{49BC2191-8CEA-4D9A-9B73-74BA90786384}">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5" authorId="0" shapeId="0" xr:uid="{9876BE0E-389A-4DE3-B611-48846B28EB61}">
      <text>
        <r>
          <rPr>
            <b/>
            <sz val="9"/>
            <color rgb="FF000000"/>
            <rFont val="Tahoma"/>
            <family val="2"/>
          </rPr>
          <t>Brian Du:</t>
        </r>
        <r>
          <rPr>
            <sz val="9"/>
            <color rgb="FF000000"/>
            <rFont val="Tahoma"/>
            <family val="2"/>
          </rPr>
          <t xml:space="preserve">
</t>
        </r>
        <r>
          <rPr>
            <sz val="9"/>
            <color rgb="FF000000"/>
            <rFont val="Tahoma"/>
            <family val="2"/>
          </rPr>
          <t>Market cap: we want this to be as high as possible. Larger firms are more diversified, more stable, benefit from economies of scale, watched closly by market participants, etc.</t>
        </r>
      </text>
    </comment>
    <comment ref="V5" authorId="0" shapeId="0" xr:uid="{E10E76A3-0F8E-4E7A-9B4C-1E493AEFFC53}">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5" authorId="0" shapeId="0" xr:uid="{D842F92C-5F99-472F-BCAF-91392D500EEA}">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6" authorId="0" shapeId="0" xr:uid="{B02D6BFE-EB6B-45B3-9C1B-16A0288CFA2E}">
      <text>
        <r>
          <rPr>
            <b/>
            <sz val="9"/>
            <color rgb="FF000000"/>
            <rFont val="Tahoma"/>
            <family val="2"/>
          </rPr>
          <t>Brian Du:</t>
        </r>
        <r>
          <rPr>
            <sz val="9"/>
            <color rgb="FF000000"/>
            <rFont val="Tahoma"/>
            <family val="2"/>
          </rPr>
          <t xml:space="preserve">
</t>
        </r>
        <r>
          <rPr>
            <sz val="9"/>
            <color rgb="FF000000"/>
            <rFont val="Tahoma"/>
            <family val="2"/>
          </rPr>
          <t xml:space="preserve">This measure is a ratio of the stock price to a firm's dividends and dividend growth rate. Firms that are more financially stable can afford to pay lots of dividends because they are able to generate enough earnings.
</t>
        </r>
        <r>
          <rPr>
            <sz val="9"/>
            <color rgb="FF000000"/>
            <rFont val="Tahoma"/>
            <family val="2"/>
          </rPr>
          <t xml:space="preserve">
</t>
        </r>
        <r>
          <rPr>
            <sz val="9"/>
            <color rgb="FF000000"/>
            <rFont val="Tahoma"/>
            <family val="2"/>
          </rPr>
          <t>We want the number here to be as low as possible.</t>
        </r>
      </text>
    </comment>
    <comment ref="V6" authorId="0" shapeId="0" xr:uid="{A154FB4D-ABDF-4FF9-8AFA-376EB8162AE4}">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6" authorId="0" shapeId="0" xr:uid="{F0D36108-9700-4108-A839-B045AA03D867}">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7" authorId="0" shapeId="0" xr:uid="{45D81907-15D6-4639-BF65-BDF1FDA42F64}">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7" authorId="0" shapeId="0" xr:uid="{E3423EE6-0F1D-440F-9583-28B8CC3BCFB6}">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7" authorId="0" shapeId="0" xr:uid="{33E8C37F-7D14-4D85-8F0E-3E8C67377605}">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8" authorId="1" shapeId="0" xr:uid="{25241C5E-811C-4ECF-BFD6-8A81477452BC}">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8" authorId="1" shapeId="0" xr:uid="{7488428D-5B38-490A-81A8-DD6604DE6BB7}">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8" authorId="1" shapeId="0" xr:uid="{8ABD2461-0196-460B-B930-67F370871689}">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9" authorId="1" shapeId="0" xr:uid="{455695B9-9AF8-4FF0-884D-A151961DF515}">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9" authorId="1" shapeId="0" xr:uid="{192697B8-FC0E-4005-B3B3-DDCE4DAB6915}">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9" authorId="1" shapeId="0" xr:uid="{1BCD0E80-A7C2-4491-B6FD-ECB8882F3393}">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10" authorId="1" shapeId="0" xr:uid="{654C478D-636B-479F-B60E-7E943A84D285}">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10" authorId="1" shapeId="0" xr:uid="{8635C066-A910-439A-A04E-3F5FD5B95B82}">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10" authorId="1" shapeId="0" xr:uid="{0357ADD6-BB2E-4DC6-AE25-E9A9BD5CA55C}">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11" authorId="0" shapeId="0" xr:uid="{1162297D-086A-4F01-ABCB-2155FD0B9A2E}">
      <text>
        <r>
          <rPr>
            <b/>
            <sz val="9"/>
            <color rgb="FF000000"/>
            <rFont val="Tahoma"/>
            <family val="2"/>
          </rPr>
          <t>Brian Du:</t>
        </r>
        <r>
          <rPr>
            <sz val="9"/>
            <color rgb="FF000000"/>
            <rFont val="Tahoma"/>
            <family val="2"/>
          </rPr>
          <t xml:space="preserve">
</t>
        </r>
        <r>
          <rPr>
            <sz val="9"/>
            <color rgb="FF000000"/>
            <rFont val="Tahoma"/>
            <family val="2"/>
          </rPr>
          <t xml:space="preserve">This measure is the ratio of debt to free cash flow. It looks at how much debt they are raising compared to how much cash they bring in.
</t>
        </r>
        <r>
          <rPr>
            <sz val="9"/>
            <color rgb="FF000000"/>
            <rFont val="Tahoma"/>
            <family val="2"/>
          </rPr>
          <t xml:space="preserve">
</t>
        </r>
        <r>
          <rPr>
            <sz val="9"/>
            <color rgb="FF000000"/>
            <rFont val="Tahoma"/>
            <family val="2"/>
          </rPr>
          <t xml:space="preserve">Some debt is actually healthy for a firm. No need to do z-score. Do manual scoring here.
</t>
        </r>
        <r>
          <rPr>
            <sz val="9"/>
            <color rgb="FF000000"/>
            <rFont val="Tahoma"/>
            <family val="2"/>
          </rPr>
          <t xml:space="preserve">
</t>
        </r>
        <r>
          <rPr>
            <sz val="9"/>
            <color rgb="FF000000"/>
            <rFont val="Tahoma"/>
            <family val="2"/>
          </rPr>
          <t xml:space="preserve">If this is &lt;25%, give a score of 5.
</t>
        </r>
        <r>
          <rPr>
            <sz val="9"/>
            <color rgb="FF000000"/>
            <rFont val="Tahoma"/>
            <family val="2"/>
          </rPr>
          <t xml:space="preserve">Between 25-30%, ~4.75.
</t>
        </r>
        <r>
          <rPr>
            <sz val="9"/>
            <color rgb="FF000000"/>
            <rFont val="Tahoma"/>
            <family val="2"/>
          </rPr>
          <t xml:space="preserve">Between 30-35%, ~4.4.
</t>
        </r>
        <r>
          <rPr>
            <sz val="9"/>
            <color rgb="FF000000"/>
            <rFont val="Tahoma"/>
            <family val="2"/>
          </rPr>
          <t xml:space="preserve">Between 35-40%, ~3.9.
</t>
        </r>
        <r>
          <rPr>
            <sz val="9"/>
            <color rgb="FF000000"/>
            <rFont val="Tahoma"/>
            <family val="2"/>
          </rPr>
          <t xml:space="preserve">Between 40-45%, ~3.2.
</t>
        </r>
        <r>
          <rPr>
            <sz val="9"/>
            <color rgb="FF000000"/>
            <rFont val="Tahoma"/>
            <family val="2"/>
          </rPr>
          <t xml:space="preserve">Between 45-50%, ~2.4.
</t>
        </r>
        <r>
          <rPr>
            <sz val="9"/>
            <color rgb="FF000000"/>
            <rFont val="Tahoma"/>
            <family val="2"/>
          </rPr>
          <t xml:space="preserve">If it is &gt;100%, give a score of 1. 
</t>
        </r>
        <r>
          <rPr>
            <sz val="9"/>
            <color rgb="FF000000"/>
            <rFont val="Tahoma"/>
            <family val="2"/>
          </rPr>
          <t xml:space="preserve">
</t>
        </r>
        <r>
          <rPr>
            <sz val="9"/>
            <color rgb="FF000000"/>
            <rFont val="Tahoma"/>
            <family val="2"/>
          </rPr>
          <t>Use discretion in assigning scores.</t>
        </r>
      </text>
    </comment>
    <comment ref="V11" authorId="0" shapeId="0" xr:uid="{6A277462-B179-45DE-8442-2DEE8C949680}">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11" authorId="0" shapeId="0" xr:uid="{9954B718-4E03-412A-8C88-F7C712AD6D35}">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12" authorId="0" shapeId="0" xr:uid="{79876882-992E-422D-923E-C18EE80C53FC}">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12" authorId="0" shapeId="0" xr:uid="{E4EAC047-8BCB-458B-8CC0-E478EF6DE0CB}">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12" authorId="0" shapeId="0" xr:uid="{B2139513-6AC5-4EF0-B40E-CC869C9E896C}">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13" authorId="1" shapeId="0" xr:uid="{2AE1BE8A-2000-418B-92DD-0C0F8AAEDF6E}">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19" authorId="0" shapeId="0" xr:uid="{77F3F419-AB6A-4A68-AA4D-11FB97FEB0BC}">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19" authorId="0" shapeId="0" xr:uid="{81049426-413B-4C58-9DAD-1C02B4E82FB1}">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19" authorId="0" shapeId="0" xr:uid="{E026EA50-C7B5-4802-90F8-EA4462948716}">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20" authorId="0" shapeId="0" xr:uid="{D69B89F1-14BA-4847-9DAB-F55EAEC0F13C}">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20" authorId="0" shapeId="0" xr:uid="{53F04957-EC51-4DB6-ADA8-A1BFAB369C14}">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20" authorId="0" shapeId="0" xr:uid="{274D64F3-9FC2-447D-AFDE-689AFD8A6010}">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21" authorId="0" shapeId="0" xr:uid="{10F43B9A-C21E-4A24-B2C1-0D966B90C6B9}">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21" authorId="0" shapeId="0" xr:uid="{4A5C254F-4A3F-4D75-B2F2-C1BD8B7F76C7}">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21" authorId="0" shapeId="0" xr:uid="{1429BF17-3C8C-4F99-8AEF-54A6D0B7C1EB}">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22" authorId="0" shapeId="0" xr:uid="{A96D60D9-A547-4697-A759-247E5535EA5A}">
      <text>
        <r>
          <rPr>
            <b/>
            <sz val="9"/>
            <color rgb="FF000000"/>
            <rFont val="Tahoma"/>
            <family val="2"/>
          </rPr>
          <t>Brian Du:</t>
        </r>
        <r>
          <rPr>
            <sz val="9"/>
            <color rgb="FF000000"/>
            <rFont val="Tahoma"/>
            <family val="2"/>
          </rPr>
          <t xml:space="preserve">
</t>
        </r>
        <r>
          <rPr>
            <sz val="9"/>
            <color rgb="FF000000"/>
            <rFont val="Tahoma"/>
            <family val="2"/>
          </rPr>
          <t xml:space="preserve">This measure looks at the change in the number of shares outstanding in a firm. Firms that buyback shares will have lower shares outstanding and firms that issue more shares will have higher shares outstanding.
</t>
        </r>
        <r>
          <rPr>
            <sz val="9"/>
            <color rgb="FF000000"/>
            <rFont val="Tahoma"/>
            <family val="2"/>
          </rPr>
          <t xml:space="preserve">
</t>
        </r>
        <r>
          <rPr>
            <sz val="9"/>
            <color rgb="FF000000"/>
            <rFont val="Tahoma"/>
            <family val="2"/>
          </rPr>
          <t xml:space="preserve">Stock repurchases are another way to return money to shareholders because it makes the shares more valuable. We want shares outstanding to be decreasing over time. 
</t>
        </r>
        <r>
          <rPr>
            <sz val="9"/>
            <color rgb="FF000000"/>
            <rFont val="Tahoma"/>
            <family val="2"/>
          </rPr>
          <t xml:space="preserve">
</t>
        </r>
        <r>
          <rPr>
            <sz val="9"/>
            <color rgb="FF000000"/>
            <rFont val="Tahoma"/>
            <family val="2"/>
          </rPr>
          <t xml:space="preserve">
</t>
        </r>
        <r>
          <rPr>
            <sz val="9"/>
            <color rgb="FF000000"/>
            <rFont val="Tahoma"/>
            <family val="2"/>
          </rPr>
          <t>The more negative, the better.</t>
        </r>
      </text>
    </comment>
    <comment ref="V22" authorId="0" shapeId="0" xr:uid="{B85B614C-2CB6-4813-BCF2-B8103D45FD6C}">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22" authorId="0" shapeId="0" xr:uid="{8C818795-5504-4BDC-A8FD-417E73491E03}">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23" authorId="1" shapeId="0" xr:uid="{E9D0F90A-28EE-4187-8730-D8D01F89CE34}">
      <text>
        <r>
          <rPr>
            <b/>
            <sz val="9"/>
            <color rgb="FF000000"/>
            <rFont val="Tahoma"/>
            <family val="2"/>
          </rPr>
          <t>brian du:</t>
        </r>
        <r>
          <rPr>
            <sz val="9"/>
            <color rgb="FF000000"/>
            <rFont val="Tahoma"/>
            <family val="2"/>
          </rPr>
          <t xml:space="preserve">
</t>
        </r>
        <r>
          <rPr>
            <sz val="9"/>
            <color rgb="FF000000"/>
            <rFont val="Tahoma"/>
            <family val="2"/>
          </rPr>
          <t xml:space="preserve">This measure looks at the ratio of earnings to revenue. It looks at how efficiently a firm is able to convert revenue into earnings.
</t>
        </r>
        <r>
          <rPr>
            <sz val="9"/>
            <color rgb="FF000000"/>
            <rFont val="Tahoma"/>
            <family val="2"/>
          </rPr>
          <t xml:space="preserve">
</t>
        </r>
        <r>
          <rPr>
            <sz val="9"/>
            <color rgb="FF000000"/>
            <rFont val="Tahoma"/>
            <family val="2"/>
          </rPr>
          <t xml:space="preserve">We want this to be as high as possible. A negative value here means earnings is negative. Give a 1 to firms that have a negative ratio.
</t>
        </r>
      </text>
    </comment>
    <comment ref="V23" authorId="1" shapeId="0" xr:uid="{00AB10DF-4939-40EF-913B-8DA1C60200E9}">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23" authorId="1" shapeId="0" xr:uid="{B5DC2E28-3E9B-4AD9-9C65-31F4A7833593}">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24" authorId="1" shapeId="0" xr:uid="{4B5A435D-740B-496E-A28D-6DB95180A506}">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24" authorId="1" shapeId="0" xr:uid="{A5AF6AE5-14D7-40D8-83D0-05C5F805C28B}">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24" authorId="1" shapeId="0" xr:uid="{676979F3-9B80-45E7-B67B-6A24A76E5CFB}">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25" authorId="1" shapeId="0" xr:uid="{76807215-CE5C-41D6-ADF8-177AF7413F3C}">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25" authorId="1" shapeId="0" xr:uid="{146C5FB6-6BD6-4CE3-83B7-8057275CAE01}">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25" authorId="1" shapeId="0" xr:uid="{FB798467-6484-4BEF-97DE-CF6CE3023225}">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26" authorId="0" shapeId="0" xr:uid="{DD773DB1-FF27-42CA-8150-3EE92010C534}">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26" authorId="0" shapeId="0" xr:uid="{C705532F-7683-4362-8913-07C57786AB66}">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26" authorId="0" shapeId="0" xr:uid="{07D8A611-FEFC-458B-985F-FE77FDFC64F8}">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27" authorId="0" shapeId="0" xr:uid="{6952DF89-73D6-4C50-A264-413B015F6869}">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27" authorId="0" shapeId="0" xr:uid="{F3449CB4-8D17-44C0-8D49-4880A0F19927}">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27" authorId="0" shapeId="0" xr:uid="{5DAF7532-A3EB-401E-B7F0-F3A145BC019E}">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28" authorId="1" shapeId="0" xr:uid="{C739BA33-7FB6-432E-B0EF-DB2BCB1BFD98}">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34" authorId="0" shapeId="0" xr:uid="{2E351406-C7A5-473D-BE4C-C80EF24025A3}">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34" authorId="0" shapeId="0" xr:uid="{9DC5ECAD-2F3A-4C19-957E-B54AB1E4F60F}">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34" authorId="0" shapeId="0" xr:uid="{890C122F-758C-4A46-9F32-22FC62B162A2}">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35" authorId="0" shapeId="0" xr:uid="{F364CD8A-74FD-44B0-8F7A-E320008221FB}">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35" authorId="0" shapeId="0" xr:uid="{23527B4C-1F03-4430-951A-3A2776052FE1}">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35" authorId="0" shapeId="0" xr:uid="{6DEC5AB1-EFEE-4C5B-BC8B-7ABEDC0047BE}">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36" authorId="0" shapeId="0" xr:uid="{076D9505-654C-46D7-B9B5-6289E1381665}">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36" authorId="0" shapeId="0" xr:uid="{F193050C-45B2-4B62-A139-FC1DAA9ABEF2}">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36" authorId="0" shapeId="0" xr:uid="{8BCC5FB3-CDD2-4EB3-984D-F4746C9FB8C8}">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37" authorId="0" shapeId="0" xr:uid="{89F745ED-1D02-4B04-8301-76B850BBE6DB}">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37" authorId="0" shapeId="0" xr:uid="{93E83ED7-A7D5-4BDD-B064-70659E1C4C52}">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37" authorId="0" shapeId="0" xr:uid="{4BBE4965-4B43-4721-B2F1-6BBFB0499AC0}">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38" authorId="1" shapeId="0" xr:uid="{19829E34-F8A7-409F-B251-B312EB3BA643}">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38" authorId="1" shapeId="0" xr:uid="{D75420D7-9878-4712-BE60-96ABF707BB52}">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38" authorId="1" shapeId="0" xr:uid="{2461FA3F-02D0-49F5-896F-52606B08D555}">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39" authorId="1" shapeId="0" xr:uid="{E2895F45-EF98-4187-AC39-7F23968FA6FD}">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39" authorId="1" shapeId="0" xr:uid="{909CF977-0270-4938-ABEE-0EBEE6764B40}">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39" authorId="1" shapeId="0" xr:uid="{49506E8B-E3CD-4D2C-B1C6-9D6DAA00C3AD}">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40" authorId="1" shapeId="0" xr:uid="{E5C7095C-D134-44F4-8E81-D8B8CD49E87E}">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40" authorId="1" shapeId="0" xr:uid="{6A559623-16A3-4214-AB0A-17155DAFA7EF}">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40" authorId="1" shapeId="0" xr:uid="{C2963F13-48EC-4CDA-93EE-E5D764BD5DEC}">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41" authorId="0" shapeId="0" xr:uid="{1A1A612F-BFBF-4BDF-AA33-EBA04DA16E9D}">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41" authorId="0" shapeId="0" xr:uid="{67673BA0-DFAB-47B2-89C7-FDAD6CB06A16}">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41" authorId="0" shapeId="0" xr:uid="{081872DE-3FA1-4723-AE56-97B056861C0E}">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42" authorId="0" shapeId="0" xr:uid="{AD9C2E61-8710-401B-9F84-E8EA0FF90AA4}">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42" authorId="0" shapeId="0" xr:uid="{E44926B3-5CF0-4C81-90DE-3D9950FE1449}">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42" authorId="0" shapeId="0" xr:uid="{9D9BB311-83E0-4B66-8FAE-6EA952642114}">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43" authorId="1" shapeId="0" xr:uid="{3484FB7D-99E2-4A85-920A-3425D0766D97}">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49" authorId="0" shapeId="0" xr:uid="{60B6C111-D1F4-431D-A329-A7E9A0E8E10F}">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49" authorId="0" shapeId="0" xr:uid="{B977D792-740C-4970-B743-0A6B28BC881A}">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49" authorId="0" shapeId="0" xr:uid="{F7379ED7-40C4-487F-8921-C2AAA54FA858}">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50" authorId="0" shapeId="0" xr:uid="{8804327A-79B3-40FE-A09B-9FA29796DB9A}">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50" authorId="0" shapeId="0" xr:uid="{C48282C2-D691-4235-A134-A8A072979D80}">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50" authorId="0" shapeId="0" xr:uid="{97E72720-4C61-4AD0-8C26-4ACB32BCE96D}">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51" authorId="0" shapeId="0" xr:uid="{F16F0A14-FEC7-4886-B8A1-E092E4A924D7}">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51" authorId="0" shapeId="0" xr:uid="{94F905A8-80CA-47FA-8F94-6A087D0D6CC3}">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51" authorId="0" shapeId="0" xr:uid="{89F88A44-E8C4-4002-880E-C6724A5358AB}">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52" authorId="0" shapeId="0" xr:uid="{24B93F3B-CBD0-4D01-B707-29B40C5D4B70}">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52" authorId="0" shapeId="0" xr:uid="{B6748F08-D531-4E78-A104-C0A467562E14}">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52" authorId="0" shapeId="0" xr:uid="{A2C37873-235C-4C56-A4B2-238CAA3695A7}">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53" authorId="1" shapeId="0" xr:uid="{FD052254-1AE0-408B-99D4-159548D0F0B4}">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53" authorId="1" shapeId="0" xr:uid="{524FCF76-0D9B-4A99-9F9F-7069C85253B4}">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53" authorId="1" shapeId="0" xr:uid="{CC071B97-A453-438E-ABBC-986D4BF9AABD}">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54" authorId="1" shapeId="0" xr:uid="{5A6A5D8B-26FE-44A5-B203-7952A369B2F6}">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54" authorId="1" shapeId="0" xr:uid="{E119527D-FB18-4970-BF13-5C07398E2CBC}">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54" authorId="1" shapeId="0" xr:uid="{85B5F3F8-AE3D-4B3A-82E2-E49ADFC97E1C}">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55" authorId="1" shapeId="0" xr:uid="{E2D057E6-B6D9-46C6-AD20-98C69D913F6A}">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55" authorId="1" shapeId="0" xr:uid="{AF884B4E-EE76-42F5-A390-60E7E0E97E46}">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55" authorId="1" shapeId="0" xr:uid="{24FD0E35-F524-45B2-9F0F-51CA3FC18A2C}">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56" authorId="0" shapeId="0" xr:uid="{99BD587A-28E0-4240-97BB-349FCC8FB203}">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56" authorId="0" shapeId="0" xr:uid="{A8E208DB-902B-4940-B60D-990E6CA2D7CE}">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56" authorId="0" shapeId="0" xr:uid="{6C7557D0-A7D0-4CD8-9F10-5C218D913FCE}">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57" authorId="0" shapeId="0" xr:uid="{D0A4641B-D518-4CA8-90E7-28FEEFBCFC56}">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57" authorId="0" shapeId="0" xr:uid="{6F3A67DE-D464-4AB5-97EC-D0D578C0A873}">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57" authorId="0" shapeId="0" xr:uid="{90B47772-D30C-4E0F-A99F-AF9A83C5B8B1}">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58" authorId="1" shapeId="0" xr:uid="{3C51B6E9-35AC-45C8-B354-5302936C1C8A}">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64" authorId="0" shapeId="0" xr:uid="{6400183B-3A9D-4E2C-B036-936BEC2DEF99}">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64" authorId="0" shapeId="0" xr:uid="{DA96AC14-976F-4DD5-B59C-EEF24EFE2CAB}">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64" authorId="0" shapeId="0" xr:uid="{5BE08101-0B5F-4C9D-96F8-DA2D2382E765}">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65" authorId="0" shapeId="0" xr:uid="{66C9F2D8-5046-4B48-9917-1C9B8F1C4C81}">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65" authorId="0" shapeId="0" xr:uid="{756D0CC5-2BDD-45CD-B299-827C6035FDD5}">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65" authorId="0" shapeId="0" xr:uid="{B42A6B40-0285-466C-AFED-150F05B4B338}">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66" authorId="0" shapeId="0" xr:uid="{814CF37B-FD56-4D8C-A6B3-6534570C60A4}">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66" authorId="0" shapeId="0" xr:uid="{1E6663EE-C018-4B64-B05B-E2148D19D3B9}">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66" authorId="0" shapeId="0" xr:uid="{00A92DFA-A0FF-462E-8845-8E318EB4EF69}">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67" authorId="0" shapeId="0" xr:uid="{ABF9992F-0F6E-4C81-9424-53142E9144B1}">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67" authorId="0" shapeId="0" xr:uid="{4E9B6BEA-C71A-4F6C-A95D-1086C0A51591}">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67" authorId="0" shapeId="0" xr:uid="{68B701A0-06DC-4610-A53B-774DA0D936D2}">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68" authorId="1" shapeId="0" xr:uid="{95B9DD2A-5D99-4ED9-BEC2-3312C41E0EB8}">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68" authorId="1" shapeId="0" xr:uid="{BEA86031-F6A0-4E0E-8870-0F5434B25019}">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68" authorId="1" shapeId="0" xr:uid="{76FF80FD-E3BD-45DD-A23E-9E48159498FE}">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69" authorId="1" shapeId="0" xr:uid="{9CDA1148-04D2-480D-BD30-9726578B123B}">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69" authorId="1" shapeId="0" xr:uid="{89215649-D936-4BC9-B901-06516BA63CF7}">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69" authorId="1" shapeId="0" xr:uid="{3CB9ECA3-78F8-4430-89F3-966065DEABFA}">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70" authorId="1" shapeId="0" xr:uid="{3C8F405C-DFC0-4BDE-9A63-F14F8A7D6E28}">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70" authorId="1" shapeId="0" xr:uid="{FBD4D244-AAB3-4923-9A04-EBBE2644F374}">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70" authorId="1" shapeId="0" xr:uid="{0108A4D9-1DA3-4A54-8435-8A3A329F5988}">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71" authorId="0" shapeId="0" xr:uid="{2C1571B5-2A5E-40EF-94E2-A2AE3AE21DA5}">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71" authorId="0" shapeId="0" xr:uid="{E60046DA-5D05-4CB7-BF53-9D51ECCEA849}">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71" authorId="0" shapeId="0" xr:uid="{0AB615C6-1223-4418-B6DA-EE699F5ADDB1}">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72" authorId="0" shapeId="0" xr:uid="{B1127A1F-A846-4504-A69E-FD27120E4529}">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72" authorId="0" shapeId="0" xr:uid="{36FEB10C-0C19-426E-AC15-A0F1D3D8A6E1}">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72" authorId="0" shapeId="0" xr:uid="{4E067ACB-60FC-49EB-B676-3312BA1CE30E}">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73" authorId="1" shapeId="0" xr:uid="{50DE625D-9338-4831-AB07-64E2F73DDFBF}">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79" authorId="0" shapeId="0" xr:uid="{C45CCFC7-71E9-4292-B0D5-0DD0DF6E631B}">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79" authorId="0" shapeId="0" xr:uid="{25C01858-8D1A-4F8A-AA19-90C79E24DA4D}">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79" authorId="0" shapeId="0" xr:uid="{C556BF18-CA1F-4D5C-B36E-6927DD4665F1}">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80" authorId="0" shapeId="0" xr:uid="{B591B9CC-19BD-46CD-9774-3E4CC6D747CB}">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80" authorId="0" shapeId="0" xr:uid="{9AC8EB4D-F4F4-4F1D-9696-EBC489961FDA}">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80" authorId="0" shapeId="0" xr:uid="{1A05012F-DEB7-43BD-8C82-5B6B813D6FE8}">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81" authorId="0" shapeId="0" xr:uid="{0D8E41B4-249C-48B8-8ECA-CB55498973B6}">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81" authorId="0" shapeId="0" xr:uid="{9E632321-B8E1-49D2-8064-397C82471AF8}">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81" authorId="0" shapeId="0" xr:uid="{E4EA6EAB-D1A1-4381-98FB-B1A8EFBA8334}">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82" authorId="0" shapeId="0" xr:uid="{8B39B16F-95EF-4E34-BA5A-59DDA706C300}">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82" authorId="0" shapeId="0" xr:uid="{920D2914-F304-45AF-B241-A4886834DC1C}">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82" authorId="0" shapeId="0" xr:uid="{1AEFA663-116F-4142-92D7-C66611D35B5D}">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83" authorId="1" shapeId="0" xr:uid="{2A828798-F589-4365-B3D7-9BB4619F4042}">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83" authorId="1" shapeId="0" xr:uid="{330D41D1-05B2-47E9-8C43-934A0765EE8D}">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83" authorId="1" shapeId="0" xr:uid="{AD796946-59B6-41D2-8275-F005A1166408}">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84" authorId="1" shapeId="0" xr:uid="{08762581-0982-4267-9DDC-4FFE3B4FE271}">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84" authorId="1" shapeId="0" xr:uid="{21D67A24-B2BA-4E3E-8166-0FD77B716097}">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84" authorId="1" shapeId="0" xr:uid="{5C2ABFC8-D199-4962-A380-51EAD717A927}">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85" authorId="1" shapeId="0" xr:uid="{7718C64C-30E5-46B2-B86B-B3188551A7F7}">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85" authorId="1" shapeId="0" xr:uid="{6A817E83-0828-4BB4-9D70-CDC805ADCC13}">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85" authorId="1" shapeId="0" xr:uid="{F001D702-9237-465D-9640-075D7A29F06E}">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86" authorId="0" shapeId="0" xr:uid="{98D17FF8-B187-431F-B8E1-17A3A9C3AA7C}">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86" authorId="0" shapeId="0" xr:uid="{5B539AC8-2D5D-4627-AEAB-C2CF11BFC419}">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86" authorId="0" shapeId="0" xr:uid="{1CCBC474-9F2C-47C1-B747-3BFB180C4186}">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87" authorId="0" shapeId="0" xr:uid="{DD959B31-10B7-49CD-8309-53B1CF5E1B6C}">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87" authorId="0" shapeId="0" xr:uid="{A2517580-7C9B-4DC5-9686-759D3E072FE9}">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87" authorId="0" shapeId="0" xr:uid="{236FA585-FE88-42C8-86CB-D06015CD9535}">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88" authorId="1" shapeId="0" xr:uid="{3975282B-C46B-4D81-8E5C-1E4B281BC5D6}">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94" authorId="0" shapeId="0" xr:uid="{248873A4-4A00-43B3-8272-5E8A998B0AD1}">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94" authorId="0" shapeId="0" xr:uid="{9AF4BC65-A827-4BC2-B0D3-BDEC0F64AA29}">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94" authorId="0" shapeId="0" xr:uid="{C1796E7D-0FBE-4D1F-A678-F708FF476C82}">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95" authorId="0" shapeId="0" xr:uid="{07E550C4-075A-4D75-AACF-5A6FEF5804AB}">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95" authorId="0" shapeId="0" xr:uid="{1348A45A-7DA3-472B-975C-E50221CDAB94}">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95" authorId="0" shapeId="0" xr:uid="{82EB4683-61A8-4C04-BFF6-2CB7BAF63EC5}">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96" authorId="0" shapeId="0" xr:uid="{9887A244-E966-4F85-BB3C-AF4972D0D3D7}">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96" authorId="0" shapeId="0" xr:uid="{3F8CF4A2-C0C1-4D94-ABEA-CB82C58F079A}">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96" authorId="0" shapeId="0" xr:uid="{A7E5DBB8-AEC9-4BD9-B419-0A631525B9D3}">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97" authorId="0" shapeId="0" xr:uid="{FE1CE302-232A-44A7-9A71-8D2DA215C43E}">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97" authorId="0" shapeId="0" xr:uid="{13AADDE8-E559-4ED3-82BC-676BF661AC39}">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97" authorId="0" shapeId="0" xr:uid="{9095945A-F43C-4E44-829C-CC1CB9E9D03D}">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98" authorId="1" shapeId="0" xr:uid="{B1A074A9-F24F-4D6A-99B7-B73D1DA58A1D}">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98" authorId="1" shapeId="0" xr:uid="{183740B8-3218-4207-B7DF-E77ABF50C67F}">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98" authorId="1" shapeId="0" xr:uid="{BF75557D-F0ED-41BC-84E6-985C7D22242C}">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99" authorId="1" shapeId="0" xr:uid="{E1FDF9A5-E6D9-4F07-9114-243DDCC2E9C3}">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99" authorId="1" shapeId="0" xr:uid="{443A855F-2276-4AC4-808E-1B962CFA7993}">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99" authorId="1" shapeId="0" xr:uid="{47EDAFB4-99EF-4FB9-8B65-CDA4BA14A657}">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100" authorId="1" shapeId="0" xr:uid="{DD8519E0-DDA8-4C44-8887-4CA6CD3F53D7}">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100" authorId="1" shapeId="0" xr:uid="{098B9861-5145-485E-8153-828372115645}">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100" authorId="1" shapeId="0" xr:uid="{9C0C2822-E0EA-4BF9-B359-107FA41542E5}">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101" authorId="0" shapeId="0" xr:uid="{64E40B70-0672-46AB-AA99-8F4D2BBD0AE1}">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101" authorId="0" shapeId="0" xr:uid="{DF2013A4-662E-4496-9EE3-686E04BA13F9}">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101" authorId="0" shapeId="0" xr:uid="{5E857959-5D22-4BE7-BCF1-FC7E22B1588B}">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102" authorId="0" shapeId="0" xr:uid="{657802A8-16DF-4757-9230-387B0369455D}">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102" authorId="0" shapeId="0" xr:uid="{D701E40C-A799-4EFD-BCE0-20CD046891CC}">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102" authorId="0" shapeId="0" xr:uid="{BDA89BDD-89C9-436D-A25F-78FB1782ED9D}">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103" authorId="1" shapeId="0" xr:uid="{0AFCA6CE-8056-456A-8FA0-EE71A6970A7B}">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109" authorId="0" shapeId="0" xr:uid="{54B47D17-2D5B-4A3B-8D67-D514C203CA0B}">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109" authorId="0" shapeId="0" xr:uid="{33E79E0A-17B5-4F55-B86D-768BBD58A84A}">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109" authorId="0" shapeId="0" xr:uid="{94E8DFDA-6E2D-4726-9BD5-0536C9D6A536}">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110" authorId="0" shapeId="0" xr:uid="{C681B5A6-D89F-4661-8288-84FB7EEC4132}">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110" authorId="0" shapeId="0" xr:uid="{9652DE40-FAEF-43F6-91F6-83402B9DC885}">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110" authorId="0" shapeId="0" xr:uid="{8F3420CB-A711-4866-BD6B-12720673FB0D}">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111" authorId="0" shapeId="0" xr:uid="{37AF8193-6986-47E1-8168-9B6B96C81C79}">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111" authorId="0" shapeId="0" xr:uid="{46CA23CB-4546-4F63-9BCF-0F84C15145CF}">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111" authorId="0" shapeId="0" xr:uid="{83299697-818E-490C-9C45-5A587A939520}">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112" authorId="0" shapeId="0" xr:uid="{22936317-0107-430E-845F-EE2A7961737A}">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112" authorId="0" shapeId="0" xr:uid="{C5A1816D-641D-468B-BD1C-6B5603AFDAD2}">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112" authorId="0" shapeId="0" xr:uid="{FFF62EF7-34D7-4A1D-B749-EA29BF59D28F}">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113" authorId="1" shapeId="0" xr:uid="{A431DF29-C94D-4458-8A3A-EA75AAE97184}">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113" authorId="1" shapeId="0" xr:uid="{1382EC90-FA1C-4C30-B850-40A85CE5E03F}">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113" authorId="1" shapeId="0" xr:uid="{77AFE1E5-E2D9-4408-9BE3-BA9E49A4927B}">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114" authorId="1" shapeId="0" xr:uid="{0EAD7A96-EFE0-4CE6-948F-845F11CF309C}">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114" authorId="1" shapeId="0" xr:uid="{D2DF954F-6774-474E-965C-0184DB9C95C1}">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114" authorId="1" shapeId="0" xr:uid="{D8F9AFF8-2659-4708-B27C-A097D6DE6412}">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115" authorId="1" shapeId="0" xr:uid="{88FE5945-5DE1-43F9-90CB-4BFD25A0BB5B}">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115" authorId="1" shapeId="0" xr:uid="{AFE9830B-412E-44A0-92EC-B352055E8BB5}">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115" authorId="1" shapeId="0" xr:uid="{60B97CA5-9C9B-4050-95E9-64C5DA086DEC}">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116" authorId="0" shapeId="0" xr:uid="{10641BF0-8FB9-4D31-9869-F3B4D7AF82FD}">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116" authorId="0" shapeId="0" xr:uid="{518FF9A0-CFC3-4BFA-BD0F-B87A3C82E35B}">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116" authorId="0" shapeId="0" xr:uid="{E0693A39-8873-4812-881E-44DCA78623FA}">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117" authorId="0" shapeId="0" xr:uid="{E97AA473-11F7-40C5-8889-C1D721830E8B}">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117" authorId="0" shapeId="0" xr:uid="{5C6F0795-B068-480B-8904-BA32924905F9}">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117" authorId="0" shapeId="0" xr:uid="{9CAB81A2-5C05-4152-9DA0-270D1194D127}">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118" authorId="1" shapeId="0" xr:uid="{E4A632DD-F70B-4479-AAB0-9E84A286E347}">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124" authorId="0" shapeId="0" xr:uid="{E1970000-BC10-4E8B-A460-448087C72CE3}">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124" authorId="0" shapeId="0" xr:uid="{1F82753F-A924-400A-8F3A-0D964FB022FA}">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124" authorId="0" shapeId="0" xr:uid="{D88456BB-13A5-4BA3-812C-CAFEE08A78B3}">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125" authorId="0" shapeId="0" xr:uid="{C8086951-0D09-44C0-AC02-4D554A23FE8C}">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125" authorId="0" shapeId="0" xr:uid="{377B5DB8-CEDE-44B1-BA93-843FA6B9CCDA}">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125" authorId="0" shapeId="0" xr:uid="{8A026659-5934-49AA-BB3F-69049A61C5CA}">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126" authorId="0" shapeId="0" xr:uid="{908804FD-F8E0-4B7C-8C5D-A11B1167591F}">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126" authorId="0" shapeId="0" xr:uid="{A552E54A-E172-4FD4-9A55-BD9A097AEE4F}">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126" authorId="0" shapeId="0" xr:uid="{7C9DA99D-D535-44AD-998C-04DC1203F705}">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127" authorId="0" shapeId="0" xr:uid="{02D504A9-BB14-48BF-8EB2-670EE40E23BD}">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127" authorId="0" shapeId="0" xr:uid="{75457915-9485-4DCD-982C-7FC3B14211CA}">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127" authorId="0" shapeId="0" xr:uid="{F48E308F-3186-4645-B31B-323FF45CDF4E}">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128" authorId="1" shapeId="0" xr:uid="{E1BA1928-832A-4B1A-A4E2-5FF1DC541EA6}">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128" authorId="1" shapeId="0" xr:uid="{3352B391-69F9-4E9C-8160-116F52B5111D}">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128" authorId="1" shapeId="0" xr:uid="{24316886-6217-4DE9-BDCC-6690E015CD2E}">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129" authorId="1" shapeId="0" xr:uid="{1D468954-EF2B-4943-886C-ABE92A4CF0A0}">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129" authorId="1" shapeId="0" xr:uid="{0AF82382-D37F-4D75-AA4B-0D5758E98FEC}">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129" authorId="1" shapeId="0" xr:uid="{EAD8112D-FC24-4634-8360-49AF5EE469EE}">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130" authorId="1" shapeId="0" xr:uid="{8C16A2C1-3A56-494E-96E5-A6E681CFDFC6}">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130" authorId="1" shapeId="0" xr:uid="{419A4CC2-02E1-4DD2-9C0C-DCAFC3D8C36D}">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130" authorId="1" shapeId="0" xr:uid="{DF8601CA-0E87-4D05-9C04-45583E2C03AE}">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131" authorId="0" shapeId="0" xr:uid="{A1A24375-868C-4F65-A3C6-9ACFB7FA1564}">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131" authorId="0" shapeId="0" xr:uid="{D7E552D1-5F7F-4F68-93F6-C488EA091EC6}">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131" authorId="0" shapeId="0" xr:uid="{BCB88CD2-EF3C-4BF7-888B-CE7C2D247C60}">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132" authorId="0" shapeId="0" xr:uid="{2E207F03-5FB5-4A4E-A94A-09DC252B0EC5}">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132" authorId="0" shapeId="0" xr:uid="{9DACD4EA-9C95-4158-BC45-985A217627AD}">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132" authorId="0" shapeId="0" xr:uid="{58A691F4-9D0E-43E9-89E5-7266CEA6AE4F}">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133" authorId="1" shapeId="0" xr:uid="{221FCAEF-20D4-475A-B32E-DA2E05406334}">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139" authorId="0" shapeId="0" xr:uid="{DC5D7929-0F44-4438-9F13-938DAA51F1CF}">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139" authorId="0" shapeId="0" xr:uid="{FE9BE92D-3A2B-4668-8A17-587A4AF44B30}">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139" authorId="0" shapeId="0" xr:uid="{8B6776E4-4B1D-4865-BEEC-DDC86420A93A}">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140" authorId="0" shapeId="0" xr:uid="{9DD26999-0C5E-4230-B46B-27556639FB7C}">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140" authorId="0" shapeId="0" xr:uid="{581EDB09-2E4F-4EA0-889D-2F94256A3476}">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140" authorId="0" shapeId="0" xr:uid="{03E92797-8281-47FC-8350-CCFAE93C8EC6}">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141" authorId="0" shapeId="0" xr:uid="{ECC7FDBC-43AC-4885-96F4-DA5767D70821}">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141" authorId="0" shapeId="0" xr:uid="{366C186E-6DCA-4C74-A2C4-B21F639E2770}">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141" authorId="0" shapeId="0" xr:uid="{E7ABC1ED-788B-4C5D-A7DA-915DC997FA8E}">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142" authorId="0" shapeId="0" xr:uid="{78B603B2-6A59-410A-AED8-DD301A6A8DC3}">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142" authorId="0" shapeId="0" xr:uid="{802365A3-9BAF-4CB5-8C67-067C7FC0215F}">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142" authorId="0" shapeId="0" xr:uid="{28C0F18E-6637-40D0-A81A-1079E683B229}">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143" authorId="1" shapeId="0" xr:uid="{EFFA75F3-8B80-472D-87B0-D3065E2D9EF2}">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143" authorId="1" shapeId="0" xr:uid="{7CA28D39-04EA-4345-8865-FD182D368D71}">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143" authorId="1" shapeId="0" xr:uid="{60BACE01-8401-41A7-BF3A-85B81337EFF8}">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144" authorId="1" shapeId="0" xr:uid="{1ABA3364-926A-40D9-B480-E63EEDC32FB6}">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144" authorId="1" shapeId="0" xr:uid="{FE46EF5D-B3BE-4A4A-AD00-46E0791A684A}">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144" authorId="1" shapeId="0" xr:uid="{F12D142A-95E2-49EC-B94A-FE97C0E21C28}">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145" authorId="1" shapeId="0" xr:uid="{AB69E575-4A18-4AE7-855D-6AD3DC070B30}">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145" authorId="1" shapeId="0" xr:uid="{822833C5-0E2F-481C-8EE5-95FD854EFE4E}">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145" authorId="1" shapeId="0" xr:uid="{78FB0F9D-5E9E-4AF2-9B8C-489261D0F3FD}">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146" authorId="0" shapeId="0" xr:uid="{0E75542A-A685-4CAE-B1C8-7EC340CA7268}">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146" authorId="0" shapeId="0" xr:uid="{E040FD6C-1F9F-483B-BBD9-1D7E449513A2}">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146" authorId="0" shapeId="0" xr:uid="{D5D08D70-A264-4B50-A995-9EE329AA315C}">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147" authorId="0" shapeId="0" xr:uid="{0BD93C62-C9DC-49A7-98CD-46EB2B51EB35}">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147" authorId="0" shapeId="0" xr:uid="{12DC60E1-5872-4555-9629-8DE48432BADA}">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147" authorId="0" shapeId="0" xr:uid="{A7BFFFC8-D461-4DA7-B1A2-0AE22BAB7BBF}">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148" authorId="1" shapeId="0" xr:uid="{30CBBB26-1DB1-45F7-83FB-E27BE1F8E839}">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154" authorId="0" shapeId="0" xr:uid="{EC2FFCFB-5B1B-4B26-95B8-A8939DFF9751}">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154" authorId="0" shapeId="0" xr:uid="{19B04418-B1ED-4097-8A3B-318B04017FC1}">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154" authorId="0" shapeId="0" xr:uid="{E09457CF-D0AC-4CDF-BABB-7543D092F261}">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155" authorId="0" shapeId="0" xr:uid="{D7C10849-3F82-4163-8D32-3768D80274A3}">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155" authorId="0" shapeId="0" xr:uid="{C584FF8D-C545-48B9-9F27-87596E4EA8E6}">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155" authorId="0" shapeId="0" xr:uid="{6F1FA793-D5BB-432E-8C6F-1D5B3BEFC2A9}">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156" authorId="0" shapeId="0" xr:uid="{39DCD18B-90CB-4759-8412-2E993D0519C6}">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156" authorId="0" shapeId="0" xr:uid="{A1171C49-5087-4454-8F79-409A47AB393B}">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156" authorId="0" shapeId="0" xr:uid="{E3373B5F-8EB5-4EFD-AFD8-CC3C904F15BF}">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157" authorId="0" shapeId="0" xr:uid="{75532D04-C49C-447E-B9C4-57522827580A}">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157" authorId="0" shapeId="0" xr:uid="{8C729276-1CBB-4EBD-863A-C1CBB5795639}">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157" authorId="0" shapeId="0" xr:uid="{477BD1B6-6BD8-4D09-9336-F3AB018D2F64}">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158" authorId="1" shapeId="0" xr:uid="{A5801FD6-4EC6-48B7-9B1D-0A67E77D0EAC}">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158" authorId="1" shapeId="0" xr:uid="{1DCCAC13-CBE1-4AF0-AEA2-F431B78AFD0A}">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158" authorId="1" shapeId="0" xr:uid="{230B4334-1E99-4D2C-9C87-1168856006AE}">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159" authorId="1" shapeId="0" xr:uid="{C7B2608C-39C8-4344-92BD-BB3CC0ECA755}">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159" authorId="1" shapeId="0" xr:uid="{AC826615-6836-49BB-892C-C0DDF4A1C3D5}">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159" authorId="1" shapeId="0" xr:uid="{DA716D5F-C1A8-488E-BEC4-666CE439EC2A}">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160" authorId="1" shapeId="0" xr:uid="{5FAF3B0F-1931-4344-94CB-646893E212F9}">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160" authorId="1" shapeId="0" xr:uid="{A1F75776-AB5F-45A4-9A73-4855D3D756EF}">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160" authorId="1" shapeId="0" xr:uid="{1B51FFBF-89A8-4544-9CC3-A9B8B402745F}">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161" authorId="0" shapeId="0" xr:uid="{DA66C5BF-5B20-4E8F-ADB2-71369BC3969C}">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161" authorId="0" shapeId="0" xr:uid="{C855F070-62E2-4815-8A1D-39A96C88991C}">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161" authorId="0" shapeId="0" xr:uid="{580BD130-9682-4D2A-8388-5DAC41E7A5D9}">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162" authorId="0" shapeId="0" xr:uid="{A85AAC8F-8999-4C34-A887-7EBC5B056185}">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162" authorId="0" shapeId="0" xr:uid="{EF91D92C-7BDA-4A03-BA8E-F19C09A428EA}">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162" authorId="0" shapeId="0" xr:uid="{93543FFB-1E43-497E-B5A9-9AF187ACC15B}">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163" authorId="1" shapeId="0" xr:uid="{E626271F-B940-4703-B046-99FFADC585D7}">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169" authorId="0" shapeId="0" xr:uid="{B0B3AAE2-3143-4294-B715-EA8354CF1809}">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169" authorId="0" shapeId="0" xr:uid="{B7DD82ED-77B2-4BA9-B0DB-45DFE055D7AF}">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169" authorId="0" shapeId="0" xr:uid="{92AB99A9-F45F-4637-AF7C-8B6C7E4DF2D4}">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170" authorId="0" shapeId="0" xr:uid="{0DC50286-A652-43A3-A311-1D6951609965}">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170" authorId="0" shapeId="0" xr:uid="{61EE0102-47BE-4E07-9A66-1D32F6CB9B58}">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170" authorId="0" shapeId="0" xr:uid="{DC57E1A0-E60D-4309-A6A4-1768ACC5F6AA}">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171" authorId="0" shapeId="0" xr:uid="{9D853FDB-46E8-4851-8CA7-2AB3D804FEC4}">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171" authorId="0" shapeId="0" xr:uid="{E7E09B15-1B16-47F6-820D-A21DE46DFA66}">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171" authorId="0" shapeId="0" xr:uid="{2D89C966-2444-4ACD-B12E-FDD21C697700}">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172" authorId="0" shapeId="0" xr:uid="{B0ECFDE2-2F36-43E9-83BC-F170A29E1AC2}">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172" authorId="0" shapeId="0" xr:uid="{F472519A-794D-40EE-B506-7A19B17BA92C}">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172" authorId="0" shapeId="0" xr:uid="{BC105E41-50BE-46EF-9860-3CB206756F57}">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173" authorId="1" shapeId="0" xr:uid="{57E35CCD-B758-4113-8928-CBDA9D1D3735}">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173" authorId="1" shapeId="0" xr:uid="{13B28C5F-24B8-4ADE-9B22-4CB17C21243A}">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173" authorId="1" shapeId="0" xr:uid="{81BC0987-BC12-42BC-A3CA-7877BE09F2E9}">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174" authorId="1" shapeId="0" xr:uid="{3896F68F-AAB1-4AFF-BDEF-BE515E0C2F2E}">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174" authorId="1" shapeId="0" xr:uid="{110C9E3A-477E-49DA-A55A-D2D8B042FD63}">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174" authorId="1" shapeId="0" xr:uid="{CC21B831-645B-457A-84AC-FCBDEA081248}">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175" authorId="1" shapeId="0" xr:uid="{41A49367-A8E7-4083-AE63-5A8BCC6580AE}">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175" authorId="1" shapeId="0" xr:uid="{2CBBA764-E6C8-4EAA-B317-2785625F3865}">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175" authorId="1" shapeId="0" xr:uid="{F18A0A7A-A712-4A49-B1F5-256E325C3EA6}">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176" authorId="0" shapeId="0" xr:uid="{64A05369-2DFF-45E6-9846-B634974EDEC1}">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176" authorId="0" shapeId="0" xr:uid="{66AFEA18-004A-47C5-87A6-A544217412DA}">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176" authorId="0" shapeId="0" xr:uid="{BD0C6C66-23DE-4B53-A051-1C8EE8D02530}">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177" authorId="0" shapeId="0" xr:uid="{05068CF1-1F60-4BF6-8119-85457519F316}">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177" authorId="0" shapeId="0" xr:uid="{2FA3A905-CF77-43F8-9476-4203A9A88FD6}">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177" authorId="0" shapeId="0" xr:uid="{D690DB10-6F5A-469F-BAA6-AECF0DFB898D}">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178" authorId="1" shapeId="0" xr:uid="{9A86EA79-D5F7-48A8-9B4D-6FA66942FDFB}">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184" authorId="0" shapeId="0" xr:uid="{5CA70368-C7D7-4634-A0AF-4DD315E22489}">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184" authorId="0" shapeId="0" xr:uid="{E15EF98F-80C0-4DD6-93B1-0007EC8CC5CE}">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184" authorId="0" shapeId="0" xr:uid="{4ABA0E78-FF2D-4A84-B4FA-104961D66B99}">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185" authorId="0" shapeId="0" xr:uid="{CAD4CD48-070E-4E1F-AF29-E4E532A7522B}">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185" authorId="0" shapeId="0" xr:uid="{F777325A-76C9-4B25-A27F-ED45121DC088}">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185" authorId="0" shapeId="0" xr:uid="{AD486B2C-B0F7-487F-B76B-426332C8195A}">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186" authorId="0" shapeId="0" xr:uid="{8ABF168D-DE30-4C83-8314-46F895FC6CF7}">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186" authorId="0" shapeId="0" xr:uid="{B4A1A7A8-1585-4303-A926-12189CF9BF9C}">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186" authorId="0" shapeId="0" xr:uid="{602E605E-C5B5-4D62-8166-12270FA92EC7}">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187" authorId="0" shapeId="0" xr:uid="{58C4C2A1-349E-4709-A4A8-6F66C58DB185}">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187" authorId="0" shapeId="0" xr:uid="{C87439AE-23D4-4A24-9C79-2082FED43CE5}">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187" authorId="0" shapeId="0" xr:uid="{657ABF0D-1425-450B-8E58-EFE3E8A05EE8}">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188" authorId="1" shapeId="0" xr:uid="{2A733988-79D2-4425-A2E3-C54467034763}">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188" authorId="1" shapeId="0" xr:uid="{82F5B9BB-DEE9-4B9B-9BB4-7033F5ED1C1A}">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188" authorId="1" shapeId="0" xr:uid="{D454310E-13AD-40D5-B438-8445156B1ECB}">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189" authorId="1" shapeId="0" xr:uid="{88B5131D-8E7E-4DB9-B59C-35B5A9869E9D}">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189" authorId="1" shapeId="0" xr:uid="{EDF2B265-3171-40C0-BCD4-848800FE7B7B}">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189" authorId="1" shapeId="0" xr:uid="{57DCF7E0-1157-4066-B175-E6759CB84371}">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190" authorId="1" shapeId="0" xr:uid="{3F48009F-8334-4E93-89EC-A99D446C0105}">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190" authorId="1" shapeId="0" xr:uid="{BA5AFC97-D014-4F1A-869E-108EAE74736E}">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190" authorId="1" shapeId="0" xr:uid="{34524751-6766-49D8-9852-DB66F93BFF6E}">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191" authorId="0" shapeId="0" xr:uid="{7245B7E5-3520-4071-AC2F-3EC02DD54D0B}">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191" authorId="0" shapeId="0" xr:uid="{04C3A08B-B918-4B48-BCA4-ECC377DD5A30}">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191" authorId="0" shapeId="0" xr:uid="{8ACE89AB-BDC0-4919-B1FC-61457BB2342D}">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192" authorId="0" shapeId="0" xr:uid="{9B68FC8E-C506-48B6-AEAE-4ACF406565B4}">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192" authorId="0" shapeId="0" xr:uid="{19CE4DFA-558E-489E-8BBD-CB74BF754FA6}">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192" authorId="0" shapeId="0" xr:uid="{35154C25-07F8-419D-924C-EBD567E22DB6}">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193" authorId="1" shapeId="0" xr:uid="{B03C80ED-CC34-40EC-BBBC-88C955E24A90}">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199" authorId="0" shapeId="0" xr:uid="{7A505C52-19C6-42F3-90A7-A2C07BC628F7}">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199" authorId="0" shapeId="0" xr:uid="{111C2317-F3B9-456A-B0AA-4B1CC1F577F5}">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199" authorId="0" shapeId="0" xr:uid="{881EE864-7CFE-4B39-81B9-EF730A9DD4A6}">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200" authorId="0" shapeId="0" xr:uid="{5086FA49-7103-4233-B06C-830EE0B92EDC}">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200" authorId="0" shapeId="0" xr:uid="{570FEFD3-D4E7-4E11-B355-62CE6CC71FE5}">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200" authorId="0" shapeId="0" xr:uid="{C3F30AFF-EB6D-484E-BFCF-D5A827DD0B05}">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201" authorId="0" shapeId="0" xr:uid="{59426AD3-4BC9-41FC-AC69-AA2B90F400B0}">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201" authorId="0" shapeId="0" xr:uid="{0CA589EF-57C7-45B0-B4CF-41808E488016}">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201" authorId="0" shapeId="0" xr:uid="{729FA590-DD38-4018-9C20-03F1E89E5106}">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202" authorId="0" shapeId="0" xr:uid="{5B794D9E-5718-49EA-8481-F59A624D7157}">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202" authorId="0" shapeId="0" xr:uid="{EFF4D262-89DB-48E1-A3E9-C240AC15AF74}">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202" authorId="0" shapeId="0" xr:uid="{E9F83019-C074-4481-B5B7-525EA8C9A03A}">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203" authorId="1" shapeId="0" xr:uid="{2CB39E3F-211C-41FE-9A04-AF945D0AA7A8}">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203" authorId="1" shapeId="0" xr:uid="{0FE0D9D0-2E5A-43BE-A7FB-E8EB20DC0464}">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203" authorId="1" shapeId="0" xr:uid="{8C5011EC-2594-42E7-81EE-6B442F0A9CCC}">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204" authorId="1" shapeId="0" xr:uid="{E7E47215-3D57-4DC2-BC89-202D4E779BB8}">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204" authorId="1" shapeId="0" xr:uid="{D33FBA59-AD3C-48D2-87F3-AEFE5A87368A}">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204" authorId="1" shapeId="0" xr:uid="{AAF0D3C4-BC52-41D2-AD8D-86F0605A81E4}">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205" authorId="1" shapeId="0" xr:uid="{DF0FD8C3-5E4F-4088-8503-349D6905ACD9}">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205" authorId="1" shapeId="0" xr:uid="{DBA2CEDD-9FE9-46E5-AB47-B2E9B61F0110}">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205" authorId="1" shapeId="0" xr:uid="{240074D4-5DC2-425F-A259-318B2A08D05A}">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206" authorId="0" shapeId="0" xr:uid="{0ACA7184-3E6A-4EB2-B878-8801486050A4}">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206" authorId="0" shapeId="0" xr:uid="{D06C5A91-6518-47FA-A962-F160761F2C21}">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206" authorId="0" shapeId="0" xr:uid="{CF04AA96-D01C-4A38-8119-C32FB4386F60}">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207" authorId="0" shapeId="0" xr:uid="{8D4439C6-6D71-4E2D-B585-886A5BC365EE}">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207" authorId="0" shapeId="0" xr:uid="{48CFF770-FAD4-4E48-92F6-853BE1FDD3C4}">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207" authorId="0" shapeId="0" xr:uid="{ED6797C9-EA1F-4FC6-AC2F-847CA1802B9E}">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208" authorId="1" shapeId="0" xr:uid="{5ADDE5EE-A951-488D-9B37-FE7E76E731EF}">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214" authorId="0" shapeId="0" xr:uid="{7C4C27C9-0C59-4713-BA6D-54572BE4467F}">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214" authorId="0" shapeId="0" xr:uid="{8CF59563-3CEB-467B-8FE6-379FC5A8A3FB}">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214" authorId="0" shapeId="0" xr:uid="{BFF59FC4-9D2E-4165-94AB-58276DF3F8A6}">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215" authorId="0" shapeId="0" xr:uid="{F0D44BDB-C303-4DFF-8D0D-E94D7A473EBD}">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215" authorId="0" shapeId="0" xr:uid="{44FE1257-5AD5-4D27-8003-5DF0662C22E2}">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215" authorId="0" shapeId="0" xr:uid="{49E84A92-B633-4AB8-9DCD-C8B45A417285}">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216" authorId="0" shapeId="0" xr:uid="{262CF5E6-89CB-4EA2-B0B0-64D3C1800D35}">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216" authorId="0" shapeId="0" xr:uid="{8FDDE978-0680-499A-B02E-BD0165E05C55}">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216" authorId="0" shapeId="0" xr:uid="{024006D7-C4CA-4F74-85FA-072F8347C524}">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217" authorId="0" shapeId="0" xr:uid="{6C28CCEF-851D-4647-9E48-CFED2E416B48}">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217" authorId="0" shapeId="0" xr:uid="{7EC1D960-CFAC-4DBE-BC77-E6A3598F03E4}">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217" authorId="0" shapeId="0" xr:uid="{D714F781-2FB6-47DC-B8B4-26093078D64D}">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218" authorId="1" shapeId="0" xr:uid="{025ACB97-7DA9-417F-A6A4-B532F2B2FD1C}">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218" authorId="1" shapeId="0" xr:uid="{A3BC0A77-3DA8-4CD2-9A7E-C28972DED887}">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218" authorId="1" shapeId="0" xr:uid="{3AFBFE6F-30FF-4F98-A565-E9C5F12CEC0C}">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219" authorId="1" shapeId="0" xr:uid="{073B97CE-BE19-4933-9ABD-26D60CFC7BB8}">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219" authorId="1" shapeId="0" xr:uid="{0F8C000F-1E8D-448C-9B17-C4F7D772CA0A}">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219" authorId="1" shapeId="0" xr:uid="{8E85C978-BA9B-49D3-8125-F8E3F0DCFF2A}">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220" authorId="1" shapeId="0" xr:uid="{610A8E95-3ABA-4E25-B7C4-393326EB8194}">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220" authorId="1" shapeId="0" xr:uid="{B6AFDD3C-5D50-42AB-A4EF-5EEA4E43EAAB}">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220" authorId="1" shapeId="0" xr:uid="{5D35C58E-D315-4DE9-9762-4D40130D0984}">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221" authorId="0" shapeId="0" xr:uid="{6A3B805D-98F3-4651-A544-6E94CB78D21F}">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221" authorId="0" shapeId="0" xr:uid="{8CCD2080-C95F-49A2-A452-C679AB791D86}">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221" authorId="0" shapeId="0" xr:uid="{63933EFB-6FBA-4CB1-A3C1-E3C30A7DF6FE}">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222" authorId="0" shapeId="0" xr:uid="{1A2E78C8-7B29-4AEB-A957-B510A85B20E5}">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222" authorId="0" shapeId="0" xr:uid="{EF859111-20A0-4D10-907C-C68B29DC5A49}">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222" authorId="0" shapeId="0" xr:uid="{43004176-ED40-4101-AE38-322E2A101197}">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223" authorId="1" shapeId="0" xr:uid="{22720B83-D47C-411E-A62E-FA31358EFD20}">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229" authorId="0" shapeId="0" xr:uid="{EE22E0CF-B4DD-40F8-B785-9B358198808C}">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229" authorId="0" shapeId="0" xr:uid="{ED13F2D0-968B-4E6E-A580-888AC3BF79B9}">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229" authorId="0" shapeId="0" xr:uid="{5DF76C59-BC94-45A3-A17F-799ED3FE01AE}">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230" authorId="0" shapeId="0" xr:uid="{5DB1FE5C-8C65-4C62-805B-79BE5DE49410}">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230" authorId="0" shapeId="0" xr:uid="{5917AC66-3CB8-473F-A7DD-5B07C837396F}">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230" authorId="0" shapeId="0" xr:uid="{C0590BB9-EB80-4BBC-8449-ADEE27A61021}">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231" authorId="0" shapeId="0" xr:uid="{00E05F11-227C-471B-9514-F8C1A1146E89}">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231" authorId="0" shapeId="0" xr:uid="{A9CB68AC-6306-405B-984A-070110E965A8}">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231" authorId="0" shapeId="0" xr:uid="{D6F40AC0-9C69-4F07-9870-82B8F7A4E202}">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232" authorId="0" shapeId="0" xr:uid="{81942D57-B793-44BF-BFBB-035B07C439D7}">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232" authorId="0" shapeId="0" xr:uid="{A12CF014-8A1F-4CE0-B4DA-6EFAFAA00AA2}">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232" authorId="0" shapeId="0" xr:uid="{3EBA7EEF-40F9-41EE-8336-72714204FD91}">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233" authorId="1" shapeId="0" xr:uid="{127BE8E6-C1BA-4113-B5A6-2E083725E4EF}">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233" authorId="1" shapeId="0" xr:uid="{F78883DD-F121-40B9-AC4D-63019B41CDAF}">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233" authorId="1" shapeId="0" xr:uid="{8EAFC8E5-B1D4-4763-AF9D-660830489810}">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234" authorId="1" shapeId="0" xr:uid="{973CD2B5-F7F5-40CF-AB87-52E11C686A62}">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234" authorId="1" shapeId="0" xr:uid="{E8521090-080E-4978-822E-C18116C84C1C}">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234" authorId="1" shapeId="0" xr:uid="{AA07DC92-D922-4479-9042-E8430E49B61B}">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235" authorId="1" shapeId="0" xr:uid="{10757EB6-A1EE-4CFE-A8F4-A3E1E438EED8}">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235" authorId="1" shapeId="0" xr:uid="{A7C9C451-CEC9-4852-8C38-5A11731D501C}">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235" authorId="1" shapeId="0" xr:uid="{1CF2C3F7-9AD3-46DD-AECD-E78FBACDF887}">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236" authorId="0" shapeId="0" xr:uid="{8E94448C-8E8D-4414-88DE-1317D1A320F8}">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236" authorId="0" shapeId="0" xr:uid="{8645DFA5-997B-4874-96EB-F38FADECC30C}">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236" authorId="0" shapeId="0" xr:uid="{FA189EFB-7E8D-4FFD-ADC9-8AAF4281AE5B}">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237" authorId="0" shapeId="0" xr:uid="{9C2BB970-D9F3-4E5C-B05C-15043B75FA86}">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237" authorId="0" shapeId="0" xr:uid="{E80A6DB5-75E0-42C4-91AF-96510CBDD0CE}">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237" authorId="0" shapeId="0" xr:uid="{E157EA9E-64F3-4A7A-B206-F99D41238B53}">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238" authorId="1" shapeId="0" xr:uid="{0C90D36D-7040-4A77-9202-2A399ECF612D}">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244" authorId="0" shapeId="0" xr:uid="{08B3EAEC-D5F2-4699-A1E6-8891BDC473DB}">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244" authorId="0" shapeId="0" xr:uid="{FBFAD978-0001-4CB6-BD28-02698835C7A4}">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244" authorId="0" shapeId="0" xr:uid="{9CA52726-B70B-4377-87ED-4313C5482CFC}">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245" authorId="0" shapeId="0" xr:uid="{7C90635E-198D-4263-A35D-94B1966B3A86}">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245" authorId="0" shapeId="0" xr:uid="{6A88BFD7-A5C6-4ADE-B4D1-4550A6408C39}">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245" authorId="0" shapeId="0" xr:uid="{1834106A-0EDF-468A-8EBB-12FA9B35CA1B}">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246" authorId="0" shapeId="0" xr:uid="{3B69657C-47D8-4817-9845-5B54B8741D20}">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246" authorId="0" shapeId="0" xr:uid="{CCD66906-2801-4832-A18E-958C7B39F461}">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246" authorId="0" shapeId="0" xr:uid="{3C68E77A-EAC6-45A0-95A0-F0D81907DC15}">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247" authorId="0" shapeId="0" xr:uid="{C0022FC4-44EC-4BAD-AE56-24FB27300598}">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247" authorId="0" shapeId="0" xr:uid="{0CAA21CB-8544-4F64-B1B5-1CFE2E66A47F}">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247" authorId="0" shapeId="0" xr:uid="{B25F76E9-03E7-4FBC-877E-E82725D0C888}">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248" authorId="1" shapeId="0" xr:uid="{6C4474D2-49D3-46D8-8A0A-636C60845C7F}">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248" authorId="1" shapeId="0" xr:uid="{8B4E0883-F811-4BB8-BE1B-9322F1EC4186}">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248" authorId="1" shapeId="0" xr:uid="{3423F593-A3E5-4E97-8E64-0B9D94F622B3}">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249" authorId="1" shapeId="0" xr:uid="{8ACFAFC3-34CE-4FA5-B3B3-EBEED7F8A1B2}">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249" authorId="1" shapeId="0" xr:uid="{1A84DE98-2150-4378-9649-491745443449}">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249" authorId="1" shapeId="0" xr:uid="{1A1D71E9-3C1F-4716-94F6-E1EC4B07F703}">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250" authorId="1" shapeId="0" xr:uid="{701A573C-CC9D-41A8-9977-F3BD961F0BAB}">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250" authorId="1" shapeId="0" xr:uid="{A390187B-79D0-4E99-B0C2-C162B88D505A}">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250" authorId="1" shapeId="0" xr:uid="{BBA3D16A-B214-469F-96F8-5ED469AF87A1}">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251" authorId="0" shapeId="0" xr:uid="{BCFAD992-5298-41BC-84D3-39783A1C9FFF}">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251" authorId="0" shapeId="0" xr:uid="{49B80ABA-E5A2-46B3-8C19-E20F2FA75AED}">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251" authorId="0" shapeId="0" xr:uid="{20165E7D-4ECF-44DE-A76C-741DD0BB7E39}">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252" authorId="0" shapeId="0" xr:uid="{3CFE9890-F314-437C-8370-5635C835B5AC}">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252" authorId="0" shapeId="0" xr:uid="{019FE45F-3AB5-4338-8279-5B80C970F181}">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252" authorId="0" shapeId="0" xr:uid="{FB6F60B5-1DC5-410F-8F4D-6830CEF263D1}">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253" authorId="1" shapeId="0" xr:uid="{8DB0A440-BAE3-4D3F-8130-334D55B6B6BE}">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259" authorId="0" shapeId="0" xr:uid="{1544067B-974A-484D-AA10-4605A48EB034}">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259" authorId="0" shapeId="0" xr:uid="{3370D587-4212-4BE7-8F45-804E2A6686E5}">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259" authorId="0" shapeId="0" xr:uid="{64777D14-B9E1-4EBE-AFB5-EA87FEFA9562}">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260" authorId="0" shapeId="0" xr:uid="{3772EB44-2944-4DC1-BDEB-19B3627E1780}">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260" authorId="0" shapeId="0" xr:uid="{F5BB431F-F23B-400A-9071-1F5D2E7E53A1}">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260" authorId="0" shapeId="0" xr:uid="{DAED11CB-9BA1-4B45-BD4C-49016FD8F03E}">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261" authorId="0" shapeId="0" xr:uid="{708601DF-7727-4F1C-A635-6C8EFFCA833A}">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261" authorId="0" shapeId="0" xr:uid="{47269962-61DC-463F-A73B-576190F626E7}">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261" authorId="0" shapeId="0" xr:uid="{5D8EE458-17F2-4A5B-9111-9CAD3022925F}">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262" authorId="0" shapeId="0" xr:uid="{B8D35B73-DAB0-49FD-8F31-70F68C5538E0}">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262" authorId="0" shapeId="0" xr:uid="{D46981F0-265F-4561-BA78-55E7CD19B629}">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262" authorId="0" shapeId="0" xr:uid="{88ECD3E4-5328-4A67-822B-D3EAE58C7FF2}">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263" authorId="1" shapeId="0" xr:uid="{48B94F65-BF91-4D20-AD0A-D9AAB238A1A6}">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263" authorId="1" shapeId="0" xr:uid="{848EA91C-967F-4D24-8B22-613417C540E4}">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263" authorId="1" shapeId="0" xr:uid="{FB376224-079D-4302-9DB4-77C3DB4F5FE1}">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264" authorId="1" shapeId="0" xr:uid="{F137DFA7-45D0-47D7-93D0-84C83FF2935F}">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264" authorId="1" shapeId="0" xr:uid="{C685BEAD-F2F7-4D10-8DA9-2625B031E55F}">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264" authorId="1" shapeId="0" xr:uid="{245A2355-CFBF-4B56-86E9-8CAF00C42035}">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265" authorId="1" shapeId="0" xr:uid="{C4EF4647-F4B5-4B72-92E2-DD5EA27C22C2}">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265" authorId="1" shapeId="0" xr:uid="{3F3A82F7-8BCD-4307-A531-B55292E6DB54}">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265" authorId="1" shapeId="0" xr:uid="{B6BB65AE-78A5-429A-9395-22DCD0DE1624}">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266" authorId="0" shapeId="0" xr:uid="{1B333AE3-473C-41DE-AB2E-27D1E36370DE}">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266" authorId="0" shapeId="0" xr:uid="{6900B9C8-7954-44DC-BD77-B25F36A31ED2}">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266" authorId="0" shapeId="0" xr:uid="{EE0519D9-A4A1-4E76-8713-F4B5937C45EF}">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267" authorId="0" shapeId="0" xr:uid="{E01C5B40-77C2-481D-8F2A-183BA55406C6}">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267" authorId="0" shapeId="0" xr:uid="{03F1DDB0-11CB-4C61-9066-ACBBE98408C4}">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267" authorId="0" shapeId="0" xr:uid="{C1680983-05B4-4989-98D1-18D051F6B7CB}">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268" authorId="1" shapeId="0" xr:uid="{F2BDCC0C-0442-479B-853D-39793113C639}">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274" authorId="0" shapeId="0" xr:uid="{F46A75F8-DBBF-49E8-80F7-5472B32EE64A}">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274" authorId="0" shapeId="0" xr:uid="{12E69AF5-7B68-4E19-8401-C8364A74760F}">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274" authorId="0" shapeId="0" xr:uid="{3EACF6CA-EFEE-4CA7-81B9-2E4A163E4F7C}">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275" authorId="0" shapeId="0" xr:uid="{87614582-155F-4380-9A4D-F51948F38DF3}">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275" authorId="0" shapeId="0" xr:uid="{5EBAB26B-BBDE-4367-8CC4-B6EFA65AD71D}">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275" authorId="0" shapeId="0" xr:uid="{7186B566-5333-457E-B6B5-D208C10C0909}">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276" authorId="0" shapeId="0" xr:uid="{0561FBB4-8B8A-413E-8AB2-64334206AB5E}">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276" authorId="0" shapeId="0" xr:uid="{74038AF6-282F-4887-B5FF-F397FE4DA59F}">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276" authorId="0" shapeId="0" xr:uid="{81C1EFD4-80F5-4386-80EC-FE3623415974}">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277" authorId="0" shapeId="0" xr:uid="{3D5C7CDF-0FA2-4FD3-AE4F-86CD111E0224}">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277" authorId="0" shapeId="0" xr:uid="{F42EFBD1-8B06-4E7C-8B61-0F6A67CAA904}">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277" authorId="0" shapeId="0" xr:uid="{09D09211-9BE9-479F-8783-E2874EA1CD13}">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278" authorId="1" shapeId="0" xr:uid="{BCEE1B86-933F-470B-806C-501119CF5C45}">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278" authorId="1" shapeId="0" xr:uid="{46717FF6-5591-4746-BF00-8F7AD33E019E}">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278" authorId="1" shapeId="0" xr:uid="{9FEB05C1-95F2-406B-B6A6-7182E10053BF}">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279" authorId="1" shapeId="0" xr:uid="{92D50020-1AEA-4DC3-B150-F41C2A7E813E}">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279" authorId="1" shapeId="0" xr:uid="{5BD8A30E-4E75-4A3F-BBE4-B63ED5BE773E}">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279" authorId="1" shapeId="0" xr:uid="{02FC2CA5-9368-4C9C-ABB4-D15A348A3624}">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280" authorId="1" shapeId="0" xr:uid="{95D2AC6A-3E2F-4ABF-8137-0692874AF89C}">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280" authorId="1" shapeId="0" xr:uid="{513E8D91-4DC0-4880-B39B-3D5F94F57DCA}">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280" authorId="1" shapeId="0" xr:uid="{34C0D5A5-AD1C-404D-A69C-3CA29A22BD63}">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281" authorId="0" shapeId="0" xr:uid="{040A5527-ECDC-421A-96E3-064B5980E248}">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281" authorId="0" shapeId="0" xr:uid="{71571822-1052-40B0-B5E6-BDC70329EC46}">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281" authorId="0" shapeId="0" xr:uid="{25903286-78FD-4881-9E24-5A5391DD8E28}">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282" authorId="0" shapeId="0" xr:uid="{3C16EAB0-D576-4B67-9EDB-1802F6CF1B7F}">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282" authorId="0" shapeId="0" xr:uid="{0D8ACE5C-A8A6-4B64-9298-C381D957B01D}">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282" authorId="0" shapeId="0" xr:uid="{3480DB69-610B-4D29-9F50-6F266E50675F}">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283" authorId="1" shapeId="0" xr:uid="{EB039517-52AB-4BCE-BE73-BC812E6A8DCA}">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289" authorId="0" shapeId="0" xr:uid="{51D7A529-6966-4EA1-80E3-B9637539B140}">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289" authorId="0" shapeId="0" xr:uid="{7D23656D-C079-4C55-AE3A-025F811323C4}">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289" authorId="0" shapeId="0" xr:uid="{8F3821CD-1DB3-4F05-97D7-A2DCFBC9C72C}">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290" authorId="0" shapeId="0" xr:uid="{DAE14452-08A1-4CD7-88B2-1A07D002E02D}">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290" authorId="0" shapeId="0" xr:uid="{6C217F74-0BCE-4C35-9A0B-F4BF4838A332}">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290" authorId="0" shapeId="0" xr:uid="{47FDFDD7-9FBB-4397-97B7-A9C0047F272D}">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291" authorId="0" shapeId="0" xr:uid="{BE50C795-96D8-486D-AA70-2D8D84480973}">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291" authorId="0" shapeId="0" xr:uid="{1299F681-061E-4A59-B0AF-43B39785FB6A}">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291" authorId="0" shapeId="0" xr:uid="{D881533E-2183-4D0C-9A38-39E148665B73}">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292" authorId="0" shapeId="0" xr:uid="{A0EC1085-4956-4E59-8398-EA7A9A149CAB}">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292" authorId="0" shapeId="0" xr:uid="{00104116-D5AC-45AE-8C57-3DA38166DB9E}">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292" authorId="0" shapeId="0" xr:uid="{CB1E93AD-6152-46B9-9F61-83B651715122}">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293" authorId="1" shapeId="0" xr:uid="{D9790112-C010-4DA1-9334-DB92F397E95C}">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293" authorId="1" shapeId="0" xr:uid="{EEE94817-3E8B-4F60-BFF6-492DC1A023B6}">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293" authorId="1" shapeId="0" xr:uid="{07BF1B9E-71B2-4E5E-AECD-BD9830C813C0}">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294" authorId="1" shapeId="0" xr:uid="{8C221419-7BAB-45F3-BCBA-E9D69BEE4C2C}">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294" authorId="1" shapeId="0" xr:uid="{BDB0182F-AFD5-427E-BF03-3A3031EF8D02}">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294" authorId="1" shapeId="0" xr:uid="{9D886949-0E43-4DE1-82B3-7788644F260B}">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295" authorId="1" shapeId="0" xr:uid="{DFCB8E19-31E3-476A-AC50-0E3AEC4B7B68}">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295" authorId="1" shapeId="0" xr:uid="{0D097368-C003-4F21-A39C-E4BB68AC736D}">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295" authorId="1" shapeId="0" xr:uid="{9E46C35A-2399-4638-8C2E-6F220ECA643B}">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296" authorId="0" shapeId="0" xr:uid="{99E969A3-4CB4-4A19-B60C-181EE75EBDFE}">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296" authorId="0" shapeId="0" xr:uid="{50DB89D5-B3F3-4975-8921-F89AA4C0B67A}">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296" authorId="0" shapeId="0" xr:uid="{588EEE01-6C31-459B-AC43-19F93B4B5ACD}">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297" authorId="0" shapeId="0" xr:uid="{D31742D4-E80A-404A-9EC8-35D2FBFBBEFD}">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297" authorId="0" shapeId="0" xr:uid="{160DF0FA-4109-43C4-9CA9-05B2BAD6A384}">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297" authorId="0" shapeId="0" xr:uid="{75BF654F-DE89-4837-B901-E713EF50F6B1}">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298" authorId="1" shapeId="0" xr:uid="{08540339-EE08-4999-B6A4-F108FD9FF47C}">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304" authorId="0" shapeId="0" xr:uid="{45C205BD-86E8-4B94-99C9-3A1C6BA45504}">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304" authorId="0" shapeId="0" xr:uid="{0C0137E4-FBE6-4C90-9CB6-1EECD4F53B7B}">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304" authorId="0" shapeId="0" xr:uid="{B0C5F16D-10EE-4E23-A3DC-0EE7CABE7FC7}">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305" authorId="0" shapeId="0" xr:uid="{F48E1572-B960-4406-ADAC-899F53CD5406}">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305" authorId="0" shapeId="0" xr:uid="{B4D4F2A3-4597-47FC-827B-37FEB31548E9}">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305" authorId="0" shapeId="0" xr:uid="{A39DDD1E-333B-4F49-AEB6-7EE6F78352E9}">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306" authorId="0" shapeId="0" xr:uid="{97821B3A-83A7-4BF4-AA0F-CC3F3AA1D07C}">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306" authorId="0" shapeId="0" xr:uid="{C6E41B8F-8B51-4CD9-8699-549075238720}">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306" authorId="0" shapeId="0" xr:uid="{6E6CD6B7-C18D-4883-A9C2-1E95DBC5E1AC}">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307" authorId="0" shapeId="0" xr:uid="{D8270174-199D-4C6E-87A3-9E8CE5FBDAA5}">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307" authorId="0" shapeId="0" xr:uid="{AC59C71B-2869-4960-9FBC-A953F9F53FA5}">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307" authorId="0" shapeId="0" xr:uid="{2776F9F8-3DE6-44D8-952B-112B6627AF12}">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308" authorId="1" shapeId="0" xr:uid="{D1710104-BBD8-466C-9893-9D425AB195D7}">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308" authorId="1" shapeId="0" xr:uid="{A0933198-3E5F-46BF-B303-E7E74353434D}">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308" authorId="1" shapeId="0" xr:uid="{B78CE2EC-289B-4C63-B57C-C993E32C89A5}">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309" authorId="1" shapeId="0" xr:uid="{E35B3853-98AE-4705-B69D-2C6A0B494761}">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309" authorId="1" shapeId="0" xr:uid="{864D60D6-7B41-47C3-8788-C0478667C238}">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309" authorId="1" shapeId="0" xr:uid="{13C3B504-4D53-4951-8797-107C37E35C79}">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310" authorId="1" shapeId="0" xr:uid="{0567A0D2-DB12-40C4-9AC6-801E29ECD8D3}">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310" authorId="1" shapeId="0" xr:uid="{ECF45E3B-68C6-495B-9FA9-37F3C214E33E}">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310" authorId="1" shapeId="0" xr:uid="{A7CF899B-BAC7-4846-B2F5-BBD90A606EFA}">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311" authorId="0" shapeId="0" xr:uid="{F9A60212-7E7B-4DE3-8880-00F1AD6806FB}">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311" authorId="0" shapeId="0" xr:uid="{4EF4D987-2778-403E-A771-D80382FEC3EB}">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311" authorId="0" shapeId="0" xr:uid="{761A29ED-371B-4B50-A9DB-05F2E0B9ECEA}">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312" authorId="0" shapeId="0" xr:uid="{18C78484-325E-4CD4-A281-77844E8478C0}">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312" authorId="0" shapeId="0" xr:uid="{2FE0C121-5E99-4C4E-9CF2-31E5544A5709}">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312" authorId="0" shapeId="0" xr:uid="{02CB8095-E234-4B6B-B460-82AA0044DA2A}">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313" authorId="1" shapeId="0" xr:uid="{124CF15C-000E-43FC-8615-43452DD4A167}">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319" authorId="0" shapeId="0" xr:uid="{1C6DC124-C22E-4CB4-8941-65B77E901DB3}">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319" authorId="0" shapeId="0" xr:uid="{F3813EB1-FEF1-4BAA-9E12-9A6F2A42E9C1}">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319" authorId="0" shapeId="0" xr:uid="{874546A3-461B-46EC-B3EB-4F57A7556A73}">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320" authorId="0" shapeId="0" xr:uid="{B57D298B-56F5-4B2E-AEC6-094858AC2C16}">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320" authorId="0" shapeId="0" xr:uid="{A69A2FAD-D40B-4C35-84D1-3B416770E11A}">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320" authorId="0" shapeId="0" xr:uid="{5EA370DD-AE64-480C-BED2-2B866DB087E5}">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321" authorId="0" shapeId="0" xr:uid="{1A1EE698-5E1A-4AEC-A064-B370689C272B}">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321" authorId="0" shapeId="0" xr:uid="{FDAE90CA-D797-45E2-A68C-03BD1E3716F6}">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321" authorId="0" shapeId="0" xr:uid="{325550E6-718F-469A-AEC5-B9B38438FFA2}">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322" authorId="0" shapeId="0" xr:uid="{5AF0B6ED-0E99-422D-B9E9-FFFC3CB4A8C6}">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322" authorId="0" shapeId="0" xr:uid="{26845DC1-E9E9-465E-BA7C-E457A12D1474}">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322" authorId="0" shapeId="0" xr:uid="{297AB483-9B3B-4343-B4B9-648AA04376F2}">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323" authorId="1" shapeId="0" xr:uid="{0250ED94-D85F-4A44-B12F-20D19B827A19}">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323" authorId="1" shapeId="0" xr:uid="{02590BB3-AEE2-4ACB-AE0E-C5CE3AA70A51}">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323" authorId="1" shapeId="0" xr:uid="{41E27E89-69A0-40C3-AE52-6630C18A800A}">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324" authorId="1" shapeId="0" xr:uid="{A5584B98-CA5E-4752-AEC7-590139DD7FDD}">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324" authorId="1" shapeId="0" xr:uid="{D9F3A17E-2E8C-42E1-BC2C-5E3777B0D573}">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324" authorId="1" shapeId="0" xr:uid="{2CF33422-17F9-4CE3-8586-8F1459A8AC95}">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325" authorId="1" shapeId="0" xr:uid="{82A8C025-013A-4C65-BF3F-C5298EBFA0F5}">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325" authorId="1" shapeId="0" xr:uid="{20CC7ED6-097B-4C7F-B8D0-B49B9BE58827}">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325" authorId="1" shapeId="0" xr:uid="{9C674815-8EE7-4F5A-A9C2-6EBB92BA4F03}">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326" authorId="0" shapeId="0" xr:uid="{2B437586-A53C-4773-B41A-6CC2572590C7}">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326" authorId="0" shapeId="0" xr:uid="{500A1439-4DD8-460D-9AC3-589DBBDCA444}">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326" authorId="0" shapeId="0" xr:uid="{B62B960E-8CFC-4CC2-BB04-B858EE8BB617}">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327" authorId="0" shapeId="0" xr:uid="{540F0019-23C4-49FF-B92A-2A632DC77FDD}">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327" authorId="0" shapeId="0" xr:uid="{763FDACF-6B23-40B6-9F20-15671AF36A41}">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327" authorId="0" shapeId="0" xr:uid="{E56FCC90-73C5-40FB-A3B2-5EF45AC638E8}">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328" authorId="1" shapeId="0" xr:uid="{9FF94F14-7B66-463B-82B5-23E12DBA7DDA}">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334" authorId="0" shapeId="0" xr:uid="{9CC68968-4497-43B3-AAAF-2C842F4E8440}">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334" authorId="0" shapeId="0" xr:uid="{A9933099-1BCE-4334-A479-97702D554306}">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334" authorId="0" shapeId="0" xr:uid="{FE9D88E9-BB7D-4A58-A1B5-9B065C907A07}">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335" authorId="0" shapeId="0" xr:uid="{27187596-6762-4091-B659-75380F277EB6}">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335" authorId="0" shapeId="0" xr:uid="{D52E06AB-566E-4A2A-851B-D315E6030B87}">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335" authorId="0" shapeId="0" xr:uid="{C9A59B9F-7880-4A54-822D-375E08844C80}">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336" authorId="0" shapeId="0" xr:uid="{4B11CFD1-A52E-4F39-9DB7-82D42054E5ED}">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336" authorId="0" shapeId="0" xr:uid="{AE189F3A-D728-436D-AE79-614783B72902}">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336" authorId="0" shapeId="0" xr:uid="{444CE70F-3E47-4C05-B963-175944D1C05F}">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337" authorId="0" shapeId="0" xr:uid="{BC9C638B-18EA-45EA-8F38-4E6FABD7C6D9}">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337" authorId="0" shapeId="0" xr:uid="{A4141F56-D038-4944-910B-49375968854A}">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337" authorId="0" shapeId="0" xr:uid="{915CB9F2-15C1-4FE8-9E33-A5538B3D2B3C}">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338" authorId="1" shapeId="0" xr:uid="{A2D7DEE0-0909-47DC-9786-C48FEA4967B0}">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338" authorId="1" shapeId="0" xr:uid="{09B618D4-20A8-4F15-9283-11950EBE5E82}">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338" authorId="1" shapeId="0" xr:uid="{B3F29365-8A47-4F28-BF48-F173BBA37BBD}">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339" authorId="1" shapeId="0" xr:uid="{EF2E2253-45A5-4F66-9329-D4A41027E066}">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339" authorId="1" shapeId="0" xr:uid="{098DF76E-E68E-4E65-B34B-28DEB1912B75}">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339" authorId="1" shapeId="0" xr:uid="{7C695991-5657-461B-B8A5-120925155D79}">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340" authorId="1" shapeId="0" xr:uid="{DB61A189-F21D-4B3E-8DEC-E198D37145D0}">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340" authorId="1" shapeId="0" xr:uid="{9A4F8262-35C9-45F8-8FFB-3A85A4645D07}">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340" authorId="1" shapeId="0" xr:uid="{8E3CE633-8A09-4EEF-86E9-16349084143A}">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341" authorId="0" shapeId="0" xr:uid="{AE7B2144-9D0C-4EEB-AD1F-712ED4741F8A}">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341" authorId="0" shapeId="0" xr:uid="{21C1A545-1D27-450E-839F-C403E9296613}">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341" authorId="0" shapeId="0" xr:uid="{34A99C0B-9030-4834-B880-5CD172433D7D}">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342" authorId="0" shapeId="0" xr:uid="{3232764B-E479-4861-8DC8-8904F71BC3B9}">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342" authorId="0" shapeId="0" xr:uid="{35343204-4022-420B-903A-1BC988C74F07}">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342" authorId="0" shapeId="0" xr:uid="{BE1BE323-3E3A-43B9-957B-0C246281458A}">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343" authorId="1" shapeId="0" xr:uid="{A1F8BF4A-BD9B-41A2-B4F4-65EA786A30A8}">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349" authorId="0" shapeId="0" xr:uid="{B9B92FD3-8B38-484D-905B-4FFD2D90522A}">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349" authorId="0" shapeId="0" xr:uid="{3390A834-FEC8-452E-8AE2-E28CE6301608}">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349" authorId="0" shapeId="0" xr:uid="{B0F6A9D9-D207-4CEF-87B2-690D18C359FA}">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350" authorId="0" shapeId="0" xr:uid="{419FD90F-1BB5-4574-BC7D-7F77AB7BA0A7}">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350" authorId="0" shapeId="0" xr:uid="{6F7BD81D-D1B2-401A-9065-D35C900D43B5}">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350" authorId="0" shapeId="0" xr:uid="{9779D465-ABDA-4C0C-80A1-44F89521F8CC}">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351" authorId="0" shapeId="0" xr:uid="{CD5B419C-B1F9-4902-B884-5EB9F0147209}">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351" authorId="0" shapeId="0" xr:uid="{1FC65C6E-018C-4ED0-89CF-0BA24D64DB14}">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351" authorId="0" shapeId="0" xr:uid="{3404BF75-7211-4297-9EDD-AA927A306501}">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352" authorId="0" shapeId="0" xr:uid="{325A9974-8861-4823-9EB2-F95D1DAF45AB}">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352" authorId="0" shapeId="0" xr:uid="{98DFAC2F-49ED-4445-8B45-B333999B8078}">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352" authorId="0" shapeId="0" xr:uid="{D3A88196-7B6B-41C0-B62A-711B20A90AAF}">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353" authorId="1" shapeId="0" xr:uid="{4F222C9B-27CD-42D9-8CB7-AB9EEFFA6F68}">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353" authorId="1" shapeId="0" xr:uid="{5F3B12FD-C1A2-4F0B-A8A8-3E4F196324EF}">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353" authorId="1" shapeId="0" xr:uid="{99600AAD-5771-4A8B-BA3B-4875494327E0}">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354" authorId="1" shapeId="0" xr:uid="{3987A7C3-6364-40C6-A2FA-78795EFB447C}">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354" authorId="1" shapeId="0" xr:uid="{A724316B-F300-40D9-BB21-F4933452DA24}">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354" authorId="1" shapeId="0" xr:uid="{CB19ED34-944D-4909-BF7B-4BD4CF0C25B3}">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355" authorId="1" shapeId="0" xr:uid="{1B6FD253-8E22-4E2B-B704-0F38402CE150}">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355" authorId="1" shapeId="0" xr:uid="{EE610F1C-7EFD-4FC4-80B8-635658C67430}">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355" authorId="1" shapeId="0" xr:uid="{AA52F0C9-AEED-483E-A53A-2A62DC0A7BEF}">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356" authorId="0" shapeId="0" xr:uid="{6DEB91B9-A922-44EF-AC73-2B5633F18B9C}">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356" authorId="0" shapeId="0" xr:uid="{3234B664-9A3F-49E1-813D-839A089BC2FF}">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356" authorId="0" shapeId="0" xr:uid="{59C87753-09AC-453F-B8FE-89D1B22FC90D}">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357" authorId="0" shapeId="0" xr:uid="{BC4B31D8-98FE-46C9-9750-9AB51CCC7423}">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357" authorId="0" shapeId="0" xr:uid="{EBA12555-9981-4B6D-89B7-4FCED59BA09F}">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357" authorId="0" shapeId="0" xr:uid="{3F2E7CFC-4D75-4E47-8F5D-FD7BF5227122}">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358" authorId="1" shapeId="0" xr:uid="{B203EF34-02F7-4DBD-AE48-19D4178BF2C7}">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364" authorId="0" shapeId="0" xr:uid="{F54A35DB-2950-4B0C-B602-246F5AEF80C9}">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364" authorId="0" shapeId="0" xr:uid="{31F68866-1951-454B-8F67-79D8F29A130B}">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364" authorId="0" shapeId="0" xr:uid="{CE73BCB4-DD04-4DDE-8985-19FE4CAFF7CF}">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365" authorId="0" shapeId="0" xr:uid="{9AD2A471-B201-4641-B0A5-4FE9D09691BE}">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365" authorId="0" shapeId="0" xr:uid="{E95442E1-BCF1-4D05-8098-2B97BA6BA21D}">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365" authorId="0" shapeId="0" xr:uid="{773C3F4A-68B3-4FD4-9405-AFE2962EE6BD}">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366" authorId="0" shapeId="0" xr:uid="{F801B351-7EFF-4A5C-8B47-D1AF9535327E}">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366" authorId="0" shapeId="0" xr:uid="{FF3C0AD6-F284-4F76-A728-1F9F2F8F14C5}">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366" authorId="0" shapeId="0" xr:uid="{B0FF8C9C-F305-4451-BD6E-9993FF8A29E3}">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367" authorId="0" shapeId="0" xr:uid="{1CCADB85-0D1F-4E19-B65E-59E8CEDB06AD}">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367" authorId="0" shapeId="0" xr:uid="{B8D7B39C-C8C9-4C55-89D4-0FBBB742AEBF}">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367" authorId="0" shapeId="0" xr:uid="{72C9CA81-B21E-4F05-B69B-6CB4D6074DE1}">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368" authorId="1" shapeId="0" xr:uid="{29E4C14F-8FC6-4951-9B24-FD88986696E1}">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368" authorId="1" shapeId="0" xr:uid="{1C8FEB2B-02D6-46C6-A8A8-4500C55B79D9}">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368" authorId="1" shapeId="0" xr:uid="{5DE0B7FC-BF73-4A02-A4C7-ECEE34A65822}">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369" authorId="1" shapeId="0" xr:uid="{4C963F18-F862-46AF-8381-DC5B6C1C5C27}">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369" authorId="1" shapeId="0" xr:uid="{F9CE42B1-38A2-4294-8962-B9B4B18AA384}">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369" authorId="1" shapeId="0" xr:uid="{517B8F88-9C3F-458D-97C4-2ABE99528F68}">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370" authorId="1" shapeId="0" xr:uid="{A2DAFD43-5B51-4864-B551-F2FDF92F65F8}">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370" authorId="1" shapeId="0" xr:uid="{3774F3B2-0738-47C5-9C91-D435D6181B8F}">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370" authorId="1" shapeId="0" xr:uid="{40481809-F413-42B7-B3F8-8C25CB9B1342}">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371" authorId="0" shapeId="0" xr:uid="{9918333D-7CFB-4366-93F0-DEAEB890FA92}">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371" authorId="0" shapeId="0" xr:uid="{BC2C4A6F-C6DD-4A8A-A415-A84BCF299F09}">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371" authorId="0" shapeId="0" xr:uid="{10F793BF-2C81-450C-9738-28E90EB88A74}">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372" authorId="0" shapeId="0" xr:uid="{CEB5CC57-FEBE-47BB-A7A1-C7E40CBAE28B}">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372" authorId="0" shapeId="0" xr:uid="{A8401091-40D1-4FAF-9A07-6B4ABBB43E92}">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372" authorId="0" shapeId="0" xr:uid="{72961EF2-FD15-4409-BDB2-58AB4126C7B7}">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373" authorId="1" shapeId="0" xr:uid="{2803AFA9-7731-4EB8-BC9B-471B136A0C29}">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379" authorId="0" shapeId="0" xr:uid="{E589E771-A72C-4E2F-8829-8C45FC877769}">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379" authorId="0" shapeId="0" xr:uid="{0A4236D9-D436-4DFF-9C27-B3EDDA93B2DE}">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379" authorId="0" shapeId="0" xr:uid="{F8845C00-788B-4377-8E59-B9767F209FF6}">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380" authorId="0" shapeId="0" xr:uid="{F133EB83-FD23-401E-9538-944A02D1F4EE}">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380" authorId="0" shapeId="0" xr:uid="{6A28A033-6A26-42AD-9731-3BF7DE082EAF}">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380" authorId="0" shapeId="0" xr:uid="{467DFDDE-9250-4BEC-B7D3-AEA6DDA63273}">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381" authorId="0" shapeId="0" xr:uid="{5E51B29B-2D3D-477F-8C08-9470A13135EA}">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381" authorId="0" shapeId="0" xr:uid="{74B365DB-E528-4315-BB4C-BB14927198E2}">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381" authorId="0" shapeId="0" xr:uid="{009E02F9-80AC-4DEF-B357-BEA212F6890D}">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382" authorId="0" shapeId="0" xr:uid="{E1C2625E-B4ED-42CF-9556-800A0525AA14}">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382" authorId="0" shapeId="0" xr:uid="{CA64C355-1037-4EB2-A06E-AAF94217232B}">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382" authorId="0" shapeId="0" xr:uid="{D413E036-534F-4D46-A58A-1905F9417FA3}">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383" authorId="1" shapeId="0" xr:uid="{182C3A82-41DA-4CCC-8CA5-EE9D543FF86C}">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383" authorId="1" shapeId="0" xr:uid="{9F48A31F-FAF8-4326-81AD-D67693AB3952}">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383" authorId="1" shapeId="0" xr:uid="{11EEF96C-ACB3-4BDF-B225-DE8847FF4E2B}">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384" authorId="1" shapeId="0" xr:uid="{70CFB328-5508-439D-AED1-5FF94CF186F9}">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384" authorId="1" shapeId="0" xr:uid="{1445A803-0D46-4E4A-9B37-2AB2E692DFC3}">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384" authorId="1" shapeId="0" xr:uid="{F96F8D1B-D36F-447E-A1F8-262C92F6EE11}">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385" authorId="1" shapeId="0" xr:uid="{8113FFA8-4CB4-4011-A9B5-0C02744199F9}">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385" authorId="1" shapeId="0" xr:uid="{4946264E-F3B3-42A3-B153-9A69AAE98219}">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385" authorId="1" shapeId="0" xr:uid="{CBB42061-55E5-48F8-A4F1-3B78CB685194}">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386" authorId="0" shapeId="0" xr:uid="{1D519C9A-89CD-499B-A6BD-ABF2ECA1247D}">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386" authorId="0" shapeId="0" xr:uid="{99F55A92-8E7E-4686-8898-4F9C72262EEB}">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386" authorId="0" shapeId="0" xr:uid="{EC72FE71-C8D3-4955-9F5C-7784E0F7CBA3}">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387" authorId="0" shapeId="0" xr:uid="{F9B679E7-9FA4-4868-8073-A6450BF5756D}">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387" authorId="0" shapeId="0" xr:uid="{A8244D36-206C-4210-A20C-C18590E640B9}">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387" authorId="0" shapeId="0" xr:uid="{3E07F768-EEC4-401D-AE69-C2A654961D60}">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388" authorId="1" shapeId="0" xr:uid="{1C934C6C-E29C-47C9-A835-F5D68FCDDBC5}">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394" authorId="0" shapeId="0" xr:uid="{0CD9EC5D-D94E-40BE-B7C3-4D3316055947}">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394" authorId="0" shapeId="0" xr:uid="{6AC61DBB-9C74-4F79-939B-27F4D3549FC5}">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394" authorId="0" shapeId="0" xr:uid="{0AAA1E6B-AD70-4FCF-BF3A-5196CDA4175B}">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395" authorId="0" shapeId="0" xr:uid="{2ACC4FB8-59A1-4C78-A262-7057C5E3D4A1}">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395" authorId="0" shapeId="0" xr:uid="{A096C60B-8E7F-4638-A03E-072F74473F6B}">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395" authorId="0" shapeId="0" xr:uid="{8ED8FBA6-1692-4368-A2F8-21A2892B7251}">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396" authorId="0" shapeId="0" xr:uid="{470E7C08-7545-4C80-8C1B-15975FFFBD97}">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396" authorId="0" shapeId="0" xr:uid="{63EC8690-1268-4423-B847-C1CD563FA4CE}">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396" authorId="0" shapeId="0" xr:uid="{3B18AD11-3DDB-4B09-A461-6085F7A60236}">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397" authorId="0" shapeId="0" xr:uid="{BCC212A7-6C75-4099-AB61-A7B2665E7FB6}">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397" authorId="0" shapeId="0" xr:uid="{A67FB01E-4F2B-4741-92E7-649248D0D92E}">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397" authorId="0" shapeId="0" xr:uid="{9CE52C96-1410-467B-88AB-2D562AA27E48}">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398" authorId="1" shapeId="0" xr:uid="{E7EB7F38-A2A1-4F51-8DB9-279226803D9F}">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398" authorId="1" shapeId="0" xr:uid="{D0FF77F2-26B2-4251-B850-5FB187D61FB8}">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398" authorId="1" shapeId="0" xr:uid="{25212337-1B29-4600-8F06-2C686D1AC4E7}">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399" authorId="1" shapeId="0" xr:uid="{93E51D09-EAB2-416C-B9D6-D10688FE117F}">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399" authorId="1" shapeId="0" xr:uid="{FCFE84B1-CF8F-4606-A632-5270D09FF69E}">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399" authorId="1" shapeId="0" xr:uid="{C289C726-F78F-409B-A622-D57F16627D85}">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400" authorId="1" shapeId="0" xr:uid="{AA1D6113-8605-4F67-AB72-D9BC2CE838BF}">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400" authorId="1" shapeId="0" xr:uid="{64E7ABAD-74D0-48AB-8F31-A7194DFD0AD8}">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400" authorId="1" shapeId="0" xr:uid="{0EB5F865-CD0B-42DA-B3E2-FB50CB83DF80}">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401" authorId="0" shapeId="0" xr:uid="{2FB3927C-4420-4806-80CE-BC930CA283E6}">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401" authorId="0" shapeId="0" xr:uid="{38908B33-8063-45BA-B171-A72C20830727}">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401" authorId="0" shapeId="0" xr:uid="{C82812D6-4BB7-43FE-9A2E-39E4C983C2AC}">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402" authorId="0" shapeId="0" xr:uid="{90A08C04-F426-480D-89C9-40F28FFD6B07}">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402" authorId="0" shapeId="0" xr:uid="{9AD12D51-68FF-4B36-8F75-ABD804B1FEF1}">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402" authorId="0" shapeId="0" xr:uid="{808A41CD-180A-4663-83EC-72884D4F5180}">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403" authorId="1" shapeId="0" xr:uid="{FE7EC2C6-6A3D-40B9-9BE1-A5204502A034}">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409" authorId="0" shapeId="0" xr:uid="{466DFDB1-D8D7-4FE8-B126-E8C96981246E}">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409" authorId="0" shapeId="0" xr:uid="{687DBF5A-940E-424A-87B8-933F0364F9FF}">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409" authorId="0" shapeId="0" xr:uid="{76EC636A-2E37-4421-A72A-140FCE00BEEF}">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410" authorId="0" shapeId="0" xr:uid="{BAA11C16-69EA-4B75-94B7-14EB0154ACBE}">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410" authorId="0" shapeId="0" xr:uid="{295001E0-C277-4ABE-8A12-808762088EAD}">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410" authorId="0" shapeId="0" xr:uid="{9F883C14-96E4-42BE-8080-E928DEB12CC8}">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411" authorId="0" shapeId="0" xr:uid="{0665A7AD-1D9F-4950-9AA6-19A3475D1EDC}">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411" authorId="0" shapeId="0" xr:uid="{56477CCF-82CB-4A77-8501-11658851D8BF}">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411" authorId="0" shapeId="0" xr:uid="{2FD7E51A-A321-4118-B044-BACD3B46B09E}">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412" authorId="0" shapeId="0" xr:uid="{CBF6F91C-6CF0-4ECD-9620-A3DE89802FEC}">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412" authorId="0" shapeId="0" xr:uid="{04AB8EB9-8EF6-4211-8C8E-6E83B21D1CC1}">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412" authorId="0" shapeId="0" xr:uid="{9CCF59DA-395E-4EF4-AE88-D43933D5D050}">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413" authorId="1" shapeId="0" xr:uid="{57D0A853-4898-4111-B16F-6F9328F177D9}">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413" authorId="1" shapeId="0" xr:uid="{E520D4E1-3C9C-4677-9DDC-D0980865F2A2}">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413" authorId="1" shapeId="0" xr:uid="{9A200EF6-A750-4D5D-BC9D-C4A16E9C4431}">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414" authorId="1" shapeId="0" xr:uid="{9F1E00D2-1510-4B3A-ACD8-38CBE074A48A}">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414" authorId="1" shapeId="0" xr:uid="{3B34CACF-3C88-4C4F-94EE-BCAB27E9A047}">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414" authorId="1" shapeId="0" xr:uid="{D54C54AE-075E-427F-B8E6-12B200885DB8}">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415" authorId="1" shapeId="0" xr:uid="{092FC24F-26D5-4505-B9F3-0D4760DB592B}">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415" authorId="1" shapeId="0" xr:uid="{DE97AE31-07A7-4496-905C-6F0D51AC8CD5}">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415" authorId="1" shapeId="0" xr:uid="{5B64FE8E-5C0A-492C-878A-9B226438785B}">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416" authorId="0" shapeId="0" xr:uid="{F0E50C46-5392-4AA2-89C4-77B8579A960A}">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416" authorId="0" shapeId="0" xr:uid="{9EAF7B3A-264A-4E1C-B30E-560EF09B3737}">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416" authorId="0" shapeId="0" xr:uid="{C93D8ABE-F085-4916-8A29-CBFDC4A63EE9}">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417" authorId="0" shapeId="0" xr:uid="{066F11D0-5119-4E76-AB86-23C212598227}">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417" authorId="0" shapeId="0" xr:uid="{0E1CDCA5-F2C9-4FEE-A98E-128E0DC884B8}">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417" authorId="0" shapeId="0" xr:uid="{D7A5B7BD-E50F-4326-8B27-B803C2C70B0A}">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418" authorId="1" shapeId="0" xr:uid="{379A368F-1D6D-4C54-AB5E-4C0F20E44198}">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424" authorId="0" shapeId="0" xr:uid="{F13795DA-33F6-4A2B-9B59-D9F7A87F5531}">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424" authorId="0" shapeId="0" xr:uid="{B5F76438-335A-480F-AC9E-F395115B2387}">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424" authorId="0" shapeId="0" xr:uid="{A0FAB94C-AC80-4C94-973A-ED51F284D004}">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425" authorId="0" shapeId="0" xr:uid="{79F6BC03-C1AA-42FA-BF36-57B2093225CA}">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425" authorId="0" shapeId="0" xr:uid="{1B43BF96-C7EC-4C50-B748-875760A2EA36}">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425" authorId="0" shapeId="0" xr:uid="{738B11F7-15BF-4387-B1F4-FFA96C3BF685}">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426" authorId="0" shapeId="0" xr:uid="{05246FDF-523E-43BE-BC46-B38865D9692B}">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426" authorId="0" shapeId="0" xr:uid="{BB9E4FD1-29A9-4932-A663-AF10DE200C1E}">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426" authorId="0" shapeId="0" xr:uid="{AF6DC3B3-95C4-42E2-80D5-F3794D6A60C2}">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427" authorId="0" shapeId="0" xr:uid="{A9D17EA1-D911-4214-B89B-00675FA468E8}">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427" authorId="0" shapeId="0" xr:uid="{9B101A00-2C7F-4534-8D83-1A6190D6B57E}">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427" authorId="0" shapeId="0" xr:uid="{B1367CB5-494F-4F0D-AB89-460F53399FB1}">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428" authorId="1" shapeId="0" xr:uid="{A3D84E09-C73E-461F-90E3-8E0115C45490}">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428" authorId="1" shapeId="0" xr:uid="{DE52E556-6493-47EB-B7D1-9BB409CB840D}">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428" authorId="1" shapeId="0" xr:uid="{EF4969E0-B4E2-4EFB-96CC-8FFF207FDA41}">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429" authorId="1" shapeId="0" xr:uid="{B9B99610-E402-464B-B9AA-9BAF16CE8D2E}">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429" authorId="1" shapeId="0" xr:uid="{2B5146A6-E51A-41D8-B547-D3956089C7C9}">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429" authorId="1" shapeId="0" xr:uid="{E9959D4D-D7DA-4541-9D21-6A0A5FB01BD8}">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430" authorId="1" shapeId="0" xr:uid="{7D549196-B927-4D45-B808-406BCB3C0EB8}">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430" authorId="1" shapeId="0" xr:uid="{ED57C9C5-8FDD-42FD-A506-AB8EED6D87D1}">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430" authorId="1" shapeId="0" xr:uid="{8136D158-7F3A-491B-B543-DF369BBD6BBB}">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431" authorId="0" shapeId="0" xr:uid="{9CE34A29-0603-4663-9C5C-E4B0AE143AA9}">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431" authorId="0" shapeId="0" xr:uid="{026DA65F-062B-49E7-9EF6-F5D6DF0B6DC8}">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431" authorId="0" shapeId="0" xr:uid="{AA757FED-7724-46BD-8EC3-8E8BB0C96EE7}">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432" authorId="0" shapeId="0" xr:uid="{B60C7625-DD13-4F18-8C05-AE12032402A3}">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432" authorId="0" shapeId="0" xr:uid="{98F702E2-C5C5-43B8-9FBC-E3333CA2594B}">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432" authorId="0" shapeId="0" xr:uid="{59A7278F-53FC-413F-9A26-40FD2AB5029C}">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433" authorId="1" shapeId="0" xr:uid="{17CDA4B9-A3EF-46B3-9203-B0BDF4A53D4B}">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439" authorId="0" shapeId="0" xr:uid="{1151E30D-5936-4C37-9699-FF90C6912B22}">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439" authorId="0" shapeId="0" xr:uid="{3D146653-9D29-42E1-80EE-469B7F69C855}">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439" authorId="0" shapeId="0" xr:uid="{AD20C1B8-91C7-4E92-9AB4-3197D36D48E1}">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440" authorId="0" shapeId="0" xr:uid="{71327CF2-5C63-48C3-931D-3280D79C8E7B}">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440" authorId="0" shapeId="0" xr:uid="{16999443-1391-423D-90E5-40B23846D8F9}">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440" authorId="0" shapeId="0" xr:uid="{B3082D7D-BFCF-4C11-9364-BA72DC47A116}">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441" authorId="0" shapeId="0" xr:uid="{12209438-072A-4E35-9394-57CFFF88B752}">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441" authorId="0" shapeId="0" xr:uid="{094BA716-FCB5-428A-9029-E86E055B8CC7}">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441" authorId="0" shapeId="0" xr:uid="{FC5ADB20-5CFF-4CA2-A6CC-D7668319E78C}">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442" authorId="0" shapeId="0" xr:uid="{B7C4903D-A845-4389-B717-971B1B3C2F6D}">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442" authorId="0" shapeId="0" xr:uid="{BDF7BCB2-F796-41C2-BF5A-DCE36DF3C2BA}">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442" authorId="0" shapeId="0" xr:uid="{E35C6672-CA46-4967-B6B6-EC400AF0ACD3}">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443" authorId="1" shapeId="0" xr:uid="{B5820236-623D-4953-9040-51E7FB4606BC}">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443" authorId="1" shapeId="0" xr:uid="{C8D5D152-E2D8-4255-AB70-C841108D2774}">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443" authorId="1" shapeId="0" xr:uid="{B1EC09C7-3598-4254-8552-05B4FCD7B002}">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444" authorId="1" shapeId="0" xr:uid="{EA443366-5179-4791-932B-19B710F04989}">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444" authorId="1" shapeId="0" xr:uid="{227DA034-0472-4B33-9284-3EF06AC858A4}">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444" authorId="1" shapeId="0" xr:uid="{B5E86EE6-AD59-411D-96EC-469829344ED4}">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445" authorId="1" shapeId="0" xr:uid="{B163E8BB-CE88-4DF4-912C-2F6AE35A5AD9}">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445" authorId="1" shapeId="0" xr:uid="{98A51D16-3AA4-4B34-B5E8-56D75542C9DF}">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445" authorId="1" shapeId="0" xr:uid="{DD14E656-D101-4FDB-9664-F5962C00FCF2}">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446" authorId="0" shapeId="0" xr:uid="{86D583BC-CB67-460A-9365-EBFE5DE2C10F}">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446" authorId="0" shapeId="0" xr:uid="{70876CBE-C02D-48C8-83F2-303C43E5166C}">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446" authorId="0" shapeId="0" xr:uid="{740CE180-0A3E-4452-9CE4-3F4E7EED1A92}">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447" authorId="0" shapeId="0" xr:uid="{1D328685-63CC-40BA-B4E4-8AE3300E1A54}">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447" authorId="0" shapeId="0" xr:uid="{245EE021-FCDC-4F83-A6E0-C294499D0042}">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447" authorId="0" shapeId="0" xr:uid="{90AE2DFA-4129-42A4-B2D2-41C31C722F1C}">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448" authorId="1" shapeId="0" xr:uid="{C3FD63E2-3DE6-446B-AC6F-DF415B9D8062}">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454" authorId="0" shapeId="0" xr:uid="{484F048C-B59C-4F8E-963D-1E1730EF7CD1}">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454" authorId="0" shapeId="0" xr:uid="{2625A2ED-F3F9-4616-948A-9674100567E6}">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454" authorId="0" shapeId="0" xr:uid="{76E65C1D-9532-45A8-A0DF-1416A3F02C5D}">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455" authorId="0" shapeId="0" xr:uid="{B2D3D7B8-AD2D-4B61-BE9D-2B2AABB13FA2}">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455" authorId="0" shapeId="0" xr:uid="{58711674-88EF-412C-BA62-2125F28C07AA}">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455" authorId="0" shapeId="0" xr:uid="{26BF95FD-0506-42C3-8BA9-26439208BBD7}">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456" authorId="0" shapeId="0" xr:uid="{5E68BEE8-EF81-4B10-B88E-58BE5155700E}">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456" authorId="0" shapeId="0" xr:uid="{8D480FF7-42E0-478C-A449-831C76A9C319}">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456" authorId="0" shapeId="0" xr:uid="{412E009F-592B-4DD9-A1DB-7D17AA37CFC4}">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457" authorId="0" shapeId="0" xr:uid="{8D73D2A0-417D-4F53-A509-67220FAC052D}">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457" authorId="0" shapeId="0" xr:uid="{2F28948E-50AB-40CB-A5CF-CBD217FC3542}">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457" authorId="0" shapeId="0" xr:uid="{4B579606-0DAA-4D87-8C47-FA9AC267D3A4}">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458" authorId="1" shapeId="0" xr:uid="{EB3D9777-48D3-477E-A0BC-2DA29A490523}">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458" authorId="1" shapeId="0" xr:uid="{C7FF8408-31F4-4288-B1E1-B52871C0D710}">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458" authorId="1" shapeId="0" xr:uid="{D1704AC6-F38C-4379-9892-3F8AC69A86E0}">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459" authorId="1" shapeId="0" xr:uid="{FED82076-7D7C-431B-AB57-DD248E9E67F0}">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459" authorId="1" shapeId="0" xr:uid="{295EB187-0965-4766-B8D7-DDAED56E9E0A}">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459" authorId="1" shapeId="0" xr:uid="{08C80D13-69B1-4937-A3FB-13DDC2D300D7}">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460" authorId="1" shapeId="0" xr:uid="{3BE882FD-F62C-4381-A28F-D548F5733069}">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460" authorId="1" shapeId="0" xr:uid="{3E8BA1F4-DE28-47E4-8991-7D5046289B97}">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460" authorId="1" shapeId="0" xr:uid="{B51EBA40-7605-4CEE-9DA4-DCD82CEAC13B}">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461" authorId="0" shapeId="0" xr:uid="{77CAF1B6-2072-42E3-A934-6A7CBE5A5075}">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461" authorId="0" shapeId="0" xr:uid="{02D78C3B-CE55-4E8A-99A3-7F301FE25A2F}">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461" authorId="0" shapeId="0" xr:uid="{C52BDBFC-8102-48FB-AA97-35F95CA30B7A}">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462" authorId="0" shapeId="0" xr:uid="{EC99DE9D-9358-4C79-B1D8-4D5D4F456798}">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462" authorId="0" shapeId="0" xr:uid="{2F0A9751-358C-4FBC-AE4A-00B3B9C4CC5B}">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462" authorId="0" shapeId="0" xr:uid="{B98EF244-C1FF-4ABB-8773-507B942F8763}">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463" authorId="1" shapeId="0" xr:uid="{754B1DE5-413D-45F1-9216-0630E6ADFEB8}">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469" authorId="0" shapeId="0" xr:uid="{321AEDC1-37CE-49C9-BC26-CA3576AD3647}">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469" authorId="0" shapeId="0" xr:uid="{92144866-0D05-40EE-A64B-9186C77EDF3F}">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469" authorId="0" shapeId="0" xr:uid="{A9903CE5-0308-4014-A412-3DB426EEB27C}">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470" authorId="0" shapeId="0" xr:uid="{81E48B7E-6E39-44B3-8A6E-8876ABE27493}">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470" authorId="0" shapeId="0" xr:uid="{38A96E2A-9E66-4B58-9FE4-BFB22060F2E9}">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470" authorId="0" shapeId="0" xr:uid="{EB732244-DB0C-46D2-9560-030C5E82A732}">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471" authorId="0" shapeId="0" xr:uid="{19D7D66A-C648-4FB5-8534-3D32CBA7F6DA}">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471" authorId="0" shapeId="0" xr:uid="{1DF2F2B6-4080-48A7-AD99-42CFF9D26750}">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471" authorId="0" shapeId="0" xr:uid="{EDF05606-872B-4C4F-8827-7784EF27D0EB}">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472" authorId="0" shapeId="0" xr:uid="{1F577BB3-C631-4356-A12F-E8C3F805334C}">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472" authorId="0" shapeId="0" xr:uid="{F9943666-14CF-4BCF-B497-83277D445D8A}">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472" authorId="0" shapeId="0" xr:uid="{155734CF-822A-4BE9-AD54-7C80CB45417F}">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473" authorId="1" shapeId="0" xr:uid="{D7189001-4EE0-4B26-9A6D-2316C43AA7FB}">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473" authorId="1" shapeId="0" xr:uid="{A6C37050-A416-4809-AAAD-62CC16542A09}">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473" authorId="1" shapeId="0" xr:uid="{C9FD2C5C-D09A-4391-A8F6-CDBB0049C17E}">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474" authorId="1" shapeId="0" xr:uid="{B06E2FE1-0102-4C67-A9DA-71D5FBC150A5}">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474" authorId="1" shapeId="0" xr:uid="{49083DE8-72AE-47E8-8590-5034727F5AA8}">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474" authorId="1" shapeId="0" xr:uid="{48E36912-0C0F-4952-87B2-3D1A3CBD5F22}">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475" authorId="1" shapeId="0" xr:uid="{2B93E759-6522-4028-81AF-0EFFDCF3BB20}">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475" authorId="1" shapeId="0" xr:uid="{3A1C698F-B59F-48BB-A7EB-454E66A76877}">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475" authorId="1" shapeId="0" xr:uid="{D5F1756D-0434-4946-902C-C5CA462FBB4A}">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476" authorId="0" shapeId="0" xr:uid="{4F566128-7143-47F5-82B3-0929AB8C0E1C}">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476" authorId="0" shapeId="0" xr:uid="{422503EC-F3D9-4FB1-9FF8-B19C1E261598}">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476" authorId="0" shapeId="0" xr:uid="{885C9D2F-06DE-4C76-861C-363870ABC085}">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477" authorId="0" shapeId="0" xr:uid="{9ABBB98B-2E1E-49CF-8C0A-A7DAC607D156}">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477" authorId="0" shapeId="0" xr:uid="{7F52DEFE-1162-472E-9AFA-EEB5181C6C98}">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477" authorId="0" shapeId="0" xr:uid="{D7D3338D-866F-4B6A-88F5-62A6305259EC}">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478" authorId="1" shapeId="0" xr:uid="{30548E66-9976-42FC-9920-178F642F13D9}">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484" authorId="0" shapeId="0" xr:uid="{649AA304-FD87-4968-9386-B0296D94543B}">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484" authorId="0" shapeId="0" xr:uid="{7B4AB2BE-37E9-4302-9DA6-4AB1E2558B0A}">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484" authorId="0" shapeId="0" xr:uid="{2439D5D1-56BE-43B2-BE2D-AE1927B87441}">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485" authorId="0" shapeId="0" xr:uid="{B11F7F03-7768-446C-AE2F-25CD9169F4D0}">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485" authorId="0" shapeId="0" xr:uid="{6B6FB03E-92E0-405E-A53F-C1AF47C0D776}">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485" authorId="0" shapeId="0" xr:uid="{75976DA0-1133-4C32-8954-7774313922EF}">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486" authorId="0" shapeId="0" xr:uid="{E24D832D-421E-400A-9578-2986C902A20D}">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486" authorId="0" shapeId="0" xr:uid="{42C614B3-6BBF-49F9-8FE9-85D0E34E2473}">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486" authorId="0" shapeId="0" xr:uid="{B0CA73A3-D2E9-41F3-9C85-16A6C52D8ED2}">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487" authorId="0" shapeId="0" xr:uid="{86697FD1-6F32-4F8D-8F3D-4088D26533A9}">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487" authorId="0" shapeId="0" xr:uid="{20338F9B-D7F7-47B7-B59F-E0A7E6924862}">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487" authorId="0" shapeId="0" xr:uid="{5753911E-A58D-40C4-A9B2-868A2C12A362}">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488" authorId="1" shapeId="0" xr:uid="{11E20838-83DD-4C56-B5FE-1EF7B6D5F421}">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488" authorId="1" shapeId="0" xr:uid="{117E4FB6-EF3E-4696-959B-31E0C6BB9415}">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488" authorId="1" shapeId="0" xr:uid="{8859FFFC-68F3-426A-AB7F-D361E6010DC9}">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489" authorId="1" shapeId="0" xr:uid="{3C4733C5-1852-437E-B7D5-B9309BEF9615}">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489" authorId="1" shapeId="0" xr:uid="{A9724981-5E13-4E58-B529-7E0CB9D5BCE9}">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489" authorId="1" shapeId="0" xr:uid="{45215C02-10D8-40CD-B9D0-9E2760286D8E}">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490" authorId="1" shapeId="0" xr:uid="{FFF74602-CD31-4183-A34F-861006531D06}">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490" authorId="1" shapeId="0" xr:uid="{D363C068-35D4-4C33-9C57-884BB332F7B3}">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490" authorId="1" shapeId="0" xr:uid="{B508C4FE-BAC9-481A-A44D-AFD1AF4971FB}">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491" authorId="0" shapeId="0" xr:uid="{32DF54E8-FB89-47E4-A277-943B32944B21}">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491" authorId="0" shapeId="0" xr:uid="{7B86475F-9AD5-46C2-A018-E091DF6850CC}">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491" authorId="0" shapeId="0" xr:uid="{0472ED70-3AAE-4BB3-8534-1FD3710E9A00}">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492" authorId="0" shapeId="0" xr:uid="{6A9426AA-01DB-4AB2-AF79-6502C9510F15}">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492" authorId="0" shapeId="0" xr:uid="{34F28CE3-1589-4DA3-9753-6B4DA0690835}">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492" authorId="0" shapeId="0" xr:uid="{D0D7403F-E96E-4503-B753-F383031E249B}">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493" authorId="1" shapeId="0" xr:uid="{E6DAFA32-E09A-4FD0-A738-D37B67F35493}">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499" authorId="0" shapeId="0" xr:uid="{299DEFB2-AAE4-4DAA-BA94-2CD71DDF2DD3}">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499" authorId="0" shapeId="0" xr:uid="{3A802EAA-5C95-41FA-81E1-97619C482DD7}">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499" authorId="0" shapeId="0" xr:uid="{5F7072B1-7872-46E4-88E2-6BE87E395A80}">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500" authorId="0" shapeId="0" xr:uid="{08014C66-E860-48BA-890D-FDA709194B5B}">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500" authorId="0" shapeId="0" xr:uid="{A780EA17-A6C5-431D-AFBE-6A6287E3C3B4}">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500" authorId="0" shapeId="0" xr:uid="{B4E511C2-B658-48DF-9A8C-76E6A0FF4F0B}">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501" authorId="0" shapeId="0" xr:uid="{10A57250-9F5B-4567-90F0-0D2239D996D4}">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501" authorId="0" shapeId="0" xr:uid="{CCCC5258-4F2B-4CD7-BCB8-763F4B895BDA}">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501" authorId="0" shapeId="0" xr:uid="{E6FF1642-879F-4593-AE83-064ADF0B81F3}">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502" authorId="0" shapeId="0" xr:uid="{18C61F65-F8A0-42BF-B237-B9C0FF7F38BF}">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502" authorId="0" shapeId="0" xr:uid="{276C903A-3E60-48E1-9004-841D9B53D43C}">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502" authorId="0" shapeId="0" xr:uid="{E6537985-4999-4308-BE11-3AA300360FF4}">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503" authorId="1" shapeId="0" xr:uid="{6B504AEA-DEA5-4AFE-988B-ADBCF067673B}">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503" authorId="1" shapeId="0" xr:uid="{BD225382-D85A-4EFF-B426-A5DC83F3ABE1}">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503" authorId="1" shapeId="0" xr:uid="{6E706E54-EFE5-4442-81C1-A20BDCE75CF8}">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504" authorId="1" shapeId="0" xr:uid="{939E3F6D-53FB-4268-BBBF-6A2C728BCC30}">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504" authorId="1" shapeId="0" xr:uid="{FFED3A02-9CA2-48A7-8F04-34E45C21AEA1}">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504" authorId="1" shapeId="0" xr:uid="{834B9C42-671E-400D-BE59-F8F34636E769}">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505" authorId="1" shapeId="0" xr:uid="{55084757-52CA-46DB-9565-93357DE77137}">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505" authorId="1" shapeId="0" xr:uid="{E8280740-547F-425F-B305-C36E38656F55}">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505" authorId="1" shapeId="0" xr:uid="{69BEBA89-BD5F-47B3-B766-9CC7AEA6E5D1}">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506" authorId="0" shapeId="0" xr:uid="{75C74063-300E-4E2D-AEB1-9DCFE15E8A46}">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506" authorId="0" shapeId="0" xr:uid="{B5DB64BD-DFE6-421C-9D49-9FC616AB9230}">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506" authorId="0" shapeId="0" xr:uid="{A6F41C3F-A151-4CE5-B073-8D7C1F3F9805}">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507" authorId="0" shapeId="0" xr:uid="{39882509-A564-453A-899C-FACDDC22DDE0}">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507" authorId="0" shapeId="0" xr:uid="{6D70B1FE-B67B-42A7-80FB-DB6A48CCCEF0}">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507" authorId="0" shapeId="0" xr:uid="{D5B51B35-5461-41CE-9E14-D4340697AE48}">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508" authorId="1" shapeId="0" xr:uid="{75E47104-12EF-4C7A-A2D7-E35E6719297A}">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514" authorId="0" shapeId="0" xr:uid="{8B591D01-528B-456C-8906-36AFAEF5556C}">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514" authorId="0" shapeId="0" xr:uid="{722D0998-C122-425C-B4B0-E510B12527B8}">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514" authorId="0" shapeId="0" xr:uid="{7E633AF2-7820-4EE4-AD39-32B2BB9071C5}">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515" authorId="0" shapeId="0" xr:uid="{99DABD2A-0C05-44C9-91C4-13B133245C26}">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515" authorId="0" shapeId="0" xr:uid="{34C2B0BC-4FB0-4C70-A9B7-01CC490B448B}">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515" authorId="0" shapeId="0" xr:uid="{541A1D7B-49A7-4599-A9F4-285C552753D4}">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516" authorId="0" shapeId="0" xr:uid="{53BECE57-1F33-4495-B642-641652CF0A20}">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516" authorId="0" shapeId="0" xr:uid="{1D4FB311-ECC0-4CD3-B596-98F21E212E68}">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516" authorId="0" shapeId="0" xr:uid="{4B1FF7D5-0E9A-4C0E-AA76-323A8766A79F}">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517" authorId="0" shapeId="0" xr:uid="{4D1EF248-8844-4E0F-BF73-64D0D3DA02D6}">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517" authorId="0" shapeId="0" xr:uid="{FC31B0FB-0D90-4834-9603-00A44FB458F5}">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517" authorId="0" shapeId="0" xr:uid="{6F138CB8-4A30-40A6-AF7F-67FD5D7044F1}">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518" authorId="1" shapeId="0" xr:uid="{34E2EDCA-8CD3-49CB-98CC-185754C12260}">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518" authorId="1" shapeId="0" xr:uid="{25762212-BE85-4724-BA08-087E5DC15749}">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518" authorId="1" shapeId="0" xr:uid="{561DA396-AC2E-4A07-8128-5C1B8868DFF2}">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519" authorId="1" shapeId="0" xr:uid="{F143C320-C08C-4BA4-8593-42B1C1F66A03}">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519" authorId="1" shapeId="0" xr:uid="{90A071CD-8AF3-4F8A-A4FC-D2FDD695BF50}">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519" authorId="1" shapeId="0" xr:uid="{1D0F8A92-3DC6-4535-8DDD-8BAD6294B963}">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520" authorId="1" shapeId="0" xr:uid="{3792353D-2C0C-4935-8A7E-AC70CA05F574}">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520" authorId="1" shapeId="0" xr:uid="{28E5918F-F9CF-4FBE-9F0B-5358A36A6401}">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520" authorId="1" shapeId="0" xr:uid="{843E0EF1-7C4E-4A4D-A619-3E368F46D900}">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521" authorId="0" shapeId="0" xr:uid="{1E70C1A3-80AC-4CC3-B85F-31A270948102}">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521" authorId="0" shapeId="0" xr:uid="{45B7F098-6C2C-4452-8B99-6A4016401D71}">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521" authorId="0" shapeId="0" xr:uid="{F4AC8F71-00F3-4615-81BB-D515BF9BA1ED}">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522" authorId="0" shapeId="0" xr:uid="{C54465AB-C8AB-4D71-B24B-6471869E6203}">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522" authorId="0" shapeId="0" xr:uid="{069F948C-30FD-4A46-A372-B43D3230E731}">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522" authorId="0" shapeId="0" xr:uid="{0AF100C9-DA3E-489C-A782-C9D5588B859C}">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523" authorId="1" shapeId="0" xr:uid="{FB77FE6E-B81F-48D6-8980-AD25B0F2CCD2}">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529" authorId="0" shapeId="0" xr:uid="{4FD65EF1-FB80-4283-AA6B-8B2DCC3E2834}">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529" authorId="0" shapeId="0" xr:uid="{4AD2B41A-BA05-4EC1-A6A0-99977B34542C}">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529" authorId="0" shapeId="0" xr:uid="{41F697CC-3D27-46E8-B2C5-76624D4FAE1D}">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530" authorId="0" shapeId="0" xr:uid="{4D9A0F28-C2F5-4587-8915-0DDE7EB60A2B}">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530" authorId="0" shapeId="0" xr:uid="{6DCAE1DA-AE3B-41E4-84BE-382541E09473}">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530" authorId="0" shapeId="0" xr:uid="{ACA95D8F-57A3-4224-BC4E-5F776280C3D8}">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531" authorId="0" shapeId="0" xr:uid="{2799CC05-45E2-4AC0-8D00-996625F01AD6}">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531" authorId="0" shapeId="0" xr:uid="{BF6C3831-D697-494C-99D9-1566AC13BA1F}">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531" authorId="0" shapeId="0" xr:uid="{3FBF32B6-1DA1-473C-ADD2-9F1E765768D6}">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532" authorId="0" shapeId="0" xr:uid="{C864D1AD-ABC6-45C2-9E2E-401E4F418870}">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532" authorId="0" shapeId="0" xr:uid="{37CC636F-8B3C-4FAC-8DB9-9DFCE77C1481}">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532" authorId="0" shapeId="0" xr:uid="{3EA03AC6-3A18-43BC-BD2C-8B3B6DA41786}">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533" authorId="1" shapeId="0" xr:uid="{BDFB7FCF-5A51-403D-B4CE-E04C1DF8D947}">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533" authorId="1" shapeId="0" xr:uid="{AF312901-C55D-479B-A76F-8DD3010CA1AF}">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533" authorId="1" shapeId="0" xr:uid="{A70E6F5A-3F62-4CA9-A3EA-8691C461F2DC}">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534" authorId="1" shapeId="0" xr:uid="{3E1E8000-7EF8-4BE8-9102-EDA37008934F}">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534" authorId="1" shapeId="0" xr:uid="{49CB7D26-6C17-4045-80EC-ED5D2F658601}">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534" authorId="1" shapeId="0" xr:uid="{AC2838D1-B7AD-4DA8-8B67-C6B83D640E7C}">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535" authorId="1" shapeId="0" xr:uid="{D075B5C6-7AF9-406B-94A9-7F01A285E69E}">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535" authorId="1" shapeId="0" xr:uid="{CA09B86C-9D78-4E7A-8A91-7E1DE9FB033F}">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535" authorId="1" shapeId="0" xr:uid="{99F783E5-FE1B-4ADF-826A-9BD2A570E5C0}">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536" authorId="0" shapeId="0" xr:uid="{5B338102-51AC-4E81-B16A-0113AE7243C7}">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536" authorId="0" shapeId="0" xr:uid="{8370DD77-DAD4-4489-861D-822317B88A9A}">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536" authorId="0" shapeId="0" xr:uid="{889A82AF-4A16-4EB2-9DC2-9B3EF52616E6}">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537" authorId="0" shapeId="0" xr:uid="{D2D6521D-FD92-4384-BD56-01BEB7887E98}">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537" authorId="0" shapeId="0" xr:uid="{BC2EB35A-B04D-4667-B44C-5DA2DA50320A}">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537" authorId="0" shapeId="0" xr:uid="{33AE1759-4016-4AA3-8DCD-9A0A4C458A49}">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538" authorId="1" shapeId="0" xr:uid="{102FAA07-C90C-4EDC-8568-612C269C3866}">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544" authorId="0" shapeId="0" xr:uid="{279E0733-AFE8-41E0-A4B7-F5C7C656C825}">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544" authorId="0" shapeId="0" xr:uid="{90928249-B6E1-43EB-A78C-7EC4B3AB8384}">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544" authorId="0" shapeId="0" xr:uid="{43FA9A76-09ED-46AF-ABE7-339C37162580}">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545" authorId="0" shapeId="0" xr:uid="{948D1D4B-0FEE-47F4-B212-5583CCA99123}">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545" authorId="0" shapeId="0" xr:uid="{71DBBD21-B3D3-4897-B43E-E75D402943C4}">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545" authorId="0" shapeId="0" xr:uid="{840D3928-321C-4046-9D40-4F054703AFA4}">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546" authorId="0" shapeId="0" xr:uid="{DA30BAAB-D1EC-4419-BF04-AC93B7E6A038}">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546" authorId="0" shapeId="0" xr:uid="{14AA5972-F12D-42BC-BF1D-EA2E8EC4584B}">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546" authorId="0" shapeId="0" xr:uid="{78039026-43A4-41BB-9BD9-DEEB6C54E885}">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547" authorId="0" shapeId="0" xr:uid="{7BAC48A8-712C-41A3-950E-DEF7F99AC057}">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547" authorId="0" shapeId="0" xr:uid="{43FCC93C-A53A-430E-928E-DCF951936839}">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547" authorId="0" shapeId="0" xr:uid="{C40B60BE-8056-41CE-A984-FD347E038573}">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548" authorId="1" shapeId="0" xr:uid="{4FF16336-AC38-4C9B-A11B-0222E502A11A}">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548" authorId="1" shapeId="0" xr:uid="{D50ED586-B00F-4948-982D-6E2FBA1E5282}">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548" authorId="1" shapeId="0" xr:uid="{4DA52711-110F-4453-B17A-C74DD92573C5}">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549" authorId="1" shapeId="0" xr:uid="{6AA3732E-416C-436E-9567-829409E26D86}">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549" authorId="1" shapeId="0" xr:uid="{812A82E4-059A-4E2D-B908-E896F0FC8FB9}">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549" authorId="1" shapeId="0" xr:uid="{59BC3260-343B-4D73-9E0A-EF4F7DCB9C0E}">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550" authorId="1" shapeId="0" xr:uid="{061E6BCD-912A-400C-A064-3FDD4DB324F6}">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550" authorId="1" shapeId="0" xr:uid="{3629BAAE-2D78-4255-8480-F199C2B754A9}">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550" authorId="1" shapeId="0" xr:uid="{DC97F5AC-F945-4CEE-86F9-5B4D4612C745}">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551" authorId="0" shapeId="0" xr:uid="{7D3A1379-D432-4377-A397-4BFCD9BCE02A}">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551" authorId="0" shapeId="0" xr:uid="{49C781C4-6602-49F4-9C3B-E3AAF25A674C}">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551" authorId="0" shapeId="0" xr:uid="{3D7A6DE5-2515-452A-8576-DCF51BD968D0}">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552" authorId="0" shapeId="0" xr:uid="{81D478E7-932B-42B9-A48E-BF5E5184B786}">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552" authorId="0" shapeId="0" xr:uid="{EE26936B-91CC-451A-B767-7614A62AD2F2}">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552" authorId="0" shapeId="0" xr:uid="{F59FF46C-BDDC-46D0-BA8C-5D877671A6B6}">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553" authorId="1" shapeId="0" xr:uid="{8CF7CC84-CD2B-4119-AF4A-B543FCA102B1}">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559" authorId="0" shapeId="0" xr:uid="{E625C40C-F56C-4D19-8B2C-C21BC5811A9F}">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559" authorId="0" shapeId="0" xr:uid="{8A825DAE-52D7-497F-9F8E-479CB0EBB65A}">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559" authorId="0" shapeId="0" xr:uid="{F659B744-C92D-4915-90DE-32732E439D1B}">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560" authorId="0" shapeId="0" xr:uid="{F34B1CAB-C9A7-4884-9E35-DC39BBCE2611}">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560" authorId="0" shapeId="0" xr:uid="{C3091E86-A107-415A-B4DB-727B6C32390B}">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560" authorId="0" shapeId="0" xr:uid="{7F6FAEB2-6E7F-4596-888F-07E50378A651}">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561" authorId="0" shapeId="0" xr:uid="{4EC45B61-7B95-47E4-AA41-253B021618F7}">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561" authorId="0" shapeId="0" xr:uid="{0D571E21-A6EF-49F8-AE87-326746920890}">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561" authorId="0" shapeId="0" xr:uid="{A253567B-7E9B-4B7E-ACD7-06D0DBEB985D}">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562" authorId="0" shapeId="0" xr:uid="{DB61C4FF-35AB-4637-95C6-D367A8748688}">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562" authorId="0" shapeId="0" xr:uid="{200A8833-0E5A-4462-A4AF-34B05D02A0A3}">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562" authorId="0" shapeId="0" xr:uid="{54FC7347-4E87-4A69-9997-45249FB7A76C}">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563" authorId="1" shapeId="0" xr:uid="{ACAACC5F-1271-4073-83BD-F8718E833A3F}">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563" authorId="1" shapeId="0" xr:uid="{855D56CC-3B3E-42CE-9DE2-169E33C08E9E}">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563" authorId="1" shapeId="0" xr:uid="{78A8D44A-B14E-427E-AC67-76879B6EF9B6}">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564" authorId="1" shapeId="0" xr:uid="{0FFE4E4E-DF09-4523-9D84-FAAFCF10C3CF}">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564" authorId="1" shapeId="0" xr:uid="{4AB435C2-BEBE-4D65-A144-45AE18B9D597}">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564" authorId="1" shapeId="0" xr:uid="{9CAB277B-82DA-467F-BC58-B97B82EE6550}">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565" authorId="1" shapeId="0" xr:uid="{6E5D501A-763D-4D96-A0FD-45B922AC0EEE}">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565" authorId="1" shapeId="0" xr:uid="{7B4796BB-8668-4EF2-BF66-C604E408839F}">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565" authorId="1" shapeId="0" xr:uid="{FE6E4360-27A2-476F-8A88-259830A212AF}">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566" authorId="0" shapeId="0" xr:uid="{9158E9D4-7C42-4F46-AE95-460BCE008452}">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566" authorId="0" shapeId="0" xr:uid="{8E08A5D3-CE7A-4C7D-955A-22C7E9D8CAB8}">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566" authorId="0" shapeId="0" xr:uid="{F7B21050-EFC9-4BA9-8D97-F3D4BEF5165B}">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567" authorId="0" shapeId="0" xr:uid="{D3C49C07-EF11-4EB7-BC30-CAF3AF7C25AB}">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567" authorId="0" shapeId="0" xr:uid="{8BEC9245-086A-473F-9E1F-0A7D0600A28E}">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567" authorId="0" shapeId="0" xr:uid="{E66D040B-1B5C-4DF9-84C0-A2C4F93767CD}">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568" authorId="1" shapeId="0" xr:uid="{BD4984AA-A6E4-42E2-BCEE-5BA987889478}">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574" authorId="0" shapeId="0" xr:uid="{AE3E9BE7-C5A2-493D-9AC9-8013A3732CC4}">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574" authorId="0" shapeId="0" xr:uid="{0DF617EA-81E3-4650-9B9F-E1D569E60A6F}">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574" authorId="0" shapeId="0" xr:uid="{876C5644-7580-4FCE-A76A-2B6F45F2E88C}">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575" authorId="0" shapeId="0" xr:uid="{CF95DF63-854E-40B3-A707-832077E2C747}">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575" authorId="0" shapeId="0" xr:uid="{C73EF31D-A529-4782-87A1-B33A9AE9804F}">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575" authorId="0" shapeId="0" xr:uid="{93BEE80F-85EE-4F7D-B637-A31BC27075F8}">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576" authorId="0" shapeId="0" xr:uid="{FD812A64-02D5-4E84-8599-0ECD1A7FF946}">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576" authorId="0" shapeId="0" xr:uid="{4B33E6D9-1036-4FFA-BBFA-963806857FBD}">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576" authorId="0" shapeId="0" xr:uid="{DA3079B8-CFFB-4A7A-B3DD-9FC9FDF4762C}">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577" authorId="0" shapeId="0" xr:uid="{B2EE7A83-FA2D-4973-AC3B-3BF8B2C4A4E6}">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577" authorId="0" shapeId="0" xr:uid="{F5F0CF16-6304-4A84-9BF5-04BB2B20D093}">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577" authorId="0" shapeId="0" xr:uid="{0BF21402-AE58-4BBD-B697-5A6FC3110538}">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578" authorId="1" shapeId="0" xr:uid="{B8C2B380-87EA-4EB4-80C9-4DAB86F5847C}">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578" authorId="1" shapeId="0" xr:uid="{2C7259B2-EE09-4A90-B57B-9AB00993773A}">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578" authorId="1" shapeId="0" xr:uid="{E3F7020F-2E1B-44D7-918A-E456CEA7AB9D}">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579" authorId="1" shapeId="0" xr:uid="{08B8A48C-2264-4F63-B5AE-C78884EA9B7F}">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579" authorId="1" shapeId="0" xr:uid="{253FDAA0-3B9D-4F60-8FF0-164D852FFF2B}">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579" authorId="1" shapeId="0" xr:uid="{610EB6FC-6881-4812-909F-2746F870FFC9}">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580" authorId="1" shapeId="0" xr:uid="{7B2BFA87-1D45-4973-B5DF-1930E4686ABD}">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580" authorId="1" shapeId="0" xr:uid="{75B03352-59A9-49E4-8064-C7BDA5C345C2}">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580" authorId="1" shapeId="0" xr:uid="{E188F1B5-1013-4714-BA1C-E3FEE53208FA}">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581" authorId="0" shapeId="0" xr:uid="{0A2A40BA-F0CA-40C7-B28B-E79062F3D789}">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581" authorId="0" shapeId="0" xr:uid="{AEFA2FA0-62B3-4187-959D-EEAB91AE7411}">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581" authorId="0" shapeId="0" xr:uid="{CE367D16-7FBD-4855-9565-E8FE23483417}">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582" authorId="0" shapeId="0" xr:uid="{A61A13BD-564D-4F63-B335-FD355DD1D684}">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582" authorId="0" shapeId="0" xr:uid="{345E4002-8317-4396-A058-3CD1BC1035AF}">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582" authorId="0" shapeId="0" xr:uid="{CC368865-EEEE-45C7-83B4-F6A8A9C5FD69}">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583" authorId="1" shapeId="0" xr:uid="{488C2BB2-3366-4E2C-BC5C-7A80558D7675}">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589" authorId="0" shapeId="0" xr:uid="{3B7FF58D-5D94-4E29-B6FB-F49D3A456EB7}">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589" authorId="0" shapeId="0" xr:uid="{61C38EE1-8912-4773-9879-80269AD9EDD0}">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589" authorId="0" shapeId="0" xr:uid="{12527014-7906-45EC-9CE8-2990B06D9E2F}">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590" authorId="0" shapeId="0" xr:uid="{646291AE-9277-4E38-AFB9-1DFFF4E5DADE}">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590" authorId="0" shapeId="0" xr:uid="{FC6C200B-EB4E-4F6C-AB82-D1540258CFF3}">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590" authorId="0" shapeId="0" xr:uid="{E05DCB62-79B0-4D01-A615-F67F45A925B5}">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591" authorId="0" shapeId="0" xr:uid="{3C80B694-C1D5-4033-92D7-0A975BF02AA4}">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591" authorId="0" shapeId="0" xr:uid="{422D1CD9-2372-4DA9-82C1-89135F3238D5}">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591" authorId="0" shapeId="0" xr:uid="{BD584868-574A-490D-AE2A-66FAB093D8F7}">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592" authorId="0" shapeId="0" xr:uid="{E6C95CD6-F968-43A2-A2F3-F39FF6836121}">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592" authorId="0" shapeId="0" xr:uid="{C15E1F43-1C8C-4F83-BFD2-B78104BE60D8}">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592" authorId="0" shapeId="0" xr:uid="{F45734C4-6F83-4ADA-A166-8756058D2886}">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593" authorId="1" shapeId="0" xr:uid="{1499F43A-D528-4213-B2D1-72C41C35FD09}">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593" authorId="1" shapeId="0" xr:uid="{49246A67-0F1B-43FA-A943-6A34E1CB8C4E}">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593" authorId="1" shapeId="0" xr:uid="{6CFA53E0-E3EF-45EB-8B46-D66BB4E00591}">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594" authorId="1" shapeId="0" xr:uid="{F45E9133-CF36-4006-9571-D5DB2377DF4D}">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594" authorId="1" shapeId="0" xr:uid="{BC3B7DB9-21AD-4D54-B85F-15AC2F1AF518}">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594" authorId="1" shapeId="0" xr:uid="{F2E35A78-1344-441A-A3A4-65A284FA03A4}">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595" authorId="1" shapeId="0" xr:uid="{50C4AA84-399C-48DC-8DCE-47CD4ADFB1FE}">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595" authorId="1" shapeId="0" xr:uid="{4C6E6143-5CED-4E76-8560-B191184E2C2C}">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595" authorId="1" shapeId="0" xr:uid="{D587B6F7-6886-4374-B323-DAAB90B30296}">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596" authorId="0" shapeId="0" xr:uid="{6FEADA0C-565A-42A5-96F6-F23D16E43D46}">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596" authorId="0" shapeId="0" xr:uid="{599F809D-54F1-4D4A-850A-A94937CAFB6F}">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596" authorId="0" shapeId="0" xr:uid="{054B2DDD-298D-406B-A57E-37C4FFC4AA7B}">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597" authorId="0" shapeId="0" xr:uid="{BE35E2A7-6031-4EF8-A290-93623E695D49}">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597" authorId="0" shapeId="0" xr:uid="{BE18BCF2-5DF5-4445-9AB4-BCAE1F749D0A}">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597" authorId="0" shapeId="0" xr:uid="{CD8B7345-ED9F-4D24-BC11-94532AE96C22}">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598" authorId="1" shapeId="0" xr:uid="{B5AF3E2B-169F-4A60-8FB1-AB587FD32813}">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604" authorId="0" shapeId="0" xr:uid="{7A88E4EC-8260-459A-BAB1-66D29A07BEC8}">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604" authorId="0" shapeId="0" xr:uid="{6ACC50EA-ACEB-4869-824A-87C607C0F060}">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604" authorId="0" shapeId="0" xr:uid="{D6269FA2-326E-44A1-80C1-DF145715E079}">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605" authorId="0" shapeId="0" xr:uid="{DAF62889-21B0-4871-AE7D-E268B742B48F}">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605" authorId="0" shapeId="0" xr:uid="{7CF2B394-6265-4356-8CBE-CAD9AE119110}">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605" authorId="0" shapeId="0" xr:uid="{2CA7BBF5-9921-4D03-8989-97B73A0F2DB4}">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606" authorId="0" shapeId="0" xr:uid="{709E34A0-7EC0-4205-93EC-0202E55D26D0}">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606" authorId="0" shapeId="0" xr:uid="{260A6D1F-815C-4FF8-8ED8-86C9DB2B320F}">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606" authorId="0" shapeId="0" xr:uid="{29C7CABF-06C1-4959-AE02-54D071712703}">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607" authorId="0" shapeId="0" xr:uid="{0FE100A5-F2FC-449E-ADFC-04A1B538B125}">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607" authorId="0" shapeId="0" xr:uid="{BF661FF8-A9F5-4E40-B16D-EE1674AE8622}">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607" authorId="0" shapeId="0" xr:uid="{A233DBB2-8285-42FF-A1B5-172D68ED91C8}">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608" authorId="1" shapeId="0" xr:uid="{D5C91290-F97B-460D-865B-FCD5B04C9C21}">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608" authorId="1" shapeId="0" xr:uid="{15E78880-3E98-4E36-9D77-AFAF26C93C0C}">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608" authorId="1" shapeId="0" xr:uid="{0DF69EED-27EC-4F7F-8B40-7300880BC739}">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609" authorId="1" shapeId="0" xr:uid="{45E0469D-D88F-4A35-A479-CC1C8553E688}">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609" authorId="1" shapeId="0" xr:uid="{F01E79C9-626D-42B7-81E9-96AB5AFCD579}">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609" authorId="1" shapeId="0" xr:uid="{0FAB845E-F9AC-4D0F-835E-9266272375BE}">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610" authorId="1" shapeId="0" xr:uid="{EB99A6A5-9CB3-43F4-968D-B246038D33DA}">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610" authorId="1" shapeId="0" xr:uid="{637D8814-9512-40AA-BD4D-79C7203E2819}">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610" authorId="1" shapeId="0" xr:uid="{B86CCC35-C32B-4045-BDF6-BE4940ABDC74}">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611" authorId="0" shapeId="0" xr:uid="{0495136D-EF5F-4CA5-9DA8-4E9DDA7DC02F}">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611" authorId="0" shapeId="0" xr:uid="{E982A965-96FC-43EC-B83E-3C8DA993E572}">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611" authorId="0" shapeId="0" xr:uid="{F41A4142-81B9-4E72-9B33-147E486FA81C}">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612" authorId="0" shapeId="0" xr:uid="{AE8FD971-0313-4F16-BD62-3CB01DEFE980}">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612" authorId="0" shapeId="0" xr:uid="{D52E806F-9911-4C4B-B076-8C412F091DCB}">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612" authorId="0" shapeId="0" xr:uid="{272CB28E-2613-4433-86BB-CA44988B0F0F}">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613" authorId="1" shapeId="0" xr:uid="{0121EA6E-FD63-4A26-96EC-EB75D0359C07}">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619" authorId="0" shapeId="0" xr:uid="{7223DD3B-6E2A-4E99-B352-B6853E809A17}">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619" authorId="0" shapeId="0" xr:uid="{90B413BA-1C24-4E1F-9B6C-2CF8BE6191B9}">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619" authorId="0" shapeId="0" xr:uid="{20163E12-56C7-4B45-B97F-41F6B830F679}">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620" authorId="0" shapeId="0" xr:uid="{F41FA48A-2298-489E-AC4A-F86C3DEBF67F}">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620" authorId="0" shapeId="0" xr:uid="{E4BEE391-0232-4F27-91FF-A272D6EE7366}">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620" authorId="0" shapeId="0" xr:uid="{BBE90AC5-B055-4B72-BD00-F9E50B07C97F}">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621" authorId="0" shapeId="0" xr:uid="{ABA9A2EA-75D6-477E-811D-503B1450C324}">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621" authorId="0" shapeId="0" xr:uid="{793B592C-99A6-4A05-A4D6-8B41F0425AC3}">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621" authorId="0" shapeId="0" xr:uid="{15DC9EF1-FB9B-48EF-B52E-BB4B6A8FB85F}">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622" authorId="0" shapeId="0" xr:uid="{2814A274-9BB3-4549-AFF6-2D6AC142896B}">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622" authorId="0" shapeId="0" xr:uid="{3C720DB0-70B2-4DC4-B6B6-D556D93D0697}">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622" authorId="0" shapeId="0" xr:uid="{7C32EAB9-113A-4536-8268-AB4C18517062}">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623" authorId="1" shapeId="0" xr:uid="{45A5767F-6E5C-4415-866F-DBB3C788E8D1}">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623" authorId="1" shapeId="0" xr:uid="{ECA73BC0-C2CD-4C22-8CF6-854BB0559E51}">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623" authorId="1" shapeId="0" xr:uid="{82EA541B-5384-42DA-867C-3262C17C2C58}">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624" authorId="1" shapeId="0" xr:uid="{1305A536-259A-41FF-AF83-B5898C4F7274}">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624" authorId="1" shapeId="0" xr:uid="{9FF3D388-E97D-4E03-95DC-59A3B650AAF5}">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624" authorId="1" shapeId="0" xr:uid="{EE05D80B-B5CC-4662-BF2C-4D1B924582BF}">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625" authorId="1" shapeId="0" xr:uid="{702393ED-2CCB-4526-827C-804D7039ABD6}">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625" authorId="1" shapeId="0" xr:uid="{E42BC6E9-9D2F-4C8D-9691-D6316967CBD2}">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625" authorId="1" shapeId="0" xr:uid="{DF35E021-AE3C-4F29-AFA2-3286E3D105A3}">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626" authorId="0" shapeId="0" xr:uid="{B6784E8F-5AE0-42DE-BCBD-EF6D14E57578}">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626" authorId="0" shapeId="0" xr:uid="{4744F12D-92BA-42E5-BD3A-0B07867FC9FD}">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626" authorId="0" shapeId="0" xr:uid="{D95D3D01-85ED-407C-898F-F58E864D3915}">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627" authorId="0" shapeId="0" xr:uid="{C86952ED-CD29-46A7-8C1D-186A2E0BA6E7}">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627" authorId="0" shapeId="0" xr:uid="{39D47D8D-C7A0-4468-B5E5-F32EC99C6697}">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627" authorId="0" shapeId="0" xr:uid="{85217B99-E644-45A2-B693-6DDE507932A7}">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628" authorId="1" shapeId="0" xr:uid="{D3E6E17D-7F36-4BC5-8657-1EF9CC722CDC}">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634" authorId="0" shapeId="0" xr:uid="{9831B4BE-0343-40DE-AEE1-70825296F1A3}">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634" authorId="0" shapeId="0" xr:uid="{7ACA51FA-C2A6-42F2-A4DC-7EE299DF3760}">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634" authorId="0" shapeId="0" xr:uid="{0329B7EF-F065-4FD4-85F4-4CC893D597BA}">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635" authorId="0" shapeId="0" xr:uid="{C52FBF4D-36A5-4A39-9317-35E7A5886284}">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635" authorId="0" shapeId="0" xr:uid="{67ADDF69-2512-44A8-AF52-6A1EC380EE3C}">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635" authorId="0" shapeId="0" xr:uid="{F63838EE-2012-4550-9725-81B535119415}">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636" authorId="0" shapeId="0" xr:uid="{EC53765E-5F2B-4E03-B3C1-21BABD58D81A}">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636" authorId="0" shapeId="0" xr:uid="{B12C1299-D094-4B62-A980-9BC7957952C2}">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636" authorId="0" shapeId="0" xr:uid="{9DAF7974-761F-4F41-8DDC-8C18EC2C8C55}">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637" authorId="0" shapeId="0" xr:uid="{C09C5143-45D5-454B-9A54-BDA0B6A920C7}">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637" authorId="0" shapeId="0" xr:uid="{6C435B8E-31E6-4FF7-9695-6BFB9D39FE40}">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637" authorId="0" shapeId="0" xr:uid="{B627F0DA-489C-42BC-BD74-2A8BF8A83DC4}">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638" authorId="1" shapeId="0" xr:uid="{500B1F3B-2017-4EC4-9A64-398719E1E50D}">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638" authorId="1" shapeId="0" xr:uid="{5D5A9873-0F23-4FA5-8633-68CABFC53DE3}">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638" authorId="1" shapeId="0" xr:uid="{DE057DBD-5089-4F91-83D2-D5165D9D71C5}">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639" authorId="1" shapeId="0" xr:uid="{0D2966DB-4DB2-4850-A3C3-8EBF7A9CE795}">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639" authorId="1" shapeId="0" xr:uid="{28F482D1-5686-4E6C-BA47-0FF039A6C4F3}">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639" authorId="1" shapeId="0" xr:uid="{D57A4230-6DC8-4A87-8612-51E03C594C82}">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640" authorId="1" shapeId="0" xr:uid="{3CBC9DA1-1E9F-4A06-A606-5EE1ABD6C3FD}">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640" authorId="1" shapeId="0" xr:uid="{F0B781E8-8CE7-4061-8AD1-E1094DCA509F}">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640" authorId="1" shapeId="0" xr:uid="{A1B988DF-70B5-48E0-8F4B-E15AC5AE6849}">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641" authorId="0" shapeId="0" xr:uid="{A239E26C-2B7D-4DBD-9072-DC14FBF41279}">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641" authorId="0" shapeId="0" xr:uid="{285B924E-63A6-43B6-8BD1-095D4091C26E}">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641" authorId="0" shapeId="0" xr:uid="{AFEA265E-F50F-4399-B11D-F63881BD1009}">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642" authorId="0" shapeId="0" xr:uid="{CB3023A1-83B4-4243-9675-4ED0D3E8C9FB}">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642" authorId="0" shapeId="0" xr:uid="{C54862F7-FD45-4F91-8A76-A6E740723B7B}">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642" authorId="0" shapeId="0" xr:uid="{08690198-28FF-492A-89C8-0FF40C158ABE}">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643" authorId="1" shapeId="0" xr:uid="{F0D5D1C1-8555-4DA8-9D75-B00F2F98A6D4}">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649" authorId="0" shapeId="0" xr:uid="{4FD75768-66CC-4A1F-8ADD-879C482F1857}">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649" authorId="0" shapeId="0" xr:uid="{81C22ABB-E6E1-45B6-8CA7-1E43B4FB7FDE}">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649" authorId="0" shapeId="0" xr:uid="{549ADF03-AD35-4E7E-8292-4C2053556590}">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650" authorId="0" shapeId="0" xr:uid="{B4DBF99E-0E73-49B5-A751-409A8F10E7CD}">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650" authorId="0" shapeId="0" xr:uid="{A496EB1F-176F-4E38-87EC-2F9DB23A22C1}">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650" authorId="0" shapeId="0" xr:uid="{A4C9B5E2-E0B8-4F71-AB8F-2176E13FBDBF}">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651" authorId="0" shapeId="0" xr:uid="{54F266BF-89DF-4F01-9386-E951ED31428C}">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651" authorId="0" shapeId="0" xr:uid="{D2BDC61A-4EB6-4236-BF7B-908DC1CFBA77}">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651" authorId="0" shapeId="0" xr:uid="{83B0D86A-E476-4EDD-8A69-B3B0FF702297}">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652" authorId="0" shapeId="0" xr:uid="{761D7C77-AF97-4F88-A171-34EF0CE9A498}">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652" authorId="0" shapeId="0" xr:uid="{03F6CF13-A640-4FE3-962C-1B205CE48936}">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652" authorId="0" shapeId="0" xr:uid="{2C7877FC-B21A-4156-8FE9-DA14662C501A}">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653" authorId="1" shapeId="0" xr:uid="{07C5A123-3945-4578-8571-2F89AD404DFC}">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653" authorId="1" shapeId="0" xr:uid="{D48F8629-C9BE-4C1F-8AAE-1A819E1947E6}">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653" authorId="1" shapeId="0" xr:uid="{7CBDDD80-7D04-4679-8C16-88D6B24376B3}">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654" authorId="1" shapeId="0" xr:uid="{75FBB281-9262-48C9-8F2B-FB5E4E9C7C8D}">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654" authorId="1" shapeId="0" xr:uid="{8A863FB1-5BEC-4E0B-B71F-1692EA19440F}">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654" authorId="1" shapeId="0" xr:uid="{5A621C24-AD2F-484A-B1AD-46F462D7BB8F}">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655" authorId="1" shapeId="0" xr:uid="{84DB2554-A8BF-488E-B11A-C8E82C9FF653}">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655" authorId="1" shapeId="0" xr:uid="{E3D2F47E-71CD-4237-B981-0AF8F88189D8}">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655" authorId="1" shapeId="0" xr:uid="{FAEC77C4-E758-4DC7-A45C-0CEA6BBE6CBE}">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656" authorId="0" shapeId="0" xr:uid="{57987FB3-05F2-43C6-820A-5EC018DD76D7}">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656" authorId="0" shapeId="0" xr:uid="{C845EF75-098D-43AE-92B6-97013287A68C}">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656" authorId="0" shapeId="0" xr:uid="{E3A1BBC3-692F-41E2-99AD-DCD1B7F5EB3C}">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657" authorId="0" shapeId="0" xr:uid="{1B9435D5-8965-40B6-B81F-ECE3563476D4}">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657" authorId="0" shapeId="0" xr:uid="{6DBE7448-DAFD-4DDE-8C80-0FCD24BC3904}">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657" authorId="0" shapeId="0" xr:uid="{4A230963-A158-4DC9-91B3-6911410F6D47}">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658" authorId="1" shapeId="0" xr:uid="{EC1E9108-4244-4847-8D35-AB08905F0BAF}">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664" authorId="0" shapeId="0" xr:uid="{BFFE1CB3-376A-43AC-B559-089DEF16BA3A}">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664" authorId="0" shapeId="0" xr:uid="{64B4A88B-0DA7-4436-B3CF-8512C05333E7}">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664" authorId="0" shapeId="0" xr:uid="{C6FAE948-D05E-4E98-9AE0-6F9ADE032B73}">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665" authorId="0" shapeId="0" xr:uid="{7485977E-C962-4F3E-A03E-511A6A729899}">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665" authorId="0" shapeId="0" xr:uid="{D074161E-9D71-4FCC-8840-85EC6297BB19}">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665" authorId="0" shapeId="0" xr:uid="{4EC5D270-A01D-4ECB-9A8D-D56E8636657F}">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666" authorId="0" shapeId="0" xr:uid="{8ACA010C-EBD4-4EC7-93BB-3DE43FDB0E82}">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666" authorId="0" shapeId="0" xr:uid="{B481DFEE-4944-4AE2-BAD2-C183B7010D87}">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666" authorId="0" shapeId="0" xr:uid="{193E9B22-2C98-44E7-80CD-5D88F2E6FC89}">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667" authorId="0" shapeId="0" xr:uid="{EF4C5558-AA08-44D4-8764-DCB41C64FBD9}">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667" authorId="0" shapeId="0" xr:uid="{7E570258-7372-480B-B293-7254766405EB}">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667" authorId="0" shapeId="0" xr:uid="{3CC735F3-CB26-4E99-B6FB-98A18E021FCE}">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668" authorId="1" shapeId="0" xr:uid="{CD01724C-F0AB-4E74-A292-06775DB43584}">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668" authorId="1" shapeId="0" xr:uid="{1B72AFBE-2EF0-43ED-860B-475A3049DBDB}">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668" authorId="1" shapeId="0" xr:uid="{C8F731D1-61D7-426E-84A1-A664CD11954A}">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669" authorId="1" shapeId="0" xr:uid="{FAEE6F56-1DE7-4B19-B296-373CCEF300EF}">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669" authorId="1" shapeId="0" xr:uid="{B029036F-B4D3-4003-A795-B293771630D1}">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669" authorId="1" shapeId="0" xr:uid="{F1F6126F-7336-458D-B79C-26C6F14E4BB8}">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670" authorId="1" shapeId="0" xr:uid="{3C6F2D9A-C4F8-4FE1-8BF4-ED5B2ADA33D3}">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670" authorId="1" shapeId="0" xr:uid="{10C8F9F2-8B90-4412-8117-2770250E6F53}">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670" authorId="1" shapeId="0" xr:uid="{4DC0A68E-A060-4078-95BC-97FDB5A47788}">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671" authorId="0" shapeId="0" xr:uid="{3C9BF190-BAAF-4B0F-94FF-E9C2F6D220F8}">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671" authorId="0" shapeId="0" xr:uid="{AA83D348-0A88-445D-90D4-186A98E8C2C9}">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671" authorId="0" shapeId="0" xr:uid="{31927D77-8622-497C-B5FA-47F11F7B7062}">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672" authorId="0" shapeId="0" xr:uid="{CB6F0574-74CB-471E-AB91-927A1C502394}">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672" authorId="0" shapeId="0" xr:uid="{BA55316D-8863-40DE-BF18-5312E13C32C2}">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672" authorId="0" shapeId="0" xr:uid="{D70C2984-33A6-47DA-8D98-DA1EE9A48C3F}">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673" authorId="1" shapeId="0" xr:uid="{509B0FF8-5C9A-4508-B6C0-0F4F49D957C1}">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679" authorId="0" shapeId="0" xr:uid="{B0278940-B19E-402C-91D7-3739EADE2E3B}">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679" authorId="0" shapeId="0" xr:uid="{E6FAC5CC-12BB-4F01-A12E-359C8E4B5E22}">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679" authorId="0" shapeId="0" xr:uid="{3265287B-BD56-4ED4-B730-F6AAD786D84A}">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680" authorId="0" shapeId="0" xr:uid="{9F2BBDAF-38B9-434E-A292-29CAF0A4364C}">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680" authorId="0" shapeId="0" xr:uid="{4899BAF8-4FEB-4D76-84A7-7112EA62626B}">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680" authorId="0" shapeId="0" xr:uid="{68EE8540-1992-4AE3-89AF-3301B1796B4C}">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681" authorId="0" shapeId="0" xr:uid="{9A96B275-B6AD-4370-B829-89BB73F07122}">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681" authorId="0" shapeId="0" xr:uid="{8C7FA3FB-079D-4420-9441-F7A43FB29084}">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681" authorId="0" shapeId="0" xr:uid="{21C0B51F-F2B4-436B-B17F-99EE568F98C4}">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682" authorId="0" shapeId="0" xr:uid="{92E474CA-8922-463E-85DA-427C74A99953}">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682" authorId="0" shapeId="0" xr:uid="{4712FECA-ECA8-4190-B88B-3EA61C2A9DB1}">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682" authorId="0" shapeId="0" xr:uid="{28889B99-67DB-4A0E-AA71-C4584E30654A}">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683" authorId="1" shapeId="0" xr:uid="{E56D44D0-D10F-49E7-A796-60D126808405}">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683" authorId="1" shapeId="0" xr:uid="{79686FEC-43D0-4B72-966B-8951CCF4AA77}">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683" authorId="1" shapeId="0" xr:uid="{5580EA44-84BD-4D94-A314-7D158CBC459E}">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684" authorId="1" shapeId="0" xr:uid="{704A4B86-D18E-498B-ADC5-113454A78F32}">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684" authorId="1" shapeId="0" xr:uid="{1D165B6D-3860-4DBA-BE50-3C2733BC7CA5}">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684" authorId="1" shapeId="0" xr:uid="{1F037F3D-85F2-420F-9719-CFFF894B95A1}">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685" authorId="1" shapeId="0" xr:uid="{69C87FE0-BC9F-488F-B767-661C80190757}">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685" authorId="1" shapeId="0" xr:uid="{C5D826B5-9725-4218-9EC3-96850F77831B}">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685" authorId="1" shapeId="0" xr:uid="{BA6BB339-4C2B-4A46-9AEB-80DE495E6696}">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686" authorId="0" shapeId="0" xr:uid="{04508156-5113-42EE-92CA-76AD86998FC0}">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686" authorId="0" shapeId="0" xr:uid="{C1AEF158-7274-4431-8066-15E764504C18}">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686" authorId="0" shapeId="0" xr:uid="{CA75FF61-6A9E-4E94-8485-01E25F0EB094}">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687" authorId="0" shapeId="0" xr:uid="{5BAF3D76-AB9B-4BC5-9DBE-AD710E0464EC}">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687" authorId="0" shapeId="0" xr:uid="{F610E284-F9DA-4322-A3B0-383018DACE7F}">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687" authorId="0" shapeId="0" xr:uid="{A217AD9C-3210-4B7B-A61D-CAFC7F8E7EB6}">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688" authorId="1" shapeId="0" xr:uid="{7B94D667-F7BB-4251-9311-07EBAA4ACAF5}">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694" authorId="0" shapeId="0" xr:uid="{733FC4EC-036C-40F7-B18F-A2CA187A7646}">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694" authorId="0" shapeId="0" xr:uid="{92BC6AA8-D42A-4786-8478-13E5B245A804}">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694" authorId="0" shapeId="0" xr:uid="{E07D6800-C209-46FE-92D3-9FE921267EEF}">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695" authorId="0" shapeId="0" xr:uid="{371FD82B-F5C0-4ABB-938F-65FE30610583}">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695" authorId="0" shapeId="0" xr:uid="{91E9D30B-C85D-4E64-A04E-95E806C97308}">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695" authorId="0" shapeId="0" xr:uid="{DFA59F0A-B6FF-4D82-BC9B-064E494824DB}">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696" authorId="0" shapeId="0" xr:uid="{B4AFBE63-8CEF-4261-8D7E-4EA002E2E6BE}">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696" authorId="0" shapeId="0" xr:uid="{85A24F6B-0856-4998-8791-AA819F462244}">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696" authorId="0" shapeId="0" xr:uid="{D8B888A4-BC59-4050-8EFF-21C2CBF092C3}">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697" authorId="0" shapeId="0" xr:uid="{E49C06FD-2116-43A0-9944-D67EC8E5D06E}">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697" authorId="0" shapeId="0" xr:uid="{A84BBDE7-4D5E-46EC-88FC-F31C9A779497}">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697" authorId="0" shapeId="0" xr:uid="{6655D74F-47B9-418C-A506-2AFDBBE35835}">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698" authorId="1" shapeId="0" xr:uid="{1F14AF02-BA7E-4A8F-973C-2A9164DBCBB2}">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698" authorId="1" shapeId="0" xr:uid="{CE26AC9F-E941-41E7-9C85-C0AB903E8006}">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698" authorId="1" shapeId="0" xr:uid="{0C53C102-A613-43A6-BE79-8B308F9D0959}">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699" authorId="1" shapeId="0" xr:uid="{329D9FB0-21B0-4924-9E02-B948547CC6A4}">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699" authorId="1" shapeId="0" xr:uid="{1F685CE8-7889-40AE-A1D2-78F7522F4575}">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699" authorId="1" shapeId="0" xr:uid="{B5E3CC5C-0FF6-454B-975D-02C7316D9E60}">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700" authorId="1" shapeId="0" xr:uid="{772AA9C5-246A-454C-952B-2447FFF242A7}">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700" authorId="1" shapeId="0" xr:uid="{7643F82C-6FB2-413B-B880-5694FC416FCD}">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700" authorId="1" shapeId="0" xr:uid="{45C74185-697C-4C0F-8627-172C408A7904}">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701" authorId="0" shapeId="0" xr:uid="{A2E23182-EFF1-44C3-84BC-475C2485290D}">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701" authorId="0" shapeId="0" xr:uid="{D4768813-15FB-405E-86C9-8E1492C79C46}">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701" authorId="0" shapeId="0" xr:uid="{467A8764-629B-41C7-80CD-04104E0813B2}">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702" authorId="0" shapeId="0" xr:uid="{21CD2280-50E5-4BD7-83A9-774E695E8A17}">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702" authorId="0" shapeId="0" xr:uid="{3CC41E49-7808-4A8F-9B54-30EF78F25572}">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702" authorId="0" shapeId="0" xr:uid="{44D2A9CF-C1DB-4BE0-BE75-DD762010955D}">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703" authorId="1" shapeId="0" xr:uid="{6298827D-D5C2-4BC0-A94C-1845D094CA9F}">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709" authorId="0" shapeId="0" xr:uid="{3059E0E2-F83C-42E4-9072-E93C2E846BAE}">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709" authorId="0" shapeId="0" xr:uid="{5DD802D4-B0F7-4AFE-90C0-9A2982DBBAC2}">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709" authorId="0" shapeId="0" xr:uid="{2A189C97-7709-4D48-B487-0CCE0AE8B5BD}">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710" authorId="0" shapeId="0" xr:uid="{F1EA39B7-5FA8-48DF-9ACF-01AF69DEC7EA}">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710" authorId="0" shapeId="0" xr:uid="{D052A055-C569-4DA7-AA07-DA086369D13F}">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710" authorId="0" shapeId="0" xr:uid="{DA09AF83-991C-4CAB-A22B-9EECD8E3094F}">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711" authorId="0" shapeId="0" xr:uid="{62B1B90B-FB42-49FE-BB02-C032745BE45C}">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711" authorId="0" shapeId="0" xr:uid="{6F28CCFE-D1F8-4A13-A9BC-44F6E26DB456}">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711" authorId="0" shapeId="0" xr:uid="{FFB460B0-D7A6-47CD-86FD-10F7F82E5D8C}">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712" authorId="0" shapeId="0" xr:uid="{BF044FA7-4D74-46DF-B2C7-379EE23F5282}">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712" authorId="0" shapeId="0" xr:uid="{1242312B-9126-436F-B33F-A2DDEA7477A6}">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712" authorId="0" shapeId="0" xr:uid="{D01D2A52-5328-40FF-94C4-6E7F315BD338}">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713" authorId="1" shapeId="0" xr:uid="{0130651F-6613-43E8-85DD-13D27F390071}">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713" authorId="1" shapeId="0" xr:uid="{C157224C-1362-4997-B099-7E54E00146B1}">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713" authorId="1" shapeId="0" xr:uid="{7719A2C6-2357-4137-A2E6-37BC8284EA3C}">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714" authorId="1" shapeId="0" xr:uid="{277E3817-4A94-4645-87A5-B02E05C6F41E}">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714" authorId="1" shapeId="0" xr:uid="{162903BA-B7C1-4F15-94B1-75F15F724DA1}">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714" authorId="1" shapeId="0" xr:uid="{1C52521B-92A9-4D38-806D-1A4CDFA7C620}">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715" authorId="1" shapeId="0" xr:uid="{7FDE8FF5-ED33-4BDD-863F-6ADE8CE8506B}">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715" authorId="1" shapeId="0" xr:uid="{717EA5A8-11A5-46BB-8ECB-8A4188FDAB4A}">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715" authorId="1" shapeId="0" xr:uid="{D37C22B6-A22E-4C98-8FF1-B6B4BCE85F90}">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716" authorId="0" shapeId="0" xr:uid="{E5453CD6-8173-4B88-8BE1-5438B0A3318E}">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716" authorId="0" shapeId="0" xr:uid="{34363339-8C3C-4015-B22B-4CB662F0B6EA}">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716" authorId="0" shapeId="0" xr:uid="{4E30E480-73D6-4A53-A4BD-71BF59BA403F}">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717" authorId="0" shapeId="0" xr:uid="{C5231A74-74EC-4312-A262-77921CC9D99E}">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717" authorId="0" shapeId="0" xr:uid="{EAEDE4A8-94C0-4BE6-A049-396B0F6650B8}">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717" authorId="0" shapeId="0" xr:uid="{7D3E792C-B629-4C87-9ADB-53DF60D51678}">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718" authorId="1" shapeId="0" xr:uid="{7955ECEB-5C6B-47F4-AAE1-86A217E4124F}">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724" authorId="0" shapeId="0" xr:uid="{5B4CC56F-45CF-43F5-BE7D-B7B1C7ED45AC}">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724" authorId="0" shapeId="0" xr:uid="{7DD68C19-6695-4853-9EC1-B3F2B78C644B}">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724" authorId="0" shapeId="0" xr:uid="{09C871D9-AB3B-4703-96AE-6FCCBCC25E42}">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725" authorId="0" shapeId="0" xr:uid="{BA4AAF70-EBC3-4507-87C0-C465D2A5D6BF}">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725" authorId="0" shapeId="0" xr:uid="{9927A6E0-910A-4FE0-862C-DDFF3FE96A90}">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725" authorId="0" shapeId="0" xr:uid="{AF8C0305-7F62-47F8-84E1-2A1FBC24E55A}">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726" authorId="0" shapeId="0" xr:uid="{288691AA-23CF-4D49-86C0-7371A51C53EB}">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726" authorId="0" shapeId="0" xr:uid="{80C9A9F9-36E6-4BC5-96AB-4B6A474FA00F}">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726" authorId="0" shapeId="0" xr:uid="{272DE2BE-5024-40DB-9429-1F98715AA597}">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727" authorId="0" shapeId="0" xr:uid="{43F82F36-D4B6-44AA-9B58-166205F371E2}">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727" authorId="0" shapeId="0" xr:uid="{8AD0108F-EB33-4765-A479-4EF5F0F96DD7}">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727" authorId="0" shapeId="0" xr:uid="{917DC4CC-8DD8-4272-AEE0-2A43A214302B}">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728" authorId="1" shapeId="0" xr:uid="{4AEB98EE-37CC-43F5-A470-D5659F38842B}">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728" authorId="1" shapeId="0" xr:uid="{6D309246-AD50-4976-B5BC-1516B3BDCD1D}">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728" authorId="1" shapeId="0" xr:uid="{DE1E0B2A-CED9-4B1C-8739-E5D165D6AA9D}">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729" authorId="1" shapeId="0" xr:uid="{B428CD43-8A2B-45FA-89F1-E639BC74F387}">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729" authorId="1" shapeId="0" xr:uid="{49464A58-6EB3-4FDF-AFC7-88B0876412CB}">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729" authorId="1" shapeId="0" xr:uid="{F1A0EB5B-7765-4873-B773-328F4259AD51}">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730" authorId="1" shapeId="0" xr:uid="{9FAF1616-42EE-4174-82C4-9BF2CCD69B07}">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730" authorId="1" shapeId="0" xr:uid="{75640D90-ECEC-4779-A062-D61DD7E10122}">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730" authorId="1" shapeId="0" xr:uid="{AD1AB49D-50BC-47A7-A5ED-27B989DD8AB5}">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731" authorId="0" shapeId="0" xr:uid="{036F5CAB-470B-4EF3-A11C-A714F13585E6}">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731" authorId="0" shapeId="0" xr:uid="{E6DC1C2E-D6D3-4416-8A71-48D80F8AB5AF}">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731" authorId="0" shapeId="0" xr:uid="{CD8F901D-662C-4BE4-BF62-D1D3242B9C19}">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732" authorId="0" shapeId="0" xr:uid="{EC8311D3-7EA9-4AE4-BADB-558246678A1F}">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732" authorId="0" shapeId="0" xr:uid="{A31E4846-4C7B-4959-817F-563671839929}">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732" authorId="0" shapeId="0" xr:uid="{9CF0499A-FD9F-4F92-B97B-BCA73C0DC9CB}">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733" authorId="1" shapeId="0" xr:uid="{1597102C-3031-4916-AFC8-8B2C07B1BA1C}">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739" authorId="0" shapeId="0" xr:uid="{D03DAB84-ADE6-4C5D-8B56-AE40016921B4}">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739" authorId="0" shapeId="0" xr:uid="{02264BE8-2D67-4DD5-B074-82F233524B3F}">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739" authorId="0" shapeId="0" xr:uid="{44C3C7DD-D62F-4881-AD42-715EABA1422F}">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740" authorId="0" shapeId="0" xr:uid="{9A5A7B30-5836-4F0D-BEFE-0A532E7D28FC}">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740" authorId="0" shapeId="0" xr:uid="{F4DAD68E-DB23-4E59-B8A7-72D500542D27}">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740" authorId="0" shapeId="0" xr:uid="{FD5E3703-D716-4469-918D-22354110C5A4}">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741" authorId="0" shapeId="0" xr:uid="{AD50AE02-68B4-4F18-9180-D5D124A01A9D}">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741" authorId="0" shapeId="0" xr:uid="{626340EA-2E9F-45BC-8146-D1109F1C6963}">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741" authorId="0" shapeId="0" xr:uid="{8339B30C-2938-4C3D-A7B3-2987E2D11364}">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742" authorId="0" shapeId="0" xr:uid="{DD232681-ADBA-4162-A5AC-41F01ED1C545}">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742" authorId="0" shapeId="0" xr:uid="{6A895BAC-5F0D-4121-9C65-7EAB16E2BDD8}">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742" authorId="0" shapeId="0" xr:uid="{D026F95F-40B1-4B9A-BCDD-C18D62070114}">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743" authorId="1" shapeId="0" xr:uid="{455F106E-C6E9-49FF-91A8-047F7E169415}">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743" authorId="1" shapeId="0" xr:uid="{88857888-7520-4A7B-B01A-74D44612BF03}">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743" authorId="1" shapeId="0" xr:uid="{626E6EA8-4923-4B20-BE32-2574B1844973}">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744" authorId="1" shapeId="0" xr:uid="{EF8A4969-8B4D-4446-95F1-2246E2AF0C16}">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744" authorId="1" shapeId="0" xr:uid="{E555A99D-C1A4-467B-AD2A-E675058E43FA}">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744" authorId="1" shapeId="0" xr:uid="{00ADE05F-B8E6-46F1-9857-0B6AA6E91343}">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745" authorId="1" shapeId="0" xr:uid="{6F63F5D0-AD8F-4BAB-B1B3-D724AA38B705}">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745" authorId="1" shapeId="0" xr:uid="{1F36200E-60B8-4CB9-8C2B-EE8AC05D9644}">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745" authorId="1" shapeId="0" xr:uid="{9BB35D11-F1E0-43AD-8FA1-A0277F31D651}">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746" authorId="0" shapeId="0" xr:uid="{8D8D7603-85C3-4B8F-9778-0E97F7712BE1}">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746" authorId="0" shapeId="0" xr:uid="{367D8F48-16C1-41F0-8C7E-6AF8D99127B2}">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746" authorId="0" shapeId="0" xr:uid="{1ACB2006-0DDD-4A74-A0D8-2F66B869E7E3}">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747" authorId="0" shapeId="0" xr:uid="{4B088C2B-4B86-4D50-B8EB-074994CF689A}">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747" authorId="0" shapeId="0" xr:uid="{E4895C14-B9D7-49E9-BDF6-8D1E01AEDE97}">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747" authorId="0" shapeId="0" xr:uid="{757486E1-D75D-482E-8D5B-3F1F4F2C8F1C}">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748" authorId="1" shapeId="0" xr:uid="{2EA9F0F8-891D-4DAF-9E61-E347B1C25AC1}">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754" authorId="0" shapeId="0" xr:uid="{30B0C109-A689-42D7-8599-E07DD1D10FFA}">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754" authorId="0" shapeId="0" xr:uid="{B9C83A1E-7BF0-4D0A-BB18-53559FB46A72}">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754" authorId="0" shapeId="0" xr:uid="{A5FC3871-B487-4ECD-9D15-C9865E6D7A1A}">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755" authorId="0" shapeId="0" xr:uid="{9A93C5A9-6C47-4AC6-A0C7-7607AD6A0ABA}">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755" authorId="0" shapeId="0" xr:uid="{32D0F732-25C1-4EAA-A2D3-B2EB946C849C}">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755" authorId="0" shapeId="0" xr:uid="{5E0AAB87-31BD-4D3A-89C6-3E90921C6634}">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756" authorId="0" shapeId="0" xr:uid="{D49A6332-0D0F-404C-BCAC-B7B270757959}">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756" authorId="0" shapeId="0" xr:uid="{E033C4A6-E287-4D06-B34B-E191306D8569}">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756" authorId="0" shapeId="0" xr:uid="{E225C6F2-6E1A-469C-A729-B04FD703102B}">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757" authorId="0" shapeId="0" xr:uid="{79769AAE-A0C2-4F01-8154-6CF22E815CD4}">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757" authorId="0" shapeId="0" xr:uid="{2020D736-4F1C-44FD-BBE7-D1001CDD9A36}">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757" authorId="0" shapeId="0" xr:uid="{C1CD737F-3519-4D51-BC67-E318418E766A}">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758" authorId="1" shapeId="0" xr:uid="{12505538-0D13-40E7-868E-CF0DFF0F00E2}">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758" authorId="1" shapeId="0" xr:uid="{A0D556E7-DD5D-4997-9789-1A041F13DFF8}">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758" authorId="1" shapeId="0" xr:uid="{B9820DB5-6C72-40AD-981F-06D57393AF29}">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759" authorId="1" shapeId="0" xr:uid="{2BAF95FB-70A9-4B60-BCD6-6E32C2AFB1A9}">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759" authorId="1" shapeId="0" xr:uid="{4431E1A0-0668-4D09-B954-4CC4C24CD452}">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759" authorId="1" shapeId="0" xr:uid="{3C0D4E6D-8D52-4E16-AF5D-87B2AE887A86}">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760" authorId="1" shapeId="0" xr:uid="{827AF9E6-58C4-4EC9-8183-2D287112F56C}">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760" authorId="1" shapeId="0" xr:uid="{2D3623AF-5A5C-47E5-8C36-F8C94DE0447A}">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760" authorId="1" shapeId="0" xr:uid="{8E63DDC7-5684-4FEB-90DE-F876EA36B736}">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761" authorId="0" shapeId="0" xr:uid="{EB03EFCC-3B17-44AA-ACB5-79F9C3E74BEE}">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761" authorId="0" shapeId="0" xr:uid="{3C54216F-CEE0-4775-B15F-9680FE46ED3B}">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761" authorId="0" shapeId="0" xr:uid="{269E7C33-220D-47E6-B88B-E7C43E5C0FD4}">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762" authorId="0" shapeId="0" xr:uid="{034A71E8-E861-408D-86A1-21B156541A34}">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762" authorId="0" shapeId="0" xr:uid="{38E7B771-346A-4CA3-AAF2-293A8E534E6A}">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762" authorId="0" shapeId="0" xr:uid="{77A0BEA2-C8B4-4B57-874C-5EAF93544161}">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763" authorId="1" shapeId="0" xr:uid="{5C69CE41-1D1F-4B04-9BED-1CA90B9AB4A6}">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769" authorId="0" shapeId="0" xr:uid="{956DB9A2-F140-452B-B9D6-504A898C614F}">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769" authorId="0" shapeId="0" xr:uid="{10F127E5-E305-4C48-B8E3-ED2C3C8F4E39}">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769" authorId="0" shapeId="0" xr:uid="{74961AAB-A796-4BEF-8A0E-BF31312E0EC0}">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770" authorId="0" shapeId="0" xr:uid="{08E87594-E486-4CA1-99E8-76941FBA1CF9}">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770" authorId="0" shapeId="0" xr:uid="{EB779AB5-C55F-4A4A-8B54-B3F3664DABEA}">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770" authorId="0" shapeId="0" xr:uid="{2C6226B3-9C58-4307-8C93-7726B02D45D3}">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771" authorId="0" shapeId="0" xr:uid="{6C55EF4A-CCE1-4C86-907C-3E9C5B80625F}">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771" authorId="0" shapeId="0" xr:uid="{D2FB3DA0-1A6C-4DCA-93F7-43B6DF7F9540}">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771" authorId="0" shapeId="0" xr:uid="{F414BBC7-D672-4614-A725-E49D61947A9D}">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772" authorId="0" shapeId="0" xr:uid="{FC6B64E2-4CFE-4B95-B4BD-A40D08F1BD05}">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772" authorId="0" shapeId="0" xr:uid="{665DF732-6525-4B74-9FE4-3F6DF8A03F81}">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772" authorId="0" shapeId="0" xr:uid="{DEBA41A1-651C-41F6-AFEE-3D00CA94B8A6}">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773" authorId="1" shapeId="0" xr:uid="{9F355EF1-61CF-4C86-A976-89206F41E94D}">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773" authorId="1" shapeId="0" xr:uid="{6CA59AC1-E5E9-466A-96EA-B82CA7DD8ED6}">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773" authorId="1" shapeId="0" xr:uid="{68670850-BD27-4163-9520-F9A502953F94}">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774" authorId="1" shapeId="0" xr:uid="{74810C5A-7FEB-4B64-BE9B-9FC224CA85B8}">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774" authorId="1" shapeId="0" xr:uid="{A03D257A-3408-4915-B43C-4082225E3C50}">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774" authorId="1" shapeId="0" xr:uid="{7EC990EE-F562-4120-A7B4-D9199289C51A}">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775" authorId="1" shapeId="0" xr:uid="{C81529B4-BEED-4881-AE4F-4AC859D10802}">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775" authorId="1" shapeId="0" xr:uid="{C0B1AC89-D5AF-4228-9631-BF6FEEEA4917}">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775" authorId="1" shapeId="0" xr:uid="{7471BD86-3BFA-442A-9A9F-1675156423B5}">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776" authorId="0" shapeId="0" xr:uid="{5001D335-3E5C-46DC-B062-5AD0F131DD94}">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776" authorId="0" shapeId="0" xr:uid="{2ABDBE03-4955-4C88-95ED-F58122861D6D}">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776" authorId="0" shapeId="0" xr:uid="{42C838EC-AFBB-4C12-B444-79FF724A72BF}">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777" authorId="0" shapeId="0" xr:uid="{218A9681-A1E4-4797-BFBB-59A34039BE27}">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777" authorId="0" shapeId="0" xr:uid="{07AB1A25-463E-4244-9739-19DDE1E23C47}">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777" authorId="0" shapeId="0" xr:uid="{C66CD1D3-B0DE-419B-8B2A-B1C86B42699D}">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778" authorId="1" shapeId="0" xr:uid="{457FF162-D3E2-43B9-AA7B-EE9BD7281390}">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784" authorId="0" shapeId="0" xr:uid="{843D6027-64EC-4235-91D3-62427FC5AA2C}">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784" authorId="0" shapeId="0" xr:uid="{76D6701B-0A96-4AF4-9D81-C7AF7C63B4F2}">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784" authorId="0" shapeId="0" xr:uid="{518F5B65-A9F2-4750-92FD-D41322154697}">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785" authorId="0" shapeId="0" xr:uid="{CE578C14-8616-4206-8905-5BAEA64CDACD}">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785" authorId="0" shapeId="0" xr:uid="{3BC31AA1-0912-4421-A161-EC1105B6C603}">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785" authorId="0" shapeId="0" xr:uid="{10A6254D-1A54-4B26-98AD-AEE07BB98892}">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786" authorId="0" shapeId="0" xr:uid="{5A5A8C53-2743-43BE-AEC4-53CF557C5DD6}">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786" authorId="0" shapeId="0" xr:uid="{769BE2FA-A222-4E0D-AC2D-74AB4F344116}">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786" authorId="0" shapeId="0" xr:uid="{E36E747D-24E7-4BA7-9D8B-A6864D88963D}">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787" authorId="0" shapeId="0" xr:uid="{FF8674AC-12C4-487E-ACB3-2F65CF26C338}">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787" authorId="0" shapeId="0" xr:uid="{75C797B3-B84C-4C04-9A37-6D25DD4B8592}">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787" authorId="0" shapeId="0" xr:uid="{A7BC6F43-CFE7-4B9A-83B4-64FB2D5FBD4B}">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788" authorId="1" shapeId="0" xr:uid="{59A7AF17-B4BE-4584-8920-CBDA4A02A577}">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788" authorId="1" shapeId="0" xr:uid="{A17373A9-98F1-4C1A-9A7B-D4AE162E3A6D}">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788" authorId="1" shapeId="0" xr:uid="{345D73AD-C70F-4FA1-B707-94BA4D520F6D}">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789" authorId="1" shapeId="0" xr:uid="{D43D0823-B474-4390-A592-56E7BA130284}">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789" authorId="1" shapeId="0" xr:uid="{26C89DFA-B512-40A4-835C-008E93E28E18}">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789" authorId="1" shapeId="0" xr:uid="{1B341F0F-C192-45F0-984C-61ACB2B3C74C}">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790" authorId="1" shapeId="0" xr:uid="{78C52A0B-ADC9-42F4-AD81-C488D4BE0CAD}">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790" authorId="1" shapeId="0" xr:uid="{6FC9B611-38A4-4E35-B26B-915B53B244B7}">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790" authorId="1" shapeId="0" xr:uid="{32DEBD48-6A13-4DB2-ADC4-CCE2A966D0A3}">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791" authorId="0" shapeId="0" xr:uid="{E4F6AEFA-8019-4A27-9844-718F89B0050A}">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791" authorId="0" shapeId="0" xr:uid="{2DF876A8-935A-405B-996B-9B537C6F6819}">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791" authorId="0" shapeId="0" xr:uid="{F36BECCD-BD06-4BB8-B490-17E2338CB0DC}">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792" authorId="0" shapeId="0" xr:uid="{535EE7CA-B6D2-42E6-B0FE-46DF09D8D99B}">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792" authorId="0" shapeId="0" xr:uid="{7A850334-CDA9-4FE4-A935-1A23E23223EA}">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792" authorId="0" shapeId="0" xr:uid="{D1FC1B50-50E3-41B9-9DBA-26A17CC1D9B9}">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793" authorId="1" shapeId="0" xr:uid="{006F1494-F747-4FA9-9FF2-409753C1EE00}">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799" authorId="0" shapeId="0" xr:uid="{454BBE9E-2F7F-4773-9933-E112CA45A146}">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799" authorId="0" shapeId="0" xr:uid="{E143ADB4-6DC8-4083-9E5D-446A63750B29}">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799" authorId="0" shapeId="0" xr:uid="{B6C4CF38-DC8C-4731-932C-749B12377F1D}">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800" authorId="0" shapeId="0" xr:uid="{D824892B-490F-440D-B6D7-A72E66F3A286}">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800" authorId="0" shapeId="0" xr:uid="{8C63C9C2-F7F9-4E8A-A167-C0511F13CE04}">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800" authorId="0" shapeId="0" xr:uid="{293EC8C9-079E-4C45-B56A-5DD8DA41C946}">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801" authorId="0" shapeId="0" xr:uid="{7DCFD205-E73F-4C93-AF6A-EAE6D780DC29}">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801" authorId="0" shapeId="0" xr:uid="{59451C67-AAD0-481D-94F2-07BCA2985648}">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801" authorId="0" shapeId="0" xr:uid="{35A66B5D-1099-4E29-86CE-61A85677E065}">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802" authorId="0" shapeId="0" xr:uid="{AB6B8718-6D39-4207-BEDA-B15318A1C216}">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802" authorId="0" shapeId="0" xr:uid="{91D1719C-0CB8-47A0-BED1-D7B585F1C834}">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802" authorId="0" shapeId="0" xr:uid="{1B8CC361-68B1-45EA-96B9-4FEFD6F560AD}">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803" authorId="1" shapeId="0" xr:uid="{5D2B11E8-D0E8-49FA-89C6-CEA603A3EDF4}">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803" authorId="1" shapeId="0" xr:uid="{8DAAAC11-D527-477C-A670-2464D8ACA46F}">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803" authorId="1" shapeId="0" xr:uid="{67C9CB01-5417-439F-95C7-A0BA5EBAC94D}">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804" authorId="1" shapeId="0" xr:uid="{3066E176-4BF7-47C1-8BC7-CD2AD4413282}">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804" authorId="1" shapeId="0" xr:uid="{756506C4-962A-47D0-B116-FCA6A6C44463}">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804" authorId="1" shapeId="0" xr:uid="{4B4473F3-0A33-45CE-86E0-614671F248BC}">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805" authorId="1" shapeId="0" xr:uid="{EF70ABE3-E966-4386-9CE7-F885E29E76B0}">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805" authorId="1" shapeId="0" xr:uid="{E7C4F721-E808-451B-A2AC-8C84A16036FE}">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805" authorId="1" shapeId="0" xr:uid="{4387FFCD-AB82-454D-9B15-41E33EE32BB4}">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806" authorId="0" shapeId="0" xr:uid="{A76CA426-1793-41D7-82AB-DD5AD7960771}">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806" authorId="0" shapeId="0" xr:uid="{2A2AFBF7-8E60-43D3-AEF7-863084D94BB6}">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806" authorId="0" shapeId="0" xr:uid="{B121B99D-CF3F-4DB3-8457-3298096600BD}">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807" authorId="0" shapeId="0" xr:uid="{534E76B5-8BFB-4D50-8155-06CF96C8B5E8}">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807" authorId="0" shapeId="0" xr:uid="{C6553C4E-9FBC-4928-92E6-2570D5B0508C}">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807" authorId="0" shapeId="0" xr:uid="{DC76EF0B-3188-4C8A-96CC-BACB046FBFF0}">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808" authorId="1" shapeId="0" xr:uid="{3915D39A-C724-4873-86E3-D4568A4BDBB4}">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814" authorId="0" shapeId="0" xr:uid="{34457CE2-56A7-4770-B78B-A63E4635A3C8}">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814" authorId="0" shapeId="0" xr:uid="{C5F651C7-350B-4B1C-9A18-099F709B8EB6}">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814" authorId="0" shapeId="0" xr:uid="{F088533F-E458-4297-BD8F-E5E53CA394C7}">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815" authorId="0" shapeId="0" xr:uid="{668CA08A-C84E-43B8-AC59-7ADDE6937C77}">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815" authorId="0" shapeId="0" xr:uid="{FB8DFA37-DF29-4A0D-9CEF-9BFE7D980497}">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815" authorId="0" shapeId="0" xr:uid="{72002370-0645-4265-9C4F-00F14D398D4C}">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816" authorId="0" shapeId="0" xr:uid="{FD6C4C99-DF8F-482A-8C82-2E0A8708A50D}">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816" authorId="0" shapeId="0" xr:uid="{9606C026-90CB-4101-A189-95297AABA34A}">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816" authorId="0" shapeId="0" xr:uid="{B7D5EFB2-0728-4F2B-8D83-746EA61320F0}">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817" authorId="0" shapeId="0" xr:uid="{12D10DE3-42B9-4D8F-BCBD-B94356E9D74B}">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817" authorId="0" shapeId="0" xr:uid="{BC27CC86-56B1-4217-AF5A-DBC75565F2F4}">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817" authorId="0" shapeId="0" xr:uid="{F74EC624-04CC-4F8F-B267-20C6BDB0C344}">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818" authorId="1" shapeId="0" xr:uid="{C3E86DA6-03F5-4B95-AFD4-FF125852B3B8}">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818" authorId="1" shapeId="0" xr:uid="{76B066C4-4BDA-4C0B-81F5-AD7CFE3F2F66}">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818" authorId="1" shapeId="0" xr:uid="{CA03FBD4-7D7A-4E7B-8D71-FBC99AC32EC0}">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819" authorId="1" shapeId="0" xr:uid="{0F7544F0-8004-467A-9F9C-B33E1D6D71F1}">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819" authorId="1" shapeId="0" xr:uid="{2BE14AA8-CA4D-4F95-865F-2151AB443097}">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819" authorId="1" shapeId="0" xr:uid="{ADA9BF22-D330-40C8-8090-ED87A34B2849}">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820" authorId="1" shapeId="0" xr:uid="{805078B0-86FD-4FEA-90EE-B90016D3DFD1}">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820" authorId="1" shapeId="0" xr:uid="{4914570B-970A-4A8A-AD41-908C31D9B1B8}">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820" authorId="1" shapeId="0" xr:uid="{E6A93056-CEC9-4EE0-9D8D-1123707029F5}">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821" authorId="0" shapeId="0" xr:uid="{483DA59A-666B-411D-B252-A4BAE7AB77A6}">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821" authorId="0" shapeId="0" xr:uid="{02523186-3ED6-400A-9390-8BD0312F22DD}">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821" authorId="0" shapeId="0" xr:uid="{5691AA06-EE6A-4A1F-BD14-88986D768965}">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822" authorId="0" shapeId="0" xr:uid="{A5A3F2E8-70E8-4D5F-BBC1-F257B810BAA7}">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822" authorId="0" shapeId="0" xr:uid="{E9D92156-F7DF-4536-8C3C-836D93AF4286}">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822" authorId="0" shapeId="0" xr:uid="{623AC34F-3490-4362-8CA8-5FB696BF2E00}">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823" authorId="1" shapeId="0" xr:uid="{1DBEEB0E-EF89-416E-AE94-BF34BA308602}">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829" authorId="0" shapeId="0" xr:uid="{A4588C57-6AC7-4525-BCD7-A1E9088AE3E9}">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829" authorId="0" shapeId="0" xr:uid="{E37B143C-A6D9-4646-AE49-F9120C4F476C}">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829" authorId="0" shapeId="0" xr:uid="{D1B75CCB-B612-4073-9BAC-004FFFB4EE6E}">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830" authorId="0" shapeId="0" xr:uid="{F31D022C-0AF1-4329-A8A3-391C685C67B7}">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830" authorId="0" shapeId="0" xr:uid="{76E06942-D470-4308-83A5-5C6B3E7995E8}">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830" authorId="0" shapeId="0" xr:uid="{48643E8D-3FF0-43C5-B844-D4513A9F94F0}">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831" authorId="0" shapeId="0" xr:uid="{132880E3-3C0C-4F26-AD99-F2DA9C264A56}">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831" authorId="0" shapeId="0" xr:uid="{5F016EC5-A2E2-468F-B493-428B7D6A33C9}">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831" authorId="0" shapeId="0" xr:uid="{67C7D0DC-201E-43CB-A967-C0497FA6A6B2}">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832" authorId="0" shapeId="0" xr:uid="{6A5D4F31-5602-4E3E-BDCB-B2BD723F1941}">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832" authorId="0" shapeId="0" xr:uid="{70B62534-1BAD-4536-8739-3950BA942188}">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832" authorId="0" shapeId="0" xr:uid="{51274BFC-9A9C-417F-985C-14E3B57B7279}">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833" authorId="1" shapeId="0" xr:uid="{755D0A02-6061-4905-9D98-2197D81E418D}">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833" authorId="1" shapeId="0" xr:uid="{EC8D6566-7B53-4DC9-829D-65E0ABB7F006}">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833" authorId="1" shapeId="0" xr:uid="{7C0C1C7D-35AD-4D4B-A23C-697097408696}">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834" authorId="1" shapeId="0" xr:uid="{1ACE13BA-FC7C-470D-8383-3CE966B509E6}">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834" authorId="1" shapeId="0" xr:uid="{038BFE86-477F-4A36-94F5-067C907FF860}">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834" authorId="1" shapeId="0" xr:uid="{66CA3404-1875-49C0-9395-64828D88BE3D}">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835" authorId="1" shapeId="0" xr:uid="{DEA43C7F-328C-405C-AD69-F37B43AABFD8}">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835" authorId="1" shapeId="0" xr:uid="{15C0E227-0100-405E-AD09-9BA214098547}">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835" authorId="1" shapeId="0" xr:uid="{B5D7097B-21B6-4620-A3A4-93D9BCA7E784}">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836" authorId="0" shapeId="0" xr:uid="{6C45D2AA-22D3-47B8-9A6C-DC669174E674}">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836" authorId="0" shapeId="0" xr:uid="{B2E0C620-12C7-48B9-B62C-31E7D7E804F0}">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836" authorId="0" shapeId="0" xr:uid="{4C56CA08-1F3F-4418-B349-2BEDA039A326}">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837" authorId="0" shapeId="0" xr:uid="{DE930E9E-C2DF-4A14-BB7F-58BB907311AB}">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837" authorId="0" shapeId="0" xr:uid="{78815AB0-F405-400E-8F27-9F2C061528C2}">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837" authorId="0" shapeId="0" xr:uid="{E2CD4D87-6027-4BAA-9439-8E1D34420F18}">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838" authorId="1" shapeId="0" xr:uid="{F1DCD35D-9F3C-4192-BB13-DFD91F6A6E62}">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844" authorId="0" shapeId="0" xr:uid="{D66EC1DC-3979-41C5-B395-113BAF1B7D02}">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844" authorId="0" shapeId="0" xr:uid="{A06E4970-FDC4-4D98-86E2-3D65F1118570}">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844" authorId="0" shapeId="0" xr:uid="{F20BB471-D7A1-4C89-B3F2-90821BF55023}">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845" authorId="0" shapeId="0" xr:uid="{774D1B21-6F7F-4482-B069-36A21EF8A22D}">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845" authorId="0" shapeId="0" xr:uid="{24BE1DF8-7338-4BA7-9EB4-970423ECF325}">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845" authorId="0" shapeId="0" xr:uid="{E7D198A0-9246-4878-BBAF-91CBA56E620D}">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846" authorId="0" shapeId="0" xr:uid="{AAB42DAF-3805-4B01-B530-B95566A62A23}">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846" authorId="0" shapeId="0" xr:uid="{9FAE1076-45DE-4F61-A037-F5A124AE7EF7}">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846" authorId="0" shapeId="0" xr:uid="{AD68D3F9-60F7-4744-97A9-9FF013734B39}">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847" authorId="0" shapeId="0" xr:uid="{0668A139-A33F-4697-8960-794A891FB8BE}">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847" authorId="0" shapeId="0" xr:uid="{69410971-EDA7-4EE7-B528-EFB997D08E78}">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847" authorId="0" shapeId="0" xr:uid="{536B6C59-C483-4FA9-9CD3-E747A3814C7F}">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848" authorId="1" shapeId="0" xr:uid="{E8E88F56-92EE-435C-B6CB-0B75D3AA7BBE}">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848" authorId="1" shapeId="0" xr:uid="{71F22B2D-4C63-4854-BDB5-A6FDA595CA02}">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848" authorId="1" shapeId="0" xr:uid="{DC1009CE-A88D-423A-B8E2-C5EDBA09C549}">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849" authorId="1" shapeId="0" xr:uid="{539C79E9-5D2E-4D8F-AC14-2F647EB1CF8F}">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849" authorId="1" shapeId="0" xr:uid="{2E223D59-7B3A-4072-B754-1933A01A51BF}">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849" authorId="1" shapeId="0" xr:uid="{33F0719F-0EA6-48EC-8BE5-106CB6FFF860}">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850" authorId="1" shapeId="0" xr:uid="{288A7BA8-EA6B-4EC4-82C2-9475835ADABD}">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850" authorId="1" shapeId="0" xr:uid="{1256ABFF-D79D-4F43-AE35-4D895B9A5AED}">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850" authorId="1" shapeId="0" xr:uid="{E22AE7CC-2762-4854-8BEB-E3DF21393A9E}">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851" authorId="0" shapeId="0" xr:uid="{BE9D5D66-74FB-4372-A4ED-804A76CF2058}">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851" authorId="0" shapeId="0" xr:uid="{935345BC-3188-4A9E-904D-A89CCCF6E235}">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851" authorId="0" shapeId="0" xr:uid="{7689C3A9-B6D8-4F5D-BE90-02C44F9D561C}">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852" authorId="0" shapeId="0" xr:uid="{CD4DA931-5409-46CA-AD13-CA7E2D38A41E}">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852" authorId="0" shapeId="0" xr:uid="{DECF2B4F-F49A-4D14-9593-7A45A221188E}">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852" authorId="0" shapeId="0" xr:uid="{32C36121-6F00-4956-A2F9-88F0186477F8}">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853" authorId="1" shapeId="0" xr:uid="{D5C4929B-4F1F-4F65-9E1F-3C336053321E}">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859" authorId="0" shapeId="0" xr:uid="{858B708B-538D-4C7E-94FB-E434E1C36900}">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859" authorId="0" shapeId="0" xr:uid="{835FE16A-E760-4CEC-AECD-023BA07F95CE}">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859" authorId="0" shapeId="0" xr:uid="{6531C6C1-F6E9-438A-B35B-5936A025314B}">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860" authorId="0" shapeId="0" xr:uid="{C71F5973-F67D-4A0C-9732-732BFFFCFA07}">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860" authorId="0" shapeId="0" xr:uid="{B4F8A0EA-47F8-4491-970C-7F418DBD6BC2}">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860" authorId="0" shapeId="0" xr:uid="{62095AFF-1615-4C92-8BBE-FE1FE520D513}">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861" authorId="0" shapeId="0" xr:uid="{8E4F6198-D8DD-4E73-B83F-C6A4E54A6C45}">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861" authorId="0" shapeId="0" xr:uid="{18B988AB-EB4E-4D63-B6B1-73BFB6900A10}">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861" authorId="0" shapeId="0" xr:uid="{745C79B6-08EC-4937-98C3-1650A7FC8F6F}">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862" authorId="0" shapeId="0" xr:uid="{31A246E0-829A-4AE0-9DF8-51F125D758B7}">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862" authorId="0" shapeId="0" xr:uid="{B00E3DE6-A04C-4FFD-8414-883EE66F9808}">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862" authorId="0" shapeId="0" xr:uid="{C1357B16-8ABE-4F52-B86F-6D3A72A0671C}">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863" authorId="1" shapeId="0" xr:uid="{65B17A92-037E-4BD6-AE9D-1494CC0536F0}">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863" authorId="1" shapeId="0" xr:uid="{2C750A30-6F6B-47EB-86C3-E877E179B21B}">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863" authorId="1" shapeId="0" xr:uid="{E178689F-A9B9-438D-9C50-EB286139F1FE}">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864" authorId="1" shapeId="0" xr:uid="{F1858EBF-851C-41EB-B30E-73FEE1ABF597}">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864" authorId="1" shapeId="0" xr:uid="{2C110870-B279-4176-AB46-24BF5E42CECE}">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864" authorId="1" shapeId="0" xr:uid="{92428525-272F-4F61-8F2D-3BA1417E0E78}">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865" authorId="1" shapeId="0" xr:uid="{C30BE111-22FB-4330-9CD5-C213FD0735B2}">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865" authorId="1" shapeId="0" xr:uid="{9A292E26-D53E-4D2C-B44F-33B9B41A3885}">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865" authorId="1" shapeId="0" xr:uid="{771B1D0E-E230-4387-A6E0-60D775610A2F}">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866" authorId="0" shapeId="0" xr:uid="{FA665D90-2EE5-40C7-B894-110923C70C85}">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866" authorId="0" shapeId="0" xr:uid="{C2CED45E-6568-43A0-BA57-24E1FC553153}">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866" authorId="0" shapeId="0" xr:uid="{18C7927A-8FDC-4000-AA50-0EC25961317B}">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867" authorId="0" shapeId="0" xr:uid="{3F8D2542-C8C4-4175-A308-B0BD27B5ED3D}">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867" authorId="0" shapeId="0" xr:uid="{C978FEBC-3703-45F0-B0D9-85392318A45C}">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867" authorId="0" shapeId="0" xr:uid="{A5819CEA-3A64-4B65-B42F-354ECCF988CD}">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868" authorId="1" shapeId="0" xr:uid="{D4209B32-50B6-4CBD-AF2D-A98F9374D34D}">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874" authorId="0" shapeId="0" xr:uid="{620F2E94-620B-48F8-851F-02AD30BCD8FD}">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874" authorId="0" shapeId="0" xr:uid="{9EEC913D-A0A2-42B1-B780-D8BD6EA33939}">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874" authorId="0" shapeId="0" xr:uid="{29A0C70D-2BE9-408D-8E40-6BF692C5E371}">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875" authorId="0" shapeId="0" xr:uid="{9DA2B57F-6E52-460D-9D1C-36F19B120F55}">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875" authorId="0" shapeId="0" xr:uid="{2E287362-41DB-4E06-92C5-6D9BB0BB80F7}">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875" authorId="0" shapeId="0" xr:uid="{E43EF9C7-B1BE-433F-92F0-9132491376DD}">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876" authorId="0" shapeId="0" xr:uid="{5406B926-67A9-425F-9933-4859F9981921}">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876" authorId="0" shapeId="0" xr:uid="{97205D43-997D-4C31-9F5E-90FB1A1ECBC7}">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876" authorId="0" shapeId="0" xr:uid="{D454A98C-5EF7-4AAE-A320-CCD5F3F32F06}">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877" authorId="0" shapeId="0" xr:uid="{1A7FA87F-FBD8-46DC-A508-C961A1E0ECF0}">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877" authorId="0" shapeId="0" xr:uid="{03055BF8-FCE7-4F9C-B915-380A64016343}">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877" authorId="0" shapeId="0" xr:uid="{E05B7A4F-7EEB-443D-B41F-BD365471256A}">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878" authorId="1" shapeId="0" xr:uid="{41386B11-927F-4CA4-BFAD-651E3B331D51}">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878" authorId="1" shapeId="0" xr:uid="{7D48922A-3377-4890-B2A9-E094DD615EAD}">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878" authorId="1" shapeId="0" xr:uid="{E1150CEA-CA5F-4F03-A230-57C7B352124F}">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879" authorId="1" shapeId="0" xr:uid="{6EB9DE8A-008B-4878-8832-3AE365FFE5F6}">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879" authorId="1" shapeId="0" xr:uid="{FAF33AC4-41BC-48DF-BCE2-2BD80A6F7ECD}">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879" authorId="1" shapeId="0" xr:uid="{BF7540D3-FC3C-4A6A-9B1E-FBBF914A4289}">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880" authorId="1" shapeId="0" xr:uid="{3D9F7699-2E95-4AA1-903C-60FAB1027203}">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880" authorId="1" shapeId="0" xr:uid="{6603480A-4E3D-428D-B970-7D9DCF7A36BD}">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880" authorId="1" shapeId="0" xr:uid="{023FDD6C-BF88-4F94-B101-A054F96A528C}">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881" authorId="0" shapeId="0" xr:uid="{0C81AA26-C580-47B8-9247-8D7A6D0C455A}">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881" authorId="0" shapeId="0" xr:uid="{05228428-D19B-41AF-808A-4CA7C9FFBB46}">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881" authorId="0" shapeId="0" xr:uid="{367B3326-DDAE-4B41-BD28-09A9BA3695C6}">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882" authorId="0" shapeId="0" xr:uid="{823B301C-FA22-4F1C-AFBE-85057F839616}">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882" authorId="0" shapeId="0" xr:uid="{4482E0DB-2006-4325-B051-D55F1AC0EB10}">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882" authorId="0" shapeId="0" xr:uid="{F19F88E3-63E1-4B32-895C-6D65662C28A2}">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883" authorId="1" shapeId="0" xr:uid="{4AD1B64A-1F84-4725-AB6D-9D21C2D3D66C}">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889" authorId="0" shapeId="0" xr:uid="{44D4B4D1-0ABB-4A87-A040-AE6488FCE6D8}">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889" authorId="0" shapeId="0" xr:uid="{107166D1-E0EA-41BA-8CD1-5551568A5B14}">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889" authorId="0" shapeId="0" xr:uid="{0B1ECA44-FE5A-4033-B2E1-E0D8B4EC8991}">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890" authorId="0" shapeId="0" xr:uid="{8933AF6C-002F-432F-A3DB-722085213F01}">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890" authorId="0" shapeId="0" xr:uid="{0346CAB7-E95E-4CAE-9F7B-2CC6E3B4230F}">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890" authorId="0" shapeId="0" xr:uid="{8EF58925-996D-4FA7-BB4A-730BA2DB8734}">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891" authorId="0" shapeId="0" xr:uid="{9098D5AF-2478-41ED-88E6-DC152231D388}">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891" authorId="0" shapeId="0" xr:uid="{90515BFB-7CB4-4D9C-A425-1CDDE9BE03F0}">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891" authorId="0" shapeId="0" xr:uid="{3A449AAB-45B6-498C-8B34-CCEDA6A336A5}">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892" authorId="0" shapeId="0" xr:uid="{4FD97DA2-CDEA-43F2-8433-031341081BB3}">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892" authorId="0" shapeId="0" xr:uid="{B9846BAB-4A40-47AA-9141-DE5C172A31C6}">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892" authorId="0" shapeId="0" xr:uid="{5A6871E3-C40F-4389-8A83-1CA8B98BD234}">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893" authorId="1" shapeId="0" xr:uid="{F655B280-0C30-4DFA-97FE-037C7CA6044E}">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893" authorId="1" shapeId="0" xr:uid="{95F531AC-59A0-4EA0-A908-2C86F7CB1FBE}">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893" authorId="1" shapeId="0" xr:uid="{950DC491-FAB8-4163-A748-5BE6C9DD122A}">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894" authorId="1" shapeId="0" xr:uid="{8DF43C14-AFC1-484C-8DA4-B43A798B25FC}">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894" authorId="1" shapeId="0" xr:uid="{B81C1A6F-C83A-4C94-BDA1-B275D61B6F0C}">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894" authorId="1" shapeId="0" xr:uid="{A28C7CBE-F943-458A-A461-A9E034E12208}">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895" authorId="1" shapeId="0" xr:uid="{4538ECF7-C9CA-40CE-8266-37DD83F1FB64}">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895" authorId="1" shapeId="0" xr:uid="{470F8587-EDD0-4E55-8696-E7807FC5F75E}">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895" authorId="1" shapeId="0" xr:uid="{044F76B0-472A-46C0-A5F3-8EBE12D83EAB}">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896" authorId="0" shapeId="0" xr:uid="{D0558A12-0314-4522-9E9C-E4C357177B50}">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896" authorId="0" shapeId="0" xr:uid="{687E0F47-A7C6-43A9-99C9-5E1AE97F6B63}">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896" authorId="0" shapeId="0" xr:uid="{BE9FEA13-3C9F-4E87-8655-DE02A6CAF36D}">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897" authorId="0" shapeId="0" xr:uid="{BCECAF5C-1F41-4DE5-8ECB-5D7834C80371}">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897" authorId="0" shapeId="0" xr:uid="{B7BBAD74-4938-43DB-A9CF-52A3878AACAC}">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897" authorId="0" shapeId="0" xr:uid="{04A8EA4D-54C7-4F54-93EB-0B1E3359C8F0}">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898" authorId="1" shapeId="0" xr:uid="{C7EE2CAB-5515-413E-9FE7-A41008D6976B}">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904" authorId="0" shapeId="0" xr:uid="{C8C82A98-FE09-499A-B466-6375E1A8B625}">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904" authorId="0" shapeId="0" xr:uid="{701B9661-E797-434A-B478-CE82782672BB}">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904" authorId="0" shapeId="0" xr:uid="{96B8CFCF-34D3-423D-824F-9E447CE90121}">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905" authorId="0" shapeId="0" xr:uid="{77928E9C-8291-4D96-87FA-DCA406731A3D}">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905" authorId="0" shapeId="0" xr:uid="{2882434C-7ED4-4F5D-88C2-2F7F97630B2F}">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905" authorId="0" shapeId="0" xr:uid="{70458EF3-3865-4C1C-90FF-AC9BFAB51D79}">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906" authorId="0" shapeId="0" xr:uid="{53830295-281F-40FA-B98D-6484BA2AAE08}">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906" authorId="0" shapeId="0" xr:uid="{A1A787F1-EF66-4C8F-90EA-D9D67F92A398}">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906" authorId="0" shapeId="0" xr:uid="{667D4CAC-1BEC-40E6-9814-96E857C582E4}">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907" authorId="0" shapeId="0" xr:uid="{07E4E6FF-63C0-4028-9686-E6E4BF4241E0}">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907" authorId="0" shapeId="0" xr:uid="{EEAD6D92-9CB7-4DBC-8377-B4E5BE2E0458}">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907" authorId="0" shapeId="0" xr:uid="{87BBA9FD-721B-49C9-992D-9983C1C017A9}">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908" authorId="1" shapeId="0" xr:uid="{8568DCE5-5C74-4EDD-B2A1-91FA8F8A1C4D}">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908" authorId="1" shapeId="0" xr:uid="{81C238DD-03F3-4042-8DAF-F39532E4648A}">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908" authorId="1" shapeId="0" xr:uid="{AF59636C-7587-4568-8345-90405AF7034E}">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909" authorId="1" shapeId="0" xr:uid="{43E10B3B-334C-417F-BA6D-A8C44F2E810B}">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909" authorId="1" shapeId="0" xr:uid="{7DD04FCF-8435-4C59-9055-2FCDA912777A}">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909" authorId="1" shapeId="0" xr:uid="{5EA1E347-7C57-4F1E-94D4-8368291C53CE}">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910" authorId="1" shapeId="0" xr:uid="{0B3ABAD6-B765-4FF2-A5FD-9705AD848398}">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910" authorId="1" shapeId="0" xr:uid="{E2B9DFE9-785E-4FF5-8EB2-7BAC49BF6345}">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910" authorId="1" shapeId="0" xr:uid="{C306E37A-7255-4FBB-8CBD-56A12F6F76DC}">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911" authorId="0" shapeId="0" xr:uid="{1AA563AF-D911-4F94-94B0-A5F99A3727B3}">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911" authorId="0" shapeId="0" xr:uid="{510C2A8D-84C0-4C95-AFB1-A346700A748E}">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911" authorId="0" shapeId="0" xr:uid="{AF007A94-3C06-49C0-A531-77868D64F6D4}">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912" authorId="0" shapeId="0" xr:uid="{AFE45C8B-A52F-4B43-93B3-6C35DA7EE68B}">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912" authorId="0" shapeId="0" xr:uid="{CF7E27A3-41BF-4BF7-8171-5CE3601491E3}">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912" authorId="0" shapeId="0" xr:uid="{F2982C61-A426-433C-A770-76824D9489E5}">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913" authorId="1" shapeId="0" xr:uid="{781A7C2B-A3BF-42A7-BCD0-784308897B5A}">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919" authorId="0" shapeId="0" xr:uid="{50E1B9A3-BBA7-41C9-8026-A686CB787816}">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919" authorId="0" shapeId="0" xr:uid="{2D48836C-CEAB-4B12-A300-638DEA3A7C7C}">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919" authorId="0" shapeId="0" xr:uid="{A7256F6C-E1C8-4BE0-AB56-503554ECD90D}">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920" authorId="0" shapeId="0" xr:uid="{BBE49C81-AEEA-403D-8DDB-26AF0FE2C53E}">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920" authorId="0" shapeId="0" xr:uid="{340F21F3-B573-4297-8B77-9CEC869F27D3}">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920" authorId="0" shapeId="0" xr:uid="{FD91CCD6-B134-41EE-A742-5DFAB5BD59BF}">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921" authorId="0" shapeId="0" xr:uid="{1A9CEE83-0AA9-4C6B-A828-9B6C2EB96B0A}">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921" authorId="0" shapeId="0" xr:uid="{67AC0055-7B2A-41F9-BD3F-5B8BD92D8423}">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921" authorId="0" shapeId="0" xr:uid="{3F50AD5C-B964-4093-9FDA-4AA24811F727}">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922" authorId="0" shapeId="0" xr:uid="{6038A27A-6298-481A-811A-8CE8A294AED8}">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922" authorId="0" shapeId="0" xr:uid="{34D8ACF9-9012-41BF-9D9B-A552A5C9EB81}">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922" authorId="0" shapeId="0" xr:uid="{1572430D-8E27-495C-B3A3-5C0BE8BB949D}">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923" authorId="1" shapeId="0" xr:uid="{0B0535F1-E30C-45E9-A0D3-24E42FFF82A5}">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923" authorId="1" shapeId="0" xr:uid="{D8E77F97-4FBD-4F7F-A511-451BC3EE9298}">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923" authorId="1" shapeId="0" xr:uid="{DBD1D243-0206-46CF-9E48-675507AE5EF9}">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924" authorId="1" shapeId="0" xr:uid="{F912DD83-326C-4DD6-9699-A82CA3C54B5B}">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924" authorId="1" shapeId="0" xr:uid="{0F0F3567-4471-40A5-8B92-4BAD49216D80}">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924" authorId="1" shapeId="0" xr:uid="{A403A441-AE5F-420A-ADEE-BB46143FA219}">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925" authorId="1" shapeId="0" xr:uid="{D0CB8910-05D7-4598-BC51-FAD5198970FB}">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925" authorId="1" shapeId="0" xr:uid="{459AA6B9-7AAC-4971-9DBE-D56A0AFA2CB1}">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925" authorId="1" shapeId="0" xr:uid="{5793DB8C-4DA0-4137-A9FA-D17801D10B4B}">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926" authorId="0" shapeId="0" xr:uid="{0B9CDBA3-0547-49D5-A63B-0F83AE2C3A3F}">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926" authorId="0" shapeId="0" xr:uid="{7851B5D9-AAAF-4CBB-9E7E-D565306F391A}">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926" authorId="0" shapeId="0" xr:uid="{F96477FA-7BC9-49D2-A987-B5067284E842}">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927" authorId="0" shapeId="0" xr:uid="{6E69AB83-600E-4192-A4AE-8547D4998F3F}">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927" authorId="0" shapeId="0" xr:uid="{DF9840DA-48FA-461A-B214-D2AE2CB25040}">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927" authorId="0" shapeId="0" xr:uid="{FDDABA80-B9EE-40B3-9D35-10ED07A0EA7B}">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928" authorId="1" shapeId="0" xr:uid="{424A905D-EA31-4E2B-91DF-2791AA6A42AA}">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934" authorId="0" shapeId="0" xr:uid="{25FC2C3F-B03F-44B4-850D-6D3617D165FC}">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934" authorId="0" shapeId="0" xr:uid="{DBF1F048-CE34-497A-BDEA-9385D7AFA0EC}">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934" authorId="0" shapeId="0" xr:uid="{DACBBF11-DF50-4860-859C-FDC9B2334CFB}">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935" authorId="0" shapeId="0" xr:uid="{390E6038-79E6-4680-A282-CA1566FF0BB1}">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935" authorId="0" shapeId="0" xr:uid="{F9B5B9F9-4590-41ED-8011-D883D061D5CD}">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935" authorId="0" shapeId="0" xr:uid="{20FCA7C6-CB1D-4DE4-9382-A9C79B50D933}">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936" authorId="0" shapeId="0" xr:uid="{FF3F4A28-F43C-468C-A0DF-6CB29360E4DF}">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936" authorId="0" shapeId="0" xr:uid="{E8857E0D-D800-4F92-AB8E-61B1A340EB62}">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936" authorId="0" shapeId="0" xr:uid="{C6D99649-7015-42A7-8A8C-D092F28D6615}">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937" authorId="0" shapeId="0" xr:uid="{264B413B-54A0-4868-A03E-14078FA87EB9}">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937" authorId="0" shapeId="0" xr:uid="{410D5111-5D8C-4D0A-807F-CAC34BC615CC}">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937" authorId="0" shapeId="0" xr:uid="{C2B07387-A7C0-479B-9D4F-36B0E9AB7036}">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938" authorId="1" shapeId="0" xr:uid="{B5FF159F-6778-4473-B895-FA363EE5B458}">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938" authorId="1" shapeId="0" xr:uid="{4BFD745F-D97F-4370-A0FE-E8108564CCF7}">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938" authorId="1" shapeId="0" xr:uid="{216D4269-3A10-4876-BDB3-F4CA20DEE1B7}">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939" authorId="1" shapeId="0" xr:uid="{E529B92C-3644-4EAA-B99D-A82298392D99}">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939" authorId="1" shapeId="0" xr:uid="{E7C96604-A5D1-42B4-BF8C-A204BE66A5F6}">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939" authorId="1" shapeId="0" xr:uid="{3B4EBB8D-2586-4660-AFA6-180CF4516604}">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940" authorId="1" shapeId="0" xr:uid="{F1971F70-7567-4D46-9579-3AE8B16D80FF}">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940" authorId="1" shapeId="0" xr:uid="{A8F20B7F-0AA5-4973-83A8-88D0420E88CE}">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940" authorId="1" shapeId="0" xr:uid="{927FB8C8-8B8E-47EE-B0D8-DB2BE30D05AF}">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941" authorId="0" shapeId="0" xr:uid="{58B074B1-AE4E-4454-BA35-45416D81F6AB}">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941" authorId="0" shapeId="0" xr:uid="{2E48BA15-1B1B-45CD-87E6-B13AEDABDB91}">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941" authorId="0" shapeId="0" xr:uid="{BAC741E6-ED20-49F0-A059-E64210BC77E3}">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942" authorId="0" shapeId="0" xr:uid="{79726F3C-40F9-4F17-9DDA-8BE0CC227298}">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942" authorId="0" shapeId="0" xr:uid="{571CDC9B-1D9A-4B1E-AE39-9096926C046E}">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942" authorId="0" shapeId="0" xr:uid="{D8F149CD-E077-45DF-9788-E3DB404DF4DE}">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943" authorId="1" shapeId="0" xr:uid="{F8971326-5766-4EBA-BBE3-BCCF9D37AF34}">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949" authorId="0" shapeId="0" xr:uid="{9205C992-687E-41FB-AD01-59C770B04825}">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949" authorId="0" shapeId="0" xr:uid="{55F5DDBF-C66B-413D-9478-F28B3D6FE1DC}">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949" authorId="0" shapeId="0" xr:uid="{B5FDBA74-9E17-4DFE-87E4-3C1286A2B33E}">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950" authorId="0" shapeId="0" xr:uid="{436B5DD6-A437-4418-AA14-1B1AF899AFB6}">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950" authorId="0" shapeId="0" xr:uid="{4081A7E1-32EC-47F3-B963-4C630F75A17F}">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950" authorId="0" shapeId="0" xr:uid="{A715F958-5806-49BF-AA34-B67EC64819CC}">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951" authorId="0" shapeId="0" xr:uid="{C1815E6A-2995-4BAC-8A0E-B224928E4FCB}">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951" authorId="0" shapeId="0" xr:uid="{57426FEC-5236-4CDA-80D2-691337B87A46}">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951" authorId="0" shapeId="0" xr:uid="{449FD7EC-DF88-435D-ADF9-7EE6BFA6E857}">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952" authorId="0" shapeId="0" xr:uid="{18733ABE-FA37-4E88-A93F-448A1025723E}">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952" authorId="0" shapeId="0" xr:uid="{11F9F86F-38D8-4E3F-8B67-03962F720C37}">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952" authorId="0" shapeId="0" xr:uid="{F4FBCF28-0A99-4723-A91B-9ED9B990F078}">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953" authorId="1" shapeId="0" xr:uid="{584E1142-23D7-4FBA-8685-B78BC59E10C1}">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953" authorId="1" shapeId="0" xr:uid="{A6DAE8EE-BC1C-497F-A7FE-0F4FC2AD4A61}">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953" authorId="1" shapeId="0" xr:uid="{F5AD5CDA-2873-4357-AA8E-19DBF76C7EEB}">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954" authorId="1" shapeId="0" xr:uid="{08390138-1EA4-4FC1-A978-F37CA9152C44}">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954" authorId="1" shapeId="0" xr:uid="{354230FC-03FD-4B3B-B5C9-1EB3AF283F30}">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954" authorId="1" shapeId="0" xr:uid="{7DDC67E7-C6D7-4E8F-AC2E-766056E4E55D}">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955" authorId="1" shapeId="0" xr:uid="{4C6421FB-9D27-44B4-BA70-D990A6D290BE}">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955" authorId="1" shapeId="0" xr:uid="{81D7BAF3-7776-4E5C-984B-A4FB56A3FB12}">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955" authorId="1" shapeId="0" xr:uid="{F58EFAB7-6E7E-406F-AE0B-606929053767}">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956" authorId="0" shapeId="0" xr:uid="{85E8AA8F-987A-44D4-87D3-F90B6EF2CD52}">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956" authorId="0" shapeId="0" xr:uid="{75210DDF-45C3-4843-828B-53AD82A96F9F}">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956" authorId="0" shapeId="0" xr:uid="{4DD52B06-B207-483A-996A-806CF6357505}">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957" authorId="0" shapeId="0" xr:uid="{43E759DE-275C-4C58-98D2-1BD88F4E7D9D}">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957" authorId="0" shapeId="0" xr:uid="{669BB742-19B9-428C-9257-114554CC16A3}">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957" authorId="0" shapeId="0" xr:uid="{3015B6D2-E751-4F46-8D35-B89EE273B84A}">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958" authorId="1" shapeId="0" xr:uid="{146D988D-A97C-4695-A637-9A67DDB29AC8}">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964" authorId="0" shapeId="0" xr:uid="{36432C66-7D98-4835-A60A-1FAF89AF7F66}">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964" authorId="0" shapeId="0" xr:uid="{442DEA6E-F62F-4E51-A98B-5FA4CC782395}">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964" authorId="0" shapeId="0" xr:uid="{397BA847-BB67-4D04-A131-94AA55A52721}">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965" authorId="0" shapeId="0" xr:uid="{BEB29E19-E176-457F-A0D5-0C517478EA63}">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965" authorId="0" shapeId="0" xr:uid="{ABA048A1-94F5-421B-9CDB-DA810DD6FDDD}">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965" authorId="0" shapeId="0" xr:uid="{CAEDCA98-EDD7-45B1-88FB-8877E75AC8EB}">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966" authorId="0" shapeId="0" xr:uid="{9737D95B-6D98-4B35-B857-D00B10299E06}">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966" authorId="0" shapeId="0" xr:uid="{3C98BF9E-DB19-416D-8F7F-FE109C9379BC}">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966" authorId="0" shapeId="0" xr:uid="{4C21ACE1-80BF-48B5-8CBA-058DF7515B87}">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967" authorId="0" shapeId="0" xr:uid="{19D8E3B4-4612-470A-A0A1-75A19067A823}">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967" authorId="0" shapeId="0" xr:uid="{8D2B7C81-D3CB-4F25-A4FA-3DE6C1311DEB}">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967" authorId="0" shapeId="0" xr:uid="{CC105CC0-D9A9-4160-A2CB-91CB420126B4}">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968" authorId="1" shapeId="0" xr:uid="{1A8E4A6F-9167-4A01-83E0-0D4F64BC3F25}">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968" authorId="1" shapeId="0" xr:uid="{24148BFD-0AE3-44A7-B955-A4D0B21E750B}">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968" authorId="1" shapeId="0" xr:uid="{DFF7F63D-B8BD-48E1-9358-5F797A798BD6}">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969" authorId="1" shapeId="0" xr:uid="{43BDF546-84C1-4373-B7CD-12A6EF6389EE}">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969" authorId="1" shapeId="0" xr:uid="{41FD276C-FC72-445C-96AE-E27870DD3E38}">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969" authorId="1" shapeId="0" xr:uid="{B343A243-8138-4CB1-8690-6E1A08B4E1CB}">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970" authorId="1" shapeId="0" xr:uid="{1666D2EC-E256-406E-8F09-29F63EA44673}">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970" authorId="1" shapeId="0" xr:uid="{9F995A4B-0EA4-4297-A60F-7033FA68AB1C}">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970" authorId="1" shapeId="0" xr:uid="{1F335AE6-C8F8-473D-82DF-C50B1DD38896}">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971" authorId="0" shapeId="0" xr:uid="{0F128E93-B7C3-48D2-96E9-DF8BEB2A692C}">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971" authorId="0" shapeId="0" xr:uid="{1BF3C92F-E5FA-4344-8FCF-B59D6CBDCC9F}">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971" authorId="0" shapeId="0" xr:uid="{22C694DB-DFCD-4574-A1A7-5A408DAAC2F2}">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972" authorId="0" shapeId="0" xr:uid="{48B702A3-9795-4DED-BAB1-C083FAED375A}">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972" authorId="0" shapeId="0" xr:uid="{949A4E2F-39EB-4B28-B102-119308F7EB68}">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972" authorId="0" shapeId="0" xr:uid="{8B69CFCF-33D3-4046-998E-8E434DCB287B}">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973" authorId="1" shapeId="0" xr:uid="{076BDFE6-8F86-44E2-BF7B-28B348ED4D3B}">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979" authorId="0" shapeId="0" xr:uid="{7C979F4E-6085-4090-940F-33EB7818B021}">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979" authorId="0" shapeId="0" xr:uid="{8199F5CE-58D6-414E-952B-736385F96C81}">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979" authorId="0" shapeId="0" xr:uid="{A8170E85-DF3B-47FA-A084-99EE33A16AA3}">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980" authorId="0" shapeId="0" xr:uid="{235BD025-DB86-4821-880B-E174FFD35E14}">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980" authorId="0" shapeId="0" xr:uid="{C0140A09-0D49-4CF9-B954-F7DE170A4BA7}">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980" authorId="0" shapeId="0" xr:uid="{2934D87D-B045-43F9-AEBD-774844D595B9}">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981" authorId="0" shapeId="0" xr:uid="{0197ABB2-E228-46D9-849A-3810E6F8CD5C}">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981" authorId="0" shapeId="0" xr:uid="{DECEE920-018D-45F3-91A4-792CD76C75D1}">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981" authorId="0" shapeId="0" xr:uid="{0CDF6372-B65A-44C1-B0E7-20DA1094E61C}">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982" authorId="0" shapeId="0" xr:uid="{DE516EAD-0C87-42CD-87F1-7DC09DB627C1}">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982" authorId="0" shapeId="0" xr:uid="{24693833-8D46-4003-B384-A1A88DCCAB45}">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982" authorId="0" shapeId="0" xr:uid="{D4295207-0B6E-4594-B029-B23CD81643EC}">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983" authorId="1" shapeId="0" xr:uid="{2CA7B766-BEF4-4A13-A535-A9A6398288FA}">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983" authorId="1" shapeId="0" xr:uid="{7995079F-D4EB-4FFF-8F1B-140382193B11}">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983" authorId="1" shapeId="0" xr:uid="{FD3268AF-0361-4C29-9400-A41C5A10460E}">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984" authorId="1" shapeId="0" xr:uid="{5246BB90-27B4-4685-AC5B-26EDA402F1CA}">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984" authorId="1" shapeId="0" xr:uid="{2BAB8940-D3E4-4593-B298-F16D0D482A36}">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984" authorId="1" shapeId="0" xr:uid="{E776B9E6-EFA7-48F4-BC25-C04774D21811}">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985" authorId="1" shapeId="0" xr:uid="{F63E529C-AA70-4CD3-A2F4-88BC8A77641A}">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985" authorId="1" shapeId="0" xr:uid="{0EE302DB-02C3-4936-8CF5-B3DB634B1387}">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985" authorId="1" shapeId="0" xr:uid="{3615143C-6DD8-41CF-9720-F28999EBA763}">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986" authorId="0" shapeId="0" xr:uid="{36A56D8C-2276-4DDC-888D-F607260110B2}">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986" authorId="0" shapeId="0" xr:uid="{A4450C1B-76D5-47E6-84D8-84369921A8E8}">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986" authorId="0" shapeId="0" xr:uid="{1C23D765-5660-4939-884E-46E998F23E06}">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987" authorId="0" shapeId="0" xr:uid="{FDE76614-D42A-42EF-9867-B1406FAFCADC}">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987" authorId="0" shapeId="0" xr:uid="{95313A06-A3DC-4E04-BACD-A682A5E11E0C}">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987" authorId="0" shapeId="0" xr:uid="{5DAE8DB6-B608-407D-90A4-5D09C7E4A619}">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988" authorId="1" shapeId="0" xr:uid="{3196DAF9-B63E-46AA-AE9D-DDC24111B2D4}">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994" authorId="0" shapeId="0" xr:uid="{1A204B46-E2EF-4F1C-813A-C1DFD0766AF6}">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994" authorId="0" shapeId="0" xr:uid="{1710F561-F8CF-4FFD-A212-E94160BCC8BE}">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994" authorId="0" shapeId="0" xr:uid="{16683F09-5DC3-4C6F-ADCD-EE26465A6B61}">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995" authorId="0" shapeId="0" xr:uid="{1D6F75F7-0946-4BC3-A72A-7196A589CAC6}">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995" authorId="0" shapeId="0" xr:uid="{CC550761-EBF8-44E7-B58A-ABC0576ED002}">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995" authorId="0" shapeId="0" xr:uid="{6941136C-3266-459E-8739-ECC1C9941A57}">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996" authorId="0" shapeId="0" xr:uid="{5F62DBAC-A3C2-4B6A-9650-EB57458B7022}">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996" authorId="0" shapeId="0" xr:uid="{7EFC518D-551A-4817-B3CC-32E64F482992}">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996" authorId="0" shapeId="0" xr:uid="{D7A4A57E-7C4A-4D64-8570-3EFF61BEAE64}">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997" authorId="0" shapeId="0" xr:uid="{13F3EAD4-59EF-4C74-AC06-EA50C9578F8B}">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997" authorId="0" shapeId="0" xr:uid="{D63C9973-E6D4-4125-9E21-AB9BEEDE64E8}">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997" authorId="0" shapeId="0" xr:uid="{E3B67365-3EFD-4C1D-96D3-6E5808997723}">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998" authorId="1" shapeId="0" xr:uid="{14B74B69-525A-40CC-8666-8E27109B9191}">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998" authorId="1" shapeId="0" xr:uid="{A0101713-C970-4CE0-8D20-0DD0BD71DB94}">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998" authorId="1" shapeId="0" xr:uid="{AF6E86EB-938F-48B0-8A07-D0DFDB8C08AC}">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999" authorId="1" shapeId="0" xr:uid="{C4FE6468-3BA7-4865-B7B4-8C59B872EE14}">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999" authorId="1" shapeId="0" xr:uid="{62D65E87-C3AA-4187-AF74-51D7E0D4F974}">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999" authorId="1" shapeId="0" xr:uid="{98D23363-B1FF-4401-8A39-7B47E9D235BB}">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1000" authorId="1" shapeId="0" xr:uid="{60D03139-3AA2-44B9-A8AC-D1034897A89C}">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1000" authorId="1" shapeId="0" xr:uid="{6710C748-59AA-480E-A4B8-34868FADA607}">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1000" authorId="1" shapeId="0" xr:uid="{821B6AFF-74FA-4E48-8ECE-7FAA2C16A5DB}">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1001" authorId="0" shapeId="0" xr:uid="{D49B5335-A70E-4584-834C-A639C9D3852C}">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1001" authorId="0" shapeId="0" xr:uid="{FD6615CE-7422-491A-888A-562AE7B68268}">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1001" authorId="0" shapeId="0" xr:uid="{FB49753E-A1BD-4139-8CF5-7463E586A4F1}">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1002" authorId="0" shapeId="0" xr:uid="{3FFC51EE-91BC-4E8D-8209-2F1AE5DB6AE0}">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1002" authorId="0" shapeId="0" xr:uid="{3FA303CD-4EA3-4FDE-8B87-581A9D862EFE}">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1002" authorId="0" shapeId="0" xr:uid="{F6ACF490-34BF-4C12-859C-E60FE6A94987}">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1003" authorId="1" shapeId="0" xr:uid="{51FEB6DE-C29F-48CF-AD21-2160601DCB5F}">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1009" authorId="0" shapeId="0" xr:uid="{545B3CC3-EBC7-46A8-9340-1E36CF6DBBEB}">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1009" authorId="0" shapeId="0" xr:uid="{FD629FC6-31B5-4845-A784-9C4EC8044F02}">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1009" authorId="0" shapeId="0" xr:uid="{809F27D4-B315-470A-9193-79ED4F654AEF}">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1010" authorId="0" shapeId="0" xr:uid="{A61C8566-09AE-4CF6-87A5-C3B3680ABFB0}">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1010" authorId="0" shapeId="0" xr:uid="{AA94337D-8228-486A-8E11-0E43E0CE3B54}">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1010" authorId="0" shapeId="0" xr:uid="{F3DDD6DA-7E7C-46BA-9D36-7DD0026E1059}">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1011" authorId="0" shapeId="0" xr:uid="{1A7AB4E7-2F6F-40CF-88DC-ECC1411B4AA3}">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1011" authorId="0" shapeId="0" xr:uid="{CDA1693F-F445-4E64-A425-A11FE1021C25}">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1011" authorId="0" shapeId="0" xr:uid="{030C5AFF-0892-450C-B4D4-D368174781B5}">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1012" authorId="0" shapeId="0" xr:uid="{72229098-FC36-4472-9C49-F41F62E2C8F3}">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1012" authorId="0" shapeId="0" xr:uid="{C2149EB1-1B4A-40E2-A1BA-658AACDDE86C}">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1012" authorId="0" shapeId="0" xr:uid="{C0E258FD-6796-4736-85E4-86ADA84DDA74}">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1013" authorId="1" shapeId="0" xr:uid="{52C01A09-154E-42CE-85CF-18A0E06ADF7B}">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1013" authorId="1" shapeId="0" xr:uid="{278FB6D4-4C5D-41CA-8329-B41BBFB1948F}">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1013" authorId="1" shapeId="0" xr:uid="{224C0711-0C34-4327-88AE-2815BF810560}">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1014" authorId="1" shapeId="0" xr:uid="{A3D824CB-81A1-487E-99D2-0F0A442EA60C}">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1014" authorId="1" shapeId="0" xr:uid="{EBE75510-BD57-46BB-844D-C7425AA055D4}">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1014" authorId="1" shapeId="0" xr:uid="{07330D35-83D3-416D-8A5B-A0DE772D8FC1}">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1015" authorId="1" shapeId="0" xr:uid="{838C5E8D-300F-4543-A800-9BDCD7DCC8E5}">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1015" authorId="1" shapeId="0" xr:uid="{29D7F902-3F2B-454F-B3E5-96ADB3753942}">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1015" authorId="1" shapeId="0" xr:uid="{F9A2AF2C-33D3-48B6-8C75-2B84267632FC}">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1016" authorId="0" shapeId="0" xr:uid="{B581C85F-978B-49EC-9C16-9B1F4E1B56E5}">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1016" authorId="0" shapeId="0" xr:uid="{64A4D67F-2DF5-488F-A583-5B8EB6636CE1}">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1016" authorId="0" shapeId="0" xr:uid="{36F0960B-E12F-431E-9B40-F227CC31EAC3}">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1017" authorId="0" shapeId="0" xr:uid="{76F05552-C007-4D7A-9E58-BAC90209C76A}">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1017" authorId="0" shapeId="0" xr:uid="{6282EEF2-60AC-4C87-BF9A-4F7D1271E27C}">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1017" authorId="0" shapeId="0" xr:uid="{50EB35C3-C7AB-446D-9F6F-CA8DD7CFDE8D}">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1018" authorId="1" shapeId="0" xr:uid="{D0BE86C4-D07F-46C0-9CA9-A1DF485D6B0F}">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1024" authorId="0" shapeId="0" xr:uid="{8BD5900C-A4AC-43B6-9E2B-FE465C8FBC19}">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1024" authorId="0" shapeId="0" xr:uid="{B0E90500-1689-48BB-A27C-688241286230}">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1024" authorId="0" shapeId="0" xr:uid="{B60F0945-2D18-4B1E-B44E-62D78274AB63}">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1025" authorId="0" shapeId="0" xr:uid="{AF894E87-9A4A-46DE-978E-5CD6B5635B11}">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1025" authorId="0" shapeId="0" xr:uid="{D9EE39F8-83F5-446C-81D4-5A50DD7E6057}">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1025" authorId="0" shapeId="0" xr:uid="{28AD2571-B44D-469C-BF79-AFF505EAECC9}">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1026" authorId="0" shapeId="0" xr:uid="{1278A008-8367-4400-B682-9367A1A28F7B}">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1026" authorId="0" shapeId="0" xr:uid="{E00252B6-AC68-484B-B91A-5BCF67457408}">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1026" authorId="0" shapeId="0" xr:uid="{BDC6DF05-F490-44D6-A803-3E2413261F65}">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1027" authorId="0" shapeId="0" xr:uid="{794A6B7F-C1B1-460B-9C1F-DDD6D52D8E52}">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1027" authorId="0" shapeId="0" xr:uid="{530D6917-2C9A-443A-8912-1EC382C4A445}">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1027" authorId="0" shapeId="0" xr:uid="{9C285846-423F-41B4-80F1-A4D0CDA7F21B}">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1028" authorId="1" shapeId="0" xr:uid="{D78DF813-F4A8-4AB5-8F11-89ABA9ADCC18}">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1028" authorId="1" shapeId="0" xr:uid="{F461F13A-142F-45A2-BE3F-984D82E60F38}">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1028" authorId="1" shapeId="0" xr:uid="{CBB49467-DED6-4FA5-AB42-833B3B16E6C9}">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1029" authorId="1" shapeId="0" xr:uid="{4D2C1B13-BC2D-43D9-BA81-AD7FB2B3D5DF}">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1029" authorId="1" shapeId="0" xr:uid="{EC602EF8-D695-406B-BEF8-167E2EF36252}">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1029" authorId="1" shapeId="0" xr:uid="{90B5650E-AFDE-49AE-989C-5CED39EF973E}">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1030" authorId="1" shapeId="0" xr:uid="{ED0834AF-BA7D-4636-A8E9-A81D93552C7B}">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1030" authorId="1" shapeId="0" xr:uid="{E2C2C251-D19E-48CA-B494-C264799C447B}">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1030" authorId="1" shapeId="0" xr:uid="{FD6CEF36-8C52-4143-9E3E-4CA3D9811186}">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1031" authorId="0" shapeId="0" xr:uid="{C2D05635-DB0A-415A-AC94-50DD6B02CD28}">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1031" authorId="0" shapeId="0" xr:uid="{CE0C018F-77E5-4339-8A8C-47D4DB65423A}">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1031" authorId="0" shapeId="0" xr:uid="{9CE81C20-C3E9-43CD-B7EA-456F1EE69EF0}">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1032" authorId="0" shapeId="0" xr:uid="{1B30F585-DD89-4646-8927-8A1A8A890459}">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1032" authorId="0" shapeId="0" xr:uid="{DAB4B175-FD05-4615-9873-2057AEC8C4F5}">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1032" authorId="0" shapeId="0" xr:uid="{4A769A09-BB08-4E54-8BD0-36DE284C066D}">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1033" authorId="1" shapeId="0" xr:uid="{C7B5CDB9-7AE5-436F-987E-030056952C6A}">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1039" authorId="0" shapeId="0" xr:uid="{C04EC691-0FDA-41B8-9A9A-34320C0C1FF7}">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1039" authorId="0" shapeId="0" xr:uid="{4730A135-FACA-4574-91FC-174782B65F21}">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1039" authorId="0" shapeId="0" xr:uid="{87F5152C-BAA5-45FE-8595-00A903696957}">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1040" authorId="0" shapeId="0" xr:uid="{EE2363A8-D9F0-4DA7-9ACB-4900EA6F6BED}">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1040" authorId="0" shapeId="0" xr:uid="{7D00E221-FF0C-4E14-839D-F1D9E644B801}">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1040" authorId="0" shapeId="0" xr:uid="{2682C34A-0C0D-49D2-8FFD-9CF0C35181FA}">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1041" authorId="0" shapeId="0" xr:uid="{5E33DF9C-1366-4941-B27D-0A4CA426ED35}">
      <text>
        <r>
          <rPr>
            <b/>
            <sz val="9"/>
            <color rgb="FF000000"/>
            <rFont val="Tahoma"/>
            <family val="2"/>
          </rPr>
          <t>Brian Du:</t>
        </r>
        <r>
          <rPr>
            <sz val="9"/>
            <color rgb="FF000000"/>
            <rFont val="Tahoma"/>
            <family val="2"/>
          </rPr>
          <t xml:space="preserve">
</t>
        </r>
        <r>
          <rPr>
            <sz val="9"/>
            <color rgb="FF000000"/>
            <rFont val="Tahoma"/>
            <family val="2"/>
          </rPr>
          <t xml:space="preserve">This measure is a ratio of the stock price to a firm's dividends and dividend growth rate. Firms that are more financially stable can afford to pay lots of dividends because they are able to generate enough earnings.
</t>
        </r>
        <r>
          <rPr>
            <sz val="9"/>
            <color rgb="FF000000"/>
            <rFont val="Tahoma"/>
            <family val="2"/>
          </rPr>
          <t xml:space="preserve">
</t>
        </r>
        <r>
          <rPr>
            <sz val="9"/>
            <color rgb="FF000000"/>
            <rFont val="Tahoma"/>
            <family val="2"/>
          </rPr>
          <t>We want the number here to be as low as possible.</t>
        </r>
      </text>
    </comment>
    <comment ref="V1041" authorId="0" shapeId="0" xr:uid="{961627BB-72FD-46A8-A0F3-3DF89E781D59}">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1041" authorId="0" shapeId="0" xr:uid="{06747941-7B24-43AE-84FC-AE0108DED9E9}">
      <text>
        <r>
          <rPr>
            <b/>
            <sz val="9"/>
            <color rgb="FF000000"/>
            <rFont val="Tahoma"/>
            <family val="2"/>
          </rPr>
          <t>Brian Du:</t>
        </r>
        <r>
          <rPr>
            <sz val="9"/>
            <color rgb="FF000000"/>
            <rFont val="Tahoma"/>
            <family val="2"/>
          </rPr>
          <t xml:space="preserve">
</t>
        </r>
        <r>
          <rPr>
            <sz val="9"/>
            <color rgb="FF000000"/>
            <rFont val="Tahoma"/>
            <family val="2"/>
          </rPr>
          <t xml:space="preserve">This measure is a ratio of the stock price to a firm's dividends and dividend growth rate. Firms that are more financially stable can afford to pay lots of dividends because they are able to generate enough earnings.
</t>
        </r>
        <r>
          <rPr>
            <sz val="9"/>
            <color rgb="FF000000"/>
            <rFont val="Tahoma"/>
            <family val="2"/>
          </rPr>
          <t xml:space="preserve">
</t>
        </r>
        <r>
          <rPr>
            <sz val="9"/>
            <color rgb="FF000000"/>
            <rFont val="Tahoma"/>
            <family val="2"/>
          </rPr>
          <t>We want the number here to be as low as possible.</t>
        </r>
      </text>
    </comment>
    <comment ref="R1042" authorId="0" shapeId="0" xr:uid="{FAEC743D-9783-4D31-BCB0-00C2C2A0E506}">
      <text>
        <r>
          <rPr>
            <b/>
            <sz val="9"/>
            <color rgb="FF000000"/>
            <rFont val="Tahoma"/>
            <family val="2"/>
          </rPr>
          <t>Brian Du:</t>
        </r>
        <r>
          <rPr>
            <sz val="9"/>
            <color rgb="FF000000"/>
            <rFont val="Tahoma"/>
            <family val="2"/>
          </rPr>
          <t xml:space="preserve">
</t>
        </r>
        <r>
          <rPr>
            <sz val="9"/>
            <color rgb="FF000000"/>
            <rFont val="Tahoma"/>
            <family val="2"/>
          </rPr>
          <t xml:space="preserve">This measure looks at the change in the number of shares outstanding in a firm. Firms that buyback shares will have lower shares outstanding and firms that issue more shares will have higher shares outstanding.
</t>
        </r>
        <r>
          <rPr>
            <sz val="9"/>
            <color rgb="FF000000"/>
            <rFont val="Tahoma"/>
            <family val="2"/>
          </rPr>
          <t xml:space="preserve">
</t>
        </r>
        <r>
          <rPr>
            <sz val="9"/>
            <color rgb="FF000000"/>
            <rFont val="Tahoma"/>
            <family val="2"/>
          </rPr>
          <t xml:space="preserve">Stock repurchases are another way to return money to shareholders because it makes the shares more valuable. We want shares outstanding to be decreasing over time. 
</t>
        </r>
        <r>
          <rPr>
            <sz val="9"/>
            <color rgb="FF000000"/>
            <rFont val="Tahoma"/>
            <family val="2"/>
          </rPr>
          <t xml:space="preserve">
</t>
        </r>
        <r>
          <rPr>
            <sz val="9"/>
            <color rgb="FF000000"/>
            <rFont val="Tahoma"/>
            <family val="2"/>
          </rPr>
          <t xml:space="preserve">
</t>
        </r>
        <r>
          <rPr>
            <sz val="9"/>
            <color rgb="FF000000"/>
            <rFont val="Tahoma"/>
            <family val="2"/>
          </rPr>
          <t>The more negative, the better.</t>
        </r>
      </text>
    </comment>
    <comment ref="V1042" authorId="0" shapeId="0" xr:uid="{0A9D5028-8B61-4172-A6A3-6806DA2F378F}">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1042" authorId="0" shapeId="0" xr:uid="{AC1B751E-6320-4D23-838A-59F69B6D008D}">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1043" authorId="1" shapeId="0" xr:uid="{5C45EE1D-AC9E-4EA1-A4DE-09ED485AFD7E}">
      <text>
        <r>
          <rPr>
            <b/>
            <sz val="9"/>
            <color rgb="FF000000"/>
            <rFont val="Tahoma"/>
            <family val="2"/>
          </rPr>
          <t>brian du:</t>
        </r>
        <r>
          <rPr>
            <sz val="9"/>
            <color rgb="FF000000"/>
            <rFont val="Tahoma"/>
            <family val="2"/>
          </rPr>
          <t xml:space="preserve">
</t>
        </r>
        <r>
          <rPr>
            <sz val="9"/>
            <color rgb="FF000000"/>
            <rFont val="Tahoma"/>
            <family val="2"/>
          </rPr>
          <t xml:space="preserve">This measure looks at the ratio of earnings to revenue. It looks at how efficiently a firm is able to convert revenue into earnings.
</t>
        </r>
        <r>
          <rPr>
            <sz val="9"/>
            <color rgb="FF000000"/>
            <rFont val="Tahoma"/>
            <family val="2"/>
          </rPr>
          <t xml:space="preserve">
</t>
        </r>
        <r>
          <rPr>
            <sz val="9"/>
            <color rgb="FF000000"/>
            <rFont val="Tahoma"/>
            <family val="2"/>
          </rPr>
          <t xml:space="preserve">We want this to be as high as possible. A negative value here means earnings is negative. Give a 1 to firms that have a negative ratio.
</t>
        </r>
      </text>
    </comment>
    <comment ref="V1043" authorId="1" shapeId="0" xr:uid="{94EC0010-D280-4450-B6D9-E2DE40CC0770}">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1043" authorId="1" shapeId="0" xr:uid="{F302A87F-7F37-48D4-A512-B78E98A74AA3}">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1044" authorId="1" shapeId="0" xr:uid="{CF57060E-F447-4253-BDB3-1580AB324775}">
      <text>
        <r>
          <rPr>
            <b/>
            <sz val="9"/>
            <color rgb="FF000000"/>
            <rFont val="Tahoma"/>
            <family val="2"/>
          </rPr>
          <t>brian du:</t>
        </r>
        <r>
          <rPr>
            <sz val="9"/>
            <color rgb="FF000000"/>
            <rFont val="Tahoma"/>
            <family val="2"/>
          </rPr>
          <t xml:space="preserve">
</t>
        </r>
        <r>
          <rPr>
            <sz val="9"/>
            <color rgb="FF000000"/>
            <rFont val="Tahoma"/>
            <family val="2"/>
          </rPr>
          <t xml:space="preserve">This measure looks at the ratio of free cash flow to total assets. It also considers the consistency of free cash flow.
</t>
        </r>
        <r>
          <rPr>
            <sz val="9"/>
            <color rgb="FF000000"/>
            <rFont val="Tahoma"/>
            <family val="2"/>
          </rPr>
          <t xml:space="preserve">
</t>
        </r>
        <r>
          <rPr>
            <sz val="9"/>
            <color rgb="FF000000"/>
            <rFont val="Tahoma"/>
            <family val="2"/>
          </rPr>
          <t xml:space="preserve">This ratio measures how efficiently the firm converts it's assets into cash.
</t>
        </r>
        <r>
          <rPr>
            <sz val="9"/>
            <color rgb="FF000000"/>
            <rFont val="Tahoma"/>
            <family val="2"/>
          </rPr>
          <t xml:space="preserve">
</t>
        </r>
        <r>
          <rPr>
            <sz val="9"/>
            <color rgb="FF000000"/>
            <rFont val="Tahoma"/>
            <family val="2"/>
          </rPr>
          <t>We want this as high as possible. A negative ratio here means negative FCF. Give a 1 for negative ROA.</t>
        </r>
      </text>
    </comment>
    <comment ref="V1044" authorId="1" shapeId="0" xr:uid="{4672F348-4A5E-4D97-B376-0F51C234F80E}">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1044" authorId="1" shapeId="0" xr:uid="{00CD965F-67F7-42D7-B4DB-500F61A23560}">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1045" authorId="1" shapeId="0" xr:uid="{85FD8816-AC36-4FBE-BAE3-7410646C1514}">
      <text>
        <r>
          <rPr>
            <b/>
            <sz val="9"/>
            <color rgb="FF000000"/>
            <rFont val="Tahoma"/>
            <family val="2"/>
          </rPr>
          <t>brian du:</t>
        </r>
        <r>
          <rPr>
            <sz val="9"/>
            <color rgb="FF000000"/>
            <rFont val="Tahoma"/>
            <family val="2"/>
          </rPr>
          <t xml:space="preserve">
</t>
        </r>
        <r>
          <rPr>
            <sz val="9"/>
            <color rgb="FF000000"/>
            <rFont val="Tahoma"/>
            <family val="2"/>
          </rPr>
          <t xml:space="preserve">This measure looks at the slope of the 10-year ordinary least square (OLS) EBITDA margin % trendline. A positive slope means the margin %'s are increasing. A higher positive slope means the trendline is increasing faster.
</t>
        </r>
        <r>
          <rPr>
            <sz val="9"/>
            <color rgb="FF000000"/>
            <rFont val="Tahoma"/>
            <family val="2"/>
          </rPr>
          <t xml:space="preserve">
</t>
        </r>
        <r>
          <rPr>
            <sz val="9"/>
            <color rgb="FF000000"/>
            <rFont val="Tahoma"/>
            <family val="2"/>
          </rPr>
          <t>We want a larger value here. A negative number is not good but in the analysis include values that are close to zero. Give the more negative values a score of 1.</t>
        </r>
      </text>
    </comment>
    <comment ref="V1045" authorId="1" shapeId="0" xr:uid="{DDB21CF6-4407-44FF-A9B9-48270829AF8C}">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1045" authorId="1" shapeId="0" xr:uid="{9206BF04-F9E5-40B7-ACF7-C06C04BB53F5}">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1046" authorId="0" shapeId="0" xr:uid="{01C3D45C-8565-44E2-BECC-0D6134FEE518}">
      <text>
        <r>
          <rPr>
            <b/>
            <sz val="9"/>
            <color rgb="FF000000"/>
            <rFont val="Tahoma"/>
            <family val="2"/>
          </rPr>
          <t>Brian Du:</t>
        </r>
        <r>
          <rPr>
            <sz val="9"/>
            <color rgb="FF000000"/>
            <rFont val="Tahoma"/>
            <family val="2"/>
          </rPr>
          <t xml:space="preserve">
</t>
        </r>
        <r>
          <rPr>
            <sz val="9"/>
            <color rgb="FF000000"/>
            <rFont val="Tahoma"/>
            <family val="2"/>
          </rPr>
          <t xml:space="preserve">This measure is the ratio of debt to free cash flow. It looks at how much debt they are raising compared to how much cash they bring in.
</t>
        </r>
        <r>
          <rPr>
            <sz val="9"/>
            <color rgb="FF000000"/>
            <rFont val="Tahoma"/>
            <family val="2"/>
          </rPr>
          <t xml:space="preserve">
</t>
        </r>
        <r>
          <rPr>
            <sz val="9"/>
            <color rgb="FF000000"/>
            <rFont val="Tahoma"/>
            <family val="2"/>
          </rPr>
          <t xml:space="preserve">Some debt is actually healthy for a firm. No need to do z-score. Do manual scoring here.
</t>
        </r>
        <r>
          <rPr>
            <sz val="9"/>
            <color rgb="FF000000"/>
            <rFont val="Tahoma"/>
            <family val="2"/>
          </rPr>
          <t xml:space="preserve">
</t>
        </r>
        <r>
          <rPr>
            <sz val="9"/>
            <color rgb="FF000000"/>
            <rFont val="Tahoma"/>
            <family val="2"/>
          </rPr>
          <t xml:space="preserve">If this is &lt;25%, give a score of 5.
</t>
        </r>
        <r>
          <rPr>
            <sz val="9"/>
            <color rgb="FF000000"/>
            <rFont val="Tahoma"/>
            <family val="2"/>
          </rPr>
          <t xml:space="preserve">Between 25-30%, ~4.75.
</t>
        </r>
        <r>
          <rPr>
            <sz val="9"/>
            <color rgb="FF000000"/>
            <rFont val="Tahoma"/>
            <family val="2"/>
          </rPr>
          <t xml:space="preserve">Between 30-35%, ~4.4.
</t>
        </r>
        <r>
          <rPr>
            <sz val="9"/>
            <color rgb="FF000000"/>
            <rFont val="Tahoma"/>
            <family val="2"/>
          </rPr>
          <t xml:space="preserve">Between 35-40%, ~3.9.
</t>
        </r>
        <r>
          <rPr>
            <sz val="9"/>
            <color rgb="FF000000"/>
            <rFont val="Tahoma"/>
            <family val="2"/>
          </rPr>
          <t xml:space="preserve">Between 40-45%, ~3.2.
</t>
        </r>
        <r>
          <rPr>
            <sz val="9"/>
            <color rgb="FF000000"/>
            <rFont val="Tahoma"/>
            <family val="2"/>
          </rPr>
          <t xml:space="preserve">Between 45-50%, ~2.4.
</t>
        </r>
        <r>
          <rPr>
            <sz val="9"/>
            <color rgb="FF000000"/>
            <rFont val="Tahoma"/>
            <family val="2"/>
          </rPr>
          <t xml:space="preserve">If it is &gt;100%, give a score of 1. 
</t>
        </r>
        <r>
          <rPr>
            <sz val="9"/>
            <color rgb="FF000000"/>
            <rFont val="Tahoma"/>
            <family val="2"/>
          </rPr>
          <t xml:space="preserve">
</t>
        </r>
        <r>
          <rPr>
            <sz val="9"/>
            <color rgb="FF000000"/>
            <rFont val="Tahoma"/>
            <family val="2"/>
          </rPr>
          <t>Use discretion in assigning scores.</t>
        </r>
      </text>
    </comment>
    <comment ref="V1046" authorId="0" shapeId="0" xr:uid="{C975041E-DCEB-4B47-B00F-30607D9BCD43}">
      <text>
        <r>
          <rPr>
            <b/>
            <sz val="9"/>
            <color rgb="FF000000"/>
            <rFont val="Tahoma"/>
            <family val="2"/>
          </rPr>
          <t>Brian Du:</t>
        </r>
        <r>
          <rPr>
            <sz val="9"/>
            <color rgb="FF000000"/>
            <rFont val="Tahoma"/>
            <family val="2"/>
          </rPr>
          <t xml:space="preserve">
</t>
        </r>
        <r>
          <rPr>
            <sz val="9"/>
            <color rgb="FF000000"/>
            <rFont val="Tahoma"/>
            <family val="2"/>
          </rPr>
          <t xml:space="preserve">This measure is the ratio of debt to free cash flow. It looks at how much debt they are raising compared to how much cash they bring in.
</t>
        </r>
        <r>
          <rPr>
            <sz val="9"/>
            <color rgb="FF000000"/>
            <rFont val="Tahoma"/>
            <family val="2"/>
          </rPr>
          <t xml:space="preserve">
</t>
        </r>
        <r>
          <rPr>
            <sz val="9"/>
            <color rgb="FF000000"/>
            <rFont val="Tahoma"/>
            <family val="2"/>
          </rPr>
          <t xml:space="preserve">Some debt is actually healthy for a firm. No need to do z-score. Do manual scoring here.
</t>
        </r>
        <r>
          <rPr>
            <sz val="9"/>
            <color rgb="FF000000"/>
            <rFont val="Tahoma"/>
            <family val="2"/>
          </rPr>
          <t xml:space="preserve">
</t>
        </r>
        <r>
          <rPr>
            <sz val="9"/>
            <color rgb="FF000000"/>
            <rFont val="Tahoma"/>
            <family val="2"/>
          </rPr>
          <t xml:space="preserve">If this is &lt;25%, give a score of 5.
</t>
        </r>
        <r>
          <rPr>
            <sz val="9"/>
            <color rgb="FF000000"/>
            <rFont val="Tahoma"/>
            <family val="2"/>
          </rPr>
          <t xml:space="preserve">Between 25-30%, ~4.75.
</t>
        </r>
        <r>
          <rPr>
            <sz val="9"/>
            <color rgb="FF000000"/>
            <rFont val="Tahoma"/>
            <family val="2"/>
          </rPr>
          <t xml:space="preserve">Between 30-35%, ~4.4.
</t>
        </r>
        <r>
          <rPr>
            <sz val="9"/>
            <color rgb="FF000000"/>
            <rFont val="Tahoma"/>
            <family val="2"/>
          </rPr>
          <t xml:space="preserve">Between 35-40%, ~3.9.
</t>
        </r>
        <r>
          <rPr>
            <sz val="9"/>
            <color rgb="FF000000"/>
            <rFont val="Tahoma"/>
            <family val="2"/>
          </rPr>
          <t xml:space="preserve">Between 40-45%, ~3.2.
</t>
        </r>
        <r>
          <rPr>
            <sz val="9"/>
            <color rgb="FF000000"/>
            <rFont val="Tahoma"/>
            <family val="2"/>
          </rPr>
          <t xml:space="preserve">Between 45-50%, ~2.4.
</t>
        </r>
        <r>
          <rPr>
            <sz val="9"/>
            <color rgb="FF000000"/>
            <rFont val="Tahoma"/>
            <family val="2"/>
          </rPr>
          <t xml:space="preserve">If it is &gt;100%, give a score of 1. 
</t>
        </r>
        <r>
          <rPr>
            <sz val="9"/>
            <color rgb="FF000000"/>
            <rFont val="Tahoma"/>
            <family val="2"/>
          </rPr>
          <t xml:space="preserve">
</t>
        </r>
        <r>
          <rPr>
            <sz val="9"/>
            <color rgb="FF000000"/>
            <rFont val="Tahoma"/>
            <family val="2"/>
          </rPr>
          <t>Use discretion in assigning scores.</t>
        </r>
      </text>
    </comment>
    <comment ref="Z1046" authorId="0" shapeId="0" xr:uid="{846E423E-50E0-4944-9CE5-8D7F545DE366}">
      <text>
        <r>
          <rPr>
            <b/>
            <sz val="9"/>
            <color rgb="FF000000"/>
            <rFont val="Tahoma"/>
            <family val="2"/>
          </rPr>
          <t>Brian Du:</t>
        </r>
        <r>
          <rPr>
            <sz val="9"/>
            <color rgb="FF000000"/>
            <rFont val="Tahoma"/>
            <family val="2"/>
          </rPr>
          <t xml:space="preserve">
</t>
        </r>
        <r>
          <rPr>
            <sz val="9"/>
            <color rgb="FF000000"/>
            <rFont val="Tahoma"/>
            <family val="2"/>
          </rPr>
          <t xml:space="preserve">This measure is the ratio of debt to free cash flow. It looks at how much debt they are raising compared to how much cash they bring in.
</t>
        </r>
        <r>
          <rPr>
            <sz val="9"/>
            <color rgb="FF000000"/>
            <rFont val="Tahoma"/>
            <family val="2"/>
          </rPr>
          <t xml:space="preserve">
</t>
        </r>
        <r>
          <rPr>
            <sz val="9"/>
            <color rgb="FF000000"/>
            <rFont val="Tahoma"/>
            <family val="2"/>
          </rPr>
          <t xml:space="preserve">Some debt is actually healthy for a firm. No need to do z-score. Do manual scoring here.
</t>
        </r>
        <r>
          <rPr>
            <sz val="9"/>
            <color rgb="FF000000"/>
            <rFont val="Tahoma"/>
            <family val="2"/>
          </rPr>
          <t xml:space="preserve">
</t>
        </r>
        <r>
          <rPr>
            <sz val="9"/>
            <color rgb="FF000000"/>
            <rFont val="Tahoma"/>
            <family val="2"/>
          </rPr>
          <t xml:space="preserve">If this is &lt;25%, give a score of 5.
</t>
        </r>
        <r>
          <rPr>
            <sz val="9"/>
            <color rgb="FF000000"/>
            <rFont val="Tahoma"/>
            <family val="2"/>
          </rPr>
          <t xml:space="preserve">Between 25-30%, ~4.75.
</t>
        </r>
        <r>
          <rPr>
            <sz val="9"/>
            <color rgb="FF000000"/>
            <rFont val="Tahoma"/>
            <family val="2"/>
          </rPr>
          <t xml:space="preserve">Between 30-35%, ~4.4.
</t>
        </r>
        <r>
          <rPr>
            <sz val="9"/>
            <color rgb="FF000000"/>
            <rFont val="Tahoma"/>
            <family val="2"/>
          </rPr>
          <t xml:space="preserve">Between 35-40%, ~3.9.
</t>
        </r>
        <r>
          <rPr>
            <sz val="9"/>
            <color rgb="FF000000"/>
            <rFont val="Tahoma"/>
            <family val="2"/>
          </rPr>
          <t xml:space="preserve">Between 40-45%, ~3.2.
</t>
        </r>
        <r>
          <rPr>
            <sz val="9"/>
            <color rgb="FF000000"/>
            <rFont val="Tahoma"/>
            <family val="2"/>
          </rPr>
          <t xml:space="preserve">Between 45-50%, ~2.4.
</t>
        </r>
        <r>
          <rPr>
            <sz val="9"/>
            <color rgb="FF000000"/>
            <rFont val="Tahoma"/>
            <family val="2"/>
          </rPr>
          <t xml:space="preserve">If it is &gt;100%, give a score of 1. 
</t>
        </r>
        <r>
          <rPr>
            <sz val="9"/>
            <color rgb="FF000000"/>
            <rFont val="Tahoma"/>
            <family val="2"/>
          </rPr>
          <t xml:space="preserve">
</t>
        </r>
        <r>
          <rPr>
            <sz val="9"/>
            <color rgb="FF000000"/>
            <rFont val="Tahoma"/>
            <family val="2"/>
          </rPr>
          <t>Use discretion in assigning scores.</t>
        </r>
      </text>
    </comment>
    <comment ref="R1047" authorId="0" shapeId="0" xr:uid="{6D6C39E3-96C2-46DA-8C13-DEB299B25D18}">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1047" authorId="0" shapeId="0" xr:uid="{961F5FED-31C5-4617-9BB6-3972F2019FC1}">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1047" authorId="0" shapeId="0" xr:uid="{213576F2-0A25-4A3E-BE9D-DD2331AF3E21}">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1048" authorId="1" shapeId="0" xr:uid="{0F1A3BCC-126C-493C-A5AD-0B9C31B4723B}">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1054" authorId="0" shapeId="0" xr:uid="{23E9B176-8433-44DF-B5F3-66FF6208796D}">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1054" authorId="0" shapeId="0" xr:uid="{F225BA83-0707-4B1D-9596-1C375002CFD5}">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1054" authorId="0" shapeId="0" xr:uid="{C5D27A36-41CB-430D-88D3-F634779F07A0}">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1055" authorId="0" shapeId="0" xr:uid="{B6536FC8-48A8-4F8C-91BD-07D5CA9EADD8}">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1055" authorId="0" shapeId="0" xr:uid="{5536FD0A-5A04-47D4-A3A8-8D28B8BE1155}">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1055" authorId="0" shapeId="0" xr:uid="{DA78A4C4-4F8D-4AAB-9C34-FF517242A058}">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1056" authorId="0" shapeId="0" xr:uid="{0DC5E5D7-6CB6-4F90-B7ED-B36E59834D88}">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1056" authorId="0" shapeId="0" xr:uid="{1C4D8EEB-C765-486B-9354-D5D1A5A97C05}">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1056" authorId="0" shapeId="0" xr:uid="{33AA5DE1-6358-4AB6-896C-108454FC8D6A}">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1057" authorId="0" shapeId="0" xr:uid="{7311F9F3-BE39-49E1-BC71-DC63CF4EBCF2}">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1057" authorId="0" shapeId="0" xr:uid="{DB63EB3F-32D3-4E37-95CE-C7D35A1FB8BC}">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1057" authorId="0" shapeId="0" xr:uid="{371B3EA8-C93C-40FE-9336-201592724F2C}">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1058" authorId="1" shapeId="0" xr:uid="{CDE95989-19A9-4C08-958B-638F1896D6AA}">
      <text>
        <r>
          <rPr>
            <b/>
            <sz val="9"/>
            <color rgb="FF000000"/>
            <rFont val="Tahoma"/>
            <family val="2"/>
          </rPr>
          <t>brian du:</t>
        </r>
        <r>
          <rPr>
            <sz val="9"/>
            <color rgb="FF000000"/>
            <rFont val="Tahoma"/>
            <family val="2"/>
          </rPr>
          <t xml:space="preserve">
</t>
        </r>
        <r>
          <rPr>
            <sz val="9"/>
            <color rgb="FF000000"/>
            <rFont val="Tahoma"/>
            <family val="2"/>
          </rPr>
          <t xml:space="preserve">This measure looks at the ratio of earnings to revenue. It looks at how efficiently a firm is able to convert revenue into earnings.
</t>
        </r>
        <r>
          <rPr>
            <sz val="9"/>
            <color rgb="FF000000"/>
            <rFont val="Tahoma"/>
            <family val="2"/>
          </rPr>
          <t xml:space="preserve">
</t>
        </r>
        <r>
          <rPr>
            <sz val="9"/>
            <color rgb="FF000000"/>
            <rFont val="Tahoma"/>
            <family val="2"/>
          </rPr>
          <t xml:space="preserve">We want this to be as high as possible. A negative value here means earnings is negative. Give a 1 to firms that have a negative ratio.
</t>
        </r>
      </text>
    </comment>
    <comment ref="V1058" authorId="1" shapeId="0" xr:uid="{7DD79085-EEF6-4F1E-911A-3984D6095A42}">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1058" authorId="1" shapeId="0" xr:uid="{CBE6BB40-99C5-4A56-90C9-9AB283F55C19}">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1059" authorId="1" shapeId="0" xr:uid="{70098E5A-77CB-4F1B-917B-C3C08F9774C2}">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1059" authorId="1" shapeId="0" xr:uid="{3A63BD35-9897-4A10-9391-108CB299CF94}">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1059" authorId="1" shapeId="0" xr:uid="{6630963C-62E8-4E4E-8FEA-48948EE0261F}">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1060" authorId="1" shapeId="0" xr:uid="{14EBA252-1E12-438F-B299-019833C19CD6}">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1060" authorId="1" shapeId="0" xr:uid="{A65ECB8F-5016-42DB-A617-0C716750A9B1}">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1060" authorId="1" shapeId="0" xr:uid="{21BE2185-1987-4095-8088-5EF5BB8532BF}">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1061" authorId="0" shapeId="0" xr:uid="{9831DBFC-9DBF-4731-88F2-3ABB4B0E839B}">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1061" authorId="0" shapeId="0" xr:uid="{9A240B9E-B6A9-49FA-B47A-220F4E4993D1}">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1061" authorId="0" shapeId="0" xr:uid="{675CF753-F95E-4C56-8CE3-8DC3285566DD}">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1062" authorId="0" shapeId="0" xr:uid="{F2F085B8-952E-41AA-9E39-8746FF9E50C5}">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1062" authorId="0" shapeId="0" xr:uid="{D6B43044-4F9E-4A3B-9753-6BEF4117D726}">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1062" authorId="0" shapeId="0" xr:uid="{6978FD25-0DD5-435A-B4D4-03C51F0A6EC5}">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1063" authorId="1" shapeId="0" xr:uid="{6F65EA74-C1A8-493D-B73A-C11FA70779CA}">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1069" authorId="0" shapeId="0" xr:uid="{7D401D08-86EB-470A-B394-F862B2B43A44}">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1069" authorId="0" shapeId="0" xr:uid="{ED68ADA6-41E6-4259-99CC-71437CA4552E}">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1069" authorId="0" shapeId="0" xr:uid="{0F39555E-AA36-4D88-8CFB-641A4B9FFBAC}">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1070" authorId="0" shapeId="0" xr:uid="{1E10DC84-F043-45BA-AC3B-879C635FABAD}">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1070" authorId="0" shapeId="0" xr:uid="{5C817D12-8983-49BB-BB43-FAF59624DD3B}">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1070" authorId="0" shapeId="0" xr:uid="{56D86171-001E-41E8-B9B1-3FAA252347B4}">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1071" authorId="0" shapeId="0" xr:uid="{11AD575E-8BA7-459D-9E4A-65F21E8F0A44}">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1071" authorId="0" shapeId="0" xr:uid="{74534103-8F79-4A6A-8CA0-4BADCEF0761A}">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1071" authorId="0" shapeId="0" xr:uid="{15D00DCE-5206-4C97-9EFD-E922A0BF175C}">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1072" authorId="0" shapeId="0" xr:uid="{22A007A0-97B3-4F4C-BE34-D697AEDCEC0E}">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1072" authorId="0" shapeId="0" xr:uid="{70ED817D-0C82-4D56-BB9D-F118A8A3BDBE}">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1072" authorId="0" shapeId="0" xr:uid="{5F4D8D2B-F0BD-4FEC-A889-A036D6C5FE64}">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1073" authorId="1" shapeId="0" xr:uid="{4014B973-9E8A-46A3-A7E7-AD023398EE60}">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1073" authorId="1" shapeId="0" xr:uid="{7F95956E-3DBF-44DA-81B7-9B2ABFF63EC0}">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1073" authorId="1" shapeId="0" xr:uid="{36594307-0BF7-4C8D-A915-F2EC37082A7D}">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1074" authorId="1" shapeId="0" xr:uid="{0069AAA2-DC80-49A3-A2EE-6674B058DEC0}">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1074" authorId="1" shapeId="0" xr:uid="{B176F3B0-70BF-466B-8F81-8A9B5B574B25}">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1074" authorId="1" shapeId="0" xr:uid="{C3A3CA27-3E55-4D7B-8B94-D1E09F542D26}">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1075" authorId="1" shapeId="0" xr:uid="{C6B9236E-03E4-46F0-96A9-3C73EC59749C}">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1075" authorId="1" shapeId="0" xr:uid="{0031404E-6F0A-490B-BC65-423D2C6DE753}">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1075" authorId="1" shapeId="0" xr:uid="{60281055-41EB-472C-AC72-B91E64D17F3E}">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1076" authorId="0" shapeId="0" xr:uid="{B56D9031-BC56-4C72-869E-7BE3BA5E0F55}">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1076" authorId="0" shapeId="0" xr:uid="{711DC3F4-C884-4CA1-9769-66AB2BF9A318}">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1076" authorId="0" shapeId="0" xr:uid="{F6A2EE2E-F56F-4D6E-A2C1-7E55698DC285}">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1077" authorId="0" shapeId="0" xr:uid="{B7092095-4831-4007-AFDF-7EBF51B54555}">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1077" authorId="0" shapeId="0" xr:uid="{E4EC45B4-250C-4D8F-BB02-48915DEF89D8}">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1077" authorId="0" shapeId="0" xr:uid="{DF8D9A58-748A-41BC-8528-3691F26E5760}">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1078" authorId="1" shapeId="0" xr:uid="{A46BA91E-EB3D-4B17-81F0-1F41CC9FDA21}">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1084" authorId="0" shapeId="0" xr:uid="{74B2909D-6A7B-40F8-83DE-F45934A4520C}">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1084" authorId="0" shapeId="0" xr:uid="{B39A22B6-759D-41C1-82C3-F18923C232DF}">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1084" authorId="0" shapeId="0" xr:uid="{63F3C901-0EA7-46B1-9CD1-CD17A6CB396D}">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1085" authorId="0" shapeId="0" xr:uid="{ACBC87BF-01D2-42EB-8668-65A217A1B3B5}">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1085" authorId="0" shapeId="0" xr:uid="{593B2CC3-3298-4333-95F3-A0DB2ADB0957}">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1085" authorId="0" shapeId="0" xr:uid="{237743D4-D175-4055-A8B6-0FB6E02F0072}">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1086" authorId="0" shapeId="0" xr:uid="{E3F5A2AC-081D-4770-8255-FFA585263768}">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1086" authorId="0" shapeId="0" xr:uid="{9F94120F-6C19-4D6E-9027-25A4F88DA61A}">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1086" authorId="0" shapeId="0" xr:uid="{DE8FCFA4-BDE0-48C1-8184-86C43E78A8B2}">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1087" authorId="0" shapeId="0" xr:uid="{C2745B91-706E-448E-AB34-B29B3B39225F}">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1087" authorId="0" shapeId="0" xr:uid="{0154E2AC-832D-471D-BFE7-F9AFFBA120A6}">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1087" authorId="0" shapeId="0" xr:uid="{B41708BD-4C60-4FA5-80D9-D4D448A15A31}">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1088" authorId="1" shapeId="0" xr:uid="{F0792196-3961-4F1F-BA5A-16D9F3CFEFF4}">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1088" authorId="1" shapeId="0" xr:uid="{8744D18D-0837-4EF3-A0A2-BFCE390FE0A3}">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1088" authorId="1" shapeId="0" xr:uid="{05BF2502-FF29-4917-BAC2-973B836C92F9}">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1089" authorId="1" shapeId="0" xr:uid="{0A5994D8-5C7C-4C91-B38A-5C9967D11DD0}">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1089" authorId="1" shapeId="0" xr:uid="{AB0D5920-559D-43F4-BCE9-645FE621FAB9}">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1089" authorId="1" shapeId="0" xr:uid="{4A341718-83FB-4AA0-A50B-5DC48F281B10}">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1090" authorId="1" shapeId="0" xr:uid="{0CBC3746-1D92-4A02-ABB3-0B0ABEB08150}">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1090" authorId="1" shapeId="0" xr:uid="{EF4729F5-ADA0-4AE7-A70D-652FA67CEC8C}">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1090" authorId="1" shapeId="0" xr:uid="{B759B8C6-7C6F-4BCA-911A-447D6500D3E2}">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1091" authorId="0" shapeId="0" xr:uid="{B32A2676-E786-41E2-8407-F49526152048}">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1091" authorId="0" shapeId="0" xr:uid="{6878F54B-47C7-4B89-8347-FE851FED2C40}">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1091" authorId="0" shapeId="0" xr:uid="{1B880F46-EC74-4320-A906-AD25D0B4DCF4}">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1092" authorId="0" shapeId="0" xr:uid="{0E28D35E-DC27-496D-8482-241A29B0CC6B}">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1092" authorId="0" shapeId="0" xr:uid="{8300EEAD-7C96-41A5-B21D-9E5C03F9CAA9}">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1092" authorId="0" shapeId="0" xr:uid="{017C77ED-AE3E-4921-82B4-B08F5DBFBA75}">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1093" authorId="1" shapeId="0" xr:uid="{AF98EEC9-341C-47CA-8782-09545601C481}">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1099" authorId="0" shapeId="0" xr:uid="{800BF8F3-3AB6-4D5D-823B-A4B3DC861A01}">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1099" authorId="0" shapeId="0" xr:uid="{8E5A9366-458C-4736-93EA-8ECD24A987BE}">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1099" authorId="0" shapeId="0" xr:uid="{7D092567-B725-4B7E-87DB-DCB45F6A95D7}">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1100" authorId="0" shapeId="0" xr:uid="{E3522A6E-4AAC-431C-ABF9-FC914D9BE503}">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1100" authorId="0" shapeId="0" xr:uid="{C1B3C78A-7817-4FBC-A7B8-7409A3BCA9DC}">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1100" authorId="0" shapeId="0" xr:uid="{3EDDFEA6-AD5C-4A71-A17D-25532900D134}">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1101" authorId="0" shapeId="0" xr:uid="{78623758-CF4B-4B93-B7DE-868A6DEBCBF3}">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1101" authorId="0" shapeId="0" xr:uid="{3EEB4EBE-E830-4DFD-89AB-C3A6821D1C68}">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1101" authorId="0" shapeId="0" xr:uid="{7B309D80-F421-4697-BFFF-93D9CDD5FD49}">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1102" authorId="0" shapeId="0" xr:uid="{74E7D356-E91A-4023-AE0E-7F4630E032B1}">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1102" authorId="0" shapeId="0" xr:uid="{F39359B1-701D-4480-83B9-BB91E789D71D}">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1102" authorId="0" shapeId="0" xr:uid="{2CE9C40D-6218-4C16-87E9-5002A7D59A62}">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1103" authorId="1" shapeId="0" xr:uid="{17B0B047-015F-4027-AAEC-BAD6E6084A85}">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1103" authorId="1" shapeId="0" xr:uid="{BC564905-D92B-4F1C-9D9A-DB1FB765E0C4}">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1103" authorId="1" shapeId="0" xr:uid="{891BAD22-9180-4C27-874A-E2C10DEB5BEF}">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1104" authorId="1" shapeId="0" xr:uid="{048AC2E5-7A2D-4444-A2C2-4265B7DB8CCE}">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1104" authorId="1" shapeId="0" xr:uid="{51C79F14-C4B7-4389-B101-2900906E587B}">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1104" authorId="1" shapeId="0" xr:uid="{21946BA7-95E3-439F-9756-0D24635A0AC9}">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1105" authorId="1" shapeId="0" xr:uid="{5A3DBA52-9939-467C-A804-E45F1392305E}">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1105" authorId="1" shapeId="0" xr:uid="{8C6B777E-1D6B-4A07-881C-581B1C1AA7E3}">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1105" authorId="1" shapeId="0" xr:uid="{BB01306F-721E-45CA-B57B-89A658454EE3}">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1106" authorId="0" shapeId="0" xr:uid="{1844156C-0D88-4169-BD97-A4476F179AB6}">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1106" authorId="0" shapeId="0" xr:uid="{5494BE50-E6CC-4D8F-9C55-F04B1F04636A}">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1106" authorId="0" shapeId="0" xr:uid="{E3E20D65-2E67-4A37-9CEC-8B3118A97504}">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1107" authorId="0" shapeId="0" xr:uid="{2DAF95C3-F5BE-49AF-B5B2-D601320261BF}">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1107" authorId="0" shapeId="0" xr:uid="{450467E8-7730-4EED-8D64-171128BF8D0A}">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1107" authorId="0" shapeId="0" xr:uid="{7E3E21B6-257F-4363-84E2-EFC2BACC5357}">
      <text>
        <r>
          <rPr>
            <b/>
            <sz val="9"/>
            <color rgb="FF000000"/>
            <rFont val="Tahoma"/>
            <family val="2"/>
          </rPr>
          <t>Brian Du:</t>
        </r>
        <r>
          <rPr>
            <sz val="9"/>
            <color rgb="FF000000"/>
            <rFont val="Tahoma"/>
            <family val="2"/>
          </rPr>
          <t xml:space="preserve">
</t>
        </r>
        <r>
          <rPr>
            <sz val="9"/>
            <color rgb="FF000000"/>
            <rFont val="Tahoma"/>
            <family val="2"/>
          </rPr>
          <t xml:space="preserve">This measure compares the stock price to revenue. It also considers consistency in revenue growth rates.
</t>
        </r>
        <r>
          <rPr>
            <sz val="9"/>
            <color rgb="FF000000"/>
            <rFont val="Tahoma"/>
            <family val="2"/>
          </rPr>
          <t xml:space="preserve">
</t>
        </r>
        <r>
          <rPr>
            <sz val="9"/>
            <color rgb="FF000000"/>
            <rFont val="Tahoma"/>
            <family val="2"/>
          </rPr>
          <t xml:space="preserve">We want stock price to be low because it is cheap for us to invest. We want revenue to be high and consistency.
</t>
        </r>
        <r>
          <rPr>
            <sz val="9"/>
            <color rgb="FF000000"/>
            <rFont val="Tahoma"/>
            <family val="2"/>
          </rPr>
          <t xml:space="preserve">
</t>
        </r>
        <r>
          <rPr>
            <sz val="9"/>
            <color rgb="FF000000"/>
            <rFont val="Tahoma"/>
            <family val="2"/>
          </rPr>
          <t>We want this measure to be low.</t>
        </r>
      </text>
    </comment>
    <comment ref="Q1108" authorId="1" shapeId="0" xr:uid="{885CB319-7814-4CF5-A361-01DDCF211ACC}">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1114" authorId="0" shapeId="0" xr:uid="{0908C6BC-0DC2-4253-A0D6-E56B59C3D6E1}">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1114" authorId="0" shapeId="0" xr:uid="{F580CFC9-452B-4F43-81A2-E9E2B20B275F}">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1114" authorId="0" shapeId="0" xr:uid="{A7F71419-3355-425C-9A39-E77AB90A1856}">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1115" authorId="0" shapeId="0" xr:uid="{A5F51D9D-9200-4D6D-A21C-1BA3C400D80B}">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1115" authorId="0" shapeId="0" xr:uid="{C7396EC6-D458-4FFB-B5D3-7C9460543471}">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1115" authorId="0" shapeId="0" xr:uid="{7B4E6BC4-BEB3-4AF1-9B23-3412A32F6787}">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1116" authorId="0" shapeId="0" xr:uid="{7839DD83-22AA-4B51-BF1B-3C363A5BA31C}">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1116" authorId="0" shapeId="0" xr:uid="{C415A40E-759E-4039-9D26-53274BB1F28A}">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1116" authorId="0" shapeId="0" xr:uid="{365C7FEA-0D44-47FE-8DF1-92446CFC7AB8}">
      <text>
        <r>
          <rPr>
            <b/>
            <sz val="9"/>
            <color rgb="FF000000"/>
            <rFont val="Tahoma"/>
            <family val="2"/>
          </rPr>
          <t>Brian Du:</t>
        </r>
        <r>
          <rPr>
            <sz val="9"/>
            <color rgb="FF000000"/>
            <rFont val="Tahoma"/>
            <family val="2"/>
          </rPr>
          <t xml:space="preserve">
</t>
        </r>
        <r>
          <rPr>
            <sz val="9"/>
            <color rgb="FF000000"/>
            <rFont val="Tahoma"/>
            <family val="2"/>
          </rPr>
          <t xml:space="preserve">This measure is a ratio of the stock price to a firm's dividends and dividend growth rate. Firms that are more financially stable can afford to pay lots of dividends because they are able to generate enough earnings.
</t>
        </r>
        <r>
          <rPr>
            <sz val="9"/>
            <color rgb="FF000000"/>
            <rFont val="Tahoma"/>
            <family val="2"/>
          </rPr>
          <t xml:space="preserve">
</t>
        </r>
        <r>
          <rPr>
            <sz val="9"/>
            <color rgb="FF000000"/>
            <rFont val="Tahoma"/>
            <family val="2"/>
          </rPr>
          <t>We want the number here to be as low as possible.</t>
        </r>
      </text>
    </comment>
    <comment ref="R1117" authorId="0" shapeId="0" xr:uid="{B9AA6025-D8CF-4CDD-99E4-589319ABB408}">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1117" authorId="0" shapeId="0" xr:uid="{4395BF1C-FF27-4D5C-97E9-A66D660E2BF1}">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1117" authorId="0" shapeId="0" xr:uid="{2032C3B3-524A-49ED-901F-BAA9ACE83D5F}">
      <text>
        <r>
          <rPr>
            <b/>
            <sz val="9"/>
            <color rgb="FF000000"/>
            <rFont val="Tahoma"/>
            <family val="2"/>
          </rPr>
          <t>Brian Du:</t>
        </r>
        <r>
          <rPr>
            <sz val="9"/>
            <color rgb="FF000000"/>
            <rFont val="Tahoma"/>
            <family val="2"/>
          </rPr>
          <t xml:space="preserve">
</t>
        </r>
        <r>
          <rPr>
            <sz val="9"/>
            <color rgb="FF000000"/>
            <rFont val="Tahoma"/>
            <family val="2"/>
          </rPr>
          <t xml:space="preserve">This measure looks at the change in the number of shares outstanding in a firm. Firms that buyback shares will have lower shares outstanding and firms that issue more shares will have higher shares outstanding.
</t>
        </r>
        <r>
          <rPr>
            <sz val="9"/>
            <color rgb="FF000000"/>
            <rFont val="Tahoma"/>
            <family val="2"/>
          </rPr>
          <t xml:space="preserve">
</t>
        </r>
        <r>
          <rPr>
            <sz val="9"/>
            <color rgb="FF000000"/>
            <rFont val="Tahoma"/>
            <family val="2"/>
          </rPr>
          <t xml:space="preserve">Stock repurchases are another way to return money to shareholders because it makes the shares more valuable. We want shares outstanding to be decreasing over time. 
</t>
        </r>
        <r>
          <rPr>
            <sz val="9"/>
            <color rgb="FF000000"/>
            <rFont val="Tahoma"/>
            <family val="2"/>
          </rPr>
          <t xml:space="preserve">
</t>
        </r>
        <r>
          <rPr>
            <sz val="9"/>
            <color rgb="FF000000"/>
            <rFont val="Tahoma"/>
            <family val="2"/>
          </rPr>
          <t xml:space="preserve">
</t>
        </r>
        <r>
          <rPr>
            <sz val="9"/>
            <color rgb="FF000000"/>
            <rFont val="Tahoma"/>
            <family val="2"/>
          </rPr>
          <t>The more negative, the better.</t>
        </r>
      </text>
    </comment>
    <comment ref="R1118" authorId="1" shapeId="0" xr:uid="{E70C8114-1B12-43EA-A0DA-833608A93FD1}">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1118" authorId="1" shapeId="0" xr:uid="{3AAD8EE2-A369-44AE-96B2-CD79D65AF38F}">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1118" authorId="1" shapeId="0" xr:uid="{3E5D06ED-C00E-4877-BCC2-4153C498603F}">
      <text>
        <r>
          <rPr>
            <b/>
            <sz val="9"/>
            <color rgb="FF000000"/>
            <rFont val="Tahoma"/>
            <family val="2"/>
          </rPr>
          <t>brian du:</t>
        </r>
        <r>
          <rPr>
            <sz val="9"/>
            <color rgb="FF000000"/>
            <rFont val="Tahoma"/>
            <family val="2"/>
          </rPr>
          <t xml:space="preserve">
</t>
        </r>
        <r>
          <rPr>
            <sz val="9"/>
            <color rgb="FF000000"/>
            <rFont val="Tahoma"/>
            <family val="2"/>
          </rPr>
          <t xml:space="preserve">This measure looks at the ratio of earnings to revenue. It looks at how efficiently a firm is able to convert revenue into earnings.
</t>
        </r>
        <r>
          <rPr>
            <sz val="9"/>
            <color rgb="FF000000"/>
            <rFont val="Tahoma"/>
            <family val="2"/>
          </rPr>
          <t xml:space="preserve">
</t>
        </r>
        <r>
          <rPr>
            <sz val="9"/>
            <color rgb="FF000000"/>
            <rFont val="Tahoma"/>
            <family val="2"/>
          </rPr>
          <t xml:space="preserve">We want this to be as high as possible. A negative value here means earnings is negative. Give a 1 to firms that have a negative ratio.
</t>
        </r>
      </text>
    </comment>
    <comment ref="R1119" authorId="1" shapeId="0" xr:uid="{5FB44BD4-530E-40EA-B61A-B92540FDCBFC}">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1119" authorId="1" shapeId="0" xr:uid="{EF048F92-EBE6-4B9F-96E8-A799727F87CA}">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1119" authorId="1" shapeId="0" xr:uid="{E5B1D1D4-693F-4075-812C-88DE7C36BC9D}">
      <text>
        <r>
          <rPr>
            <b/>
            <sz val="9"/>
            <color rgb="FF000000"/>
            <rFont val="Tahoma"/>
            <family val="2"/>
          </rPr>
          <t>brian du:</t>
        </r>
        <r>
          <rPr>
            <sz val="9"/>
            <color rgb="FF000000"/>
            <rFont val="Tahoma"/>
            <family val="2"/>
          </rPr>
          <t xml:space="preserve">
</t>
        </r>
        <r>
          <rPr>
            <sz val="9"/>
            <color rgb="FF000000"/>
            <rFont val="Tahoma"/>
            <family val="2"/>
          </rPr>
          <t xml:space="preserve">This measure looks at the ratio of free cash flow to total assets. It also considers the consistency of free cash flow.
</t>
        </r>
        <r>
          <rPr>
            <sz val="9"/>
            <color rgb="FF000000"/>
            <rFont val="Tahoma"/>
            <family val="2"/>
          </rPr>
          <t xml:space="preserve">
</t>
        </r>
        <r>
          <rPr>
            <sz val="9"/>
            <color rgb="FF000000"/>
            <rFont val="Tahoma"/>
            <family val="2"/>
          </rPr>
          <t xml:space="preserve">This ratio measures how efficiently the firm converts it's assets into cash.
</t>
        </r>
        <r>
          <rPr>
            <sz val="9"/>
            <color rgb="FF000000"/>
            <rFont val="Tahoma"/>
            <family val="2"/>
          </rPr>
          <t xml:space="preserve">
</t>
        </r>
        <r>
          <rPr>
            <sz val="9"/>
            <color rgb="FF000000"/>
            <rFont val="Tahoma"/>
            <family val="2"/>
          </rPr>
          <t>We want this as high as possible. A negative ratio here means negative FCF. Give a 1 for negative ROA.</t>
        </r>
      </text>
    </comment>
    <comment ref="R1120" authorId="1" shapeId="0" xr:uid="{9979D2BA-F777-4FED-B418-69D26C8A281D}">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1120" authorId="1" shapeId="0" xr:uid="{4BA570B4-F74D-4B78-8955-A7ED29B98D6E}">
      <text>
        <r>
          <rPr>
            <b/>
            <sz val="9"/>
            <color rgb="FF000000"/>
            <rFont val="Tahoma"/>
            <family val="2"/>
          </rPr>
          <t>brian du:</t>
        </r>
        <r>
          <rPr>
            <sz val="9"/>
            <color rgb="FF000000"/>
            <rFont val="Tahoma"/>
            <family val="2"/>
          </rPr>
          <t xml:space="preserve">
</t>
        </r>
        <r>
          <rPr>
            <sz val="9"/>
            <color rgb="FF000000"/>
            <rFont val="Tahoma"/>
            <family val="2"/>
          </rPr>
          <t xml:space="preserve">This measure looks at the slope of the 10-year ordinary least square (OLS) EBITDA margin % trendline. A positive slope means the margin %'s are increasing. A higher positive slope means the trendline is increasing faster.
</t>
        </r>
        <r>
          <rPr>
            <sz val="9"/>
            <color rgb="FF000000"/>
            <rFont val="Tahoma"/>
            <family val="2"/>
          </rPr>
          <t xml:space="preserve">
</t>
        </r>
        <r>
          <rPr>
            <sz val="9"/>
            <color rgb="FF000000"/>
            <rFont val="Tahoma"/>
            <family val="2"/>
          </rPr>
          <t>We want a larger value here. A negative number is not good but in the analysis include values that are close to zero. Give the more negative values a score of 1.</t>
        </r>
      </text>
    </comment>
    <comment ref="Z1120" authorId="1" shapeId="0" xr:uid="{F8A3C583-3287-40E8-A8D4-0208C9F2E029}">
      <text>
        <r>
          <rPr>
            <b/>
            <sz val="9"/>
            <color rgb="FF000000"/>
            <rFont val="Tahoma"/>
            <family val="2"/>
          </rPr>
          <t>brian du:</t>
        </r>
        <r>
          <rPr>
            <sz val="9"/>
            <color rgb="FF000000"/>
            <rFont val="Tahoma"/>
            <family val="2"/>
          </rPr>
          <t xml:space="preserve">
</t>
        </r>
        <r>
          <rPr>
            <sz val="9"/>
            <color rgb="FF000000"/>
            <rFont val="Tahoma"/>
            <family val="2"/>
          </rPr>
          <t xml:space="preserve">This measure looks at the slope of the 10-year ordinary least square (OLS) EBITDA margin % trendline. A positive slope means the margin %'s are increasing. A higher positive slope means the trendline is increasing faster.
</t>
        </r>
        <r>
          <rPr>
            <sz val="9"/>
            <color rgb="FF000000"/>
            <rFont val="Tahoma"/>
            <family val="2"/>
          </rPr>
          <t xml:space="preserve">
</t>
        </r>
        <r>
          <rPr>
            <sz val="9"/>
            <color rgb="FF000000"/>
            <rFont val="Tahoma"/>
            <family val="2"/>
          </rPr>
          <t>We want a larger value here. A negative number is not good but in the analysis include values that are close to zero. Give the more negative values a score of 1.</t>
        </r>
      </text>
    </comment>
    <comment ref="R1121" authorId="0" shapeId="0" xr:uid="{BA55E2D1-B939-46BD-AE98-37EC315C09B4}">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1121" authorId="0" shapeId="0" xr:uid="{88A5EBBF-FC48-474E-977A-2CF3D9F86238}">
      <text>
        <r>
          <rPr>
            <b/>
            <sz val="9"/>
            <color rgb="FF000000"/>
            <rFont val="Tahoma"/>
            <family val="2"/>
          </rPr>
          <t>Brian Du:</t>
        </r>
        <r>
          <rPr>
            <sz val="9"/>
            <color rgb="FF000000"/>
            <rFont val="Tahoma"/>
            <family val="2"/>
          </rPr>
          <t xml:space="preserve">
</t>
        </r>
        <r>
          <rPr>
            <sz val="9"/>
            <color rgb="FF000000"/>
            <rFont val="Tahoma"/>
            <family val="2"/>
          </rPr>
          <t xml:space="preserve">This measure is the ratio of debt to free cash flow. It looks at how much debt they are raising compared to how much cash they bring in.
</t>
        </r>
        <r>
          <rPr>
            <sz val="9"/>
            <color rgb="FF000000"/>
            <rFont val="Tahoma"/>
            <family val="2"/>
          </rPr>
          <t xml:space="preserve">
</t>
        </r>
        <r>
          <rPr>
            <sz val="9"/>
            <color rgb="FF000000"/>
            <rFont val="Tahoma"/>
            <family val="2"/>
          </rPr>
          <t xml:space="preserve">Some debt is actually healthy for a firm. No need to do z-score. Do manual scoring here.
</t>
        </r>
        <r>
          <rPr>
            <sz val="9"/>
            <color rgb="FF000000"/>
            <rFont val="Tahoma"/>
            <family val="2"/>
          </rPr>
          <t xml:space="preserve">
</t>
        </r>
        <r>
          <rPr>
            <sz val="9"/>
            <color rgb="FF000000"/>
            <rFont val="Tahoma"/>
            <family val="2"/>
          </rPr>
          <t xml:space="preserve">If this is &lt;25%, give a score of 5.
</t>
        </r>
        <r>
          <rPr>
            <sz val="9"/>
            <color rgb="FF000000"/>
            <rFont val="Tahoma"/>
            <family val="2"/>
          </rPr>
          <t xml:space="preserve">Between 25-30%, ~4.75.
</t>
        </r>
        <r>
          <rPr>
            <sz val="9"/>
            <color rgb="FF000000"/>
            <rFont val="Tahoma"/>
            <family val="2"/>
          </rPr>
          <t xml:space="preserve">Between 30-35%, ~4.4.
</t>
        </r>
        <r>
          <rPr>
            <sz val="9"/>
            <color rgb="FF000000"/>
            <rFont val="Tahoma"/>
            <family val="2"/>
          </rPr>
          <t xml:space="preserve">Between 35-40%, ~3.9.
</t>
        </r>
        <r>
          <rPr>
            <sz val="9"/>
            <color rgb="FF000000"/>
            <rFont val="Tahoma"/>
            <family val="2"/>
          </rPr>
          <t xml:space="preserve">Between 40-45%, ~3.2.
</t>
        </r>
        <r>
          <rPr>
            <sz val="9"/>
            <color rgb="FF000000"/>
            <rFont val="Tahoma"/>
            <family val="2"/>
          </rPr>
          <t xml:space="preserve">Between 45-50%, ~2.4.
</t>
        </r>
        <r>
          <rPr>
            <sz val="9"/>
            <color rgb="FF000000"/>
            <rFont val="Tahoma"/>
            <family val="2"/>
          </rPr>
          <t xml:space="preserve">If it is &gt;100%, give a score of 1. 
</t>
        </r>
        <r>
          <rPr>
            <sz val="9"/>
            <color rgb="FF000000"/>
            <rFont val="Tahoma"/>
            <family val="2"/>
          </rPr>
          <t xml:space="preserve">
</t>
        </r>
        <r>
          <rPr>
            <sz val="9"/>
            <color rgb="FF000000"/>
            <rFont val="Tahoma"/>
            <family val="2"/>
          </rPr>
          <t>Use discretion in assigning scores.</t>
        </r>
      </text>
    </comment>
    <comment ref="Z1121" authorId="0" shapeId="0" xr:uid="{F2835028-1F24-420B-873F-A529E66136FD}">
      <text>
        <r>
          <rPr>
            <b/>
            <sz val="9"/>
            <color rgb="FF000000"/>
            <rFont val="Tahoma"/>
            <family val="2"/>
          </rPr>
          <t>Brian Du:</t>
        </r>
        <r>
          <rPr>
            <sz val="9"/>
            <color rgb="FF000000"/>
            <rFont val="Tahoma"/>
            <family val="2"/>
          </rPr>
          <t xml:space="preserve">
</t>
        </r>
        <r>
          <rPr>
            <sz val="9"/>
            <color rgb="FF000000"/>
            <rFont val="Tahoma"/>
            <family val="2"/>
          </rPr>
          <t xml:space="preserve">This measure is the ratio of debt to free cash flow. It looks at how much debt they are raising compared to how much cash they bring in.
</t>
        </r>
        <r>
          <rPr>
            <sz val="9"/>
            <color rgb="FF000000"/>
            <rFont val="Tahoma"/>
            <family val="2"/>
          </rPr>
          <t xml:space="preserve">
</t>
        </r>
        <r>
          <rPr>
            <sz val="9"/>
            <color rgb="FF000000"/>
            <rFont val="Tahoma"/>
            <family val="2"/>
          </rPr>
          <t xml:space="preserve">Some debt is actually healthy for a firm. No need to do z-score. Do manual scoring here.
</t>
        </r>
        <r>
          <rPr>
            <sz val="9"/>
            <color rgb="FF000000"/>
            <rFont val="Tahoma"/>
            <family val="2"/>
          </rPr>
          <t xml:space="preserve">
</t>
        </r>
        <r>
          <rPr>
            <sz val="9"/>
            <color rgb="FF000000"/>
            <rFont val="Tahoma"/>
            <family val="2"/>
          </rPr>
          <t xml:space="preserve">If this is &lt;25%, give a score of 5.
</t>
        </r>
        <r>
          <rPr>
            <sz val="9"/>
            <color rgb="FF000000"/>
            <rFont val="Tahoma"/>
            <family val="2"/>
          </rPr>
          <t xml:space="preserve">Between 25-30%, ~4.75.
</t>
        </r>
        <r>
          <rPr>
            <sz val="9"/>
            <color rgb="FF000000"/>
            <rFont val="Tahoma"/>
            <family val="2"/>
          </rPr>
          <t xml:space="preserve">Between 30-35%, ~4.4.
</t>
        </r>
        <r>
          <rPr>
            <sz val="9"/>
            <color rgb="FF000000"/>
            <rFont val="Tahoma"/>
            <family val="2"/>
          </rPr>
          <t xml:space="preserve">Between 35-40%, ~3.9.
</t>
        </r>
        <r>
          <rPr>
            <sz val="9"/>
            <color rgb="FF000000"/>
            <rFont val="Tahoma"/>
            <family val="2"/>
          </rPr>
          <t xml:space="preserve">Between 40-45%, ~3.2.
</t>
        </r>
        <r>
          <rPr>
            <sz val="9"/>
            <color rgb="FF000000"/>
            <rFont val="Tahoma"/>
            <family val="2"/>
          </rPr>
          <t xml:space="preserve">Between 45-50%, ~2.4.
</t>
        </r>
        <r>
          <rPr>
            <sz val="9"/>
            <color rgb="FF000000"/>
            <rFont val="Tahoma"/>
            <family val="2"/>
          </rPr>
          <t xml:space="preserve">If it is &gt;100%, give a score of 1. 
</t>
        </r>
        <r>
          <rPr>
            <sz val="9"/>
            <color rgb="FF000000"/>
            <rFont val="Tahoma"/>
            <family val="2"/>
          </rPr>
          <t xml:space="preserve">
</t>
        </r>
        <r>
          <rPr>
            <sz val="9"/>
            <color rgb="FF000000"/>
            <rFont val="Tahoma"/>
            <family val="2"/>
          </rPr>
          <t>Use discretion in assigning scores.</t>
        </r>
      </text>
    </comment>
    <comment ref="R1122" authorId="0" shapeId="0" xr:uid="{8E742154-62FB-4FD6-A458-ED4F8435C0DF}">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1122" authorId="0" shapeId="0" xr:uid="{A8AD6E04-D02E-4DB2-BF5B-1B15BB8F8C2D}">
      <text>
        <r>
          <rPr>
            <b/>
            <sz val="9"/>
            <color rgb="FF000000"/>
            <rFont val="Tahoma"/>
            <family val="2"/>
          </rPr>
          <t>Brian Du:</t>
        </r>
        <r>
          <rPr>
            <sz val="9"/>
            <color rgb="FF000000"/>
            <rFont val="Tahoma"/>
            <family val="2"/>
          </rPr>
          <t xml:space="preserve">
</t>
        </r>
        <r>
          <rPr>
            <sz val="9"/>
            <color rgb="FF000000"/>
            <rFont val="Tahoma"/>
            <family val="2"/>
          </rPr>
          <t xml:space="preserve">This measure compares the stock price to revenue. It also considers consistency in revenue growth rates.
</t>
        </r>
        <r>
          <rPr>
            <sz val="9"/>
            <color rgb="FF000000"/>
            <rFont val="Tahoma"/>
            <family val="2"/>
          </rPr>
          <t xml:space="preserve">
</t>
        </r>
        <r>
          <rPr>
            <sz val="9"/>
            <color rgb="FF000000"/>
            <rFont val="Tahoma"/>
            <family val="2"/>
          </rPr>
          <t xml:space="preserve">We want stock price to be low because it is cheap for us to invest. We want revenue to be high and consistency.
</t>
        </r>
        <r>
          <rPr>
            <sz val="9"/>
            <color rgb="FF000000"/>
            <rFont val="Tahoma"/>
            <family val="2"/>
          </rPr>
          <t xml:space="preserve">
</t>
        </r>
        <r>
          <rPr>
            <sz val="9"/>
            <color rgb="FF000000"/>
            <rFont val="Tahoma"/>
            <family val="2"/>
          </rPr>
          <t>We want this measure to be low.</t>
        </r>
      </text>
    </comment>
    <comment ref="Z1122" authorId="0" shapeId="0" xr:uid="{BD5E2078-59F4-4779-A28C-E0314812CDA2}">
      <text>
        <r>
          <rPr>
            <b/>
            <sz val="9"/>
            <color rgb="FF000000"/>
            <rFont val="Tahoma"/>
            <family val="2"/>
          </rPr>
          <t>Brian Du:</t>
        </r>
        <r>
          <rPr>
            <sz val="9"/>
            <color rgb="FF000000"/>
            <rFont val="Tahoma"/>
            <family val="2"/>
          </rPr>
          <t xml:space="preserve">
</t>
        </r>
        <r>
          <rPr>
            <sz val="9"/>
            <color rgb="FF000000"/>
            <rFont val="Tahoma"/>
            <family val="2"/>
          </rPr>
          <t xml:space="preserve">This measure compares the stock price to revenue. It also considers consistency in revenue growth rates.
</t>
        </r>
        <r>
          <rPr>
            <sz val="9"/>
            <color rgb="FF000000"/>
            <rFont val="Tahoma"/>
            <family val="2"/>
          </rPr>
          <t xml:space="preserve">
</t>
        </r>
        <r>
          <rPr>
            <sz val="9"/>
            <color rgb="FF000000"/>
            <rFont val="Tahoma"/>
            <family val="2"/>
          </rPr>
          <t xml:space="preserve">We want stock price to be low because it is cheap for us to invest. We want revenue to be high and consistency.
</t>
        </r>
        <r>
          <rPr>
            <sz val="9"/>
            <color rgb="FF000000"/>
            <rFont val="Tahoma"/>
            <family val="2"/>
          </rPr>
          <t xml:space="preserve">
</t>
        </r>
        <r>
          <rPr>
            <sz val="9"/>
            <color rgb="FF000000"/>
            <rFont val="Tahoma"/>
            <family val="2"/>
          </rPr>
          <t>We want this measure to be low.</t>
        </r>
      </text>
    </comment>
    <comment ref="Q1123" authorId="1" shapeId="0" xr:uid="{811F9A11-F3B5-4CA1-9762-F1FB3356CF4E}">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1129" authorId="0" shapeId="0" xr:uid="{6902EF8A-4C47-4109-B5F6-B72FFCA37A0F}">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1129" authorId="0" shapeId="0" xr:uid="{49D7B023-A999-4D36-8804-F085C8DC1483}">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1129" authorId="0" shapeId="0" xr:uid="{192F80F4-4781-4335-8324-2FB60DE494E1}">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1130" authorId="0" shapeId="0" xr:uid="{68D7A0DE-14C8-4211-BF66-7E5C53906FD4}">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1130" authorId="0" shapeId="0" xr:uid="{72CA0EE5-6C73-4408-A96D-6879099044CC}">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1130" authorId="0" shapeId="0" xr:uid="{D18D3EFE-5C39-4927-91A6-874E03D567AB}">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1131" authorId="0" shapeId="0" xr:uid="{5FBAC440-6E27-42C4-A48E-B0B5EEB6CD90}">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1131" authorId="0" shapeId="0" xr:uid="{CEB631D5-B28C-4922-AB5F-AABC0A50F1CB}">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1131" authorId="0" shapeId="0" xr:uid="{F09BD702-C6CB-4317-926B-A0FC332933AC}">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1132" authorId="0" shapeId="0" xr:uid="{415A0765-0D9F-4641-9A4A-79AA700A065B}">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1132" authorId="0" shapeId="0" xr:uid="{F4EB286D-658F-42B5-B8B9-139166069BFE}">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1132" authorId="0" shapeId="0" xr:uid="{41DE5856-F404-4D53-B29F-E16AA06AE7FF}">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1133" authorId="1" shapeId="0" xr:uid="{12D5D12E-19D1-46AF-83F4-5FCDFF004AD1}">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1133" authorId="1" shapeId="0" xr:uid="{9F350439-B03F-46E3-9F8E-110181CDFA69}">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1133" authorId="1" shapeId="0" xr:uid="{C1A9F8C8-8DD6-4976-84A2-FCA5E17A89E0}">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1134" authorId="1" shapeId="0" xr:uid="{38360626-E649-4E91-972A-50831446CEBE}">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1134" authorId="1" shapeId="0" xr:uid="{BBB63847-6788-401E-92CB-4D7B957B9562}">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1134" authorId="1" shapeId="0" xr:uid="{DFDBC204-FA8A-455A-A6D1-B3F7C7F2F584}">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1135" authorId="1" shapeId="0" xr:uid="{CAD48B18-38E3-43EC-8F47-4B8646EF5046}">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1135" authorId="1" shapeId="0" xr:uid="{2442317B-7262-4FDC-89E4-79A1FAE19C35}">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1135" authorId="1" shapeId="0" xr:uid="{8C494F6C-3C63-48AC-8ED5-E2F71C7A9AD3}">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1136" authorId="0" shapeId="0" xr:uid="{4C59A37E-1D0D-464D-B02D-D88C4DA1650F}">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1136" authorId="0" shapeId="0" xr:uid="{BF15AE2D-7CAB-47DF-8F48-D1A79BA49E3A}">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1136" authorId="0" shapeId="0" xr:uid="{5546CAF2-C841-4DAD-BE51-11F4AECBA96A}">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1137" authorId="0" shapeId="0" xr:uid="{53C52179-6A15-49C1-8B31-81C92BC0A8C3}">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1137" authorId="0" shapeId="0" xr:uid="{628FA8F5-602A-45CC-A465-9C3DC27246F9}">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1137" authorId="0" shapeId="0" xr:uid="{04085376-9203-447A-8EDB-711DC3F8D78E}">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1138" authorId="1" shapeId="0" xr:uid="{59653078-162F-4C56-8403-EFB3E9FF202F}">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1144" authorId="0" shapeId="0" xr:uid="{C476A333-51BE-4EB8-A17B-7F43655AD4CA}">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1144" authorId="0" shapeId="0" xr:uid="{349523BE-E34F-4CB7-B93B-D45D7CB74C0A}">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1144" authorId="0" shapeId="0" xr:uid="{11E820DD-BDEA-41A5-92C6-E2714F50DC47}">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1145" authorId="0" shapeId="0" xr:uid="{E9318A93-315E-4EEF-8753-E6BA7B4E9C44}">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1145" authorId="0" shapeId="0" xr:uid="{2DD5DDC8-D668-4642-830E-2072975C26D1}">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1145" authorId="0" shapeId="0" xr:uid="{0C451795-AD1C-4335-9AD1-89E500AAF141}">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1146" authorId="0" shapeId="0" xr:uid="{BBEDD7DC-25D9-445D-92E4-518C764D87FD}">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1146" authorId="0" shapeId="0" xr:uid="{5A45CC12-255B-4C25-B7C1-A26F8DD9DA8E}">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1146" authorId="0" shapeId="0" xr:uid="{E71FDD0E-6D0F-421D-950B-65B275571668}">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1147" authorId="0" shapeId="0" xr:uid="{0FC7BE80-FC57-4FA3-88AA-3B62AD78B550}">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1147" authorId="0" shapeId="0" xr:uid="{706545FF-B6C3-4E2A-8BF8-0210162D04F9}">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1147" authorId="0" shapeId="0" xr:uid="{E2FE2E27-8B7A-4FAA-B7D6-012316DCA82C}">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1148" authorId="1" shapeId="0" xr:uid="{2B2E3583-7FE4-4981-8353-3B83E76826E6}">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1148" authorId="1" shapeId="0" xr:uid="{B1FB2904-A7CE-41B1-A57B-CCBFB22B11A1}">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1148" authorId="1" shapeId="0" xr:uid="{A31C88D7-EF12-46EB-8E44-B6EA576894F9}">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1149" authorId="1" shapeId="0" xr:uid="{30F6957F-B735-4166-83A4-FA89B58B3E50}">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1149" authorId="1" shapeId="0" xr:uid="{E0E26BD8-4518-4DBC-BF2A-E3B017F90E64}">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1149" authorId="1" shapeId="0" xr:uid="{13C1D00A-3750-4381-87EE-3F2BD9A1FDAB}">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1150" authorId="1" shapeId="0" xr:uid="{6F3EC9C5-81B6-4EE7-8F94-DA9BC7802DED}">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1150" authorId="1" shapeId="0" xr:uid="{EC09CD69-B657-41B2-AEAB-914327879073}">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1150" authorId="1" shapeId="0" xr:uid="{11E71989-0742-4C5A-A843-95EFF75817A8}">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1151" authorId="0" shapeId="0" xr:uid="{BB69ACFB-2A9E-4252-859E-61DC001ADC63}">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1151" authorId="0" shapeId="0" xr:uid="{FEA70A0E-7836-4F79-9126-E849E6321F6A}">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1151" authorId="0" shapeId="0" xr:uid="{84EBDC33-E846-4E39-B257-FAFCBE3A0FC9}">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1152" authorId="0" shapeId="0" xr:uid="{86975691-A91D-45CE-8CE4-C75EBBBCCDC5}">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1152" authorId="0" shapeId="0" xr:uid="{1F763563-1D38-48CC-B295-CD9D0650A7F7}">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1152" authorId="0" shapeId="0" xr:uid="{F3C4783E-E568-4ECD-BDAE-F74E593C9E3A}">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1153" authorId="1" shapeId="0" xr:uid="{22EE5B11-EEDA-4FFC-9B0A-212B05F54B83}">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1159" authorId="0" shapeId="0" xr:uid="{993EA613-33FC-4FFF-A588-566915D58729}">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1159" authorId="0" shapeId="0" xr:uid="{86C53ACD-AA17-4260-AFFC-1CF517999924}">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1159" authorId="0" shapeId="0" xr:uid="{B9477577-5A64-41CC-93DD-DB2E8C065EE5}">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1160" authorId="0" shapeId="0" xr:uid="{E5753B1E-4180-4AE6-B6BB-84D8EF1A6CD6}">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1160" authorId="0" shapeId="0" xr:uid="{1766BC83-D9F4-40B2-8683-2BB586169694}">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1160" authorId="0" shapeId="0" xr:uid="{61B0F88B-65B2-4FA7-944B-70E00613C268}">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1161" authorId="0" shapeId="0" xr:uid="{AEA8EC43-AFFF-46EC-9EA8-6876832CC753}">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1161" authorId="0" shapeId="0" xr:uid="{552C690E-5C91-455A-A421-21668E9E6DE5}">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1161" authorId="0" shapeId="0" xr:uid="{90FCA1EC-EA4A-44A4-BA2A-CBCDF958549C}">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1162" authorId="0" shapeId="0" xr:uid="{95424B5D-6230-41AD-B841-A6F77ACF85F7}">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1162" authorId="0" shapeId="0" xr:uid="{41AFECE3-0653-4E1C-A490-E493F1E403E1}">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1162" authorId="0" shapeId="0" xr:uid="{2B723570-3CB3-4C35-9F42-AE23F2685431}">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1163" authorId="1" shapeId="0" xr:uid="{4C653BF5-5D60-4027-9896-A201C7A7CE65}">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1163" authorId="1" shapeId="0" xr:uid="{CE348CCF-1233-4524-BFF2-8BF71C997579}">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1163" authorId="1" shapeId="0" xr:uid="{8310C785-86B4-4751-83BE-447C2ADD69B7}">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1164" authorId="1" shapeId="0" xr:uid="{EE94946E-EAAE-403F-80FB-A4730EDB6B54}">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1164" authorId="1" shapeId="0" xr:uid="{465F37EB-A385-43DE-AB66-A69F37B284DA}">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1164" authorId="1" shapeId="0" xr:uid="{E497AD4E-7135-4809-8EA3-4AEC827B1504}">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1165" authorId="1" shapeId="0" xr:uid="{ADE52AA0-9808-4306-896F-3B8B88C43383}">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1165" authorId="1" shapeId="0" xr:uid="{E438C073-D5B1-452D-9557-CEBCB8375E3B}">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1165" authorId="1" shapeId="0" xr:uid="{07929FD4-8C82-4053-A621-9627DBCDDC2A}">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1166" authorId="0" shapeId="0" xr:uid="{FAC7E398-7711-42D0-BE6A-A161F3C74D42}">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1166" authorId="0" shapeId="0" xr:uid="{A6D3885C-8E2A-493A-AF19-BF6244F87ACB}">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1166" authorId="0" shapeId="0" xr:uid="{1A098C16-B3AB-42F8-B33A-D85D3BD27A1B}">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1167" authorId="0" shapeId="0" xr:uid="{38A556D8-8280-410E-BC8F-9C865F5FB2EE}">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1167" authorId="0" shapeId="0" xr:uid="{98B578C2-AD30-45A6-AE34-D1D25F90A6E8}">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1167" authorId="0" shapeId="0" xr:uid="{52D66B5A-89FE-4600-8CFA-094337CCDABF}">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1168" authorId="1" shapeId="0" xr:uid="{5AC0FA12-0693-4AD7-BA47-75795044CE81}">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1174" authorId="0" shapeId="0" xr:uid="{C41A7A89-CBC3-4050-B44B-40AE4D652B2A}">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1174" authorId="0" shapeId="0" xr:uid="{6917128D-EBA6-4158-A891-6AB05002DE95}">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1174" authorId="0" shapeId="0" xr:uid="{961D50FF-7B5F-4229-932C-C66AA3DE320D}">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1175" authorId="0" shapeId="0" xr:uid="{CFB0933C-6719-4FE7-AAB9-8C4662640204}">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1175" authorId="0" shapeId="0" xr:uid="{2611C04B-51ED-44DA-A81B-CA031776BDA9}">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1175" authorId="0" shapeId="0" xr:uid="{ABAC973D-1098-4BB0-8167-FC67EB44A71C}">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1176" authorId="0" shapeId="0" xr:uid="{E2E02423-742E-46EC-8501-620E69FAD760}">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1176" authorId="0" shapeId="0" xr:uid="{3B80F2D5-90D8-416A-A28F-72BA3E565001}">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1176" authorId="0" shapeId="0" xr:uid="{58773BA8-92D9-4353-8F57-B78256977578}">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1177" authorId="0" shapeId="0" xr:uid="{707A232F-6EA8-4F21-A79D-833B98811CFF}">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1177" authorId="0" shapeId="0" xr:uid="{50D9330D-8197-42D0-965E-8AD9B3AC4D63}">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1177" authorId="0" shapeId="0" xr:uid="{9149D936-6940-4336-97A4-75A2FE7A014E}">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1178" authorId="1" shapeId="0" xr:uid="{6C99A34F-E8BD-435D-BC92-7C6AE43BEF1B}">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1178" authorId="1" shapeId="0" xr:uid="{D3DBC1FF-A748-4222-887C-00F4520202C3}">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1178" authorId="1" shapeId="0" xr:uid="{190E5E02-9388-44AB-87B6-ABF61BD7629E}">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1179" authorId="1" shapeId="0" xr:uid="{41F70E69-1C5F-45EC-83FD-4DF9DBBA1140}">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1179" authorId="1" shapeId="0" xr:uid="{E22CB980-4E1D-4CA1-9705-E44FC559DC02}">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1179" authorId="1" shapeId="0" xr:uid="{59F32E62-CA85-4377-BF61-9402C7FF8675}">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1180" authorId="1" shapeId="0" xr:uid="{F0456D19-D64E-4C9A-8DA2-CB58E1F6E2CB}">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1180" authorId="1" shapeId="0" xr:uid="{255309BB-333F-4E03-970E-D62BF5CAE45D}">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1180" authorId="1" shapeId="0" xr:uid="{32AB6D93-9C6B-430C-8121-D4747161D46A}">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1181" authorId="0" shapeId="0" xr:uid="{A4FF889D-1A92-47DB-9590-14CDBEF30648}">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1181" authorId="0" shapeId="0" xr:uid="{45699880-9D3C-44A7-AA76-4A4F94A66DEE}">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1181" authorId="0" shapeId="0" xr:uid="{533F301F-FBC1-4E95-929C-1892A94087F3}">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1182" authorId="0" shapeId="0" xr:uid="{54E2E702-7E1E-4FC3-97A1-36DE3384A82F}">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1182" authorId="0" shapeId="0" xr:uid="{FA763373-9A81-4CB7-97ED-09E3B107A9B9}">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1182" authorId="0" shapeId="0" xr:uid="{D8EA244B-28C7-4D49-944C-2B87B1831A0E}">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1183" authorId="1" shapeId="0" xr:uid="{EE0ECB56-0D97-4B3D-BD6F-23515BF11101}">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1189" authorId="0" shapeId="0" xr:uid="{274A2C5C-EC29-4614-8B2B-980474708EB4}">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1189" authorId="0" shapeId="0" xr:uid="{AB197D77-1792-44D7-85FC-1BC59CF709A0}">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1189" authorId="0" shapeId="0" xr:uid="{2CFCB007-DB77-43A9-94DA-343B7F93C2B4}">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1190" authorId="0" shapeId="0" xr:uid="{6D408ED4-B2DB-4E46-A991-9717E874BF27}">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1190" authorId="0" shapeId="0" xr:uid="{FD256C85-0004-41DF-BC7A-AE221B1C6F67}">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1190" authorId="0" shapeId="0" xr:uid="{B86010A6-4BFE-4C0D-8213-4F0CBDEB1D38}">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1191" authorId="0" shapeId="0" xr:uid="{C049FA75-51F1-4898-BD65-D9ED00F073EB}">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1191" authorId="0" shapeId="0" xr:uid="{6B61E7A7-12FF-4039-8E31-9B97A4EB9FCE}">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1191" authorId="0" shapeId="0" xr:uid="{9F43E113-E01B-4D6D-B63E-AAAAA993F4E7}">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1192" authorId="0" shapeId="0" xr:uid="{D1AFACCF-326D-4269-AA6F-5F04A7B904E8}">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1192" authorId="0" shapeId="0" xr:uid="{4C473656-A972-43A3-BF06-9CAAC28C02C5}">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1192" authorId="0" shapeId="0" xr:uid="{02176648-F55D-4CCF-8450-89DCC9AEEAF7}">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1193" authorId="1" shapeId="0" xr:uid="{01300B06-A0CA-401E-8494-99048A21BE24}">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1193" authorId="1" shapeId="0" xr:uid="{376D90C8-700D-470E-8072-37D51E09A94E}">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1193" authorId="1" shapeId="0" xr:uid="{13116257-853D-4E76-AEC9-59D493C306E7}">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1194" authorId="1" shapeId="0" xr:uid="{714A513D-A0D6-41E5-998C-B7D793DF74E0}">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1194" authorId="1" shapeId="0" xr:uid="{D6CAE5BE-441F-4260-8AA3-E89EF9CF44C7}">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1194" authorId="1" shapeId="0" xr:uid="{1A3367F5-B2DF-4EAF-9109-5A23D33627E2}">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1195" authorId="1" shapeId="0" xr:uid="{27125E16-926D-452E-BF46-07156F9E2133}">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1195" authorId="1" shapeId="0" xr:uid="{1EE38F9C-C544-483D-9D30-357EA9007570}">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1195" authorId="1" shapeId="0" xr:uid="{2A4946B7-220E-4E78-99CC-E36F74144171}">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1196" authorId="0" shapeId="0" xr:uid="{FE4B18AB-86A7-4ECD-BCD3-3140C3311E33}">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1196" authorId="0" shapeId="0" xr:uid="{3238B62A-5F2F-4ED6-9B26-D0567AC369A9}">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1196" authorId="0" shapeId="0" xr:uid="{6D8EE1EF-BF34-42D1-98B2-1E093955400B}">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1197" authorId="0" shapeId="0" xr:uid="{A77D3C6D-F123-4E0C-8915-64AB7C252CAE}">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1197" authorId="0" shapeId="0" xr:uid="{F8CA5375-2097-43C8-9DDD-B983F9BBFE6C}">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1197" authorId="0" shapeId="0" xr:uid="{D0CD3974-1DEE-46DC-B2E7-D279B58DD2AC}">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1198" authorId="1" shapeId="0" xr:uid="{AA0DD6AF-CAAE-45A2-BA84-CD75DE292357}">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1204" authorId="0" shapeId="0" xr:uid="{8D98909E-A340-42EA-BB89-69997B2B16FB}">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1204" authorId="0" shapeId="0" xr:uid="{54954098-97E7-4529-BF97-A0E626CCF74B}">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1204" authorId="0" shapeId="0" xr:uid="{84C628A8-B7EA-43E9-9A5E-77A08A65BCC2}">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1205" authorId="0" shapeId="0" xr:uid="{BF7A16DE-9B4E-4372-97D9-1281510F8CE0}">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1205" authorId="0" shapeId="0" xr:uid="{B19D504A-4637-40F9-9D79-0F446560614A}">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1205" authorId="0" shapeId="0" xr:uid="{EDC285B6-08EA-40D6-995E-9D0D0CD44B0F}">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1206" authorId="0" shapeId="0" xr:uid="{D1048A31-E7C7-4363-8641-D9F90BA0DEFA}">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1206" authorId="0" shapeId="0" xr:uid="{7B094389-4271-4081-87AD-A9C06626BBD5}">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1206" authorId="0" shapeId="0" xr:uid="{DB45EC70-7FB3-48BA-970A-149403BBB665}">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1207" authorId="0" shapeId="0" xr:uid="{5567779E-CAEA-4D13-A2BB-A5A4EAB2F2EC}">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1207" authorId="0" shapeId="0" xr:uid="{FF96C8E2-153E-43FF-B629-2F125FA0FACF}">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1207" authorId="0" shapeId="0" xr:uid="{79DEB07F-A46F-4A09-B577-B7C0638E95C5}">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1208" authorId="1" shapeId="0" xr:uid="{85C37BAD-E6D0-408B-A462-162DBB404782}">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1208" authorId="1" shapeId="0" xr:uid="{2A13FA56-A36F-47FD-BF2B-8616D6A1D187}">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1208" authorId="1" shapeId="0" xr:uid="{A475244B-7D9A-4F56-B50C-B15E199DD26F}">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1209" authorId="1" shapeId="0" xr:uid="{D3B5AECE-B914-4ACF-ACA7-C031055F1CF7}">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1209" authorId="1" shapeId="0" xr:uid="{BB5ACD51-691A-4605-BCBB-EDCC70F61374}">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1209" authorId="1" shapeId="0" xr:uid="{41705082-17E9-4F36-A616-E335804A003F}">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1210" authorId="1" shapeId="0" xr:uid="{BB9B51E7-6093-4EBA-9743-FAAC915BF2A0}">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1210" authorId="1" shapeId="0" xr:uid="{6FCA17E2-3714-4E93-AC5F-B5F4E11FDE4D}">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1210" authorId="1" shapeId="0" xr:uid="{0AC5C86A-A66E-4620-9C28-037757CAC642}">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1211" authorId="0" shapeId="0" xr:uid="{DFDB31E8-205A-441A-A7EE-00B061460823}">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1211" authorId="0" shapeId="0" xr:uid="{35397C6C-CE2E-43A4-AA3F-0D89E46CB793}">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1211" authorId="0" shapeId="0" xr:uid="{36D2DBE5-C3A9-434C-A69B-12A74EF18E9F}">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1212" authorId="0" shapeId="0" xr:uid="{19FD69AC-454A-4DD2-A048-19ADB3B1B432}">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1212" authorId="0" shapeId="0" xr:uid="{0612D72D-0B94-43E5-93AB-D2186056B16E}">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1212" authorId="0" shapeId="0" xr:uid="{495C591D-5C33-415B-A723-4785660BCCAD}">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1213" authorId="1" shapeId="0" xr:uid="{9A78B56A-2469-4067-ABC5-9249EDCD706E}">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1219" authorId="0" shapeId="0" xr:uid="{AB2F2AA8-D49C-4E02-8640-934BD58448A9}">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1219" authorId="0" shapeId="0" xr:uid="{6B0173D8-2140-4D8F-9F85-465EEF512D53}">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1219" authorId="0" shapeId="0" xr:uid="{52F43713-2C39-4B0D-B049-80690652DCC5}">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1220" authorId="0" shapeId="0" xr:uid="{9474203F-3923-47CA-9581-2F5D09D54E61}">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1220" authorId="0" shapeId="0" xr:uid="{DEF60FE4-5FA3-4953-A6BA-708883F2D8E5}">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1220" authorId="0" shapeId="0" xr:uid="{A450BAB4-5F7D-47BE-ABB8-FC320D106ACB}">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1221" authorId="0" shapeId="0" xr:uid="{0D5DA27C-AB8F-4F98-92A1-BC18C0471E4B}">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1221" authorId="0" shapeId="0" xr:uid="{817E6505-9DB4-4189-A49A-C36D09DBC9AF}">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1221" authorId="0" shapeId="0" xr:uid="{284DADAF-7DD0-4220-B1E8-F35C60557C47}">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1222" authorId="0" shapeId="0" xr:uid="{0325F828-B6F3-47C1-BBFE-40EAE8725DF7}">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1222" authorId="0" shapeId="0" xr:uid="{2EBD9138-C9C5-4E7B-84E8-EC9205EBDECD}">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1222" authorId="0" shapeId="0" xr:uid="{17BC22A5-BA36-439B-81D5-56F51106B2C7}">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1223" authorId="1" shapeId="0" xr:uid="{3E17D85C-D988-4F29-B0A8-4BC20523A0AB}">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1223" authorId="1" shapeId="0" xr:uid="{49FDD239-FD3F-4821-A119-B40D310B6F4E}">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1223" authorId="1" shapeId="0" xr:uid="{C52C1A7C-E87F-4487-9B2E-B2B19D4010C4}">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1224" authorId="1" shapeId="0" xr:uid="{0F6E541E-7886-4FA3-9EE3-8CCD1F83A8EC}">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1224" authorId="1" shapeId="0" xr:uid="{AA513A3E-B540-45D4-BFC6-DA1A3D91CE8F}">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1224" authorId="1" shapeId="0" xr:uid="{B171EBA2-9F39-4381-8EE6-78260EDA0D1C}">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1225" authorId="1" shapeId="0" xr:uid="{616AEF82-F064-4232-AC32-54ACBA6E3BE8}">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1225" authorId="1" shapeId="0" xr:uid="{2069D267-E9D7-48AF-9685-6D40766676E7}">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1225" authorId="1" shapeId="0" xr:uid="{1EBADA04-7EA5-405B-AA15-41D368A9C098}">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1226" authorId="0" shapeId="0" xr:uid="{710C50DB-D453-47EF-86A1-4BC43B9000EC}">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1226" authorId="0" shapeId="0" xr:uid="{D31561BF-360D-445D-9662-358F0002008F}">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1226" authorId="0" shapeId="0" xr:uid="{DE479BC0-3A8A-43AA-B44D-73996981AC64}">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1227" authorId="0" shapeId="0" xr:uid="{1F0E3C4B-70BD-4105-A033-D5B01FEBDAD0}">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1227" authorId="0" shapeId="0" xr:uid="{085552B7-189B-48E6-BF20-A6CA67E0E1B6}">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1227" authorId="0" shapeId="0" xr:uid="{15C877EC-CF05-4872-9EEB-97113E96F986}">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1228" authorId="1" shapeId="0" xr:uid="{C1772094-48AD-4535-9941-7FDCE14DEA37}">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1234" authorId="0" shapeId="0" xr:uid="{5D9743F3-F0A0-4C58-8ED3-7DD243227502}">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1234" authorId="0" shapeId="0" xr:uid="{C6F4B8B1-CA0B-4857-BC46-38D7B39E5AF7}">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1234" authorId="0" shapeId="0" xr:uid="{E6752A00-202B-43B0-816A-E753119E0B9E}">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1235" authorId="0" shapeId="0" xr:uid="{BC1BEDF2-45B6-461D-B04B-2F38A099FB8B}">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1235" authorId="0" shapeId="0" xr:uid="{ED1879DB-4097-49FD-9562-2AAC931A5861}">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1235" authorId="0" shapeId="0" xr:uid="{B09AF13C-774E-4E4D-9580-ED7EA47C4E54}">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1236" authorId="0" shapeId="0" xr:uid="{E3742804-9D3D-48AC-980F-D60826C78F02}">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1236" authorId="0" shapeId="0" xr:uid="{83306260-1FD6-4C7D-B604-C1FAEABB4C72}">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1236" authorId="0" shapeId="0" xr:uid="{4CCFE9A7-B2DB-4CBA-8933-67C14031556A}">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1237" authorId="0" shapeId="0" xr:uid="{16943893-E919-4D69-924C-028BD05CD860}">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1237" authorId="0" shapeId="0" xr:uid="{48C192A2-5575-4443-A11A-FB4940C6FB00}">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1237" authorId="0" shapeId="0" xr:uid="{03D72B9C-5A3F-48C2-821C-566BEEB05144}">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1238" authorId="1" shapeId="0" xr:uid="{FD90E1E2-3627-4555-92ED-8555867B11D6}">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1238" authorId="1" shapeId="0" xr:uid="{2440C5D6-267B-4F7F-A0B7-FFBB187955DC}">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1238" authorId="1" shapeId="0" xr:uid="{57978A9D-ACF8-430C-A7D4-B5ECF1A0969A}">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1239" authorId="1" shapeId="0" xr:uid="{A4A861E8-5787-47FC-BEF6-8923111613F6}">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1239" authorId="1" shapeId="0" xr:uid="{969FAC0D-520A-4CB3-A7B9-878B41952534}">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1239" authorId="1" shapeId="0" xr:uid="{2AD9F30C-445D-4FC8-9332-145A641951A7}">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1240" authorId="1" shapeId="0" xr:uid="{58770542-581D-4216-AF27-E0060638F157}">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1240" authorId="1" shapeId="0" xr:uid="{D3B78B8E-53F8-4EAE-B1F5-11A90F9DA604}">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1240" authorId="1" shapeId="0" xr:uid="{E13C5194-0B0A-4CF4-974D-30D42DBCD090}">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1241" authorId="0" shapeId="0" xr:uid="{8560009C-DA21-4F10-B840-53E9BD930A48}">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1241" authorId="0" shapeId="0" xr:uid="{5281D75C-3146-472B-9D45-09DC5CB590C7}">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1241" authorId="0" shapeId="0" xr:uid="{B816AC44-CE97-479E-94D7-0EF540520463}">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1242" authorId="0" shapeId="0" xr:uid="{F1FB150B-1BFA-49EA-AE7C-64EB0DA9AF7E}">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1242" authorId="0" shapeId="0" xr:uid="{3F2903B5-6D0C-430D-82CC-560B04261C1B}">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1242" authorId="0" shapeId="0" xr:uid="{1859E894-7A84-4707-B0EE-20DEDD41CB9C}">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1243" authorId="1" shapeId="0" xr:uid="{6F57276E-1F49-437F-AA56-F5600EA71CE8}">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1249" authorId="0" shapeId="0" xr:uid="{FC303F1D-BF56-43F2-9389-AAF4ACD27C04}">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1249" authorId="0" shapeId="0" xr:uid="{FF5998B1-38FE-42DE-8893-5BD593CFB731}">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1249" authorId="0" shapeId="0" xr:uid="{CA726591-386A-4570-9DC3-32E7833F448B}">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1250" authorId="0" shapeId="0" xr:uid="{86BED2B1-F390-47F6-BD47-BDF972BBE7AC}">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1250" authorId="0" shapeId="0" xr:uid="{97C95431-3361-429C-8625-A8A33AA049FE}">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1250" authorId="0" shapeId="0" xr:uid="{3F5A28BC-4E30-400D-B9BC-F5F044DD3584}">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1251" authorId="0" shapeId="0" xr:uid="{187E8A73-818F-4955-A2B9-CAB9EA4E55FB}">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1251" authorId="0" shapeId="0" xr:uid="{956D7D66-1775-4742-A611-845FE3436D41}">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1251" authorId="0" shapeId="0" xr:uid="{1592269A-73DB-4E03-957F-56FD24868DE6}">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1252" authorId="0" shapeId="0" xr:uid="{7432FC42-D2F8-47B5-A42E-722C31E96C66}">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1252" authorId="0" shapeId="0" xr:uid="{E4248859-0D61-4A08-9188-29E1416208B3}">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1252" authorId="0" shapeId="0" xr:uid="{9348B37F-BB6E-4453-99D7-57EDF5908ADB}">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1253" authorId="1" shapeId="0" xr:uid="{C3E18890-5D38-4197-8A1B-00A34DCF5884}">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1253" authorId="1" shapeId="0" xr:uid="{3BCCF3D5-76BC-4E4C-9EC5-D7FAB31053EB}">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1253" authorId="1" shapeId="0" xr:uid="{C35672A8-804D-4C60-906F-AA5E88C24F5A}">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1254" authorId="1" shapeId="0" xr:uid="{74168961-EA39-43D7-A4B0-FE7AC08BBF43}">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1254" authorId="1" shapeId="0" xr:uid="{20A335BF-F5BF-42C7-9C2D-6B740E82A8F7}">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1254" authorId="1" shapeId="0" xr:uid="{98C6920B-99F8-4CF5-AA96-2EB64CE8E089}">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1255" authorId="1" shapeId="0" xr:uid="{CD7203B9-7C8B-4718-80B1-037215DF00CE}">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1255" authorId="1" shapeId="0" xr:uid="{1DEA5747-DA28-4CBD-8721-BC8DC228EBD5}">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1255" authorId="1" shapeId="0" xr:uid="{A0CF95C0-5C15-48BD-821E-4B5DF7390291}">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1256" authorId="0" shapeId="0" xr:uid="{F61165CC-895F-47FA-8E58-3BF45FC0DC7C}">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1256" authorId="0" shapeId="0" xr:uid="{83247112-397B-470D-BFAA-CE7309B87466}">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1256" authorId="0" shapeId="0" xr:uid="{A70BBC7C-A766-42B2-8FE4-4C745CA2BD09}">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1257" authorId="0" shapeId="0" xr:uid="{B4798A87-ACE6-4E6A-A78C-B241079695FA}">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1257" authorId="0" shapeId="0" xr:uid="{1FDA5DD3-47DC-4885-B50E-69D9F3C28FB8}">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1257" authorId="0" shapeId="0" xr:uid="{A3277CCB-6997-4AFE-BAD8-15859054FA05}">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1258" authorId="1" shapeId="0" xr:uid="{71D43EC3-A438-4DF8-9847-1FDFD70FE80D}">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1264" authorId="0" shapeId="0" xr:uid="{40F7AFBB-7CDF-4A04-B9AA-434B510FCFAA}">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1264" authorId="0" shapeId="0" xr:uid="{EF0C434B-302B-4DBF-8414-A4F9FEBAD6CC}">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1264" authorId="0" shapeId="0" xr:uid="{C5D92604-9426-4CEF-8084-5B18D72870BD}">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1265" authorId="0" shapeId="0" xr:uid="{0A574BB5-0B77-442B-9B21-54EADFDC8102}">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1265" authorId="0" shapeId="0" xr:uid="{16C4F035-0AA4-4E00-9425-94138CED0918}">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1265" authorId="0" shapeId="0" xr:uid="{CA69994A-451E-4E2A-900F-E83A349EBBE3}">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1266" authorId="0" shapeId="0" xr:uid="{E24AA528-EE7F-4932-B7EF-75CD627AC06E}">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1266" authorId="0" shapeId="0" xr:uid="{3E12AB7E-9D88-40E4-BF6B-9256743F9A24}">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1266" authorId="0" shapeId="0" xr:uid="{659F93AA-C12F-4970-8A26-1B4D0ADE62D6}">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1267" authorId="0" shapeId="0" xr:uid="{F1F8F84C-8740-49D1-8392-A7CCF5F50F9F}">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1267" authorId="0" shapeId="0" xr:uid="{FDD968C1-E7DE-453D-A2F7-0377E2E0AEC5}">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1267" authorId="0" shapeId="0" xr:uid="{6C649B86-C458-4304-BD04-848840DC3376}">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1268" authorId="1" shapeId="0" xr:uid="{B6CAFC17-0B67-4214-B65B-AE4C2740D0FC}">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1268" authorId="1" shapeId="0" xr:uid="{3335B4A4-A2EB-4FC1-9746-A9A30C29DB69}">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1268" authorId="1" shapeId="0" xr:uid="{D128F171-F33D-4713-B9A6-38E340927FA5}">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1269" authorId="1" shapeId="0" xr:uid="{87C8900A-C4FE-450F-BD01-6868D3CFE213}">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1269" authorId="1" shapeId="0" xr:uid="{D8A0BCC0-443D-4738-9B3E-BEFB8686B1D6}">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1269" authorId="1" shapeId="0" xr:uid="{BD4D9FB6-E3C4-4D09-82E3-F593230CB815}">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1270" authorId="1" shapeId="0" xr:uid="{FEC8F337-7668-4B71-97C8-5267D3315A03}">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1270" authorId="1" shapeId="0" xr:uid="{3CB6C8F4-80AB-4838-84F5-4ED5267F6913}">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1270" authorId="1" shapeId="0" xr:uid="{F6F2F093-C765-4219-AA07-142653D3E39A}">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1271" authorId="0" shapeId="0" xr:uid="{6E161CC0-4710-4D35-A1EF-5EC0E2E9A21F}">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1271" authorId="0" shapeId="0" xr:uid="{DE40B293-C5D5-41AF-A0CD-3814B99F1DCA}">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1271" authorId="0" shapeId="0" xr:uid="{F89F89CA-CDD0-48FF-A4F0-1F990A2825E4}">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1272" authorId="0" shapeId="0" xr:uid="{4B258F80-601C-46B1-9260-096605E30333}">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1272" authorId="0" shapeId="0" xr:uid="{8BC44ACD-3518-44F8-A12C-03730FB34958}">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1272" authorId="0" shapeId="0" xr:uid="{7031360F-28B4-4B60-B233-4503260BB3E1}">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1273" authorId="1" shapeId="0" xr:uid="{AA874CF5-0076-4696-A6CE-E723E805DE87}">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1279" authorId="0" shapeId="0" xr:uid="{F3ED58B6-29A9-43B5-AA88-4A2C3157762B}">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1279" authorId="0" shapeId="0" xr:uid="{93F82C8C-B867-414A-8A17-46FE485F904F}">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1279" authorId="0" shapeId="0" xr:uid="{3AA48D51-B7F0-4828-990B-F6C3DFEBD1C7}">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1280" authorId="0" shapeId="0" xr:uid="{13D59FB0-49A4-4CA5-90A6-50FC1B3B4D69}">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1280" authorId="0" shapeId="0" xr:uid="{1F0C0579-F115-499D-8F48-40067B09962F}">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1280" authorId="0" shapeId="0" xr:uid="{938B9ACE-5D4C-4C27-AB47-22AC2C4E69B4}">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1281" authorId="0" shapeId="0" xr:uid="{05BB979A-AA53-4C65-948F-4521B5CC4E46}">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1281" authorId="0" shapeId="0" xr:uid="{77916AB8-B191-4D2D-86EC-4ECC4AECB4C9}">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1281" authorId="0" shapeId="0" xr:uid="{E90255DB-3CA0-4846-AC5A-A784EE760918}">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1282" authorId="0" shapeId="0" xr:uid="{FD04F1A0-F68C-432F-9F7E-58DB8AB80D5C}">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1282" authorId="0" shapeId="0" xr:uid="{D7510307-FE67-4386-9F24-E0C5351C394D}">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1282" authorId="0" shapeId="0" xr:uid="{295A2F04-FD88-40B9-9DC2-1B74C4E1ADF8}">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1283" authorId="1" shapeId="0" xr:uid="{F2197228-9960-4146-85AB-3B27666DE0E5}">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1283" authorId="1" shapeId="0" xr:uid="{60E6D0EF-6F8A-439E-9EF7-7A4026107D97}">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1283" authorId="1" shapeId="0" xr:uid="{2B4F84F7-AEC6-4D8C-B993-36B2D55F4378}">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1284" authorId="1" shapeId="0" xr:uid="{46D40C5F-906E-421F-843A-C20D26EB1244}">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1284" authorId="1" shapeId="0" xr:uid="{C71ECF69-513A-4C1E-89A0-14063AB95A8B}">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1284" authorId="1" shapeId="0" xr:uid="{0BB26166-28BB-4EE0-B60C-C799B6600D59}">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1285" authorId="1" shapeId="0" xr:uid="{3FC6E01B-4666-4383-98F9-20429A793694}">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1285" authorId="1" shapeId="0" xr:uid="{C299B91E-3D63-43B6-AB01-B37E922D667E}">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1285" authorId="1" shapeId="0" xr:uid="{19D4A637-3E49-45E1-9308-B3DDBD278DC3}">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1286" authorId="0" shapeId="0" xr:uid="{31EDA8C8-8C6F-40F6-8F20-4C9DE589040C}">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1286" authorId="0" shapeId="0" xr:uid="{EBE00C8F-39C1-4DFC-9D9A-FD54837BD245}">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1286" authorId="0" shapeId="0" xr:uid="{937364CE-EDE5-488E-913C-3E05E6BA337C}">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1287" authorId="0" shapeId="0" xr:uid="{6C6D4D17-6B11-474A-82FD-6F57A52A585B}">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1287" authorId="0" shapeId="0" xr:uid="{AEF794C6-BB53-4B1A-B73B-AAB775AA0BD1}">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1287" authorId="0" shapeId="0" xr:uid="{BB729142-7C8E-4542-BB5D-FA7B699AFEDD}">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1288" authorId="1" shapeId="0" xr:uid="{23B130C8-F62F-4B62-8E50-0E7114400A9B}">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1294" authorId="0" shapeId="0" xr:uid="{621B211B-B71F-4E6C-8622-5D808EB8F3CB}">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1294" authorId="0" shapeId="0" xr:uid="{B3353201-3947-41A3-A599-D967EE7CEF4C}">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1294" authorId="0" shapeId="0" xr:uid="{91F3A108-8AFB-40CA-80C2-20DF91B68552}">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1295" authorId="0" shapeId="0" xr:uid="{34FD9326-062D-45C5-BAC3-0A57D5DABDD8}">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1295" authorId="0" shapeId="0" xr:uid="{D2D4AA30-1E91-4695-918F-B8D7E5863A14}">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1295" authorId="0" shapeId="0" xr:uid="{79C1C1FE-126E-446B-824F-A8C691849278}">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1296" authorId="0" shapeId="0" xr:uid="{A4C6C626-E5D7-4677-B5EA-68B124D6A619}">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1296" authorId="0" shapeId="0" xr:uid="{269E609F-0D96-493F-A496-54FCF9299859}">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1296" authorId="0" shapeId="0" xr:uid="{6A4930F0-BA11-4E19-8DC7-2B5E72EE49AA}">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1297" authorId="0" shapeId="0" xr:uid="{2FBB93EE-5919-465D-9861-BBDB82B05D7C}">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1297" authorId="0" shapeId="0" xr:uid="{3C2B0A22-5DCC-4BC9-9F05-E8F2C14EA680}">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1297" authorId="0" shapeId="0" xr:uid="{F9E81720-494A-4B5D-ADA8-CF327C91598D}">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1298" authorId="1" shapeId="0" xr:uid="{F14555DB-D796-4524-BF56-A9319FEE5AC9}">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1298" authorId="1" shapeId="0" xr:uid="{B04EB9DC-E426-407D-8DF4-B2F435E4D063}">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1298" authorId="1" shapeId="0" xr:uid="{5C44F776-715D-4093-B476-B1634E3382E4}">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1299" authorId="1" shapeId="0" xr:uid="{55462295-EA34-4774-9D1E-B56B5CF92BCF}">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1299" authorId="1" shapeId="0" xr:uid="{279F06F1-CF68-4278-BB4B-D6AD0BDC3E7C}">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1299" authorId="1" shapeId="0" xr:uid="{428B45BA-95B4-461E-B248-9218B5D621F5}">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1300" authorId="1" shapeId="0" xr:uid="{B42182E2-7B74-402A-B049-7FDE27D55429}">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1300" authorId="1" shapeId="0" xr:uid="{1B355D3B-5397-447E-A090-6A9DCED1CC07}">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1300" authorId="1" shapeId="0" xr:uid="{709C4D8A-09FA-4730-A323-EA5D1BFEBED8}">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1301" authorId="0" shapeId="0" xr:uid="{F92F6490-861D-4AE3-8625-C28D14B3F07A}">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1301" authorId="0" shapeId="0" xr:uid="{5DF6E6A6-3EB6-4C69-A726-98C4791186D6}">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1301" authorId="0" shapeId="0" xr:uid="{1B61C9BF-7045-499B-8C2D-017B61B6F9AF}">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1302" authorId="0" shapeId="0" xr:uid="{00F54FD8-BAC2-47DA-8C86-95613719324E}">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1302" authorId="0" shapeId="0" xr:uid="{0DA9836C-DC92-4217-9DAF-753AA4A053E2}">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1302" authorId="0" shapeId="0" xr:uid="{675C6E06-F205-41F1-B2B4-272579A5FFB9}">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1303" authorId="1" shapeId="0" xr:uid="{498C551C-F2A8-45E8-9107-7B317F932910}">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1309" authorId="0" shapeId="0" xr:uid="{A1F9840F-B4A0-4ABF-AE4C-FE9E0C1AC769}">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1309" authorId="0" shapeId="0" xr:uid="{AB2F769F-A07D-4FC1-B28C-ACEA189BB29D}">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1309" authorId="0" shapeId="0" xr:uid="{A2740134-FB3E-4314-A0C5-8CB9C3ACED2C}">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1310" authorId="0" shapeId="0" xr:uid="{4EABE3DE-4F80-4355-B2B6-F9386ECAF00C}">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1310" authorId="0" shapeId="0" xr:uid="{E475D78F-75C4-42D6-B844-F69D64F14E78}">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1310" authorId="0" shapeId="0" xr:uid="{174629E3-23F6-43B1-9EB1-D615F420D0B2}">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1311" authorId="0" shapeId="0" xr:uid="{FDCFE354-EA98-4E62-BE24-00EA255BBB1D}">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1311" authorId="0" shapeId="0" xr:uid="{227841E5-48AD-42EB-A5D7-354AFA38A4C9}">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1311" authorId="0" shapeId="0" xr:uid="{0B2066DE-12DA-41B8-B694-5CE913E7A875}">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1312" authorId="0" shapeId="0" xr:uid="{2DE53D17-257B-43EC-8868-6799CCBDE254}">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1312" authorId="0" shapeId="0" xr:uid="{00721ED6-4D96-4D63-8200-1F06980826CD}">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1312" authorId="0" shapeId="0" xr:uid="{2FB10B36-B76F-4B1A-90F1-91353B655943}">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1313" authorId="1" shapeId="0" xr:uid="{3BF577AF-6CD9-42E6-8273-CE1F10829065}">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1313" authorId="1" shapeId="0" xr:uid="{C2FE504C-9824-47F4-B279-506F4DFBFE98}">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1313" authorId="1" shapeId="0" xr:uid="{5F2BE4E6-7D63-49E0-9A16-396461873676}">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1314" authorId="1" shapeId="0" xr:uid="{187E6D3B-B562-4CB2-9FB8-58B34D73D473}">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1314" authorId="1" shapeId="0" xr:uid="{4F4DE9E7-13FB-4BFA-AB97-B756645FCEFA}">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1314" authorId="1" shapeId="0" xr:uid="{F9AC8C14-8816-47C8-8BE3-D26FEC45F11F}">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1315" authorId="1" shapeId="0" xr:uid="{D2119524-CF95-4E18-B2D9-65F784E8EA77}">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1315" authorId="1" shapeId="0" xr:uid="{2196A084-F7C7-47EF-9BAF-B717060A8A21}">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1315" authorId="1" shapeId="0" xr:uid="{81F733A1-C121-499D-85D0-508F78E33C7B}">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1316" authorId="0" shapeId="0" xr:uid="{4C35BAB0-EDDB-4B5F-87B5-126198A1B2CB}">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1316" authorId="0" shapeId="0" xr:uid="{B4458D01-8836-4BCE-ACE6-FEC63EBBAE00}">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1316" authorId="0" shapeId="0" xr:uid="{2E0E1D1E-6D70-4139-BEC6-91247F49FFA3}">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1317" authorId="0" shapeId="0" xr:uid="{87CCDFF2-5B98-43C2-AF24-6B244FBA3FED}">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1317" authorId="0" shapeId="0" xr:uid="{631A3C6E-CAEF-42B5-9EFF-7BCF5D31ED2A}">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1317" authorId="0" shapeId="0" xr:uid="{0C243659-1039-4178-9342-673FBD849556}">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1318" authorId="1" shapeId="0" xr:uid="{1076AD17-BD8F-4217-AC83-12236C9DD70A}">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1324" authorId="0" shapeId="0" xr:uid="{0D588D6E-8D1A-43B1-88E6-0D5C7D910676}">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1324" authorId="0" shapeId="0" xr:uid="{3522C352-5DC7-42C7-94A9-1F9F3C817BB1}">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1324" authorId="0" shapeId="0" xr:uid="{F76CCCA9-C95F-4DD0-B18C-E61D7E80E627}">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1325" authorId="0" shapeId="0" xr:uid="{F38912C3-9476-4358-AD1C-77E57537B777}">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1325" authorId="0" shapeId="0" xr:uid="{E6635329-930A-4FCC-9DE3-2C60D4A21F6B}">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1325" authorId="0" shapeId="0" xr:uid="{C31C77C4-F831-45BC-B0B6-B52ADA8FDDFC}">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1326" authorId="0" shapeId="0" xr:uid="{7979F5FF-7FEE-4070-AEB3-C86D5B894070}">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1326" authorId="0" shapeId="0" xr:uid="{16A31707-E290-4333-A883-35F50D91DA4E}">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1326" authorId="0" shapeId="0" xr:uid="{519CD30E-8A07-4657-97BF-55404589DBDC}">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1327" authorId="0" shapeId="0" xr:uid="{EC627E3F-60B8-4566-A653-16AC8C08B36D}">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1327" authorId="0" shapeId="0" xr:uid="{63FE82D3-F978-4BBB-8630-84CC6DF13D45}">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1327" authorId="0" shapeId="0" xr:uid="{4D8E66A2-2AEE-4533-B947-4675A817A340}">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1328" authorId="1" shapeId="0" xr:uid="{19F74FEA-C3C5-4EA5-AA1D-1E48B1E1DEC3}">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1328" authorId="1" shapeId="0" xr:uid="{F0C26EE7-06B1-417E-A189-BC611CE99257}">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1328" authorId="1" shapeId="0" xr:uid="{28E63338-49FB-4DC4-9FE1-7BC5E6E64374}">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1329" authorId="1" shapeId="0" xr:uid="{7C3A69A1-CA74-41BA-B2F4-D5284D3341DB}">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1329" authorId="1" shapeId="0" xr:uid="{635DFEFB-22C1-4D98-A482-4AF53B01E071}">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1329" authorId="1" shapeId="0" xr:uid="{9CD4E196-DF5B-49AD-A6E7-FBCBB00A3F97}">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1330" authorId="1" shapeId="0" xr:uid="{88A295B6-9CDF-4D12-9D78-495F638F9985}">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1330" authorId="1" shapeId="0" xr:uid="{D192AD7B-3D37-433C-9092-13AAD611639A}">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1330" authorId="1" shapeId="0" xr:uid="{B90F234A-D23A-4417-8223-DC5A37F257AF}">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1331" authorId="0" shapeId="0" xr:uid="{7A60D081-89F4-421D-AD4C-26B0FA42AA9F}">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1331" authorId="0" shapeId="0" xr:uid="{B594412E-4656-4808-9894-28AB6B981AFF}">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1331" authorId="0" shapeId="0" xr:uid="{645E5E7D-B9A4-4761-AE71-0579B4E666D4}">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1332" authorId="0" shapeId="0" xr:uid="{90520002-5CB1-431E-A6BA-998EBC15F0FB}">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1332" authorId="0" shapeId="0" xr:uid="{F079F2D9-08B6-422C-B366-EB40F8710BE3}">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1332" authorId="0" shapeId="0" xr:uid="{6C617DFF-A112-45F7-ACC5-69C7BA9F1B4C}">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1333" authorId="1" shapeId="0" xr:uid="{FB7FC588-6495-43F4-8135-1734173BE6E7}">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1339" authorId="0" shapeId="0" xr:uid="{21DFE933-BFD3-4D4D-9DCB-50DE6A54A584}">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1339" authorId="0" shapeId="0" xr:uid="{0C35652F-1D10-4685-9E7D-729F74A363BE}">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1339" authorId="0" shapeId="0" xr:uid="{5B1FFB37-CB6E-43A5-AE79-C230CB579E41}">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1340" authorId="0" shapeId="0" xr:uid="{CEBB08E6-4998-4A4E-BE23-EB45F825FB77}">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1340" authorId="0" shapeId="0" xr:uid="{5A49499D-9EC9-41B8-B508-211E1271CD3E}">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1340" authorId="0" shapeId="0" xr:uid="{C8CF8365-D8B1-45AF-8F3E-2B40D8D06909}">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1341" authorId="0" shapeId="0" xr:uid="{30B5EDB4-DFB4-4CCA-B630-E3DE1C6117B0}">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1341" authorId="0" shapeId="0" xr:uid="{AC9C60EB-F7A8-4AD2-B3F5-7D587393B60F}">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1341" authorId="0" shapeId="0" xr:uid="{C400E65A-1804-4502-A0DB-EDC6307D6ACE}">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1342" authorId="0" shapeId="0" xr:uid="{6B259553-E2EC-403D-92A2-6F9566ECA13D}">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1342" authorId="0" shapeId="0" xr:uid="{794FD8AD-DCF6-42CB-89EF-105766EEA4CF}">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1342" authorId="0" shapeId="0" xr:uid="{393084FB-3CB6-4A88-8895-1C952EC5D9EC}">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1343" authorId="1" shapeId="0" xr:uid="{7E493A28-BDC3-4A81-9E42-ED10196B40DC}">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1343" authorId="1" shapeId="0" xr:uid="{242B2A75-6E34-4670-BDCA-5CF1059CC05F}">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1343" authorId="1" shapeId="0" xr:uid="{6E8D45B8-101B-483C-A4FF-F5E575442C62}">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1344" authorId="1" shapeId="0" xr:uid="{E942300F-E7CB-4BBE-9E60-A9A8365B4278}">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1344" authorId="1" shapeId="0" xr:uid="{7EE1E49E-E0AB-4C31-A5AE-C24A1BD5D7D1}">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1344" authorId="1" shapeId="0" xr:uid="{D836EFB1-FCBC-4521-86AA-EF67086B6E0F}">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1345" authorId="1" shapeId="0" xr:uid="{366C05DB-E465-41EB-A7EC-30456599AF34}">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1345" authorId="1" shapeId="0" xr:uid="{10B50AB1-2760-4562-BD83-94B3456CB84D}">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1345" authorId="1" shapeId="0" xr:uid="{0463D0C8-DD08-4DD4-89F2-B18F2E4A5142}">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1346" authorId="0" shapeId="0" xr:uid="{FE2B6BBE-613B-4C44-B29C-5E237A0AFBAD}">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1346" authorId="0" shapeId="0" xr:uid="{27B9B061-2EA1-467C-905F-A5BE9A7BABE9}">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1346" authorId="0" shapeId="0" xr:uid="{3CE43062-2DCD-47FA-A20F-8516904A16AD}">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1347" authorId="0" shapeId="0" xr:uid="{16D6994A-554E-4ECA-B0FF-36E3141E195A}">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1347" authorId="0" shapeId="0" xr:uid="{5429F7E4-7803-41C5-8583-9A08304A819C}">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1347" authorId="0" shapeId="0" xr:uid="{DE087AA8-926C-41F8-9F8C-76D76FE1B4D1}">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1348" authorId="1" shapeId="0" xr:uid="{CF034ABE-8C1D-4F6E-BF00-0610BDA9AFEF}">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1354" authorId="0" shapeId="0" xr:uid="{97AA7DA8-4076-45CF-AA8C-FDD34D72371A}">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1354" authorId="0" shapeId="0" xr:uid="{9F1707B7-C9A2-4521-9FD3-1F641CEFAF70}">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1354" authorId="0" shapeId="0" xr:uid="{C9FDC9BC-C3D2-45E3-A40F-2E19ABF3E5A4}">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1355" authorId="0" shapeId="0" xr:uid="{3DCCCD05-F4CE-4F6F-B69E-584CD809FC44}">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1355" authorId="0" shapeId="0" xr:uid="{CB8114B7-01AA-4C53-9DFF-D999D8825834}">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1355" authorId="0" shapeId="0" xr:uid="{85B8F66E-61DD-4435-834F-0223E3087B60}">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1356" authorId="0" shapeId="0" xr:uid="{08DB08F8-710A-4882-B7FF-B5E523EE54FD}">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1356" authorId="0" shapeId="0" xr:uid="{6DAAA82E-6D89-4857-B01D-43A6830FED23}">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1356" authorId="0" shapeId="0" xr:uid="{33DC994B-8FCC-44F8-9415-931B28371E1E}">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1357" authorId="0" shapeId="0" xr:uid="{68B36922-D84B-43BE-BF05-E7CB2D17E987}">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1357" authorId="0" shapeId="0" xr:uid="{FB87E5BE-65CE-4072-9A44-0C99D37D5EF3}">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1357" authorId="0" shapeId="0" xr:uid="{FCBDED6D-ADB2-423D-88BA-F38C3477D6AB}">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1358" authorId="1" shapeId="0" xr:uid="{B236934E-A33F-4EAB-85FC-F20BDFC931C1}">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1358" authorId="1" shapeId="0" xr:uid="{CD887B4C-0613-4D1D-824F-E4954BF71972}">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1358" authorId="1" shapeId="0" xr:uid="{B1F4A080-5278-4B14-82C1-A3EDCBF8104D}">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1359" authorId="1" shapeId="0" xr:uid="{CE187086-6017-4529-BBE8-D90A68D48E4B}">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1359" authorId="1" shapeId="0" xr:uid="{AE53F551-B223-4F16-BE23-19EB2D4CB5D2}">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1359" authorId="1" shapeId="0" xr:uid="{50967F28-B0E8-4F76-A2BF-0950D0320BAD}">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1360" authorId="1" shapeId="0" xr:uid="{63D7AFE4-71A8-46ED-8EE4-D64AA0A7186B}">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1360" authorId="1" shapeId="0" xr:uid="{86C57788-977D-4E47-BE24-81381A347EF7}">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1360" authorId="1" shapeId="0" xr:uid="{0CF75333-F802-4C87-8475-05448AD87B7E}">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1361" authorId="0" shapeId="0" xr:uid="{9D213FD5-E476-4BE5-A5B1-AC05F8D21F23}">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1361" authorId="0" shapeId="0" xr:uid="{DEBF4857-9A60-4D5B-B9EF-770C96D09C93}">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1361" authorId="0" shapeId="0" xr:uid="{74144516-3AA8-4044-83CF-8F7EFEFBA37A}">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1362" authorId="0" shapeId="0" xr:uid="{9DD9B702-7715-498B-83FF-B2BA1A2B54CE}">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1362" authorId="0" shapeId="0" xr:uid="{8C434357-95F7-4564-A9F2-5D4793DB8034}">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1362" authorId="0" shapeId="0" xr:uid="{7EBDC8F2-F97D-432B-B453-509EAEFDDC44}">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1363" authorId="1" shapeId="0" xr:uid="{7415BB3C-AF53-4717-8757-C03F681324C8}">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1369" authorId="0" shapeId="0" xr:uid="{4AD8C6FA-C8C1-48C9-A3B9-0B8CAB4AC992}">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1369" authorId="0" shapeId="0" xr:uid="{A6A8A058-BAD0-4C02-8860-27E6DFA0694F}">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1369" authorId="0" shapeId="0" xr:uid="{8C83875C-DB61-4A85-9253-4986BBE84947}">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1370" authorId="0" shapeId="0" xr:uid="{8A0F1893-3BFD-482B-A9E7-04323A21244F}">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1370" authorId="0" shapeId="0" xr:uid="{E8EB9919-0C9E-41AC-BEE1-860B2EE5BCC5}">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1370" authorId="0" shapeId="0" xr:uid="{B5216B28-0DE1-414C-B645-32C702E6E868}">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1371" authorId="0" shapeId="0" xr:uid="{58603679-4A02-448F-AD25-AFA820192CFC}">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1371" authorId="0" shapeId="0" xr:uid="{A578EC64-7E82-4EFD-A77B-FA3B85AD6088}">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1371" authorId="0" shapeId="0" xr:uid="{2B3FDBFD-F172-42F6-9CB4-E622392DF4CF}">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1372" authorId="0" shapeId="0" xr:uid="{C81530DA-5D24-49EE-9150-FD235A809E10}">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1372" authorId="0" shapeId="0" xr:uid="{C573C99B-BAF7-4748-8A7F-E68DACC92F28}">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1372" authorId="0" shapeId="0" xr:uid="{56FABAE0-4701-43B7-AD18-1665DA8AC411}">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1373" authorId="1" shapeId="0" xr:uid="{0E4EAF24-797B-4449-B4BE-876A3BA15DF3}">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1373" authorId="1" shapeId="0" xr:uid="{64DA23F3-3D06-4708-B5A5-CEA6839A8545}">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1373" authorId="1" shapeId="0" xr:uid="{CEA3F21A-63B2-4BAA-B157-98CE96392986}">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1374" authorId="1" shapeId="0" xr:uid="{129C08DE-CE90-4AB7-820C-785E02A52A1F}">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1374" authorId="1" shapeId="0" xr:uid="{B65939C6-2E47-4BA9-BC8C-66E60324A17B}">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1374" authorId="1" shapeId="0" xr:uid="{3BC18EB8-07CD-48F3-8469-E39D5BD8BD7E}">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1375" authorId="1" shapeId="0" xr:uid="{70296770-4341-43BC-A29A-D73EE26C8274}">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1375" authorId="1" shapeId="0" xr:uid="{A59EF287-02BE-46DB-9DBC-DEBBF3DA718E}">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1375" authorId="1" shapeId="0" xr:uid="{2B18FBF9-CF0C-40A1-B126-8B70426F5968}">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1376" authorId="0" shapeId="0" xr:uid="{CDB3CF45-94F3-4082-BE85-715B35B0DB57}">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1376" authorId="0" shapeId="0" xr:uid="{1B6C20FF-42C3-41A3-8B83-818354D537B7}">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1376" authorId="0" shapeId="0" xr:uid="{3C652210-3D5C-4448-A220-CEA0C6BE2B1A}">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1377" authorId="0" shapeId="0" xr:uid="{CCE279FA-918C-4864-8922-2D265FC2F346}">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1377" authorId="0" shapeId="0" xr:uid="{832AA1F5-0DDA-407A-A236-C4671D85475C}">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1377" authorId="0" shapeId="0" xr:uid="{E4C9A34F-B17B-4F4F-B223-514043C82003}">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1378" authorId="1" shapeId="0" xr:uid="{65C7A33D-D407-49ED-B9EC-7D1CECAA9459}">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1384" authorId="0" shapeId="0" xr:uid="{B5226F6B-A102-4098-81F1-3C39BE071CA8}">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1384" authorId="0" shapeId="0" xr:uid="{491B5F98-AC43-456E-A578-1061F3566B65}">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1384" authorId="0" shapeId="0" xr:uid="{975A1911-A1E0-4FE1-B724-B5EBA75FED21}">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1385" authorId="0" shapeId="0" xr:uid="{E464D99D-36C0-4E3B-983E-5E590F1E0592}">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1385" authorId="0" shapeId="0" xr:uid="{5ADD4E05-6392-4046-AC87-6E9513F8F9AA}">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1385" authorId="0" shapeId="0" xr:uid="{AD936EE7-375E-45A6-B717-2687170A41F2}">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1386" authorId="0" shapeId="0" xr:uid="{152E5AEC-D06A-4CFD-BA5F-C8B6F5A02B33}">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1386" authorId="0" shapeId="0" xr:uid="{68637392-E23D-473D-ACB5-1485936D6764}">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1386" authorId="0" shapeId="0" xr:uid="{E75CD965-C701-43AF-BDF1-34BDF673967B}">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1387" authorId="0" shapeId="0" xr:uid="{BFB627A5-8132-4240-8B92-BF6180E44EF2}">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1387" authorId="0" shapeId="0" xr:uid="{0CE9E711-E4C4-471C-9C84-C4445B312DFD}">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1387" authorId="0" shapeId="0" xr:uid="{C30EE825-2635-4EBA-AC96-2C5E4BB6200A}">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1388" authorId="1" shapeId="0" xr:uid="{B469CD27-1831-4B3B-BE13-850AA119D95B}">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1388" authorId="1" shapeId="0" xr:uid="{BA70511B-2EB5-43BA-87B4-0D434BC0A1BD}">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1388" authorId="1" shapeId="0" xr:uid="{5E9E2466-A91D-4CD1-899B-A682C4D403A1}">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1389" authorId="1" shapeId="0" xr:uid="{EC47DA28-D228-4F75-837A-D6FB1F8A468F}">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1389" authorId="1" shapeId="0" xr:uid="{131F3DBF-3DE3-4D58-9CEA-6064F93AB11D}">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1389" authorId="1" shapeId="0" xr:uid="{968C65A5-6AA3-4A3A-B0B4-E05FEE9828D0}">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1390" authorId="1" shapeId="0" xr:uid="{02A29202-9439-4289-9F29-EA4F1B5B2C93}">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1390" authorId="1" shapeId="0" xr:uid="{D4C2C4C8-9864-4CAD-B78A-A283B06D8261}">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1390" authorId="1" shapeId="0" xr:uid="{91159E2C-D40B-4350-82A0-438F90F9B445}">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1391" authorId="0" shapeId="0" xr:uid="{0BEF6013-F746-4236-959C-C1ED6E2F600E}">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1391" authorId="0" shapeId="0" xr:uid="{241EA480-2FE8-470A-A52C-A6085F374C6A}">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1391" authorId="0" shapeId="0" xr:uid="{E60461F5-60C7-4748-9454-CAC3D6DEA3D3}">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1392" authorId="0" shapeId="0" xr:uid="{338F1AB7-096B-49DB-B468-683C862F08E9}">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1392" authorId="0" shapeId="0" xr:uid="{016D193D-180C-4F71-9DE5-2306E3E43636}">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1392" authorId="0" shapeId="0" xr:uid="{800D7261-0CCD-408C-9F94-56C700CE8723}">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1393" authorId="1" shapeId="0" xr:uid="{E69B44DD-452C-459A-90CE-F87F5DD5BECB}">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1399" authorId="0" shapeId="0" xr:uid="{4D839038-199C-4C1C-893E-180B804A3A6B}">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1399" authorId="0" shapeId="0" xr:uid="{2AE01496-8777-43EB-A8C1-B9B1EA77F27F}">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1399" authorId="0" shapeId="0" xr:uid="{E1CFE05A-B884-4DF7-A840-9CFD2D9AC3CC}">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1400" authorId="0" shapeId="0" xr:uid="{24EFB951-3746-4028-B13B-FF1A9358E1FF}">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1400" authorId="0" shapeId="0" xr:uid="{D335675D-B929-4344-AD67-4F878361184D}">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1400" authorId="0" shapeId="0" xr:uid="{5222F801-C94E-426A-9622-E972E2FC348D}">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1401" authorId="0" shapeId="0" xr:uid="{0E435463-1940-4372-B0EE-C7471DF8AB6B}">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1401" authorId="0" shapeId="0" xr:uid="{6FDF30FD-6527-4264-B4EE-D0F6F00D23FA}">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1401" authorId="0" shapeId="0" xr:uid="{91D5DF7D-B947-4494-AC9F-3C19D01339B5}">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1402" authorId="0" shapeId="0" xr:uid="{B81D73A4-21B0-4FAA-A86F-50E3D336121E}">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1402" authorId="0" shapeId="0" xr:uid="{37392927-5753-410A-A30A-3916B528D4DB}">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1402" authorId="0" shapeId="0" xr:uid="{318FD090-C14E-477D-96DD-A8DF67D11410}">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1403" authorId="1" shapeId="0" xr:uid="{1FD151E1-1443-4836-94E2-E3E606E46FF4}">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1403" authorId="1" shapeId="0" xr:uid="{16DE558D-FCE7-44F5-B8C3-3C6CF6C9D982}">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1403" authorId="1" shapeId="0" xr:uid="{423AD92D-5DAE-419D-94C9-0E11A997BF77}">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1404" authorId="1" shapeId="0" xr:uid="{F6A6AE59-F589-4F91-AC75-9687925ADF43}">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1404" authorId="1" shapeId="0" xr:uid="{C96307DF-9D07-4A42-860A-4D0E6EE73F80}">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1404" authorId="1" shapeId="0" xr:uid="{7457BB6C-AEE7-4558-8D19-D010D4943A02}">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1405" authorId="1" shapeId="0" xr:uid="{C4C9C1E7-CF83-47E8-A45B-1035A7A7A788}">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1405" authorId="1" shapeId="0" xr:uid="{BF8EF009-A33A-46BC-B0CA-7A0D9212546F}">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1405" authorId="1" shapeId="0" xr:uid="{220EEEDD-5F0D-434F-B223-BB26F4F48A27}">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1406" authorId="0" shapeId="0" xr:uid="{93FBA81E-6FDB-43AF-BAC4-5A122B34927C}">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1406" authorId="0" shapeId="0" xr:uid="{E29800E3-8332-4D24-8759-B64AD25F712A}">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1406" authorId="0" shapeId="0" xr:uid="{73ACBA1C-1492-44A2-BE86-1EFF5529C864}">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1407" authorId="0" shapeId="0" xr:uid="{98CE43A0-555D-49D5-9F63-17A75D9AF307}">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1407" authorId="0" shapeId="0" xr:uid="{E84B3B53-5441-4D65-856B-477BDF481C90}">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1407" authorId="0" shapeId="0" xr:uid="{E4D01177-F844-48BD-8187-36FC3FBB6DC9}">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1408" authorId="1" shapeId="0" xr:uid="{4408F3DE-3989-47FA-8A52-DEF080250BE0}">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1414" authorId="0" shapeId="0" xr:uid="{CABE79DB-5E74-44A9-AE37-E0FC5DEF1846}">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1414" authorId="0" shapeId="0" xr:uid="{1747EC10-C846-4D77-ACAE-EA7B29BF67C4}">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1414" authorId="0" shapeId="0" xr:uid="{8F34B3EE-073B-4806-9B83-67EBB9BF9E5B}">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1415" authorId="0" shapeId="0" xr:uid="{EC8FE018-A888-4417-AC4C-C1E4BC0DF070}">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1415" authorId="0" shapeId="0" xr:uid="{16984CC0-E2F7-40FA-AF09-E6276DB48097}">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1415" authorId="0" shapeId="0" xr:uid="{44DB6257-6158-4064-A305-4AF21F35EB5D}">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1416" authorId="0" shapeId="0" xr:uid="{14F492C9-9C9E-4EE0-8223-1467FDF5DA90}">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1416" authorId="0" shapeId="0" xr:uid="{2FC37182-38BB-4A7E-B922-CA6787693CD3}">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1416" authorId="0" shapeId="0" xr:uid="{DBE95670-6E52-47D7-B368-5757C96E5E94}">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1417" authorId="0" shapeId="0" xr:uid="{6E014F59-7962-46AF-844E-23D24DF10FBD}">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1417" authorId="0" shapeId="0" xr:uid="{8F489851-5A06-4110-9599-61C27347D902}">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1417" authorId="0" shapeId="0" xr:uid="{FB17F0C8-2B39-42F0-A19E-7270CBCFD479}">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1418" authorId="1" shapeId="0" xr:uid="{CA52B236-7682-4577-BCE8-1D4A2E463281}">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1418" authorId="1" shapeId="0" xr:uid="{F9C3A4FE-B98D-420E-8F4E-C7FB5339B362}">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1418" authorId="1" shapeId="0" xr:uid="{F47FB095-BA07-49B9-AF51-0C2A5BD172CC}">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1419" authorId="1" shapeId="0" xr:uid="{5EF0DA7D-B828-4819-92AE-E4F9A3337DE2}">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1419" authorId="1" shapeId="0" xr:uid="{6761D0F3-334D-43FA-99B9-587903BEA3F2}">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1419" authorId="1" shapeId="0" xr:uid="{74E8DB26-C1AB-42E1-9E58-D3B6A85EFD61}">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1420" authorId="1" shapeId="0" xr:uid="{87604EDA-A5F3-4550-B951-A5C0266053DC}">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1420" authorId="1" shapeId="0" xr:uid="{32DDBD00-1C22-4A67-A0E1-C78BB0F75F12}">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1420" authorId="1" shapeId="0" xr:uid="{3D11BB89-467C-4EBE-BEBA-B21332B162AB}">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1421" authorId="0" shapeId="0" xr:uid="{09CC1F9C-141E-4152-9D94-459F83CB8552}">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1421" authorId="0" shapeId="0" xr:uid="{05C9EF3D-F827-469E-9151-A752FE4BE548}">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1421" authorId="0" shapeId="0" xr:uid="{1723E15D-2D98-4AA7-80CB-693E3F35AD8A}">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1422" authorId="0" shapeId="0" xr:uid="{E8D3A9AC-C98E-48AB-87E8-CB16C02EDDF0}">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1422" authorId="0" shapeId="0" xr:uid="{A9103058-B4D9-46C7-B7C6-BACB6FD724DA}">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1422" authorId="0" shapeId="0" xr:uid="{E505A249-6AC8-42FD-A557-2C4FD1124F70}">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1423" authorId="1" shapeId="0" xr:uid="{D3B1E6DC-2E97-4E91-95DD-42021EBABED6}">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1429" authorId="0" shapeId="0" xr:uid="{3ADEC0C1-B32C-47A8-A882-A25E0FDDF942}">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1429" authorId="0" shapeId="0" xr:uid="{7D6AD3E9-9185-4720-880D-DA509BAB5745}">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1429" authorId="0" shapeId="0" xr:uid="{F6A5A78B-35E7-47A2-A500-AD12DB76CDA4}">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1430" authorId="0" shapeId="0" xr:uid="{CA3A2D93-EF35-4461-BD86-566160DA62C4}">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1430" authorId="0" shapeId="0" xr:uid="{F4B77391-26FD-432E-859B-FFD81826D087}">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1430" authorId="0" shapeId="0" xr:uid="{0FB7304E-D76F-4669-9B48-545A29484EBA}">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1431" authorId="0" shapeId="0" xr:uid="{7F72352B-C0C0-482C-A28D-40C1857C53E9}">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1431" authorId="0" shapeId="0" xr:uid="{8243C787-4D7E-4B27-8E6B-BAE7029F56ED}">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1431" authorId="0" shapeId="0" xr:uid="{A4E9188F-0ADC-4508-B536-6359CC62C048}">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1432" authorId="0" shapeId="0" xr:uid="{91813BB4-06CF-43FF-843C-149C0C55071F}">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1432" authorId="0" shapeId="0" xr:uid="{D3F8F3CA-B8BD-45D0-911B-06ABAB6A7EC7}">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1432" authorId="0" shapeId="0" xr:uid="{A39CFF7C-2246-46DA-A17C-7DD737ED0010}">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1433" authorId="1" shapeId="0" xr:uid="{A2832456-78E8-4300-A1F5-69E253EACEEA}">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1433" authorId="1" shapeId="0" xr:uid="{C37526DF-1703-4635-AC2D-B46C4B5AA457}">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1433" authorId="1" shapeId="0" xr:uid="{5E8159CF-501C-4BD6-AA45-CA515FBDA4D0}">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1434" authorId="1" shapeId="0" xr:uid="{158F9728-4229-438F-9D65-742800B99F36}">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1434" authorId="1" shapeId="0" xr:uid="{4D5FFDBC-2E46-4E06-A102-5F5A44B98ACD}">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1434" authorId="1" shapeId="0" xr:uid="{20A75488-5C6E-4CAC-9041-8AC6BE2B29E4}">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1435" authorId="1" shapeId="0" xr:uid="{B895B741-51AB-4D3F-8986-43A720F9ED21}">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1435" authorId="1" shapeId="0" xr:uid="{5D13BF16-1761-469A-90EB-8430FD30D432}">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1435" authorId="1" shapeId="0" xr:uid="{2492474A-1AA9-4091-B318-FBE52EFBCF38}">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1436" authorId="0" shapeId="0" xr:uid="{97331694-60E0-4890-BBCB-29855873B532}">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1436" authorId="0" shapeId="0" xr:uid="{49B0636E-7102-4C6E-8D6D-2CB7AA0926D6}">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1436" authorId="0" shapeId="0" xr:uid="{05A9C853-4AB0-4C4E-A8A7-6E0E47908681}">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1437" authorId="0" shapeId="0" xr:uid="{BCA31309-B6F2-474E-A75B-79E25AEB0B70}">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1437" authorId="0" shapeId="0" xr:uid="{B40ACFDF-D56A-4DF3-B51D-A1153F6EF8C1}">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1437" authorId="0" shapeId="0" xr:uid="{BB462A01-7E8D-4801-A191-D99D0B1003EA}">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1438" authorId="1" shapeId="0" xr:uid="{C3B8648E-F7F1-4572-B1A2-7EA21013DF87}">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1444" authorId="0" shapeId="0" xr:uid="{86814228-EF0C-4C8B-B7EA-57DF8D8FED59}">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1444" authorId="0" shapeId="0" xr:uid="{C687ACAC-6909-496D-B73B-8DAE4F575C0B}">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1444" authorId="0" shapeId="0" xr:uid="{871DE0D4-1DC4-49C4-BDA8-53595A18400F}">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1445" authorId="0" shapeId="0" xr:uid="{7F5684AB-5F98-4F80-B6F5-18C5E13E29E3}">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1445" authorId="0" shapeId="0" xr:uid="{6C56524B-F194-4EAD-83DA-908560721690}">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1445" authorId="0" shapeId="0" xr:uid="{229DE896-D463-4E21-9A67-E1CCA71750E2}">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1446" authorId="0" shapeId="0" xr:uid="{4CD0B82D-1AE5-4551-8336-68722E825401}">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1446" authorId="0" shapeId="0" xr:uid="{7EE40496-187E-437D-A452-9A34DE9A4A8F}">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1446" authorId="0" shapeId="0" xr:uid="{84BD0DD4-02EE-49B6-93D9-9CCB42EB792B}">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1447" authorId="0" shapeId="0" xr:uid="{2C5F9628-FADD-4FF1-BBFA-7FCE8BE50169}">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1447" authorId="0" shapeId="0" xr:uid="{41318CFD-7748-45AA-A31C-EA3A075103B9}">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1447" authorId="0" shapeId="0" xr:uid="{12548926-E19C-4C76-9A57-7A91DE785CD3}">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1448" authorId="1" shapeId="0" xr:uid="{1787BA81-A6CA-433F-980A-954DA85F65AE}">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1448" authorId="1" shapeId="0" xr:uid="{B29F73BD-082A-44DD-8667-35A5C5ABC054}">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1448" authorId="1" shapeId="0" xr:uid="{0C5721CA-9044-4B57-ADE0-55D93CBA3CA1}">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1449" authorId="1" shapeId="0" xr:uid="{B6E2568D-9489-4BD5-A968-2058457341EB}">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1449" authorId="1" shapeId="0" xr:uid="{42216E0E-959E-4E04-BB53-5E397B1B4B4A}">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1449" authorId="1" shapeId="0" xr:uid="{6EA3B147-DFE1-4F6B-B1DB-8023883B2EE0}">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1450" authorId="1" shapeId="0" xr:uid="{E7CBD5A3-D030-4761-9E41-3E2D06FF7212}">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1450" authorId="1" shapeId="0" xr:uid="{BAA868A8-46B4-4572-B080-24028BF9591A}">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1450" authorId="1" shapeId="0" xr:uid="{F4AB357A-E0AE-4145-A801-58D3EE198F6A}">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1451" authorId="0" shapeId="0" xr:uid="{6B8F242D-60F3-4DFD-AC18-2A2EBAD618DB}">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1451" authorId="0" shapeId="0" xr:uid="{159F3F76-D8B2-4A36-B650-7D525FEC6218}">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1451" authorId="0" shapeId="0" xr:uid="{9616261E-64EB-41F0-B3F2-30833C543B3B}">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1452" authorId="0" shapeId="0" xr:uid="{BBDB8B3A-D64A-41AF-9B90-C50063755370}">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1452" authorId="0" shapeId="0" xr:uid="{E507580C-8E28-4DE7-B93F-13254F5901A9}">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1452" authorId="0" shapeId="0" xr:uid="{76A1DCF8-8A20-4833-BE3C-1AD6459784BF}">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1453" authorId="1" shapeId="0" xr:uid="{AAE085D3-12EE-4B32-AA73-D3D8E22C382C}">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1459" authorId="0" shapeId="0" xr:uid="{6C182A4C-3345-438C-B0B9-48B9781A5A38}">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1459" authorId="0" shapeId="0" xr:uid="{3F812BD4-F090-435A-A8EC-160A8793955C}">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1459" authorId="0" shapeId="0" xr:uid="{9B46045D-3D26-49C7-82DC-61C537EF1290}">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1460" authorId="0" shapeId="0" xr:uid="{F36C4787-904B-485E-AA46-22B27C090FC1}">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1460" authorId="0" shapeId="0" xr:uid="{EAC1E45D-9BFD-4A38-B7F2-90EED4E846B9}">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1460" authorId="0" shapeId="0" xr:uid="{0D67E7D0-50B4-450B-84E7-59CC33B1AB76}">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1461" authorId="0" shapeId="0" xr:uid="{43B29CC8-864B-46B4-AB9C-9D5EEFF1B8EC}">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1461" authorId="0" shapeId="0" xr:uid="{4187B9E5-7EFC-46AD-978D-C4A108E7BEAA}">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1461" authorId="0" shapeId="0" xr:uid="{94E7311F-7FC0-46E2-86BC-2566B71EA44C}">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1462" authorId="0" shapeId="0" xr:uid="{71D6D3ED-D8F6-4028-9FE0-07786231A232}">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1462" authorId="0" shapeId="0" xr:uid="{9367ED4D-2D75-47CF-B9A5-4D05938C135B}">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1462" authorId="0" shapeId="0" xr:uid="{EDCA4D3F-F760-4439-9DDE-64D3491794B2}">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1463" authorId="1" shapeId="0" xr:uid="{4D6E3290-3456-4E85-82EC-80A76E9B7FB4}">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1463" authorId="1" shapeId="0" xr:uid="{C14AF0C6-B5DA-4865-A9DB-CFD92DA91509}">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1463" authorId="1" shapeId="0" xr:uid="{26617197-535B-4194-B13B-CE8CA2EBBCB3}">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1464" authorId="1" shapeId="0" xr:uid="{C779B285-9292-4845-8026-2401822A5154}">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1464" authorId="1" shapeId="0" xr:uid="{D3C6E4E9-F108-47BB-B3A1-3A1AA7DF11D1}">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1464" authorId="1" shapeId="0" xr:uid="{C47864CE-185C-40E7-8A92-14A979AE193D}">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1465" authorId="1" shapeId="0" xr:uid="{3136FE8F-2D40-49A1-B024-5B0D2A2653FA}">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1465" authorId="1" shapeId="0" xr:uid="{1CD6A142-D20D-40D6-A732-0AC9D24D67B7}">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1465" authorId="1" shapeId="0" xr:uid="{5931129C-1FC7-4D4D-90AC-073AC2892237}">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1466" authorId="0" shapeId="0" xr:uid="{86E90E4A-C277-47BA-ABF7-5519AE073435}">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1466" authorId="0" shapeId="0" xr:uid="{56B76983-6093-4379-AEC5-E062C188CDDA}">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1466" authorId="0" shapeId="0" xr:uid="{3DE8308C-8FB1-46AE-BB29-8E4C14000D54}">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1467" authorId="0" shapeId="0" xr:uid="{7BCB71E7-9A48-4D20-8C4A-DF9279B53966}">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1467" authorId="0" shapeId="0" xr:uid="{2A766C7B-2F6F-4331-9115-A3E8D176FA32}">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1467" authorId="0" shapeId="0" xr:uid="{C06A3CD3-342B-4BC6-9E41-10B7FFB53AA9}">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1468" authorId="1" shapeId="0" xr:uid="{39CCB64C-5E3E-426C-A125-509F51006816}">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1474" authorId="0" shapeId="0" xr:uid="{A09E85EC-2CBE-42D2-9700-38D1FACFE186}">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1474" authorId="0" shapeId="0" xr:uid="{F4BB785C-1766-44E8-BEFE-FED1E23C987B}">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1474" authorId="0" shapeId="0" xr:uid="{79CB0281-4EAD-48EC-8097-08DF5A7515B8}">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1475" authorId="0" shapeId="0" xr:uid="{7311891F-7012-4B47-8DE3-822BBBAF044B}">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1475" authorId="0" shapeId="0" xr:uid="{BF4577C4-5034-4DF4-A11C-193CA5515C2B}">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1475" authorId="0" shapeId="0" xr:uid="{368937F1-6359-4BFF-8238-D5BC7B0F7492}">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1476" authorId="0" shapeId="0" xr:uid="{1D4F2DF4-6C7D-48C9-9850-80E9491E3E2B}">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1476" authorId="0" shapeId="0" xr:uid="{680309E0-DD6D-48AE-8050-828ADDE23466}">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1476" authorId="0" shapeId="0" xr:uid="{2A335835-714D-4E08-A01F-D0B017ACFDFF}">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1477" authorId="0" shapeId="0" xr:uid="{F573FE37-EF06-4C56-844E-7B3EBA7DB2EA}">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1477" authorId="0" shapeId="0" xr:uid="{C913F8BD-D3F2-4B4B-8BD2-5F5A324E82E0}">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1477" authorId="0" shapeId="0" xr:uid="{8D57D66C-FD36-498E-857C-5ED836BB355A}">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1478" authorId="1" shapeId="0" xr:uid="{A0AEA604-FC11-44B9-B694-3F37A00B5FE0}">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1478" authorId="1" shapeId="0" xr:uid="{95434130-1492-401E-A529-7087165B455E}">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1478" authorId="1" shapeId="0" xr:uid="{EFA13774-2912-40AC-A570-1537C637BD17}">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1479" authorId="1" shapeId="0" xr:uid="{A2771998-59EE-4588-9029-BC527DA93216}">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1479" authorId="1" shapeId="0" xr:uid="{EBCBB3F1-B338-40BD-BC34-A670926F3AAC}">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1479" authorId="1" shapeId="0" xr:uid="{3FF7F4D5-4AF0-4784-BF76-906AFBD79056}">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1480" authorId="1" shapeId="0" xr:uid="{ADAC6329-7B64-4CEE-B654-48E027B8BE0D}">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1480" authorId="1" shapeId="0" xr:uid="{5F6EEB73-32BC-435E-9832-A50184B46496}">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1480" authorId="1" shapeId="0" xr:uid="{9EF42B22-3575-479D-8776-F65CEBD37F51}">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1481" authorId="0" shapeId="0" xr:uid="{31C36B4E-51AB-47FC-B4C7-A48AED4039FB}">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1481" authorId="0" shapeId="0" xr:uid="{F18A2270-1FD4-4A1B-9287-3CA3F287CB76}">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1481" authorId="0" shapeId="0" xr:uid="{52BB7BD4-C68D-4B24-9DDD-BDDDA00A8B80}">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1482" authorId="0" shapeId="0" xr:uid="{B470A335-9297-4B13-A394-C98AFEB05E36}">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1482" authorId="0" shapeId="0" xr:uid="{86E4D475-180B-4364-9D14-A7344DA4DAA7}">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1482" authorId="0" shapeId="0" xr:uid="{A5DA0D53-475F-4D1A-BF16-80547F9E1B0E}">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1483" authorId="1" shapeId="0" xr:uid="{341C7201-E341-41F1-BE28-F86016CB2F20}">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1489" authorId="0" shapeId="0" xr:uid="{80274D44-9D86-4A74-A0E7-3D685F6C72D7}">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1489" authorId="0" shapeId="0" xr:uid="{BC3AA6EB-CF6A-4929-951C-40AF2CB8FB3B}">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1489" authorId="0" shapeId="0" xr:uid="{1080F47E-3A77-4A0A-B597-4E2ACB73683A}">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1490" authorId="0" shapeId="0" xr:uid="{A5B62084-D56A-4AB5-BEC1-7AE21C8EDE54}">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1490" authorId="0" shapeId="0" xr:uid="{1F121E80-8935-4210-9041-BA01E0409A3E}">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1490" authorId="0" shapeId="0" xr:uid="{0FFF47A9-8859-4E86-A451-314E77487D29}">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1491" authorId="0" shapeId="0" xr:uid="{F8DF0A97-6867-414F-B362-BF1FB61543D6}">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1491" authorId="0" shapeId="0" xr:uid="{F575E267-4B9F-4A18-BCD2-337B7B25CA41}">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1491" authorId="0" shapeId="0" xr:uid="{5077B1C2-DE05-4831-922C-1079AADC779F}">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1492" authorId="0" shapeId="0" xr:uid="{85B98F0C-613A-4754-A057-E603BB94CACC}">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1492" authorId="0" shapeId="0" xr:uid="{0A318E64-D3B6-4181-810E-F0CBE38D64D6}">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1492" authorId="0" shapeId="0" xr:uid="{DD4C4655-2D15-4E92-A4E6-6EDBC703AA0E}">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1493" authorId="1" shapeId="0" xr:uid="{D6C09E09-0CB1-4D3F-9C79-3A0A415736AF}">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1493" authorId="1" shapeId="0" xr:uid="{3FD5F2A2-2E97-4464-8DD6-A4AAB5B6CF55}">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1493" authorId="1" shapeId="0" xr:uid="{EBA7D2CA-72B5-42E5-9D1D-A9409623EB14}">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1494" authorId="1" shapeId="0" xr:uid="{4084BD78-38DE-44FD-9D86-61B6D38A0D2C}">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1494" authorId="1" shapeId="0" xr:uid="{9AA89909-51AF-4E31-9185-0057D8331EF1}">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1494" authorId="1" shapeId="0" xr:uid="{6D648B8A-A1BC-4962-B6B6-E45B2C8C5586}">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1495" authorId="1" shapeId="0" xr:uid="{A5B75414-D257-4E98-ACAB-11B443A0DC6B}">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1495" authorId="1" shapeId="0" xr:uid="{FED287B8-ED26-44FA-8774-3D69918AA4E1}">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1495" authorId="1" shapeId="0" xr:uid="{639F1BD7-2C04-40A4-A52C-AA27171496FC}">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1496" authorId="0" shapeId="0" xr:uid="{80536715-43ED-4E14-880B-8E0A3ED93ED7}">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1496" authorId="0" shapeId="0" xr:uid="{B7943252-EE6D-4A8F-B533-1672336F9EF8}">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1496" authorId="0" shapeId="0" xr:uid="{81158C7E-8FE9-498F-9C8C-33B14F41FFEE}">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1497" authorId="0" shapeId="0" xr:uid="{C622A20F-12B2-41E9-8B56-72C3A6666A88}">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1497" authorId="0" shapeId="0" xr:uid="{E3B97B74-F794-4965-88EB-8E395266810E}">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1497" authorId="0" shapeId="0" xr:uid="{35CE9FC4-4DF3-4954-8D41-0E5E976A1E15}">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1498" authorId="1" shapeId="0" xr:uid="{FA02EA09-6C3D-4F6E-9453-F5B17AF8C978}">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A1502" authorId="1" shapeId="0" xr:uid="{4B24C3E5-2BB2-40B1-917D-0AAB4A5B4489}">
      <text>
        <r>
          <rPr>
            <b/>
            <sz val="9"/>
            <color rgb="FF000000"/>
            <rFont val="Tahoma"/>
            <family val="2"/>
          </rPr>
          <t>brian du:</t>
        </r>
        <r>
          <rPr>
            <sz val="9"/>
            <color rgb="FF000000"/>
            <rFont val="Tahoma"/>
            <family val="2"/>
          </rPr>
          <t xml:space="preserve">
</t>
        </r>
        <r>
          <rPr>
            <sz val="9"/>
            <color rgb="FF000000"/>
            <rFont val="Tahoma"/>
            <family val="2"/>
          </rPr>
          <t xml:space="preserve">Subjective factor.
</t>
        </r>
        <r>
          <rPr>
            <sz val="9"/>
            <color rgb="FF000000"/>
            <rFont val="Tahoma"/>
            <family val="2"/>
          </rPr>
          <t xml:space="preserve">
</t>
        </r>
        <r>
          <rPr>
            <sz val="9"/>
            <color rgb="FF000000"/>
            <rFont val="Tahoma"/>
            <family val="2"/>
          </rPr>
          <t xml:space="preserve">Look for </t>
        </r>
        <r>
          <rPr>
            <u/>
            <sz val="9"/>
            <color rgb="FF000000"/>
            <rFont val="Tahoma"/>
            <family val="2"/>
          </rPr>
          <t>consistency</t>
        </r>
        <r>
          <rPr>
            <sz val="9"/>
            <color rgb="FF000000"/>
            <rFont val="Tahoma"/>
            <family val="2"/>
          </rPr>
          <t xml:space="preserve"> in all growth rates, especially revenue.</t>
        </r>
      </text>
    </comment>
    <comment ref="R1504" authorId="0" shapeId="0" xr:uid="{8C2E4272-E1E9-4EB9-B7C4-73D214C9799C}">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1504" authorId="0" shapeId="0" xr:uid="{0DF6CA96-2108-4275-8689-DE9A0C2AF83B}">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1504" authorId="0" shapeId="0" xr:uid="{A1BEF94F-80C5-4C9A-AD82-8D939A3685CE}">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1505" authorId="0" shapeId="0" xr:uid="{3B9A2893-E1F0-43D1-A3F3-77CAA190D636}">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1505" authorId="0" shapeId="0" xr:uid="{25230883-B45E-4D85-9664-DD3BA4714876}">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1505" authorId="0" shapeId="0" xr:uid="{F514EE0B-3772-4C63-A6DB-30EF8A1D9774}">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1506" authorId="0" shapeId="0" xr:uid="{7EFC766D-F76A-4672-81A6-824FB9203C24}">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1506" authorId="0" shapeId="0" xr:uid="{5839306B-520B-4D4B-9C72-5C2EE6329FF0}">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1506" authorId="0" shapeId="0" xr:uid="{3D22FB53-D052-43E8-8A5D-6CD62D492227}">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1507" authorId="0" shapeId="0" xr:uid="{80D9866D-F011-485D-B503-85D01A57ABFE}">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1507" authorId="0" shapeId="0" xr:uid="{73890E41-8C1C-4C05-A4D3-23AFE7FEDF04}">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1507" authorId="0" shapeId="0" xr:uid="{1B9150F9-2A96-41D4-986E-9FE72151B176}">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1508" authorId="1" shapeId="0" xr:uid="{ACAFB757-5B3F-455D-B80E-76C60C6A9361}">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1508" authorId="1" shapeId="0" xr:uid="{C18619CE-BCB2-481B-8387-31454E3CDADA}">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1508" authorId="1" shapeId="0" xr:uid="{1947C80A-8299-4B11-A285-BCE73FBA296F}">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1509" authorId="1" shapeId="0" xr:uid="{BAD4CCA1-2122-4AA4-98C2-5D7BDDBA0AEB}">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1509" authorId="1" shapeId="0" xr:uid="{A8F1DF08-2EA1-4507-83DC-E0036D7132B4}">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1509" authorId="1" shapeId="0" xr:uid="{F598530B-8FA7-4E29-81B4-019F49D0408B}">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1510" authorId="1" shapeId="0" xr:uid="{1250BCE0-43A4-4539-90EC-685C3DB62770}">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1510" authorId="1" shapeId="0" xr:uid="{3CE0F5BD-7BF4-4B3E-AA16-B4CF0A4BC5E1}">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1510" authorId="1" shapeId="0" xr:uid="{42DC9CF1-686C-4D2E-9539-AA78F26C9B1E}">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1511" authorId="0" shapeId="0" xr:uid="{49393EAE-7EDF-4209-BBB0-8B6A0EFECAC3}">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1511" authorId="0" shapeId="0" xr:uid="{4CD0AC92-3BF7-4E72-80F2-A1B1B22E94E4}">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1511" authorId="0" shapeId="0" xr:uid="{9FF80148-AC5C-41EF-843E-2B4019EFE079}">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1512" authorId="0" shapeId="0" xr:uid="{A5DE4001-6749-40FB-9BDA-D862BB0D9975}">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1512" authorId="0" shapeId="0" xr:uid="{4801AB1C-14C5-4781-AF30-03D858A29510}">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1512" authorId="0" shapeId="0" xr:uid="{B34858DB-B2FA-47A9-8C60-E6EEC6C8E061}">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1513" authorId="1" shapeId="0" xr:uid="{541EE4E3-8A6B-443F-8032-719812F1D07B}">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1519" authorId="0" shapeId="0" xr:uid="{CCD61F0A-BB79-4418-A4E1-AA46C691A0F1}">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1519" authorId="0" shapeId="0" xr:uid="{E50496B3-7C66-4E97-A468-BE054B41908A}">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1519" authorId="0" shapeId="0" xr:uid="{0F14A91C-1913-4AD7-B557-216D9F4C917E}">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1520" authorId="0" shapeId="0" xr:uid="{0B2F1E36-4A47-4035-82A7-7175B57450F4}">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1520" authorId="0" shapeId="0" xr:uid="{C85CD79F-BEED-40BF-BFA2-E7075D29161B}">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1520" authorId="0" shapeId="0" xr:uid="{5D5D3D27-70C8-4878-B9FD-E6394EF5E0EE}">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1521" authorId="0" shapeId="0" xr:uid="{FA53A9C3-AF72-44C7-84EB-8737EA679572}">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1521" authorId="0" shapeId="0" xr:uid="{1AAFDFA4-F4E5-4B61-9E97-E4E8C65D554D}">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1521" authorId="0" shapeId="0" xr:uid="{4DB3580F-C507-49FD-9E63-052D3560B558}">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1522" authorId="0" shapeId="0" xr:uid="{B1AF51BC-A7B5-46CB-A1A9-B580B387A04A}">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1522" authorId="0" shapeId="0" xr:uid="{2DDCAFA3-A949-4B35-A717-E7BB73A66B73}">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1522" authorId="0" shapeId="0" xr:uid="{91850FE3-7259-4417-AA38-18710748886F}">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1523" authorId="1" shapeId="0" xr:uid="{E2EC3858-4F5C-4366-BBE6-48721A903D66}">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1523" authorId="1" shapeId="0" xr:uid="{7C41D197-597A-4A1F-A064-1AEB40A24A08}">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1523" authorId="1" shapeId="0" xr:uid="{0EFC3B23-0A65-4F72-80A9-2FF8331535F2}">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1524" authorId="1" shapeId="0" xr:uid="{927EFF4C-A583-4EF7-92CC-A7F056E15893}">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1524" authorId="1" shapeId="0" xr:uid="{8F47B333-7BF9-4C9E-ABAC-34FFCCA389B7}">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1524" authorId="1" shapeId="0" xr:uid="{D2B1ABD6-0772-47EA-9B8C-DBFBDC04BE95}">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1525" authorId="1" shapeId="0" xr:uid="{FE341435-23B3-415A-A5C4-82E0BBD8252E}">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1525" authorId="1" shapeId="0" xr:uid="{9535575E-B359-4815-9D4C-8BAFCC1E1E62}">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1525" authorId="1" shapeId="0" xr:uid="{A39772BF-2E2C-41FB-844C-51831645CB44}">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1526" authorId="0" shapeId="0" xr:uid="{1BF6DEEF-26C5-4475-8DBE-3E1ACAEB5142}">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1526" authorId="0" shapeId="0" xr:uid="{B2092858-D19E-44E6-966E-66728129AC80}">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1526" authorId="0" shapeId="0" xr:uid="{7F186F56-573E-42C9-8078-BB37DFCA4935}">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1527" authorId="0" shapeId="0" xr:uid="{FCD54D2C-65F5-4749-A6EB-E07294B0D34E}">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1527" authorId="0" shapeId="0" xr:uid="{B912CB23-A7C3-4535-B222-72304D2206B8}">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1527" authorId="0" shapeId="0" xr:uid="{D58F3CEE-E27E-4AA9-8EAB-1418BB1ED632}">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1528" authorId="1" shapeId="0" xr:uid="{5B12312A-395E-447E-A9DD-AB157B6F166B}">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1534" authorId="0" shapeId="0" xr:uid="{E13D41CF-BDD9-45C4-8475-FD757442677C}">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1534" authorId="0" shapeId="0" xr:uid="{910880E8-2A08-418C-8ADF-68591B3BE3DE}">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1534" authorId="0" shapeId="0" xr:uid="{C2309B93-7881-432C-9C6C-DC9EFAEF9BD7}">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1535" authorId="0" shapeId="0" xr:uid="{8ACFEA06-B292-4312-9F8F-53B804A4AB2C}">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1535" authorId="0" shapeId="0" xr:uid="{8ED78EC9-D87D-4FCF-9BF8-19DC0CFA9FE6}">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1535" authorId="0" shapeId="0" xr:uid="{76E40971-04D1-4E4B-9FD6-7F1B9E844C50}">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1536" authorId="0" shapeId="0" xr:uid="{14A3A351-96E1-4D55-B7E1-91DB144B66DE}">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1536" authorId="0" shapeId="0" xr:uid="{36AD5AC0-8116-43B6-81FF-FEE3AA37DB76}">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1536" authorId="0" shapeId="0" xr:uid="{76EAF3E5-6051-47EE-9D19-A414EB9D7199}">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1537" authorId="0" shapeId="0" xr:uid="{054ED382-92F2-4D7F-993E-3016B3CEEAFA}">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1537" authorId="0" shapeId="0" xr:uid="{320A4D46-9AE6-41C3-A5DA-E36A617FEB31}">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1537" authorId="0" shapeId="0" xr:uid="{F3996DAB-EC79-4D17-88B9-F5C9A5658B2D}">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1538" authorId="1" shapeId="0" xr:uid="{D53BCC22-EB63-4983-AA51-6828D2804DB3}">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1538" authorId="1" shapeId="0" xr:uid="{4EEB25FA-3759-480F-AB07-9096CCF4B82A}">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1538" authorId="1" shapeId="0" xr:uid="{58776C8A-9DC1-40DE-884B-915DC417DD66}">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1539" authorId="1" shapeId="0" xr:uid="{C14B3BE0-2514-4430-A84B-AA6C464AF0BD}">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1539" authorId="1" shapeId="0" xr:uid="{2B4BAA2B-A097-47F3-8B96-B058EB904D94}">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1539" authorId="1" shapeId="0" xr:uid="{C74A0793-AD15-48C9-BEA1-2937F9A3545C}">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1540" authorId="1" shapeId="0" xr:uid="{01D992BA-5BC9-4984-97E3-D6B0698C84FD}">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1540" authorId="1" shapeId="0" xr:uid="{4D192490-CBF1-4E30-BD56-80EDE81CDAFE}">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1540" authorId="1" shapeId="0" xr:uid="{F156D00F-650E-430F-8DD6-6AAE9316B537}">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1541" authorId="0" shapeId="0" xr:uid="{C9ACE7AE-A65A-4E8A-A98E-369CD5DE8EF2}">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1541" authorId="0" shapeId="0" xr:uid="{867DC67B-434D-4663-8CC0-1575D4E13C53}">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1541" authorId="0" shapeId="0" xr:uid="{3AA3EEFE-A7EA-4799-8CDD-4A5706597B8A}">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1542" authorId="0" shapeId="0" xr:uid="{5D2061BA-6371-4356-9F00-3EED7E72AA71}">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1542" authorId="0" shapeId="0" xr:uid="{68D23785-B0CA-4F9C-A978-40FAC6E192BE}">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1542" authorId="0" shapeId="0" xr:uid="{CD44AE16-5885-42D3-9C39-8A411C6F583C}">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1543" authorId="1" shapeId="0" xr:uid="{28C482E6-4561-4184-AB52-8E785D3F3386}">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1549" authorId="0" shapeId="0" xr:uid="{D5D2D26E-3383-4A29-B2D7-178054AE5642}">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1549" authorId="0" shapeId="0" xr:uid="{3E9A0674-F2E6-42AC-91E0-A2C746C289A3}">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1549" authorId="0" shapeId="0" xr:uid="{C90ECAEE-A070-42D5-A5BA-0C8B0C173FF6}">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1550" authorId="0" shapeId="0" xr:uid="{53612099-FC3F-422D-ABCA-B3DFFC626B5B}">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1550" authorId="0" shapeId="0" xr:uid="{479A4D99-DB02-49C1-B73A-267B78303290}">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1550" authorId="0" shapeId="0" xr:uid="{0BAA8DE6-1176-4118-A733-1D518894B0B1}">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1551" authorId="0" shapeId="0" xr:uid="{33081C3D-0666-420F-873B-366083B1CFEC}">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1551" authorId="0" shapeId="0" xr:uid="{E373219A-0002-45A5-88A1-25B568868A1F}">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1551" authorId="0" shapeId="0" xr:uid="{32F384EB-FD55-47B1-829C-3E275F663D52}">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1552" authorId="0" shapeId="0" xr:uid="{C4EA86DE-76A9-4275-935D-8D30F91CBCBC}">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1552" authorId="0" shapeId="0" xr:uid="{CCDC3D44-EA07-40F8-82DE-07FD529AA4C8}">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1552" authorId="0" shapeId="0" xr:uid="{ECC7C101-57E5-4E09-AF15-7BD8B9AAB25B}">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1553" authorId="1" shapeId="0" xr:uid="{B3E3B5C8-9A0B-44F6-9F76-11F338435C55}">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1553" authorId="1" shapeId="0" xr:uid="{59970CCE-37B6-4C09-ABAA-A70E374C6837}">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1553" authorId="1" shapeId="0" xr:uid="{BB92AF8E-A923-4EE1-B154-2786331E2F36}">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1554" authorId="1" shapeId="0" xr:uid="{97633B18-E4E1-4BAF-9023-33FED4A7EDDF}">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1554" authorId="1" shapeId="0" xr:uid="{43E4B33E-20B9-4875-8381-F25F4FEC36A5}">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1554" authorId="1" shapeId="0" xr:uid="{642326C3-C2C7-4133-9E83-36944EA7FFAE}">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1555" authorId="1" shapeId="0" xr:uid="{A388FD75-2A59-4893-A623-4E3698A2C2FF}">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1555" authorId="1" shapeId="0" xr:uid="{A581EF57-5592-4E5B-ACEF-CD04411B2166}">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1555" authorId="1" shapeId="0" xr:uid="{E0A32131-B22C-4DE9-876A-DC0469F6BED8}">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1556" authorId="0" shapeId="0" xr:uid="{FF8FABC2-4D56-425B-BC06-AB23870289C7}">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1556" authorId="0" shapeId="0" xr:uid="{C5D7B1C6-E540-4CDB-8D03-F4D9874029BD}">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1556" authorId="0" shapeId="0" xr:uid="{79F3579A-3252-4CE6-9FAF-777DC66DE682}">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1557" authorId="0" shapeId="0" xr:uid="{1B6271EE-09A2-4537-9E23-4CF712AE69FD}">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1557" authorId="0" shapeId="0" xr:uid="{1455789D-45CD-4B34-96FC-EE71835DD9A5}">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1557" authorId="0" shapeId="0" xr:uid="{3C6898BB-468D-4022-94CA-FB65567E65BB}">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1558" authorId="1" shapeId="0" xr:uid="{239D70A7-D5F2-45F3-9621-7C0A286DB4C4}">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1564" authorId="0" shapeId="0" xr:uid="{531A64FB-1995-49A8-8F78-8F6C946EBF46}">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1564" authorId="0" shapeId="0" xr:uid="{E0C095C5-B77E-4B25-B0E4-E7F746D0DB10}">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1564" authorId="0" shapeId="0" xr:uid="{5133D057-38A3-47CD-ACFE-EEC3F6C1D886}">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1565" authorId="0" shapeId="0" xr:uid="{FABE9697-6C82-44BA-BE4C-6B22DF4A5384}">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1565" authorId="0" shapeId="0" xr:uid="{A4207E57-D847-4D49-B6B7-A29DA383BEA2}">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1565" authorId="0" shapeId="0" xr:uid="{C61450F9-C99E-44FB-BA9F-2CA950E24F0C}">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1566" authorId="0" shapeId="0" xr:uid="{53BD62D7-B21D-4DDC-9F4F-278C1A637390}">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1566" authorId="0" shapeId="0" xr:uid="{8301FB88-0F55-42CD-B58B-2251BA7B53E6}">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1566" authorId="0" shapeId="0" xr:uid="{088725E8-AB4F-4A53-A5C1-79B6250D6A23}">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1567" authorId="0" shapeId="0" xr:uid="{D695DD80-FE73-4E4D-9F69-2C0E10527FFE}">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1567" authorId="0" shapeId="0" xr:uid="{CE9324A3-E720-48B9-9202-0576ADBA4431}">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1567" authorId="0" shapeId="0" xr:uid="{D2ED4C46-7832-4D0C-AB38-6B533C0CD3C7}">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1568" authorId="1" shapeId="0" xr:uid="{1DAD2DDA-EAE4-4000-BBA7-4DA34AA749DF}">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1568" authorId="1" shapeId="0" xr:uid="{A66F4B70-D05F-4207-A470-899F7A483A89}">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1568" authorId="1" shapeId="0" xr:uid="{E374E55C-0786-4193-ABEF-48A83FB01034}">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1569" authorId="1" shapeId="0" xr:uid="{D04CB574-9017-4A59-BB35-2637F5CF7AFF}">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1569" authorId="1" shapeId="0" xr:uid="{9EB2827F-BF9A-4100-84A9-830952771158}">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1569" authorId="1" shapeId="0" xr:uid="{8E0781FC-A4F5-47FF-B3FA-1846CEE846D2}">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1570" authorId="1" shapeId="0" xr:uid="{E7E7C075-91DF-4E68-9A28-BA8AB8EB8043}">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1570" authorId="1" shapeId="0" xr:uid="{4682D619-1697-4833-821D-F29B4012C4A2}">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1570" authorId="1" shapeId="0" xr:uid="{BDFC733F-3D3F-4808-BAAD-666C7CC65CD0}">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1571" authorId="0" shapeId="0" xr:uid="{4262302D-1F51-41DD-8D13-2C7F29EEEB10}">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1571" authorId="0" shapeId="0" xr:uid="{3259F99D-3314-4ACD-AE92-578214FD8651}">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1571" authorId="0" shapeId="0" xr:uid="{85C2B8FB-835F-4C9F-BAD2-DC31D644F3DE}">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1572" authorId="0" shapeId="0" xr:uid="{563BD71F-1DB2-4061-8F73-D99064857125}">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1572" authorId="0" shapeId="0" xr:uid="{56DB9626-52D2-43EC-8897-1607CA24F4BA}">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1572" authorId="0" shapeId="0" xr:uid="{1425768E-F99A-45FB-9CC3-00379808A168}">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1573" authorId="1" shapeId="0" xr:uid="{2371155B-F5A0-460E-A896-A3DFB59748DE}">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1579" authorId="0" shapeId="0" xr:uid="{B46D7508-B460-4751-BB02-0F9AC7ED66E7}">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1579" authorId="0" shapeId="0" xr:uid="{4843DBCC-7682-4E70-B3C2-8F12731C9D58}">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1579" authorId="0" shapeId="0" xr:uid="{2C6DAEED-4F19-496D-8178-C9975ADF8BDC}">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1580" authorId="0" shapeId="0" xr:uid="{FA42BC81-BA97-43E6-85AE-833ED1EEB7EE}">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1580" authorId="0" shapeId="0" xr:uid="{6FEA0C59-F4EC-470F-B1BB-C7DEB4523264}">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1580" authorId="0" shapeId="0" xr:uid="{01B8CE46-3CEC-42C9-9D49-98F1CC0561B5}">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1581" authorId="0" shapeId="0" xr:uid="{E3FB1391-EB33-4429-8737-5DBCB110E13D}">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1581" authorId="0" shapeId="0" xr:uid="{A1BAADCB-591B-4CD1-B103-67CE01272A5B}">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1581" authorId="0" shapeId="0" xr:uid="{2729A323-5E77-41CF-997B-D446A81DDD5F}">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1582" authorId="0" shapeId="0" xr:uid="{1C6EBA83-CE9A-4CB6-B7E9-33BB0BF2620A}">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1582" authorId="0" shapeId="0" xr:uid="{04EC57FF-1FC0-40B0-8CDE-79732AE77784}">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1582" authorId="0" shapeId="0" xr:uid="{5E73FA23-127C-4720-93AE-6816C51368A6}">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1583" authorId="1" shapeId="0" xr:uid="{461E2020-EFE9-4071-B219-C4EFF23BCB03}">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1583" authorId="1" shapeId="0" xr:uid="{4D1B450A-0411-4E90-BF74-14A3D3E39C3F}">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1583" authorId="1" shapeId="0" xr:uid="{F90A3FE9-F8DB-44A7-8761-7235260B6007}">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1584" authorId="1" shapeId="0" xr:uid="{6E71B7C1-7B09-40AB-81B2-FF87FD47E37D}">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1584" authorId="1" shapeId="0" xr:uid="{8A1BCADE-4D19-4BEA-A3D2-8528B4BA3172}">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1584" authorId="1" shapeId="0" xr:uid="{9513161B-8B3D-412A-B7EA-E8FDB2068587}">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1585" authorId="1" shapeId="0" xr:uid="{84B23AAD-4438-45DE-9449-FA5943D10481}">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1585" authorId="1" shapeId="0" xr:uid="{41ED137E-6596-4530-A1BA-E12E4DC935ED}">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1585" authorId="1" shapeId="0" xr:uid="{1B5D1AB3-1D8A-4414-BA12-0A287B7B6A1F}">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1586" authorId="0" shapeId="0" xr:uid="{0479C3CC-9897-4426-B198-C507D913754F}">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1586" authorId="0" shapeId="0" xr:uid="{6FF3201B-5676-4AC0-AF78-93D601591E95}">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1586" authorId="0" shapeId="0" xr:uid="{1D096DC1-8459-4238-AAA8-CA52DDB8E5FA}">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1587" authorId="0" shapeId="0" xr:uid="{01985D76-69EE-420B-8CE7-56F8A8600EE5}">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1587" authorId="0" shapeId="0" xr:uid="{98F45161-7409-41FD-B257-CA580F30943A}">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1587" authorId="0" shapeId="0" xr:uid="{178D3B69-0205-43C8-A1D5-EEDAA3C9603A}">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1588" authorId="1" shapeId="0" xr:uid="{734C4EDC-77E8-4AFD-93CA-A55582C7C831}">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1594" authorId="0" shapeId="0" xr:uid="{37089185-3413-4838-9D82-EF7A3C299275}">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1594" authorId="0" shapeId="0" xr:uid="{4BB2E7D5-7E35-4377-87C5-FBD59AD2FF6E}">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1594" authorId="0" shapeId="0" xr:uid="{132828B8-FE25-4D19-A4DE-046A51ECDB61}">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1595" authorId="0" shapeId="0" xr:uid="{8010617E-E426-4670-9266-8F57AAC54F46}">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1595" authorId="0" shapeId="0" xr:uid="{B33398D0-1981-4D04-9007-176179A5700F}">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1595" authorId="0" shapeId="0" xr:uid="{12F79F86-6622-490F-8EC9-107B87D639DE}">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1596" authorId="0" shapeId="0" xr:uid="{6B968BB6-CE3D-42B7-AC51-7B1071A0D1D6}">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1596" authorId="0" shapeId="0" xr:uid="{A53BFBA0-4E75-408B-874C-D52FEDD28E77}">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1596" authorId="0" shapeId="0" xr:uid="{8BFBB2AF-267A-4BE8-A16E-042DCD60AA49}">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1597" authorId="0" shapeId="0" xr:uid="{C90EFA4D-9B6C-4CEA-A45E-44520D80B58F}">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1597" authorId="0" shapeId="0" xr:uid="{3A38762F-8A31-4C74-B8A4-5D974E66CF05}">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1597" authorId="0" shapeId="0" xr:uid="{C79DDF8B-2552-4F66-BFC1-D68A30A45C5B}">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1598" authorId="1" shapeId="0" xr:uid="{819F7D92-611E-4299-9EF8-5D225D022A95}">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1598" authorId="1" shapeId="0" xr:uid="{73FF1AD0-90AF-4935-BE96-D269AE825649}">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1598" authorId="1" shapeId="0" xr:uid="{B43CD0E0-15BB-44D3-868D-190A37D5E7F2}">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1599" authorId="1" shapeId="0" xr:uid="{DAAC77F5-A90A-4A4B-AD48-31E8DEEBC8B2}">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1599" authorId="1" shapeId="0" xr:uid="{E2F663AD-36DC-40B7-BC0F-D4104B41A01F}">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1599" authorId="1" shapeId="0" xr:uid="{30F0077A-A762-4359-B5DD-FC4F8AA35C7C}">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1600" authorId="1" shapeId="0" xr:uid="{AC18E7DA-314A-45C9-9F19-A6DC8FE112B1}">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1600" authorId="1" shapeId="0" xr:uid="{2043BA4B-FBFF-406B-9C44-A40C80AA0893}">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1600" authorId="1" shapeId="0" xr:uid="{F07428C4-7C7D-4A27-8EDE-C42571F2B7D4}">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1601" authorId="0" shapeId="0" xr:uid="{178AC910-12B9-401E-B9BB-D7929D81FC5B}">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1601" authorId="0" shapeId="0" xr:uid="{8A4F1D0B-905A-4FCF-9F46-8F352CB1183F}">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1601" authorId="0" shapeId="0" xr:uid="{08D838B3-FF02-4CDE-8868-FF95A8779AE8}">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1602" authorId="0" shapeId="0" xr:uid="{2ED82B67-A30F-4F11-B572-C4343D5D8195}">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1602" authorId="0" shapeId="0" xr:uid="{7CAA045F-5872-461E-ADB5-7BCD8DFAE046}">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1602" authorId="0" shapeId="0" xr:uid="{410C9502-8527-4DFD-83C9-A36D18369E33}">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1603" authorId="1" shapeId="0" xr:uid="{F6FD581B-8D53-46E9-867A-FC7A4455266E}">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1609" authorId="0" shapeId="0" xr:uid="{2787F063-AAD5-40CD-9CC9-FFEF00F7A988}">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1609" authorId="0" shapeId="0" xr:uid="{61916F22-B725-4781-9447-C364AA73DE1B}">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1609" authorId="0" shapeId="0" xr:uid="{C1F26E3A-3C40-4707-B2DB-03AA896C02B9}">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1610" authorId="0" shapeId="0" xr:uid="{EF7463A9-6C72-4386-9053-B6BDAD1443E7}">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1610" authorId="0" shapeId="0" xr:uid="{B82168BB-F83B-49D7-981C-2C28B8D58896}">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1610" authorId="0" shapeId="0" xr:uid="{9C436D75-6934-46CE-9B33-070B35FB0321}">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1611" authorId="0" shapeId="0" xr:uid="{F9FA429C-2299-456E-9FBD-2A8A6F3C9927}">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1611" authorId="0" shapeId="0" xr:uid="{36CEEB8E-CF8A-418C-A731-05AEA67AFCB8}">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1611" authorId="0" shapeId="0" xr:uid="{2129292A-6736-4246-BCEF-54041C42C7ED}">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1612" authorId="0" shapeId="0" xr:uid="{C9634EB6-A007-429F-9A37-4D61A63788EE}">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1612" authorId="0" shapeId="0" xr:uid="{6A3ED4B2-2FFF-481B-BCB2-969D87182DBC}">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1612" authorId="0" shapeId="0" xr:uid="{269A40E6-31B4-45C4-8C04-209D07564B5D}">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1613" authorId="1" shapeId="0" xr:uid="{D6653B55-8F14-443C-A3DF-520B4950DF18}">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1613" authorId="1" shapeId="0" xr:uid="{80C673F9-E72E-442C-B501-637998B5D389}">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1613" authorId="1" shapeId="0" xr:uid="{A41ECB02-177C-4B37-96C0-59A82699D74B}">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1614" authorId="1" shapeId="0" xr:uid="{AB866A1D-B791-4DF8-84A8-FDC63B60EDE6}">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1614" authorId="1" shapeId="0" xr:uid="{96A51FFE-74CE-4E2B-B21A-D43906FE2764}">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1614" authorId="1" shapeId="0" xr:uid="{AF499B29-F779-4F5C-B1C7-7180FA2D274B}">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1615" authorId="1" shapeId="0" xr:uid="{2499AEC4-A7B3-46EB-A9EE-27A99559F16F}">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1615" authorId="1" shapeId="0" xr:uid="{E2E790DF-EAAA-44DA-A481-1457731D7CBE}">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1615" authorId="1" shapeId="0" xr:uid="{C554DAF1-B39D-48CB-B263-373634BDC2D8}">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1616" authorId="0" shapeId="0" xr:uid="{B426B690-7CFA-47C3-9DFC-3A465195EE9B}">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1616" authorId="0" shapeId="0" xr:uid="{F675349D-4DAD-455B-8400-5EA696B9BE10}">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1616" authorId="0" shapeId="0" xr:uid="{29C3DAAA-2E8F-4B7C-93A7-76890BD7BC4B}">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1617" authorId="0" shapeId="0" xr:uid="{CA39DE14-FE11-4033-AC68-A8A63B24D87C}">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1617" authorId="0" shapeId="0" xr:uid="{7674B4F2-4ABB-414A-8CD7-83B197EB5254}">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1617" authorId="0" shapeId="0" xr:uid="{92CF81C4-E4DD-42B6-8B08-6A1FC0213B1E}">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1618" authorId="1" shapeId="0" xr:uid="{8D9A916C-646F-4D28-870C-FE2597731B06}">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1624" authorId="0" shapeId="0" xr:uid="{BAB7765F-E7C2-4222-8BA7-408D96ADCB7B}">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1624" authorId="0" shapeId="0" xr:uid="{7B570131-B09D-4BC1-BCA7-CA32284406E7}">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1624" authorId="0" shapeId="0" xr:uid="{34C0F92B-F496-4262-9FD2-6330DAF3334B}">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1625" authorId="0" shapeId="0" xr:uid="{751B327E-18C3-4AEF-B9D1-32904F8C7100}">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1625" authorId="0" shapeId="0" xr:uid="{80D17EC0-BBD4-4031-92DC-269FA0572F4D}">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1625" authorId="0" shapeId="0" xr:uid="{7D26C0BF-CB0B-42DE-A476-4BCBF18C375B}">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1626" authorId="0" shapeId="0" xr:uid="{8B2845DE-C6CC-4643-B231-8DE6F2045A2B}">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1626" authorId="0" shapeId="0" xr:uid="{FD5B0924-68C8-4AD1-9371-61515728104B}">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1626" authorId="0" shapeId="0" xr:uid="{649B4F3F-BA31-47DF-B3C3-90A6E280AF00}">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1627" authorId="0" shapeId="0" xr:uid="{17157B05-6030-4ECE-8114-578103B28C8B}">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1627" authorId="0" shapeId="0" xr:uid="{FC13397F-4303-4462-AA1E-9128354518F4}">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1627" authorId="0" shapeId="0" xr:uid="{8B3972D0-CF7C-43C1-A108-59F0D65070ED}">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1628" authorId="1" shapeId="0" xr:uid="{E58CC621-CDE4-4483-8C64-21EBCDEC61E9}">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1628" authorId="1" shapeId="0" xr:uid="{79BA3A6E-240E-4493-AB9F-CD14BBE68AD3}">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1628" authorId="1" shapeId="0" xr:uid="{5B2EA3AC-3BE7-4144-AEB8-5BD4DD9A9BCE}">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1629" authorId="1" shapeId="0" xr:uid="{C1A47FD8-1A34-40DC-9E47-BF798849572B}">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1629" authorId="1" shapeId="0" xr:uid="{2E685503-E11E-42F5-8D09-26FB9D23FECB}">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1629" authorId="1" shapeId="0" xr:uid="{E02F1688-57C8-4F77-A769-93A7AE17C268}">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1630" authorId="1" shapeId="0" xr:uid="{12D34784-1B8E-449B-9D5B-7A3580DC7290}">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1630" authorId="1" shapeId="0" xr:uid="{E5A7F42B-367B-430C-9718-09099E845102}">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1630" authorId="1" shapeId="0" xr:uid="{314271A6-60DA-4D8D-9D50-037C7BCAE4D3}">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1631" authorId="0" shapeId="0" xr:uid="{2F5E5577-5F93-4649-9B01-E7620070CC74}">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1631" authorId="0" shapeId="0" xr:uid="{12496790-AAF5-4602-AA29-2AAE21336AD7}">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1631" authorId="0" shapeId="0" xr:uid="{7A4C591A-D943-4561-9FE8-DAAA8BA3590B}">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1632" authorId="0" shapeId="0" xr:uid="{FA67A020-6810-4982-BD6F-2606F826539E}">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1632" authorId="0" shapeId="0" xr:uid="{13CDACEE-FFE0-4F44-BF01-4FCE599067F0}">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1632" authorId="0" shapeId="0" xr:uid="{55929680-8178-4AA1-AD04-DCCE1DE7E527}">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1633" authorId="1" shapeId="0" xr:uid="{D8A454A5-3073-4898-A2D7-C04921C3DCB7}">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1639" authorId="0" shapeId="0" xr:uid="{A4B4C837-1D13-4209-980F-7D1E31954583}">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1639" authorId="0" shapeId="0" xr:uid="{176EB0EC-92C6-437F-B55B-BA1B76E72BC3}">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1639" authorId="0" shapeId="0" xr:uid="{0BB1A8CC-8040-4E6B-8F55-590167B5E0D0}">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1640" authorId="0" shapeId="0" xr:uid="{C8C94A31-8B50-4B9E-910C-21D5B96B8F67}">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1640" authorId="0" shapeId="0" xr:uid="{7FAE6D46-2126-4006-BB8A-6FA7F218913C}">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1640" authorId="0" shapeId="0" xr:uid="{17461312-3DBF-47EA-9D27-4741BBC60E36}">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1641" authorId="0" shapeId="0" xr:uid="{94255C82-2A77-4B5F-843C-8E6E1324CAD1}">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1641" authorId="0" shapeId="0" xr:uid="{827E3FB9-341F-4431-9FD8-F6A42810EEE3}">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1641" authorId="0" shapeId="0" xr:uid="{24DBB6B7-6E12-48F0-B5EF-796D5C21CD64}">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1642" authorId="0" shapeId="0" xr:uid="{AC090352-0229-4DED-92D5-56B47A693A90}">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1642" authorId="0" shapeId="0" xr:uid="{154A88E8-CEF2-4C5A-9194-4438DB2B9A32}">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1642" authorId="0" shapeId="0" xr:uid="{A8536D48-8981-4FDA-BC46-CD3E0E79C89D}">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1643" authorId="1" shapeId="0" xr:uid="{177A5A25-E4A2-40BD-A3ED-6DA794A605DF}">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1643" authorId="1" shapeId="0" xr:uid="{E4A96192-FC81-4E06-9CA0-5173612C74F7}">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1643" authorId="1" shapeId="0" xr:uid="{46796A2C-48FE-4917-8266-40595804CDF6}">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1644" authorId="1" shapeId="0" xr:uid="{38A2707F-F8E0-48AF-A64F-6528D28A12B7}">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1644" authorId="1" shapeId="0" xr:uid="{5CBFD78C-08BD-42F1-BC54-6AC054243E16}">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1644" authorId="1" shapeId="0" xr:uid="{84328569-BA5B-4C89-B943-1A8679A4E936}">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1645" authorId="1" shapeId="0" xr:uid="{02152B60-60EA-420C-97B8-8474D4319588}">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1645" authorId="1" shapeId="0" xr:uid="{954A541D-2AD0-4F86-A230-2A8F4833A2D4}">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1645" authorId="1" shapeId="0" xr:uid="{D1CB5243-C803-40D3-9F3C-25E84F909573}">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1646" authorId="0" shapeId="0" xr:uid="{2DF6AEF3-442E-4A7C-8CCD-9F8D7E20D733}">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1646" authorId="0" shapeId="0" xr:uid="{476CCDF8-5A5F-476B-94C9-2A3EC105A84E}">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1646" authorId="0" shapeId="0" xr:uid="{518D0307-A7D6-4068-B13A-7EFB9972ACD5}">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1647" authorId="0" shapeId="0" xr:uid="{0FFB879B-D9F8-43B3-8D98-C34DD63A133F}">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1647" authorId="0" shapeId="0" xr:uid="{05E5B726-2663-4153-87BD-CA2AC4A7C39A}">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1647" authorId="0" shapeId="0" xr:uid="{D4AD0C2B-FE77-46BD-AAA4-4A5CFF3820E6}">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1648" authorId="1" shapeId="0" xr:uid="{C684B119-4DDA-4B8A-9D7A-A6A1442F9AE7}">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1654" authorId="0" shapeId="0" xr:uid="{E586A4AD-C089-423F-98C7-F4081F4F38F9}">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1654" authorId="0" shapeId="0" xr:uid="{EBF87BFC-DFD3-4820-B745-C86F487586A1}">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1654" authorId="0" shapeId="0" xr:uid="{865C204A-4029-487C-8630-FD4770867AE8}">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1655" authorId="0" shapeId="0" xr:uid="{FFCB0EC9-688F-42A4-B4A3-209B8D335284}">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1655" authorId="0" shapeId="0" xr:uid="{9EEC7356-C8CE-4432-A6AA-131060872A76}">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1655" authorId="0" shapeId="0" xr:uid="{CC966868-7EBA-4231-BBE5-AB3CE4276AB0}">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1656" authorId="0" shapeId="0" xr:uid="{6E8EFDCD-A539-4D7A-8CBB-05C3D8D0FDCE}">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1656" authorId="0" shapeId="0" xr:uid="{8A71DB4E-AD33-4429-A9D1-E4A9016A21EF}">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1656" authorId="0" shapeId="0" xr:uid="{DB3F7194-4B33-40F4-B5F1-64854D808F28}">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1657" authorId="0" shapeId="0" xr:uid="{978985E2-B9F4-448F-AA90-58EB95A6C366}">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1657" authorId="0" shapeId="0" xr:uid="{56A36920-5D13-47C8-BDB1-BCAF66689475}">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1657" authorId="0" shapeId="0" xr:uid="{F56F8375-0556-43E4-9B05-502C2B311A3D}">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1658" authorId="1" shapeId="0" xr:uid="{C4FD9E00-DE1B-447C-963B-6E0BB7F81818}">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1658" authorId="1" shapeId="0" xr:uid="{8EE47924-F4E7-46B0-AA3C-697B23887875}">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1658" authorId="1" shapeId="0" xr:uid="{DF9B348A-4C96-4A87-9FF8-7FD8C1A28DED}">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1659" authorId="1" shapeId="0" xr:uid="{65312F94-5AD0-4224-B392-122A4D2FA6A0}">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1659" authorId="1" shapeId="0" xr:uid="{22409764-5A01-4D11-932C-CDC67A8FCCE3}">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1659" authorId="1" shapeId="0" xr:uid="{08C1489A-F3EF-4DE1-BD53-D44C9FEC4F3A}">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1660" authorId="1" shapeId="0" xr:uid="{B0D5CFCD-1102-4960-8FC2-735636EAA433}">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1660" authorId="1" shapeId="0" xr:uid="{CFD6034B-58F5-4593-BA5F-3E2132C55121}">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1660" authorId="1" shapeId="0" xr:uid="{640F0ABA-E5C6-4D4E-826E-02C5E55B0F4C}">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1661" authorId="0" shapeId="0" xr:uid="{D5AFDE23-2897-454F-A664-9398832905C6}">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1661" authorId="0" shapeId="0" xr:uid="{7040B60A-729C-4782-AC4B-5E78C718ECF3}">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1661" authorId="0" shapeId="0" xr:uid="{DA71FAD1-B592-471F-96C6-85F72E99BC56}">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1662" authorId="0" shapeId="0" xr:uid="{18FABE16-E1A3-4609-875F-58B043498E84}">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1662" authorId="0" shapeId="0" xr:uid="{18701996-BDE6-4293-958C-DA2056C91043}">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1662" authorId="0" shapeId="0" xr:uid="{95C3EC8C-BAC3-48EB-ADD2-DF3E34419C19}">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1663" authorId="1" shapeId="0" xr:uid="{A2E7D92A-1254-4CB5-82F2-E9DF1EFB6F59}">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1669" authorId="0" shapeId="0" xr:uid="{F168D443-DA3A-471A-8B24-1B2245FBB638}">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1669" authorId="0" shapeId="0" xr:uid="{D04C6BF5-0D50-42FC-9731-1D573639F1CD}">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1669" authorId="0" shapeId="0" xr:uid="{685624D6-7155-479D-80C5-745084F42C9F}">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1670" authorId="0" shapeId="0" xr:uid="{84AC0B6A-5CAA-4C74-995E-42048DC85720}">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1670" authorId="0" shapeId="0" xr:uid="{C6A4EEAA-56AF-496B-9BC3-3DECBA22A402}">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1670" authorId="0" shapeId="0" xr:uid="{992E38D9-58A5-46D0-8955-62C1BEF47147}">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1671" authorId="0" shapeId="0" xr:uid="{B72F5BDD-33DE-498B-A294-CFC85282056C}">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1671" authorId="0" shapeId="0" xr:uid="{10457AE2-EC02-4384-9259-3C0CC24AEDB5}">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1671" authorId="0" shapeId="0" xr:uid="{47961BDF-B9F3-451D-A22A-7B8D902EB57C}">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1672" authorId="0" shapeId="0" xr:uid="{46EE9914-052B-4A56-A020-8BE83F1E177F}">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1672" authorId="0" shapeId="0" xr:uid="{780EA33F-5700-4170-B5A9-1B0BB7430179}">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1672" authorId="0" shapeId="0" xr:uid="{382FC74D-3399-4BD2-A38D-97873D439085}">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1673" authorId="1" shapeId="0" xr:uid="{B2A8A9C4-79EC-4D4C-A3A6-F9427FBF5595}">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1673" authorId="1" shapeId="0" xr:uid="{6F9DAEB8-BBED-4814-B3D7-C975008CF8F0}">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1673" authorId="1" shapeId="0" xr:uid="{0F840384-431E-4554-83BD-092718716288}">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1674" authorId="1" shapeId="0" xr:uid="{A08B480C-B86F-40C8-8AAD-D694502C9D09}">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1674" authorId="1" shapeId="0" xr:uid="{D8FA95BF-07AB-4B75-8C3C-6E4021EA05FF}">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1674" authorId="1" shapeId="0" xr:uid="{15B1423F-E9D2-48FA-A096-DE816D635DD8}">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1675" authorId="1" shapeId="0" xr:uid="{00FB38D6-DA64-4D3F-94E9-46EF7C060956}">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1675" authorId="1" shapeId="0" xr:uid="{9AB97CAD-1E3F-4B26-B043-C3336C9F5327}">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1675" authorId="1" shapeId="0" xr:uid="{C0B72CBC-6B70-4534-90AB-0F74AE39096B}">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1676" authorId="0" shapeId="0" xr:uid="{ABF9A14B-6F45-4E01-BC32-B308F05B34EE}">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1676" authorId="0" shapeId="0" xr:uid="{FDBB1ADF-D393-49A7-B441-7EE0CA8293D9}">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1676" authorId="0" shapeId="0" xr:uid="{A3B9CC0E-ADCB-451D-AA12-7A51C58B08F6}">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1677" authorId="0" shapeId="0" xr:uid="{E3B7FDC4-C515-41D1-A6D0-A6B9B604C815}">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1677" authorId="0" shapeId="0" xr:uid="{E20FCF04-B81D-4BAD-AE85-81DC8C09B55B}">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1677" authorId="0" shapeId="0" xr:uid="{E1AED9E3-A9DA-4259-8FBC-92414AA379AC}">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1678" authorId="1" shapeId="0" xr:uid="{9D904661-ADC4-4CC2-94FF-5FCD9E434D57}">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1684" authorId="0" shapeId="0" xr:uid="{1D2BC51A-859B-4D97-B523-4D332FAF7558}">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1684" authorId="0" shapeId="0" xr:uid="{90BFB168-01B7-448F-A130-7CC2B9AA2550}">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1684" authorId="0" shapeId="0" xr:uid="{3E75DBCD-63CD-41DF-9693-2244D5F7C640}">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1685" authorId="0" shapeId="0" xr:uid="{3B729C0B-6BF8-4BA0-AA92-82CE8EB1633A}">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1685" authorId="0" shapeId="0" xr:uid="{B042E49C-5FB8-4461-8E48-9DD5D4FBAE49}">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1685" authorId="0" shapeId="0" xr:uid="{56EFC216-981D-48F3-8A4F-E8798994249B}">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1686" authorId="0" shapeId="0" xr:uid="{762F123D-1A6B-4145-8B04-6836E79F7507}">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1686" authorId="0" shapeId="0" xr:uid="{EB0B6525-B75D-4DE1-9955-2AEFC488DE9D}">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1686" authorId="0" shapeId="0" xr:uid="{B3F865BF-409B-4CBB-BAF5-EAC679EE0A0F}">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1687" authorId="0" shapeId="0" xr:uid="{773B79E0-8AA1-4F1C-8BBE-3649A764DD50}">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1687" authorId="0" shapeId="0" xr:uid="{36534338-C163-4DD0-A72E-8010D0D23193}">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1687" authorId="0" shapeId="0" xr:uid="{0F48A695-6BB6-499C-8354-67D2194D0D65}">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1688" authorId="1" shapeId="0" xr:uid="{10897051-DD02-4858-BA72-E2EC558028CC}">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1688" authorId="1" shapeId="0" xr:uid="{4D217C68-1975-4EEE-B2F6-0AD02CC6D420}">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1688" authorId="1" shapeId="0" xr:uid="{0EB383FA-F1B6-45E6-9C2D-99A0A1441BF9}">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1689" authorId="1" shapeId="0" xr:uid="{3CA43BD4-E8AC-4759-BAA3-EA8DEDF0316B}">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1689" authorId="1" shapeId="0" xr:uid="{E9EA76C1-3CF5-4487-BE92-7333AFA85B2C}">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1689" authorId="1" shapeId="0" xr:uid="{AAD70AE4-80B4-4357-BE1C-876C9CD9C1AF}">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1690" authorId="1" shapeId="0" xr:uid="{1F47171E-9BAA-449F-BA52-AFB5BE1BB08E}">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1690" authorId="1" shapeId="0" xr:uid="{A75237C8-06A3-4A47-B76D-30F0BFB95B16}">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1690" authorId="1" shapeId="0" xr:uid="{6764F8A2-8365-4EB1-AEEC-B4F4D062601F}">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1691" authorId="0" shapeId="0" xr:uid="{21268C29-FCA1-47F1-9F3B-7F3AB9E50F61}">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1691" authorId="0" shapeId="0" xr:uid="{085D4D34-943F-4BD2-8173-5CB785A99687}">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1691" authorId="0" shapeId="0" xr:uid="{649426FB-A561-4B53-9CE7-F0E6B8CD671C}">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1692" authorId="0" shapeId="0" xr:uid="{7492B5CB-55A7-4A86-AEDC-7BCC260B4868}">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1692" authorId="0" shapeId="0" xr:uid="{6BA404F2-B740-4C38-A69A-BECBF50493E4}">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1692" authorId="0" shapeId="0" xr:uid="{E598FDC8-9853-43AE-8747-B42297E2417E}">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1693" authorId="1" shapeId="0" xr:uid="{12C8B05A-2D75-4C45-83A8-1B97C15BE283}">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1699" authorId="0" shapeId="0" xr:uid="{09DB6449-5F56-4907-8FE8-B2CD30275E1B}">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1699" authorId="0" shapeId="0" xr:uid="{6478BB62-0B75-4AD7-9691-473AA58B3FC2}">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1699" authorId="0" shapeId="0" xr:uid="{FB7AF025-9C55-4937-B7D7-09B6E5F24FE2}">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1700" authorId="0" shapeId="0" xr:uid="{58C22573-E306-4576-98DD-FB798DB46B85}">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1700" authorId="0" shapeId="0" xr:uid="{4DA3CFC6-D3A6-4B08-A288-A758C8AC0F23}">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1700" authorId="0" shapeId="0" xr:uid="{E1FA4F0A-38A9-4D64-AC3F-696DF16365DD}">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1701" authorId="0" shapeId="0" xr:uid="{96ABC399-C4EB-45CE-B97D-5706692BD975}">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1701" authorId="0" shapeId="0" xr:uid="{CAC1BC4B-4D1C-4E1D-9897-2B40C7169251}">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1701" authorId="0" shapeId="0" xr:uid="{0E2076B4-777A-45D2-A1E4-98DB182EE977}">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1702" authorId="0" shapeId="0" xr:uid="{6EAB0EE1-D273-498A-829A-BD86FC8E13E0}">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1702" authorId="0" shapeId="0" xr:uid="{8F7DFAE4-9CAA-4BA1-A87D-47C02B69F6DD}">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1702" authorId="0" shapeId="0" xr:uid="{34A37D59-8855-46AB-9215-689A4C1D9D6A}">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1703" authorId="1" shapeId="0" xr:uid="{18A21D70-343F-4D74-95D8-6756C9E76102}">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1703" authorId="1" shapeId="0" xr:uid="{231B1AD1-30C9-4488-9E10-6A36337C993C}">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1703" authorId="1" shapeId="0" xr:uid="{5E89028F-9862-4C34-B2F7-FE48430CCA0F}">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1704" authorId="1" shapeId="0" xr:uid="{5737D37B-F1CD-4F7A-897B-78AD4DFAF9A7}">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1704" authorId="1" shapeId="0" xr:uid="{0A9A1013-B80C-4B15-BAE5-8D1662441AF6}">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1704" authorId="1" shapeId="0" xr:uid="{DA609428-CEFB-4EAB-BEB6-4389DB5DB1B1}">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1705" authorId="1" shapeId="0" xr:uid="{183BDC95-0764-4AA4-8980-44E031106DE5}">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1705" authorId="1" shapeId="0" xr:uid="{DBE40BEE-2855-45C7-9962-66F10BEB9962}">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1705" authorId="1" shapeId="0" xr:uid="{214A0051-8A5C-42A7-A881-69324C72670A}">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1706" authorId="0" shapeId="0" xr:uid="{58F80E4E-580C-402E-8C45-9FA96C91AE45}">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1706" authorId="0" shapeId="0" xr:uid="{37442D4F-9C9D-4B13-B861-C15F94ED2C68}">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1706" authorId="0" shapeId="0" xr:uid="{DC27B277-0A82-4758-A06F-F63C46EA44E5}">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1707" authorId="0" shapeId="0" xr:uid="{E3242C01-4913-44EE-850E-EEAFB779A350}">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1707" authorId="0" shapeId="0" xr:uid="{928ADFAB-3CEF-4E3D-95FD-AA7BCF6E32FF}">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1707" authorId="0" shapeId="0" xr:uid="{86788922-526A-49D2-AC4F-11BEDA36F126}">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1708" authorId="1" shapeId="0" xr:uid="{DE3FD6DE-742C-4523-9003-453DD7F51D46}">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1714" authorId="0" shapeId="0" xr:uid="{12D2C711-747A-456B-8B74-A47ED06A73F8}">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1714" authorId="0" shapeId="0" xr:uid="{A79450BB-2384-4E64-B4FB-2B1A12437FA8}">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1714" authorId="0" shapeId="0" xr:uid="{2F3D75F4-9061-413C-81C3-ABF90CE5BEE5}">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1715" authorId="0" shapeId="0" xr:uid="{6FE4BF1F-966B-42D8-A50D-5D69ACCA1C0A}">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1715" authorId="0" shapeId="0" xr:uid="{16B36F51-662B-4488-AF89-DBEDC293BECE}">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1715" authorId="0" shapeId="0" xr:uid="{599C99BE-67B0-424E-BE57-E1121A04432F}">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1716" authorId="0" shapeId="0" xr:uid="{D68D2623-475E-4596-AD95-6546671E8AAE}">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1716" authorId="0" shapeId="0" xr:uid="{95F55E31-97D7-43BD-AFA8-AC1E68AEB609}">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1716" authorId="0" shapeId="0" xr:uid="{0582CA1A-7D09-4D38-97C1-63911C3D57A8}">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1717" authorId="0" shapeId="0" xr:uid="{D82EF5C6-8E17-4178-BC93-32584F1E64FE}">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1717" authorId="0" shapeId="0" xr:uid="{FA99C1CF-4F83-47B0-B655-ED8C3275591D}">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1717" authorId="0" shapeId="0" xr:uid="{EE34804E-EB1B-4C27-8E0A-260F57531B53}">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1718" authorId="1" shapeId="0" xr:uid="{52D16C9B-7084-466B-9631-41941DBD5977}">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1718" authorId="1" shapeId="0" xr:uid="{65E2D379-BED1-4147-A20C-77843EA138B7}">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1718" authorId="1" shapeId="0" xr:uid="{E093819E-8D75-4059-9B0E-45ED218B29E3}">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1719" authorId="1" shapeId="0" xr:uid="{570C7205-9A43-4241-8341-410E6698CD82}">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1719" authorId="1" shapeId="0" xr:uid="{978E2852-7031-42E3-8314-086E0BA33EA4}">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1719" authorId="1" shapeId="0" xr:uid="{74A0C566-55A1-49F3-AF5F-CB2FF93A195F}">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1720" authorId="1" shapeId="0" xr:uid="{5FC2144E-75CB-44E4-AA59-1C7FBDA9613E}">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1720" authorId="1" shapeId="0" xr:uid="{499811C8-EF5E-4E20-A70F-F109495AB0B2}">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1720" authorId="1" shapeId="0" xr:uid="{C61B7FAD-453E-4AB5-9A59-BE1428A0A039}">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1721" authorId="0" shapeId="0" xr:uid="{4CF2199E-595B-4C21-B622-44096ED44A82}">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1721" authorId="0" shapeId="0" xr:uid="{2E9F28A1-F59C-4D57-A6D5-A9B8064352BF}">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1721" authorId="0" shapeId="0" xr:uid="{9FD4DE70-BF66-499E-9DDB-4A6AF0010A51}">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1722" authorId="0" shapeId="0" xr:uid="{14B94371-686B-4978-8DDF-1E029280EB43}">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1722" authorId="0" shapeId="0" xr:uid="{5B884E42-5286-40D2-9649-CAB4F9F0D274}">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1722" authorId="0" shapeId="0" xr:uid="{B2E6E1E5-85E7-4882-B591-DE21E4A36E2D}">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1723" authorId="1" shapeId="0" xr:uid="{BF5B5137-E625-48B0-B22A-2728F67AF368}">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1729" authorId="0" shapeId="0" xr:uid="{395F8160-AE84-460A-93BE-AA43C7B84B71}">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1729" authorId="0" shapeId="0" xr:uid="{BB0FF792-DD07-4C4B-98A1-D7F5E7A6E932}">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1729" authorId="0" shapeId="0" xr:uid="{FA9F839A-8F23-4B8F-9FCF-161A3A86875C}">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1730" authorId="0" shapeId="0" xr:uid="{4FE1D09B-380F-4070-993C-98E76761E7FA}">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1730" authorId="0" shapeId="0" xr:uid="{C29B9202-1572-4A7F-A7AF-DCA9F5701783}">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1730" authorId="0" shapeId="0" xr:uid="{DCA9D2E2-6EAE-4647-A594-361D7EA4A69E}">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1731" authorId="0" shapeId="0" xr:uid="{17C878E3-3563-4565-A1A3-FD7E48DC870F}">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1731" authorId="0" shapeId="0" xr:uid="{0D3E5CB1-2ED6-4ACE-90C7-3366DAF98B6C}">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1731" authorId="0" shapeId="0" xr:uid="{9CDE15EF-72AF-4F7A-BA45-041EA149538E}">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1732" authorId="0" shapeId="0" xr:uid="{4028F59E-A233-4A35-9B3C-6EEE43563B9D}">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1732" authorId="0" shapeId="0" xr:uid="{0B788FF7-6BBC-48C5-8942-353574999255}">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1732" authorId="0" shapeId="0" xr:uid="{2E15ADC8-511C-4763-B0CA-34E98EBA6391}">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1733" authorId="1" shapeId="0" xr:uid="{2A5D4767-C5EA-4C78-8803-B6B1563CD67A}">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1733" authorId="1" shapeId="0" xr:uid="{2507BADB-7A26-4D4F-A830-40BAC7CD7BC6}">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1733" authorId="1" shapeId="0" xr:uid="{C1543D69-501D-48FA-8758-4EA406411C64}">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1734" authorId="1" shapeId="0" xr:uid="{F8C00CEC-3B8A-401A-86B8-56FF66D94285}">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1734" authorId="1" shapeId="0" xr:uid="{C960C07F-337D-4ADA-B230-485E80B0D758}">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1734" authorId="1" shapeId="0" xr:uid="{C72A49F5-8A48-4CF3-8461-BBB954B68EBC}">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1735" authorId="1" shapeId="0" xr:uid="{58C15F83-0F4E-4BA4-A5B9-2AAC9E68C735}">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1735" authorId="1" shapeId="0" xr:uid="{74C04916-AD0D-4E9F-B6FA-C3972645DDEE}">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1735" authorId="1" shapeId="0" xr:uid="{437AA007-CB12-4A32-982C-BE1BC747DE70}">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1736" authorId="0" shapeId="0" xr:uid="{AE49693C-094F-4D96-9F3B-3C7D1D03B95C}">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1736" authorId="0" shapeId="0" xr:uid="{BA27E583-72D1-4A52-A38F-6C54A9C1F8B8}">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1736" authorId="0" shapeId="0" xr:uid="{F4B5DFB5-B931-45E4-BBDF-325C3FDD547F}">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1737" authorId="0" shapeId="0" xr:uid="{C63BAEFA-38AF-4AD9-99DE-AD9B0B6DBC61}">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1737" authorId="0" shapeId="0" xr:uid="{D6C2D220-3B22-44ED-AE7C-4D30AC649E4E}">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1737" authorId="0" shapeId="0" xr:uid="{F82DA911-0E03-400E-A160-99E81DC025BF}">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1738" authorId="1" shapeId="0" xr:uid="{F8A4C0A3-A251-443C-9ECE-B7BF447D9590}">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1744" authorId="0" shapeId="0" xr:uid="{FF41B663-89A7-4A16-8422-D5941FBABE1D}">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1744" authorId="0" shapeId="0" xr:uid="{6A9D2C58-3940-4F4F-BFCE-6B1BB4A2A09D}">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1744" authorId="0" shapeId="0" xr:uid="{64CDB934-8199-46C6-978A-037ECB076114}">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1745" authorId="0" shapeId="0" xr:uid="{43960672-E591-4CEA-8292-E4F3208E3D32}">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1745" authorId="0" shapeId="0" xr:uid="{51C76B4B-34E9-4283-B5F3-1D748F093B40}">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1745" authorId="0" shapeId="0" xr:uid="{5569022C-4D22-4B74-B007-F4A16CB6DCDF}">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1746" authorId="0" shapeId="0" xr:uid="{DF5CB1D5-8D00-4672-BEAB-A8ACBF5A9B24}">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1746" authorId="0" shapeId="0" xr:uid="{A73FF5F2-CF59-4C1D-86C4-0BCDF8401DC5}">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1746" authorId="0" shapeId="0" xr:uid="{BEEF920B-1A48-48D4-B8E1-9D381B6B3899}">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1747" authorId="0" shapeId="0" xr:uid="{BF872C19-9002-4261-AC3E-DEFD70715C48}">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1747" authorId="0" shapeId="0" xr:uid="{2D83124A-8726-4827-B74B-1FD974C08A29}">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1747" authorId="0" shapeId="0" xr:uid="{2E083116-CD9F-486E-8DAC-4464CBF4BA02}">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1748" authorId="1" shapeId="0" xr:uid="{7C583C93-CF42-4FFC-A555-D4D28EB2F77A}">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1748" authorId="1" shapeId="0" xr:uid="{4F79604C-1B70-48CC-AAE8-4C0BA79D3C5F}">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1748" authorId="1" shapeId="0" xr:uid="{52CEEB31-774E-438B-97DE-CE1602E5E76F}">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1749" authorId="1" shapeId="0" xr:uid="{498801DC-DB43-4554-98CD-6ED757047E1B}">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1749" authorId="1" shapeId="0" xr:uid="{60EB19FD-21CF-45E1-8CE8-A1CE015B69C1}">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1749" authorId="1" shapeId="0" xr:uid="{02FE2A31-8C8D-48EF-B699-60E28BAB42A8}">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1750" authorId="1" shapeId="0" xr:uid="{CE63EF03-660F-456D-810E-32C7FD4ACD66}">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1750" authorId="1" shapeId="0" xr:uid="{FF3C7FD2-F31A-4D7E-8A7B-DD83EFEDCFFB}">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1750" authorId="1" shapeId="0" xr:uid="{137AC73F-F1AD-4480-B603-DDB676E1F70C}">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1751" authorId="0" shapeId="0" xr:uid="{E7380EAC-0C0D-4C3B-9F25-2E8A1118341E}">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1751" authorId="0" shapeId="0" xr:uid="{73B0A500-0E74-402E-A2CB-F3F6C4E1DE5F}">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1751" authorId="0" shapeId="0" xr:uid="{9B6251A8-4CCC-4D25-83F2-C0CC1D465AD8}">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1752" authorId="0" shapeId="0" xr:uid="{06DB4BE0-003F-49E1-9070-CCD9EB7DC3B8}">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1752" authorId="0" shapeId="0" xr:uid="{BDA25665-CEF5-4FA9-92E0-896BAE539106}">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1752" authorId="0" shapeId="0" xr:uid="{647A4505-49F5-434D-B4BE-3B257967FB08}">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1753" authorId="1" shapeId="0" xr:uid="{71D0E957-8783-42AD-8A76-AF9032A28180}">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1759" authorId="0" shapeId="0" xr:uid="{6A58212D-A7F4-455D-B28E-847E90AFE5ED}">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1759" authorId="0" shapeId="0" xr:uid="{54A7CFE2-0C5D-4856-B097-0FDEACE00D92}">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1759" authorId="0" shapeId="0" xr:uid="{C4AA2E14-1DBC-4D4E-A443-7A83178307F6}">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1760" authorId="0" shapeId="0" xr:uid="{07F31B93-D49B-4110-AE4B-A87EA7FA18F3}">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1760" authorId="0" shapeId="0" xr:uid="{64DB0787-994E-4728-86DA-891C741A5676}">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1760" authorId="0" shapeId="0" xr:uid="{AF6EA82E-9E11-4A26-85FA-C7535C8DF34A}">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1761" authorId="0" shapeId="0" xr:uid="{9ED63D88-A875-4747-87DD-6D55FD7B5945}">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1761" authorId="0" shapeId="0" xr:uid="{EA5B84D7-CAE9-45EB-BEC6-722BD17E6E3A}">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1761" authorId="0" shapeId="0" xr:uid="{2C240D66-26CE-463C-9CAD-B7F03F3B805B}">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1762" authorId="0" shapeId="0" xr:uid="{D2111D61-2843-4C45-AF16-599A6F270908}">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1762" authorId="0" shapeId="0" xr:uid="{0F2829FC-F868-4771-83F5-61442335C7E1}">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1762" authorId="0" shapeId="0" xr:uid="{322F9FF0-0356-4A9C-8F60-5C9BD3AD0404}">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1763" authorId="1" shapeId="0" xr:uid="{D4C15882-29DC-4933-B684-A13FB9126F3C}">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1763" authorId="1" shapeId="0" xr:uid="{A0F29981-0AB2-45CE-9409-50EB57D814CA}">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1763" authorId="1" shapeId="0" xr:uid="{5EFD2851-6EA4-464D-91F1-3F2095F23FC0}">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1764" authorId="1" shapeId="0" xr:uid="{AF39B079-F7F9-477A-AA11-2811B5262D82}">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1764" authorId="1" shapeId="0" xr:uid="{3147F0BC-E6CB-4384-BB67-8519085179D8}">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1764" authorId="1" shapeId="0" xr:uid="{C40AE3DD-5FF1-4EDE-9A02-6C8B355E855C}">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1765" authorId="1" shapeId="0" xr:uid="{604BAB56-012E-4300-96CA-AE3B1DE645B4}">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1765" authorId="1" shapeId="0" xr:uid="{8925DE6B-92D1-411E-A928-293E3CFCCFE5}">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1765" authorId="1" shapeId="0" xr:uid="{555654A9-CCF1-4543-90E6-053AD5A3F45A}">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1766" authorId="0" shapeId="0" xr:uid="{B56FF853-95A7-41A3-BD67-92AFA7A00F9C}">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1766" authorId="0" shapeId="0" xr:uid="{FE24EEF3-C860-4A19-96C5-C36D1E026A51}">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1766" authorId="0" shapeId="0" xr:uid="{0A2D1103-5419-4EB8-B123-C64D81E8A8FC}">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1767" authorId="0" shapeId="0" xr:uid="{35E62F81-180B-419A-880D-43607DE25F8A}">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1767" authorId="0" shapeId="0" xr:uid="{090D4F98-523A-40F9-A6FF-EA908752FC13}">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1767" authorId="0" shapeId="0" xr:uid="{63D13EB8-3679-4406-AB1C-529767AA18AB}">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1768" authorId="1" shapeId="0" xr:uid="{82C12253-A4FA-4BA4-B263-07B497B74B6C}">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1774" authorId="0" shapeId="0" xr:uid="{40400C2D-8A3A-49C3-867C-89EB0066E676}">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1774" authorId="0" shapeId="0" xr:uid="{910498A5-C8D0-42F7-94A8-1AB32D8B6B72}">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1774" authorId="0" shapeId="0" xr:uid="{67822DE9-6D1F-4472-BAA0-A780CD35597E}">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1775" authorId="0" shapeId="0" xr:uid="{29956594-6F2E-4C29-AEAB-0FDD9E18911C}">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1775" authorId="0" shapeId="0" xr:uid="{CF3788FA-C23E-4D16-AB3F-682521B1E2E3}">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1775" authorId="0" shapeId="0" xr:uid="{3AB7BCAE-1422-426A-B44A-278B8C1511A6}">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1776" authorId="0" shapeId="0" xr:uid="{1E6A2C51-49A0-4BAF-8C46-818FE99948E8}">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1776" authorId="0" shapeId="0" xr:uid="{97B4D468-A634-439E-B36A-0AAC40FD1675}">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1776" authorId="0" shapeId="0" xr:uid="{1516EAAE-38DB-44A5-8D30-F90FB7229250}">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1777" authorId="0" shapeId="0" xr:uid="{65E5E955-1C09-4815-9C76-60D3B64396C4}">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1777" authorId="0" shapeId="0" xr:uid="{4EE431E5-40F0-42F2-BB86-90D2B708E599}">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1777" authorId="0" shapeId="0" xr:uid="{E39D6644-D449-43B2-9C91-1BA3A7EDF1FC}">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1778" authorId="1" shapeId="0" xr:uid="{97A77A7F-89C2-4C32-A674-E4932E61F915}">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1778" authorId="1" shapeId="0" xr:uid="{7702119D-5457-40A4-8011-7E41249A6B75}">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1778" authorId="1" shapeId="0" xr:uid="{5AF48911-8509-41DD-BDD8-374DE997D691}">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1779" authorId="1" shapeId="0" xr:uid="{39E74E55-6D63-4AC3-896F-3B56CC557981}">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1779" authorId="1" shapeId="0" xr:uid="{C1DFE18E-E159-4F22-A7B0-C95B3B8E5438}">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1779" authorId="1" shapeId="0" xr:uid="{B4745F76-1C71-4E84-B5FD-0D54A1F3CB89}">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1780" authorId="1" shapeId="0" xr:uid="{0D662669-EF39-46EB-883D-2B46BACF65AC}">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1780" authorId="1" shapeId="0" xr:uid="{901D750B-AA23-4DDC-AA61-B8395911A9A8}">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1780" authorId="1" shapeId="0" xr:uid="{F391252E-1C24-42E4-B387-31CE3CDDD931}">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1781" authorId="0" shapeId="0" xr:uid="{ADE9FF40-9CD4-48DC-9EB4-693A2936D3AA}">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1781" authorId="0" shapeId="0" xr:uid="{240F445E-A953-4317-8782-E682BABF1130}">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1781" authorId="0" shapeId="0" xr:uid="{D0DB571D-0462-4056-8674-4030778986FB}">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1782" authorId="0" shapeId="0" xr:uid="{7B77E542-0B38-4AB9-A333-E5FA5211093F}">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1782" authorId="0" shapeId="0" xr:uid="{3FFC691D-0939-41C6-9BB3-5C888BEC5909}">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1782" authorId="0" shapeId="0" xr:uid="{0DA146BD-FB8F-4A23-9DC4-352F077F9180}">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1783" authorId="1" shapeId="0" xr:uid="{C1B3CC28-40EC-498F-A7CF-D7D2EFE2AABC}">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1789" authorId="0" shapeId="0" xr:uid="{23D19F26-9E34-4035-947F-7663A55A2A31}">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1789" authorId="0" shapeId="0" xr:uid="{B31D0BF5-25B0-4033-A08E-BB526AFD73AF}">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1789" authorId="0" shapeId="0" xr:uid="{384F2089-C0F3-4087-814A-A0DA677F76AE}">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1790" authorId="0" shapeId="0" xr:uid="{05A9D617-90B4-4889-9B62-527B138FC610}">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1790" authorId="0" shapeId="0" xr:uid="{2C1C6C77-3292-43BF-8642-5EC4145BE320}">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1790" authorId="0" shapeId="0" xr:uid="{09C4C978-E9AC-4FEF-AC1A-69F32E024184}">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1791" authorId="0" shapeId="0" xr:uid="{E5E63B0E-F170-4FD1-8E54-4A1F6D9224C3}">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1791" authorId="0" shapeId="0" xr:uid="{38E57F74-DBA2-43BC-A693-5AFECB416D48}">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1791" authorId="0" shapeId="0" xr:uid="{27C5F65A-620E-4977-84F6-D66D5B990E5E}">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1792" authorId="0" shapeId="0" xr:uid="{24E38C14-9CAD-44BC-97C8-3EA6BBFCD436}">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1792" authorId="0" shapeId="0" xr:uid="{0A756C92-0BD9-489E-BB8D-A4A6057871E1}">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1792" authorId="0" shapeId="0" xr:uid="{B34B6AAB-7D86-47B2-8E87-AB5E1EB6DB84}">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1793" authorId="1" shapeId="0" xr:uid="{D04CA041-4F23-47A9-AC7E-301DCD93805B}">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1793" authorId="1" shapeId="0" xr:uid="{B82DB119-EF71-41F4-89DF-F9F06AB290E6}">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1793" authorId="1" shapeId="0" xr:uid="{A633D7FE-039C-40A4-8CAD-4F243C2E6850}">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1794" authorId="1" shapeId="0" xr:uid="{E6854C27-40B4-468E-8232-899BFF13D892}">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1794" authorId="1" shapeId="0" xr:uid="{184D91F4-2E84-4CFA-A54F-8A277B34D595}">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1794" authorId="1" shapeId="0" xr:uid="{84A6154B-6EE3-459E-B30A-2C2F28C85693}">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1795" authorId="1" shapeId="0" xr:uid="{3C460B10-EFA5-4976-89F3-93B9A0B0AB47}">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1795" authorId="1" shapeId="0" xr:uid="{A1E9BFB5-E94B-47E2-AFCA-03379A2125FA}">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1795" authorId="1" shapeId="0" xr:uid="{B4C802A1-E24B-4B12-826D-EDCB863CAFD9}">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1796" authorId="0" shapeId="0" xr:uid="{7A560B9A-8D17-444D-829F-4F23D18082D2}">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1796" authorId="0" shapeId="0" xr:uid="{4A1CCBD6-20B8-4EE3-B5F5-251AC2C9D7FE}">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1796" authorId="0" shapeId="0" xr:uid="{CAEDB044-3501-4C17-85D0-80EA683598FD}">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1797" authorId="0" shapeId="0" xr:uid="{ACC1DBB5-F79D-4BCD-83B6-87B50F2C2A52}">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1797" authorId="0" shapeId="0" xr:uid="{557AE3D1-856B-4279-84D4-0813B0B4870B}">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1797" authorId="0" shapeId="0" xr:uid="{DC6DA075-81BD-43C9-AEFE-36C927618821}">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1798" authorId="1" shapeId="0" xr:uid="{ECF8D482-BAC6-46BA-B89A-D9CD91600856}">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1804" authorId="0" shapeId="0" xr:uid="{624A6364-5097-48A9-9B35-1814A2A68999}">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1804" authorId="0" shapeId="0" xr:uid="{B68BA1B7-F49C-4CA2-B78E-49BB7F8875CC}">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1804" authorId="0" shapeId="0" xr:uid="{222ABA08-3425-4527-A085-EEFEE1FB6FF1}">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1805" authorId="0" shapeId="0" xr:uid="{FF1E5BFC-3BDD-4866-9C58-EAE0E61145D5}">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1805" authorId="0" shapeId="0" xr:uid="{C66EC1D8-8A07-46F4-8C7E-DAE414310CF2}">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1805" authorId="0" shapeId="0" xr:uid="{7C1D6CCA-08F0-4622-B6F5-69823C5329B0}">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1806" authorId="0" shapeId="0" xr:uid="{0AA6AAEB-4B77-491C-9F2D-E13544148F6D}">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1806" authorId="0" shapeId="0" xr:uid="{66384262-97FC-4272-930E-3E4536242D3F}">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1806" authorId="0" shapeId="0" xr:uid="{3FC33293-E137-4406-859A-D7FD78BAF05E}">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1807" authorId="0" shapeId="0" xr:uid="{412786B3-DAD8-43CA-9A7A-86C42DF0505A}">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1807" authorId="0" shapeId="0" xr:uid="{74BF687A-DFD0-461B-BD17-14E034FFB568}">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1807" authorId="0" shapeId="0" xr:uid="{A7D54006-41BC-4401-B15E-6C8141205C40}">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1808" authorId="1" shapeId="0" xr:uid="{481ADB18-257E-4606-9358-E613B027390B}">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1808" authorId="1" shapeId="0" xr:uid="{620BA7B0-6ACD-4D0E-9314-8BA0529709D9}">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1808" authorId="1" shapeId="0" xr:uid="{34D78626-F964-4FC8-8185-C82969324A6C}">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1809" authorId="1" shapeId="0" xr:uid="{0229B4A3-C261-40E1-8C29-D50D49F51BBA}">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1809" authorId="1" shapeId="0" xr:uid="{BA0B9E70-EC9A-4C1D-B5FD-28157110C3F1}">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1809" authorId="1" shapeId="0" xr:uid="{2181A243-A497-4D65-8EF3-A03E699A2C5E}">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1810" authorId="1" shapeId="0" xr:uid="{179E1DAE-AB88-4003-AFF0-3E00DB79A091}">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1810" authorId="1" shapeId="0" xr:uid="{27908198-2AC7-4738-AF49-9D5087DB5061}">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1810" authorId="1" shapeId="0" xr:uid="{8122003F-8241-4FAF-8866-A53F12F74B89}">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1811" authorId="0" shapeId="0" xr:uid="{AA953602-404F-40A7-AFBF-A33CC8E8138F}">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1811" authorId="0" shapeId="0" xr:uid="{913D401F-0CE1-4D0C-8DA0-31313CECA6F6}">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1811" authorId="0" shapeId="0" xr:uid="{6096DECF-20B0-4BFF-8942-50E2FA4F68AE}">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1812" authorId="0" shapeId="0" xr:uid="{C8796B7E-405A-4F54-82C7-05344B7AB3A4}">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1812" authorId="0" shapeId="0" xr:uid="{B1A19379-38F7-4418-9034-4A82A6E2C80F}">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1812" authorId="0" shapeId="0" xr:uid="{391960DB-D01A-450D-A969-C5D7B5A5406C}">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1813" authorId="1" shapeId="0" xr:uid="{987F03F3-1101-4740-94FE-BD544A188A01}">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1819" authorId="0" shapeId="0" xr:uid="{6F7166DE-984B-415E-AE7D-BAEAA73AF09B}">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1819" authorId="0" shapeId="0" xr:uid="{2B6BE7E4-0D6C-4EE9-8CB7-C8712E009FB1}">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1819" authorId="0" shapeId="0" xr:uid="{F3E25F74-5B3B-4456-8CF6-74BBB3106E56}">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1820" authorId="0" shapeId="0" xr:uid="{E8D595D7-9640-46AD-9129-7A6C37D93CC7}">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1820" authorId="0" shapeId="0" xr:uid="{531866A0-FED8-47EF-A79D-C185938A4899}">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1820" authorId="0" shapeId="0" xr:uid="{6BDA669E-AAD5-4762-B57E-AAB5AE8AC23B}">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1821" authorId="0" shapeId="0" xr:uid="{7F7F1661-8073-4DE7-8143-99BE0FC0D6A5}">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1821" authorId="0" shapeId="0" xr:uid="{63C3159B-3009-4282-A6CA-3A68BDD303C2}">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1821" authorId="0" shapeId="0" xr:uid="{C2F16851-3093-42F9-BD6C-B74449553A68}">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1822" authorId="0" shapeId="0" xr:uid="{049FBBB9-0DD8-4E90-8DF9-234F16B95A87}">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1822" authorId="0" shapeId="0" xr:uid="{68D22387-220D-4344-AA3A-E1B3418B5067}">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1822" authorId="0" shapeId="0" xr:uid="{D4A9C2B4-163B-4EDC-927E-300C76FD5A3D}">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1823" authorId="1" shapeId="0" xr:uid="{C808AD1B-A542-4BC4-A23B-7B52CE20986E}">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1823" authorId="1" shapeId="0" xr:uid="{D1DC2BED-2CD1-4FDB-A0D0-D8138591B6C2}">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1823" authorId="1" shapeId="0" xr:uid="{F2F42852-2626-4751-8674-B4209C7003CE}">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1824" authorId="1" shapeId="0" xr:uid="{35B718D9-7037-4A9A-973A-417304C00552}">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1824" authorId="1" shapeId="0" xr:uid="{5A9177B9-C0A0-4BD7-8CB5-5A9F4F9E0CE0}">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1824" authorId="1" shapeId="0" xr:uid="{AA1EA082-8DB8-4F5C-83CD-2FD40FA394CF}">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1825" authorId="1" shapeId="0" xr:uid="{F8F4ED4B-F004-4A89-A062-4B0F28C769A4}">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1825" authorId="1" shapeId="0" xr:uid="{E67A3910-0970-4DF8-B749-DE51C57EB089}">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1825" authorId="1" shapeId="0" xr:uid="{96A8372F-EE6A-4D04-94A1-14BBC5D65CD9}">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1826" authorId="0" shapeId="0" xr:uid="{A0B4C5FA-63DD-4201-9E5C-A2F126CD8ECB}">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1826" authorId="0" shapeId="0" xr:uid="{ABAC549A-6482-427C-8A88-F4F2CEC4232E}">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1826" authorId="0" shapeId="0" xr:uid="{5113BABA-6772-406A-9CE3-065F8550DBD7}">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1827" authorId="0" shapeId="0" xr:uid="{BF0FCE76-B880-46B4-B79D-CDFE87D4D039}">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1827" authorId="0" shapeId="0" xr:uid="{DBB9B3BF-76C2-44E1-9A85-202B29B8C64D}">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1827" authorId="0" shapeId="0" xr:uid="{2E5F945B-54F3-47E1-B99C-887F31597FBB}">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1828" authorId="1" shapeId="0" xr:uid="{F7DAAD43-3D33-4614-9118-31ED86B7C163}">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1834" authorId="0" shapeId="0" xr:uid="{A650D5FF-220C-4DA2-8AA3-ADBDD18422C5}">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1834" authorId="0" shapeId="0" xr:uid="{248880D0-AAC7-44CA-9E67-FF1E924B2D6F}">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1834" authorId="0" shapeId="0" xr:uid="{46F1C782-88B9-4D2B-8A14-119B79664CF9}">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1835" authorId="0" shapeId="0" xr:uid="{B99CBF4E-D40D-4A7B-9029-3C1BF09F42EE}">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1835" authorId="0" shapeId="0" xr:uid="{AA4B2665-B908-46A4-837E-B32EBBD77BAA}">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1835" authorId="0" shapeId="0" xr:uid="{9EE8D841-9FD6-4A99-B69B-9B63BF920F4D}">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1836" authorId="0" shapeId="0" xr:uid="{119C70D0-AD14-4BEE-B7B7-4FBAFF256060}">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1836" authorId="0" shapeId="0" xr:uid="{4FBC6D9B-8885-4969-B060-9A21ED2947BC}">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1836" authorId="0" shapeId="0" xr:uid="{BF74A7D1-229B-4516-B5C2-6203BABC440D}">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1837" authorId="0" shapeId="0" xr:uid="{5315DB5C-CB2C-4F2D-9D5C-358443D4157B}">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1837" authorId="0" shapeId="0" xr:uid="{B233A977-B83E-4C56-A8CC-A54D656C6F41}">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1837" authorId="0" shapeId="0" xr:uid="{DE78D1D5-A0C5-4DB0-92EA-6BC4C3E40646}">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1838" authorId="1" shapeId="0" xr:uid="{A07BDA0D-25CC-4415-879D-B016E9B647A7}">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1838" authorId="1" shapeId="0" xr:uid="{F7F37C56-9346-42A4-B2E4-7C9C14838AA3}">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1838" authorId="1" shapeId="0" xr:uid="{C6705872-3A79-43D3-9601-66988E72F21D}">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1839" authorId="1" shapeId="0" xr:uid="{80C16FF2-FA43-44A6-8C5D-E6BC0328244F}">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1839" authorId="1" shapeId="0" xr:uid="{7F97BD6C-99BB-426C-8D3E-C03D36C29B35}">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1839" authorId="1" shapeId="0" xr:uid="{69B11DB6-9EDC-4666-810B-CA37018A2216}">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1840" authorId="1" shapeId="0" xr:uid="{F5DAF617-B414-4F8C-8CDD-7C2559E4EFFB}">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1840" authorId="1" shapeId="0" xr:uid="{8F10270C-0C59-45F9-BAF2-709568C0376E}">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1840" authorId="1" shapeId="0" xr:uid="{CBA18CD1-2EDA-4DCE-8587-E5BBE2F364B3}">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1841" authorId="0" shapeId="0" xr:uid="{617191B2-8CD2-478C-B4C2-88B04E6C349D}">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1841" authorId="0" shapeId="0" xr:uid="{B108AF35-A329-439B-9C0E-DFCB3D384FB4}">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1841" authorId="0" shapeId="0" xr:uid="{68450180-F10F-48DC-9F02-73F4AD118B57}">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1842" authorId="0" shapeId="0" xr:uid="{278FC394-38F4-4E79-A4E0-93F1BBFB73D2}">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1842" authorId="0" shapeId="0" xr:uid="{8C519D4D-1655-41A4-8981-A7C498AE6DE3}">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1842" authorId="0" shapeId="0" xr:uid="{6D0B4B45-070E-4880-A654-287205660900}">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1843" authorId="1" shapeId="0" xr:uid="{3C6AB44F-C9DB-4D44-B52D-24B477F53904}">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1849" authorId="0" shapeId="0" xr:uid="{C553364E-C4EF-4E2A-BA38-4F42A03FEC4F}">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1849" authorId="0" shapeId="0" xr:uid="{F75B9B06-C8DD-4FB3-9F4A-9F5946DB263D}">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1849" authorId="0" shapeId="0" xr:uid="{B439198A-544D-4E2E-AE0A-C0BAE13A918C}">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1850" authorId="0" shapeId="0" xr:uid="{DEF3DF7B-67DA-499E-995F-30EF72C05DF1}">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1850" authorId="0" shapeId="0" xr:uid="{1EFFDF40-9805-4A1F-B2D2-E3C71E9D30D2}">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1850" authorId="0" shapeId="0" xr:uid="{F4F5B99E-769E-4FBF-A39A-1E1FBEB5B057}">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1851" authorId="0" shapeId="0" xr:uid="{F1A99C67-B481-4111-BCB8-2CEBD937C0C4}">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1851" authorId="0" shapeId="0" xr:uid="{4D10C84C-A203-467F-B3C4-B434F11B9A4F}">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1851" authorId="0" shapeId="0" xr:uid="{C5005136-C709-466C-B5D2-34C41B13F9A8}">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1852" authorId="0" shapeId="0" xr:uid="{8BC60A28-C58C-4B8F-A72F-6BDF867ABA66}">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1852" authorId="0" shapeId="0" xr:uid="{710A1389-543B-45D0-B957-344C1CE7EF03}">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1852" authorId="0" shapeId="0" xr:uid="{E4671475-A5E6-4120-97EF-9A3916BF0F99}">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1853" authorId="1" shapeId="0" xr:uid="{B629DCDB-9553-4D37-9C1D-76DC932BC1AC}">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1853" authorId="1" shapeId="0" xr:uid="{4641E0F2-D451-402E-B551-7CE5DD758726}">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1853" authorId="1" shapeId="0" xr:uid="{340D0006-241D-4D7E-9F9B-690D23765ADA}">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1854" authorId="1" shapeId="0" xr:uid="{F7A723E7-EC56-4E22-8658-D6B4FEEB37A0}">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1854" authorId="1" shapeId="0" xr:uid="{586F2190-A474-4795-A13A-EBF5B58564B2}">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1854" authorId="1" shapeId="0" xr:uid="{03692309-7438-4128-88C5-7931DDCA0032}">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1855" authorId="1" shapeId="0" xr:uid="{9A0B6F94-8AB6-4F05-BCE0-C5BD7A33C3D0}">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1855" authorId="1" shapeId="0" xr:uid="{E8A93E8C-980F-44FB-AD06-D5DAD95FAE7A}">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1855" authorId="1" shapeId="0" xr:uid="{2DC79CCD-09AF-4C5D-9844-9002216D9921}">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1856" authorId="0" shapeId="0" xr:uid="{45C25282-02CD-4975-98C9-8FACD79579C0}">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1856" authorId="0" shapeId="0" xr:uid="{E4FFD4F6-3253-4B98-8602-FD0CE849F088}">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1856" authorId="0" shapeId="0" xr:uid="{BC2986E6-AFB7-4755-A671-090F4FB3E5BF}">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1857" authorId="0" shapeId="0" xr:uid="{81F9189D-BF54-4E76-84F1-BCB8CE1B2084}">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1857" authorId="0" shapeId="0" xr:uid="{0E4ED3FA-B4F1-46A8-8FFA-7DA4FDD8C857}">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1857" authorId="0" shapeId="0" xr:uid="{681CF12E-3EE3-41AE-A925-896F476CFCDC}">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1858" authorId="1" shapeId="0" xr:uid="{AF0E7FE7-01BB-43F4-9A4E-8F606040CD19}">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1864" authorId="0" shapeId="0" xr:uid="{0B7153B2-1D57-4739-AA9C-BD6D20D83E79}">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1864" authorId="0" shapeId="0" xr:uid="{63E198ED-6A1C-442C-99E0-C60FB9D34554}">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1864" authorId="0" shapeId="0" xr:uid="{A56754E3-C17E-4F19-8989-BD8545334BD3}">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1865" authorId="0" shapeId="0" xr:uid="{01B81EAD-94F5-47A6-AB8C-9E7BBE9D1D8B}">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1865" authorId="0" shapeId="0" xr:uid="{4ECC776B-6022-4B33-8269-D82AEC64FD4A}">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1865" authorId="0" shapeId="0" xr:uid="{774AEE51-CFA5-47E1-9F20-BC7AB44FD219}">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1866" authorId="0" shapeId="0" xr:uid="{99A60BC5-ED33-47F1-A09E-28895067AC64}">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1866" authorId="0" shapeId="0" xr:uid="{EF8997C8-35DB-4526-8EDB-33E2B03CE547}">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1866" authorId="0" shapeId="0" xr:uid="{1000EEEE-8CF7-4D73-8D47-76C64B91E46C}">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1867" authorId="0" shapeId="0" xr:uid="{72D9A9B3-373D-4F08-8D87-D34F2B4602EB}">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1867" authorId="0" shapeId="0" xr:uid="{4CC97197-AA8E-4EE8-A199-8F7332913BE9}">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1867" authorId="0" shapeId="0" xr:uid="{AC641278-329B-4AFF-98F7-38105BAE0DAE}">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1868" authorId="1" shapeId="0" xr:uid="{35A665C4-D596-45B2-A38E-874BB362B4F7}">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1868" authorId="1" shapeId="0" xr:uid="{5246B5E3-E299-46C3-AFE8-0489DE1E7FA0}">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1868" authorId="1" shapeId="0" xr:uid="{028CCF22-5ECE-4E01-BAD3-517DB00DDB1F}">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1869" authorId="1" shapeId="0" xr:uid="{28857C8C-FF99-4926-8E7E-277CC2E017F1}">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1869" authorId="1" shapeId="0" xr:uid="{DDA56749-E51F-4F93-9428-16C0EE137E7F}">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1869" authorId="1" shapeId="0" xr:uid="{ECF15C52-5F3D-45B8-A755-6344706A7D3F}">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1870" authorId="1" shapeId="0" xr:uid="{31529319-662A-4365-9CB1-F2FAA8E3BC4F}">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1870" authorId="1" shapeId="0" xr:uid="{67D5EE97-2A2D-48A8-8865-CBA6134733E0}">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1870" authorId="1" shapeId="0" xr:uid="{7E9C38AC-60EB-420C-A55C-22EEB8D2D790}">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1871" authorId="0" shapeId="0" xr:uid="{7B21D7BA-9418-4C6D-B834-214093FEBAFD}">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1871" authorId="0" shapeId="0" xr:uid="{2D64559E-02A2-4509-95BE-A305597D24A4}">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1871" authorId="0" shapeId="0" xr:uid="{04AADDE2-584B-42E1-AB79-80EB49784F1D}">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1872" authorId="0" shapeId="0" xr:uid="{89E5E205-D2CB-40F1-B6A5-8D43F7B8558D}">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1872" authorId="0" shapeId="0" xr:uid="{FD8E6055-5578-4A86-8AAE-06D2CADC182D}">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1872" authorId="0" shapeId="0" xr:uid="{D782C0BF-3521-496E-92F7-436683DF6368}">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1873" authorId="1" shapeId="0" xr:uid="{0AA2A50A-953D-4E3D-AEEF-08DB2DF4F0ED}">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1879" authorId="0" shapeId="0" xr:uid="{E632D222-A1C2-47B7-B626-4DBF2F58D8D5}">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1879" authorId="0" shapeId="0" xr:uid="{0EEE7D30-DED2-4EF4-9120-76B9EEBEF290}">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1879" authorId="0" shapeId="0" xr:uid="{03CC80CA-4119-47A4-9814-A366A45B98BF}">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1880" authorId="0" shapeId="0" xr:uid="{75B75189-B9F2-4B75-AECB-BE6EA4B8AE66}">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1880" authorId="0" shapeId="0" xr:uid="{BDBC9431-8106-43C6-BD12-8F38EB104678}">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1880" authorId="0" shapeId="0" xr:uid="{5636891E-B88E-4209-9C60-2E495C01CA01}">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1881" authorId="0" shapeId="0" xr:uid="{98E64F86-0F99-4618-BAF0-C6D45059A279}">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1881" authorId="0" shapeId="0" xr:uid="{6EED3727-C505-4EE6-87E0-F9F1DD5CCBC0}">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1881" authorId="0" shapeId="0" xr:uid="{54167DDE-5EB2-41CB-AE55-6E00992B3FCB}">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1882" authorId="0" shapeId="0" xr:uid="{CCD3772C-EBBA-4596-B05B-36DAF3B1C23F}">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1882" authorId="0" shapeId="0" xr:uid="{F2833763-2E4E-4E95-A0A1-83C9615A5870}">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1882" authorId="0" shapeId="0" xr:uid="{7C6F8DB1-42C6-4669-BB3C-07F00B66695C}">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1883" authorId="1" shapeId="0" xr:uid="{0CF1D34B-4A88-44DD-AB28-F17D59446624}">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1883" authorId="1" shapeId="0" xr:uid="{074D3756-C4F2-4BE4-A815-A9E407042BC2}">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1883" authorId="1" shapeId="0" xr:uid="{2C422F22-630E-4B00-A3AE-86F567AD2DA9}">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1884" authorId="1" shapeId="0" xr:uid="{5DD19A88-5C56-45AD-A58C-4945E590875B}">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1884" authorId="1" shapeId="0" xr:uid="{2749C5A3-0E09-4D73-9A33-0F8A789AE378}">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1884" authorId="1" shapeId="0" xr:uid="{EF925E1D-C381-498A-B7A8-4B3E78770387}">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1885" authorId="1" shapeId="0" xr:uid="{223F10FE-5CD3-4836-9659-C4BF13159ED5}">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1885" authorId="1" shapeId="0" xr:uid="{C720FD58-9910-4296-B861-93967A09B224}">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1885" authorId="1" shapeId="0" xr:uid="{E8DE00AA-5614-48D7-9DC5-C13890982E92}">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1886" authorId="0" shapeId="0" xr:uid="{EB6CBF52-6684-415D-A7A7-E4C1A8C14C9B}">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1886" authorId="0" shapeId="0" xr:uid="{52C1F1C6-77FC-4289-9F15-99977E9D8714}">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1886" authorId="0" shapeId="0" xr:uid="{99DAB8E4-BA97-4B8A-92A3-D2AE0F328532}">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1887" authorId="0" shapeId="0" xr:uid="{9A0D1357-B55A-4975-A386-36481E52D6EE}">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1887" authorId="0" shapeId="0" xr:uid="{D0904B8B-8AE6-4C01-BCDB-7AB8E65C5AC7}">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1887" authorId="0" shapeId="0" xr:uid="{EAAF8BC0-DA16-4BE7-8AE0-EA55CD649ED8}">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1888" authorId="1" shapeId="0" xr:uid="{D79392BC-3C11-4799-8F83-F503DF332F07}">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1894" authorId="0" shapeId="0" xr:uid="{6520C1A5-3FEF-4330-A894-8BDBD58F53E4}">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1894" authorId="0" shapeId="0" xr:uid="{19702860-AB86-4C72-9BD4-56F073E03CA9}">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1894" authorId="0" shapeId="0" xr:uid="{24B33CA5-BCC0-46A9-9A6F-B7C9F1075B7C}">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1895" authorId="0" shapeId="0" xr:uid="{71B6AE3A-3580-4CEC-A7AE-9AFE7CD18862}">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1895" authorId="0" shapeId="0" xr:uid="{85936C19-B7E7-4B0D-B401-E76EA941B50B}">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1895" authorId="0" shapeId="0" xr:uid="{76466914-4AAD-4E81-B21C-B205E390A43B}">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1896" authorId="0" shapeId="0" xr:uid="{D2B47CE9-81C1-43E8-AF6B-2969B85D0ECE}">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1896" authorId="0" shapeId="0" xr:uid="{F0B98570-FF30-4B31-A73A-A6293B6578AA}">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1896" authorId="0" shapeId="0" xr:uid="{B3DD8B1D-40C5-4728-8882-B659DD042B5D}">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1897" authorId="0" shapeId="0" xr:uid="{9664CE10-F916-4D8B-8F7C-819AAAAAE6DD}">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1897" authorId="0" shapeId="0" xr:uid="{A199215F-6102-4BA7-B5C4-9E7020F7590E}">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1897" authorId="0" shapeId="0" xr:uid="{30D680DA-F66F-4FC6-A77B-F7CA48BF8C98}">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1898" authorId="1" shapeId="0" xr:uid="{36289659-9CC3-4B3F-9A94-CD2A08704E96}">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1898" authorId="1" shapeId="0" xr:uid="{BDB1A568-E21C-4F85-96CC-856B2F4FA0A1}">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1898" authorId="1" shapeId="0" xr:uid="{4C8B4F75-281B-43F5-B7E0-652D7E35B44D}">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1899" authorId="1" shapeId="0" xr:uid="{95AC3E20-E6A8-4860-BFAB-D75E4EA98A98}">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1899" authorId="1" shapeId="0" xr:uid="{B2105084-4E34-477C-B348-7267AEAEF2C6}">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1899" authorId="1" shapeId="0" xr:uid="{CDA18C16-D362-498F-80A1-7EFD08A5275B}">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1900" authorId="1" shapeId="0" xr:uid="{814F48A8-9AD2-4B34-8985-F908DB52C587}">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1900" authorId="1" shapeId="0" xr:uid="{AE700A37-766E-40E2-A7D2-030EA09D52F2}">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1900" authorId="1" shapeId="0" xr:uid="{B0D3976E-4A9A-484E-88FC-FF68E901292B}">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1901" authorId="0" shapeId="0" xr:uid="{E3AB16B1-4251-448C-9DFC-CEC627CD34AA}">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1901" authorId="0" shapeId="0" xr:uid="{C72E1DC1-504A-49C5-8DD3-57549DBC5433}">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1901" authorId="0" shapeId="0" xr:uid="{D49EC83D-4E09-4671-B7EC-8326ED9B1BBD}">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1902" authorId="0" shapeId="0" xr:uid="{B2FE57E9-66BD-4010-8112-A9F0BB7D23F8}">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1902" authorId="0" shapeId="0" xr:uid="{F64378B8-45E0-48BA-B898-D4E182BFFAE1}">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1902" authorId="0" shapeId="0" xr:uid="{7F32B477-D763-4DE7-98AC-48C17772E1A4}">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1903" authorId="1" shapeId="0" xr:uid="{296C7C85-5A63-4701-8134-D4510C114331}">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1909" authorId="0" shapeId="0" xr:uid="{85F76E11-4570-49D4-9C88-A8904C2AF339}">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1909" authorId="0" shapeId="0" xr:uid="{D55F4868-A95E-415D-941B-C46F31549F78}">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1909" authorId="0" shapeId="0" xr:uid="{5157943C-6594-4C40-BFE5-194BF197E0D4}">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1910" authorId="0" shapeId="0" xr:uid="{3C65FBD6-E363-49DA-8D1F-2C78BBA62546}">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1910" authorId="0" shapeId="0" xr:uid="{087A8801-00F0-4C5E-A69D-5A9A52C30A34}">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1910" authorId="0" shapeId="0" xr:uid="{981B0638-33F2-44FA-96F4-C7A0C59DE758}">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1911" authorId="0" shapeId="0" xr:uid="{E5E602A4-741F-4807-87B0-18EEA4714ADD}">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1911" authorId="0" shapeId="0" xr:uid="{7D88E5CE-12B4-403E-9275-DD0985CEE1D8}">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1911" authorId="0" shapeId="0" xr:uid="{5995AC09-9CC1-4411-994C-763E428620F5}">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1912" authorId="0" shapeId="0" xr:uid="{3F82C954-296A-4CF9-81E5-C3ED33A43974}">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1912" authorId="0" shapeId="0" xr:uid="{69414E47-89BB-418E-8883-59A6B2C3A511}">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1912" authorId="0" shapeId="0" xr:uid="{CBC5F3D0-0C53-4EA8-BB41-67F5AF20304F}">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1913" authorId="1" shapeId="0" xr:uid="{55AFF00A-F417-4B73-8D2B-2FC491F1CBEB}">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1913" authorId="1" shapeId="0" xr:uid="{19CA32CD-1D21-4F5A-8D4E-57167A11B3FD}">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1913" authorId="1" shapeId="0" xr:uid="{AF31B9D1-C163-4A37-99A4-FBD17BC6A0F8}">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1914" authorId="1" shapeId="0" xr:uid="{513FFCE3-2FD9-433A-980C-2785D6521532}">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1914" authorId="1" shapeId="0" xr:uid="{D96B9F17-5BB9-4A40-9E49-75833FB30AD6}">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1914" authorId="1" shapeId="0" xr:uid="{EE3AAD21-0480-4C4A-A4C6-E2A6694D72E7}">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1915" authorId="1" shapeId="0" xr:uid="{A3879A99-7375-4C9B-8ED3-6A1D17ED7B76}">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1915" authorId="1" shapeId="0" xr:uid="{B87998C5-AE41-49F6-8364-5FF64D3A7256}">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1915" authorId="1" shapeId="0" xr:uid="{A5CA982B-061E-4995-9119-69267915C750}">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1916" authorId="0" shapeId="0" xr:uid="{92AF6D23-78A7-420F-8D79-4D3DED91FC10}">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1916" authorId="0" shapeId="0" xr:uid="{C4FC8F5F-BC85-4A44-9841-25B804372C38}">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1916" authorId="0" shapeId="0" xr:uid="{70452472-71DC-4DB5-8B82-ECC0C5E6287B}">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1917" authorId="0" shapeId="0" xr:uid="{14471C80-5109-4BE6-A2D8-92BF609114F6}">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1917" authorId="0" shapeId="0" xr:uid="{70171AA8-07E0-4FA3-893B-5D9D7F76A20E}">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1917" authorId="0" shapeId="0" xr:uid="{7D153DB9-62F2-4C67-8138-450E4C56A0A4}">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1918" authorId="1" shapeId="0" xr:uid="{03F5DA10-D193-4F56-8E73-95B0A5C27480}">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1924" authorId="0" shapeId="0" xr:uid="{197FE8EB-CA47-4F97-A19E-0153B17CAF10}">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1924" authorId="0" shapeId="0" xr:uid="{C202F8F0-5223-4C72-87C5-4B3343033F32}">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1924" authorId="0" shapeId="0" xr:uid="{2431C9C4-86CD-4953-98AA-0305E489AE6C}">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1925" authorId="0" shapeId="0" xr:uid="{40D2FE14-92FF-4282-9D26-CDA2951CDA78}">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1925" authorId="0" shapeId="0" xr:uid="{0484F3DF-3CD7-43B0-8E3B-9763D5193D93}">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1925" authorId="0" shapeId="0" xr:uid="{814E61AF-3DD4-4B8B-9303-16214876B945}">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1926" authorId="0" shapeId="0" xr:uid="{356414DF-8C41-438C-A1A0-6FF0A9B76844}">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1926" authorId="0" shapeId="0" xr:uid="{23BE9C48-8D20-4E29-A811-E40129FDA7F3}">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1926" authorId="0" shapeId="0" xr:uid="{39E7E245-8A8C-4370-A6B7-EE1ED6E2E316}">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1927" authorId="0" shapeId="0" xr:uid="{3BAA663F-3C59-4580-98C6-5DA06D7AA4DF}">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1927" authorId="0" shapeId="0" xr:uid="{C53DC68C-5A9E-4C72-9B78-1897A74CDE10}">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1927" authorId="0" shapeId="0" xr:uid="{475C148A-417E-4400-B4F5-A2F4D088AA17}">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1928" authorId="1" shapeId="0" xr:uid="{8DC37C9D-5BEF-45B7-83C4-2AA29D21C8C9}">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1928" authorId="1" shapeId="0" xr:uid="{414BDB2F-1959-4B87-AD37-4F64A8204DB9}">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1928" authorId="1" shapeId="0" xr:uid="{D3C6A684-40FF-4B68-AD98-A39C67B63741}">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1929" authorId="1" shapeId="0" xr:uid="{3B3FF045-3A05-41F1-8C7C-47EF8105CBFE}">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1929" authorId="1" shapeId="0" xr:uid="{C6DB1905-CE64-407A-80C5-9F51C42BE751}">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1929" authorId="1" shapeId="0" xr:uid="{15F55C1B-8414-4FA8-B953-C6C22EA13ADC}">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1930" authorId="1" shapeId="0" xr:uid="{04C4D268-149C-4108-95DD-65B8822C35FB}">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1930" authorId="1" shapeId="0" xr:uid="{9B4A710A-66F9-4568-BA23-047611ACBC50}">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1930" authorId="1" shapeId="0" xr:uid="{A4DB4679-1CDD-4562-A1DD-4206638E119C}">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1931" authorId="0" shapeId="0" xr:uid="{D0408819-C53C-400D-BAA2-5FA7961194F7}">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1931" authorId="0" shapeId="0" xr:uid="{C57A6898-C168-4132-8C71-C391881C3071}">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1931" authorId="0" shapeId="0" xr:uid="{5C3A705D-AC5D-4FC5-ADD8-C7430734E8A5}">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1932" authorId="0" shapeId="0" xr:uid="{310DF8AE-C454-4B6E-9CDD-00BC1835360D}">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1932" authorId="0" shapeId="0" xr:uid="{943627BA-1D73-4E09-A3F6-DE21C776203F}">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1932" authorId="0" shapeId="0" xr:uid="{86E53D9D-DE52-4B07-9865-D15D0D149EC2}">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1933" authorId="1" shapeId="0" xr:uid="{D03775F8-9B73-47E9-A6C1-484265A576F3}">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1939" authorId="0" shapeId="0" xr:uid="{6AA766E6-F8F1-4B54-8FA8-A69B3BFA1A66}">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1939" authorId="0" shapeId="0" xr:uid="{DA5248F7-5E27-4E80-B1AA-12F66D999BB2}">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1939" authorId="0" shapeId="0" xr:uid="{64F8A506-4BC2-4574-8BC8-BDD0DF6DAF13}">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1940" authorId="0" shapeId="0" xr:uid="{4C06BD62-5032-44F4-88BF-FC5F3EA78CDC}">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1940" authorId="0" shapeId="0" xr:uid="{AAEEF3FB-670E-4A76-8D06-151E61104594}">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1940" authorId="0" shapeId="0" xr:uid="{6F075B57-B377-430B-983A-13FC8E6F0EEC}">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1941" authorId="0" shapeId="0" xr:uid="{09A817AC-A597-4781-89F1-8AE31E62A740}">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1941" authorId="0" shapeId="0" xr:uid="{205813FB-3873-4E9A-A064-E17486CFBF89}">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1941" authorId="0" shapeId="0" xr:uid="{6DCA2033-C569-4BFA-9DD5-B108BE2D46A4}">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1942" authorId="0" shapeId="0" xr:uid="{C558E507-E685-4AF3-8845-CA02BB42642D}">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1942" authorId="0" shapeId="0" xr:uid="{BE48CD09-34A8-4D04-A340-79E0961CEE5F}">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1942" authorId="0" shapeId="0" xr:uid="{9403D5BF-3348-4D50-867C-B0E2A15BCE8C}">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1943" authorId="1" shapeId="0" xr:uid="{FACBF394-1776-47A9-AAB5-A4AB7BD332EF}">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1943" authorId="1" shapeId="0" xr:uid="{F9D43F1C-5957-480B-BE9C-6DB72BD64665}">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1943" authorId="1" shapeId="0" xr:uid="{9A0B8A0C-F805-41A2-9913-2EA55E3DC124}">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1944" authorId="1" shapeId="0" xr:uid="{8A19BBC2-BE09-4887-BED2-9EE8AE7972CE}">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1944" authorId="1" shapeId="0" xr:uid="{4493CE53-BFA8-41F2-9178-422C81BFCB7E}">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1944" authorId="1" shapeId="0" xr:uid="{F01AA6DD-6FE2-489D-A7F2-600FD833C6D8}">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1945" authorId="1" shapeId="0" xr:uid="{8BA861BB-FD81-4380-981A-816A05550E49}">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1945" authorId="1" shapeId="0" xr:uid="{76D933CB-FF0B-4185-8411-FDDABA4358A7}">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1945" authorId="1" shapeId="0" xr:uid="{C722C16A-2F9C-4F7A-A28C-B8E85E5CBE53}">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1946" authorId="0" shapeId="0" xr:uid="{FD4840B1-2F40-4E00-82CE-67D849A9631A}">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1946" authorId="0" shapeId="0" xr:uid="{DFF55144-E25B-43B9-B03E-AA314A58E4AA}">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1946" authorId="0" shapeId="0" xr:uid="{B465ACD8-D434-448B-81C9-CD8926710382}">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1947" authorId="0" shapeId="0" xr:uid="{EE6C5CD1-8C21-43ED-888A-97BBAB28696D}">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1947" authorId="0" shapeId="0" xr:uid="{139F9813-3EBE-423E-AD89-630FB5CDAB1B}">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1947" authorId="0" shapeId="0" xr:uid="{38B36ABA-CC5F-4D77-B379-63E88FB735D1}">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1948" authorId="1" shapeId="0" xr:uid="{95BA7411-2F39-46CB-A134-659E3999378C}">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1954" authorId="0" shapeId="0" xr:uid="{8E6AF111-2AF7-4F15-BE9D-BE748A01DC98}">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1954" authorId="0" shapeId="0" xr:uid="{AEE86CC6-B4B0-4F80-89A9-B1ED9A23C388}">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1954" authorId="0" shapeId="0" xr:uid="{FC537831-D33B-450E-A0E8-B139C8F49DCF}">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1955" authorId="0" shapeId="0" xr:uid="{BB8D449C-1C75-433C-B229-6569C65B0425}">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1955" authorId="0" shapeId="0" xr:uid="{7721FCAD-CED2-4AA1-B0F0-6C09F692FDD9}">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1955" authorId="0" shapeId="0" xr:uid="{B1675178-FB2B-4541-A894-DAB88D74976E}">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1956" authorId="0" shapeId="0" xr:uid="{6C03D938-46A9-4DBB-99DC-F6DA14B2BC15}">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1956" authorId="0" shapeId="0" xr:uid="{5FE24616-FFF1-4F1E-BDF7-9E17F1C8FCFD}">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1956" authorId="0" shapeId="0" xr:uid="{374DB717-DAC2-4FAC-A1DD-6820C87CDF03}">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1957" authorId="0" shapeId="0" xr:uid="{CA120A13-A535-47A7-BC4E-2A0FC179E622}">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1957" authorId="0" shapeId="0" xr:uid="{BD439AD8-5FE2-447A-83A1-23034F2D9357}">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1957" authorId="0" shapeId="0" xr:uid="{5C6380AB-1398-4702-904F-2F8281ABFCF3}">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1958" authorId="1" shapeId="0" xr:uid="{0EA67584-CE28-496D-9980-B35C9379967B}">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1958" authorId="1" shapeId="0" xr:uid="{821D7C47-AF73-4D87-AEF6-C2070A096BA1}">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1958" authorId="1" shapeId="0" xr:uid="{816EF68D-ED37-438C-8FC9-E2AA98452015}">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1959" authorId="1" shapeId="0" xr:uid="{7E675A67-91E4-4BC6-BD1D-A9912A0DDC65}">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1959" authorId="1" shapeId="0" xr:uid="{62469007-805E-49A5-B347-19A50DC582AC}">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1959" authorId="1" shapeId="0" xr:uid="{A13BBA2C-8352-4EEB-96FA-4A8C7CFE25DC}">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1960" authorId="1" shapeId="0" xr:uid="{E153D0C2-A7CA-4AFB-A4AF-88930BD03C49}">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1960" authorId="1" shapeId="0" xr:uid="{6348F300-F07C-4C5F-88B9-549A59229411}">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1960" authorId="1" shapeId="0" xr:uid="{C4D0FA92-6BB8-48E0-8C39-9DC6FA8A71B8}">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1961" authorId="0" shapeId="0" xr:uid="{00160617-8C48-484E-9EF3-743E7D4608E6}">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1961" authorId="0" shapeId="0" xr:uid="{A475BFD8-687C-416E-9F30-D26A0C0308D5}">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1961" authorId="0" shapeId="0" xr:uid="{ED0AA887-0451-4F0C-8F5A-2CE4AAF571B1}">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1962" authorId="0" shapeId="0" xr:uid="{DA61EE80-5294-489A-8391-A893E7A9D12D}">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1962" authorId="0" shapeId="0" xr:uid="{A579C2BE-7EF3-454B-9ACB-CC4EAE8B7C05}">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1962" authorId="0" shapeId="0" xr:uid="{670BCCDD-EABC-466A-AB20-BAC08F9A0BCC}">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1963" authorId="1" shapeId="0" xr:uid="{48DBDEDA-0E47-489F-BBC6-BBFC52B2230A}">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1969" authorId="0" shapeId="0" xr:uid="{4EE493DE-2917-4797-8559-EFA88A131E10}">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1969" authorId="0" shapeId="0" xr:uid="{C38C8F61-5C33-4E01-B7ED-1B34C21B9FE3}">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1969" authorId="0" shapeId="0" xr:uid="{D3B81169-9490-4F1D-B9E5-0747D3F2D8BC}">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1970" authorId="0" shapeId="0" xr:uid="{DAD17342-A4B6-4618-9504-90F9A885D928}">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1970" authorId="0" shapeId="0" xr:uid="{4451DAB7-596F-4633-B432-5DBE5C376344}">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1970" authorId="0" shapeId="0" xr:uid="{E4AE997F-7157-4E35-8604-ACB9917A30B1}">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1971" authorId="0" shapeId="0" xr:uid="{7C022B58-659D-4AF6-8635-EEDACEB01C4D}">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1971" authorId="0" shapeId="0" xr:uid="{C6ACAF0E-2032-4721-A796-C0E1AA42BAF9}">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1971" authorId="0" shapeId="0" xr:uid="{95C49A58-C762-45F1-B157-0B551DC01C46}">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1972" authorId="0" shapeId="0" xr:uid="{F45264BF-ACB9-42F1-9615-2D56D64CA5C6}">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1972" authorId="0" shapeId="0" xr:uid="{0E295DE7-6A6E-4AE0-A2CD-1615E8FA8FA0}">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1972" authorId="0" shapeId="0" xr:uid="{1D7198E3-D622-4331-801A-31FA4BBB1003}">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1973" authorId="1" shapeId="0" xr:uid="{9E00EF9F-72A7-4111-AECD-7A4B61DACC34}">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1973" authorId="1" shapeId="0" xr:uid="{9BDD0983-F836-453E-A19B-F1C40171649B}">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1973" authorId="1" shapeId="0" xr:uid="{BEF68356-2173-4A71-9A2D-B8E4CAC7595E}">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1974" authorId="1" shapeId="0" xr:uid="{116AFCF7-C936-45DF-ADEA-6CCA6B775E53}">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1974" authorId="1" shapeId="0" xr:uid="{457B4E24-6E98-450F-8008-3FFEE9B6018D}">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1974" authorId="1" shapeId="0" xr:uid="{B6D023E5-0C09-4915-8F8A-7A99FD2CF24B}">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1975" authorId="1" shapeId="0" xr:uid="{F5FC4FE4-8DBA-479C-AF10-ED3280C7BDB1}">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1975" authorId="1" shapeId="0" xr:uid="{107E04CA-66E0-4265-B0AD-F2AAA4148FEF}">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1975" authorId="1" shapeId="0" xr:uid="{0F8DD37C-5535-43E2-BA39-AC5CD7FFB273}">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1976" authorId="0" shapeId="0" xr:uid="{2F759A7A-EA41-4894-8BBB-F2C01976DE44}">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1976" authorId="0" shapeId="0" xr:uid="{E0491E4E-C595-48A6-9380-294F2370F169}">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1976" authorId="0" shapeId="0" xr:uid="{64DBB78D-3F8B-4419-997B-CC6FDD599E8B}">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1977" authorId="0" shapeId="0" xr:uid="{E74D7CA1-B2A5-4DDC-9844-9F4F9B57DFB2}">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1977" authorId="0" shapeId="0" xr:uid="{2727ED32-1DD4-44CF-BA23-9B4C2A5722D6}">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1977" authorId="0" shapeId="0" xr:uid="{8EDA70A8-084A-4A04-AF3A-A63232EDFEDD}">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1978" authorId="1" shapeId="0" xr:uid="{B80A6746-53C3-4D12-A9F0-F1E605EE9F36}">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1984" authorId="0" shapeId="0" xr:uid="{9B4444C0-C33D-48CE-837F-804AA8F2C307}">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1984" authorId="0" shapeId="0" xr:uid="{6E09D34A-AD03-45C9-8994-DF4A58AAE92B}">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1984" authorId="0" shapeId="0" xr:uid="{69CE6D94-A934-48D8-ACB0-068C8A826852}">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1985" authorId="0" shapeId="0" xr:uid="{54DEE4EE-BC43-4EAB-955E-EB22EB165832}">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1985" authorId="0" shapeId="0" xr:uid="{5240AAD4-EB29-461C-96F5-198B0D206ADD}">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1985" authorId="0" shapeId="0" xr:uid="{59205432-079E-4987-9F26-D480180B883A}">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1986" authorId="0" shapeId="0" xr:uid="{37BCFC46-AC8F-4DF0-9206-A7BAC5029E8B}">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1986" authorId="0" shapeId="0" xr:uid="{00659684-9F68-48EC-A29A-280ACC2D4959}">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1986" authorId="0" shapeId="0" xr:uid="{6FA99AA5-12CD-49AF-B3D6-6F5862CA804B}">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1987" authorId="0" shapeId="0" xr:uid="{5BBECAD6-56D0-4309-9D67-765AAAC9B042}">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1987" authorId="0" shapeId="0" xr:uid="{09FDE594-2FE5-458E-B372-D574EA030E8D}">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1987" authorId="0" shapeId="0" xr:uid="{69EFB43A-15D3-4913-B9C0-01F5538E0A2A}">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1988" authorId="1" shapeId="0" xr:uid="{AA1E43CC-1824-49A7-8CC2-53D1F818B31B}">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1988" authorId="1" shapeId="0" xr:uid="{48C86824-7C9B-440C-AA5D-243A3001B21C}">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1988" authorId="1" shapeId="0" xr:uid="{50905109-01FD-4BB3-B9A7-9BFAA8FCE93C}">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1989" authorId="1" shapeId="0" xr:uid="{DC07DDD0-26DA-4920-B2C3-737F6437810F}">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1989" authorId="1" shapeId="0" xr:uid="{801885B2-12B9-4BE9-A69E-D34BD66C6B31}">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1989" authorId="1" shapeId="0" xr:uid="{4ABC2D7E-F672-4630-8138-F7DAC103F418}">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1990" authorId="1" shapeId="0" xr:uid="{5D031082-CA95-48F8-BD05-0D315B7395FF}">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1990" authorId="1" shapeId="0" xr:uid="{661F24FE-78AD-4A33-B23C-F77A124FA744}">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1990" authorId="1" shapeId="0" xr:uid="{D3CF6D47-AF68-4ADB-BEA7-B2C9E09418ED}">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1991" authorId="0" shapeId="0" xr:uid="{92BBCB21-90DF-400C-A3F0-54CB10AB3385}">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1991" authorId="0" shapeId="0" xr:uid="{2AFA4542-0823-4AF3-88F4-8178F311F0E7}">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1991" authorId="0" shapeId="0" xr:uid="{37F2DE7E-FAAF-4469-A7BE-BE79FF39955C}">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1992" authorId="0" shapeId="0" xr:uid="{FAE4EF79-0459-4EC1-BE85-06CDD7537124}">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1992" authorId="0" shapeId="0" xr:uid="{B834B865-D091-4CD5-8382-D3F3BE2A2D6C}">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1992" authorId="0" shapeId="0" xr:uid="{21DF90A6-181B-4E38-BCDB-80C0AC1D9E55}">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1993" authorId="1" shapeId="0" xr:uid="{99444BF6-3309-4F07-849B-A5940BF7D0A9}">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1999" authorId="0" shapeId="0" xr:uid="{4EBEDBE3-415B-459C-8A71-A440E70B4B22}">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1999" authorId="0" shapeId="0" xr:uid="{F90C50BF-9EAE-471E-A691-BC1A28D0B1DA}">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1999" authorId="0" shapeId="0" xr:uid="{A37D3E1C-43A0-4640-B1D7-8BC84718FE2C}">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2000" authorId="0" shapeId="0" xr:uid="{FCC5190D-1233-4D34-9FAB-B5EF0325EA4E}">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2000" authorId="0" shapeId="0" xr:uid="{7C643311-C750-475A-B8BC-86316AD26704}">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2000" authorId="0" shapeId="0" xr:uid="{B5717FB0-21D6-4B39-904E-84B175FDD581}">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2001" authorId="0" shapeId="0" xr:uid="{BDF43673-0577-4161-8454-1E688902042B}">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2001" authorId="0" shapeId="0" xr:uid="{CF25B383-40C2-432D-BAD5-FFB1038AC184}">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2001" authorId="0" shapeId="0" xr:uid="{C32E3726-11A6-4A81-9C42-D8C777C1A28B}">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2002" authorId="0" shapeId="0" xr:uid="{6189A3C2-7D6C-4678-8AF5-2CD42C4DA8CB}">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2002" authorId="0" shapeId="0" xr:uid="{C8E88204-3AD0-4A8F-BD16-BD866AA1723D}">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2002" authorId="0" shapeId="0" xr:uid="{E7E07CA8-D848-4F09-B911-07EA9A78363C}">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2003" authorId="1" shapeId="0" xr:uid="{4F614B1F-8778-4B3C-AD8C-D0CC9B90FF4F}">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2003" authorId="1" shapeId="0" xr:uid="{847C3259-BBC2-445B-9789-6216B10E0869}">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2003" authorId="1" shapeId="0" xr:uid="{EB774151-1F9B-41C3-A7D2-F01BD152CC9B}">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2004" authorId="1" shapeId="0" xr:uid="{86DA8951-0860-4DC9-9D0A-90B19DBCE5E9}">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2004" authorId="1" shapeId="0" xr:uid="{60AB57D7-7912-43AD-9607-E005FA114579}">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2004" authorId="1" shapeId="0" xr:uid="{0993DE30-CFB7-4E73-B07C-3F3FE9F91ED1}">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2005" authorId="1" shapeId="0" xr:uid="{370F33FF-DAD8-44E8-8799-0DDD0059E1EC}">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2005" authorId="1" shapeId="0" xr:uid="{89447649-2759-482C-BEC6-6ABCBE5C98B7}">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2005" authorId="1" shapeId="0" xr:uid="{92AF1D5C-A861-4CEB-9C10-586DB6F4A2C5}">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2006" authorId="0" shapeId="0" xr:uid="{3B65772B-A452-493F-8CC5-2993F63DDDB9}">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2006" authorId="0" shapeId="0" xr:uid="{E5161DCA-61BE-4D2B-A774-BF864B74A47C}">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2006" authorId="0" shapeId="0" xr:uid="{40210A92-DA90-401E-A5A4-7F86DC4AFB89}">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2007" authorId="0" shapeId="0" xr:uid="{835B6DE2-F6D7-442E-8B52-D2236C5BCF8A}">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2007" authorId="0" shapeId="0" xr:uid="{CDEA4C0B-B5F9-4B68-A0D8-8ADF5A537AD1}">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2007" authorId="0" shapeId="0" xr:uid="{08DA194B-F5BA-4538-A4F4-7CC55E0AE22D}">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2008" authorId="1" shapeId="0" xr:uid="{F8CDF7F9-4397-414D-BBB5-BB5B013E0694}">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2014" authorId="0" shapeId="0" xr:uid="{AE31F826-B0ED-438F-93B3-9A83B0F963BC}">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2014" authorId="0" shapeId="0" xr:uid="{D5B36DB3-7C92-4813-9274-907B7D3EF700}">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2014" authorId="0" shapeId="0" xr:uid="{8F10916A-0A55-4386-BCD7-DCDE6E85F974}">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2015" authorId="0" shapeId="0" xr:uid="{C157662F-9428-4FA3-9A2A-BA59129635C2}">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2015" authorId="0" shapeId="0" xr:uid="{4C08A1E9-0F5C-45EF-AF22-4F2AE0742E49}">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2015" authorId="0" shapeId="0" xr:uid="{7BF8B9D3-C2EA-4733-822F-DF9B8A72853D}">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2016" authorId="0" shapeId="0" xr:uid="{EA55D10F-7D81-4182-B47E-F07EB5850EE4}">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2016" authorId="0" shapeId="0" xr:uid="{0A245F5F-CA51-4047-B3B7-EBC13F6AFC1F}">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2016" authorId="0" shapeId="0" xr:uid="{DEF34476-5EA8-41D2-B9A4-E6E8D22981A5}">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2017" authorId="0" shapeId="0" xr:uid="{5AAC0CF5-3BD5-44FB-B500-CDB9B9E0DAB3}">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2017" authorId="0" shapeId="0" xr:uid="{37A7E24B-DB17-4C6A-BE76-316EA47BE21E}">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2017" authorId="0" shapeId="0" xr:uid="{77DF7679-D9F2-4F52-9D40-4892E7D326F8}">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2018" authorId="1" shapeId="0" xr:uid="{A4424D9D-0D38-429C-B46F-9A7D43CE894D}">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2018" authorId="1" shapeId="0" xr:uid="{99023B17-3C5D-4557-8B6F-A870AFBA680D}">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2018" authorId="1" shapeId="0" xr:uid="{24D2C17B-996B-49EA-ADAA-697CB643C182}">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2019" authorId="1" shapeId="0" xr:uid="{992D3033-D354-45AB-895F-E4282F8CB643}">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2019" authorId="1" shapeId="0" xr:uid="{7CE991F4-7DBE-4F76-AAC2-9645EB3317CA}">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2019" authorId="1" shapeId="0" xr:uid="{BC507BBD-F495-4382-8F77-DC07051C8489}">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2020" authorId="1" shapeId="0" xr:uid="{36E6B456-7E59-46FC-BCBA-42C9403DD676}">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2020" authorId="1" shapeId="0" xr:uid="{1C37E68B-EAF4-4DCB-B476-87696DE68718}">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2020" authorId="1" shapeId="0" xr:uid="{1F314F9A-44C8-41E7-B770-5474E3584444}">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2021" authorId="0" shapeId="0" xr:uid="{8FE94830-33D2-4C2A-85A4-DFD38A098426}">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2021" authorId="0" shapeId="0" xr:uid="{2818E3A8-99A8-49F5-913A-961DA56AB230}">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2021" authorId="0" shapeId="0" xr:uid="{ACEC1DDF-4820-47DC-89AA-00FE1AA26943}">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2022" authorId="0" shapeId="0" xr:uid="{887521F8-0E86-4CD7-B152-1ACEE34A2704}">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2022" authorId="0" shapeId="0" xr:uid="{A0B7C4F7-AC40-4742-89AB-8DEEBE9F42A3}">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2022" authorId="0" shapeId="0" xr:uid="{8FE8114C-89E2-4C8E-A5A6-6D3119FBEF6A}">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2023" authorId="1" shapeId="0" xr:uid="{BB2696EC-A339-4EAA-B665-C517861144B7}">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2029" authorId="0" shapeId="0" xr:uid="{BC99EFB4-CC11-4F19-BE36-040DEAD7C11E}">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2029" authorId="0" shapeId="0" xr:uid="{45E02DB6-816C-4CBA-9F36-03E4BEF13D80}">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2029" authorId="0" shapeId="0" xr:uid="{970DC162-1244-4540-8FE1-DD07C0F767E0}">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2030" authorId="0" shapeId="0" xr:uid="{0C0FCEDE-12FE-4610-A52D-1C2DA13D0CBF}">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2030" authorId="0" shapeId="0" xr:uid="{124F121D-8981-44B9-9622-CD6A64410F7E}">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2030" authorId="0" shapeId="0" xr:uid="{495261D5-6E46-482B-A832-3F3EAD31B59E}">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2031" authorId="0" shapeId="0" xr:uid="{63A499ED-CE05-40AA-B55F-BD7E45540F20}">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2031" authorId="0" shapeId="0" xr:uid="{B2291DB2-129B-4723-BC6A-7B864C8F1271}">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2031" authorId="0" shapeId="0" xr:uid="{498EDD72-6838-4211-AE1D-E724715DD76A}">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2032" authorId="0" shapeId="0" xr:uid="{8A0D10DE-136E-415E-8720-6D653B4F2B84}">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2032" authorId="0" shapeId="0" xr:uid="{905A988F-E328-474E-AD2F-F7402CE69C29}">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2032" authorId="0" shapeId="0" xr:uid="{38475614-1FE2-49D2-AA7B-380B6E7237D9}">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2033" authorId="1" shapeId="0" xr:uid="{98A7247E-7855-4E2D-AD5B-820A5FB2AA9E}">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2033" authorId="1" shapeId="0" xr:uid="{7291C19F-F092-46DA-8760-C4D7A39F955C}">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2033" authorId="1" shapeId="0" xr:uid="{84880F67-EA26-4791-BD8E-7200F0C95752}">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2034" authorId="1" shapeId="0" xr:uid="{6DBACF4B-8ECF-4F37-90C9-B34EA309D4AD}">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2034" authorId="1" shapeId="0" xr:uid="{5C6078AA-1481-4C46-BABB-436F8E4FED57}">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2034" authorId="1" shapeId="0" xr:uid="{4FEB680A-C673-45EE-B909-106F937F0D6A}">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2035" authorId="1" shapeId="0" xr:uid="{D5BF30B0-5851-4DE4-A79D-F266F6F162EF}">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2035" authorId="1" shapeId="0" xr:uid="{AE931D5F-9BB8-4817-9718-B5DC2F8DFC3B}">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2035" authorId="1" shapeId="0" xr:uid="{EC39F446-9974-4E45-A0A6-84D2AA15792C}">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2036" authorId="0" shapeId="0" xr:uid="{11EEF7E4-08E4-4BD9-BE2F-3E476714A132}">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2036" authorId="0" shapeId="0" xr:uid="{B40C1FE5-DFDC-40C5-BE09-2821FE01FD0C}">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2036" authorId="0" shapeId="0" xr:uid="{B83EC5EE-9312-4EA3-915A-54221A4AFE7B}">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2037" authorId="0" shapeId="0" xr:uid="{A5DD63BC-E4ED-43AE-9EA2-3427BF2190A7}">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2037" authorId="0" shapeId="0" xr:uid="{7C38F856-033F-4394-829B-2138303BE2F0}">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2037" authorId="0" shapeId="0" xr:uid="{B8F9240A-5703-406F-B188-7424DF48D14C}">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2038" authorId="1" shapeId="0" xr:uid="{99264FA4-A4EC-48F9-8956-F60B2907260C}">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2044" authorId="0" shapeId="0" xr:uid="{3E660ADC-AA1A-4042-90DA-B790D4DD7D21}">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2044" authorId="0" shapeId="0" xr:uid="{55A5648B-318C-4E57-937A-4D113436305C}">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2044" authorId="0" shapeId="0" xr:uid="{34CA06CC-E63C-4674-8608-6A378E906057}">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2045" authorId="0" shapeId="0" xr:uid="{47536F74-81F4-4285-9D82-6EC35585E29F}">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2045" authorId="0" shapeId="0" xr:uid="{12DB62FA-CD48-4E4E-8F4C-8A500CC2A719}">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2045" authorId="0" shapeId="0" xr:uid="{C7785A04-A5CA-4EC1-A4DA-24351E78BBB4}">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2046" authorId="0" shapeId="0" xr:uid="{0B63BF72-D48D-4BC6-AFE3-C71377D2FD9F}">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2046" authorId="0" shapeId="0" xr:uid="{B3FB631A-4EE3-440E-82BA-6EE41520EFA1}">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2046" authorId="0" shapeId="0" xr:uid="{15485C98-2526-43D4-AC5A-B8DE666CE19E}">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2047" authorId="0" shapeId="0" xr:uid="{ABC07D00-AAE3-497D-81AC-487DB5CBCB77}">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2047" authorId="0" shapeId="0" xr:uid="{87B777C2-0068-4AD3-81B9-72553446AF1A}">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2047" authorId="0" shapeId="0" xr:uid="{713A6BDD-1663-4050-8B16-79529A886E0A}">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2048" authorId="1" shapeId="0" xr:uid="{0D6330F2-1373-481B-96C8-EB3BA10DC3C0}">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2048" authorId="1" shapeId="0" xr:uid="{DC002E6D-8C5D-43C4-B3C2-DA7D57237081}">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2048" authorId="1" shapeId="0" xr:uid="{5DE5936F-FA9D-4B90-8069-4D9CF4593EAC}">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2049" authorId="1" shapeId="0" xr:uid="{2D24B51B-F9C9-4196-AE19-3C5F4E38323E}">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2049" authorId="1" shapeId="0" xr:uid="{064379FC-34CF-401F-8AD7-F319C5F70089}">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2049" authorId="1" shapeId="0" xr:uid="{E4433E0B-F891-435B-B65F-EDB91D2FA402}">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2050" authorId="1" shapeId="0" xr:uid="{0FA0C4F5-4D65-45DC-A5DF-075261DA011D}">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2050" authorId="1" shapeId="0" xr:uid="{77976019-1872-4838-B9FA-4E4ECD0258C2}">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2050" authorId="1" shapeId="0" xr:uid="{13767A27-B2AC-4DF3-B2D4-767F8C4E1C13}">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2051" authorId="0" shapeId="0" xr:uid="{E14D250E-2EBD-4F5E-B784-992CB0F1BBA3}">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2051" authorId="0" shapeId="0" xr:uid="{F0D10403-E6AE-4C29-94DA-E528F09B8252}">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2051" authorId="0" shapeId="0" xr:uid="{FC7D3DB4-D5B5-43A4-951D-AFBF24327B4A}">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2052" authorId="0" shapeId="0" xr:uid="{F8870D37-6295-4069-9329-08418C5C4239}">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2052" authorId="0" shapeId="0" xr:uid="{4B84537B-F55F-4A93-9FB7-DA42E850472C}">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2052" authorId="0" shapeId="0" xr:uid="{B5C262E0-B5AD-4D96-BE8F-8CEE52BFC8A2}">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2053" authorId="1" shapeId="0" xr:uid="{00FF8DBA-95E1-4E2F-80F2-AE1E60EC1271}">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2059" authorId="0" shapeId="0" xr:uid="{710854D5-5A3C-445D-8E9E-941423798A4A}">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2059" authorId="0" shapeId="0" xr:uid="{58D41334-2ADB-445D-9940-2CF4C8C8486B}">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2059" authorId="0" shapeId="0" xr:uid="{99A579AD-27CC-43F0-8748-765F6371BB6F}">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2060" authorId="0" shapeId="0" xr:uid="{401231BC-F6FC-4C8D-A915-4E30ADF4E4D1}">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2060" authorId="0" shapeId="0" xr:uid="{F04ABEA2-0F20-4E28-AC81-E36B07A79137}">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2060" authorId="0" shapeId="0" xr:uid="{62926E2A-14E0-4405-AF4E-26CB4DA7922F}">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2061" authorId="0" shapeId="0" xr:uid="{42BDE761-B6F4-419E-9E77-183E28951834}">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2061" authorId="0" shapeId="0" xr:uid="{4E580A56-A757-452F-BAEE-E61DE4417906}">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2061" authorId="0" shapeId="0" xr:uid="{53E22891-2347-4FED-B9AA-CABEC35778B0}">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2062" authorId="0" shapeId="0" xr:uid="{A75C78BF-DC85-4479-8496-9FBE21EB5B43}">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2062" authorId="0" shapeId="0" xr:uid="{DF8BB08B-896C-4E4C-B701-A6FA38C1E842}">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2062" authorId="0" shapeId="0" xr:uid="{21FECE72-4DDA-48E7-BA5D-DA6D98ABA649}">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2063" authorId="1" shapeId="0" xr:uid="{3274DE64-DC12-4079-A0CB-5D5C1383DB4B}">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2063" authorId="1" shapeId="0" xr:uid="{F917FB91-CF60-4EFF-A6BA-A8C5C16ED012}">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2063" authorId="1" shapeId="0" xr:uid="{6B8D625A-976D-4B6A-A572-36007E9ABFD9}">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2064" authorId="1" shapeId="0" xr:uid="{7D3D309B-01BD-4E79-AD94-2B96A776B1BA}">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2064" authorId="1" shapeId="0" xr:uid="{1ED524BE-B0BE-4E9E-9F1F-6EF3A83C78B4}">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2064" authorId="1" shapeId="0" xr:uid="{50AB7EF7-7084-461B-AA85-727CCBCAA8A5}">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2065" authorId="1" shapeId="0" xr:uid="{CCA3ED66-5A68-4A12-BD30-63DA97BD3B26}">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2065" authorId="1" shapeId="0" xr:uid="{6BFF09EC-61E7-407F-8847-77FD0DCF33B3}">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2065" authorId="1" shapeId="0" xr:uid="{6B082E02-846B-436D-B803-55886CEF18CC}">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2066" authorId="0" shapeId="0" xr:uid="{C006A134-A628-49C0-9B75-ABF485A429C5}">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2066" authorId="0" shapeId="0" xr:uid="{1347AA7C-BD3E-42A4-AC2D-947C8BB35993}">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2066" authorId="0" shapeId="0" xr:uid="{FE3AFBE8-37BA-4FF9-8E77-B138E5371335}">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2067" authorId="0" shapeId="0" xr:uid="{9C568677-9B53-4EEE-A976-2F4E73834C8F}">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2067" authorId="0" shapeId="0" xr:uid="{2F997AA1-9B3D-4552-9A1A-40E247DCDB9F}">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2067" authorId="0" shapeId="0" xr:uid="{77C42599-D609-4A9E-BA00-AB5696F112FE}">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2068" authorId="1" shapeId="0" xr:uid="{C2591C66-9B69-4775-93C8-989228E89099}">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2074" authorId="0" shapeId="0" xr:uid="{16A60608-5E0E-45AF-AE42-09919D19E02C}">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2074" authorId="0" shapeId="0" xr:uid="{79C22A4D-A87D-4B52-909B-1556881EC798}">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2074" authorId="0" shapeId="0" xr:uid="{53BA774F-2723-4A70-8065-2BB03BC1DDA1}">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2075" authorId="0" shapeId="0" xr:uid="{C13D71A0-A29A-43C8-9D99-F69FE9AD668E}">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2075" authorId="0" shapeId="0" xr:uid="{91DC5D6C-7CF2-478B-BC2E-F5C10BC7D17E}">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2075" authorId="0" shapeId="0" xr:uid="{0890796A-08EA-4CC1-AF0D-F6F6C3B581F3}">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2076" authorId="0" shapeId="0" xr:uid="{1C8D6F97-E4DE-4863-884B-6CD1DFA0FA3D}">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2076" authorId="0" shapeId="0" xr:uid="{D10D7D1E-39D6-438D-91FC-3F3D0185E836}">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2076" authorId="0" shapeId="0" xr:uid="{46AC3D0F-FB85-4D8A-852B-9A678ED68EF9}">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2077" authorId="0" shapeId="0" xr:uid="{56F26EBF-50BB-4967-BAF6-2F536BF806BF}">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2077" authorId="0" shapeId="0" xr:uid="{554CE855-E30E-4839-A209-13F1F18060CF}">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2077" authorId="0" shapeId="0" xr:uid="{4ABCB646-8277-4367-828E-AAB634F4F4F0}">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2078" authorId="1" shapeId="0" xr:uid="{084F3F23-92D4-419E-BE0C-C1E2046BBC0D}">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2078" authorId="1" shapeId="0" xr:uid="{D9E3F3B9-7EEE-40FF-9E2C-B5C15B5CBBFD}">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2078" authorId="1" shapeId="0" xr:uid="{F7CDFEF7-0259-4D0F-A206-593C391E8D61}">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2079" authorId="1" shapeId="0" xr:uid="{FD0A25DC-534A-48D8-9F5C-0B9A198EE038}">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2079" authorId="1" shapeId="0" xr:uid="{357D68B1-9D59-4340-B6DC-7C72789C1857}">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2079" authorId="1" shapeId="0" xr:uid="{AD55BFF4-00C6-47C1-8389-DB09E21A7F9D}">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2080" authorId="1" shapeId="0" xr:uid="{D402C1DA-769B-4A63-AD65-7A0B584E7222}">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2080" authorId="1" shapeId="0" xr:uid="{BCA43036-8647-4D1D-A20A-711F266592E0}">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2080" authorId="1" shapeId="0" xr:uid="{33C1370C-EAF9-4E79-A977-385F49FA44C2}">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2081" authorId="0" shapeId="0" xr:uid="{06E8F93A-3476-478C-B329-55826374C620}">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2081" authorId="0" shapeId="0" xr:uid="{1BEC61ED-7F23-4F48-9B26-95310F313D03}">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2081" authorId="0" shapeId="0" xr:uid="{F1D1DCE3-1346-49CC-8ABD-41AD68FE4B46}">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2082" authorId="0" shapeId="0" xr:uid="{CBA3C301-AFFC-4611-9A52-3A538A99FA6B}">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2082" authorId="0" shapeId="0" xr:uid="{65B38E50-DCCB-43DA-AD0E-A75D1E806619}">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2082" authorId="0" shapeId="0" xr:uid="{C746B9A2-5CA2-4113-B487-5DF0D9190A80}">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2083" authorId="1" shapeId="0" xr:uid="{B7CFC14B-0B3E-4333-A09E-6E1422030012}">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2089" authorId="0" shapeId="0" xr:uid="{E235ABFE-34EA-4083-9CB8-0EE8EDB11A12}">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2089" authorId="0" shapeId="0" xr:uid="{AB2D0927-BB8A-405A-9173-8F0F9189DD79}">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2089" authorId="0" shapeId="0" xr:uid="{A9FCAF66-14B3-4934-99F2-234413D060E9}">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2090" authorId="0" shapeId="0" xr:uid="{0C8788B9-92BB-4C46-A851-3D24C932289E}">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2090" authorId="0" shapeId="0" xr:uid="{F802B301-B9DF-409B-BE2D-C0E3CE7CA93B}">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2090" authorId="0" shapeId="0" xr:uid="{215FF05B-CB9D-494A-85C4-96CF47724CDA}">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2091" authorId="0" shapeId="0" xr:uid="{ECF39160-B9EF-4DB3-8252-22D810A56680}">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2091" authorId="0" shapeId="0" xr:uid="{1E5B6350-A62A-4BEC-BF7A-06FE9E9B03C1}">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2091" authorId="0" shapeId="0" xr:uid="{06CA3097-D0B8-43A0-B106-F7EDCAB43850}">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2092" authorId="0" shapeId="0" xr:uid="{6062D9AF-CF80-4366-9E1C-3FFA5E80FA42}">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2092" authorId="0" shapeId="0" xr:uid="{E0D4E269-84F0-4857-9E68-6BED8B489012}">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2092" authorId="0" shapeId="0" xr:uid="{B80E4D9C-7215-4B68-A835-B9AE0126180E}">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2093" authorId="1" shapeId="0" xr:uid="{70574EB1-B163-4CE9-BB3D-D89DA3AB61DB}">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2093" authorId="1" shapeId="0" xr:uid="{2D2E93C4-13FC-4FB9-A218-3192D5AD0F87}">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2093" authorId="1" shapeId="0" xr:uid="{CED382AC-410B-4737-8BB5-08B266F26E3B}">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2094" authorId="1" shapeId="0" xr:uid="{721CE62E-E4C0-43DF-9799-24B3155DE4AE}">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2094" authorId="1" shapeId="0" xr:uid="{5301E8E8-15D2-4B56-A2ED-311BCFC83D6D}">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2094" authorId="1" shapeId="0" xr:uid="{8290A58B-3A14-4D4E-A6E8-DA43B939993A}">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2095" authorId="1" shapeId="0" xr:uid="{D565EB69-BBC3-4DC0-9F22-ADDCEEE5E6CB}">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2095" authorId="1" shapeId="0" xr:uid="{65B4D1CB-0565-4326-96FF-04DEF1060E60}">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2095" authorId="1" shapeId="0" xr:uid="{F637DF88-8ECC-46D3-A40F-3CB0B6C4732C}">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2096" authorId="0" shapeId="0" xr:uid="{6292B10E-5762-4777-9160-7A688A1AB67F}">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2096" authorId="0" shapeId="0" xr:uid="{F2A57E68-2A34-4807-8955-DEA72196DAD9}">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2096" authorId="0" shapeId="0" xr:uid="{E9C9BB16-26D3-43EB-889B-3EEA3F19DEF5}">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2097" authorId="0" shapeId="0" xr:uid="{EBBFB9AE-2617-465D-BE48-B18177F1B56E}">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2097" authorId="0" shapeId="0" xr:uid="{870F1609-6557-422D-B737-EA6B85239094}">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2097" authorId="0" shapeId="0" xr:uid="{D7D66859-04AE-4F59-B0E2-428E529E3379}">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2098" authorId="1" shapeId="0" xr:uid="{806E5516-FDEC-4EEA-819A-8D92B3BAB336}">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2104" authorId="0" shapeId="0" xr:uid="{00ED9F4B-A380-48C8-A471-A3AC097B31FB}">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2104" authorId="0" shapeId="0" xr:uid="{98E53875-5388-4886-9B74-9A0D51CD483E}">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2104" authorId="0" shapeId="0" xr:uid="{FE9CF3E9-04BA-4BC8-B804-D7FC77B50AF3}">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2105" authorId="0" shapeId="0" xr:uid="{0D853AD7-24F4-4737-BA7F-42A8BBFA977F}">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2105" authorId="0" shapeId="0" xr:uid="{524CE2CD-ED0A-451D-8A16-4242D05ECBBC}">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2105" authorId="0" shapeId="0" xr:uid="{D96DF98E-539D-4E8E-B001-D74E2DB889E6}">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2106" authorId="0" shapeId="0" xr:uid="{0EB1F2A3-E79E-42CD-B332-3BD3B0D74B57}">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2106" authorId="0" shapeId="0" xr:uid="{90871F92-31E9-41FA-A00A-32653D7E416C}">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2106" authorId="0" shapeId="0" xr:uid="{6F5EA1DF-0177-4912-878C-45EBC91233A0}">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2107" authorId="0" shapeId="0" xr:uid="{71723F81-313D-44BB-9B7A-626059BB22BE}">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2107" authorId="0" shapeId="0" xr:uid="{4ED7C608-61A9-4FB0-AB77-86BBEFF255D1}">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2107" authorId="0" shapeId="0" xr:uid="{65D48B1E-BE6C-4856-8325-8708819F7D10}">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2108" authorId="1" shapeId="0" xr:uid="{0C85BD68-9F75-4E47-99CD-7BB5B505B21F}">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2108" authorId="1" shapeId="0" xr:uid="{AE01619E-1825-4C88-A25F-3018DF7A01F6}">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2108" authorId="1" shapeId="0" xr:uid="{545D7461-3623-4DD2-AFA0-07D0CB4CF8A3}">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2109" authorId="1" shapeId="0" xr:uid="{D6DC627C-4563-4172-ACA5-6B56CBF2140F}">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2109" authorId="1" shapeId="0" xr:uid="{AE849FD6-99ED-4C86-97F2-5640AE7A8F39}">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2109" authorId="1" shapeId="0" xr:uid="{B7AFCC5F-62EC-496F-B0C5-872E23768DB9}">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2110" authorId="1" shapeId="0" xr:uid="{901D3A87-E94D-4832-BE93-1CD84D8B1165}">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2110" authorId="1" shapeId="0" xr:uid="{2FC2EACE-456B-4273-AEC5-EDF08891AC8D}">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2110" authorId="1" shapeId="0" xr:uid="{698479E7-D91F-4E13-AD35-FDC12D0818BF}">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2111" authorId="0" shapeId="0" xr:uid="{2D755109-7995-459B-86DE-CD5901F1C43A}">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2111" authorId="0" shapeId="0" xr:uid="{2C76D44C-72E6-4073-822C-3F890653943E}">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2111" authorId="0" shapeId="0" xr:uid="{F3216CD0-48D0-46F3-ACA8-110EFD730701}">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2112" authorId="0" shapeId="0" xr:uid="{A4348816-D3B7-4494-A666-8D01938A2835}">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2112" authorId="0" shapeId="0" xr:uid="{179351A3-0635-46C3-8B1C-6C3A9EFD224B}">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2112" authorId="0" shapeId="0" xr:uid="{E6917C6D-D690-4174-8984-BD4CD1F728D3}">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2113" authorId="1" shapeId="0" xr:uid="{9ECBDAD0-8856-40BA-9D50-F4E0BBAFDAF3}">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2119" authorId="0" shapeId="0" xr:uid="{30AAEA17-1AC3-4907-8A86-48080CECD17C}">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2119" authorId="0" shapeId="0" xr:uid="{C64CCE72-EF19-4544-89B2-945FBB4CE950}">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2119" authorId="0" shapeId="0" xr:uid="{D2D87DC4-9460-4ECB-9B24-CA9B197A3F99}">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2120" authorId="0" shapeId="0" xr:uid="{73C23805-C62C-44E6-A7EE-A8F1BB37F8A4}">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2120" authorId="0" shapeId="0" xr:uid="{BE386615-87BD-4173-857D-375B014E3471}">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2120" authorId="0" shapeId="0" xr:uid="{7BCAA4B4-DDDB-44EE-9332-84B0B44BD302}">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2121" authorId="0" shapeId="0" xr:uid="{FEFF3384-255B-4D8F-B648-3B76666D6F10}">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2121" authorId="0" shapeId="0" xr:uid="{A7450CCC-FB13-49DB-9DAC-FCA3B786AB39}">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2121" authorId="0" shapeId="0" xr:uid="{A4C00EBF-87AD-4E8A-8445-51042E77567C}">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2122" authorId="0" shapeId="0" xr:uid="{1774650B-AE16-43C9-A315-ED995D9E0250}">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2122" authorId="0" shapeId="0" xr:uid="{DBCCE602-8252-4063-8B5E-53A14241D63B}">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2122" authorId="0" shapeId="0" xr:uid="{B02C9AD8-CDC9-4C50-A76E-5591118C5791}">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2123" authorId="1" shapeId="0" xr:uid="{90CAF2B3-5BC1-4331-9738-ACC139EECB47}">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2123" authorId="1" shapeId="0" xr:uid="{29293FCF-408C-4F4B-8E08-2E8A49C0500B}">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2123" authorId="1" shapeId="0" xr:uid="{FDC8C7FD-0CCD-44BB-A8B0-A7419E24FC80}">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2124" authorId="1" shapeId="0" xr:uid="{87C1C887-2BD0-40BB-968B-05908186CD78}">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2124" authorId="1" shapeId="0" xr:uid="{765DAB2B-49B4-46ED-A4CB-4D273A995DC2}">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2124" authorId="1" shapeId="0" xr:uid="{237C9875-3B3C-4927-89CE-F54EFB9285F7}">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2125" authorId="1" shapeId="0" xr:uid="{A5B10316-BB4C-43AD-A037-E7B46862E96C}">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2125" authorId="1" shapeId="0" xr:uid="{25EFB1E3-0C3F-44EC-9E31-C495AB522630}">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2125" authorId="1" shapeId="0" xr:uid="{E966938B-319A-4258-B3AC-B87ED7EE1472}">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2126" authorId="0" shapeId="0" xr:uid="{11D3991A-DC40-4E28-95A4-2612C20AEA39}">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2126" authorId="0" shapeId="0" xr:uid="{D040D350-2064-40FA-8039-C05785069ECA}">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2126" authorId="0" shapeId="0" xr:uid="{6F4490B0-2670-4447-8FB1-156F4639C662}">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2127" authorId="0" shapeId="0" xr:uid="{F68E13D7-19CE-4CD7-A2D1-AFBBC19A5E00}">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2127" authorId="0" shapeId="0" xr:uid="{59828017-18EA-4888-87B2-B8D1815F9981}">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2127" authorId="0" shapeId="0" xr:uid="{DB8C5065-E69A-4230-A623-2AA4FA4A5C42}">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2128" authorId="1" shapeId="0" xr:uid="{7733639C-5C19-4DA5-BE47-59D281F44365}">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2134" authorId="0" shapeId="0" xr:uid="{8DDD8F29-CE37-43D6-A07E-CF4880756B58}">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2134" authorId="0" shapeId="0" xr:uid="{0BA2419B-3BC7-4DBC-8D83-8C2145115655}">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2134" authorId="0" shapeId="0" xr:uid="{9ADB5D6E-1447-495B-BBC1-332C7932851A}">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2135" authorId="0" shapeId="0" xr:uid="{26827A2D-BA00-448B-BC4D-7E58E7857012}">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2135" authorId="0" shapeId="0" xr:uid="{557CC13B-6189-4A8D-98D1-FF15706D3E68}">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2135" authorId="0" shapeId="0" xr:uid="{03663953-5648-4362-8BA6-DB9ECD11404B}">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2136" authorId="0" shapeId="0" xr:uid="{C9219BE2-FF4F-4199-899C-BFF65E3D9B9A}">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2136" authorId="0" shapeId="0" xr:uid="{F04D8FC4-EF53-4856-90F3-D3452A1AA54F}">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2136" authorId="0" shapeId="0" xr:uid="{E2B1BACA-D614-408B-9A46-DC4F74B07A4F}">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2137" authorId="0" shapeId="0" xr:uid="{B1B8F276-1737-4DC8-8850-DD44F006AE9D}">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2137" authorId="0" shapeId="0" xr:uid="{973DA900-C975-41FA-8A09-BAA893FCE5D8}">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2137" authorId="0" shapeId="0" xr:uid="{60BCA3FB-216E-4E58-8D87-3B03341585C4}">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2138" authorId="1" shapeId="0" xr:uid="{6DB0C67A-B447-4D5A-AD69-BCB7F8A9C6AD}">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2138" authorId="1" shapeId="0" xr:uid="{E89FA238-DBA3-4CEF-B773-02E04FFB0372}">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2138" authorId="1" shapeId="0" xr:uid="{0908EC18-434C-434E-A0E7-BA6167507035}">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2139" authorId="1" shapeId="0" xr:uid="{4D51E68C-C614-4057-A35A-771BE770A24E}">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2139" authorId="1" shapeId="0" xr:uid="{607FEAD1-13B6-4DDF-B08F-630FD94AA929}">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2139" authorId="1" shapeId="0" xr:uid="{20F3BCB7-E3EF-4775-BF53-6601DFC3E615}">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2140" authorId="1" shapeId="0" xr:uid="{62E6577B-B77F-4A05-8B49-95739FC177C4}">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2140" authorId="1" shapeId="0" xr:uid="{90B8B3E4-903B-4638-AB08-B8B70FF9391E}">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2140" authorId="1" shapeId="0" xr:uid="{5E32B5EA-1E58-4BF3-BB06-B4DAEDA80B4F}">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2141" authorId="0" shapeId="0" xr:uid="{5A5CFC2D-201A-4BB9-A52B-EEA49923A252}">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2141" authorId="0" shapeId="0" xr:uid="{78214353-E1F6-468E-B73E-05391A14B258}">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2141" authorId="0" shapeId="0" xr:uid="{4EDE24FD-65D6-49BF-A307-F16F3263D500}">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2142" authorId="0" shapeId="0" xr:uid="{269B5D44-A563-46E8-B2BB-ED4DE0A96F55}">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2142" authorId="0" shapeId="0" xr:uid="{7E9FAD72-F5EB-48D9-9400-E7FDBAD48896}">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2142" authorId="0" shapeId="0" xr:uid="{07C664BF-BC2E-453C-ACA0-9249A44CFEE8}">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2143" authorId="1" shapeId="0" xr:uid="{B6E57A25-0E6F-497D-8981-CB2D56E26592}">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2149" authorId="0" shapeId="0" xr:uid="{1B357A0E-0EC9-4280-8948-3DB0BD1891DF}">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2149" authorId="0" shapeId="0" xr:uid="{A9EE9A77-3C03-405C-A8C5-B614932DC8F2}">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2149" authorId="0" shapeId="0" xr:uid="{3CDFA66C-B8E2-49A4-86FC-5F49C8092928}">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2150" authorId="0" shapeId="0" xr:uid="{A1347F3B-B7F0-401E-847B-9600712419C0}">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2150" authorId="0" shapeId="0" xr:uid="{C0879E03-8280-4683-A907-180DD0FFD266}">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2150" authorId="0" shapeId="0" xr:uid="{2B2E0C12-D144-413A-B1E5-A055E656FC6F}">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2151" authorId="0" shapeId="0" xr:uid="{C81CCE06-3A49-4D59-BF25-B11726B15AE4}">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2151" authorId="0" shapeId="0" xr:uid="{652E8000-6334-4DE5-8841-1AD5BDB0BCA8}">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2151" authorId="0" shapeId="0" xr:uid="{EAA07901-62AC-4AB5-8BDE-8DF57A5476E9}">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2152" authorId="0" shapeId="0" xr:uid="{14DA6DA1-A8F4-4F2C-BAD9-8653B5423982}">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2152" authorId="0" shapeId="0" xr:uid="{91C797E2-A243-42F6-8B1C-AF3AB02BC970}">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2152" authorId="0" shapeId="0" xr:uid="{7B286B57-246F-484E-B036-F4F703455BB9}">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2153" authorId="1" shapeId="0" xr:uid="{F212F13B-E438-48EB-A71C-B0C209E142E1}">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2153" authorId="1" shapeId="0" xr:uid="{DD459C5A-FDCF-4853-AF7F-6EC5D21FCE45}">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2153" authorId="1" shapeId="0" xr:uid="{961BA44D-0880-4BCB-BB87-131109E7FCB2}">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2154" authorId="1" shapeId="0" xr:uid="{2BFF4486-E827-4183-8173-653733EFB108}">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2154" authorId="1" shapeId="0" xr:uid="{30705536-2AD7-4C7C-89C1-6BF168D0C2C0}">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2154" authorId="1" shapeId="0" xr:uid="{3FCD31B7-5C6A-46A8-BCC0-49684A624892}">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2155" authorId="1" shapeId="0" xr:uid="{6181FD73-53AE-4F4F-8CA5-F778AD451806}">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2155" authorId="1" shapeId="0" xr:uid="{5148FE83-C817-4244-88BA-88C3E08A1F55}">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2155" authorId="1" shapeId="0" xr:uid="{57A2F453-175B-466F-B6E0-9C47F4C0EC4D}">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2156" authorId="0" shapeId="0" xr:uid="{CF35D292-68C5-4EA8-946E-BDFA772407A9}">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2156" authorId="0" shapeId="0" xr:uid="{5422033D-2B72-44E0-8E49-63841A3477B7}">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2156" authorId="0" shapeId="0" xr:uid="{30BE2359-C742-4FBB-B78F-7E7945964E3C}">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2157" authorId="0" shapeId="0" xr:uid="{D8FD347F-6052-4172-B8E3-79872808B515}">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2157" authorId="0" shapeId="0" xr:uid="{E63F186A-37C1-4136-B0E2-F01B5677E708}">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2157" authorId="0" shapeId="0" xr:uid="{18BD784D-3843-438A-BD74-93A40186B53B}">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2158" authorId="1" shapeId="0" xr:uid="{6812E0EB-69D8-4D9C-A035-AABC6D1DAFDA}">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2164" authorId="0" shapeId="0" xr:uid="{066D4DF3-EF48-420F-8C20-B689A97C909F}">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2164" authorId="0" shapeId="0" xr:uid="{82F9F83B-72E4-4814-8F4D-373349B141A8}">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2164" authorId="0" shapeId="0" xr:uid="{FB19E7FD-65A4-479C-9BAD-806416861B3F}">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2165" authorId="0" shapeId="0" xr:uid="{03642379-602B-411B-9FB2-C2B4DC7DAF7A}">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2165" authorId="0" shapeId="0" xr:uid="{A8F71FB6-C162-44B3-BAA1-BB9B50B04F02}">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2165" authorId="0" shapeId="0" xr:uid="{8AD26C25-E951-4A5E-A646-1604A96F3D71}">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2166" authorId="0" shapeId="0" xr:uid="{F77A9BD9-F347-4DAE-B185-6842ABD37329}">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2166" authorId="0" shapeId="0" xr:uid="{65092FB8-F9C4-4D15-B7DD-ECEEA0F2D7FF}">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2166" authorId="0" shapeId="0" xr:uid="{4C05902C-492F-4C2E-91CD-E19B560E866B}">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2167" authorId="0" shapeId="0" xr:uid="{0E17B719-9DA1-4D42-B30D-A711A7A49B04}">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2167" authorId="0" shapeId="0" xr:uid="{BD2D0AB2-FDCF-47F4-9F7F-371DDA049715}">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2167" authorId="0" shapeId="0" xr:uid="{79AC9534-C8C3-4BA0-9074-B3CB6AEDCD0B}">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2168" authorId="1" shapeId="0" xr:uid="{77DB3DD4-0F68-4975-AA48-9FEB64C94FCD}">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2168" authorId="1" shapeId="0" xr:uid="{F82C67AA-D924-481C-A0A8-285275BE5991}">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2168" authorId="1" shapeId="0" xr:uid="{6D01103B-A837-4246-9BAD-1DFC44F9F4CE}">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2169" authorId="1" shapeId="0" xr:uid="{23F61F2E-0777-4988-B372-56C59BA3147D}">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2169" authorId="1" shapeId="0" xr:uid="{71A0FBB6-6007-4165-BAB8-B10809FD8087}">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2169" authorId="1" shapeId="0" xr:uid="{5BF47921-9A6D-49FF-B258-C1F088B62CBC}">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2170" authorId="1" shapeId="0" xr:uid="{329328DE-1B07-4730-B098-42BAFC77DD0A}">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2170" authorId="1" shapeId="0" xr:uid="{7A4A0E81-E1DA-4927-AE12-B0A1F7855951}">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2170" authorId="1" shapeId="0" xr:uid="{98CA9178-4205-49DA-B228-A0EA97776F7F}">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2171" authorId="0" shapeId="0" xr:uid="{AB240FE0-70E0-4F92-A91D-628DCB330C90}">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2171" authorId="0" shapeId="0" xr:uid="{90988790-978A-48D8-B30C-7D9CC250B398}">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2171" authorId="0" shapeId="0" xr:uid="{1BC77A34-4BD5-4B7A-A385-34ECD7A33639}">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2172" authorId="0" shapeId="0" xr:uid="{050F8FD8-99CA-41ED-AD7F-B29353E64137}">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2172" authorId="0" shapeId="0" xr:uid="{7AF899E7-E6E8-4639-B427-B5454B055697}">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2172" authorId="0" shapeId="0" xr:uid="{AF361C6B-70A8-430C-8A14-BEABA493F0EC}">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2173" authorId="1" shapeId="0" xr:uid="{22C1A68D-0E5C-4E3E-8F0E-1F891A4F0F49}">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2179" authorId="0" shapeId="0" xr:uid="{E9470AEF-F685-434B-ADD5-122ADDFE5F77}">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2179" authorId="0" shapeId="0" xr:uid="{617C1E9B-B66B-44ED-B12D-948946123C57}">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2179" authorId="0" shapeId="0" xr:uid="{93922498-1B2A-41E6-B5A3-7590ABB4F04A}">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2180" authorId="0" shapeId="0" xr:uid="{CD6560EF-0389-4912-BF9D-EA8F85B4C67B}">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2180" authorId="0" shapeId="0" xr:uid="{6612C97D-446E-4CD1-8FC8-E14101E9E6A3}">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2180" authorId="0" shapeId="0" xr:uid="{5B010913-0EB2-4B87-81DD-868700962155}">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2181" authorId="0" shapeId="0" xr:uid="{4F9C7298-C0CB-41A5-9710-120C21CF962F}">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2181" authorId="0" shapeId="0" xr:uid="{C8CA7685-94E9-4C6E-9578-D81BCCC42213}">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2181" authorId="0" shapeId="0" xr:uid="{8769CABF-C0B9-45CB-9E00-B5C18B5FC381}">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2182" authorId="0" shapeId="0" xr:uid="{4920ABFD-335F-4C3E-BCCD-7D33EDD9F134}">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2182" authorId="0" shapeId="0" xr:uid="{C767AD52-CC04-42D9-B914-622269A45FA1}">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2182" authorId="0" shapeId="0" xr:uid="{5CCFA387-649E-4571-8A7B-13832FA6DFF7}">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2183" authorId="1" shapeId="0" xr:uid="{BD748314-6610-4A0B-B1A2-484EB75B6F4F}">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2183" authorId="1" shapeId="0" xr:uid="{FA066F9E-6037-4310-BCE4-83064630C14E}">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2183" authorId="1" shapeId="0" xr:uid="{83F91A76-F897-492C-94B8-E0A5726A653B}">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2184" authorId="1" shapeId="0" xr:uid="{B7BF85F2-2329-422B-BE03-A4A6DEA849C3}">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2184" authorId="1" shapeId="0" xr:uid="{EEC6EA4D-E14D-47D6-99CB-731758A23A80}">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2184" authorId="1" shapeId="0" xr:uid="{67EF4A69-E123-40A0-95F0-EEC6241DD450}">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2185" authorId="1" shapeId="0" xr:uid="{BC63002D-D075-459B-9EE5-C2FA8DB10E1F}">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2185" authorId="1" shapeId="0" xr:uid="{BC8B45F3-AA46-4726-8E22-5BF549CBCCE4}">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2185" authorId="1" shapeId="0" xr:uid="{798ED103-71E9-4925-9330-28E3A2B07A62}">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2186" authorId="0" shapeId="0" xr:uid="{BFC3C13A-48A2-49F2-9E60-C0E3A96FCCA8}">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2186" authorId="0" shapeId="0" xr:uid="{9670A56F-1B04-46FF-9F7B-4592032BD90C}">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2186" authorId="0" shapeId="0" xr:uid="{FA3F4B81-36CB-4540-87EB-F618FD1A6AD6}">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2187" authorId="0" shapeId="0" xr:uid="{0BE26CC5-A6B0-4CBF-AA53-E076CD0D1B85}">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2187" authorId="0" shapeId="0" xr:uid="{FDAA7251-F9E5-40F8-A1F4-5A86C42DCADD}">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2187" authorId="0" shapeId="0" xr:uid="{BF493B72-DAFC-4A66-A681-4C1C0757D695}">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2188" authorId="1" shapeId="0" xr:uid="{E3829B90-158B-4BC9-84AC-41868F2FBE3B}">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2194" authorId="0" shapeId="0" xr:uid="{1A58FD1F-C30B-4F70-B102-9904F0A40A3D}">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2194" authorId="0" shapeId="0" xr:uid="{C72AB2F5-B8DB-457B-9F82-6BE66ED1A8D0}">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2194" authorId="0" shapeId="0" xr:uid="{AAC0C8E6-315C-457E-92AD-A11CA3A93E64}">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2195" authorId="0" shapeId="0" xr:uid="{E603BA27-89D6-435E-AF7B-E6CB1805FC25}">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2195" authorId="0" shapeId="0" xr:uid="{B538C904-E7E3-4EE9-AF30-A0C5E2EC95CE}">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2195" authorId="0" shapeId="0" xr:uid="{41802926-374D-45D2-9BBD-67D41A2CA9E5}">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2196" authorId="0" shapeId="0" xr:uid="{D8D13F7D-A67D-4F57-A5FA-86521D4C18D1}">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2196" authorId="0" shapeId="0" xr:uid="{7F269266-B7A2-4753-90DC-D4DC511DD1F7}">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2196" authorId="0" shapeId="0" xr:uid="{717D4A21-0F31-4010-BAAC-CDF5EB5A1E41}">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2197" authorId="0" shapeId="0" xr:uid="{44A8FD5B-77DF-4A46-AD15-8B5770FDC851}">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2197" authorId="0" shapeId="0" xr:uid="{7C7E4DE3-00F0-47BE-98E1-142115AA7A51}">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2197" authorId="0" shapeId="0" xr:uid="{4FCFB93C-2C78-4900-B516-17AD862D3377}">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2198" authorId="1" shapeId="0" xr:uid="{50151F89-4B53-43DD-ACB4-C49ABC8D410C}">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2198" authorId="1" shapeId="0" xr:uid="{A765BAA2-3599-4EC4-B0CD-993A7A0B2C7E}">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2198" authorId="1" shapeId="0" xr:uid="{51C857F3-5584-4FD5-83AF-3468733B8309}">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2199" authorId="1" shapeId="0" xr:uid="{C207BBD7-2A29-48F5-A985-24C2C4629426}">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2199" authorId="1" shapeId="0" xr:uid="{95168ABA-B3F5-4D2A-92B2-7D8D698F93E6}">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2199" authorId="1" shapeId="0" xr:uid="{72BDE078-5E43-4D9C-96C2-D854967EDD11}">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2200" authorId="1" shapeId="0" xr:uid="{CD7DF01B-941C-4D50-AFDB-E43B7B1380D4}">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2200" authorId="1" shapeId="0" xr:uid="{7FC0682D-E8F5-43B6-8381-00A50E988B52}">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2200" authorId="1" shapeId="0" xr:uid="{840B141C-3318-4005-B05E-24BBEBDCA5BF}">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2201" authorId="0" shapeId="0" xr:uid="{D4B041FE-D943-4805-A4E0-E18124C64101}">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2201" authorId="0" shapeId="0" xr:uid="{B24C2617-A8DF-47D6-BB4B-ECE527C3145E}">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2201" authorId="0" shapeId="0" xr:uid="{A9DC52B8-594B-4022-8C92-D33CAF83B413}">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2202" authorId="0" shapeId="0" xr:uid="{8826D3BA-B747-46E7-B9A9-6E043E013340}">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2202" authorId="0" shapeId="0" xr:uid="{13DE5F73-2254-418C-BD14-A5996D9C4058}">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2202" authorId="0" shapeId="0" xr:uid="{4736AAAB-15C7-44C2-8755-9E9DE9709B93}">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2203" authorId="1" shapeId="0" xr:uid="{3962DC92-ADDD-46AA-A542-AB84AE13CC1A}">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2209" authorId="0" shapeId="0" xr:uid="{8EB94958-8E92-4D77-A3E3-AD1B8243A6AD}">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2209" authorId="0" shapeId="0" xr:uid="{6DF599A9-EE49-45EB-98CB-4C3B0950A98F}">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2209" authorId="0" shapeId="0" xr:uid="{6D08D052-DB11-4A51-A043-E35F64A6EE6A}">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2210" authorId="0" shapeId="0" xr:uid="{882DEC34-E596-4B11-8BF5-AEED35B30302}">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2210" authorId="0" shapeId="0" xr:uid="{A45E328C-04B7-4B0F-9C26-54E1EB2303B7}">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2210" authorId="0" shapeId="0" xr:uid="{2078A201-6B8A-42BC-9DEE-B5FB79F5C36A}">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2211" authorId="0" shapeId="0" xr:uid="{64CA9C65-861F-4F22-89D1-18BBA290C48F}">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2211" authorId="0" shapeId="0" xr:uid="{1FE16E9E-1835-4BA9-9069-4708587197C5}">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2211" authorId="0" shapeId="0" xr:uid="{AFC1EA71-0468-4434-8A2B-60B4EA604A67}">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2212" authorId="0" shapeId="0" xr:uid="{C1F02503-2F8E-438F-BB87-CC5E23B392E2}">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2212" authorId="0" shapeId="0" xr:uid="{034B06D2-C0FA-4AC7-AB23-49C13D6A557E}">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2212" authorId="0" shapeId="0" xr:uid="{A67297C0-916D-4299-AF65-F5BD44A1DDE6}">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2213" authorId="1" shapeId="0" xr:uid="{0696D722-F8B8-4696-A1A9-CC0AE8BCFD93}">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2213" authorId="1" shapeId="0" xr:uid="{56E4F8B6-80DB-4AA2-938E-AA205E0FA780}">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2213" authorId="1" shapeId="0" xr:uid="{CA724B55-216F-44C3-A16E-1899F6864B89}">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2214" authorId="1" shapeId="0" xr:uid="{8C2BF9A5-D7B8-4460-835C-D36D4D10A9F8}">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2214" authorId="1" shapeId="0" xr:uid="{E8003716-8C37-4DAF-9E10-5D9B2A11F8F6}">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2214" authorId="1" shapeId="0" xr:uid="{0D188847-A35D-4687-AF7C-D03812EACA37}">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2215" authorId="1" shapeId="0" xr:uid="{EB749030-D0B5-4757-994A-7FDAF2B0D11B}">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2215" authorId="1" shapeId="0" xr:uid="{C3632805-E6ED-4F98-8632-ADD35119996C}">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2215" authorId="1" shapeId="0" xr:uid="{42CA9130-0156-4BA4-8384-00D6C8C92C2F}">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2216" authorId="0" shapeId="0" xr:uid="{C243EE36-6828-4516-A8EF-E8E654DC8C81}">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2216" authorId="0" shapeId="0" xr:uid="{6612EE7D-7C83-452D-87AC-EC5BEE04EFEA}">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2216" authorId="0" shapeId="0" xr:uid="{5E31109B-3FA2-446B-B866-C6414892EC0C}">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2217" authorId="0" shapeId="0" xr:uid="{DA9E471A-A1DC-48D1-87F0-5930D457AF4E}">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2217" authorId="0" shapeId="0" xr:uid="{A743C0AA-7404-4816-A136-0360125EBA20}">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2217" authorId="0" shapeId="0" xr:uid="{B6B5D37E-353E-40AB-8D5E-912891352EF6}">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2218" authorId="1" shapeId="0" xr:uid="{E99AB889-CE32-4133-9FF5-90944CA96AF2}">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2224" authorId="0" shapeId="0" xr:uid="{0C2CC867-821E-44F4-9E05-19AE8BBE3B9B}">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2224" authorId="0" shapeId="0" xr:uid="{F2B5CE39-6365-48E9-8AC7-199DE86990E8}">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2224" authorId="0" shapeId="0" xr:uid="{CE1C1585-DD76-430E-B56E-350844829227}">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2225" authorId="0" shapeId="0" xr:uid="{29D7D11B-6BDC-481B-9BDC-BE787F20A5C3}">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2225" authorId="0" shapeId="0" xr:uid="{C98C9636-ECED-4E9E-99D1-12E7AE7D405E}">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2225" authorId="0" shapeId="0" xr:uid="{59EECB20-5FDD-45BB-AAB1-620D64892ACC}">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2226" authorId="0" shapeId="0" xr:uid="{0C5BA48E-0593-4F1D-9512-9008A0C1C357}">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2226" authorId="0" shapeId="0" xr:uid="{2AE3D16F-4297-4F71-83A3-C20C6920FCAA}">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2226" authorId="0" shapeId="0" xr:uid="{445B7F3F-3920-433C-806A-5429E82F038E}">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2227" authorId="0" shapeId="0" xr:uid="{00316B19-8FEC-4098-8F96-1DEBCEE51AB0}">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2227" authorId="0" shapeId="0" xr:uid="{F5DCEE42-FF85-4DFD-8E58-4B062102C2F6}">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2227" authorId="0" shapeId="0" xr:uid="{C3448394-6AD7-4461-AFF2-E652CA0F4489}">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2228" authorId="1" shapeId="0" xr:uid="{76BC8A65-B02C-42A3-8A39-9DED80C41EEB}">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2228" authorId="1" shapeId="0" xr:uid="{064B40AA-CCFC-4ECE-B184-5629595E6C65}">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2228" authorId="1" shapeId="0" xr:uid="{0DF962B2-8404-4E74-AA93-B59EF266C476}">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2229" authorId="1" shapeId="0" xr:uid="{AC067241-62A8-48DB-8D45-4D9A084CA939}">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2229" authorId="1" shapeId="0" xr:uid="{0A132929-786E-4122-85AA-950F07027CE4}">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2229" authorId="1" shapeId="0" xr:uid="{4361FF0E-D7E4-4881-B017-518F6FE633F7}">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2230" authorId="1" shapeId="0" xr:uid="{CCA35A71-78A0-4124-80F3-2A517603D164}">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2230" authorId="1" shapeId="0" xr:uid="{85C52346-4B40-4208-B71B-7D45B87355F3}">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2230" authorId="1" shapeId="0" xr:uid="{C32F5B09-EDAA-41DB-9BD4-6738D764A3FC}">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2231" authorId="0" shapeId="0" xr:uid="{D37BE1C0-3143-46CE-AE92-619053A30FD5}">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2231" authorId="0" shapeId="0" xr:uid="{C02DCB72-EABB-4B60-9219-5ED75A53B707}">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2231" authorId="0" shapeId="0" xr:uid="{AB05D88D-A1B3-49D3-B114-7E85C3F578D8}">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2232" authorId="0" shapeId="0" xr:uid="{C4A69DDB-1E9C-4A40-9525-A5C56F4763E7}">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2232" authorId="0" shapeId="0" xr:uid="{CCDA86D2-F263-4902-8DD5-4DD49157C636}">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2232" authorId="0" shapeId="0" xr:uid="{368A0FCC-AE27-4863-A436-D10C1A7D6317}">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2233" authorId="1" shapeId="0" xr:uid="{FC36DB69-2A5C-4653-BE57-54372B5ABD66}">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2239" authorId="0" shapeId="0" xr:uid="{11118F97-AAFB-4CBE-9D37-34B093D5DFD9}">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2239" authorId="0" shapeId="0" xr:uid="{7D46F8E8-E713-475E-99EF-954C2C41ACB2}">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2239" authorId="0" shapeId="0" xr:uid="{FEE31505-E07E-4898-A787-481741447FEC}">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2240" authorId="0" shapeId="0" xr:uid="{FDED3CF2-FC42-44B9-86A7-2C8620D32822}">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2240" authorId="0" shapeId="0" xr:uid="{29401681-4C8F-421A-BA15-88F9746F5029}">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2240" authorId="0" shapeId="0" xr:uid="{E4D22152-501B-4322-8170-FE4D1A294DF6}">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2241" authorId="0" shapeId="0" xr:uid="{2C17E258-96F5-4B7E-8523-312B67287A0C}">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2241" authorId="0" shapeId="0" xr:uid="{4679B8AD-2E6F-47E1-82E9-F824324E19B2}">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2241" authorId="0" shapeId="0" xr:uid="{105CFF75-323D-4F14-B95D-7355BA55D6FC}">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2242" authorId="0" shapeId="0" xr:uid="{518BDECC-849D-4ADF-AE6F-11CAA4366ED2}">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2242" authorId="0" shapeId="0" xr:uid="{C17DD23C-CF46-42E5-906D-A4E6FE08EC60}">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2242" authorId="0" shapeId="0" xr:uid="{641DDD40-5543-4C26-A8F3-4FD6F0B76D2E}">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2243" authorId="1" shapeId="0" xr:uid="{EEA07187-02F9-467F-9B13-25280F8DA572}">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2243" authorId="1" shapeId="0" xr:uid="{336EFDF1-1F7D-4C5C-B8DD-D36500C29CDC}">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2243" authorId="1" shapeId="0" xr:uid="{3E46FBDD-EC93-4A55-A92D-5876DB0BFF8C}">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2244" authorId="1" shapeId="0" xr:uid="{51DACEE3-578F-4518-91DE-6B269E6B9588}">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2244" authorId="1" shapeId="0" xr:uid="{5FEA6639-A7B3-4FE0-809F-61C374B7098F}">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2244" authorId="1" shapeId="0" xr:uid="{AABC5D2A-1A1C-4874-91F5-F9645C2C671F}">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2245" authorId="1" shapeId="0" xr:uid="{919D7284-A88C-48F1-8BFF-08209266715F}">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2245" authorId="1" shapeId="0" xr:uid="{FE9F0034-9F72-4AF8-B3B5-222265111F15}">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2245" authorId="1" shapeId="0" xr:uid="{7B955B89-C35A-4AAB-ABEA-DC451C075590}">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2246" authorId="0" shapeId="0" xr:uid="{4E0FF494-079A-47D7-9314-4746CA59A20D}">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2246" authorId="0" shapeId="0" xr:uid="{1E3289B2-0AF4-4B42-B382-DA962DABA6F2}">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2246" authorId="0" shapeId="0" xr:uid="{1CF5958C-3E95-487E-A015-7237143D6F82}">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2247" authorId="0" shapeId="0" xr:uid="{6630421A-8295-4DE5-8122-10AAF4CD0523}">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2247" authorId="0" shapeId="0" xr:uid="{0E9A5E50-A918-450E-B700-DA61F81C5525}">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2247" authorId="0" shapeId="0" xr:uid="{FE0B08FF-75BF-458E-B1C0-606FD981114E}">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2248" authorId="1" shapeId="0" xr:uid="{9E4A2B5F-A991-40E1-B5E9-00C7B0FC2DA1}">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2254" authorId="0" shapeId="0" xr:uid="{9CCD755A-4CDC-4E3F-97F4-A4856AECFBFD}">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2254" authorId="0" shapeId="0" xr:uid="{B0EC1D5C-6CCB-47BC-A0A5-34F3E67DA439}">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2254" authorId="0" shapeId="0" xr:uid="{6DF7EDCB-CF1F-4925-97D4-08A1C741121C}">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2255" authorId="0" shapeId="0" xr:uid="{A0715869-B511-49AA-9038-D546A9675AAF}">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2255" authorId="0" shapeId="0" xr:uid="{00CD3DFB-9486-46A8-B33B-4D8A14F26DC1}">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2255" authorId="0" shapeId="0" xr:uid="{CBE2FE51-4BD0-4558-8E13-2EAF6C9B301F}">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2256" authorId="0" shapeId="0" xr:uid="{DE8046E5-62CE-4A1B-9EDA-BDAF6A5A7A47}">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2256" authorId="0" shapeId="0" xr:uid="{A613425B-5B22-411A-8A9B-6D2D233F2059}">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2256" authorId="0" shapeId="0" xr:uid="{85EBDB81-3558-4AD7-A0A5-87403902BFB2}">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2257" authorId="0" shapeId="0" xr:uid="{F934BDDF-1100-49A0-A7C3-21BA91769910}">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2257" authorId="0" shapeId="0" xr:uid="{F8288361-C3B8-41EE-9415-6F78BD2AFCEF}">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2257" authorId="0" shapeId="0" xr:uid="{A13B4877-7C3A-4708-A89D-0C27D688218D}">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2258" authorId="1" shapeId="0" xr:uid="{14568752-1D15-4B6D-A2DB-BF8D27242F19}">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2258" authorId="1" shapeId="0" xr:uid="{DFB77BEA-5699-4A0F-B283-FF34E3F8C508}">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2258" authorId="1" shapeId="0" xr:uid="{8C3DE831-5220-46DE-8F3F-F6879B1BAEC4}">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2259" authorId="1" shapeId="0" xr:uid="{CCAD7541-EB5E-41BB-A605-86647C046C94}">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2259" authorId="1" shapeId="0" xr:uid="{9C1B87B7-D550-4D89-8E59-741D1B853695}">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2259" authorId="1" shapeId="0" xr:uid="{4A4EE3D7-4AE9-42DB-A552-B4881312D011}">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2260" authorId="1" shapeId="0" xr:uid="{8A355C87-E003-409C-86FA-ADBA4A48E904}">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2260" authorId="1" shapeId="0" xr:uid="{5CBD4C7E-B7C2-40EF-97B6-540CEE2CDFFB}">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2260" authorId="1" shapeId="0" xr:uid="{F8A9BB9B-992C-4863-99A1-2CF51EE53AB6}">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2261" authorId="0" shapeId="0" xr:uid="{11078DCB-A7C9-46DC-8AFF-70313DD6AD20}">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2261" authorId="0" shapeId="0" xr:uid="{E4BF9ED2-7E5A-486F-B680-8CEC89065E9A}">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2261" authorId="0" shapeId="0" xr:uid="{3F60B2B4-C530-414E-BD32-D5C16A21676F}">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2262" authorId="0" shapeId="0" xr:uid="{924A801F-97BF-47A0-ABEE-5A29CBB2C854}">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2262" authorId="0" shapeId="0" xr:uid="{4E6E1506-05DA-4B84-95C9-651D9DB31EFD}">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2262" authorId="0" shapeId="0" xr:uid="{B0C3CDDE-C4A6-40B3-913F-D7B33F6B9703}">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2263" authorId="1" shapeId="0" xr:uid="{DAFB01B6-BFE3-444C-A808-41C2537700C4}">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2269" authorId="0" shapeId="0" xr:uid="{7F721897-838D-4F7D-A86F-DDC16A19FE46}">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2269" authorId="0" shapeId="0" xr:uid="{F23A750A-767B-4908-9D23-4CC4F13464D7}">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2269" authorId="0" shapeId="0" xr:uid="{A3673D15-D7D3-4496-977C-BEEFFC794157}">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2270" authorId="0" shapeId="0" xr:uid="{A8F2318F-31A9-4706-AD5C-A292EFF41362}">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2270" authorId="0" shapeId="0" xr:uid="{73E08C61-3A21-4A80-9F80-FC81185B0079}">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2270" authorId="0" shapeId="0" xr:uid="{CF142690-3E9B-4F9B-9102-D91692EBB05A}">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2271" authorId="0" shapeId="0" xr:uid="{73082503-78D3-4DD7-86DB-69147AACE767}">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2271" authorId="0" shapeId="0" xr:uid="{CB0B1D02-5B78-479B-82E0-AD0859D0FE2A}">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2271" authorId="0" shapeId="0" xr:uid="{28F68FA0-49AB-46B0-9520-F9313D4190B6}">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2272" authorId="0" shapeId="0" xr:uid="{A57C460A-3790-4835-9A31-628BA5F5CAF1}">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2272" authorId="0" shapeId="0" xr:uid="{0842C0FE-3BD6-4F8B-9B24-AEC7DB3D193D}">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2272" authorId="0" shapeId="0" xr:uid="{6D3B589F-D1EA-4C4B-B61A-49A4E0A65A2F}">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2273" authorId="1" shapeId="0" xr:uid="{2A03A856-D2BD-4277-9453-C69DC83B137F}">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2273" authorId="1" shapeId="0" xr:uid="{ACB3C0D1-DA90-45E7-8B44-FCEC7C0B8CF6}">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2273" authorId="1" shapeId="0" xr:uid="{516CBB64-C792-4483-822E-C1753F431021}">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2274" authorId="1" shapeId="0" xr:uid="{7A711784-10D4-4A42-9E9E-BD47AB6170F2}">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2274" authorId="1" shapeId="0" xr:uid="{5FF5D667-4AF7-485E-8881-A12CDD780D17}">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2274" authorId="1" shapeId="0" xr:uid="{B2C9EF33-2F06-4DCE-963C-362C64562076}">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2275" authorId="1" shapeId="0" xr:uid="{EEE5CBC7-6256-4831-B485-9F302A8B02DF}">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2275" authorId="1" shapeId="0" xr:uid="{FE897DCC-FD90-46D9-87F4-59B39B9BB5A6}">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2275" authorId="1" shapeId="0" xr:uid="{2997C2B3-04F8-4993-BB02-EC7963EC95EF}">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2276" authorId="0" shapeId="0" xr:uid="{D5D067B2-14C5-419E-8565-2D2FA791FD53}">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2276" authorId="0" shapeId="0" xr:uid="{C8BABAA6-C459-4FA5-9261-8C72BE37793E}">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2276" authorId="0" shapeId="0" xr:uid="{452449E2-E0A8-4E97-B18F-9849BFCC196E}">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2277" authorId="0" shapeId="0" xr:uid="{0A4041E8-4BB4-43DD-997E-C565F64E5492}">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2277" authorId="0" shapeId="0" xr:uid="{3F673FB2-BAC0-44B2-9263-9BF64A66842C}">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2277" authorId="0" shapeId="0" xr:uid="{0ED1F363-7AC5-46ED-AF7F-B893E4886C57}">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2278" authorId="1" shapeId="0" xr:uid="{286B011F-9E00-4CD4-838E-8F0FE5B25FEE}">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2284" authorId="0" shapeId="0" xr:uid="{3888E491-3D9B-410C-AAA6-7474C2F64241}">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2284" authorId="0" shapeId="0" xr:uid="{E6E053D5-DEC9-4C49-8B5D-108C07CC393E}">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2284" authorId="0" shapeId="0" xr:uid="{8ED99980-7CAD-4F7A-9A08-284251B11842}">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2285" authorId="0" shapeId="0" xr:uid="{20ED3192-7FF7-4B62-9679-90D3E6FE6E44}">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2285" authorId="0" shapeId="0" xr:uid="{212F9D02-01AD-4D8A-9335-74381B73D31A}">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2285" authorId="0" shapeId="0" xr:uid="{4D9B8FF2-CD8B-4E86-941C-0414B2A9DBB1}">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2286" authorId="0" shapeId="0" xr:uid="{2C7DDA24-1BF1-4B2A-9B07-BB96A50DAE45}">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2286" authorId="0" shapeId="0" xr:uid="{2572B9FD-545F-4944-84CE-37B528EF981D}">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2286" authorId="0" shapeId="0" xr:uid="{1326A614-EE73-4C34-BE14-0AF594BBA250}">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2287" authorId="0" shapeId="0" xr:uid="{8FCF2EC2-BBB6-4458-A51A-93D362013061}">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2287" authorId="0" shapeId="0" xr:uid="{28407D25-CCF6-404D-886A-41D68F4E34B1}">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2287" authorId="0" shapeId="0" xr:uid="{A3BCAF57-05F1-4C13-ACFB-C179CD5482EC}">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2288" authorId="1" shapeId="0" xr:uid="{59BF031B-F1E3-46FB-B236-FC615E7D8B13}">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2288" authorId="1" shapeId="0" xr:uid="{EF1B8AFD-6806-49EB-9809-DAB1D47793A3}">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2288" authorId="1" shapeId="0" xr:uid="{50543CED-8032-4B5F-9C44-44F3E269E9FD}">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2289" authorId="1" shapeId="0" xr:uid="{7B496278-B0FE-4F6C-BF4E-E0ED9E8C2AC2}">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2289" authorId="1" shapeId="0" xr:uid="{83156868-90A7-45A3-A427-6B5A3C2E9E23}">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2289" authorId="1" shapeId="0" xr:uid="{EBEE1365-53B0-4E57-A8A1-BA3D9C3500E6}">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2290" authorId="1" shapeId="0" xr:uid="{4CE1CC24-FE1E-426C-875E-466B4196AA58}">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2290" authorId="1" shapeId="0" xr:uid="{21ED795E-3674-49E0-BC09-9697C0266117}">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2290" authorId="1" shapeId="0" xr:uid="{E219A0F1-38EA-41CD-92D6-7A7F7B9ECAC3}">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2291" authorId="0" shapeId="0" xr:uid="{F80E8AC2-75E2-46C7-AA72-BB58481A5485}">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2291" authorId="0" shapeId="0" xr:uid="{82290860-19A6-4C45-A385-4649979F3DEA}">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2291" authorId="0" shapeId="0" xr:uid="{E4444BC9-FFED-4B86-85DF-2E44BF0845AE}">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2292" authorId="0" shapeId="0" xr:uid="{32CD79FA-993E-4CCD-80DE-4F8D7C1B0D57}">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2292" authorId="0" shapeId="0" xr:uid="{07327E23-3940-45EA-A435-A9304013AAEA}">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2292" authorId="0" shapeId="0" xr:uid="{CCF5E1D4-8C6C-4234-A7FA-9097FC2306C6}">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2293" authorId="1" shapeId="0" xr:uid="{66C074DA-7EC3-487C-A452-D0739947E47B}">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2299" authorId="0" shapeId="0" xr:uid="{986DDDE7-D613-4E7B-A83E-19578199BB03}">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2299" authorId="0" shapeId="0" xr:uid="{6406F98D-2476-455E-AE16-9124D6AD39F0}">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2299" authorId="0" shapeId="0" xr:uid="{B938FCA3-968A-4CAC-8FD3-513EA12A91B2}">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2300" authorId="0" shapeId="0" xr:uid="{E1D63E59-ED6C-43B8-AF08-6F0BE20D0739}">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2300" authorId="0" shapeId="0" xr:uid="{9917FDA5-CE57-44FB-9FAB-93B0D653E863}">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2300" authorId="0" shapeId="0" xr:uid="{AAD3A2C8-936D-4605-819F-F8325016C308}">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2301" authorId="0" shapeId="0" xr:uid="{B864234B-30D7-448D-AF78-98CD938DA793}">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2301" authorId="0" shapeId="0" xr:uid="{A22AD26B-7B2D-48EA-9584-9C2483C27E56}">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2301" authorId="0" shapeId="0" xr:uid="{C9DD2BDF-F4B1-4FF2-BA3C-3D648CA36C9B}">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2302" authorId="0" shapeId="0" xr:uid="{800952FD-0CC3-495D-B671-B6DF93A9C794}">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2302" authorId="0" shapeId="0" xr:uid="{39AFEB39-EBB3-422E-87C2-B391B4DD392C}">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2302" authorId="0" shapeId="0" xr:uid="{132F6FF7-64B1-4BA5-B24F-B65EDE019398}">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2303" authorId="1" shapeId="0" xr:uid="{22BEE979-F0B7-4A9D-B72A-1ECD7B33898B}">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2303" authorId="1" shapeId="0" xr:uid="{389D8FF5-7D7F-4746-B3EB-8E515F907EDA}">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2303" authorId="1" shapeId="0" xr:uid="{81A41906-BC5A-42A8-B33E-063264942218}">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2304" authorId="1" shapeId="0" xr:uid="{386F3F9C-2284-46A6-9F20-A3684EBBF316}">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2304" authorId="1" shapeId="0" xr:uid="{E597C429-D691-4768-A0DD-B9A099B44AC3}">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2304" authorId="1" shapeId="0" xr:uid="{8FD62208-F568-4EA5-A12A-2D41A6934341}">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2305" authorId="1" shapeId="0" xr:uid="{6C5D7ECC-6C74-49C2-A893-BECF00D8CF32}">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2305" authorId="1" shapeId="0" xr:uid="{6E63BD8B-8738-4B48-B608-F712A2B912C0}">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2305" authorId="1" shapeId="0" xr:uid="{BD4D6D36-E07F-4F18-B1A7-81FA8671E0ED}">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2306" authorId="0" shapeId="0" xr:uid="{4C3C6799-EF1E-499D-A9F6-D94DDFC3AD91}">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2306" authorId="0" shapeId="0" xr:uid="{DFA29893-A31A-4E87-92EF-C433F14B95A6}">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2306" authorId="0" shapeId="0" xr:uid="{A93BB63E-7E57-46F4-A194-61E03144068A}">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2307" authorId="0" shapeId="0" xr:uid="{ADF1D2A1-8A03-400C-95D3-2D7CF8B4CED6}">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2307" authorId="0" shapeId="0" xr:uid="{86C7F79F-029C-49F0-9DE0-7AFDE68E683E}">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2307" authorId="0" shapeId="0" xr:uid="{BCE7F486-651F-41A2-9CEF-D6FDEE6663B3}">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2308" authorId="1" shapeId="0" xr:uid="{EC13FD04-87E7-4018-A7CE-B29CB9925A8F}">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2314" authorId="0" shapeId="0" xr:uid="{0C24950C-7E8E-4157-8E6A-E769922EC27D}">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2314" authorId="0" shapeId="0" xr:uid="{0D534DB5-667B-4402-9530-76797BE6351B}">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2314" authorId="0" shapeId="0" xr:uid="{D9CEDFF3-66F6-466A-8E57-966FCD697E54}">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2315" authorId="0" shapeId="0" xr:uid="{AE6BB59A-29C2-4894-B3C4-F68936F7226F}">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2315" authorId="0" shapeId="0" xr:uid="{3DC48F6D-4348-4E79-B745-DF97215314DE}">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2315" authorId="0" shapeId="0" xr:uid="{189FA60B-F521-4F84-8645-67D77FBADA0E}">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2316" authorId="0" shapeId="0" xr:uid="{CCDC2F3B-5092-4C18-A448-B123B8C534EE}">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2316" authorId="0" shapeId="0" xr:uid="{80004511-EC90-42A8-AA25-A52B9B3E9CF2}">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2316" authorId="0" shapeId="0" xr:uid="{2D98D61E-CD4E-431E-9ACE-F86D04660DB6}">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2317" authorId="0" shapeId="0" xr:uid="{B9BBB8AC-AA7C-4A42-9107-1857AD82AC20}">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2317" authorId="0" shapeId="0" xr:uid="{E41C9C5E-0C0E-4CD9-87DC-B84158CE04D3}">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2317" authorId="0" shapeId="0" xr:uid="{A9D5678A-0A37-4275-8989-A99E6DCDA4C4}">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2318" authorId="1" shapeId="0" xr:uid="{08D85DE4-ACB0-45F7-82E6-72E73902D7D6}">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2318" authorId="1" shapeId="0" xr:uid="{2932C5D5-DDFC-432A-B289-E230647D70DE}">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2318" authorId="1" shapeId="0" xr:uid="{EC1B29A9-5F93-4DEA-8573-16B85DDCEF27}">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2319" authorId="1" shapeId="0" xr:uid="{B4071279-278B-41ED-B9C5-BDF8885481B2}">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2319" authorId="1" shapeId="0" xr:uid="{BA672E8B-F856-4EDB-A43D-102331CFD889}">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2319" authorId="1" shapeId="0" xr:uid="{1771BD52-F660-4D88-89D1-C23C0D5B441E}">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2320" authorId="1" shapeId="0" xr:uid="{510183ED-6C56-42DD-82C6-72EB8A946E93}">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2320" authorId="1" shapeId="0" xr:uid="{D4FFBFCA-98F1-4110-BEB5-EB1F6C28DE22}">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2320" authorId="1" shapeId="0" xr:uid="{FE2213A0-1942-434A-B5B1-CC728F1CE574}">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2321" authorId="0" shapeId="0" xr:uid="{706658AC-208C-44A7-9CBD-D93E2D1152DA}">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2321" authorId="0" shapeId="0" xr:uid="{396CC36C-17F5-4ED0-BBDC-5EF2C4CA5B5A}">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2321" authorId="0" shapeId="0" xr:uid="{59B15405-2545-46C8-BB2D-4BFFED850625}">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2322" authorId="0" shapeId="0" xr:uid="{543E112C-1639-46B6-83CF-4281E180DE44}">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2322" authorId="0" shapeId="0" xr:uid="{2E0845FA-C215-4CD7-8E7A-C6BDF3436EE0}">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2322" authorId="0" shapeId="0" xr:uid="{42708A4A-A76F-4ABC-AEE1-B7C3705665D3}">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2323" authorId="1" shapeId="0" xr:uid="{8A962DE2-51FF-4333-9111-AE8C060E5544}">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2329" authorId="0" shapeId="0" xr:uid="{E7A82DF1-9D0F-469B-9E76-1DE6DA422A67}">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2329" authorId="0" shapeId="0" xr:uid="{6B2C1A71-FAA7-4944-BEA2-321F625C27B2}">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2329" authorId="0" shapeId="0" xr:uid="{C133CFF2-AE0C-46F8-A3AF-7175751D204C}">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2330" authorId="0" shapeId="0" xr:uid="{B3FEF5F0-0324-47F3-B01F-E2D06853733D}">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2330" authorId="0" shapeId="0" xr:uid="{383B463B-E3AF-43AD-9F13-EE4A7DDBEEBA}">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2330" authorId="0" shapeId="0" xr:uid="{060E5735-FC27-43BA-A5FC-FE3BBA8A54A4}">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2331" authorId="0" shapeId="0" xr:uid="{584FB063-5023-4C62-B2C9-2D3DAAE2A52A}">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2331" authorId="0" shapeId="0" xr:uid="{CE1949CC-5410-470E-A651-84C44B449E23}">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2331" authorId="0" shapeId="0" xr:uid="{11F06C9B-6E28-4312-938A-26C9057B5CDA}">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2332" authorId="0" shapeId="0" xr:uid="{29E59E45-822D-4217-AD7D-149F978A48A4}">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2332" authorId="0" shapeId="0" xr:uid="{26F074F7-BF96-48EE-8295-11F008D96957}">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2332" authorId="0" shapeId="0" xr:uid="{10768949-E4D5-4B83-A5B7-C0DD16B53DA2}">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2333" authorId="1" shapeId="0" xr:uid="{78E3FDCB-24B9-48AD-B11F-337FA3074EA3}">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2333" authorId="1" shapeId="0" xr:uid="{850FAE3F-78AF-49C8-BEB7-95204AABDB48}">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2333" authorId="1" shapeId="0" xr:uid="{B4EC96D3-288A-44E8-AA09-2919768424AC}">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2334" authorId="1" shapeId="0" xr:uid="{5CB1DFF3-CDB2-4FE2-B56D-9D6F6DA04600}">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2334" authorId="1" shapeId="0" xr:uid="{627DC41A-E8C2-48F7-BA8F-A047B00D5602}">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2334" authorId="1" shapeId="0" xr:uid="{9F2C6D63-6DF1-431D-96F4-80DE876AB2CB}">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2335" authorId="1" shapeId="0" xr:uid="{0A77D043-474E-4E11-BAA7-2D7C1CCB6E7C}">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2335" authorId="1" shapeId="0" xr:uid="{FD7EFAD6-A48C-4C06-B085-CB8D53D768EB}">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2335" authorId="1" shapeId="0" xr:uid="{E4ED2D58-BF7C-41E0-A5C7-67A64942F359}">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2336" authorId="0" shapeId="0" xr:uid="{828105A4-21AF-4008-A77D-B9DBBEDEDF1C}">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2336" authorId="0" shapeId="0" xr:uid="{CD63BE1C-EB89-4A20-BCC0-1E8F0FE60E45}">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2336" authorId="0" shapeId="0" xr:uid="{D8C19877-116C-49C6-B302-FA07E59947F9}">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2337" authorId="0" shapeId="0" xr:uid="{F0A81207-C64C-436D-8159-0D65A41BAEDB}">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2337" authorId="0" shapeId="0" xr:uid="{D9A82E7E-1654-48DE-8E02-1689A071729D}">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2337" authorId="0" shapeId="0" xr:uid="{87C6E5EA-747F-4B70-B4AF-F127A1D025D9}">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2338" authorId="1" shapeId="0" xr:uid="{E9CBC384-2CFD-435C-9F1C-EE06776E1175}">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2344" authorId="0" shapeId="0" xr:uid="{4D811B9B-4EC1-4427-A4FD-84C28F94F314}">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2344" authorId="0" shapeId="0" xr:uid="{8882D43F-685C-406C-A4B9-F1FDCCE6BAB9}">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2344" authorId="0" shapeId="0" xr:uid="{44FF5485-96CB-45E9-BF0C-C24186FB6376}">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2345" authorId="0" shapeId="0" xr:uid="{D061F57F-295E-47BD-9C02-3BFC51EE03A0}">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2345" authorId="0" shapeId="0" xr:uid="{31FA3E74-6B9E-47B5-B255-60B3018062E7}">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2345" authorId="0" shapeId="0" xr:uid="{285871BE-8615-4FAC-AF43-246DE22C46AB}">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2346" authorId="0" shapeId="0" xr:uid="{01DA542A-4EB8-4234-B0F1-4F0210CD3B28}">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2346" authorId="0" shapeId="0" xr:uid="{1A6611E0-443D-4477-BDCF-F390E8C7CB61}">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2346" authorId="0" shapeId="0" xr:uid="{9240DDBB-8064-4EDA-BB9A-3D40793A0494}">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2347" authorId="0" shapeId="0" xr:uid="{17CEAF70-DD60-47C1-AA1D-041303E2BD4C}">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2347" authorId="0" shapeId="0" xr:uid="{28908584-61EA-42CE-A57A-943530B35804}">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2347" authorId="0" shapeId="0" xr:uid="{212A38F4-FBB3-4FC9-8887-C1CDCD367F4C}">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2348" authorId="1" shapeId="0" xr:uid="{6F166D4F-B3FA-485F-9DD8-B37A1F4FEF82}">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2348" authorId="1" shapeId="0" xr:uid="{724EF3DE-7512-4F34-B49E-E0630FA72BF6}">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2348" authorId="1" shapeId="0" xr:uid="{A2713CF0-81D9-4B66-9F75-30BACB75AF0E}">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2349" authorId="1" shapeId="0" xr:uid="{E7D5087B-E24C-49C4-A68D-367798D6C9A1}">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2349" authorId="1" shapeId="0" xr:uid="{15B90F57-7149-421B-B43C-45C1D4BCBCDE}">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2349" authorId="1" shapeId="0" xr:uid="{C0A007CB-FBA5-4CEC-BE85-3427B34EA13B}">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2350" authorId="1" shapeId="0" xr:uid="{56576A86-03E7-42EC-95B2-61AEAD26F468}">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2350" authorId="1" shapeId="0" xr:uid="{34DA2E96-1DBE-4E02-B899-8F41681CFF3E}">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2350" authorId="1" shapeId="0" xr:uid="{67880360-1179-4D18-9EDB-6AF463379565}">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2351" authorId="0" shapeId="0" xr:uid="{22362D85-C142-46C6-A521-6E22CD92C968}">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2351" authorId="0" shapeId="0" xr:uid="{70A80ACC-9C35-4BD4-A655-C48708285F99}">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2351" authorId="0" shapeId="0" xr:uid="{DBDADCE1-48B3-46C0-B486-9B40561BC7A5}">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2352" authorId="0" shapeId="0" xr:uid="{CD7532A0-7F4F-4C58-A5AD-9937FD9CC49D}">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2352" authorId="0" shapeId="0" xr:uid="{AC51BA74-93A2-4519-9ED0-36F44944B565}">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2352" authorId="0" shapeId="0" xr:uid="{B6B1C011-5E9A-4F2D-A084-7BBEFE6459AD}">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2353" authorId="1" shapeId="0" xr:uid="{DB929DD7-7D84-4038-9D88-456905AF7133}">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2359" authorId="0" shapeId="0" xr:uid="{48DC9FF5-0702-4812-9AEE-29BBC9917699}">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2359" authorId="0" shapeId="0" xr:uid="{6DC95DDB-B308-477C-8170-D09B83FF9B00}">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2359" authorId="0" shapeId="0" xr:uid="{636BB2C5-4834-46EB-93BE-B80283B789BA}">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2360" authorId="0" shapeId="0" xr:uid="{EE0710A4-B20E-4A1D-8C70-B286057E8B9E}">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2360" authorId="0" shapeId="0" xr:uid="{D8DEBD0B-37A1-4F2C-A002-BF2D1CC1159E}">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2360" authorId="0" shapeId="0" xr:uid="{44B9CBBC-3F81-42AA-918A-FF79F39D773E}">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2361" authorId="0" shapeId="0" xr:uid="{1F5E67BF-7AD4-4EA6-8EDF-DA67C0559008}">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2361" authorId="0" shapeId="0" xr:uid="{C8A68935-C0BF-40E1-8F40-603BB2793D9F}">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2361" authorId="0" shapeId="0" xr:uid="{96EBEF20-6D41-4BC5-B683-464292E7627F}">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2362" authorId="0" shapeId="0" xr:uid="{0C974008-8829-4BDD-B8F4-93A5C735B5B6}">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2362" authorId="0" shapeId="0" xr:uid="{F996E1D9-C312-45FF-9B35-D209469DA996}">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2362" authorId="0" shapeId="0" xr:uid="{51737A06-72E1-4CA7-9AE1-7CB5E38DDBE0}">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2363" authorId="1" shapeId="0" xr:uid="{663929AF-8470-4CAE-A257-3C9A20555BF4}">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2363" authorId="1" shapeId="0" xr:uid="{CDDD12AE-3517-40EE-9BA9-7CBAAD486955}">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2363" authorId="1" shapeId="0" xr:uid="{00303724-1640-450D-84B3-64130CD0A131}">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2364" authorId="1" shapeId="0" xr:uid="{0DC9CC99-F993-4929-A820-90FBDAE74C87}">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2364" authorId="1" shapeId="0" xr:uid="{E048D357-FC39-490A-BBC4-8D9CB945F991}">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2364" authorId="1" shapeId="0" xr:uid="{B0265EDE-D245-4683-B746-A5A19768E41A}">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2365" authorId="1" shapeId="0" xr:uid="{55FE556A-A253-4BF5-BCD3-83484BB3E6CE}">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2365" authorId="1" shapeId="0" xr:uid="{5C2BED7B-BDF1-4FD9-865F-49359E4DD8A8}">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2365" authorId="1" shapeId="0" xr:uid="{212F4379-95E3-438D-861D-57268B013917}">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2366" authorId="0" shapeId="0" xr:uid="{4FEF2D18-BEFC-49CE-86FE-69EC7B8FD88C}">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2366" authorId="0" shapeId="0" xr:uid="{36C3BA9B-FCC0-4F32-B6F6-4C80BEE703CC}">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2366" authorId="0" shapeId="0" xr:uid="{98886EF8-84EB-473C-98EC-C450A680E568}">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2367" authorId="0" shapeId="0" xr:uid="{519130B1-B2DB-4531-89CB-D1230CA28C7F}">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2367" authorId="0" shapeId="0" xr:uid="{CD68445D-71BF-4E05-94BC-D1B71AFB752D}">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2367" authorId="0" shapeId="0" xr:uid="{A998A287-FE16-446A-BAA1-9D1E67867206}">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2368" authorId="1" shapeId="0" xr:uid="{6EB01B4B-62CA-4DA9-B7E9-832C50AFDD89}">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2374" authorId="0" shapeId="0" xr:uid="{4279D3EC-5AEE-471F-BF55-56AF3C1CFB28}">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2374" authorId="0" shapeId="0" xr:uid="{84C68763-3163-410B-9EC0-F151B3529C0B}">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2374" authorId="0" shapeId="0" xr:uid="{7BF3C0FB-4A62-4419-B431-0649A2B797CE}">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2375" authorId="0" shapeId="0" xr:uid="{BD542321-ED10-4B8C-BCAA-53725A94EB42}">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2375" authorId="0" shapeId="0" xr:uid="{AE4E845A-E9F6-49CB-B143-E7F8AE0B6EDE}">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2375" authorId="0" shapeId="0" xr:uid="{073DA7EF-C4C4-4899-AA5C-8F58F66A8196}">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2376" authorId="0" shapeId="0" xr:uid="{4C5AA2F4-4B6F-46DD-90AD-1F510C6CE6EF}">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2376" authorId="0" shapeId="0" xr:uid="{00170A2D-AFBA-4533-803F-E3C2421F77BF}">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2376" authorId="0" shapeId="0" xr:uid="{A87B2A64-6126-47D0-9752-569E2109BEDA}">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2377" authorId="0" shapeId="0" xr:uid="{CB0DADC7-FC77-401D-82F4-8426D3105603}">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2377" authorId="0" shapeId="0" xr:uid="{5756D4C5-0052-4C06-A1A7-8A6E758FABC1}">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2377" authorId="0" shapeId="0" xr:uid="{3BC66E99-C8AB-47FF-A7AB-5B15A6CFC0B5}">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2378" authorId="1" shapeId="0" xr:uid="{DA44B24F-1461-48B5-9C1C-3FB142D5D2A2}">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2378" authorId="1" shapeId="0" xr:uid="{C6E9BD82-C2C9-484F-A75E-EDFB2E33F520}">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2378" authorId="1" shapeId="0" xr:uid="{7E6EDF5C-543F-4200-8A61-84C6774A5386}">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2379" authorId="1" shapeId="0" xr:uid="{3C171A79-EAFA-4620-BA1D-16E7921195DA}">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2379" authorId="1" shapeId="0" xr:uid="{667239E8-3986-4179-AE13-3E5B3D751017}">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2379" authorId="1" shapeId="0" xr:uid="{85512A87-8BA6-4645-838F-1C8399A6DC4F}">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2380" authorId="1" shapeId="0" xr:uid="{85EA84B0-7509-4129-BE0C-4013832649A9}">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2380" authorId="1" shapeId="0" xr:uid="{A167B4EE-68AB-471A-A651-81B7B3D7319A}">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2380" authorId="1" shapeId="0" xr:uid="{639759E6-AE38-42E4-A1D6-7198127273DF}">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2381" authorId="0" shapeId="0" xr:uid="{6D730679-E674-45F9-9B98-A40EA350D544}">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2381" authorId="0" shapeId="0" xr:uid="{0AA35231-2064-46BE-9B3C-558906449832}">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2381" authorId="0" shapeId="0" xr:uid="{B2968BEF-170B-4155-A847-3EF055BDFB44}">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2382" authorId="0" shapeId="0" xr:uid="{C5105837-B164-4B66-9AEC-8CD31874FC48}">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2382" authorId="0" shapeId="0" xr:uid="{05752522-189C-4581-9257-60BB59ABCF10}">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2382" authorId="0" shapeId="0" xr:uid="{B7789559-B329-416C-9DEA-F8DDDD6FA44F}">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2383" authorId="1" shapeId="0" xr:uid="{59A738EB-3889-4934-85C1-F8CA5D44280C}">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2389" authorId="0" shapeId="0" xr:uid="{1BEF1DCF-D668-4AC1-9EAE-036CCD4E8920}">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2389" authorId="0" shapeId="0" xr:uid="{77EE36EF-2105-4649-9B7B-46D5CBFA4D5A}">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2389" authorId="0" shapeId="0" xr:uid="{33684B60-D591-4A51-8BF1-72BC8EB66420}">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2390" authorId="0" shapeId="0" xr:uid="{6AADBCCF-45FD-4F80-8198-31557FC94840}">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2390" authorId="0" shapeId="0" xr:uid="{09F18368-0DFA-4DE5-B705-3F4496073BE4}">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2390" authorId="0" shapeId="0" xr:uid="{7EBDC868-40A4-45F1-94C5-D52C6DB21CF5}">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2391" authorId="0" shapeId="0" xr:uid="{A078E5B7-E124-4104-AA8A-45E87A3FF8FE}">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2391" authorId="0" shapeId="0" xr:uid="{D9E52D88-6BD3-4286-BF10-7715F505435E}">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2391" authorId="0" shapeId="0" xr:uid="{9CCCB05D-F762-44D1-9253-0D93F1A57B8B}">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2392" authorId="0" shapeId="0" xr:uid="{60874D3E-08D5-488F-B7BD-273CA1AD3D3D}">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2392" authorId="0" shapeId="0" xr:uid="{B348B6F3-FC47-45FC-AA26-3FF257D6EDE7}">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2392" authorId="0" shapeId="0" xr:uid="{6576E49B-4B35-4DDB-AE0B-A3FF3CEED03A}">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2393" authorId="1" shapeId="0" xr:uid="{7FAC1917-257E-4BC2-95AB-FE97564D7DFB}">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2393" authorId="1" shapeId="0" xr:uid="{31B1957F-3AF8-4258-999C-D70DCF63E0B5}">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2393" authorId="1" shapeId="0" xr:uid="{C023B0CD-4427-4696-8151-39EA98F3B52E}">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2394" authorId="1" shapeId="0" xr:uid="{CEAB2D1C-C8A9-4286-B5EB-784CFA0C6A7C}">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2394" authorId="1" shapeId="0" xr:uid="{418FF822-1DE0-42FD-AD55-726C45C289AF}">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2394" authorId="1" shapeId="0" xr:uid="{38366139-7097-4B82-8782-8F072F99829F}">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2395" authorId="1" shapeId="0" xr:uid="{670EBC13-25FB-4948-A0F1-BB6ECE2777E6}">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2395" authorId="1" shapeId="0" xr:uid="{644903BA-992C-48F7-9C24-72A06B62E555}">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2395" authorId="1" shapeId="0" xr:uid="{8D2FF218-60FD-4859-A559-6AD2EA1A0A4B}">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2396" authorId="0" shapeId="0" xr:uid="{139304E2-9D0E-4884-BE19-405D9FC744C2}">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2396" authorId="0" shapeId="0" xr:uid="{7605FE51-6087-4E5C-9B31-319159459CF6}">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2396" authorId="0" shapeId="0" xr:uid="{508CAA47-79C9-473D-8E7A-3F4AB91707C7}">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2397" authorId="0" shapeId="0" xr:uid="{29B48FDE-BB2F-4D85-BC12-B11928688A8F}">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2397" authorId="0" shapeId="0" xr:uid="{53642688-83B6-4F9E-BF6B-1FF91CB4A8CC}">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2397" authorId="0" shapeId="0" xr:uid="{E460CEDE-F746-4420-B9EC-A4CBEFA36227}">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2398" authorId="1" shapeId="0" xr:uid="{25A0D541-0B46-4D10-B391-67408660660F}">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2404" authorId="0" shapeId="0" xr:uid="{3E58556B-50A4-418A-BB8F-86C50A8CEFC0}">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2404" authorId="0" shapeId="0" xr:uid="{BC420568-4B73-47C7-A75B-B8DBD175419C}">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2404" authorId="0" shapeId="0" xr:uid="{F788733F-6BF2-431E-88F6-A1CA48092457}">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2405" authorId="0" shapeId="0" xr:uid="{FF00E66F-D939-4807-AE06-79866300EEA0}">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2405" authorId="0" shapeId="0" xr:uid="{6757563A-0031-40A7-B5C6-617C46F82A44}">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2405" authorId="0" shapeId="0" xr:uid="{BCB2E6AF-E972-4ADA-A4C0-933F09A9BBAA}">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2406" authorId="0" shapeId="0" xr:uid="{EEDD0BF1-87F2-4A5B-A66A-2E6F3A4F5338}">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2406" authorId="0" shapeId="0" xr:uid="{EC49D513-9FCE-492F-8506-9F9E1D6BB325}">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2406" authorId="0" shapeId="0" xr:uid="{BC92C4CD-53AA-4BD6-B5D7-E04A809A005D}">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2407" authorId="0" shapeId="0" xr:uid="{93F1097C-1A05-4F47-8F3D-25EDF412F8CB}">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2407" authorId="0" shapeId="0" xr:uid="{B56AF0A7-9FA5-4404-9297-C3A57453691E}">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2407" authorId="0" shapeId="0" xr:uid="{52069841-3D64-4475-83EB-934B45F99CB3}">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2408" authorId="1" shapeId="0" xr:uid="{142FE37B-E344-420C-9B2F-7E99317650AE}">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2408" authorId="1" shapeId="0" xr:uid="{45436C9D-5C46-4E90-82F5-96D364CECECB}">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2408" authorId="1" shapeId="0" xr:uid="{E326F900-5341-4330-8F39-6244B32D2122}">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2409" authorId="1" shapeId="0" xr:uid="{22BAB843-5257-451F-940D-C781D23B9E39}">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2409" authorId="1" shapeId="0" xr:uid="{24F26AFD-B775-4AD1-B462-88ABEC28F4FE}">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2409" authorId="1" shapeId="0" xr:uid="{6F8FFA8C-A5F5-4F78-96EE-5AD8021F511A}">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2410" authorId="1" shapeId="0" xr:uid="{1AE6BAC5-D3DA-4B50-9DFE-936E8FE17684}">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2410" authorId="1" shapeId="0" xr:uid="{F886B5BD-BC14-4B18-BE59-ED2AF8BDE9D3}">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2410" authorId="1" shapeId="0" xr:uid="{7251EAD7-D330-4BA1-B6B9-D6112CA5CEF9}">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2411" authorId="0" shapeId="0" xr:uid="{61DCA5B0-802E-4080-84B0-B6A58C1B4DEC}">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2411" authorId="0" shapeId="0" xr:uid="{0CBAD312-30F1-4160-986C-AD8780A23703}">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2411" authorId="0" shapeId="0" xr:uid="{4E06385A-5942-49AE-AEB4-D2833C6B5359}">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2412" authorId="0" shapeId="0" xr:uid="{C54D03B1-C8B3-4370-8685-BBFC01253BDC}">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2412" authorId="0" shapeId="0" xr:uid="{C03462A4-A253-4027-AF8D-BE34BC477531}">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2412" authorId="0" shapeId="0" xr:uid="{45725E9B-B793-4F47-8BE7-29BA9078E480}">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2413" authorId="1" shapeId="0" xr:uid="{18D701B6-0798-452D-AC2B-E4C8DF2B20D3}">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2419" authorId="0" shapeId="0" xr:uid="{B88C3EC7-5F41-4089-8D5E-74A70C3BBFDF}">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2419" authorId="0" shapeId="0" xr:uid="{9FC6D99C-4FDB-4EC0-AA75-8C6C3DECF98F}">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2419" authorId="0" shapeId="0" xr:uid="{35ED01F7-F59F-4370-9E30-9CC2FB9CE2AC}">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2420" authorId="0" shapeId="0" xr:uid="{E9091754-066A-4034-90DD-0A6C3ECDC973}">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2420" authorId="0" shapeId="0" xr:uid="{C1AE60B8-1855-406A-8CD9-BC38F164EBA3}">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2420" authorId="0" shapeId="0" xr:uid="{18A440F4-0F4F-49EC-88BB-551C502F9AFB}">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2421" authorId="0" shapeId="0" xr:uid="{DBCA6B01-2241-4098-96AE-B865E0E7B6F5}">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2421" authorId="0" shapeId="0" xr:uid="{AD699027-B732-4203-9737-D832263EAFF0}">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2421" authorId="0" shapeId="0" xr:uid="{98275159-4A4C-421D-B952-01C147D8A0FA}">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2422" authorId="0" shapeId="0" xr:uid="{E2CD45F0-D534-49F9-AB6E-4C98278E3D4B}">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2422" authorId="0" shapeId="0" xr:uid="{EA79FA4F-A9BD-4745-B6D2-3DABF5D63B2F}">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2422" authorId="0" shapeId="0" xr:uid="{93F0828A-E491-4C6E-8121-1ECD80602939}">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2423" authorId="1" shapeId="0" xr:uid="{D812D2CB-46AF-4975-A235-9748F1FBB37C}">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2423" authorId="1" shapeId="0" xr:uid="{E5505F6E-52F1-47ED-BADA-3CB6DDB64320}">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2423" authorId="1" shapeId="0" xr:uid="{8CFC521C-9D96-4600-9AF6-87BF0FB1A3F1}">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2424" authorId="1" shapeId="0" xr:uid="{D75F3005-E8E2-4FA6-933F-64BD3582E60B}">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2424" authorId="1" shapeId="0" xr:uid="{5913B8A7-3F46-4B73-BD7B-BE30C874DEF6}">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2424" authorId="1" shapeId="0" xr:uid="{66B66DC7-E5FB-4D8E-80CC-5F45C960728C}">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2425" authorId="1" shapeId="0" xr:uid="{7F818409-8A14-41BE-AC80-8821ADCC0A27}">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2425" authorId="1" shapeId="0" xr:uid="{9F497E35-8AA2-46E6-B6D5-CFD8362195CC}">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2425" authorId="1" shapeId="0" xr:uid="{9DECB96E-2B93-459D-8F6B-23FE83604209}">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2426" authorId="0" shapeId="0" xr:uid="{A2B349A2-FFA6-40D7-9BF6-3684CB7CAEFE}">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2426" authorId="0" shapeId="0" xr:uid="{6CF380A0-9C05-444F-B29F-8EBAD478F8CF}">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2426" authorId="0" shapeId="0" xr:uid="{E182FC74-4AFB-45D0-9FAF-4257269A0FED}">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2427" authorId="0" shapeId="0" xr:uid="{728BBD8F-F679-4BAB-84E7-344B8D937FC6}">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2427" authorId="0" shapeId="0" xr:uid="{C08E4D97-3FBE-41F8-8791-219AA1567089}">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2427" authorId="0" shapeId="0" xr:uid="{D1C197AA-2AD8-4590-8FDE-EE919B0FEC32}">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2428" authorId="1" shapeId="0" xr:uid="{6CF0215E-80B5-451D-AF9C-1B5BA364083D}">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2434" authorId="0" shapeId="0" xr:uid="{45B745AD-68E2-4D8B-940D-F8D06504155E}">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2434" authorId="0" shapeId="0" xr:uid="{0A4A4DD3-7A94-4DB8-9B4A-DFA209994D74}">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2434" authorId="0" shapeId="0" xr:uid="{ABE8FBD6-DA7A-4EF5-8A0C-1CDC3B8BC36D}">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2435" authorId="0" shapeId="0" xr:uid="{ADCCA88E-70F9-4E67-8421-2B81C4BEB1A9}">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2435" authorId="0" shapeId="0" xr:uid="{523F43FA-38DA-48E1-84DB-B74F9469EC19}">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2435" authorId="0" shapeId="0" xr:uid="{04847052-E010-4B85-BF04-9F6985C8549B}">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2436" authorId="0" shapeId="0" xr:uid="{A40C783A-7EF5-47C3-8142-21372E1A56E2}">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2436" authorId="0" shapeId="0" xr:uid="{CF0A2C54-F316-430B-9DCB-817D39B06101}">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2436" authorId="0" shapeId="0" xr:uid="{9FC32F52-3328-4AC5-908E-774E239CF590}">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2437" authorId="0" shapeId="0" xr:uid="{FEECA9E7-4816-4E7B-9088-78AE2E85650D}">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2437" authorId="0" shapeId="0" xr:uid="{1B748784-1E12-4434-9CF4-1493FF5591D8}">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2437" authorId="0" shapeId="0" xr:uid="{B69E453A-2655-4B37-92A0-9BEE2D165DAA}">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2438" authorId="1" shapeId="0" xr:uid="{704F8985-EA80-478B-950B-94FFA09C0EEB}">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2438" authorId="1" shapeId="0" xr:uid="{CC89EF9D-81FA-4381-B480-9799E6DED834}">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2438" authorId="1" shapeId="0" xr:uid="{0A600F5D-9B24-4267-910F-D156212AF96A}">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2439" authorId="1" shapeId="0" xr:uid="{BBB3CBD6-F36D-411A-AD3F-F2975BBE654D}">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2439" authorId="1" shapeId="0" xr:uid="{791E84E0-B4C6-4A6F-B564-A4960BBAA484}">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2439" authorId="1" shapeId="0" xr:uid="{EE46EF26-D2A8-4F9D-BBB2-DDC407BE548A}">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2440" authorId="1" shapeId="0" xr:uid="{B905EAD5-C912-48FC-9086-416AE182CA1A}">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2440" authorId="1" shapeId="0" xr:uid="{5209B425-0D4C-4BCD-A16F-56947E530C0B}">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2440" authorId="1" shapeId="0" xr:uid="{D9459D31-0391-49A8-998F-3160419D7B81}">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2441" authorId="0" shapeId="0" xr:uid="{B6CC8348-183C-45F8-92D4-F3B872993F9C}">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2441" authorId="0" shapeId="0" xr:uid="{135D8CE4-4751-4C66-A6A3-CF87D4C9FEDA}">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2441" authorId="0" shapeId="0" xr:uid="{529C4C7B-780A-4BB6-98C9-F8D5237B5260}">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2442" authorId="0" shapeId="0" xr:uid="{647D3C89-E43D-4550-BAFD-75F763B6C389}">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2442" authorId="0" shapeId="0" xr:uid="{4CFAE8DD-7FEB-4DB5-8264-5BDB719FF9E8}">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2442" authorId="0" shapeId="0" xr:uid="{91D9F3C6-9C82-43F4-A99E-56A15C09BEF7}">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2443" authorId="1" shapeId="0" xr:uid="{2DFFB175-ED28-402C-A6BF-9AF7760E82D4}">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2449" authorId="0" shapeId="0" xr:uid="{546A57D5-1260-4BD0-B5AC-9D2CA1AF9EA5}">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2449" authorId="0" shapeId="0" xr:uid="{0B764DA9-8BBA-4200-816C-E7F9EC44E39D}">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2449" authorId="0" shapeId="0" xr:uid="{A8CB849F-C712-4714-A696-BF23E0C688A5}">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2450" authorId="0" shapeId="0" xr:uid="{E41D8143-9295-4E39-9853-DC5700522E67}">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2450" authorId="0" shapeId="0" xr:uid="{7A6BEC74-4A36-4977-BAB8-4D21895AFB5D}">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2450" authorId="0" shapeId="0" xr:uid="{327D7645-EEB4-489D-ACBF-C10EE830A3FB}">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2451" authorId="0" shapeId="0" xr:uid="{8073E605-F6E2-4DC9-8C4B-A51CA7A0269D}">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2451" authorId="0" shapeId="0" xr:uid="{83981830-A9EE-468D-97D7-BF36B33B7F6B}">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2451" authorId="0" shapeId="0" xr:uid="{A71F06BA-C618-4252-A33D-BC89EE6E5F18}">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2452" authorId="0" shapeId="0" xr:uid="{BF60C655-0A70-4CC2-8F76-70B768D2CF00}">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2452" authorId="0" shapeId="0" xr:uid="{35FACBA5-6E27-4776-B664-25E6C2A610E8}">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2452" authorId="0" shapeId="0" xr:uid="{F91B6AD9-0F42-42DA-8916-815FA92E2A7A}">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2453" authorId="1" shapeId="0" xr:uid="{F3408021-B8DF-4A0A-9B30-1226325F69D9}">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2453" authorId="1" shapeId="0" xr:uid="{1D7A589F-477F-427E-A25E-5B50D9C656D0}">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2453" authorId="1" shapeId="0" xr:uid="{B56B2836-D8D0-4135-A262-DEFEE70891E7}">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2454" authorId="1" shapeId="0" xr:uid="{B32CE6DF-3E46-4E96-A52F-B4AA73B1CD25}">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2454" authorId="1" shapeId="0" xr:uid="{DD980EDF-FD9A-4412-8EE2-0F8615C9F4F4}">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2454" authorId="1" shapeId="0" xr:uid="{55E169A3-DA30-4F67-BDEE-393318B7A7B1}">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2455" authorId="1" shapeId="0" xr:uid="{663ECCA3-17D4-4344-BA72-ED2E7D8F8E83}">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2455" authorId="1" shapeId="0" xr:uid="{5E986FB5-09D7-4CE5-B5AB-CB1D39195B5B}">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2455" authorId="1" shapeId="0" xr:uid="{829B6DE4-162E-4DBB-921F-68DC80B71E65}">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2456" authorId="0" shapeId="0" xr:uid="{ACF0C5BD-0A30-435E-BA68-88FD0AA4398C}">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2456" authorId="0" shapeId="0" xr:uid="{64582CFC-2DC4-4627-AA97-0C3F03739E33}">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2456" authorId="0" shapeId="0" xr:uid="{DD2436BD-673A-40A0-9A39-E12F4D814DBD}">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2457" authorId="0" shapeId="0" xr:uid="{B6FF834C-B3A0-4992-9CEE-AD462F9DDE19}">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2457" authorId="0" shapeId="0" xr:uid="{81F25638-8DF0-4438-8EAE-B29FCE6E6622}">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2457" authorId="0" shapeId="0" xr:uid="{2B16DBAC-C3A7-4D52-BB1B-6D55D99BBE6D}">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2458" authorId="1" shapeId="0" xr:uid="{71162D9B-74FF-49D1-BA7D-2F0BA256733F}">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2464" authorId="0" shapeId="0" xr:uid="{E542A241-37D4-4005-93C1-A9CF30709706}">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2464" authorId="0" shapeId="0" xr:uid="{D3496D8E-B229-46EF-A857-ACB5C5EEF176}">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2464" authorId="0" shapeId="0" xr:uid="{90210837-7AF5-434A-865E-4E9F9C7B8F9A}">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2465" authorId="0" shapeId="0" xr:uid="{90E82CAE-9CBC-4A2E-B7AF-4D7E228741E0}">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2465" authorId="0" shapeId="0" xr:uid="{83E2767E-56F4-4824-A272-3C8DC6382B49}">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2465" authorId="0" shapeId="0" xr:uid="{C983BB39-F689-4488-B1CE-0EDFC7EB5FF1}">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2466" authorId="0" shapeId="0" xr:uid="{846AF4FF-7663-4158-87E0-B47278467903}">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2466" authorId="0" shapeId="0" xr:uid="{8B9F5DAD-5049-42D7-82CA-F1AC50E5CFFA}">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2466" authorId="0" shapeId="0" xr:uid="{CFEB084D-669A-4BE6-AFBF-227D7F274ECC}">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2467" authorId="0" shapeId="0" xr:uid="{6D15F03B-DC13-4185-9D3B-3F14736D8FFF}">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2467" authorId="0" shapeId="0" xr:uid="{3AB53E02-5ABA-4203-885D-91F2C304451D}">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2467" authorId="0" shapeId="0" xr:uid="{716AC3D6-B5EF-4FF3-8C83-A1021CAB5E0E}">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2468" authorId="1" shapeId="0" xr:uid="{EC7F66AF-7E3E-4067-829C-52B158671664}">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2468" authorId="1" shapeId="0" xr:uid="{62DFFF12-10AA-4DEA-8C7B-62274143EFDE}">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2468" authorId="1" shapeId="0" xr:uid="{C8BD82BB-73AC-4B5D-84AC-AAFABC51BD8B}">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2469" authorId="1" shapeId="0" xr:uid="{120805DF-67DA-44A9-8A28-05C2B613E664}">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2469" authorId="1" shapeId="0" xr:uid="{641CADC6-5C36-43EC-9644-B50A1DB70DD3}">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2469" authorId="1" shapeId="0" xr:uid="{3CAA4AB2-C1CC-41F0-B526-73BFCE7A234E}">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2470" authorId="1" shapeId="0" xr:uid="{4E4612D6-E114-477B-9166-4F26EEA8808E}">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2470" authorId="1" shapeId="0" xr:uid="{D1E2F491-993D-4F29-99E8-D9D58C085996}">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2470" authorId="1" shapeId="0" xr:uid="{356544C8-57CB-43D4-9383-DF0B5771D457}">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2471" authorId="0" shapeId="0" xr:uid="{26B16DB5-BF6F-409C-B3D3-CF92EFA40124}">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2471" authorId="0" shapeId="0" xr:uid="{0D9CDFAF-C795-4B71-B3D7-20A425295300}">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2471" authorId="0" shapeId="0" xr:uid="{30114357-EF39-4A74-946A-D5E48A87C11D}">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2472" authorId="0" shapeId="0" xr:uid="{488D9E2F-FECF-4744-9B83-73BADA55BF2D}">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2472" authorId="0" shapeId="0" xr:uid="{6B2B6A15-7729-470B-8F0A-D210FDEF6C40}">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2472" authorId="0" shapeId="0" xr:uid="{DC6EEEF5-702D-4F68-925E-5C1DB1900599}">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2473" authorId="1" shapeId="0" xr:uid="{CEE9ED87-1C49-4252-906A-B57D72B22237}">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2479" authorId="0" shapeId="0" xr:uid="{2EC70637-3ECD-41D2-8FCF-E8F8C29E2D87}">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2479" authorId="0" shapeId="0" xr:uid="{58624B77-7529-4BEC-8A84-35E3D7655502}">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2479" authorId="0" shapeId="0" xr:uid="{D504CF31-442F-45C6-A83C-E29D192D85EF}">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2480" authorId="0" shapeId="0" xr:uid="{266AE4EC-6020-482D-8BF7-8FA0A040C5C2}">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2480" authorId="0" shapeId="0" xr:uid="{3B785447-A8FA-46E3-8236-4AD6D68AE3D9}">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2480" authorId="0" shapeId="0" xr:uid="{FD27A29F-E658-48A0-A58B-795CD2D68974}">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2481" authorId="0" shapeId="0" xr:uid="{AF074684-4E1C-48C4-A30E-4F30F93404AE}">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2481" authorId="0" shapeId="0" xr:uid="{F98254F6-58C9-4D10-87FD-F5418528581D}">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2481" authorId="0" shapeId="0" xr:uid="{11A66A45-157D-4A1D-BAD2-B4ABC6C313A9}">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2482" authorId="0" shapeId="0" xr:uid="{F1AC3F54-0847-4C93-A649-E4A5F3FE8101}">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2482" authorId="0" shapeId="0" xr:uid="{89A557A1-526F-4901-AC92-1962F02FE454}">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2482" authorId="0" shapeId="0" xr:uid="{37B1642A-BF06-44C5-BED0-198786CD7478}">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2483" authorId="1" shapeId="0" xr:uid="{42BC14E2-9FF9-419B-9218-79C9437B8880}">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2483" authorId="1" shapeId="0" xr:uid="{12FF0909-2F61-40CB-878A-45C9EC8E1994}">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2483" authorId="1" shapeId="0" xr:uid="{20B13239-A897-4703-8ED0-0A062C30D9FB}">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2484" authorId="1" shapeId="0" xr:uid="{2797C171-DEC7-40A2-946B-7DBC51688572}">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2484" authorId="1" shapeId="0" xr:uid="{8C5D710D-DB0E-4909-AC6B-66BE27014E43}">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2484" authorId="1" shapeId="0" xr:uid="{2D9F9D1F-CF10-4185-A2BB-1AA3EA99E752}">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2485" authorId="1" shapeId="0" xr:uid="{4BC47B3B-0643-43CB-917B-19DCD45C6109}">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2485" authorId="1" shapeId="0" xr:uid="{76300439-3BE8-4B14-B0F4-D7A36B144472}">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2485" authorId="1" shapeId="0" xr:uid="{29326139-9FF0-4AC6-A6B0-BD450BC3F377}">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2486" authorId="0" shapeId="0" xr:uid="{80FC0CFE-3082-4723-A617-8F12D66BBF9A}">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2486" authorId="0" shapeId="0" xr:uid="{D5BAFCAB-331F-4971-B0A7-9DBDC9AFC2B9}">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2486" authorId="0" shapeId="0" xr:uid="{576C17AA-43DE-4294-B019-1BB7A82DDA6D}">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2487" authorId="0" shapeId="0" xr:uid="{861A7B94-533C-486B-9633-6C0D4342FFF7}">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2487" authorId="0" shapeId="0" xr:uid="{5926BC8B-6C4F-42ED-987B-6F87E19770D8}">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2487" authorId="0" shapeId="0" xr:uid="{85611C10-61E8-41AA-A38C-1691BD393EAE}">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2488" authorId="1" shapeId="0" xr:uid="{3C4A2E8D-BBC5-43DB-B481-BE448CAF7648}">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2494" authorId="0" shapeId="0" xr:uid="{09DBD116-113F-47BF-AE99-6C0699316BCB}">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2494" authorId="0" shapeId="0" xr:uid="{7B92246E-A555-457B-A576-7F35E4BB9700}">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2494" authorId="0" shapeId="0" xr:uid="{C0C701A4-9909-4182-A8CE-C539BA0BB618}">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2495" authorId="0" shapeId="0" xr:uid="{AD19D082-D5C3-4934-8D1C-11882D4D90E0}">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2495" authorId="0" shapeId="0" xr:uid="{78A13C55-9AC8-491D-9D9F-509ED40A0F49}">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2495" authorId="0" shapeId="0" xr:uid="{99FE5A2C-367F-4602-B2C4-C03AA10FCED2}">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2496" authorId="0" shapeId="0" xr:uid="{7F54C3A3-FEB9-4273-948A-8985192233B0}">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2496" authorId="0" shapeId="0" xr:uid="{52433DF1-738E-4064-BF20-944B4C525F17}">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2496" authorId="0" shapeId="0" xr:uid="{16BD9C8F-3AAB-4268-8B2F-EF127777FE78}">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2497" authorId="0" shapeId="0" xr:uid="{FA449B43-FED6-4569-A622-1A55CD1C31C0}">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2497" authorId="0" shapeId="0" xr:uid="{0D5B0CA4-3BBA-46CE-A3AB-4D047D93E37A}">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2497" authorId="0" shapeId="0" xr:uid="{41B682E6-6EDE-4BF5-9C91-8FDC3C95C9A0}">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2498" authorId="1" shapeId="0" xr:uid="{B6BDAA23-705D-4AC1-8870-F3230F52BC21}">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2498" authorId="1" shapeId="0" xr:uid="{D0536EBE-40D7-41C4-98F7-CCDC2F2D2083}">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2498" authorId="1" shapeId="0" xr:uid="{DCCE5C47-CA76-4B40-A776-3E8ADEE62C64}">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2499" authorId="1" shapeId="0" xr:uid="{B8A6C1FD-1B23-4002-AD79-F1EA48B20E32}">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2499" authorId="1" shapeId="0" xr:uid="{0C51E41F-88F3-473B-BA47-85C88558955D}">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2499" authorId="1" shapeId="0" xr:uid="{B7E9352A-C561-4136-8DAE-557FAC29755A}">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2500" authorId="1" shapeId="0" xr:uid="{3EEEA200-17E6-4E6B-B2C7-7A2C14CA0DBD}">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2500" authorId="1" shapeId="0" xr:uid="{119564E5-6DD6-488E-A42C-95EDC2F4758E}">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2500" authorId="1" shapeId="0" xr:uid="{DF5F1B95-8234-4DAF-BCFA-743F76740933}">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2501" authorId="0" shapeId="0" xr:uid="{CC110EDA-78FA-4AC0-87AB-374968DB685A}">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2501" authorId="0" shapeId="0" xr:uid="{A02D6AF5-B7B7-41FC-BC40-483DEBB2B84B}">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2501" authorId="0" shapeId="0" xr:uid="{A6603B2F-718C-4155-984F-674827F0212F}">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2502" authorId="0" shapeId="0" xr:uid="{5E289A08-8179-405A-8B43-C6915D2EF5FA}">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2502" authorId="0" shapeId="0" xr:uid="{7FBE7111-BF41-4BA4-AF8F-9F71634420F2}">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2502" authorId="0" shapeId="0" xr:uid="{AA3CCA0E-9666-4F68-A371-68564FB5BEEC}">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2503" authorId="1" shapeId="0" xr:uid="{114F56A6-1B9D-49DF-B6AC-8E74D31B9824}">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2509" authorId="0" shapeId="0" xr:uid="{2E0D8C22-15AF-4D20-AB1C-A3A8A4626488}">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2509" authorId="0" shapeId="0" xr:uid="{F053CA33-1816-4AC7-93FF-9EEE36F244FC}">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2509" authorId="0" shapeId="0" xr:uid="{3DC5A2E7-DB32-4817-8DC2-5C45C449E649}">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2510" authorId="0" shapeId="0" xr:uid="{255A8A6F-C2CB-44E2-AEDD-DC3F232B2EFE}">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2510" authorId="0" shapeId="0" xr:uid="{BCC8A773-E4DC-4D20-AAD0-7A21D0E42056}">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2510" authorId="0" shapeId="0" xr:uid="{00F933AA-A6A9-4DF1-BCE6-787845F5DDAC}">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2511" authorId="0" shapeId="0" xr:uid="{242DDC31-23E3-4736-B0E9-64C91287B9BC}">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2511" authorId="0" shapeId="0" xr:uid="{3B3AD377-2A89-4F3D-BCA6-2F1B03635EE0}">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2511" authorId="0" shapeId="0" xr:uid="{9A4205CE-9ED7-4BFB-97C0-E394AC104863}">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2512" authorId="0" shapeId="0" xr:uid="{B1F791D9-B3A0-4F42-B9FF-D0454EAB1726}">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2512" authorId="0" shapeId="0" xr:uid="{3A40BAB5-C273-4D28-87EE-D10F054DBF64}">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2512" authorId="0" shapeId="0" xr:uid="{94F4402D-6E84-4079-81CD-5D3D0040CB8D}">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2513" authorId="1" shapeId="0" xr:uid="{1CEA3395-C358-40C4-A7D1-6D9212934042}">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2513" authorId="1" shapeId="0" xr:uid="{4B3AFEC6-2569-48EE-AB3D-1484DDE80BF8}">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2513" authorId="1" shapeId="0" xr:uid="{0D1DE780-8DB9-4640-BF16-BE4A304A5639}">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2514" authorId="1" shapeId="0" xr:uid="{3222BB4D-8F3B-448C-B7F2-B50A599FA261}">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2514" authorId="1" shapeId="0" xr:uid="{D87E4AAF-FD6E-4F6F-A673-95A9A9A90580}">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2514" authorId="1" shapeId="0" xr:uid="{6B74DCB6-9D24-4DBD-8D70-490EBE532FD4}">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2515" authorId="1" shapeId="0" xr:uid="{1B4341F5-ADFC-40E6-8951-FB098863217F}">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2515" authorId="1" shapeId="0" xr:uid="{B322D8BD-840C-4D96-B637-1E9E6AC7F45D}">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2515" authorId="1" shapeId="0" xr:uid="{D0F62EAE-9DBB-455D-85D5-E94B8BD3EFCC}">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2516" authorId="0" shapeId="0" xr:uid="{01FC23BD-0514-43B0-8EB2-2336248F6420}">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2516" authorId="0" shapeId="0" xr:uid="{52210F02-BDC3-4D6C-9FDD-581C342A11B6}">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2516" authorId="0" shapeId="0" xr:uid="{483B191A-B15A-406D-B402-7574E4B4AE85}">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2517" authorId="0" shapeId="0" xr:uid="{71DAB20C-2083-40C6-A660-44DCE298EF4A}">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2517" authorId="0" shapeId="0" xr:uid="{191C274F-8588-4FE3-8860-EE979961AA24}">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2517" authorId="0" shapeId="0" xr:uid="{25E0CD87-E5B4-40BD-9640-72629FA05659}">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2518" authorId="1" shapeId="0" xr:uid="{CD1989AB-E3D9-4B3C-83E1-2FBA1D151974}">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2524" authorId="0" shapeId="0" xr:uid="{F355A198-3765-4993-A5A1-4B7013701827}">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2524" authorId="0" shapeId="0" xr:uid="{378AE8B4-13A4-475A-A494-6E9A6092E2FC}">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2524" authorId="0" shapeId="0" xr:uid="{AD55FEBE-9120-49EB-AEBF-C90CE2B525E2}">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2525" authorId="0" shapeId="0" xr:uid="{89D0CFB0-512A-4EF4-84AA-BC8ADA1303AF}">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2525" authorId="0" shapeId="0" xr:uid="{D1011090-4715-4D38-9A04-B6ACB89595E4}">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2525" authorId="0" shapeId="0" xr:uid="{3661CE70-D6FF-4130-926F-E3F93A3FC097}">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2526" authorId="0" shapeId="0" xr:uid="{450475E6-3C5C-4770-AA93-28D93BE95ED8}">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2526" authorId="0" shapeId="0" xr:uid="{FD8F01B8-D6FB-4150-BD1F-472E42382FB1}">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2526" authorId="0" shapeId="0" xr:uid="{4857CC35-9F15-41C6-A891-668A807F79BF}">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2527" authorId="0" shapeId="0" xr:uid="{8E5766A6-22CC-4DA9-86C9-669AA2D0F760}">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2527" authorId="0" shapeId="0" xr:uid="{88ABB5FD-B235-4D52-9A87-958B1D99ACA6}">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2527" authorId="0" shapeId="0" xr:uid="{6011A3B5-53CF-47DB-9465-33B1255CC923}">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2528" authorId="1" shapeId="0" xr:uid="{B92EFE82-32EB-483C-A3B3-514C0D7389E6}">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2528" authorId="1" shapeId="0" xr:uid="{D581600C-52A1-4F1B-A781-E2726D9EEEDB}">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2528" authorId="1" shapeId="0" xr:uid="{BDEE948A-4EE1-4E6D-8427-F840291B6DCC}">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2529" authorId="1" shapeId="0" xr:uid="{413C8AC0-A0F7-44D7-A88D-3EB31A1D81E5}">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2529" authorId="1" shapeId="0" xr:uid="{BB0C02DC-E8BB-4D17-8673-C7D7B367DB58}">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2529" authorId="1" shapeId="0" xr:uid="{CDE82E5A-05A0-405C-98CE-54FDB3FE4DD1}">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2530" authorId="1" shapeId="0" xr:uid="{0395E6AB-E438-46F9-80E5-413734830D4B}">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2530" authorId="1" shapeId="0" xr:uid="{C420485C-1307-4581-BA42-0A961C32124C}">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2530" authorId="1" shapeId="0" xr:uid="{5CAC8086-E217-4FC4-B5E7-2D45FA4FFD93}">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2531" authorId="0" shapeId="0" xr:uid="{0528D3B8-583D-4580-A110-8190967372DD}">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2531" authorId="0" shapeId="0" xr:uid="{FB4EC044-54E8-4DA0-8DFE-4E2AAA4E4B47}">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2531" authorId="0" shapeId="0" xr:uid="{A25A1588-D8E1-47BB-B628-051E12E06D56}">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2532" authorId="0" shapeId="0" xr:uid="{A3E3B40A-D6C2-44CB-BE50-2E735D28FF83}">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2532" authorId="0" shapeId="0" xr:uid="{C44207FA-35CE-4947-991F-AE087D986D68}">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2532" authorId="0" shapeId="0" xr:uid="{84D772FE-B799-4B2F-A349-C017DAF82D31}">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2533" authorId="1" shapeId="0" xr:uid="{18874D4E-5694-4442-8474-7C2CB9540B58}">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2539" authorId="0" shapeId="0" xr:uid="{5F4AA49D-6FE9-4E6E-BEEF-2D3448DE56F6}">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2539" authorId="0" shapeId="0" xr:uid="{F5FD3104-466A-484D-AB7F-405AD4CAE8FD}">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2539" authorId="0" shapeId="0" xr:uid="{BEB92BF4-93F3-44A3-BEB2-1734996E4D5D}">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2540" authorId="0" shapeId="0" xr:uid="{E8DBDE6A-45F9-420B-BFD1-A03A656203CD}">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2540" authorId="0" shapeId="0" xr:uid="{E8E09071-D30D-4C61-BD81-8CB503FCF318}">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2540" authorId="0" shapeId="0" xr:uid="{4CDAC782-3882-491B-8BE0-F621EEE1CF55}">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2541" authorId="0" shapeId="0" xr:uid="{576B34A7-D347-4FAF-9C6F-516AB13F22DA}">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2541" authorId="0" shapeId="0" xr:uid="{E7E2EE28-0037-4FC0-A00E-4A6D2D069B79}">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2541" authorId="0" shapeId="0" xr:uid="{27FC910A-629D-4C5D-ABAB-A4058B78FA3E}">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2542" authorId="0" shapeId="0" xr:uid="{124F6AFE-9DB6-46A5-8C61-3247F0DB78AB}">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2542" authorId="0" shapeId="0" xr:uid="{9DD6CD99-7A01-4191-A705-3BFB9E16764A}">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2542" authorId="0" shapeId="0" xr:uid="{FB03949C-1260-4693-AF5F-4E25F64BE792}">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2543" authorId="1" shapeId="0" xr:uid="{99C8FBE8-B30D-440B-95CF-7672DEBB5BA0}">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2543" authorId="1" shapeId="0" xr:uid="{88BD25B7-8494-4EA2-8797-D4FA864349B5}">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2543" authorId="1" shapeId="0" xr:uid="{4DCF36BE-9F8D-4C2D-B6C8-5FA8283822A4}">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2544" authorId="1" shapeId="0" xr:uid="{2D603DEB-D355-4453-A462-FF30B6BCD295}">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2544" authorId="1" shapeId="0" xr:uid="{EABAB2F0-4D69-4CAD-87D6-A69D38F15458}">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2544" authorId="1" shapeId="0" xr:uid="{ADEFD47C-62DD-4F31-A9FA-3AA3EB7F070E}">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2545" authorId="1" shapeId="0" xr:uid="{8BC9959F-F2E2-4391-917C-AA37A9FACBE9}">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2545" authorId="1" shapeId="0" xr:uid="{4208DE86-1436-486C-8FDF-45FA04EC9FE0}">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2545" authorId="1" shapeId="0" xr:uid="{42A65899-815D-4080-973E-00A92465DF3D}">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2546" authorId="0" shapeId="0" xr:uid="{B36319A9-D707-4588-9042-F26536DDE57F}">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2546" authorId="0" shapeId="0" xr:uid="{B1BB5E3E-9AA5-42B1-851A-789A62550BA4}">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2546" authorId="0" shapeId="0" xr:uid="{21603C1C-0A68-4A0D-BDB7-5B530B5D437D}">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2547" authorId="0" shapeId="0" xr:uid="{E46C6863-FA29-49D0-94AD-01F144421CC9}">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2547" authorId="0" shapeId="0" xr:uid="{43F99680-12B3-44BD-8484-35F3E304E7A3}">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2547" authorId="0" shapeId="0" xr:uid="{993FAE3F-356E-4EAB-B976-9DD981A26B93}">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2548" authorId="1" shapeId="0" xr:uid="{A245FA86-8C75-4312-96E8-7A4087978A9A}">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2554" authorId="0" shapeId="0" xr:uid="{D2E0F363-5DBF-4EE9-8CAD-5E086F06A965}">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2554" authorId="0" shapeId="0" xr:uid="{E6B73644-AD2D-4A8D-A6EB-75EC9967DBA8}">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2554" authorId="0" shapeId="0" xr:uid="{9BDEF868-D948-4918-9B51-6725961F2BCC}">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2555" authorId="0" shapeId="0" xr:uid="{FE0218F2-C162-4D5C-A8B0-98692AF23E47}">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2555" authorId="0" shapeId="0" xr:uid="{6B706B2A-CC29-4C7F-8ACB-45E12A632FB3}">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2555" authorId="0" shapeId="0" xr:uid="{190DB41A-1001-47B1-919E-D05CB6CD7632}">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2556" authorId="0" shapeId="0" xr:uid="{9153BB26-FCA2-4BFA-B09C-3B4A1194467E}">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2556" authorId="0" shapeId="0" xr:uid="{E0103DAE-AE90-434B-B046-054B3CA14EEC}">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2556" authorId="0" shapeId="0" xr:uid="{D6853E16-03BE-4B55-812E-DE58B716F0AB}">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2557" authorId="0" shapeId="0" xr:uid="{15B918DA-5514-485C-9D7E-153EA64EE3B8}">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2557" authorId="0" shapeId="0" xr:uid="{A6126EED-F76A-4715-AC2D-D56ACE2CF3B2}">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2557" authorId="0" shapeId="0" xr:uid="{1845BD05-B337-429B-B229-DEFE466AB44C}">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2558" authorId="1" shapeId="0" xr:uid="{897986FA-EFD0-4BF9-A001-0368AF13707D}">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2558" authorId="1" shapeId="0" xr:uid="{3D8077A6-282D-4A94-A7EE-E7FA9790B532}">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2558" authorId="1" shapeId="0" xr:uid="{4ABD419C-384B-4F64-AC22-013223AE6759}">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2559" authorId="1" shapeId="0" xr:uid="{1E2CF74D-69B6-405A-8A11-B2F448D54D4E}">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2559" authorId="1" shapeId="0" xr:uid="{4917E377-2D8A-4F4B-ADC0-CF276917CD72}">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2559" authorId="1" shapeId="0" xr:uid="{248D449C-A351-448B-8AFF-C5D5B312DB53}">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2560" authorId="1" shapeId="0" xr:uid="{74DFB63A-4C60-41F2-891D-863EF23FFE92}">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2560" authorId="1" shapeId="0" xr:uid="{E41AB4B1-ECB9-4F68-8E31-4B90E0396475}">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2560" authorId="1" shapeId="0" xr:uid="{926AFF3C-CDA9-4141-8E69-D5D50C2DDBF1}">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2561" authorId="0" shapeId="0" xr:uid="{48C3A458-BF65-4F4F-AF57-D9ABD941CED6}">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2561" authorId="0" shapeId="0" xr:uid="{D09DC934-67CC-473A-8213-0872D9160556}">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2561" authorId="0" shapeId="0" xr:uid="{AC43C6F4-2EF3-421B-BA3F-9AEC7B2961B2}">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2562" authorId="0" shapeId="0" xr:uid="{C5D78EA8-FFD8-40B3-BB01-DB4CE57090E4}">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2562" authorId="0" shapeId="0" xr:uid="{F4A98CEE-0810-4AF7-AF8F-2673A0E08758}">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2562" authorId="0" shapeId="0" xr:uid="{FAAE2459-73A6-4609-8738-D5ECF95D1FD8}">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2563" authorId="1" shapeId="0" xr:uid="{D1CB2297-7323-4024-8C1A-C73187280153}">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2569" authorId="0" shapeId="0" xr:uid="{F74D5AEF-FD7F-4B62-837B-187C5C9C67F8}">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2569" authorId="0" shapeId="0" xr:uid="{DD5C91C8-8547-4C46-821A-CFB14D2BA774}">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2569" authorId="0" shapeId="0" xr:uid="{85E4A09A-E1C6-4D35-B426-63C992519627}">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2570" authorId="0" shapeId="0" xr:uid="{E66128C7-E6F1-4464-B48D-BD72D929E8EF}">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2570" authorId="0" shapeId="0" xr:uid="{F7D17EBE-A3AC-45E0-89F3-9349ABCE2D1C}">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2570" authorId="0" shapeId="0" xr:uid="{FF1E18FD-BD0A-4CF3-9900-2259B937000E}">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2571" authorId="0" shapeId="0" xr:uid="{BF00D805-4B8B-471E-AD0A-240E26B8D339}">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2571" authorId="0" shapeId="0" xr:uid="{F543998C-C210-4253-8F37-9E51AAF43CF1}">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2571" authorId="0" shapeId="0" xr:uid="{F317A4F4-13E2-4517-91EA-F986C01A41FA}">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2572" authorId="0" shapeId="0" xr:uid="{9FCDE005-3F81-477D-9395-8AD3FBC22F0F}">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2572" authorId="0" shapeId="0" xr:uid="{DB87C305-C1DB-4AD4-B0E9-26DA3D05D75B}">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2572" authorId="0" shapeId="0" xr:uid="{BDB072AB-A689-48AF-95BA-C2224E7138DF}">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2573" authorId="1" shapeId="0" xr:uid="{50ECE1F9-44A2-4269-BB1B-BE46FFD6571A}">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2573" authorId="1" shapeId="0" xr:uid="{D19426FA-FA5D-46C7-8581-9464A93934CA}">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2573" authorId="1" shapeId="0" xr:uid="{465125E3-E49F-4E69-B45B-60F94DA92436}">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2574" authorId="1" shapeId="0" xr:uid="{4D114B0B-E382-4E9C-9A5E-14777EA62708}">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2574" authorId="1" shapeId="0" xr:uid="{544BF16A-03B2-4C1E-A7EC-239130F99654}">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2574" authorId="1" shapeId="0" xr:uid="{00EAABBD-10FD-4B46-A788-EBC15ED392A6}">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2575" authorId="1" shapeId="0" xr:uid="{A2FCCF6B-8AE8-4F58-90AA-37002B47E236}">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2575" authorId="1" shapeId="0" xr:uid="{52212428-EC3F-4F41-B188-AE4462CF9172}">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2575" authorId="1" shapeId="0" xr:uid="{4DE04D7D-3058-4604-A8EA-0C9E70390651}">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2576" authorId="0" shapeId="0" xr:uid="{D9825311-F8E6-4AD8-991D-B75A932162DF}">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2576" authorId="0" shapeId="0" xr:uid="{76091A7C-E5F2-4D26-88E9-EBD38B99442A}">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2576" authorId="0" shapeId="0" xr:uid="{07D5DD6F-BB2D-4D3A-B2FB-867FEFC8BF57}">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2577" authorId="0" shapeId="0" xr:uid="{25C4D71C-2790-4222-9C29-87CD3B3D4348}">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2577" authorId="0" shapeId="0" xr:uid="{79200735-5205-4651-828E-0D7BD92DE11E}">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2577" authorId="0" shapeId="0" xr:uid="{E1F935BD-D6BF-4D68-8778-F7F430D0B638}">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2578" authorId="1" shapeId="0" xr:uid="{7A86602F-A2C1-4F03-857E-4D3049ADF198}">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2584" authorId="0" shapeId="0" xr:uid="{560137FD-3954-4127-824C-276458D504B0}">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2584" authorId="0" shapeId="0" xr:uid="{E746D71A-0E26-40ED-BE63-E74EE5B0E36D}">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2584" authorId="0" shapeId="0" xr:uid="{D0C70032-ACA9-4998-9BAF-3004BAC79FA5}">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2585" authorId="0" shapeId="0" xr:uid="{7F994EE6-4804-4BEC-A65A-51036547386B}">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2585" authorId="0" shapeId="0" xr:uid="{1E151713-72B7-4EF8-A90A-FE624908F0D6}">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2585" authorId="0" shapeId="0" xr:uid="{3E922514-9B1C-4971-A12D-892C14F5EA5F}">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2586" authorId="0" shapeId="0" xr:uid="{9559F2EE-6F16-47C0-84EE-7D43ABF744AC}">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2586" authorId="0" shapeId="0" xr:uid="{6A055908-ECF4-49A9-91FA-5B763873FF4D}">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2586" authorId="0" shapeId="0" xr:uid="{D52AA398-2A66-4E3F-82C6-0ED34E6F2769}">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2587" authorId="0" shapeId="0" xr:uid="{57B0B93B-A326-4420-A37A-DFEFEC36F6C9}">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2587" authorId="0" shapeId="0" xr:uid="{D1CED673-A40E-4554-B593-78A1BBDE3F74}">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2587" authorId="0" shapeId="0" xr:uid="{20AA1FD1-1944-486B-9C8A-AD9E560AC24D}">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2588" authorId="1" shapeId="0" xr:uid="{07B8FD02-39E2-42B1-A0F9-EAAEE0D36F07}">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2588" authorId="1" shapeId="0" xr:uid="{FC12F066-DF41-40B3-B2E4-1711DABBC209}">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2588" authorId="1" shapeId="0" xr:uid="{A00D02CE-1DBF-4945-AC89-F5737246BC34}">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2589" authorId="1" shapeId="0" xr:uid="{B26B649F-5F21-4C8E-B772-A8E760932227}">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2589" authorId="1" shapeId="0" xr:uid="{35D185C1-F588-4581-BFD3-935F25C1C41A}">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2589" authorId="1" shapeId="0" xr:uid="{41A438F8-FDA2-401E-8A58-DA11B5734E77}">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2590" authorId="1" shapeId="0" xr:uid="{9050ED46-529D-4971-B89F-A6384B908474}">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2590" authorId="1" shapeId="0" xr:uid="{7A56EED4-48D4-40C4-89AE-07E8CDDF4D42}">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2590" authorId="1" shapeId="0" xr:uid="{43EA6CE9-4AE3-4791-9409-2166AA5B7C89}">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2591" authorId="0" shapeId="0" xr:uid="{A24E395E-9A8C-4C47-A838-5C37A2E17F93}">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2591" authorId="0" shapeId="0" xr:uid="{4D44FEEF-772F-4EEE-B47B-78C44E2E4E18}">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2591" authorId="0" shapeId="0" xr:uid="{1E6B25EA-128D-41B9-910B-3149C87B8AFB}">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2592" authorId="0" shapeId="0" xr:uid="{24F631BC-8E92-4623-99C6-E3DA843F91F6}">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2592" authorId="0" shapeId="0" xr:uid="{E1A3B253-F8E4-41FC-AA90-E6E4AA15D7B6}">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2592" authorId="0" shapeId="0" xr:uid="{37E2BF8F-82E7-41C6-B7F4-4C17F9D3E1E3}">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2593" authorId="1" shapeId="0" xr:uid="{FA6162ED-CA71-42DE-A904-CA43FE01FC77}">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2599" authorId="0" shapeId="0" xr:uid="{E32C4A61-F7AF-4323-8533-6E46185BF6EB}">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2599" authorId="0" shapeId="0" xr:uid="{634C5AB2-DFE0-436F-871D-D31872A776AA}">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2599" authorId="0" shapeId="0" xr:uid="{D40D0F83-19B0-4D66-B81D-973AE996FAF6}">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2600" authorId="0" shapeId="0" xr:uid="{4BC21784-9B6B-470C-9F01-1D2B3B3F1292}">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2600" authorId="0" shapeId="0" xr:uid="{594C099C-51CB-40C8-8D4F-56A46527E2D9}">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2600" authorId="0" shapeId="0" xr:uid="{8F0000DF-30EE-4F91-BEA7-7B8085D00FA0}">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2601" authorId="0" shapeId="0" xr:uid="{44D21AA8-173F-48EB-93AE-C37D8BF723FB}">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2601" authorId="0" shapeId="0" xr:uid="{FDFDEE56-E342-40F9-88C4-5BFABE91584C}">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2601" authorId="0" shapeId="0" xr:uid="{133B780F-7470-4EF2-BD54-121F1F066DDA}">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2602" authorId="0" shapeId="0" xr:uid="{B8201745-1400-45FD-81E3-3C842A1767E3}">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2602" authorId="0" shapeId="0" xr:uid="{D712FDF5-4CC1-4313-806B-B9C95BFD04FF}">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2602" authorId="0" shapeId="0" xr:uid="{10B81AF0-8D28-42A1-BBE9-5137AACBF1DD}">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2603" authorId="1" shapeId="0" xr:uid="{16106BB6-38C2-49DA-B3B8-DD52B5AA6F4B}">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2603" authorId="1" shapeId="0" xr:uid="{B6340F49-7945-4663-9AFB-55DEBB83B482}">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2603" authorId="1" shapeId="0" xr:uid="{4CBFFCD6-4A49-4799-9E67-F187EE52FF20}">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2604" authorId="1" shapeId="0" xr:uid="{0AF58E0C-D8E1-47A4-A7EC-3EF589233E58}">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2604" authorId="1" shapeId="0" xr:uid="{785D0D71-9DB2-44B4-BA34-DC85562C8558}">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2604" authorId="1" shapeId="0" xr:uid="{A68884AE-9309-4B76-8D85-FD9C7F8E0936}">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2605" authorId="1" shapeId="0" xr:uid="{EBA7B18E-4139-4A7F-939B-833D86F3645A}">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2605" authorId="1" shapeId="0" xr:uid="{DC4481DC-5D13-4CBA-9A4D-1718CED6E7C7}">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2605" authorId="1" shapeId="0" xr:uid="{A8253DB7-FF5F-4173-8362-B26C1F64ECFB}">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2606" authorId="0" shapeId="0" xr:uid="{3F321D92-681D-420B-BFF2-DABF11CFD6F9}">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2606" authorId="0" shapeId="0" xr:uid="{62A1622C-C100-4228-90F1-D7FB4AAD9C72}">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2606" authorId="0" shapeId="0" xr:uid="{CFF6C4E1-1F67-48C3-AEB7-D540AD0B7044}">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2607" authorId="0" shapeId="0" xr:uid="{95C5C907-7255-48A6-8756-8CAEBBA8A82C}">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2607" authorId="0" shapeId="0" xr:uid="{2B15E12B-F904-4AA6-8D9C-BBD2164AB874}">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2607" authorId="0" shapeId="0" xr:uid="{1EA38F54-D42F-47B0-98C5-C8090B83BDB4}">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2608" authorId="1" shapeId="0" xr:uid="{CF88AC39-649C-4321-8CC3-EBB0287ED685}">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2614" authorId="0" shapeId="0" xr:uid="{44BF6D0F-D9BF-4A2E-931B-F8FFC7A40FC3}">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2614" authorId="0" shapeId="0" xr:uid="{B93F6779-7170-4F7D-B079-4F25CD680FB6}">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2614" authorId="0" shapeId="0" xr:uid="{A20059F0-CE1C-43A2-AEC4-99200ED1ABE4}">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2615" authorId="0" shapeId="0" xr:uid="{1E623DF6-7197-48C5-8886-75256D3002C7}">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2615" authorId="0" shapeId="0" xr:uid="{A82386E7-A4E8-4402-923B-36170687A6A3}">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2615" authorId="0" shapeId="0" xr:uid="{9587E581-1347-4C86-B38D-AD53A58096F8}">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2616" authorId="0" shapeId="0" xr:uid="{EF0891AE-583F-403C-9D24-C421389DF0E8}">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2616" authorId="0" shapeId="0" xr:uid="{F633FF0C-8542-40B5-9D5C-4BCC433627D2}">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2616" authorId="0" shapeId="0" xr:uid="{8777F7D1-AB5D-4EFB-A640-FE346605C23D}">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2617" authorId="0" shapeId="0" xr:uid="{E5DBCBBB-BD73-4027-9223-658153A6F46F}">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2617" authorId="0" shapeId="0" xr:uid="{18F418AA-365F-4167-89BC-188D198A7926}">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2617" authorId="0" shapeId="0" xr:uid="{84F3D3F2-306E-4C58-A515-1A2F45E4B275}">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2618" authorId="1" shapeId="0" xr:uid="{5C03D3CC-4039-4CA9-905F-FFBC1F856C4E}">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2618" authorId="1" shapeId="0" xr:uid="{D3D7C9AE-6387-41CE-855E-0D9321AC74A7}">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2618" authorId="1" shapeId="0" xr:uid="{0B64DC0D-9B84-4920-9D08-C99EB268E4C0}">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2619" authorId="1" shapeId="0" xr:uid="{FF1FDA1E-BE6B-422A-A574-74D2833FFAA4}">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2619" authorId="1" shapeId="0" xr:uid="{EC3450CF-BF02-426D-93C8-175A598FD8BC}">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2619" authorId="1" shapeId="0" xr:uid="{6237A19E-91B0-4F45-92D8-A1F18830D984}">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2620" authorId="1" shapeId="0" xr:uid="{9F941BCB-7AE5-4AFF-93C1-86CACC5766CD}">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2620" authorId="1" shapeId="0" xr:uid="{9DDC33BF-BEB4-4ADD-97F6-6BBE9281A472}">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2620" authorId="1" shapeId="0" xr:uid="{51F34379-8512-4CBC-81A1-1637D4FA16B2}">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2621" authorId="0" shapeId="0" xr:uid="{97778ABE-F7CB-4BF7-ADA9-E2A36F6AF8F4}">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2621" authorId="0" shapeId="0" xr:uid="{EED22977-75BF-4256-88D7-FC301F7B892F}">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2621" authorId="0" shapeId="0" xr:uid="{D7CECC8E-ED15-4B88-8AE0-CF566287B963}">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2622" authorId="0" shapeId="0" xr:uid="{17953584-7462-43EA-A688-89D957A9F729}">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2622" authorId="0" shapeId="0" xr:uid="{A3D4995B-35C3-4419-95C3-908F3F5D8A2A}">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2622" authorId="0" shapeId="0" xr:uid="{C73B3294-C261-44C7-886C-F87D348CCCF2}">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2623" authorId="1" shapeId="0" xr:uid="{80F36A02-1FBD-4D7C-917F-73F084641F21}">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2629" authorId="0" shapeId="0" xr:uid="{70D51616-9640-4C9D-A52D-34E582442F87}">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2629" authorId="0" shapeId="0" xr:uid="{892A08C3-D9C5-43C6-85DC-5A624B928A7B}">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2629" authorId="0" shapeId="0" xr:uid="{1C50C433-F1BF-4BCA-B320-31F3F8B4F45E}">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2630" authorId="0" shapeId="0" xr:uid="{CF78B89B-6A8E-44E8-9CDA-C9B25B9A28E3}">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2630" authorId="0" shapeId="0" xr:uid="{8DAC3D38-2B2F-454A-8044-468F33E980C5}">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2630" authorId="0" shapeId="0" xr:uid="{B5247B83-A661-4B72-A3E9-9023B5EA775B}">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2631" authorId="0" shapeId="0" xr:uid="{8B516C49-096C-4475-9840-578D6D092B89}">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2631" authorId="0" shapeId="0" xr:uid="{04FF6FC4-CF67-4F96-A62D-005F67AD6413}">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2631" authorId="0" shapeId="0" xr:uid="{665E4A58-0E12-4892-BCC7-7BF2189D9F20}">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2632" authorId="0" shapeId="0" xr:uid="{D1B41FB4-7317-4A1C-B885-638F46BBFA18}">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2632" authorId="0" shapeId="0" xr:uid="{E4AFBED6-9A85-4DB4-A4AD-5EF9C6231073}">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2632" authorId="0" shapeId="0" xr:uid="{CFA22DFE-7FAB-4840-9A80-5A11A653D448}">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2633" authorId="1" shapeId="0" xr:uid="{99E51FF5-8CE8-4B35-8D4C-37F273F58C54}">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2633" authorId="1" shapeId="0" xr:uid="{C339504D-0149-4542-B1A7-DBB9BEE42FE0}">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2633" authorId="1" shapeId="0" xr:uid="{40608ABD-17CB-4E4B-9999-B20E6CF6DD89}">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2634" authorId="1" shapeId="0" xr:uid="{2C2A2DE0-382B-405E-863A-58839834582A}">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2634" authorId="1" shapeId="0" xr:uid="{F1A972C9-DC85-4F69-B5E4-1B9A6F3D2FAE}">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2634" authorId="1" shapeId="0" xr:uid="{72CBD1D0-5C36-4C24-B630-7561E2CA5EBC}">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2635" authorId="1" shapeId="0" xr:uid="{4D953D25-1DB7-4824-8447-E1014147B99B}">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2635" authorId="1" shapeId="0" xr:uid="{A9198D6F-1DA4-4E5D-A691-EDA82A1E5443}">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2635" authorId="1" shapeId="0" xr:uid="{105CAA66-1F19-4205-99F6-803DB8B5B6E1}">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2636" authorId="0" shapeId="0" xr:uid="{058EBE0B-5258-4CE2-BC14-08ADDA503ED1}">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2636" authorId="0" shapeId="0" xr:uid="{997A65A3-8F0B-4236-AC6E-C86633D4A26D}">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2636" authorId="0" shapeId="0" xr:uid="{472C0210-97FA-4C1E-BD10-7547837646FC}">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2637" authorId="0" shapeId="0" xr:uid="{976057D9-22D6-449B-9124-F71C6E31220C}">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2637" authorId="0" shapeId="0" xr:uid="{DF67118C-0830-4B8D-8F6B-85D2885F0454}">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2637" authorId="0" shapeId="0" xr:uid="{60FDD2C9-917E-400F-B6B0-D912D11C619D}">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2638" authorId="1" shapeId="0" xr:uid="{293633B9-416F-49FB-AB8B-C829FCDA7745}">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2644" authorId="0" shapeId="0" xr:uid="{B9D63C64-FE5E-407B-8A3D-D8AD645626CD}">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2644" authorId="0" shapeId="0" xr:uid="{24ED5701-F4CA-4489-9189-2E7D9CF1C56D}">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2644" authorId="0" shapeId="0" xr:uid="{BC6FA4F4-564C-44A9-88C0-DA6E8DC190B4}">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2645" authorId="0" shapeId="0" xr:uid="{6C91A1E2-CF04-45E0-B66D-1D376B2E7851}">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2645" authorId="0" shapeId="0" xr:uid="{B80CE1B8-22C8-47E1-A8AF-FDC9090B94FC}">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2645" authorId="0" shapeId="0" xr:uid="{643A4AC0-9972-41FF-A1D7-C41000E68818}">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2646" authorId="0" shapeId="0" xr:uid="{267A59CB-65A5-4A0F-955B-174C336A6D1E}">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2646" authorId="0" shapeId="0" xr:uid="{C80E6666-B0E3-48C2-8595-04CAEF875F6E}">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2646" authorId="0" shapeId="0" xr:uid="{B38041B0-5EDA-45D9-BFA2-671F0B1FB608}">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2647" authorId="0" shapeId="0" xr:uid="{00C263C3-9AEB-4E1B-BE53-8E50CB507410}">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2647" authorId="0" shapeId="0" xr:uid="{C148919D-092C-41C9-81CD-2FC051A81AAE}">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2647" authorId="0" shapeId="0" xr:uid="{6241760D-B8A8-4E65-8F63-4B7471C41AEA}">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2648" authorId="1" shapeId="0" xr:uid="{754F74EE-8CE2-4995-86DB-D632A1BDA192}">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2648" authorId="1" shapeId="0" xr:uid="{5F04C1BE-038B-4E82-8151-1B6F7C3541AA}">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2648" authorId="1" shapeId="0" xr:uid="{324AEF6A-8CF0-422D-9359-0F954D1B6B74}">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2649" authorId="1" shapeId="0" xr:uid="{1BAF06A5-E311-401E-9308-9B4E4E29758E}">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2649" authorId="1" shapeId="0" xr:uid="{F61C7EF1-C354-4478-BC98-B8C3DAAADA3D}">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2649" authorId="1" shapeId="0" xr:uid="{7C26DBFB-42E1-45A3-A8F2-FAE37323F58D}">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2650" authorId="1" shapeId="0" xr:uid="{000FF9F6-6F76-413C-8143-409DCD691E43}">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2650" authorId="1" shapeId="0" xr:uid="{3FFED277-7BC3-44A2-9A29-285AC74120C9}">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2650" authorId="1" shapeId="0" xr:uid="{8D444529-80B9-4AC7-BE3D-5FF9A259878C}">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2651" authorId="0" shapeId="0" xr:uid="{8B380853-2CF7-4CEA-A396-E81F5D846627}">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2651" authorId="0" shapeId="0" xr:uid="{A713F4DA-3064-4AD7-B556-F0AE47C7F30C}">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2651" authorId="0" shapeId="0" xr:uid="{166FBF33-E595-40CF-AAD6-7463FB0C0ED1}">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2652" authorId="0" shapeId="0" xr:uid="{16491214-7AB4-4FAA-A86B-4C2943F655A8}">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2652" authorId="0" shapeId="0" xr:uid="{837F7D9F-7804-4377-99B2-0715C5C290BA}">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2652" authorId="0" shapeId="0" xr:uid="{ECF3B8C4-A66F-416D-8755-51ECE99A28A5}">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2653" authorId="1" shapeId="0" xr:uid="{9BF541B8-AA30-4BC5-A9CA-A33635A88214}">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2659" authorId="0" shapeId="0" xr:uid="{87EEB880-1004-4837-A857-26CA4590CAD9}">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2659" authorId="0" shapeId="0" xr:uid="{A6B6CA83-108B-4808-AFE1-EC3F6E0933A8}">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2659" authorId="0" shapeId="0" xr:uid="{FE592958-A8C9-4675-8FD9-A46B8FE94848}">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2660" authorId="0" shapeId="0" xr:uid="{976DF967-2319-4F23-957E-B4BB697F9CEE}">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2660" authorId="0" shapeId="0" xr:uid="{DC1FEF01-8366-4DB4-B405-B72357E05210}">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2660" authorId="0" shapeId="0" xr:uid="{751495FE-5EA9-49F0-973B-9FC93BCA5CE7}">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2661" authorId="0" shapeId="0" xr:uid="{A194C43C-BE2D-4BFE-B1C9-5FDE2AFB111B}">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2661" authorId="0" shapeId="0" xr:uid="{5604E522-8A1F-43F8-9F00-9C7953DA30FC}">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2661" authorId="0" shapeId="0" xr:uid="{C5D714A3-6D0B-4741-9BD3-5B3849331158}">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2662" authorId="0" shapeId="0" xr:uid="{6AFB5D8F-B082-43E8-BDA3-5CA01F32F28C}">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2662" authorId="0" shapeId="0" xr:uid="{8A066E1A-025D-4D7F-99A9-A7995243B09B}">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2662" authorId="0" shapeId="0" xr:uid="{5C5333EA-456B-45D6-91DD-5A7350C3BC89}">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2663" authorId="1" shapeId="0" xr:uid="{67FE57C8-80ED-4779-8EE1-2919E7B87BFF}">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2663" authorId="1" shapeId="0" xr:uid="{83B4DF30-E264-44C1-9740-4C16704741FE}">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2663" authorId="1" shapeId="0" xr:uid="{478BAA9D-DCC4-4F7E-B4D0-6B7B20DCE786}">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2664" authorId="1" shapeId="0" xr:uid="{46F7120A-AAED-4F28-893A-DFEEA2B4B0E0}">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2664" authorId="1" shapeId="0" xr:uid="{0599AA81-20DA-4089-87A2-EDA39F37E749}">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2664" authorId="1" shapeId="0" xr:uid="{5AE28ACF-BEA2-44C0-82AB-6109B2A0598F}">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2665" authorId="1" shapeId="0" xr:uid="{41535361-EB78-41EF-8299-DE6A1FCD03E2}">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2665" authorId="1" shapeId="0" xr:uid="{700D39DC-1E34-4E4F-BEA8-C1EF76517A80}">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2665" authorId="1" shapeId="0" xr:uid="{F8A94D35-D4F3-4F07-8ECC-9195C1EE3C00}">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2666" authorId="0" shapeId="0" xr:uid="{A1E93414-08F7-4ED8-81F0-D084A0D9704F}">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2666" authorId="0" shapeId="0" xr:uid="{C51DFF51-1AD3-4B92-93A3-AE6C47503C81}">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2666" authorId="0" shapeId="0" xr:uid="{02FBC744-0CC3-4EF4-B913-87235F8703F3}">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2667" authorId="0" shapeId="0" xr:uid="{E65E9C3F-6ACA-4C5F-941E-806C4D8FA0E0}">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2667" authorId="0" shapeId="0" xr:uid="{FD66C7D0-BA3E-4EF8-B502-C23ED4B45B10}">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2667" authorId="0" shapeId="0" xr:uid="{4A724E3E-3B1D-4493-AC2B-3E08A8B1E815}">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2668" authorId="1" shapeId="0" xr:uid="{8776D6F8-4F60-4BF1-BA13-ABB2CAF71A05}">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2674" authorId="0" shapeId="0" xr:uid="{0BF0E7CE-B741-442A-92F6-BBDC5A19DF25}">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2674" authorId="0" shapeId="0" xr:uid="{CEB23066-9C72-4C3D-9C92-9280AEB883CA}">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2674" authorId="0" shapeId="0" xr:uid="{C7AF718D-E6CB-448B-A9EE-7F23BB574ADF}">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2675" authorId="0" shapeId="0" xr:uid="{AA7A509F-9A54-4615-AAF8-A092F08CFF7D}">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2675" authorId="0" shapeId="0" xr:uid="{4CF1B215-5589-4597-9355-ECA1D161A770}">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2675" authorId="0" shapeId="0" xr:uid="{5EED0CF9-967E-4726-BAC2-309595069E92}">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2676" authorId="0" shapeId="0" xr:uid="{201D82DE-9A81-4E8B-B41B-48582261E271}">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2676" authorId="0" shapeId="0" xr:uid="{E804DD88-8E6E-4D26-B906-1B08F5A51BB0}">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2676" authorId="0" shapeId="0" xr:uid="{BB178A51-7EEC-4B63-864B-AA6CFDC3E0BC}">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2677" authorId="0" shapeId="0" xr:uid="{DAD0CDE9-76E9-4FBE-96D1-2E09F47C190D}">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2677" authorId="0" shapeId="0" xr:uid="{61562381-044A-4239-9641-FEA9D1B0A632}">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2677" authorId="0" shapeId="0" xr:uid="{73E233FB-612B-49C1-AA85-2D48F781F6A0}">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2678" authorId="1" shapeId="0" xr:uid="{B8DA1195-FA56-4037-BD3A-7D96E867BBEC}">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2678" authorId="1" shapeId="0" xr:uid="{FA987BF9-39D5-4023-A8FB-1F578C7AED90}">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2678" authorId="1" shapeId="0" xr:uid="{88D5CE29-DED5-4904-AC6F-9AC744E970FA}">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2679" authorId="1" shapeId="0" xr:uid="{77391A46-C0A1-441E-B435-85D0DC438D45}">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2679" authorId="1" shapeId="0" xr:uid="{CF7ECAAC-1D57-4130-AE4E-80A7D97CD7A1}">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2679" authorId="1" shapeId="0" xr:uid="{28B5B60A-BBCE-4F25-9A2D-2A1843401ED0}">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2680" authorId="1" shapeId="0" xr:uid="{184E6065-CA06-4A63-A7AB-523A93255B1B}">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2680" authorId="1" shapeId="0" xr:uid="{5FC8C5F9-0E70-4C67-9D45-45BA7F8FBA94}">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2680" authorId="1" shapeId="0" xr:uid="{A4CC718A-08A7-464F-B0EB-4598CD5B4F94}">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2681" authorId="0" shapeId="0" xr:uid="{0590D715-BBB4-4610-ADE2-62527E9408A7}">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2681" authorId="0" shapeId="0" xr:uid="{BA2B944B-F561-4742-97F1-0D44BD65B09B}">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2681" authorId="0" shapeId="0" xr:uid="{E8357DE2-AA27-4A1E-B8D2-5048FBF2907D}">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2682" authorId="0" shapeId="0" xr:uid="{8572200D-CD2D-4485-91E7-60D3524C72CD}">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2682" authorId="0" shapeId="0" xr:uid="{80CF756D-C54F-44CE-A00B-A95BDB5ED19A}">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2682" authorId="0" shapeId="0" xr:uid="{06DA14F1-44B7-4643-98AE-395EA99CD3C9}">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2683" authorId="1" shapeId="0" xr:uid="{19395A61-1556-47EC-B691-9275590AD105}">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2689" authorId="0" shapeId="0" xr:uid="{8D257F61-3796-4B6A-B401-E5C97D00EB00}">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2689" authorId="0" shapeId="0" xr:uid="{DEEC1317-7C71-4BC6-9C44-71DFA0D68803}">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2689" authorId="0" shapeId="0" xr:uid="{7FB04933-8132-4C86-9514-54E5DB614289}">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2690" authorId="0" shapeId="0" xr:uid="{CEB56A70-A18E-4F28-AEB9-F4E66E45D77F}">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2690" authorId="0" shapeId="0" xr:uid="{305D9A6C-7786-4230-9346-98D415C5178B}">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2690" authorId="0" shapeId="0" xr:uid="{016B2367-B6AB-40F5-822F-4ABD27EB0580}">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2691" authorId="0" shapeId="0" xr:uid="{3F049C1F-BA19-43C9-85F9-DA6CBAFFE71D}">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2691" authorId="0" shapeId="0" xr:uid="{066D1FDA-2050-478B-A57F-D79A6A57EC82}">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2691" authorId="0" shapeId="0" xr:uid="{4FEACBCF-F3D7-4B26-9E64-0FE12592E1CD}">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2692" authorId="0" shapeId="0" xr:uid="{6CA09748-613C-4D25-A8D7-45B9F9E4DC76}">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2692" authorId="0" shapeId="0" xr:uid="{70258823-B802-49A2-93FB-398DEC5DC399}">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2692" authorId="0" shapeId="0" xr:uid="{73ABFC56-9DB8-42CF-B698-156B137A99BC}">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2693" authorId="1" shapeId="0" xr:uid="{C49F7C4E-DA0D-497D-9764-7106B6F2B553}">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2693" authorId="1" shapeId="0" xr:uid="{9075FF13-B493-4707-8770-8A524E99AAD4}">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2693" authorId="1" shapeId="0" xr:uid="{3C32D9EE-CBA9-485A-B2C6-0ED01B6F8C52}">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2694" authorId="1" shapeId="0" xr:uid="{466F4DE8-7380-4978-94B7-5D3EE7A4F682}">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2694" authorId="1" shapeId="0" xr:uid="{68913217-1208-4BB9-82DD-D8AEC32878D8}">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2694" authorId="1" shapeId="0" xr:uid="{432DB5C8-BD2F-443D-A039-902A608DFD1D}">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2695" authorId="1" shapeId="0" xr:uid="{E69D76AC-39C2-4F6A-A635-55507768C79C}">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2695" authorId="1" shapeId="0" xr:uid="{64896209-7323-459C-9510-4E90DAA83473}">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2695" authorId="1" shapeId="0" xr:uid="{E14A7661-2BBC-4348-A23D-3A133815C21B}">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2696" authorId="0" shapeId="0" xr:uid="{AA2408CD-3022-44A1-AB99-16864B2834C9}">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2696" authorId="0" shapeId="0" xr:uid="{08B3EF7E-DCCE-4240-8557-5FEF4AE97D96}">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2696" authorId="0" shapeId="0" xr:uid="{27D112EB-52D9-41D4-B274-9B1587AFC841}">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2697" authorId="0" shapeId="0" xr:uid="{1B9EA8BB-E2A4-4412-B176-E41DB51AA1DE}">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2697" authorId="0" shapeId="0" xr:uid="{09802268-3798-4DE6-AEA2-12D8F2602C51}">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2697" authorId="0" shapeId="0" xr:uid="{44438500-CF3D-42A4-8929-660AAA1A20FA}">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2698" authorId="1" shapeId="0" xr:uid="{FE4F8573-7E26-4288-B812-88444ED3B527}">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2704" authorId="0" shapeId="0" xr:uid="{2184772F-1065-4094-BDCF-E0D57F12421F}">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2704" authorId="0" shapeId="0" xr:uid="{2F43231D-8935-44A8-BA12-6E12D1FD4665}">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2704" authorId="0" shapeId="0" xr:uid="{03F28406-A494-4008-BC06-B42341C0AB17}">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2705" authorId="0" shapeId="0" xr:uid="{313AF2C0-98C8-4013-A4A3-90D8200599CF}">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2705" authorId="0" shapeId="0" xr:uid="{0B0BB935-06CA-41A7-BAD5-A2BDA854222B}">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2705" authorId="0" shapeId="0" xr:uid="{7EC73E45-388F-4DA9-8F16-7A32E4EA9F1E}">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2706" authorId="0" shapeId="0" xr:uid="{C5AECFA2-4343-4CC9-8364-D9D490055947}">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2706" authorId="0" shapeId="0" xr:uid="{8C0CC1C3-90BF-4873-892C-8214727BF3B9}">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2706" authorId="0" shapeId="0" xr:uid="{68110976-3521-498E-BB52-180B6A767247}">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2707" authorId="0" shapeId="0" xr:uid="{6914FD11-A852-4E3E-8D26-7C10E3E0CE6C}">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2707" authorId="0" shapeId="0" xr:uid="{9F34F493-9670-4BE7-9C43-81332E6BAD0E}">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2707" authorId="0" shapeId="0" xr:uid="{EBD68339-D6DB-49D9-9614-FDE3F720B897}">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2708" authorId="1" shapeId="0" xr:uid="{DC4A32E0-28A6-4240-BF4A-AC5C94B52343}">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2708" authorId="1" shapeId="0" xr:uid="{CFC54F00-5F05-485E-A027-19F47357578A}">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2708" authorId="1" shapeId="0" xr:uid="{813FAC4E-299E-496A-A84B-E7D1B0F75DAE}">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2709" authorId="1" shapeId="0" xr:uid="{7555BC77-AF37-4EBC-AEE1-7CE95FFAA6DC}">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2709" authorId="1" shapeId="0" xr:uid="{5F946F66-E821-45DE-AB0F-F477930DDB61}">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2709" authorId="1" shapeId="0" xr:uid="{2B3778FF-4343-4DC7-BB33-666138AE8EBD}">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2710" authorId="1" shapeId="0" xr:uid="{6C76DB85-4FAB-43E7-9B15-7556888DA352}">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2710" authorId="1" shapeId="0" xr:uid="{419947DA-DC6E-4132-A53A-CC2CA24F35AA}">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2710" authorId="1" shapeId="0" xr:uid="{A322C0A1-EA68-4871-8121-9415E5E9B37A}">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2711" authorId="0" shapeId="0" xr:uid="{FF0C8702-463B-41B3-95B3-CEB10138706D}">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2711" authorId="0" shapeId="0" xr:uid="{D834ECEA-21FE-4E31-B8AE-0A38E954763E}">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2711" authorId="0" shapeId="0" xr:uid="{950DABE8-F7B7-497B-A31C-00B8EBA540F1}">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2712" authorId="0" shapeId="0" xr:uid="{FFB0F877-9A1F-4475-ACCD-F82B27203996}">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2712" authorId="0" shapeId="0" xr:uid="{10A79A8E-3062-40F9-B047-4555E7D25A9C}">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2712" authorId="0" shapeId="0" xr:uid="{20CC15C2-9D83-44EF-A8FB-05CF1543CC59}">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2713" authorId="1" shapeId="0" xr:uid="{5DBFC1B4-4DA7-44F3-A2A4-F69965BA5AB8}">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2719" authorId="0" shapeId="0" xr:uid="{EB57F91C-DD47-40A5-BD50-627692A90C6C}">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2719" authorId="0" shapeId="0" xr:uid="{5F65374C-37EB-4F0D-B68F-01898D375117}">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2719" authorId="0" shapeId="0" xr:uid="{C145A0F3-A7E1-4954-8674-A2F31C282FCD}">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2720" authorId="0" shapeId="0" xr:uid="{A0E31D12-F03A-4439-9ABF-87FE5C2A972F}">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2720" authorId="0" shapeId="0" xr:uid="{7C0E6E9A-78F8-4D4F-B7DB-3486F5C0A15C}">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2720" authorId="0" shapeId="0" xr:uid="{448042E8-A28E-42DE-8B69-DF12FBF183F7}">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2721" authorId="0" shapeId="0" xr:uid="{EF02B2F1-5518-4F09-AE8B-20D79A14E97A}">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2721" authorId="0" shapeId="0" xr:uid="{E64F72B3-A36C-4CD6-8734-07B5AB2F5576}">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2721" authorId="0" shapeId="0" xr:uid="{B6C7078C-22AE-41A3-879E-086371F44041}">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2722" authorId="0" shapeId="0" xr:uid="{1301B2B5-EC6E-4B9E-BF22-987AC4AF826D}">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2722" authorId="0" shapeId="0" xr:uid="{D7121286-BEF6-4AE1-9586-865AF221B441}">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2722" authorId="0" shapeId="0" xr:uid="{B570C8B8-55CC-41BB-96F4-FB253A7964DC}">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2723" authorId="1" shapeId="0" xr:uid="{E41AF90F-2A0D-46E5-A6BA-7AFCE2F6100B}">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2723" authorId="1" shapeId="0" xr:uid="{F410DD4F-09D0-45FE-B270-2720B7E77FEB}">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2723" authorId="1" shapeId="0" xr:uid="{0F27132D-1970-4FFA-9093-FBD2BE092190}">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2724" authorId="1" shapeId="0" xr:uid="{7FC723F5-155D-4044-8F3C-708DDD8DA2A0}">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2724" authorId="1" shapeId="0" xr:uid="{DE06708F-C20F-401F-B836-64262C3465E2}">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2724" authorId="1" shapeId="0" xr:uid="{5563A1EA-B988-4BA2-8462-BD0EC850E514}">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2725" authorId="1" shapeId="0" xr:uid="{E0B204BA-9F49-4CBB-AFFD-3E203F083D4E}">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2725" authorId="1" shapeId="0" xr:uid="{1C45E4A4-2CB6-40A2-A2F5-3209F33AC6ED}">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2725" authorId="1" shapeId="0" xr:uid="{8BDC4D03-C0B7-49B0-811D-A34437B33006}">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2726" authorId="0" shapeId="0" xr:uid="{4FE8B5D6-4C47-4FA3-9F66-4FBF2FA58E59}">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2726" authorId="0" shapeId="0" xr:uid="{7C566845-CFD2-46D3-B981-35A3CBF9710E}">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2726" authorId="0" shapeId="0" xr:uid="{667FE5E9-4E51-482B-8DF2-2B7F22B37FEE}">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2727" authorId="0" shapeId="0" xr:uid="{10E88E4B-A703-4D15-B82B-229693F525F2}">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2727" authorId="0" shapeId="0" xr:uid="{EE1EECA7-FC24-447D-9B53-D049F4DBEF4A}">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2727" authorId="0" shapeId="0" xr:uid="{CFC22724-E7F3-4359-A32C-6CBB5F69A8EE}">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2728" authorId="1" shapeId="0" xr:uid="{5FFD4DB1-325E-4376-B8FF-535BEE44F567}">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2734" authorId="0" shapeId="0" xr:uid="{CC87AD8A-C141-4C7C-A3A8-374DD09FAF3F}">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2734" authorId="0" shapeId="0" xr:uid="{BFF90AE1-6FEC-48F7-9962-9A360AC1D800}">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2734" authorId="0" shapeId="0" xr:uid="{A1D7DAD6-FA3F-4B01-AFFB-D5B7D966AE54}">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2735" authorId="0" shapeId="0" xr:uid="{CB0234B5-97C6-4DEF-AE5B-17597AF6B9F6}">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2735" authorId="0" shapeId="0" xr:uid="{FF717DCD-3801-4B5D-934B-66DC1A732A5B}">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2735" authorId="0" shapeId="0" xr:uid="{CB886318-4F76-45BB-A2DF-C6B1795F8898}">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2736" authorId="0" shapeId="0" xr:uid="{8A91B879-AA18-4888-9C97-85425C55D8BC}">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2736" authorId="0" shapeId="0" xr:uid="{56CF4659-6268-49ED-9116-C731F27C7E1E}">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2736" authorId="0" shapeId="0" xr:uid="{724767FF-EF3D-4A51-8985-F63125EDFD30}">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2737" authorId="0" shapeId="0" xr:uid="{DB0B1B5E-B0D1-4CA2-AC59-E54BE78BAFFB}">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2737" authorId="0" shapeId="0" xr:uid="{FB90A2DD-9EAB-49BC-9263-F2FE17C7B1A2}">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2737" authorId="0" shapeId="0" xr:uid="{0EFF4433-EA1D-4932-90F9-4C9A2455CA5C}">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2738" authorId="1" shapeId="0" xr:uid="{AF468FA5-DCCF-4AFA-9FB3-AB4E575480E4}">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2738" authorId="1" shapeId="0" xr:uid="{BEE3AADC-ACD8-43F6-A8E4-EEC75D425653}">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2738" authorId="1" shapeId="0" xr:uid="{75331FA8-9A40-413E-AFF4-6B2ED44D6055}">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2739" authorId="1" shapeId="0" xr:uid="{6D119E09-81CB-42ED-8292-F53854AA756D}">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2739" authorId="1" shapeId="0" xr:uid="{F4E0C696-64EE-4047-A3CA-27B8B793BBDE}">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2739" authorId="1" shapeId="0" xr:uid="{90210493-C67D-4DDF-8B2D-91C7E4E433A8}">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2740" authorId="1" shapeId="0" xr:uid="{C0C37FA9-D840-4B08-B956-015CE0D1B95A}">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2740" authorId="1" shapeId="0" xr:uid="{13A19F3D-B579-49B9-A2EF-53E48ED1BE49}">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2740" authorId="1" shapeId="0" xr:uid="{819ECE2B-6F84-4297-812E-12E6E7D4D254}">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2741" authorId="0" shapeId="0" xr:uid="{CACD9275-36B2-4779-8A5A-22AF8EE11C3F}">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2741" authorId="0" shapeId="0" xr:uid="{59EC50DD-5E3B-43AB-8351-80ACC1D3FE76}">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2741" authorId="0" shapeId="0" xr:uid="{6716F71D-88A4-4AAC-B983-105C08D39522}">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2742" authorId="0" shapeId="0" xr:uid="{31829318-D64C-4145-9D01-20A210543812}">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2742" authorId="0" shapeId="0" xr:uid="{757D0058-4E8A-4647-B10E-3E0434EB0211}">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2742" authorId="0" shapeId="0" xr:uid="{2B141C6E-B733-40E2-91CE-2E32C1A041F8}">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2743" authorId="1" shapeId="0" xr:uid="{CE947B12-A0CE-4143-92E0-98ED93B065D0}">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2749" authorId="0" shapeId="0" xr:uid="{57CF23F5-E174-45DD-8F55-5811B85CD903}">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2749" authorId="0" shapeId="0" xr:uid="{5238A455-4E3A-4208-A0A5-BF4C68453DA8}">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2749" authorId="0" shapeId="0" xr:uid="{E0ED89AD-9290-49F9-908A-E4E16EE8CECA}">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2750" authorId="0" shapeId="0" xr:uid="{0AEF480D-D563-4E99-85F9-34CDA92C555C}">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2750" authorId="0" shapeId="0" xr:uid="{E2F0C95A-94D4-44C6-8842-FB9A3E2C5A61}">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2750" authorId="0" shapeId="0" xr:uid="{7E2EE23D-12BE-481E-8F80-4C5A05C73062}">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2751" authorId="0" shapeId="0" xr:uid="{B8039F5E-D376-414F-8838-02B9E71BA7C7}">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2751" authorId="0" shapeId="0" xr:uid="{580EE5C6-5944-46A0-BEA0-60091C26D823}">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2751" authorId="0" shapeId="0" xr:uid="{4CE3A69E-0920-4F69-A7B6-2C01155F1871}">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2752" authorId="0" shapeId="0" xr:uid="{9FA007AC-959C-4EBF-9A87-721FCE5C979D}">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2752" authorId="0" shapeId="0" xr:uid="{58A65E58-8C56-4017-84A6-F9EBCF73EBD8}">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2752" authorId="0" shapeId="0" xr:uid="{075A5260-DEBC-430F-922E-8081E90B5215}">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2753" authorId="1" shapeId="0" xr:uid="{281B9851-5312-4142-B7F7-839C2AD22923}">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2753" authorId="1" shapeId="0" xr:uid="{DA2FEB4C-88DD-40F2-84B1-2DAF6262C9C1}">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2753" authorId="1" shapeId="0" xr:uid="{365B8622-9246-4D3C-8813-7D14B6F2B242}">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2754" authorId="1" shapeId="0" xr:uid="{08E6F153-CEFA-44A6-A14C-5FB28E5F03E5}">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2754" authorId="1" shapeId="0" xr:uid="{175D13D0-1F0B-4BC9-B099-730A2A0D1483}">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2754" authorId="1" shapeId="0" xr:uid="{F5C9C079-1EEB-4DEE-96FE-DC59E1F0D7BB}">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2755" authorId="1" shapeId="0" xr:uid="{333168A9-33D2-410F-A764-2EB5766AA587}">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2755" authorId="1" shapeId="0" xr:uid="{FFD3C733-0969-493D-9ADB-7BBA8A66D3C1}">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2755" authorId="1" shapeId="0" xr:uid="{62B21CE9-5FC7-4F9D-B740-9607E65C8D6D}">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2756" authorId="0" shapeId="0" xr:uid="{1962116A-AE5F-4852-9185-0C3E66F0757C}">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2756" authorId="0" shapeId="0" xr:uid="{71326199-736F-4EBF-8F46-EBB78B5ED251}">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2756" authorId="0" shapeId="0" xr:uid="{3CFE88FE-E0A9-4516-A63C-5194EB533CEC}">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2757" authorId="0" shapeId="0" xr:uid="{6DFB1616-8A32-4D79-A8D2-0209286DC87C}">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2757" authorId="0" shapeId="0" xr:uid="{9584CBFB-D542-4983-B064-BC2BA58121F8}">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2757" authorId="0" shapeId="0" xr:uid="{6BD2AF1E-064D-460C-B3D3-44902104D8D0}">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2758" authorId="1" shapeId="0" xr:uid="{4574F144-568F-4BAF-8837-30F87F5E3B4F}">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2764" authorId="0" shapeId="0" xr:uid="{04958B03-C797-450E-9676-3F2DFDD75DFB}">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2764" authorId="0" shapeId="0" xr:uid="{69EA29B4-CFED-497F-A13E-3697EFB48B43}">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2764" authorId="0" shapeId="0" xr:uid="{26D0D0D6-314B-4854-A273-A57D137872A9}">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2765" authorId="0" shapeId="0" xr:uid="{667049BD-3708-4DB5-B3F5-5CD2B2A565AF}">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2765" authorId="0" shapeId="0" xr:uid="{D8B2ED1C-CC06-435D-B31E-E55257CD98BA}">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2765" authorId="0" shapeId="0" xr:uid="{790522C0-006D-4545-B88A-EA9B8F76DE4B}">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2766" authorId="0" shapeId="0" xr:uid="{B6859D41-54AA-47D4-87E3-92B94D341F4A}">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2766" authorId="0" shapeId="0" xr:uid="{8DEAD660-0BFA-45A5-87CF-A89DDEBF8555}">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2766" authorId="0" shapeId="0" xr:uid="{520288F5-82F0-4472-B0F3-2E3049A7E561}">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2767" authorId="0" shapeId="0" xr:uid="{C6FB987D-FB4B-4912-B8D9-2E3D792E9B6A}">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2767" authorId="0" shapeId="0" xr:uid="{881C7982-3840-4252-AC59-4D8507A99531}">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2767" authorId="0" shapeId="0" xr:uid="{C3E14D0D-18E9-4C06-B9E2-14A63C52ACF7}">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2768" authorId="1" shapeId="0" xr:uid="{19A4112E-C9D2-496D-BB06-40D432166511}">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2768" authorId="1" shapeId="0" xr:uid="{9874CF11-9061-452C-9418-FEC73D7A6A0D}">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2768" authorId="1" shapeId="0" xr:uid="{1A00F756-617E-4C84-862A-147419428C53}">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2769" authorId="1" shapeId="0" xr:uid="{00F8317D-ED7C-4680-B6D4-B85E0CC76530}">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2769" authorId="1" shapeId="0" xr:uid="{23530A4D-D907-48BD-AE42-0F122DEA63B0}">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2769" authorId="1" shapeId="0" xr:uid="{16CAF4AE-E4FB-4BCB-8E14-84DD2654123A}">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2770" authorId="1" shapeId="0" xr:uid="{586B3896-7FC3-42CD-96B0-3452F033338E}">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2770" authorId="1" shapeId="0" xr:uid="{48655FF1-341C-40FF-B921-D64711BA3182}">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2770" authorId="1" shapeId="0" xr:uid="{CB3937F2-2A5B-41C4-B5AF-E1CAB75ADAAB}">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2771" authorId="0" shapeId="0" xr:uid="{25CE55CF-16C6-462A-9C0D-1C7D4633503F}">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2771" authorId="0" shapeId="0" xr:uid="{6B64FE6E-0F1E-4A17-8764-758E1BB12950}">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2771" authorId="0" shapeId="0" xr:uid="{AF03CA29-47E0-4606-8164-26124DF339BE}">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2772" authorId="0" shapeId="0" xr:uid="{8B9CB454-FBCD-46BD-ACDB-14D7F9D95A0B}">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2772" authorId="0" shapeId="0" xr:uid="{E0BD01CF-127F-4FE5-B6C6-DFA5DD56D13A}">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2772" authorId="0" shapeId="0" xr:uid="{0382CEB0-C3BE-4A8D-A051-944142A94EA7}">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2773" authorId="1" shapeId="0" xr:uid="{07E7659A-3130-4099-9A7E-5877CBA23CA1}">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2779" authorId="0" shapeId="0" xr:uid="{AF1C3954-3B03-4AB3-832B-14B3E7EF0F38}">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2779" authorId="0" shapeId="0" xr:uid="{FCD5E690-7AD6-49D7-B8C8-EEA5A174A87C}">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2779" authorId="0" shapeId="0" xr:uid="{54FB72D3-48A8-403F-89F3-EE0DF3E7D470}">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2780" authorId="0" shapeId="0" xr:uid="{F82C3E1A-23A9-4DE6-8E0A-3C12D436B71C}">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2780" authorId="0" shapeId="0" xr:uid="{4C968CB2-3494-4653-B657-A64EB5DA5F68}">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2780" authorId="0" shapeId="0" xr:uid="{00DF1BBE-DF38-437E-B906-AB15365BBD84}">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2781" authorId="0" shapeId="0" xr:uid="{EB29655F-D1D2-4761-A27B-65EE81FA59B9}">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2781" authorId="0" shapeId="0" xr:uid="{F0DFEEC9-B024-4EC5-8359-99F665AC4B84}">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2781" authorId="0" shapeId="0" xr:uid="{552FFCF4-4637-4049-9301-58208D80602C}">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2782" authorId="0" shapeId="0" xr:uid="{A4A75364-B52A-4532-98EF-D564A9EC0A29}">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2782" authorId="0" shapeId="0" xr:uid="{488037FA-DB0F-4B00-8424-778CD861CFB7}">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2782" authorId="0" shapeId="0" xr:uid="{6022F4F8-FDEE-4B93-8D04-6AC9110F3F8D}">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2783" authorId="1" shapeId="0" xr:uid="{D1A36E5F-F253-4CA9-8B14-71BAE1F09420}">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2783" authorId="1" shapeId="0" xr:uid="{7E5C97B0-B4B1-4515-8D12-D9FEDE75D921}">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2783" authorId="1" shapeId="0" xr:uid="{447D16BC-73F1-40D5-A109-44EFCCA7E3FE}">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2784" authorId="1" shapeId="0" xr:uid="{CFDC8E06-A0B4-4814-9188-DD5565A4AF7F}">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2784" authorId="1" shapeId="0" xr:uid="{1A78F7E8-1E3D-4DD2-B5D7-CCF9B0FFEC6D}">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2784" authorId="1" shapeId="0" xr:uid="{B8816D3A-CAE0-482B-AD0C-BDCCB1D190AD}">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2785" authorId="1" shapeId="0" xr:uid="{E4636250-874E-4418-B3E0-1AE023259103}">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2785" authorId="1" shapeId="0" xr:uid="{A33101F4-59A6-4FCA-966C-CAE5EC22A8D1}">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2785" authorId="1" shapeId="0" xr:uid="{B883F9E1-0966-4326-A07D-D0B104119ACD}">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2786" authorId="0" shapeId="0" xr:uid="{EC736FC9-14FE-4513-A2D0-25A2111C7B3E}">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2786" authorId="0" shapeId="0" xr:uid="{C695619F-87D0-413B-A353-9B03D97083DB}">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2786" authorId="0" shapeId="0" xr:uid="{F9D6E662-382D-4273-9E54-13A069BDEC7A}">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2787" authorId="0" shapeId="0" xr:uid="{23E07C58-D069-4421-888E-9B00E7740954}">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2787" authorId="0" shapeId="0" xr:uid="{F111DB1A-9BAB-40F8-871B-0D9ABD3F9393}">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2787" authorId="0" shapeId="0" xr:uid="{E6116578-293B-4F50-AB03-AB1C47E3C2A7}">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2788" authorId="1" shapeId="0" xr:uid="{BDB097D5-5184-4EB8-82D4-01CFCC1E8E86}">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2794" authorId="0" shapeId="0" xr:uid="{2F47EA88-F1A1-469B-9D0F-757A865D977B}">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2794" authorId="0" shapeId="0" xr:uid="{A074F50A-3BBD-4B18-89B2-503BADFA6008}">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2794" authorId="0" shapeId="0" xr:uid="{62AC4C8D-130A-4037-9F03-C88BCABB7230}">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2795" authorId="0" shapeId="0" xr:uid="{37783F06-B0A2-4940-BC09-6BE7F39A6660}">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2795" authorId="0" shapeId="0" xr:uid="{69C1984E-076E-4366-9466-599388C71439}">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2795" authorId="0" shapeId="0" xr:uid="{22AB634C-D808-41D4-AA72-996D200F00B7}">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2796" authorId="0" shapeId="0" xr:uid="{5C6D5525-52C8-455E-AE5F-666BFA9F53C3}">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2796" authorId="0" shapeId="0" xr:uid="{C7B8EDCD-1B99-4CE6-AC90-52440A93770B}">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2796" authorId="0" shapeId="0" xr:uid="{78D8A16A-896D-4877-85F2-732C72C66F2B}">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2797" authorId="0" shapeId="0" xr:uid="{71046E94-8176-4BD1-8AD3-E664DC8C4CDF}">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2797" authorId="0" shapeId="0" xr:uid="{FDD8011B-E4CE-42F7-B7CD-303E2022FFCF}">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2797" authorId="0" shapeId="0" xr:uid="{6F6E63C8-E505-42D7-A356-960B8F42DEB2}">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2798" authorId="1" shapeId="0" xr:uid="{F118DB07-A7DD-4B39-84F2-585F8C7BAA27}">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2798" authorId="1" shapeId="0" xr:uid="{36ED1F92-9B2C-4E4E-B4C8-43C85F250470}">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2798" authorId="1" shapeId="0" xr:uid="{BD94275B-DC6C-4F38-8B4A-E6FBB768836A}">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2799" authorId="1" shapeId="0" xr:uid="{9E6E8558-2FDE-4F09-9851-F9E5171CDCBA}">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2799" authorId="1" shapeId="0" xr:uid="{933A9522-4D30-4E87-BD90-EF82FCF9C98D}">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2799" authorId="1" shapeId="0" xr:uid="{6E155C44-C80C-4A4E-822E-19F342229CC8}">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2800" authorId="1" shapeId="0" xr:uid="{0172D88D-6F42-47F4-A618-571FDE10210D}">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2800" authorId="1" shapeId="0" xr:uid="{9F177E73-EB26-45B5-8DA3-51E090AB2F54}">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2800" authorId="1" shapeId="0" xr:uid="{61C86EBD-8B57-447E-8DCB-883A052F7A76}">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2801" authorId="0" shapeId="0" xr:uid="{505EC1D3-9862-4CD3-B4BB-57F83E497B11}">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2801" authorId="0" shapeId="0" xr:uid="{49A99B6E-3252-4015-AF7F-6EDF4141BCA2}">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2801" authorId="0" shapeId="0" xr:uid="{359ACCDB-849E-482C-BC60-BEDD1C2BA1AB}">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2802" authorId="0" shapeId="0" xr:uid="{222F57CD-F7A7-4C13-99DA-848566EA08EA}">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2802" authorId="0" shapeId="0" xr:uid="{870428CE-5D56-4B23-9683-841F0AC8ED1A}">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2802" authorId="0" shapeId="0" xr:uid="{28B77263-E8C0-4B9C-B35C-A7C758DACC46}">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2803" authorId="1" shapeId="0" xr:uid="{99FDEAF3-58EE-4FB0-9F49-757F8D58F896}">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2809" authorId="0" shapeId="0" xr:uid="{6525B5C5-2067-422F-8DA0-9A17661C67E0}">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2809" authorId="0" shapeId="0" xr:uid="{633E54AC-9058-4E63-B073-63A52B19EFFD}">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2809" authorId="0" shapeId="0" xr:uid="{3B77829F-716D-4F59-B1EB-9B639C150F62}">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2810" authorId="0" shapeId="0" xr:uid="{C2BB3F37-5A4D-407B-87F7-FE8C47CC824F}">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2810" authorId="0" shapeId="0" xr:uid="{512980C0-E737-451F-B776-DFFDAD194BDA}">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2810" authorId="0" shapeId="0" xr:uid="{931A8533-B5B1-4CD7-B469-664EFA933F0E}">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2811" authorId="0" shapeId="0" xr:uid="{38F09E4A-C967-4584-B482-3C0925E9EC20}">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2811" authorId="0" shapeId="0" xr:uid="{E58F925B-CA43-4B16-96D5-2E04F88DB19F}">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2811" authorId="0" shapeId="0" xr:uid="{21F413EC-2BE2-4C23-BF79-EEAC7A790B31}">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2812" authorId="0" shapeId="0" xr:uid="{387C17DF-9F0B-42A6-8FD6-365668220163}">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2812" authorId="0" shapeId="0" xr:uid="{ED231CCC-F4C9-4075-A29F-335322915D46}">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2812" authorId="0" shapeId="0" xr:uid="{32EAA66D-9FE8-4B7B-81D6-B38678823205}">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2813" authorId="1" shapeId="0" xr:uid="{00358C82-2126-4EA1-809A-39E058D71DD9}">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2813" authorId="1" shapeId="0" xr:uid="{4E69307B-49AD-4D84-9A32-660BDD12EFDA}">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2813" authorId="1" shapeId="0" xr:uid="{B88B8A45-662C-4299-BAF8-D79D16CAB115}">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2814" authorId="1" shapeId="0" xr:uid="{0551FC12-4BD3-4BFD-B128-12A5DE1FBE4A}">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2814" authorId="1" shapeId="0" xr:uid="{B14AE10A-AB55-4FEE-B3DD-A1F0448DBC8E}">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2814" authorId="1" shapeId="0" xr:uid="{98DDF0FD-2C77-43C2-95DE-556A746D8798}">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2815" authorId="1" shapeId="0" xr:uid="{AACB06F6-D997-43D2-869A-C8ED492F81A9}">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2815" authorId="1" shapeId="0" xr:uid="{CC018023-880D-40D9-A09C-A70B13839D62}">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2815" authorId="1" shapeId="0" xr:uid="{885103AA-6C13-4573-B397-81E07CD9B97D}">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2816" authorId="0" shapeId="0" xr:uid="{3E187FDC-6FDC-4132-8CD5-420100D13CFC}">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2816" authorId="0" shapeId="0" xr:uid="{33B3D5F5-80C4-4020-BDA4-15432F4382AE}">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2816" authorId="0" shapeId="0" xr:uid="{6A93C01A-BF23-43A4-BE41-D1E331E13B6E}">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2817" authorId="0" shapeId="0" xr:uid="{D67EA8FE-AE61-4D42-93B7-1105520FC891}">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2817" authorId="0" shapeId="0" xr:uid="{4706C645-1BB8-4CD5-95EC-5A3EB03332C9}">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2817" authorId="0" shapeId="0" xr:uid="{94561EBC-A82E-4C58-A357-85D5B4509778}">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2818" authorId="1" shapeId="0" xr:uid="{6DA31C14-61D8-4463-A18C-9E808621F884}">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2824" authorId="0" shapeId="0" xr:uid="{05982001-6EBC-4905-BE61-7067AE69576D}">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2824" authorId="0" shapeId="0" xr:uid="{B72CC566-BF1B-40F0-B33F-AF8E6C44D724}">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2824" authorId="0" shapeId="0" xr:uid="{F38E8124-7EAC-4B98-9590-38A1B96BC796}">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2825" authorId="0" shapeId="0" xr:uid="{95782853-0E39-423A-BA58-1CED6839F63D}">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2825" authorId="0" shapeId="0" xr:uid="{978440E5-632B-4E42-9F33-959A9E447FD0}">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2825" authorId="0" shapeId="0" xr:uid="{FD4AD202-1E13-4E0E-8DD3-FD343A447DE1}">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2826" authorId="0" shapeId="0" xr:uid="{AD29F799-094C-4749-BBC0-A3F193AE1217}">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2826" authorId="0" shapeId="0" xr:uid="{4CE83CA4-19E5-46AA-8D21-232BCC1DBC7C}">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2826" authorId="0" shapeId="0" xr:uid="{53A54482-213B-47BE-BB43-98E64974A41B}">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2827" authorId="0" shapeId="0" xr:uid="{9FD417B8-112C-4A6F-9C96-460E4742AD7C}">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2827" authorId="0" shapeId="0" xr:uid="{FF6F4313-BBEB-4545-9D80-3935F405D66C}">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2827" authorId="0" shapeId="0" xr:uid="{2E8636EC-129D-466B-A99E-20B7ECBEE6C4}">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2828" authorId="1" shapeId="0" xr:uid="{688471CF-6A50-460A-8616-E67620F5499C}">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2828" authorId="1" shapeId="0" xr:uid="{8D6EDCE6-2220-497F-93BB-445690D27571}">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2828" authorId="1" shapeId="0" xr:uid="{F7B4770B-2284-4EDC-8662-4B97B748AAFE}">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2829" authorId="1" shapeId="0" xr:uid="{1F656B9E-CB5B-4359-AC20-81C4AE853BD1}">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2829" authorId="1" shapeId="0" xr:uid="{0C1A040A-FD18-4B1B-9E83-6B529030430B}">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2829" authorId="1" shapeId="0" xr:uid="{145BF4DD-B471-4756-A3EF-2D065923A491}">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2830" authorId="1" shapeId="0" xr:uid="{4C6ED28D-6CE5-405D-BDF2-0A137BF1E6E5}">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2830" authorId="1" shapeId="0" xr:uid="{8F9AC15F-09BF-4211-A2C0-43E332EB108C}">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2830" authorId="1" shapeId="0" xr:uid="{93B04954-CD43-4551-B570-9211F4D74886}">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2831" authorId="0" shapeId="0" xr:uid="{8DEB73F5-26E5-484B-A5C4-3CFA7FF930FF}">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2831" authorId="0" shapeId="0" xr:uid="{961C2FA2-41F2-47C7-86A7-72EA580C7A94}">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2831" authorId="0" shapeId="0" xr:uid="{65ADA901-CF8E-463E-99B5-9317755A136D}">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2832" authorId="0" shapeId="0" xr:uid="{52017DEF-9F4A-4B9B-8478-AF27E69A9E77}">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2832" authorId="0" shapeId="0" xr:uid="{6E867F87-E453-4FC6-AECD-48302F3256D8}">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2832" authorId="0" shapeId="0" xr:uid="{F1A0324A-226F-4008-A569-A575AE568274}">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2833" authorId="1" shapeId="0" xr:uid="{144B7329-1A4B-467B-8ED0-C2489EB83D56}">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2839" authorId="0" shapeId="0" xr:uid="{E64EC1FF-A221-47BA-BBBB-E51AF7998402}">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2839" authorId="0" shapeId="0" xr:uid="{7F211A5E-5EC1-437E-904F-739DC9208A9A}">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2839" authorId="0" shapeId="0" xr:uid="{D09890C6-9355-4A07-B295-9EDC26E66CE4}">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2840" authorId="0" shapeId="0" xr:uid="{2E560873-58C7-4AFA-A579-B7F1972C242B}">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2840" authorId="0" shapeId="0" xr:uid="{4B5E329F-E0F7-4E5C-A6E1-9A5B7066661F}">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2840" authorId="0" shapeId="0" xr:uid="{025FA3B4-C91E-4B6A-9753-70E62CBDA908}">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2841" authorId="0" shapeId="0" xr:uid="{26FCAFE2-5322-434E-BF5D-36912DB58212}">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2841" authorId="0" shapeId="0" xr:uid="{3FED2693-FC43-4302-8FB8-978927B76981}">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2841" authorId="0" shapeId="0" xr:uid="{48512127-3275-4E21-8FD2-81D8494BF0AD}">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2842" authorId="0" shapeId="0" xr:uid="{7FFF9497-4CF7-4073-A210-709856F47A71}">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2842" authorId="0" shapeId="0" xr:uid="{ACA1BABC-7E23-4297-B138-DABA27B16D72}">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2842" authorId="0" shapeId="0" xr:uid="{F76E14FB-BC96-4218-80C0-87629B716ABF}">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2843" authorId="1" shapeId="0" xr:uid="{204E99E3-DE29-4456-9B09-9085B6BE1A1B}">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2843" authorId="1" shapeId="0" xr:uid="{B6B564F9-7BD2-4A54-9076-F90B9B829AE4}">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2843" authorId="1" shapeId="0" xr:uid="{0361243F-15A5-4C39-93A5-96D17AF17C0F}">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2844" authorId="1" shapeId="0" xr:uid="{E7917AE3-FC5D-4BD7-A677-FE3B1839A6E3}">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2844" authorId="1" shapeId="0" xr:uid="{707D169F-0A39-41E8-8B98-C40D15F9EDE3}">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2844" authorId="1" shapeId="0" xr:uid="{071CFA70-C696-4987-933E-D665B4FEC0E3}">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2845" authorId="1" shapeId="0" xr:uid="{D89F92DA-E7BC-4D81-AD9D-205E12EF7BDE}">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2845" authorId="1" shapeId="0" xr:uid="{46180925-E92E-4A42-93B2-BEFEF6B17B99}">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2845" authorId="1" shapeId="0" xr:uid="{B700ABDA-07AA-4F7D-8A4F-45054A0C75F6}">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2846" authorId="0" shapeId="0" xr:uid="{3345237A-A6F7-41F5-BEB9-5D686F909B08}">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2846" authorId="0" shapeId="0" xr:uid="{B557E919-4DC1-459E-9E8E-3EA03C0BECC0}">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2846" authorId="0" shapeId="0" xr:uid="{2965FD1C-10AB-4005-BB3A-DC8242D80BFE}">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2847" authorId="0" shapeId="0" xr:uid="{792F8338-2404-44EF-B10D-790A5E48DC7F}">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2847" authorId="0" shapeId="0" xr:uid="{7D96C2CE-23C7-4B27-917B-21775C2C7E26}">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2847" authorId="0" shapeId="0" xr:uid="{F9A49551-71F1-4F65-8933-0C000098B650}">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2848" authorId="1" shapeId="0" xr:uid="{35E9EDFF-D2E4-4CAA-8E60-39D6BC615516}">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2854" authorId="0" shapeId="0" xr:uid="{D5CB9C17-3CF2-404A-BF37-60F639445FFA}">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2854" authorId="0" shapeId="0" xr:uid="{1A7448D6-2B41-423F-A7AB-74A63EE5B06B}">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2854" authorId="0" shapeId="0" xr:uid="{A3038CC1-CFDE-40F5-949E-6C48FAAE26C8}">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2855" authorId="0" shapeId="0" xr:uid="{946870EA-7EA7-451A-A092-72A42E1A9425}">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2855" authorId="0" shapeId="0" xr:uid="{49FDC393-210D-40A5-AEB6-651AB9AA7477}">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2855" authorId="0" shapeId="0" xr:uid="{276E1D4D-79D0-4426-AF94-57F9CC6B5122}">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2856" authorId="0" shapeId="0" xr:uid="{B04BAF94-CF77-4AFF-B52D-329ED5DC2DBD}">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2856" authorId="0" shapeId="0" xr:uid="{7D14D3D3-4E65-40EA-A8DA-AE3E11D16F62}">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2856" authorId="0" shapeId="0" xr:uid="{843D0EFA-2D55-4609-912A-8171C3A584AF}">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2857" authorId="0" shapeId="0" xr:uid="{D3FDFEA5-8F41-458B-A23D-CEE149D2F531}">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2857" authorId="0" shapeId="0" xr:uid="{989AC347-1DD6-4F64-BDF5-E90979BE4CEC}">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2857" authorId="0" shapeId="0" xr:uid="{4511CB89-00D8-4E0A-9637-48B40E3658B4}">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2858" authorId="1" shapeId="0" xr:uid="{8A7006B9-440F-4A18-B844-A2367FC32600}">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2858" authorId="1" shapeId="0" xr:uid="{178DFC7F-1511-421F-9B12-DE72F52E0990}">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2858" authorId="1" shapeId="0" xr:uid="{CFE3253E-30D5-467F-8D14-C26B11DC21F1}">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2859" authorId="1" shapeId="0" xr:uid="{837CEAB8-E137-4200-BDAF-AAA674EEF55D}">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2859" authorId="1" shapeId="0" xr:uid="{F45EA39F-3215-4F9D-9D28-191AC4F97B8E}">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2859" authorId="1" shapeId="0" xr:uid="{80989235-5990-4A02-87DD-3B19E64DB9CC}">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2860" authorId="1" shapeId="0" xr:uid="{6297A1D3-EFF4-4925-9390-D35C3DD1162E}">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2860" authorId="1" shapeId="0" xr:uid="{7007C9A1-C42C-4FF6-9F5A-FB2B404556BB}">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2860" authorId="1" shapeId="0" xr:uid="{02140CF4-C3A8-4DCF-8529-6E95D349F466}">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2861" authorId="0" shapeId="0" xr:uid="{9C54FCAC-1F29-455E-9114-5555C533A333}">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2861" authorId="0" shapeId="0" xr:uid="{ABBC1758-8272-49E7-96A1-F854F09429E6}">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2861" authorId="0" shapeId="0" xr:uid="{4ED1B867-F820-4253-BB9B-D2C448CDFBFA}">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2862" authorId="0" shapeId="0" xr:uid="{7149CB8C-1B30-4953-BC84-7B758C1B38F9}">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2862" authorId="0" shapeId="0" xr:uid="{17B14EBF-2DDD-435B-9A32-AE5A6EFA6F96}">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2862" authorId="0" shapeId="0" xr:uid="{3B1A9577-5883-49B9-825F-DE3A806CA527}">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2863" authorId="1" shapeId="0" xr:uid="{FD67376F-97E5-4015-A704-2EDD7B1499E8}">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2869" authorId="0" shapeId="0" xr:uid="{BF339688-F2DA-4CD5-8B5A-735E6F575940}">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2869" authorId="0" shapeId="0" xr:uid="{2891142D-FED2-457B-A1E9-0FE386D95126}">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2869" authorId="0" shapeId="0" xr:uid="{E426B8BE-B638-4F07-BF69-F8C56E8E0FCF}">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2870" authorId="0" shapeId="0" xr:uid="{DF71FFFF-9D4F-45A3-B0AD-8A4CBF9E3AC2}">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2870" authorId="0" shapeId="0" xr:uid="{87468430-81BF-4CB2-A823-AD9FD546979F}">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2870" authorId="0" shapeId="0" xr:uid="{AE4D0446-FAC6-4F64-9712-EA11F4F8077B}">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2871" authorId="0" shapeId="0" xr:uid="{7DB1B129-D146-41EE-B5D5-D65CD14BAE2A}">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2871" authorId="0" shapeId="0" xr:uid="{F5CD3726-5338-4492-9CDD-F75A7CD32EF8}">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2871" authorId="0" shapeId="0" xr:uid="{290ED9CB-FF36-4403-ACDC-D509BFFE7D84}">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2872" authorId="0" shapeId="0" xr:uid="{7754379F-1923-4C4D-8B08-47DB631DAB4F}">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2872" authorId="0" shapeId="0" xr:uid="{FD88E9F9-C6A6-4E11-ABE6-CCA3BE5508F4}">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2872" authorId="0" shapeId="0" xr:uid="{A6CF959C-3CB2-493F-A33B-5BFB1369D6AA}">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2873" authorId="1" shapeId="0" xr:uid="{618E96B7-901A-47AB-9120-CD92E65F0E56}">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2873" authorId="1" shapeId="0" xr:uid="{AC53F817-9483-41A8-9953-57096B098D20}">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2873" authorId="1" shapeId="0" xr:uid="{CAE1D1F1-6D85-43D9-B7FC-D409D16B33EA}">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2874" authorId="1" shapeId="0" xr:uid="{6B3BBE76-64B0-49E1-A0D1-15F0BF17326F}">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2874" authorId="1" shapeId="0" xr:uid="{14594850-8356-45ED-B88F-4579EF75584E}">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2874" authorId="1" shapeId="0" xr:uid="{9604B3C5-C0F4-4E10-A133-69C882DFDE83}">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2875" authorId="1" shapeId="0" xr:uid="{E04FEA5D-3ED0-4EB0-9DEC-28C994090122}">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2875" authorId="1" shapeId="0" xr:uid="{E8B24ED5-3B81-403E-9A0E-EB8B97BE3A3C}">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2875" authorId="1" shapeId="0" xr:uid="{109A0BC6-114C-4BD1-8368-41168F63934E}">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2876" authorId="0" shapeId="0" xr:uid="{80C7C2AF-1C7B-4BAC-9BF8-BE651F9FDE43}">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2876" authorId="0" shapeId="0" xr:uid="{809F1317-2E7A-4ABC-8D44-68F2F1BEA34D}">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2876" authorId="0" shapeId="0" xr:uid="{F305EC4F-B00F-4D31-9FF4-2394E3BED0AE}">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2877" authorId="0" shapeId="0" xr:uid="{FF05FFE1-B9FB-43AD-953A-CBA7161D0B50}">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2877" authorId="0" shapeId="0" xr:uid="{27352EBB-BCAC-4A54-B81E-BD62DEA208D4}">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2877" authorId="0" shapeId="0" xr:uid="{274437E9-65E0-4631-9C92-F294008E92DE}">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2878" authorId="1" shapeId="0" xr:uid="{0929CD98-E49D-4205-BF09-CA646F828982}">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2884" authorId="0" shapeId="0" xr:uid="{4FD8518B-4F08-44A4-9A0A-CFB95CC8DC1C}">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2884" authorId="0" shapeId="0" xr:uid="{EA8C70AD-7653-4118-8AC9-D4CD31A52C59}">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2884" authorId="0" shapeId="0" xr:uid="{29DAC068-D7B8-4BE2-8E5D-BB7B4AF47421}">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2885" authorId="0" shapeId="0" xr:uid="{65EF43D9-19F7-4861-A506-8167E9470799}">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2885" authorId="0" shapeId="0" xr:uid="{025FCD1F-AC2F-4BC3-8501-19913D9A7F22}">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2885" authorId="0" shapeId="0" xr:uid="{0681DB5F-945F-4B8A-856E-F16EF39E5229}">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2886" authorId="0" shapeId="0" xr:uid="{1A606957-0EC9-4931-B51C-42B1FC2C1DCB}">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2886" authorId="0" shapeId="0" xr:uid="{EC660967-A0AE-465D-B8EB-C4708E6423ED}">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2886" authorId="0" shapeId="0" xr:uid="{A77588AC-FC42-4D45-BB7A-1DADCD555FE4}">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2887" authorId="0" shapeId="0" xr:uid="{4B0CE406-4860-40B3-ADD8-78D640B5E459}">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2887" authorId="0" shapeId="0" xr:uid="{93322D6F-844F-4204-B5B5-2D29240F0B5F}">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2887" authorId="0" shapeId="0" xr:uid="{FB785868-BEBC-458E-9C8C-D877CB097821}">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2888" authorId="1" shapeId="0" xr:uid="{C5E84761-A34A-4A10-A896-84412EB24E13}">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2888" authorId="1" shapeId="0" xr:uid="{B464924F-C270-4B1A-A107-6A5F7BB282AE}">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2888" authorId="1" shapeId="0" xr:uid="{D476B17D-1B5D-4253-B94E-49D9FE74E4EC}">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2889" authorId="1" shapeId="0" xr:uid="{841C981B-7EEB-4809-810D-980E5B8B4FFB}">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2889" authorId="1" shapeId="0" xr:uid="{CC94371A-6593-49F7-81AD-C6B9961E19F5}">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2889" authorId="1" shapeId="0" xr:uid="{36AF11D4-EDAC-45C5-8031-EF1B0E2A344A}">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2890" authorId="1" shapeId="0" xr:uid="{AE4BF928-3FC4-4397-B1F0-7C953323E886}">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2890" authorId="1" shapeId="0" xr:uid="{6ED44996-38C2-4EC9-8494-204DD3B9B379}">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2890" authorId="1" shapeId="0" xr:uid="{EDA9B31D-7350-4C17-BD15-0DCC9E95663A}">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2891" authorId="0" shapeId="0" xr:uid="{F1F12178-40D3-4354-AB57-F6132E8AD706}">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2891" authorId="0" shapeId="0" xr:uid="{AC521C4C-8557-41CB-9AC9-A7E0CDA486B9}">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2891" authorId="0" shapeId="0" xr:uid="{A0D2D558-191F-49B3-95D5-8312B0CBA0D7}">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2892" authorId="0" shapeId="0" xr:uid="{5EF62518-4358-49A0-B6E0-02F58FB29ADF}">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2892" authorId="0" shapeId="0" xr:uid="{B062E096-89B7-462E-924A-45F9970F62DE}">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2892" authorId="0" shapeId="0" xr:uid="{1EFA1063-1A39-4B5F-9699-67CB7E99BEB6}">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R2899" authorId="0" shapeId="0" xr:uid="{F418281B-5065-4A68-9269-F1127586F224}">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2899" authorId="0" shapeId="0" xr:uid="{CA4073B2-DB0A-4E4A-A799-BC15AC86CC3D}">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2899" authorId="0" shapeId="0" xr:uid="{E88EA535-E622-489A-A8A6-BA15C3723F6D}">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2900" authorId="0" shapeId="0" xr:uid="{254F284D-0196-44E6-A831-CB76F3868CF7}">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2900" authorId="0" shapeId="0" xr:uid="{CB018504-8702-4FEB-BC54-DEAE23AC6930}">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2900" authorId="0" shapeId="0" xr:uid="{46A8BDDC-20EC-4807-BD9A-8463E998B123}">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2901" authorId="0" shapeId="0" xr:uid="{87CF7C3F-191F-4614-B29F-8643EE135668}">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2901" authorId="0" shapeId="0" xr:uid="{3B80B53A-DFD4-4DD2-B735-2B43544A4EAB}">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2901" authorId="0" shapeId="0" xr:uid="{11B547CF-6858-4EF9-87FC-F0D33C1B9690}">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2902" authorId="0" shapeId="0" xr:uid="{64E0D60A-8C1E-4936-A93F-5EEDAB687FEE}">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2902" authorId="0" shapeId="0" xr:uid="{BB2C0E67-DF42-40F3-9DA8-3F976B282776}">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2902" authorId="0" shapeId="0" xr:uid="{38DCA906-B829-4E54-8882-DA479B6D19D1}">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2903" authorId="1" shapeId="0" xr:uid="{0C8B2384-BC3A-4ED9-8D95-D490E41B22C6}">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2903" authorId="1" shapeId="0" xr:uid="{71412740-BDBF-4835-BA6D-85E484C15975}">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2903" authorId="1" shapeId="0" xr:uid="{063C994E-C44F-4E4E-BDDE-60D0D1580BF1}">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2904" authorId="1" shapeId="0" xr:uid="{B1359EBB-A398-4088-8AAB-6562FFC7E1C3}">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2904" authorId="1" shapeId="0" xr:uid="{74A3CDAF-A290-4D2C-B11D-9AF0C9AED532}">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2904" authorId="1" shapeId="0" xr:uid="{9C55E12F-6030-40B1-A3E0-4E5F89E92265}">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2905" authorId="1" shapeId="0" xr:uid="{C866DA08-692E-4D38-B59C-023E81989CE6}">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2905" authorId="1" shapeId="0" xr:uid="{C1D1D282-2260-4726-9A45-D4C295814E8A}">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2905" authorId="1" shapeId="0" xr:uid="{6CE1755E-226E-4237-B798-20076C948E9A}">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2906" authorId="0" shapeId="0" xr:uid="{F456C280-A1D3-4F0A-8526-58D80CF7B3BE}">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2906" authorId="0" shapeId="0" xr:uid="{B7EF8CFF-3E44-4612-A62B-20926739FF21}">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2906" authorId="0" shapeId="0" xr:uid="{11AD5C6C-665E-4CD2-8EB4-CA074C620430}">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2907" authorId="0" shapeId="0" xr:uid="{C5E8FD05-FABE-4FA8-BF6B-DAAEB90C5026}">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2907" authorId="0" shapeId="0" xr:uid="{73FF4628-AE3B-4313-A0AD-646EC63B504E}">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2907" authorId="0" shapeId="0" xr:uid="{EB9901EB-7FF7-4E07-B73D-A6EF7A98ED0F}">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2908" authorId="1" shapeId="0" xr:uid="{7809A023-BB44-4092-92E8-B2B600A41D44}">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2914" authorId="0" shapeId="0" xr:uid="{0C6BCDC3-885A-4D7F-998E-02EB8AAC75D0}">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2914" authorId="0" shapeId="0" xr:uid="{0F314C24-DDD6-4BF2-9013-92926D25D867}">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2914" authorId="0" shapeId="0" xr:uid="{35CC35A3-7E6C-4076-B719-0AAA9562CD33}">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2915" authorId="0" shapeId="0" xr:uid="{0A6B01E0-CB4E-40BF-956F-E32F99924D46}">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2915" authorId="0" shapeId="0" xr:uid="{E91A965D-340D-4A02-866E-5914742EC34F}">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2915" authorId="0" shapeId="0" xr:uid="{F6157D00-ABA0-4A68-BC21-7AC2E51052CE}">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2916" authorId="0" shapeId="0" xr:uid="{DA860647-5665-4A43-97FC-DF58B9ED386F}">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2916" authorId="0" shapeId="0" xr:uid="{10A3C0AF-C56E-4B06-9E18-E75DAD717DEB}">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2916" authorId="0" shapeId="0" xr:uid="{70D1CB61-F70D-4275-9A4C-00265E051CBF}">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2917" authorId="0" shapeId="0" xr:uid="{DE8EDEF4-9393-4B86-B85D-F9DA8C3E8C4C}">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2917" authorId="0" shapeId="0" xr:uid="{F0C1A388-422A-4986-A60D-C09FB588C171}">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2917" authorId="0" shapeId="0" xr:uid="{E2082E53-BAF6-4351-A758-F077807B41EC}">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2918" authorId="1" shapeId="0" xr:uid="{631019CD-8ED9-4FEC-B88A-5A96352D1DE0}">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2918" authorId="1" shapeId="0" xr:uid="{14F93E65-4443-4CA9-BCAC-91F36F4432BB}">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2918" authorId="1" shapeId="0" xr:uid="{CAE37FBA-5B4F-46EA-96BE-A18C3A39ED8F}">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2919" authorId="1" shapeId="0" xr:uid="{9EA2F14B-A6C0-4940-B04E-214FF4D9A353}">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2919" authorId="1" shapeId="0" xr:uid="{FCCA0552-25FA-44B6-836E-2AE667D1D716}">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2919" authorId="1" shapeId="0" xr:uid="{D5990314-99CF-428A-B707-83C71178B7EA}">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2920" authorId="1" shapeId="0" xr:uid="{81C9F1CC-6141-4AC9-AE37-E0C366135D9E}">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2920" authorId="1" shapeId="0" xr:uid="{85A6F823-BB6C-47F3-9DFE-4D3B50D2C0B6}">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2920" authorId="1" shapeId="0" xr:uid="{31C8E9A6-3793-4FBD-A8DC-597F95B65412}">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2921" authorId="0" shapeId="0" xr:uid="{38D11808-AF12-4C8C-9883-67A9C4376EC3}">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2921" authorId="0" shapeId="0" xr:uid="{5F99EFE1-64F6-443F-8219-7F32854346DB}">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2921" authorId="0" shapeId="0" xr:uid="{C7F432F2-3F84-4E99-B671-CE87F243ABB2}">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2922" authorId="0" shapeId="0" xr:uid="{E348B153-8679-4DEC-B829-D5250B5D8C8E}">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2922" authorId="0" shapeId="0" xr:uid="{54A37A1E-4299-47FB-8522-82EB3528C34B}">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2922" authorId="0" shapeId="0" xr:uid="{4FB3CD3E-145E-4157-B45A-06ABF49EC7B5}">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2923" authorId="1" shapeId="0" xr:uid="{A00E3FCD-E848-470B-BFC0-2B3C2E7CB0C4}">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2929" authorId="0" shapeId="0" xr:uid="{8820D4C7-DBA1-4F3B-8880-91FCEE0F7269}">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2929" authorId="0" shapeId="0" xr:uid="{E7109C1B-D5A4-4017-A0F0-CC2A8741F076}">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2929" authorId="0" shapeId="0" xr:uid="{A770A0FE-F7A4-4652-A55C-A3F3E8A79291}">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2930" authorId="0" shapeId="0" xr:uid="{D79FE33D-CCCB-4C2C-8E93-63386B3FA5C8}">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2930" authorId="0" shapeId="0" xr:uid="{255AB961-0025-4B0D-9BA3-99DDF33DBFA8}">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2930" authorId="0" shapeId="0" xr:uid="{710EB117-BDEC-47BE-BB18-19A3B455C59A}">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2931" authorId="0" shapeId="0" xr:uid="{07C596EA-D0F8-4384-868F-3D19038BB535}">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2931" authorId="0" shapeId="0" xr:uid="{877AEFC8-A4E2-401E-AAF5-91FA5CD7E30C}">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2931" authorId="0" shapeId="0" xr:uid="{79778477-1FBE-457F-B75C-D3406D8BCB0F}">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2932" authorId="0" shapeId="0" xr:uid="{330CA217-DD7A-46B9-83D5-D50B497F5CE0}">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2932" authorId="0" shapeId="0" xr:uid="{A753AEE8-AF02-4D77-A143-DA606ED74380}">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2932" authorId="0" shapeId="0" xr:uid="{8AD2A771-76B7-40C2-A8EB-D7E23C9820BD}">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2933" authorId="1" shapeId="0" xr:uid="{17B4A0DB-FC37-43F1-A4AE-5089C4B41B88}">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2933" authorId="1" shapeId="0" xr:uid="{51ED2734-8B31-44C5-ACAC-76B56D5D35B0}">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2933" authorId="1" shapeId="0" xr:uid="{29DBB7F1-D72A-4FA1-8D76-6DA46EE61008}">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2934" authorId="1" shapeId="0" xr:uid="{9F2C891F-1ECE-400D-998C-BD7F9969B089}">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2934" authorId="1" shapeId="0" xr:uid="{5B81CB13-CA04-4EE6-9E84-939B1BDBA20C}">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2934" authorId="1" shapeId="0" xr:uid="{0BC16152-F516-450E-B8AD-137876244176}">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2935" authorId="1" shapeId="0" xr:uid="{0646DC3C-455D-4E3B-A567-92764F622701}">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2935" authorId="1" shapeId="0" xr:uid="{1BE2DBC4-A656-410C-802C-DF63CAD3F5C7}">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2935" authorId="1" shapeId="0" xr:uid="{84821729-646C-4473-86BC-B716603F7305}">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2936" authorId="0" shapeId="0" xr:uid="{E029D4B4-77DF-4A11-BD3E-20D244BBDC9C}">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2936" authorId="0" shapeId="0" xr:uid="{6DBF8C9C-0968-4BB2-95F6-1F8023849D9D}">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2936" authorId="0" shapeId="0" xr:uid="{BE3380FC-0E1B-425F-934D-44CCE177EFAC}">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2937" authorId="0" shapeId="0" xr:uid="{1DF7AD8C-282A-44D1-A1EE-B64E51C80B0C}">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2937" authorId="0" shapeId="0" xr:uid="{2811ADB0-53D2-47D0-8C15-3D3A53A2A37F}">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2937" authorId="0" shapeId="0" xr:uid="{25A0662B-F55B-49F5-9233-8D0DA2981B00}">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2938" authorId="1" shapeId="0" xr:uid="{9071D1EA-CE4F-4578-BE22-3881053A34AC}">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2944" authorId="0" shapeId="0" xr:uid="{96B848AB-88C0-4675-A683-3DFCB361220A}">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2944" authorId="0" shapeId="0" xr:uid="{376B61D5-5E1A-4E7E-A625-73E9B5676CA3}">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2944" authorId="0" shapeId="0" xr:uid="{649CC93F-47CA-48D1-A861-8F8A27CA12E0}">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2945" authorId="0" shapeId="0" xr:uid="{59ECF8E4-7F72-48C4-BC82-1C4A7BF6F64E}">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2945" authorId="0" shapeId="0" xr:uid="{DCD250B3-947E-404B-85E1-AD3C620D3042}">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2945" authorId="0" shapeId="0" xr:uid="{9A9FCB6F-F34F-459D-BD60-F6972E41AF82}">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2946" authorId="0" shapeId="0" xr:uid="{AA06C554-9DB9-40FA-B2A5-5480E7673BF4}">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2946" authorId="0" shapeId="0" xr:uid="{6AB613C8-2841-46EF-832E-25EF2D2777DB}">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2946" authorId="0" shapeId="0" xr:uid="{2ABB1D8E-A591-4AB0-8661-37BC0A3311E5}">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2947" authorId="0" shapeId="0" xr:uid="{4EF86E31-4E38-440A-9865-E3373D64F9B2}">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2947" authorId="0" shapeId="0" xr:uid="{7C220760-94F8-4F95-8076-D288CE14F0BE}">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2947" authorId="0" shapeId="0" xr:uid="{77A8489B-0A6C-48FF-BE69-B91ADE6DC3F1}">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2948" authorId="1" shapeId="0" xr:uid="{8675EEFC-666D-4818-9826-2E6EBD0D90DD}">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2948" authorId="1" shapeId="0" xr:uid="{F12B753D-3078-40E4-A608-0C81EF39DC75}">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2948" authorId="1" shapeId="0" xr:uid="{BB0F2398-5F98-4F62-8A94-C6BCD0FF03BA}">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2949" authorId="1" shapeId="0" xr:uid="{DA05B12B-420E-4941-9022-F92E4E6EC4DE}">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2949" authorId="1" shapeId="0" xr:uid="{2B31C01B-0A67-47F4-94FB-6D22C5661FD0}">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2949" authorId="1" shapeId="0" xr:uid="{8C96D24D-59A7-4E17-A07A-82199D0881D1}">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2950" authorId="1" shapeId="0" xr:uid="{9C2C4C59-92D2-4791-8284-AEE2A952C43E}">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2950" authorId="1" shapeId="0" xr:uid="{CA707E9C-EEFA-4A84-AC49-1B55430B9189}">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2950" authorId="1" shapeId="0" xr:uid="{0B12A525-BDB8-4E54-A5D3-C82F820CF4AC}">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2951" authorId="0" shapeId="0" xr:uid="{A8D8EF14-C788-4C85-9C76-98A4B178E98E}">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2951" authorId="0" shapeId="0" xr:uid="{78796373-B641-4C0D-9DA0-958B9726BEAA}">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2951" authorId="0" shapeId="0" xr:uid="{3D9DE762-B8F7-421F-B3BE-93A83CF9DA1D}">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2952" authorId="0" shapeId="0" xr:uid="{08DAA682-BB46-4548-80CE-C2CCBCD37F78}">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2952" authorId="0" shapeId="0" xr:uid="{362C1775-CBA0-4EFE-91D1-9E73EDC718BD}">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2952" authorId="0" shapeId="0" xr:uid="{50B1C3FA-2292-4432-981D-E399EA8A5084}">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2953" authorId="1" shapeId="0" xr:uid="{D254E684-A071-4CCD-AC4F-947235E5B326}">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2959" authorId="0" shapeId="0" xr:uid="{10DB5B3E-80A8-4723-A3F3-FDD41DE76AE6}">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2959" authorId="0" shapeId="0" xr:uid="{08286A14-2B40-48B3-8169-9290B5B9CBF6}">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2959" authorId="0" shapeId="0" xr:uid="{6089F8EB-F98E-4B6A-BC2A-B57F0BE89127}">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2960" authorId="0" shapeId="0" xr:uid="{E9D02006-8A0B-44CF-90D4-374D8C39563B}">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2960" authorId="0" shapeId="0" xr:uid="{618649AB-004B-47D7-A6D3-D7DBBE1C1585}">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2960" authorId="0" shapeId="0" xr:uid="{5454FB59-D5F6-482F-98F4-E9AE6B4C1789}">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2961" authorId="0" shapeId="0" xr:uid="{7EEC6AED-43D6-48B7-934D-914D47AA175F}">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2961" authorId="0" shapeId="0" xr:uid="{74EE5892-5289-4FEA-998C-EE30646558C9}">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2961" authorId="0" shapeId="0" xr:uid="{92B3E044-5839-43ED-AC65-73B981D5FECD}">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2962" authorId="0" shapeId="0" xr:uid="{BA767180-C6B5-4CE2-A601-93C03F63644F}">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2962" authorId="0" shapeId="0" xr:uid="{377E0F04-D60C-4AEE-B186-09A165ECE1CB}">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2962" authorId="0" shapeId="0" xr:uid="{EF85FA14-2FC2-485C-9DB5-1813417FB430}">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2963" authorId="1" shapeId="0" xr:uid="{F0EEC92E-2292-483C-9903-EA4C876D2080}">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2963" authorId="1" shapeId="0" xr:uid="{2678E7AE-307D-42F3-969C-272A3DCBBA08}">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2963" authorId="1" shapeId="0" xr:uid="{50F9A6DB-A4AB-44F7-B121-9D9F2332B5C2}">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2964" authorId="1" shapeId="0" xr:uid="{C82AAF2B-1D71-4FB8-AAEF-08509529A016}">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2964" authorId="1" shapeId="0" xr:uid="{45A6DC59-5553-4655-9BA0-96405CA3F21A}">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2964" authorId="1" shapeId="0" xr:uid="{23DF0FBC-18B3-4934-9D21-CA4D330B9B11}">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2965" authorId="1" shapeId="0" xr:uid="{638DEF6D-434F-41CF-89BD-69E05C957189}">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2965" authorId="1" shapeId="0" xr:uid="{DB87E53B-F3B4-4A6A-B51E-91183EC994D1}">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2965" authorId="1" shapeId="0" xr:uid="{CAB39130-E8AE-4DED-85A3-3F592484DABE}">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2966" authorId="0" shapeId="0" xr:uid="{FED9B257-0B93-4143-85F9-B379C4DC61B3}">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2966" authorId="0" shapeId="0" xr:uid="{34B7AE47-E679-47AF-9452-8A83280BF45D}">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2966" authorId="0" shapeId="0" xr:uid="{82757997-6CCE-4040-B670-F4935129B102}">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2967" authorId="0" shapeId="0" xr:uid="{7E9ED5B5-4A15-40A1-BB77-B89D722532F4}">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2967" authorId="0" shapeId="0" xr:uid="{79B56B52-68DC-4CB6-96EC-AF04DFBAA4BC}">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2967" authorId="0" shapeId="0" xr:uid="{9F103777-C3F2-4F67-BF55-D1AB4DBABD24}">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2968" authorId="1" shapeId="0" xr:uid="{65BF4B09-BBDB-4BB0-808A-DF050D3BF7BF}">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2974" authorId="0" shapeId="0" xr:uid="{CAAA776B-AF14-4CD4-90A0-3585F7884D5F}">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2974" authorId="0" shapeId="0" xr:uid="{461F3173-C3AC-44AF-9765-3B31D86C6CCF}">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2974" authorId="0" shapeId="0" xr:uid="{A1D0B486-B367-4F85-80A9-C5CDD15616EB}">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2975" authorId="0" shapeId="0" xr:uid="{FC4CE4C3-E832-421A-A4B7-0D6EED473980}">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2975" authorId="0" shapeId="0" xr:uid="{E48D21DE-08D0-4E0C-9E88-1AABE5541883}">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2975" authorId="0" shapeId="0" xr:uid="{909C97AA-7005-41A2-A470-87B375D855FF}">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2976" authorId="0" shapeId="0" xr:uid="{711940C9-8269-4689-BF24-8FE584017AF1}">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2976" authorId="0" shapeId="0" xr:uid="{B7C8DA1F-099E-4FB7-8CCE-592CF5650AB1}">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2976" authorId="0" shapeId="0" xr:uid="{22D77B7A-50E5-459D-9F9D-1750A9B34E3E}">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2977" authorId="0" shapeId="0" xr:uid="{554AA638-1DDC-436A-B673-EFF611C34AAD}">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2977" authorId="0" shapeId="0" xr:uid="{48F433A7-8709-416D-9857-2AC239711200}">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2977" authorId="0" shapeId="0" xr:uid="{B856395E-BF8E-4D0B-B213-BB4139466593}">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2978" authorId="1" shapeId="0" xr:uid="{B7BFCDC5-3B5D-45AB-B680-5F34358E670E}">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2978" authorId="1" shapeId="0" xr:uid="{79D4097B-EB80-49CA-A88E-FF9A7D3747DB}">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2978" authorId="1" shapeId="0" xr:uid="{89633387-AEDC-4669-BB7A-9F190C764C9A}">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2979" authorId="1" shapeId="0" xr:uid="{112EC003-F6B5-46A0-9E50-171017F0F867}">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2979" authorId="1" shapeId="0" xr:uid="{1E01C2AB-153D-446F-9285-02F298010798}">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2979" authorId="1" shapeId="0" xr:uid="{E141DED1-EA12-4DC6-B715-CD0AD72A649F}">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2980" authorId="1" shapeId="0" xr:uid="{7FD4BA9B-38F8-4402-A04E-9DCD8017DB8C}">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2980" authorId="1" shapeId="0" xr:uid="{0BA9F76A-0DE4-4992-AEE4-857FF079A80C}">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2980" authorId="1" shapeId="0" xr:uid="{2F374455-A153-4106-8CDC-B3ED663B0583}">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2981" authorId="0" shapeId="0" xr:uid="{4C58D882-B4F5-45D1-BF46-5BEB16E76C1E}">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2981" authorId="0" shapeId="0" xr:uid="{24EBF7B1-CA63-46B9-B3CF-EACEBCDFEB65}">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2981" authorId="0" shapeId="0" xr:uid="{7B23449F-28A5-4B6A-A88C-AC07190B940E}">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2982" authorId="0" shapeId="0" xr:uid="{DE292A29-919B-4C09-8D4C-3B944619E13E}">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2982" authorId="0" shapeId="0" xr:uid="{351FAE07-C978-44A0-8DD6-AE044086C19E}">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2982" authorId="0" shapeId="0" xr:uid="{AE612674-EBAC-460D-AB15-F10DB5918047}">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2983" authorId="1" shapeId="0" xr:uid="{3FE85A36-5707-4F78-8AF6-BCD8E68DB31E}">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2989" authorId="0" shapeId="0" xr:uid="{2A8266B6-BBE8-4908-AA44-095EF7AA8D40}">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2989" authorId="0" shapeId="0" xr:uid="{758047CC-C12F-47D7-9618-773FC48E6C14}">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2989" authorId="0" shapeId="0" xr:uid="{483C6FD7-EEED-400C-809E-590251FB2794}">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2990" authorId="0" shapeId="0" xr:uid="{3134F030-DFCA-4B2C-8BBC-4FE18A6F52AB}">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2990" authorId="0" shapeId="0" xr:uid="{9A5D7B0F-ECE4-48A7-B4D9-489DFE8A8463}">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2990" authorId="0" shapeId="0" xr:uid="{2889C948-CB0B-48FA-B25E-2771227F47B0}">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2991" authorId="0" shapeId="0" xr:uid="{0A0E5271-3DB3-43CB-BB8A-2436F73C67B1}">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2991" authorId="0" shapeId="0" xr:uid="{57A98FAF-1414-4E1D-972D-3C84B7B01BA1}">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2991" authorId="0" shapeId="0" xr:uid="{8DB83BDC-5B91-4456-B8AD-3F6EA9C33CA7}">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2992" authorId="0" shapeId="0" xr:uid="{A2E722D3-8EBC-4E7A-9BB8-9A07C5F8D62C}">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2992" authorId="0" shapeId="0" xr:uid="{8B4FF937-7E91-4D3A-961E-C68DDC24F4F2}">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2992" authorId="0" shapeId="0" xr:uid="{C02EC069-8AA9-4AB1-8ACE-172EAA4238AB}">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2993" authorId="1" shapeId="0" xr:uid="{5B9E3732-A8EE-4CEE-ADFE-C3643F54C0AC}">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2993" authorId="1" shapeId="0" xr:uid="{71DEABA3-9956-4CD0-9971-A321B0337C36}">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2993" authorId="1" shapeId="0" xr:uid="{EDCBBB0F-6614-4354-B1C8-43560CB869D6}">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2994" authorId="1" shapeId="0" xr:uid="{4A57F819-1F83-4D9F-BE49-1380AAA97F77}">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2994" authorId="1" shapeId="0" xr:uid="{4B36D5D7-D767-4DFB-AAEE-C282778F00CE}">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2994" authorId="1" shapeId="0" xr:uid="{B1365B0A-3673-45EC-A4C6-BC4D1B2BD65C}">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2995" authorId="1" shapeId="0" xr:uid="{23D49E5F-5BA0-48B6-88F3-BA4A6FC7303C}">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2995" authorId="1" shapeId="0" xr:uid="{75239442-5A6A-4227-9364-764F512E6F8E}">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2995" authorId="1" shapeId="0" xr:uid="{1C946BF7-3EBA-4D64-B626-706C1B26093B}">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2996" authorId="0" shapeId="0" xr:uid="{25D5B2D9-F334-44EF-923E-5B7AB3CB3AE9}">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2996" authorId="0" shapeId="0" xr:uid="{0FFAD3EB-3297-422B-A5DD-A59311386FE8}">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2996" authorId="0" shapeId="0" xr:uid="{6B563375-D9FD-470D-AFB3-939395E652B6}">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2997" authorId="0" shapeId="0" xr:uid="{DAA95A3E-B279-4C36-8CC7-A73F6CEBB3D1}">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2997" authorId="0" shapeId="0" xr:uid="{EBFC6233-1DEE-4DB5-9629-EC92F640728C}">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2997" authorId="0" shapeId="0" xr:uid="{94E0ECA3-A223-46EE-9C51-FBEE9E22BF07}">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2998" authorId="1" shapeId="0" xr:uid="{DB8FFC77-2D8F-44DF-9DDB-514F0165BAA4}">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A3002" authorId="0" shapeId="0" xr:uid="{ADB6CBCB-9386-4D76-BA2B-9C1EB6C4E4F9}">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3004" authorId="0" shapeId="0" xr:uid="{7DBD30C2-222B-41AE-8E7D-C1E2AB1ECD86}">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3004" authorId="0" shapeId="0" xr:uid="{192E3A4E-E491-493F-B6B1-034959B9F188}">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3004" authorId="0" shapeId="0" xr:uid="{CF8384B8-6DB1-4389-884B-5D5B34BCABB0}">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3005" authorId="0" shapeId="0" xr:uid="{72EB039B-AB18-4685-8BD4-B20004EDC0BB}">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3005" authorId="0" shapeId="0" xr:uid="{44AB541C-1C64-488E-BC1B-9464E68F86E3}">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3005" authorId="0" shapeId="0" xr:uid="{C898666B-BA5B-498F-A32D-6EFB8EC03692}">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3006" authorId="0" shapeId="0" xr:uid="{69A54094-D8CA-4981-A98C-D88A64219A5C}">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3006" authorId="0" shapeId="0" xr:uid="{16CE0A97-6C8D-40FA-82BA-38A798F09B49}">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3006" authorId="0" shapeId="0" xr:uid="{709BED81-5A24-420A-89C8-5A67DAB284F0}">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3007" authorId="0" shapeId="0" xr:uid="{3D12EA12-5B06-46EE-A683-B84350A4F42E}">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3007" authorId="0" shapeId="0" xr:uid="{1D2116A5-9DE2-4F2C-B577-0648F56DE221}">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3007" authorId="0" shapeId="0" xr:uid="{6E1CB893-87DA-4FDD-BACA-0BE5E435FE5C}">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3008" authorId="1" shapeId="0" xr:uid="{66A851C2-6444-4219-BC27-2FBB78D4A272}">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3008" authorId="1" shapeId="0" xr:uid="{E7C1BEA5-F2D2-457B-84D3-FEA0B3D69DE8}">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3008" authorId="1" shapeId="0" xr:uid="{3F7FB91C-DB94-4317-898A-0325A2FA1C4A}">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3009" authorId="1" shapeId="0" xr:uid="{C1C71946-E2E2-47F6-AB83-038037314FA8}">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3009" authorId="1" shapeId="0" xr:uid="{DD2BE3F3-7BB7-45A6-B8A5-1760FDAE7362}">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3009" authorId="1" shapeId="0" xr:uid="{D1CC7C66-6C12-4737-A558-FF0760596784}">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3010" authorId="1" shapeId="0" xr:uid="{CD42E633-6F6F-47D2-B71B-B71CDA51CFB4}">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3010" authorId="1" shapeId="0" xr:uid="{D4D2FBB4-14CF-4B43-A2BC-E16A899CC3A3}">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3010" authorId="1" shapeId="0" xr:uid="{360D8D7D-8D4E-44BD-89F8-A7E8FDAFD7C3}">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3011" authorId="0" shapeId="0" xr:uid="{358CFEB1-A99B-4071-A9C9-2944C517034E}">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3011" authorId="0" shapeId="0" xr:uid="{9069B312-9F9B-48FB-B9BD-6B0C84B67D4B}">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3011" authorId="0" shapeId="0" xr:uid="{49319394-D55D-4E27-B7F4-B330069B9B4D}">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3012" authorId="0" shapeId="0" xr:uid="{4C47BC68-F66C-4A67-89ED-0285194BD380}">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3012" authorId="0" shapeId="0" xr:uid="{C117D67E-2C0F-482C-A661-8F5C6A6F6DBF}">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3012" authorId="0" shapeId="0" xr:uid="{47F21998-3E61-445B-B48C-425DDDA4A1F6}">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3013" authorId="1" shapeId="0" xr:uid="{CCFDA226-B764-418E-84BE-2A1BF5BABDF7}">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3019" authorId="0" shapeId="0" xr:uid="{15F6CE7B-B678-4116-ABFB-2B577D7AAAA8}">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3019" authorId="0" shapeId="0" xr:uid="{07593C83-8B6F-4E81-8053-C9B312951B9A}">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3019" authorId="0" shapeId="0" xr:uid="{EFD5EFCC-9DF1-4D88-8155-16F65254B9CE}">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3020" authorId="0" shapeId="0" xr:uid="{DCD091CD-0524-44F8-8259-BF7BC7DAF7AB}">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3020" authorId="0" shapeId="0" xr:uid="{F51A47C1-77AB-4A54-BDC8-4BB6FEC9C62B}">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3020" authorId="0" shapeId="0" xr:uid="{96FEAEE8-C8A0-4B62-B029-74D4BAC5A284}">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3021" authorId="0" shapeId="0" xr:uid="{7C1FCC0E-16B6-4ABF-BE36-1D95F67350BD}">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3021" authorId="0" shapeId="0" xr:uid="{52549392-DC1C-438E-B082-9F6748A77A19}">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3021" authorId="0" shapeId="0" xr:uid="{0F526F3A-0418-4437-9633-C163737939FE}">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3022" authorId="0" shapeId="0" xr:uid="{97AEEBEC-084E-4F4C-A4FA-5105E2798A43}">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3022" authorId="0" shapeId="0" xr:uid="{7C6CD34A-ABDD-4483-9DA0-AAB6A3744D07}">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3022" authorId="0" shapeId="0" xr:uid="{9814D562-D88F-4149-9801-5866A6505534}">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3023" authorId="1" shapeId="0" xr:uid="{A6D45CD4-72B3-492C-B6BE-6C4C6C44E302}">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3023" authorId="1" shapeId="0" xr:uid="{245BC522-6AE8-4199-A5C3-DA277C1E5A2F}">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3023" authorId="1" shapeId="0" xr:uid="{D9D815CA-1ACF-477C-9A59-7E641188BD0B}">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3024" authorId="1" shapeId="0" xr:uid="{4B33BE13-4337-40F7-B7CC-35DA631CB0E9}">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3024" authorId="1" shapeId="0" xr:uid="{2252F710-079C-44FB-BC22-9B032E8ED9A3}">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3024" authorId="1" shapeId="0" xr:uid="{D69A3A37-63D6-407B-A8A7-C8D5445B541E}">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3025" authorId="1" shapeId="0" xr:uid="{2BE56B45-B42A-4490-9FC7-5C111091A4BB}">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3025" authorId="1" shapeId="0" xr:uid="{E68DEFA3-9ADD-4CDF-A4F2-DB75288BFDB0}">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3025" authorId="1" shapeId="0" xr:uid="{3D135C51-936D-4848-A352-02039CECD06F}">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3026" authorId="0" shapeId="0" xr:uid="{140645ED-9E02-46E7-A6FB-8891AF3DD36F}">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3026" authorId="0" shapeId="0" xr:uid="{03959B62-4141-4607-9DE9-AF5624735AA0}">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3026" authorId="0" shapeId="0" xr:uid="{090B6193-0DD6-47E3-A59A-C5B8668D6B7C}">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3027" authorId="0" shapeId="0" xr:uid="{F23E4A83-48DD-4D83-B5CA-79A3DFED22E0}">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3027" authorId="0" shapeId="0" xr:uid="{937C9DA8-D950-425A-B624-2C5FA781D9EA}">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3027" authorId="0" shapeId="0" xr:uid="{94B829F6-8BA5-4532-9AAC-8EBC7145454B}">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3028" authorId="1" shapeId="0" xr:uid="{75C9645D-CEC2-4F3F-9DAA-71A5E1C2F88F}">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3034" authorId="0" shapeId="0" xr:uid="{11C5E888-EEEE-4F35-8A20-3612175228F3}">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3034" authorId="0" shapeId="0" xr:uid="{966FA6D9-194F-4D2C-8C45-8167C35BC1CF}">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3034" authorId="0" shapeId="0" xr:uid="{1825D567-7EE1-4C61-B453-6702EB824AEB}">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3035" authorId="0" shapeId="0" xr:uid="{D04281DE-406A-4EC2-AD6F-748B509E19AF}">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3035" authorId="0" shapeId="0" xr:uid="{3A84D0BB-58C9-4B69-9C32-856BBED41C3A}">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3035" authorId="0" shapeId="0" xr:uid="{A218CDC7-B659-4E91-A6E0-DF552F7E3306}">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3036" authorId="0" shapeId="0" xr:uid="{1D0B8C4C-2099-44F2-B788-5BDAFACB0BE3}">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3036" authorId="0" shapeId="0" xr:uid="{72E8E476-3124-4FB2-9376-C6BCBDD47739}">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3036" authorId="0" shapeId="0" xr:uid="{F7E82359-DE7E-43DE-8B71-381557767348}">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3037" authorId="0" shapeId="0" xr:uid="{E3677688-FE37-4A23-AE82-A0036DC9EA59}">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3037" authorId="0" shapeId="0" xr:uid="{F4A05C0E-2A0F-4708-A1F6-FA52C6DB656B}">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3037" authorId="0" shapeId="0" xr:uid="{6BB1E118-B4F4-4A3C-A4BF-0A7C9E8F11F6}">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3038" authorId="1" shapeId="0" xr:uid="{69C19A27-99BD-4E50-8056-6C08B552289B}">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3038" authorId="1" shapeId="0" xr:uid="{9776A93F-43B0-4B02-9F63-403D4BAD3778}">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3038" authorId="1" shapeId="0" xr:uid="{D3605C20-BB33-4473-AA58-FCBD6038A0DD}">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3039" authorId="1" shapeId="0" xr:uid="{BAC887BD-F399-4AE9-B925-986B851CEE58}">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3039" authorId="1" shapeId="0" xr:uid="{752BBA71-B81F-45F4-84DD-E8E08D0708E1}">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3039" authorId="1" shapeId="0" xr:uid="{A071F278-EE82-4080-8BAC-350323029292}">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3040" authorId="1" shapeId="0" xr:uid="{2F54169B-844F-4B4A-8904-7D253EF81C1A}">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3040" authorId="1" shapeId="0" xr:uid="{A1096F0F-6E52-4023-99D3-EB958654F468}">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3040" authorId="1" shapeId="0" xr:uid="{7953DB03-51D2-4588-BD09-25DB0695F654}">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3041" authorId="0" shapeId="0" xr:uid="{A2D33943-100F-4783-B570-8075A8A5EADE}">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3041" authorId="0" shapeId="0" xr:uid="{FBA26CF1-8449-488B-B826-8B9385D5C606}">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3041" authorId="0" shapeId="0" xr:uid="{C1A910F9-96D1-49D4-BA86-93FCC5F21155}">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3042" authorId="0" shapeId="0" xr:uid="{D208F57E-4DB6-4675-ABBA-90F0872F060B}">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3042" authorId="0" shapeId="0" xr:uid="{AF55A79C-3915-4563-B541-0E437C73AE2D}">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3042" authorId="0" shapeId="0" xr:uid="{968A0FB0-C9D1-4670-9374-C4FB92B1CE8D}">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3043" authorId="1" shapeId="0" xr:uid="{EE79A551-3C06-46B4-B487-F8ED0AF170C2}">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3049" authorId="0" shapeId="0" xr:uid="{FB084E02-F48C-4D80-824B-3D2BCC570B11}">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3049" authorId="0" shapeId="0" xr:uid="{DD3FF9A5-D253-4105-B3F2-6D033320CB5B}">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3049" authorId="0" shapeId="0" xr:uid="{48C81D77-0CD8-4F0B-A04E-E36F54DD6DCF}">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3050" authorId="0" shapeId="0" xr:uid="{EEA44427-3760-4D1F-9E35-C9BD00A2439F}">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3050" authorId="0" shapeId="0" xr:uid="{CC8D8266-6B7C-4AD6-B71F-A6FDE830A629}">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3050" authorId="0" shapeId="0" xr:uid="{B5EA0552-1221-4F6F-9B89-B858497FCF0A}">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3051" authorId="0" shapeId="0" xr:uid="{A52A08EB-CDCD-4AA7-8573-BECC88A4EDFE}">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3051" authorId="0" shapeId="0" xr:uid="{B67A3F33-FD3F-4F64-862D-6B327FCD892C}">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3051" authorId="0" shapeId="0" xr:uid="{B1C08CFF-52EB-4313-9B08-090591E47A6E}">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3052" authorId="0" shapeId="0" xr:uid="{AEC1A56C-49EF-47F6-B91C-82B0C56F82E0}">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3052" authorId="0" shapeId="0" xr:uid="{C1A421BB-D285-464E-9B96-67766CBF0224}">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3052" authorId="0" shapeId="0" xr:uid="{B8302198-E818-4128-82A6-F534FABA5363}">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3053" authorId="1" shapeId="0" xr:uid="{FF15A91A-C370-44A6-9A9E-6624DA17905C}">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3053" authorId="1" shapeId="0" xr:uid="{13EDEF06-A529-4F50-A559-70D7D16EC299}">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3053" authorId="1" shapeId="0" xr:uid="{A0E3BB14-ADD5-4A7F-87F7-A0890722BC8E}">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3054" authorId="1" shapeId="0" xr:uid="{53C151F5-C1EA-4CB4-9089-A715E239A36B}">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3054" authorId="1" shapeId="0" xr:uid="{B10B53B2-D648-49F8-A541-B282F8433E69}">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3054" authorId="1" shapeId="0" xr:uid="{882A6D26-21BC-4B1A-9476-F09E15BE606E}">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3055" authorId="1" shapeId="0" xr:uid="{BA94B4C0-F22D-4C89-A356-FEF49A361F7F}">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3055" authorId="1" shapeId="0" xr:uid="{F4B7591B-F765-42CE-B750-F5FCC5E74099}">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3055" authorId="1" shapeId="0" xr:uid="{991C66E0-D802-4B1E-B95A-78510C151661}">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3056" authorId="0" shapeId="0" xr:uid="{CBC381AC-A828-4C91-8668-3DF1CD3DFE19}">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3056" authorId="0" shapeId="0" xr:uid="{67031808-ED58-4ED7-B1FF-6ECF8AA0C983}">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3056" authorId="0" shapeId="0" xr:uid="{AC4B7F8F-DF7D-4B1F-ABE8-9F024538B880}">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3057" authorId="0" shapeId="0" xr:uid="{D63F2F08-F1BF-47E0-A2DC-6FA611AA37C9}">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3057" authorId="0" shapeId="0" xr:uid="{6AE254B1-678E-46E2-9606-F89C2880984D}">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3057" authorId="0" shapeId="0" xr:uid="{CA8F4D8E-B103-4F5B-A43C-CADB3AAB6022}">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3058" authorId="1" shapeId="0" xr:uid="{B66EB543-9FD1-41D2-A86F-48888ED403C7}">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3064" authorId="0" shapeId="0" xr:uid="{B502D689-4C43-4BB7-82F6-57EC5C9EEC8C}">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3064" authorId="0" shapeId="0" xr:uid="{16CC00BB-0D7E-4761-8E19-4B29CDFA5B1E}">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3064" authorId="0" shapeId="0" xr:uid="{2EE88B6C-1E43-4D97-8A25-BC3AB4B09A9C}">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3065" authorId="0" shapeId="0" xr:uid="{8DD7742A-6C84-44E2-A4A8-9998A616FD54}">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3065" authorId="0" shapeId="0" xr:uid="{90D21DCC-10D6-471B-ADB1-AD028C5BF0C5}">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3065" authorId="0" shapeId="0" xr:uid="{D94237DA-7A21-4D2E-9453-CB05E31A8F12}">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3066" authorId="0" shapeId="0" xr:uid="{4B30A5D6-D28C-4999-9AB4-679D8B4A63C5}">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3066" authorId="0" shapeId="0" xr:uid="{69D33E12-CEC4-4934-AB1B-257DE1D06CCE}">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3066" authorId="0" shapeId="0" xr:uid="{38314D02-B29F-4F71-852B-6A2C05654AD1}">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3067" authorId="0" shapeId="0" xr:uid="{D6DC1C76-015F-4C3A-9063-5317C93AE6BF}">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3067" authorId="0" shapeId="0" xr:uid="{E41A0A8A-4E7C-4982-88B2-190C9E8D2AD2}">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3067" authorId="0" shapeId="0" xr:uid="{20C9F977-81E4-4269-A922-1175A987AC34}">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3068" authorId="1" shapeId="0" xr:uid="{25C7A468-F54B-44DF-B0F5-D107C71797B6}">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3068" authorId="1" shapeId="0" xr:uid="{CACF4AB5-1BC3-4989-849A-DC7632C5EFCF}">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3068" authorId="1" shapeId="0" xr:uid="{99F8640D-23DB-466A-90CB-D575DCEA3B39}">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3069" authorId="1" shapeId="0" xr:uid="{18818871-2DCF-43AC-B8AD-F6E32BA21E52}">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3069" authorId="1" shapeId="0" xr:uid="{FF5F5ABC-7F4A-480D-A5ED-F0A28A389DA0}">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3069" authorId="1" shapeId="0" xr:uid="{153C5F3C-9EAF-4A9A-8B84-E71DA53FA3ED}">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3070" authorId="1" shapeId="0" xr:uid="{5271578D-3AB3-4944-AD6E-B0A9B58E7E7B}">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3070" authorId="1" shapeId="0" xr:uid="{FEEB72B2-8011-40AE-AF97-BAC16E95FEA5}">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3070" authorId="1" shapeId="0" xr:uid="{641A83CC-AB64-43DA-AB83-5ACF7726374A}">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3071" authorId="0" shapeId="0" xr:uid="{D608A0B0-6227-4531-9F98-3FD16D55ACE5}">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3071" authorId="0" shapeId="0" xr:uid="{1190189D-8826-4783-BE37-0EB03336440C}">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3071" authorId="0" shapeId="0" xr:uid="{41BE768B-3F92-4791-811B-6CFDCE6BF36D}">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3072" authorId="0" shapeId="0" xr:uid="{3BD5ADB3-784D-4179-BD3B-571983B888E1}">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3072" authorId="0" shapeId="0" xr:uid="{EEF31255-25D7-43C3-8D6D-BC32762F057B}">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3072" authorId="0" shapeId="0" xr:uid="{411063B8-05FC-4EFD-8056-25CA138834D1}">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3073" authorId="1" shapeId="0" xr:uid="{B7181350-1BE5-4265-82E6-C803D5783C58}">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3079" authorId="0" shapeId="0" xr:uid="{BDE90C08-0B80-4106-ACD4-CAF58F4ED56A}">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3079" authorId="0" shapeId="0" xr:uid="{99827A42-546A-4830-93E8-E7EAB930CB03}">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3079" authorId="0" shapeId="0" xr:uid="{F7EE4416-7B39-4DF7-8656-2F703437E266}">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3080" authorId="0" shapeId="0" xr:uid="{531BF975-7521-4864-B0D6-94E377BBB942}">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3080" authorId="0" shapeId="0" xr:uid="{B09ABD34-D5B2-4CED-82DC-C1B03B4175A6}">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3080" authorId="0" shapeId="0" xr:uid="{6246572B-D581-4377-A8FB-19A5B923CC75}">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3081" authorId="0" shapeId="0" xr:uid="{ABEE2348-CF70-4053-BF8C-CA5E2B0CE457}">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3081" authorId="0" shapeId="0" xr:uid="{8D838C46-C226-4431-86BF-9F6ACDB563D9}">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3081" authorId="0" shapeId="0" xr:uid="{F936A012-5D1A-48E6-A8A0-8B36C0579A90}">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3082" authorId="0" shapeId="0" xr:uid="{307C4A1C-3F7C-4B6D-A0A3-92D0673F39B8}">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3082" authorId="0" shapeId="0" xr:uid="{B5DF8ECC-13D5-486D-8BDB-30B7F53F433A}">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3082" authorId="0" shapeId="0" xr:uid="{4392D8AD-4CAD-4848-B2B0-D6415BA1FFC7}">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3083" authorId="1" shapeId="0" xr:uid="{6BF170CB-28C4-45A0-988D-9C30378DB72F}">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3083" authorId="1" shapeId="0" xr:uid="{E1F75DB6-E6AE-4311-AD56-DA24373009CD}">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3083" authorId="1" shapeId="0" xr:uid="{8651C8E4-4FD0-4A40-B58F-B790470ED7FA}">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3084" authorId="1" shapeId="0" xr:uid="{BAAFEBB7-5F70-42B3-AE2B-05E4211B226C}">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3084" authorId="1" shapeId="0" xr:uid="{81CF7D08-4907-4212-B03A-FA899D7BBDF6}">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3084" authorId="1" shapeId="0" xr:uid="{67C86F1C-4665-44C8-9109-65D1CE2ED62E}">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3085" authorId="1" shapeId="0" xr:uid="{9A8F65EB-F030-46B1-8595-1DC5F939DBB1}">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3085" authorId="1" shapeId="0" xr:uid="{E388B5C8-2AE2-431B-94C8-7FD6D16BC420}">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3085" authorId="1" shapeId="0" xr:uid="{4FB4904C-6250-4D18-BB81-8B10E9D92DC8}">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3086" authorId="0" shapeId="0" xr:uid="{2C883BB6-FA35-4DDC-9460-295F420754B9}">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3086" authorId="0" shapeId="0" xr:uid="{168B0032-56D2-4A0F-BCD0-B9E27B266764}">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3086" authorId="0" shapeId="0" xr:uid="{32121775-BB89-4061-BF39-A36C33E99BB7}">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3087" authorId="0" shapeId="0" xr:uid="{5557ECB6-C270-4A87-8511-759A3C7DEB40}">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3087" authorId="0" shapeId="0" xr:uid="{67BAFA1B-40C2-44CC-8FCB-1321C2B9134A}">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3087" authorId="0" shapeId="0" xr:uid="{ADF2373D-ED08-4B05-9BD3-BF16608B7975}">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3088" authorId="1" shapeId="0" xr:uid="{77E9FDC6-9DFB-47B9-900F-0D4BF11F34F5}">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3094" authorId="0" shapeId="0" xr:uid="{A1D8C4F1-36E6-4605-BF8B-39E07303DAB7}">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3094" authorId="0" shapeId="0" xr:uid="{60F3896D-1F49-419A-B62D-7E34EA61F1D0}">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3094" authorId="0" shapeId="0" xr:uid="{D9DC5862-646C-42E3-AF27-84593B5FDF40}">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3095" authorId="0" shapeId="0" xr:uid="{C1676B16-AE8F-4C4E-856B-BD5DC86D47AE}">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3095" authorId="0" shapeId="0" xr:uid="{3E8F8F04-1BFD-4723-8F40-A2BFDDECA06C}">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3095" authorId="0" shapeId="0" xr:uid="{0876D0AB-F4F7-4FB6-9631-261239CAF801}">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3096" authorId="0" shapeId="0" xr:uid="{BBB42196-7728-4470-9ECF-C6D81F770A0C}">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3096" authorId="0" shapeId="0" xr:uid="{1385F085-6AD3-4EA5-85DB-63D8791784D2}">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3096" authorId="0" shapeId="0" xr:uid="{C2C0F245-4EB4-4286-BC93-225D6CBB8529}">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3097" authorId="0" shapeId="0" xr:uid="{9478B673-9AB7-410A-9CD1-8F69D5FA7279}">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3097" authorId="0" shapeId="0" xr:uid="{9134DBD8-789C-4E50-8982-908F42312172}">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3097" authorId="0" shapeId="0" xr:uid="{65B49B1B-7CFD-4F50-9588-04FFF8D1A557}">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3098" authorId="1" shapeId="0" xr:uid="{A9FDB5F9-97D7-4CE8-A5D4-18885E22BB88}">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3098" authorId="1" shapeId="0" xr:uid="{7731E4C2-1203-4A7A-8082-1EE426FF1D1E}">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3098" authorId="1" shapeId="0" xr:uid="{C56C2A96-4225-4B55-A79E-9EFE5B743C37}">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3099" authorId="1" shapeId="0" xr:uid="{3A22047D-9751-41EF-A28D-1C89FD12E3EC}">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3099" authorId="1" shapeId="0" xr:uid="{7752688E-E9A3-4FCB-A771-10221AA102C7}">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3099" authorId="1" shapeId="0" xr:uid="{7AD32D4D-6F26-4476-A73C-36C3F0B0FFDB}">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3100" authorId="1" shapeId="0" xr:uid="{719C15E6-587B-4299-A4FB-ECEC19596717}">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3100" authorId="1" shapeId="0" xr:uid="{F22AC5C2-533B-4761-AFA5-CF4F1B25FED9}">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3100" authorId="1" shapeId="0" xr:uid="{7D5E5C54-33D7-4D79-B6FD-470456CE3E3F}">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3101" authorId="0" shapeId="0" xr:uid="{AEA8330E-DA0B-411C-86F3-F64F9E3B8A47}">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3101" authorId="0" shapeId="0" xr:uid="{F03B67ED-8215-4D4F-885D-BB573567A3E8}">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3101" authorId="0" shapeId="0" xr:uid="{C1FBB450-B227-426C-9229-E553FD090481}">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3102" authorId="0" shapeId="0" xr:uid="{D568B535-FBA6-4307-8F74-08A65203BD16}">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3102" authorId="0" shapeId="0" xr:uid="{9052B61A-3A7F-49D1-B43C-07E14127E225}">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3102" authorId="0" shapeId="0" xr:uid="{18B63805-B45C-40B1-AE27-2C42CBD732CB}">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3103" authorId="1" shapeId="0" xr:uid="{21A3A55D-C5B6-4FFB-9556-3820B353B69E}">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3109" authorId="0" shapeId="0" xr:uid="{9F357771-0638-44CD-A3CB-0340FAA38960}">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3109" authorId="0" shapeId="0" xr:uid="{0CC90FE5-4023-41A8-AB8E-F40DBAF864D0}">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3109" authorId="0" shapeId="0" xr:uid="{FC414EA1-6653-4707-B57D-51E9EC995BA2}">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3110" authorId="0" shapeId="0" xr:uid="{D242F323-33B4-4D12-B500-DC7914828C72}">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3110" authorId="0" shapeId="0" xr:uid="{1745656A-7B77-407A-B8D4-6A64BCA0BFEB}">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3110" authorId="0" shapeId="0" xr:uid="{86F73E22-72AB-48EC-9EBC-31A78CCEB8F8}">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3111" authorId="0" shapeId="0" xr:uid="{EDE3D515-4178-4075-8DE2-FF1B6716E2D8}">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3111" authorId="0" shapeId="0" xr:uid="{12D36725-7937-4F34-B610-EF97301504D6}">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3111" authorId="0" shapeId="0" xr:uid="{3E4BE0D7-B452-4D98-B1B2-C0A44FD6E82E}">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3112" authorId="0" shapeId="0" xr:uid="{70447B5C-597C-4F87-961B-70F984A61886}">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3112" authorId="0" shapeId="0" xr:uid="{62947E1A-6459-482B-8C1F-77A1DCB0B6BF}">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3112" authorId="0" shapeId="0" xr:uid="{81E1974E-6614-4185-94E8-D90ABF244442}">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3113" authorId="1" shapeId="0" xr:uid="{E6BA95BC-7E04-470F-96BE-ABB8165DE837}">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3113" authorId="1" shapeId="0" xr:uid="{D603C001-BF94-473C-B564-CF60A378FA04}">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3113" authorId="1" shapeId="0" xr:uid="{FF253C46-2DE4-4081-A5B7-4536D5F9BFAF}">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3114" authorId="1" shapeId="0" xr:uid="{D5BD9800-5B10-4481-B5C8-E23A645C09D2}">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3114" authorId="1" shapeId="0" xr:uid="{9E46342D-FEE4-4888-BE45-4292C82C08F7}">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3114" authorId="1" shapeId="0" xr:uid="{6BD16159-C59E-40DC-B7F7-CD440754E6F6}">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3115" authorId="1" shapeId="0" xr:uid="{28F6CEAA-4A4E-4B02-AA6C-D23B685B4298}">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3115" authorId="1" shapeId="0" xr:uid="{855D94A5-B7BA-4AC5-B423-3A4F4F53510B}">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3115" authorId="1" shapeId="0" xr:uid="{E5A21BA0-B760-4E4D-BF4E-E8B08A6B1BE3}">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3116" authorId="0" shapeId="0" xr:uid="{64CEB464-5BFC-4D61-957F-70643E2FBE0E}">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3116" authorId="0" shapeId="0" xr:uid="{756BABF6-7F3B-43C4-839C-6771D45FF217}">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3116" authorId="0" shapeId="0" xr:uid="{95434FB0-33DF-4652-B659-D27A491AAE2D}">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3117" authorId="0" shapeId="0" xr:uid="{1ED9F4F4-36BC-4AE6-9943-5392ABEF9FC7}">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3117" authorId="0" shapeId="0" xr:uid="{5ACE8284-4F9F-4687-ADF3-E8235CE96733}">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3117" authorId="0" shapeId="0" xr:uid="{41536CBA-3EED-49C5-AE1B-850C1F0D6F20}">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3118" authorId="1" shapeId="0" xr:uid="{7CFA49F5-98FF-46C3-848D-726E9A25FB7D}">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3124" authorId="0" shapeId="0" xr:uid="{A41183A7-0F89-4D30-B4C1-E9FC8A546A33}">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3124" authorId="0" shapeId="0" xr:uid="{342E81E8-6FF2-432A-9BCA-9FED2B9B38C4}">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3124" authorId="0" shapeId="0" xr:uid="{38E9E8B2-0A10-4E21-8983-0C403A29C2BA}">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3125" authorId="0" shapeId="0" xr:uid="{D94F99BF-CD38-4F5D-836C-67DB5482475C}">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3125" authorId="0" shapeId="0" xr:uid="{5A4A9C8D-B985-4A9A-AC8D-D84E572415D3}">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3125" authorId="0" shapeId="0" xr:uid="{87C5D76B-88D0-4E5B-869A-AA107EB0972F}">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3126" authorId="0" shapeId="0" xr:uid="{1C4A7BB1-5D51-47E3-A5D3-FE60577B8768}">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3126" authorId="0" shapeId="0" xr:uid="{4D86815C-8405-4E44-BB97-7F0A95417198}">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3126" authorId="0" shapeId="0" xr:uid="{C1CC170F-B6AB-4F70-9629-21C452D42F3E}">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3127" authorId="0" shapeId="0" xr:uid="{B13DEE0A-3237-45A9-A8FE-6E266ABD3786}">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3127" authorId="0" shapeId="0" xr:uid="{62FC5181-6195-45F4-8DDC-2127011665E9}">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3127" authorId="0" shapeId="0" xr:uid="{97E5D520-088F-4EA5-80D8-324B79F77AC1}">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3128" authorId="1" shapeId="0" xr:uid="{191E7B51-59A2-476B-B71D-10EB8CFECE42}">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3128" authorId="1" shapeId="0" xr:uid="{52B601ED-133A-4B0F-8E96-F423E569C604}">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3128" authorId="1" shapeId="0" xr:uid="{18DC775B-0097-48A3-8669-B0EDAAF9FD36}">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3129" authorId="1" shapeId="0" xr:uid="{A9E66042-2757-403C-8398-7B4EAB2E5D1D}">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3129" authorId="1" shapeId="0" xr:uid="{207E9CA4-F31C-4F60-AE3D-CD0248BBCCB7}">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3129" authorId="1" shapeId="0" xr:uid="{4D9B24AC-A93E-41AD-9798-EC48C1A5EF05}">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3130" authorId="1" shapeId="0" xr:uid="{7C754D3F-E5B8-42DA-A0CA-1B59787F120D}">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3130" authorId="1" shapeId="0" xr:uid="{42FB1DCE-4FC6-4D7D-B850-04F02D2DF118}">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3130" authorId="1" shapeId="0" xr:uid="{8782F30E-38C4-4021-8A95-8928D84E4D92}">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3131" authorId="0" shapeId="0" xr:uid="{2E4754B6-B879-43A1-A7E6-0EA74C96F14F}">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3131" authorId="0" shapeId="0" xr:uid="{66FBFF3A-7A41-438A-8DB6-B497631717BD}">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3131" authorId="0" shapeId="0" xr:uid="{0D00235F-3CAF-42B5-9E78-D6C5ED6E521D}">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3132" authorId="0" shapeId="0" xr:uid="{2592AB1F-7B9C-4F85-B7A4-5D727ECFBB0C}">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3132" authorId="0" shapeId="0" xr:uid="{DF94A9F5-2FB5-46EC-980D-172DE1B7C250}">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3132" authorId="0" shapeId="0" xr:uid="{0CED0B83-43D7-40F4-8596-7B9FD24B496E}">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3133" authorId="1" shapeId="0" xr:uid="{AB610FBC-6FA7-4ABB-85EB-0183A288E812}">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3139" authorId="0" shapeId="0" xr:uid="{2C997287-0D59-4297-A665-CBB5D07521A8}">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3139" authorId="0" shapeId="0" xr:uid="{6722A096-AA05-44C4-9FFF-4FA6BBFBAEE0}">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3139" authorId="0" shapeId="0" xr:uid="{39FEB959-7506-46B0-A13C-D0BB67A46A02}">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3140" authorId="0" shapeId="0" xr:uid="{29EE75EC-16EE-4BDE-8A48-0328D92AF6C7}">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3140" authorId="0" shapeId="0" xr:uid="{EDD659CA-CAB2-446A-A20A-7C5DAA6A6B67}">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3140" authorId="0" shapeId="0" xr:uid="{E3935B65-C3FF-4817-891E-3926E5A00BA9}">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3141" authorId="0" shapeId="0" xr:uid="{79AD0D98-F2A0-44F7-A678-2C5344003512}">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3141" authorId="0" shapeId="0" xr:uid="{836C65A1-E5F3-47AB-B596-CCC3066D32E7}">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3141" authorId="0" shapeId="0" xr:uid="{DAAE5D4E-281B-48B0-AD40-C5EF8A93ED9A}">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3142" authorId="0" shapeId="0" xr:uid="{08CC52C0-A04F-4319-AE7A-795475685483}">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3142" authorId="0" shapeId="0" xr:uid="{D19A0F96-32E3-4DC3-9022-8A4281C3502F}">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3142" authorId="0" shapeId="0" xr:uid="{D6098475-BC02-474A-B48D-CD9417C5F28F}">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3143" authorId="1" shapeId="0" xr:uid="{E76648AE-490F-4137-8455-92087D151880}">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3143" authorId="1" shapeId="0" xr:uid="{00C43E16-D4BD-442D-BF28-4A6FF4673E74}">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3143" authorId="1" shapeId="0" xr:uid="{033B0D3E-48FF-4ED5-8743-4B01A93CA866}">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3144" authorId="1" shapeId="0" xr:uid="{09561B57-0048-4177-B97D-F315097BEA74}">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3144" authorId="1" shapeId="0" xr:uid="{3CF9011A-66B3-4FA8-A81E-616721D928D9}">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3144" authorId="1" shapeId="0" xr:uid="{C4E3024F-1294-4FE9-AB03-CC4E798B2679}">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3145" authorId="1" shapeId="0" xr:uid="{C34BDB04-413D-4996-9556-559F8872C913}">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3145" authorId="1" shapeId="0" xr:uid="{B7939236-1D2E-4E37-B91B-C013F9AF1BDE}">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3145" authorId="1" shapeId="0" xr:uid="{77BB6522-A6CF-4160-A18C-2F8A275D0314}">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3146" authorId="0" shapeId="0" xr:uid="{45A6DC7C-7E62-445D-B23F-AE9E229C35F2}">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3146" authorId="0" shapeId="0" xr:uid="{48D7F7C0-8105-49C8-B9F8-6B239FFBCFB9}">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3146" authorId="0" shapeId="0" xr:uid="{45899E08-3766-48E1-8DBA-E404F21B4992}">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3147" authorId="0" shapeId="0" xr:uid="{30ECE2FB-DE16-459B-B79A-24F5E47DFDD6}">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3147" authorId="0" shapeId="0" xr:uid="{5DED6DF2-D0A4-4E9C-AC61-BF7EFC48EB80}">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3147" authorId="0" shapeId="0" xr:uid="{81132D7F-E15D-4A28-9662-38E5A10C745D}">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3148" authorId="1" shapeId="0" xr:uid="{CFA87932-3798-41F8-B30B-E4F986C4BED0}">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3154" authorId="0" shapeId="0" xr:uid="{E20B7B0B-FBF9-4D89-ABA4-B02B3538C10E}">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3154" authorId="0" shapeId="0" xr:uid="{AD1B3468-6638-40C1-BD20-50AB306438AF}">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3154" authorId="0" shapeId="0" xr:uid="{E7D51443-B6EF-4CED-B531-6F033F03EC4A}">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3155" authorId="0" shapeId="0" xr:uid="{2EF7C19E-B4C6-43F7-B699-E39A2EC29DDB}">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3155" authorId="0" shapeId="0" xr:uid="{EBA3CCF9-40EB-4079-AC99-4A8D0C8417D5}">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3155" authorId="0" shapeId="0" xr:uid="{28B3CFE3-6D83-44F6-A9DB-2C9B25303FE3}">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3156" authorId="0" shapeId="0" xr:uid="{2BD06C45-D4B5-41C7-B6A8-863A6A65553A}">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3156" authorId="0" shapeId="0" xr:uid="{D0CC78B9-D19C-40D2-AB55-A45D518D1CCA}">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3156" authorId="0" shapeId="0" xr:uid="{0AB50F81-6CD6-4DF1-8FCA-E3276F67F43D}">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3157" authorId="0" shapeId="0" xr:uid="{A4DAC1F8-A096-467F-A330-13D29D06021E}">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3157" authorId="0" shapeId="0" xr:uid="{346B4982-5DD2-432D-BA76-7535BCD5CDC8}">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3157" authorId="0" shapeId="0" xr:uid="{FD7EF3F8-BF78-44E7-8E28-2CE37375299E}">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3158" authorId="1" shapeId="0" xr:uid="{46AB5D60-5FBB-4A72-853A-B3CC637C3681}">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3158" authorId="1" shapeId="0" xr:uid="{FF2BF4C8-B36F-48AD-8777-337ACAE03382}">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3158" authorId="1" shapeId="0" xr:uid="{C2914C8C-7627-482E-AE38-EF5EA29431E6}">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3159" authorId="1" shapeId="0" xr:uid="{45DFE50B-4E44-408E-9D99-8ED24BA08F0E}">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3159" authorId="1" shapeId="0" xr:uid="{6F3C87C3-6137-4CE1-A86F-0EF8A694472E}">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3159" authorId="1" shapeId="0" xr:uid="{4AFB1B23-5122-47D2-BC6B-46D9E09DDAF4}">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3160" authorId="1" shapeId="0" xr:uid="{D9EC7B8D-B060-4607-95AF-4300A28D1258}">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3160" authorId="1" shapeId="0" xr:uid="{14CD599E-24B3-45D1-9A8A-1D54C9A4BB6A}">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3160" authorId="1" shapeId="0" xr:uid="{8AE7BEAD-369E-49EC-BF63-5D07A220107F}">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3161" authorId="0" shapeId="0" xr:uid="{BA1F4129-1CD7-4350-B03E-68D246BD1803}">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3161" authorId="0" shapeId="0" xr:uid="{44EE5D84-1DA7-4C44-BC91-04DE7414FE9D}">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3161" authorId="0" shapeId="0" xr:uid="{13573570-667D-493F-BFBB-B0296B0CC1B7}">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3162" authorId="0" shapeId="0" xr:uid="{1727676D-BC6B-4A49-9DA9-C8110C657196}">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3162" authorId="0" shapeId="0" xr:uid="{C17EE458-1711-4170-BF1C-42ACB181964C}">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3162" authorId="0" shapeId="0" xr:uid="{F772F656-4F45-46DA-BF76-752DA481651A}">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3163" authorId="1" shapeId="0" xr:uid="{F21B5486-32C6-412E-A24E-3227F906BE7A}">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3169" authorId="0" shapeId="0" xr:uid="{4B78F3BB-5663-4E45-9615-534C483312BF}">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3169" authorId="0" shapeId="0" xr:uid="{BE25E21F-BFFB-4B6C-B188-DF64A1D8C76B}">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3169" authorId="0" shapeId="0" xr:uid="{EF79D46D-7775-4367-9373-72F818C83034}">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3170" authorId="0" shapeId="0" xr:uid="{DF2884EF-306C-4C38-BFDE-7FFBEB9DF8CF}">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3170" authorId="0" shapeId="0" xr:uid="{1433858F-FA7D-428D-AE01-91BFC4C2C6C5}">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3170" authorId="0" shapeId="0" xr:uid="{B1817D15-17AB-4947-88F5-276C162E08DB}">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3171" authorId="0" shapeId="0" xr:uid="{14D411AC-1AD5-4D75-89C4-07814D8C74C4}">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3171" authorId="0" shapeId="0" xr:uid="{37A7FC35-D448-4ED0-B5C1-BBB1B567E796}">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3171" authorId="0" shapeId="0" xr:uid="{5F719034-7EFB-46BA-88F6-7DEE82FE4F8B}">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3172" authorId="0" shapeId="0" xr:uid="{126C5907-654E-474D-A95E-96F8D48837EF}">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3172" authorId="0" shapeId="0" xr:uid="{32F8772D-328F-4EEA-AE88-94646263BE9A}">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3172" authorId="0" shapeId="0" xr:uid="{711BD7E1-55F3-41B5-9A98-DB515D560D61}">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3173" authorId="1" shapeId="0" xr:uid="{BB1B3D2C-774F-4334-A032-A69E43235F9E}">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3173" authorId="1" shapeId="0" xr:uid="{DAD519C2-4659-4470-8359-4B5673213536}">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3173" authorId="1" shapeId="0" xr:uid="{E6578BD5-3124-4988-BE51-B8B8E9BBE629}">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3174" authorId="1" shapeId="0" xr:uid="{38D060BC-ACC9-4F7F-9111-014F60847C29}">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3174" authorId="1" shapeId="0" xr:uid="{BF36F876-74F2-4C98-BBE5-A0B63673C601}">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3174" authorId="1" shapeId="0" xr:uid="{5E8A7ED5-371F-46DD-80F7-18E82E7FF468}">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3175" authorId="1" shapeId="0" xr:uid="{9C55A6F9-BCE6-4956-9BC5-4E8E294C67C9}">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3175" authorId="1" shapeId="0" xr:uid="{7939F574-0088-4ED1-BA1C-B3E7AD63055A}">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3175" authorId="1" shapeId="0" xr:uid="{D52DF48B-56FC-41EC-AC48-3275D409E411}">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3176" authorId="0" shapeId="0" xr:uid="{0BF9B67C-AEB1-4E1D-9815-F6408C88E86B}">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3176" authorId="0" shapeId="0" xr:uid="{6E0B9622-ED1E-4F17-A639-5B9C74193F1A}">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3176" authorId="0" shapeId="0" xr:uid="{74D505C7-1575-4C41-AEC3-93E90662AFE3}">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3177" authorId="0" shapeId="0" xr:uid="{AC0FE164-B583-44B4-87E6-44AF8DD737B6}">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3177" authorId="0" shapeId="0" xr:uid="{6AEDE7A5-FEBF-472C-BAF2-AFFF9D529467}">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3177" authorId="0" shapeId="0" xr:uid="{57D435BF-F339-442D-9E65-24741BC5B329}">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3178" authorId="1" shapeId="0" xr:uid="{CB217FA7-03DB-4FCB-9FB6-F84D3986F958}">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3184" authorId="0" shapeId="0" xr:uid="{0B260D9B-C5F8-43AA-8868-59EA4D2A7338}">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3184" authorId="0" shapeId="0" xr:uid="{973C633F-CBC1-48C6-A348-655C73B04140}">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3184" authorId="0" shapeId="0" xr:uid="{A21FCAAB-0B8E-40AD-8C67-DFE6BCAE781F}">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3185" authorId="0" shapeId="0" xr:uid="{142B7D09-BE0D-42B4-BEA3-4876D1096514}">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3185" authorId="0" shapeId="0" xr:uid="{763573F4-9187-47FB-A6AD-0A4E4A17E4E1}">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3185" authorId="0" shapeId="0" xr:uid="{3DE7EF30-BD42-44BB-94E0-B501471081B1}">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3186" authorId="0" shapeId="0" xr:uid="{504B4399-D951-4088-A4A7-26A19621563E}">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3186" authorId="0" shapeId="0" xr:uid="{B30E8231-C399-41E3-8191-48B0FF95493C}">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3186" authorId="0" shapeId="0" xr:uid="{76AC4D9C-5B8B-4DF1-A864-F0331B7766FA}">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3187" authorId="0" shapeId="0" xr:uid="{2BC1C288-4804-42EF-85C1-D527316EC75E}">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3187" authorId="0" shapeId="0" xr:uid="{2B8EC3A8-B602-41CB-AF1A-9F1E7B024F6B}">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3187" authorId="0" shapeId="0" xr:uid="{B26257D5-7787-4BBB-851D-C8DD5AE40974}">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3188" authorId="1" shapeId="0" xr:uid="{C8132716-D030-4CD6-91F7-11B9659840D1}">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3188" authorId="1" shapeId="0" xr:uid="{89645118-C69E-48BF-9B71-090787476A40}">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3188" authorId="1" shapeId="0" xr:uid="{46182486-18A3-4F8F-8923-97AC7BD83F54}">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3189" authorId="1" shapeId="0" xr:uid="{35BB0F61-C327-4223-B3F2-276FF228FD32}">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3189" authorId="1" shapeId="0" xr:uid="{391B67C5-9D18-4C50-B062-C1FEDB4CA770}">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3189" authorId="1" shapeId="0" xr:uid="{7EDA9C99-BD69-422A-893E-7B584A9BF448}">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3190" authorId="1" shapeId="0" xr:uid="{77E57EB5-FDD1-4496-8588-297DCB140B4F}">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3190" authorId="1" shapeId="0" xr:uid="{B9054C59-F1A0-4805-B11A-C23D0F899D6F}">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3190" authorId="1" shapeId="0" xr:uid="{D2683EE7-DDCD-4160-B8D3-42ACCCB5331A}">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3191" authorId="0" shapeId="0" xr:uid="{920E00CF-8078-48D5-B643-D67A88773905}">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3191" authorId="0" shapeId="0" xr:uid="{7244F575-A7FA-4C4D-B1A7-EF2E24F54913}">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3191" authorId="0" shapeId="0" xr:uid="{ABB75746-563F-4744-B6B1-1BA1FA6D9678}">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3192" authorId="0" shapeId="0" xr:uid="{A952A091-40D9-458E-9551-2AC47D72CB79}">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3192" authorId="0" shapeId="0" xr:uid="{1BA621A3-575E-4B60-938D-4D767C70FF8A}">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3192" authorId="0" shapeId="0" xr:uid="{E67A0434-0925-4F00-B7C2-50D9520D6E46}">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3193" authorId="1" shapeId="0" xr:uid="{1AC1980B-C053-447A-A158-3B4EB059AA75}">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3199" authorId="0" shapeId="0" xr:uid="{4B4E17B6-31E4-48C4-B7F9-1E7ED35F5DCB}">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3199" authorId="0" shapeId="0" xr:uid="{096BCDDD-2AC2-47A3-8C86-9A84B14C4B74}">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3199" authorId="0" shapeId="0" xr:uid="{E00595F1-8C4B-40E7-A5C2-DAA950515B81}">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3200" authorId="0" shapeId="0" xr:uid="{6510A5D8-8B6B-493C-81E6-FF5DBA1C7D3F}">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3200" authorId="0" shapeId="0" xr:uid="{F288071E-3D3B-4D8B-8F90-C9371A78D423}">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3200" authorId="0" shapeId="0" xr:uid="{E43133BA-82F5-4878-A17C-8F351E16B0F2}">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3201" authorId="0" shapeId="0" xr:uid="{9ADB52B4-AD50-43F4-8134-3AD07930B671}">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3201" authorId="0" shapeId="0" xr:uid="{708CE61D-AB2A-4576-9F5F-EF0314D3A13E}">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3201" authorId="0" shapeId="0" xr:uid="{A89B3868-8447-4F03-A029-B3B52CB328C7}">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3202" authorId="0" shapeId="0" xr:uid="{09D88B76-AEC1-468E-B38A-67317026F346}">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3202" authorId="0" shapeId="0" xr:uid="{5D8B15BE-6778-47E3-95FD-C7EEBED17141}">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3202" authorId="0" shapeId="0" xr:uid="{77EBC939-412B-4B4E-9F78-9642477D6137}">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3203" authorId="1" shapeId="0" xr:uid="{FDF2CC6E-C60C-4E96-892A-31D3F7C825CC}">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3203" authorId="1" shapeId="0" xr:uid="{0A882581-0EBA-490A-AF3B-7A5E1EFBEB2C}">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3203" authorId="1" shapeId="0" xr:uid="{3AD19341-F575-4369-B16A-EB83CD7F5E92}">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3204" authorId="1" shapeId="0" xr:uid="{67B9C582-961D-4889-99A0-8FB438FADDC6}">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3204" authorId="1" shapeId="0" xr:uid="{E8EFC13F-8F16-4B20-94FF-898296FB2183}">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3204" authorId="1" shapeId="0" xr:uid="{479B2DA3-3B76-46D4-BF6C-22500BED9F50}">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3205" authorId="1" shapeId="0" xr:uid="{5F8EEBE8-EF12-4ACE-BE36-25AD2479DB7B}">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3205" authorId="1" shapeId="0" xr:uid="{94A3AD11-DC66-4CC9-AF8F-C07CA2641176}">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3205" authorId="1" shapeId="0" xr:uid="{8D353E4E-3ACC-4BC3-9F4F-C5584A28B950}">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3206" authorId="0" shapeId="0" xr:uid="{75EC3584-4A4D-40F0-BEDA-0D0337C30872}">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3206" authorId="0" shapeId="0" xr:uid="{B8C61008-6E70-40BE-9302-2B1B5FEA5D98}">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3206" authorId="0" shapeId="0" xr:uid="{6D884C9A-1A8F-493B-A921-C8A64151F6D8}">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3207" authorId="0" shapeId="0" xr:uid="{31011D73-37FB-420E-BB47-7F0A42BFA7F2}">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3207" authorId="0" shapeId="0" xr:uid="{FA68CA0F-B772-44F2-BACC-42C61C14E3AB}">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3207" authorId="0" shapeId="0" xr:uid="{A0D540E2-C6F3-4ACB-82E8-CF07BC84464B}">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3208" authorId="1" shapeId="0" xr:uid="{E0FEF6C4-D7F7-482A-888B-1E02918EE802}">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3214" authorId="0" shapeId="0" xr:uid="{C3868EC2-58B2-4872-8732-379063DC1444}">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3214" authorId="0" shapeId="0" xr:uid="{478348C0-70F1-4C5C-BF29-4F1D19DCFEA4}">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3214" authorId="0" shapeId="0" xr:uid="{0FC7962F-E66F-4B99-90A9-8434E4C67EC7}">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3215" authorId="0" shapeId="0" xr:uid="{6841C899-DD8D-4EC2-B34B-2774F50C4F28}">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3215" authorId="0" shapeId="0" xr:uid="{69B2B8D1-961A-4CC4-BF93-1BF95F4C64F0}">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3215" authorId="0" shapeId="0" xr:uid="{015B6760-A5CD-4505-B1B3-8E46ECEB8528}">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3216" authorId="0" shapeId="0" xr:uid="{FEFACC67-70D9-46C8-9873-17C4FD16A8C1}">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3216" authorId="0" shapeId="0" xr:uid="{43923805-CAFB-4ED6-BF68-7855801B4438}">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3216" authorId="0" shapeId="0" xr:uid="{FBB02871-94A2-46AC-8E3E-BC937C87E677}">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3217" authorId="0" shapeId="0" xr:uid="{97446844-A49E-4784-A0E4-D498C8F2C333}">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3217" authorId="0" shapeId="0" xr:uid="{CFDB5B93-0423-4417-BFF6-CC208295B785}">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3217" authorId="0" shapeId="0" xr:uid="{E6797331-B9A0-492C-9F1A-B0FFAF0A8AB7}">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3218" authorId="1" shapeId="0" xr:uid="{C4905AFD-3D7B-4D55-B258-797D61F57CFD}">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3218" authorId="1" shapeId="0" xr:uid="{D354F22E-397B-4898-9908-06C589E3962F}">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3218" authorId="1" shapeId="0" xr:uid="{CC0CDF33-8F01-4EEE-88A3-F1B6F32AACDB}">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3219" authorId="1" shapeId="0" xr:uid="{2E64107B-30C4-4FA8-9729-6F8617AB868F}">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3219" authorId="1" shapeId="0" xr:uid="{8ECA81F5-9FFB-482B-92B7-D7874D5FF4CF}">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3219" authorId="1" shapeId="0" xr:uid="{B76CBEC6-71E7-4460-A387-A421C8130A17}">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3220" authorId="1" shapeId="0" xr:uid="{7BB67B9A-4337-4706-BA48-25BC8AD51948}">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3220" authorId="1" shapeId="0" xr:uid="{37FE2453-3D07-4C43-B1FF-94EC44ACD89A}">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3220" authorId="1" shapeId="0" xr:uid="{034B8BBC-350A-4E2C-A791-C908654907CD}">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3221" authorId="0" shapeId="0" xr:uid="{CF774865-E78A-4296-9C41-2415CF27555E}">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3221" authorId="0" shapeId="0" xr:uid="{69090EB7-E9E0-49E7-9032-185B5A01D5F1}">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3221" authorId="0" shapeId="0" xr:uid="{FDD78479-7B47-4874-8F74-A1ACFD6D7379}">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3222" authorId="0" shapeId="0" xr:uid="{423CC12B-455E-4520-BF34-025C5435FC06}">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3222" authorId="0" shapeId="0" xr:uid="{8556C14F-9276-47E2-98B7-39924A4E3B95}">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3222" authorId="0" shapeId="0" xr:uid="{67F6189E-E94B-495F-8DB4-07BDBAA01937}">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3223" authorId="1" shapeId="0" xr:uid="{FE187390-C8DE-46A3-A58F-D3D95357942C}">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3229" authorId="0" shapeId="0" xr:uid="{A14A24D7-DDBE-4348-831F-0503D49B2769}">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3229" authorId="0" shapeId="0" xr:uid="{38EB57BC-F17C-46FD-B719-61B1DF9607D0}">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3229" authorId="0" shapeId="0" xr:uid="{79DC9CCF-822D-41C7-BC4B-1BAE6470DB88}">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3230" authorId="0" shapeId="0" xr:uid="{A9F0EDC2-7B4F-464D-A3F6-10B0A57731AC}">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3230" authorId="0" shapeId="0" xr:uid="{62B11255-F019-4BC4-94D8-1047661E64AC}">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3230" authorId="0" shapeId="0" xr:uid="{EE1ABF79-938B-4F64-94F7-5F48194012D9}">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3231" authorId="0" shapeId="0" xr:uid="{E4ADF4DD-6993-4818-A733-1A2042471E30}">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3231" authorId="0" shapeId="0" xr:uid="{35ED6358-86E1-48C5-9378-244518999AFD}">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3231" authorId="0" shapeId="0" xr:uid="{5FDDA625-A0C1-43F7-8183-462C60112761}">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3232" authorId="0" shapeId="0" xr:uid="{CD996752-831A-4F9F-97F1-EEA87349E392}">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3232" authorId="0" shapeId="0" xr:uid="{99E2B8C4-DC95-45DD-82B6-4E03D02AB28A}">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3232" authorId="0" shapeId="0" xr:uid="{23334EDD-E2CE-437C-AF5C-33234D054F33}">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3233" authorId="1" shapeId="0" xr:uid="{49EBB4FB-3443-47F6-A57D-110822F42685}">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3233" authorId="1" shapeId="0" xr:uid="{7673E279-F2EB-441E-86A4-94ADE3DAD300}">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3233" authorId="1" shapeId="0" xr:uid="{993E1E98-4754-4935-8E27-6FAB0CE98ABC}">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3234" authorId="1" shapeId="0" xr:uid="{F1D2D481-BE89-49DF-98E9-7F3E35B38EE7}">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3234" authorId="1" shapeId="0" xr:uid="{5008A842-DC4D-4231-8306-77A9DFEEEE2F}">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3234" authorId="1" shapeId="0" xr:uid="{4494E549-F1C1-4298-9E51-84E2FD836859}">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3235" authorId="1" shapeId="0" xr:uid="{F9F463A6-94DB-40BD-8B54-153ECAD70E00}">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3235" authorId="1" shapeId="0" xr:uid="{5B801C41-E498-4D1F-BBF8-E92B573427E8}">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3235" authorId="1" shapeId="0" xr:uid="{0E07EE8F-58FE-4BD3-9621-21990C372069}">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3236" authorId="0" shapeId="0" xr:uid="{5E05AB64-32E2-4678-9C8D-C2924BC4ECC1}">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3236" authorId="0" shapeId="0" xr:uid="{4F41F95F-71EE-41E2-BAAB-74822F2611E5}">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3236" authorId="0" shapeId="0" xr:uid="{983CBB27-FDF7-4916-A448-F66E509A33E9}">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3237" authorId="0" shapeId="0" xr:uid="{01A4FA1D-F913-40AA-BBAD-A4D9384A9935}">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3237" authorId="0" shapeId="0" xr:uid="{01202919-9EEF-4FFE-B332-B65F5CC62EBC}">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3237" authorId="0" shapeId="0" xr:uid="{8F33F9E3-A6B4-4191-B117-0D1B5E1A318B}">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3238" authorId="1" shapeId="0" xr:uid="{9BA5BC24-FCD6-4330-87F0-55B7A438885C}">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3244" authorId="0" shapeId="0" xr:uid="{0B8BEDD2-C008-49AD-94B6-33235C81FA93}">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3244" authorId="0" shapeId="0" xr:uid="{192825B2-BE66-4DA7-9627-00E609CA7B18}">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3244" authorId="0" shapeId="0" xr:uid="{A164D107-9B85-46CB-B8EA-BC2211017EF6}">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3245" authorId="0" shapeId="0" xr:uid="{FB5A36B4-F0FD-4B10-B098-4513DEE9BB20}">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3245" authorId="0" shapeId="0" xr:uid="{AB3C29D1-31AE-4239-B1F1-5263C332A64F}">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3245" authorId="0" shapeId="0" xr:uid="{0483BFFB-CC25-454E-93BC-752AC7930BC1}">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3246" authorId="0" shapeId="0" xr:uid="{66A7E1B3-F27A-4A23-AB81-D46A7BF49D1F}">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3246" authorId="0" shapeId="0" xr:uid="{06B85074-3EC0-4447-B615-D649507506C8}">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3246" authorId="0" shapeId="0" xr:uid="{17CC775D-6EC7-4484-9836-9CE22ACF25B9}">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3247" authorId="0" shapeId="0" xr:uid="{9491965A-EA36-4D3A-A347-F4009A0ECA30}">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3247" authorId="0" shapeId="0" xr:uid="{DC351D01-530E-4626-87E3-EEA569B9F558}">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3247" authorId="0" shapeId="0" xr:uid="{5E6AEDE5-22FB-488A-8288-003E2AA7E77E}">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3248" authorId="1" shapeId="0" xr:uid="{0FC6623A-A02B-4600-B336-FA7B3C1D5C5D}">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3248" authorId="1" shapeId="0" xr:uid="{435FE984-3CBD-441D-A4C2-D71457164FB4}">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3248" authorId="1" shapeId="0" xr:uid="{4EA95BD9-6317-4C70-8898-EB3A794C4925}">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3249" authorId="1" shapeId="0" xr:uid="{ACF43385-73F7-46FD-9D07-FB5B35493AC2}">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3249" authorId="1" shapeId="0" xr:uid="{BF2E98C0-E058-4C1D-9359-D669845CD240}">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3249" authorId="1" shapeId="0" xr:uid="{76E2F53D-0F3C-4007-AE43-12B03CDA7551}">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3250" authorId="1" shapeId="0" xr:uid="{D2574DE2-5720-49CC-9EB3-0B0DA468B988}">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3250" authorId="1" shapeId="0" xr:uid="{F8ABF8DE-928C-49D4-B097-0674EC5DD100}">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3250" authorId="1" shapeId="0" xr:uid="{8DE43C3E-0DF3-4E90-BA1C-09580A8AE5C6}">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3251" authorId="0" shapeId="0" xr:uid="{36F010F1-FC7E-4DEE-8B5F-356F6B2C92EA}">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3251" authorId="0" shapeId="0" xr:uid="{871512F5-449E-4805-9527-EE24D948FB60}">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3251" authorId="0" shapeId="0" xr:uid="{920457AA-FFD1-48E7-A7A4-7BCC6F10DD12}">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3252" authorId="0" shapeId="0" xr:uid="{055B2488-4B81-491E-80F3-3F1E6181A929}">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3252" authorId="0" shapeId="0" xr:uid="{DFEAC1FD-9CF2-43D3-AD20-55AA30AE4519}">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3252" authorId="0" shapeId="0" xr:uid="{5065CD8A-C002-40DE-BB69-392BB51137EA}">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3253" authorId="1" shapeId="0" xr:uid="{39580EF4-787A-482E-9531-68AA0FA5A27F}">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3259" authorId="0" shapeId="0" xr:uid="{596954DD-D60C-4E78-99AD-D439AA62D7D2}">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3259" authorId="0" shapeId="0" xr:uid="{DF391342-69D8-463D-BBA7-2120A5042AED}">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3259" authorId="0" shapeId="0" xr:uid="{7F68DB10-7D7F-4046-BBF1-A0CE47A67991}">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3260" authorId="0" shapeId="0" xr:uid="{7B5346B7-327C-4B38-A92F-3F5719FEC298}">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3260" authorId="0" shapeId="0" xr:uid="{F3C70D2B-A141-4191-B744-A0041356895B}">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3260" authorId="0" shapeId="0" xr:uid="{B69A2ED3-5D1D-4E10-986D-BFFDA43435EF}">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3261" authorId="0" shapeId="0" xr:uid="{FF6F61A9-7156-4B50-B57F-C580646B0D82}">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3261" authorId="0" shapeId="0" xr:uid="{953C67FB-5C65-484C-A3AD-3B335AD72841}">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3261" authorId="0" shapeId="0" xr:uid="{1BB10BFE-72BA-425B-83FE-B85A46BA779A}">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3262" authorId="0" shapeId="0" xr:uid="{D11A18AB-FFCB-4356-9054-37E3FE51F0F6}">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3262" authorId="0" shapeId="0" xr:uid="{3A9DF44D-4D12-47C1-AE27-8719C227F806}">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3262" authorId="0" shapeId="0" xr:uid="{3EDA2A95-10DC-4AE0-BE24-349CC5F6395A}">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3263" authorId="1" shapeId="0" xr:uid="{C333A941-B3C6-479D-AC9C-04AF514D24CC}">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3263" authorId="1" shapeId="0" xr:uid="{8CBD985A-41CA-4946-A5E2-2C0068CF736B}">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3263" authorId="1" shapeId="0" xr:uid="{8FFCE030-7286-43D8-870E-4E8C0D20DF6B}">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3264" authorId="1" shapeId="0" xr:uid="{B636E0EC-8690-4740-9822-4B3487B96C58}">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3264" authorId="1" shapeId="0" xr:uid="{99E00FC2-5172-4956-8ED9-C63D0310854A}">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3264" authorId="1" shapeId="0" xr:uid="{42FDFC87-2E9B-4DF5-AE07-9C590CF37546}">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3265" authorId="1" shapeId="0" xr:uid="{EA1B5F83-EDE3-4987-BAB3-C76AF1CF38F6}">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3265" authorId="1" shapeId="0" xr:uid="{A81A0EC3-EED4-4757-B87C-CAE29B9DC29B}">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3265" authorId="1" shapeId="0" xr:uid="{EE84A406-D7D5-4A5A-8444-689F8A4F4C40}">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3266" authorId="0" shapeId="0" xr:uid="{2F8EF73C-4D29-411B-962C-CDAC3E987142}">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3266" authorId="0" shapeId="0" xr:uid="{EBF7FF94-CBAC-4F4D-ABEC-934821868B8D}">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3266" authorId="0" shapeId="0" xr:uid="{3001808B-093F-4119-A0A0-6FB8FD3FB6E5}">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3267" authorId="0" shapeId="0" xr:uid="{A6F3B7B3-AF98-418B-B461-FC3E72461EF3}">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3267" authorId="0" shapeId="0" xr:uid="{80EA02F8-64B6-47FF-916E-B4F14B81F476}">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3267" authorId="0" shapeId="0" xr:uid="{A8341B06-4998-494E-9F21-9FC335F31140}">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3268" authorId="1" shapeId="0" xr:uid="{A4B9570C-05C9-4E58-96F4-2172D32825E2}">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3274" authorId="0" shapeId="0" xr:uid="{DB50AAF1-17F0-433D-94D6-CA68EA94F8DF}">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3274" authorId="0" shapeId="0" xr:uid="{EF13ED6F-2BAB-4B20-B5EA-981957BB6DB5}">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3274" authorId="0" shapeId="0" xr:uid="{319B5C35-633C-44F5-ABA9-57B3F360F776}">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3275" authorId="0" shapeId="0" xr:uid="{B41AFEDC-F447-4C61-85D2-BC500B3E7717}">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3275" authorId="0" shapeId="0" xr:uid="{72AF0501-3564-4733-816E-E510E39BE873}">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3275" authorId="0" shapeId="0" xr:uid="{8C2BC7B0-1727-41C8-B819-81A03BFFFA06}">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3276" authorId="0" shapeId="0" xr:uid="{9D638579-F39E-43FD-95B6-C295E65C1B84}">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3276" authorId="0" shapeId="0" xr:uid="{F94F9DD9-5DC2-480A-B5A9-80B1A4A78C6C}">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3276" authorId="0" shapeId="0" xr:uid="{696F558A-6D36-4002-B2EE-FAC0FB884FDA}">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3277" authorId="0" shapeId="0" xr:uid="{EA499A88-D8A8-4F5D-B77B-65C2FD1ABFBD}">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3277" authorId="0" shapeId="0" xr:uid="{E3005DEE-E744-45AB-BF3A-D40C2334895B}">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3277" authorId="0" shapeId="0" xr:uid="{190619BE-4FF0-48CA-8D5D-D5A085051A61}">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3278" authorId="1" shapeId="0" xr:uid="{56E6FA5A-4798-4CCA-9F76-DAC03596764F}">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3278" authorId="1" shapeId="0" xr:uid="{5F26D1F2-74CB-4185-8406-C1770B5BA497}">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3278" authorId="1" shapeId="0" xr:uid="{A3DC9CAF-5693-4170-BCFC-0D2272EAE29C}">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3279" authorId="1" shapeId="0" xr:uid="{CD56FAF3-BFF9-4346-8B13-5C7A6C29B621}">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3279" authorId="1" shapeId="0" xr:uid="{408F262D-F19B-4F1D-985C-E0A8E7E38CAC}">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3279" authorId="1" shapeId="0" xr:uid="{8BBE552C-65EF-4AFF-9637-853416795735}">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3280" authorId="1" shapeId="0" xr:uid="{A9D666DF-7BD9-4648-B245-27B018916224}">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3280" authorId="1" shapeId="0" xr:uid="{2C9D88FE-04E1-4103-BDC1-CF6F7897CB77}">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3280" authorId="1" shapeId="0" xr:uid="{852110E5-DFEE-4533-880D-71445CAEF619}">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3281" authorId="0" shapeId="0" xr:uid="{4D286FED-A845-475F-BBD3-1CD8CECC9A58}">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3281" authorId="0" shapeId="0" xr:uid="{29830BAE-7B9C-482F-9E33-254F47FE75EE}">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3281" authorId="0" shapeId="0" xr:uid="{932BA1FE-DBC5-48C8-82D6-4B1F364EBCFD}">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3282" authorId="0" shapeId="0" xr:uid="{F45CDD5A-74C1-489B-847F-530743C78E62}">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3282" authorId="0" shapeId="0" xr:uid="{F8B2D1AA-E486-465D-91A6-53B4277019E9}">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3282" authorId="0" shapeId="0" xr:uid="{F7505E52-5C54-4627-988B-9E462C7CB190}">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3283" authorId="1" shapeId="0" xr:uid="{703380C8-F37A-454C-A3D5-5D51F1B1F497}">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3289" authorId="0" shapeId="0" xr:uid="{E22C1C0B-0A05-422A-91A4-9299330C7D28}">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3289" authorId="0" shapeId="0" xr:uid="{3E2B6775-8DDB-4B35-A5A3-D3D90C08CEBD}">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3289" authorId="0" shapeId="0" xr:uid="{5B7FE495-8C17-413D-A485-17CE4831F4D0}">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3290" authorId="0" shapeId="0" xr:uid="{873AC800-4BA8-44CB-B8FD-5DA83CD50BBD}">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3290" authorId="0" shapeId="0" xr:uid="{D88BC9B7-5498-49D0-8D6D-726547350419}">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3290" authorId="0" shapeId="0" xr:uid="{F56C76A9-0A44-4B86-B7A0-F77D8A418BE0}">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3291" authorId="0" shapeId="0" xr:uid="{242F73F3-9576-47C9-8FA5-511A65B5E053}">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3291" authorId="0" shapeId="0" xr:uid="{307086C6-4917-47F4-B71A-C9CBC4F5B4FB}">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3291" authorId="0" shapeId="0" xr:uid="{46318E68-2BEA-4867-8C6D-18A3E2690318}">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3292" authorId="0" shapeId="0" xr:uid="{85B39B3F-5110-4E9B-B9F7-0FB235D62D5D}">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3292" authorId="0" shapeId="0" xr:uid="{461AF675-D512-47C6-9434-0B9EF3721BE5}">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3292" authorId="0" shapeId="0" xr:uid="{9C8E67B2-EF17-4F7C-A309-E702D84C061D}">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3293" authorId="1" shapeId="0" xr:uid="{1FA5A56B-1280-4F8C-918C-F911CB542BDC}">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3293" authorId="1" shapeId="0" xr:uid="{5340276A-782F-46AF-B32B-B70DD02F4539}">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3293" authorId="1" shapeId="0" xr:uid="{EAD1779A-D6D1-4E3E-A8E9-7424D5B5E29F}">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3294" authorId="1" shapeId="0" xr:uid="{51618849-6515-4757-B829-04979A01C7C8}">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3294" authorId="1" shapeId="0" xr:uid="{1FA8B97D-4E05-4388-BDE2-2BFD5C412B84}">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3294" authorId="1" shapeId="0" xr:uid="{DB7D8EE1-8499-4653-A7D1-C59C924F969E}">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3295" authorId="1" shapeId="0" xr:uid="{07410641-276B-408C-89A2-A1817E5F2B7D}">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3295" authorId="1" shapeId="0" xr:uid="{7DAB6FAD-36B8-4DD7-B8C0-0A6AA30A5918}">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3295" authorId="1" shapeId="0" xr:uid="{C0ED2D9B-2B22-47A0-9D2C-21320764745B}">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3296" authorId="0" shapeId="0" xr:uid="{29B599E6-569D-4CFD-A2C1-FFB0FF81CD04}">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3296" authorId="0" shapeId="0" xr:uid="{E5B8C68A-6CE8-451F-B795-C8AB6B730996}">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3296" authorId="0" shapeId="0" xr:uid="{E196CC90-1AB3-4453-A3F3-B4B0F6EE5B36}">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3297" authorId="0" shapeId="0" xr:uid="{C944391A-80E6-44C5-B74E-EFC661EA5D64}">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3297" authorId="0" shapeId="0" xr:uid="{11B21FA5-7C77-4FF2-90A8-B1B6C117254D}">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3297" authorId="0" shapeId="0" xr:uid="{396762FF-6AE9-4909-AF08-802448107C68}">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3298" authorId="1" shapeId="0" xr:uid="{CE0065C2-A121-483A-B1E5-1F18A3A0D099}">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3304" authorId="0" shapeId="0" xr:uid="{B0D21A60-D110-4CD5-9E8F-D534F2F37AE8}">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3304" authorId="0" shapeId="0" xr:uid="{ED5E734F-96D5-459F-814D-E1BD641F5B24}">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3304" authorId="0" shapeId="0" xr:uid="{BFCB47CC-CE02-4CE2-8048-4B3E717E8D2F}">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3305" authorId="0" shapeId="0" xr:uid="{CEE6366E-3B7E-4D85-86F4-EEC18F87ADCF}">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3305" authorId="0" shapeId="0" xr:uid="{2E6097FF-DD88-498D-B1B7-430393F05ADA}">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3305" authorId="0" shapeId="0" xr:uid="{2ABC2828-869C-41C1-B9CD-4680B2427173}">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3306" authorId="0" shapeId="0" xr:uid="{F7574B30-0661-4D77-BCB6-5E738E1959FA}">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3306" authorId="0" shapeId="0" xr:uid="{3372CCBE-541F-415B-AAE9-C3040A67B59A}">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3306" authorId="0" shapeId="0" xr:uid="{CBF0FF74-F50C-451E-9791-68B51141BEF2}">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3307" authorId="0" shapeId="0" xr:uid="{5F369F61-67BE-4B72-A590-A49F3E25512A}">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3307" authorId="0" shapeId="0" xr:uid="{124CF7F6-FFF2-426D-93D3-6B6D3D0779A2}">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3307" authorId="0" shapeId="0" xr:uid="{06A76ADD-374F-4803-AAAA-5E31D452601D}">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3308" authorId="1" shapeId="0" xr:uid="{FD4EAD83-E016-4889-BAD9-F4F3BD1B537E}">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3308" authorId="1" shapeId="0" xr:uid="{A858452B-C11B-4AD0-AB27-0A040BAFD9E8}">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3308" authorId="1" shapeId="0" xr:uid="{ED6416BA-7A2B-41CB-8640-16BB4634663F}">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3309" authorId="1" shapeId="0" xr:uid="{A2B12F6A-3828-4DFB-ABA7-6D2FA8E31EC0}">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3309" authorId="1" shapeId="0" xr:uid="{0A272520-6947-455F-86CE-4D365969C20F}">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3309" authorId="1" shapeId="0" xr:uid="{881472B6-9A7F-42C1-8C53-19811147D58E}">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3310" authorId="1" shapeId="0" xr:uid="{2E7DEBD1-ABF4-4953-BDE4-B91D8FF5DCA6}">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3310" authorId="1" shapeId="0" xr:uid="{A3B21D2F-553B-408A-8ACF-2CA5521B4181}">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3310" authorId="1" shapeId="0" xr:uid="{AA6784A0-C094-43F3-96F6-380E8715AFDA}">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3311" authorId="0" shapeId="0" xr:uid="{9B89A665-C091-4F27-B222-6CB512A3B97F}">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3311" authorId="0" shapeId="0" xr:uid="{6957A449-4D2E-4B42-A7BB-A0809275B030}">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3311" authorId="0" shapeId="0" xr:uid="{7061CC47-F0AC-4A05-B71C-E06C8B276A32}">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3312" authorId="0" shapeId="0" xr:uid="{E10D8BA4-D100-47A0-81B5-1FD85E9D50E8}">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3312" authorId="0" shapeId="0" xr:uid="{5F505C5B-AE38-4F06-A518-C6C0CB8181EB}">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3312" authorId="0" shapeId="0" xr:uid="{A7208107-1698-4C08-AF03-CAFA36AF8E01}">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3313" authorId="1" shapeId="0" xr:uid="{447B200D-25EB-49BB-9B53-460597C8376A}">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3319" authorId="0" shapeId="0" xr:uid="{7A1D4D3A-B0D3-4C75-B414-00EF7CED6848}">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3319" authorId="0" shapeId="0" xr:uid="{47ED3F54-B2C0-42B8-B46E-F88490331336}">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3319" authorId="0" shapeId="0" xr:uid="{62029451-C52F-43AE-AA8F-778D3CE2DA52}">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3320" authorId="0" shapeId="0" xr:uid="{D589E0B3-4782-4C27-BB11-64DEF5AE7DA2}">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3320" authorId="0" shapeId="0" xr:uid="{EA3D29ED-95FF-4BAC-A904-948D1AF76F56}">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3320" authorId="0" shapeId="0" xr:uid="{2F40B7FF-BC43-4D99-B9A3-4D8B50DF7D33}">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3321" authorId="0" shapeId="0" xr:uid="{FEA8313A-D955-4771-9692-C4C4E2097FD4}">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3321" authorId="0" shapeId="0" xr:uid="{AFE5D9BB-5A74-4B59-9E74-5327725B9A50}">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3321" authorId="0" shapeId="0" xr:uid="{394056F7-BCA6-40F2-B39A-ED10105FA043}">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3322" authorId="0" shapeId="0" xr:uid="{7E9FEFC4-2681-4305-B1E0-6E4C77DB24AA}">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3322" authorId="0" shapeId="0" xr:uid="{81AFEE4B-483C-4687-AAC1-B3CCCF64F5AA}">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3322" authorId="0" shapeId="0" xr:uid="{90384730-FE52-4338-86C0-C6708B65AA8E}">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3323" authorId="1" shapeId="0" xr:uid="{6F4567FD-02BA-43E6-BF68-60F630F5CC76}">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3323" authorId="1" shapeId="0" xr:uid="{C65110DF-E994-43CE-8505-C6537A0FC616}">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3323" authorId="1" shapeId="0" xr:uid="{3494772B-0B77-4B24-9F38-66E5DEB6E4F4}">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3324" authorId="1" shapeId="0" xr:uid="{DDBF1198-0C78-467D-86B4-6F79AD432D8D}">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3324" authorId="1" shapeId="0" xr:uid="{D361F641-9B39-43FF-BD12-E989531CFE8D}">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3324" authorId="1" shapeId="0" xr:uid="{952D1275-ED1A-4D9D-A516-6F355E939472}">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3325" authorId="1" shapeId="0" xr:uid="{EC7ECDF4-B163-4660-AF5A-D5B7136F969A}">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3325" authorId="1" shapeId="0" xr:uid="{B9B8818E-687E-428B-8A58-5E1E4EF873D4}">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3325" authorId="1" shapeId="0" xr:uid="{C81BFBEA-DB8B-475A-85F8-228008208E94}">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3326" authorId="0" shapeId="0" xr:uid="{1615C85E-37CD-4273-BFEC-BBB90C90807C}">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3326" authorId="0" shapeId="0" xr:uid="{258A25DF-0BE8-4698-AF17-32864CF0F327}">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3326" authorId="0" shapeId="0" xr:uid="{49135467-4A97-43B8-BB36-ACA71FFF85CA}">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3327" authorId="0" shapeId="0" xr:uid="{6D22C43A-8DA1-4689-96FA-26298E851D3B}">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3327" authorId="0" shapeId="0" xr:uid="{AC88DFD7-ED8B-48E0-96D8-00564A74AE54}">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3327" authorId="0" shapeId="0" xr:uid="{49BA4553-19BE-40CE-BC59-FC8B6408218E}">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3328" authorId="1" shapeId="0" xr:uid="{69919DD8-7C61-41A2-AEBB-111D8BE7BB45}">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3334" authorId="0" shapeId="0" xr:uid="{A90E1778-5248-44D9-B184-C61696CD8C5D}">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3334" authorId="0" shapeId="0" xr:uid="{430466A7-E6B0-4C54-B39A-409D5AF8C9FA}">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3334" authorId="0" shapeId="0" xr:uid="{D57E1522-0562-400B-BA87-1020B14814C9}">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3335" authorId="0" shapeId="0" xr:uid="{6002B23F-7CE8-4EE9-BB3F-2B81E734A0CD}">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3335" authorId="0" shapeId="0" xr:uid="{04FB04CC-BC09-4E50-B6C4-5496091FE31A}">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3335" authorId="0" shapeId="0" xr:uid="{37ACD173-6774-487A-916B-738C4AB674F8}">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3336" authorId="0" shapeId="0" xr:uid="{5565435C-4967-43C8-B723-DF66F8441A99}">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3336" authorId="0" shapeId="0" xr:uid="{11FE2DA1-E929-4069-B9E0-A00704229F48}">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3336" authorId="0" shapeId="0" xr:uid="{DE87E9F9-D5D8-4C4D-A357-480994D4D76C}">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3337" authorId="0" shapeId="0" xr:uid="{5366906E-5D4F-4F15-B05D-DE48E978D8E7}">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3337" authorId="0" shapeId="0" xr:uid="{F47E7DCC-4DF3-4622-8515-70DE87D4341F}">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3337" authorId="0" shapeId="0" xr:uid="{A6202272-9A7F-4EEC-93A9-A018CC281990}">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3338" authorId="1" shapeId="0" xr:uid="{E53B9EE5-F03C-4A86-ACA8-815241D2B5D1}">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3338" authorId="1" shapeId="0" xr:uid="{D4421C81-A5C7-40A7-AF69-8AF6E6748C70}">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3338" authorId="1" shapeId="0" xr:uid="{BC8057ED-69B9-4C15-B7D4-DF31F83F5C36}">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3339" authorId="1" shapeId="0" xr:uid="{F49F9835-385B-46C8-8EA4-23F3098572E3}">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3339" authorId="1" shapeId="0" xr:uid="{C2EB824E-42FE-4728-B9DF-CC6B14DB2F1F}">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3339" authorId="1" shapeId="0" xr:uid="{74726584-8576-4C6D-8C9C-2FA79FC007D5}">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3340" authorId="1" shapeId="0" xr:uid="{0A528A42-B448-4FA6-B35B-11AC474107C2}">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3340" authorId="1" shapeId="0" xr:uid="{FB5DB4E7-082C-4EDE-941F-2E9DAA71C15B}">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3340" authorId="1" shapeId="0" xr:uid="{9EA01C47-78FE-4F3E-8002-8BB4A0D7187E}">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3341" authorId="0" shapeId="0" xr:uid="{3DE8FCD2-C445-47EB-9664-9F924607AA6C}">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3341" authorId="0" shapeId="0" xr:uid="{5333D3EE-3EBE-4B37-B5EE-646F06468E61}">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3341" authorId="0" shapeId="0" xr:uid="{25A552AF-5C9C-4AB1-A6E3-F7315D4C0D4E}">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3342" authorId="0" shapeId="0" xr:uid="{4EC7BF2F-26D4-4494-9912-8AE8DDEF2769}">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3342" authorId="0" shapeId="0" xr:uid="{F492719C-5391-419B-B2BD-661FB9F47522}">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3342" authorId="0" shapeId="0" xr:uid="{CE0BBFB1-829C-43E1-B400-9C08DA6A4006}">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3343" authorId="1" shapeId="0" xr:uid="{BFD71905-7835-4969-A620-1A8365BB6C23}">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3349" authorId="0" shapeId="0" xr:uid="{7ABA80D0-10E0-4C64-B130-EB7B3FD39F24}">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3349" authorId="0" shapeId="0" xr:uid="{1B5A4C50-E017-4E1E-A79B-B6BED06D5299}">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3349" authorId="0" shapeId="0" xr:uid="{028FE5BB-E7B5-481D-A257-B2E7F8DF3032}">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3350" authorId="0" shapeId="0" xr:uid="{33769FF0-9B3E-4D63-B4BA-61F5CB73BC6F}">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3350" authorId="0" shapeId="0" xr:uid="{90697218-9370-439C-9617-589B97C976C0}">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3350" authorId="0" shapeId="0" xr:uid="{F2494C2A-E35B-487F-9554-2966E2F3DF10}">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3351" authorId="0" shapeId="0" xr:uid="{0349D87A-49CD-43CF-A60D-460AF5D125D6}">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3351" authorId="0" shapeId="0" xr:uid="{1A6769C4-E22E-4174-9688-F80D66486054}">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3351" authorId="0" shapeId="0" xr:uid="{319111ED-BCE6-4EFA-B12A-67C9CBB59ADA}">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3352" authorId="0" shapeId="0" xr:uid="{245F83E8-6C94-4F16-B41D-1816210E9AE2}">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3352" authorId="0" shapeId="0" xr:uid="{538B064E-6AB1-4A7A-AD5F-10408C9A7C63}">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3352" authorId="0" shapeId="0" xr:uid="{8C1C6DC6-8039-4A11-BEA4-9600FFE82F94}">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3353" authorId="1" shapeId="0" xr:uid="{B3F9AF97-29F7-4FC9-84F7-3FAC0890E3C6}">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3353" authorId="1" shapeId="0" xr:uid="{1A9D2FE6-35DF-4D06-A3C2-363BD18B5D24}">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3353" authorId="1" shapeId="0" xr:uid="{65E74F6B-95AB-4986-850F-2428A398AA9A}">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3354" authorId="1" shapeId="0" xr:uid="{7E4E1FF7-E394-404F-9092-43D4E1BF8998}">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3354" authorId="1" shapeId="0" xr:uid="{ED685BA5-00A3-4274-88BD-1AC7927DB9E8}">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3354" authorId="1" shapeId="0" xr:uid="{5DC7AF49-10E2-4E97-9CD3-464D2D480CBF}">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3355" authorId="1" shapeId="0" xr:uid="{D59EF370-1ED2-4615-883E-4C96930DEE1D}">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3355" authorId="1" shapeId="0" xr:uid="{51255F44-102A-4983-B22F-4339817E1498}">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3355" authorId="1" shapeId="0" xr:uid="{B7DCF510-50CE-4CF7-B5FD-CDFBA496EDC4}">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3356" authorId="0" shapeId="0" xr:uid="{32A3036B-88D8-4600-A78E-2ABBAF1EEC94}">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3356" authorId="0" shapeId="0" xr:uid="{5F75BA73-615D-4E85-AC0E-A9D54450D686}">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3356" authorId="0" shapeId="0" xr:uid="{7BF34740-C035-4B10-8AD8-893482171ECE}">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3357" authorId="0" shapeId="0" xr:uid="{FB2544B9-590D-46E1-9B4D-60C82F763D7F}">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3357" authorId="0" shapeId="0" xr:uid="{3BB4B6DE-98A7-4C7F-9EF9-678F0EC67BC7}">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3357" authorId="0" shapeId="0" xr:uid="{15754F95-FA21-4668-9E85-F6FAD19E060F}">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3358" authorId="1" shapeId="0" xr:uid="{E5288356-A8C4-4197-B1A4-77BE76A3AAB2}">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3364" authorId="0" shapeId="0" xr:uid="{67CEC04E-2AE8-4535-84DC-6B2751068225}">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3364" authorId="0" shapeId="0" xr:uid="{3A801FBA-2EDF-433B-AEC3-E293320D1B3E}">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3364" authorId="0" shapeId="0" xr:uid="{29D5BE76-8749-4703-9056-DE3FD2041135}">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3365" authorId="0" shapeId="0" xr:uid="{96FEC219-6670-4198-93E1-FF186544CF3B}">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3365" authorId="0" shapeId="0" xr:uid="{7F19DBD3-63C3-4D36-BD49-18B9EAC66434}">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3365" authorId="0" shapeId="0" xr:uid="{8BBB2BEE-5D58-4755-8660-7CF180DB03F9}">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3366" authorId="0" shapeId="0" xr:uid="{25F420B6-C66F-4739-B6C6-72D6F5AA8A37}">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3366" authorId="0" shapeId="0" xr:uid="{C4E4EEFE-5C06-4C32-84F8-9329E1566520}">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3366" authorId="0" shapeId="0" xr:uid="{8990BB46-B6B4-4065-9FAE-45B61CC25016}">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3367" authorId="0" shapeId="0" xr:uid="{6FEB2942-3B99-40D5-8A82-844B3AC2C1AC}">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3367" authorId="0" shapeId="0" xr:uid="{08B5BD2A-61DA-4696-AF7D-B80E11383189}">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3367" authorId="0" shapeId="0" xr:uid="{7E59D3E3-71B9-4D28-B594-2A26DBB67980}">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3368" authorId="1" shapeId="0" xr:uid="{FD4D5289-E2C9-4C6D-A24B-241279C7ED3B}">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3368" authorId="1" shapeId="0" xr:uid="{1B42B1F3-0247-46AB-9807-9478C07C6BE1}">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3368" authorId="1" shapeId="0" xr:uid="{76E6AB3A-C556-45D4-9595-7440D9264474}">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3369" authorId="1" shapeId="0" xr:uid="{FB7F2C34-F07E-4452-BE01-65D505880798}">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3369" authorId="1" shapeId="0" xr:uid="{0D3BF7B2-2D70-48D6-B62F-F06C90EDE4D7}">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3369" authorId="1" shapeId="0" xr:uid="{9D6E190A-A5A2-4F08-AE93-7739FFAA14EC}">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3370" authorId="1" shapeId="0" xr:uid="{3AD92266-EED1-4CB4-A4C4-F8F08D25E53E}">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3370" authorId="1" shapeId="0" xr:uid="{06FD337A-5880-4D5F-8C0D-F60ED54AD968}">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3370" authorId="1" shapeId="0" xr:uid="{266452E1-7B06-4FA9-B8B8-328EFD9A39FF}">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3371" authorId="0" shapeId="0" xr:uid="{EBF9B450-0CA0-4BB4-A650-6AC8423AE152}">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3371" authorId="0" shapeId="0" xr:uid="{8ED85C23-92F8-4308-B31B-73B1ABB3B607}">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3371" authorId="0" shapeId="0" xr:uid="{D304AC13-BEC3-4CC9-986F-FCF0A242C931}">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3372" authorId="0" shapeId="0" xr:uid="{186161B8-5149-4E5D-A59D-8C799CAC5D5E}">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3372" authorId="0" shapeId="0" xr:uid="{2B95D7A0-671C-4122-9F29-78B85AF1B271}">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3372" authorId="0" shapeId="0" xr:uid="{BC2A817D-612A-4342-BAA5-77C886861CE7}">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3373" authorId="1" shapeId="0" xr:uid="{52439138-11AF-42CB-B238-89AFDA9D8ADE}">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3379" authorId="0" shapeId="0" xr:uid="{B39AFBC6-5CC4-45EA-89B7-F9B4220D5B08}">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3379" authorId="0" shapeId="0" xr:uid="{9E810663-D9BF-44A5-A182-759137B0648C}">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3379" authorId="0" shapeId="0" xr:uid="{97C9261B-D044-4D0A-AC10-97C54B025CED}">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3380" authorId="0" shapeId="0" xr:uid="{5122A1F5-9E11-4819-854A-BA37F7CB2E61}">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3380" authorId="0" shapeId="0" xr:uid="{AED3EB38-49BD-4155-9F92-EEAEFFD487DA}">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3380" authorId="0" shapeId="0" xr:uid="{362F5866-CC27-4B0E-95D0-E15EEA498691}">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3381" authorId="0" shapeId="0" xr:uid="{C832B4FE-CB5A-4788-BEE8-16C62F7BF027}">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3381" authorId="0" shapeId="0" xr:uid="{C32ED3AD-9437-4C05-A8D2-CD83726886AE}">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3381" authorId="0" shapeId="0" xr:uid="{4EA4D943-7ECB-4E76-BC9F-5CA5DDDAEE8D}">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3382" authorId="0" shapeId="0" xr:uid="{CF5F7476-EA2C-48F2-969B-B48B34D94279}">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3382" authorId="0" shapeId="0" xr:uid="{DA6E443E-00F7-46A2-9E7D-2FB83695D1D4}">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3382" authorId="0" shapeId="0" xr:uid="{F47DC494-67BD-44E7-978F-A4486B0C9967}">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3383" authorId="1" shapeId="0" xr:uid="{9992025A-731A-461E-877B-A122894D315C}">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3383" authorId="1" shapeId="0" xr:uid="{9C5E9A63-5527-4E40-AB21-9406B499CC8A}">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3383" authorId="1" shapeId="0" xr:uid="{7A2BE56B-AC05-4795-983B-D9D1161A0497}">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3384" authorId="1" shapeId="0" xr:uid="{82B7285E-4637-4F49-A964-10E8A945970D}">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3384" authorId="1" shapeId="0" xr:uid="{15C0377A-65E7-403D-9645-1E9FDBAABA67}">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3384" authorId="1" shapeId="0" xr:uid="{93CF0256-9A8A-48FF-BAE5-F7502F47E22E}">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3385" authorId="1" shapeId="0" xr:uid="{38E56AC9-7B2D-4DAB-90AA-FCCCBAB14A67}">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3385" authorId="1" shapeId="0" xr:uid="{80EF4114-0FEC-45E3-B45C-7DC963982F3F}">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3385" authorId="1" shapeId="0" xr:uid="{EA1BEBF6-3CAD-43AD-A681-E5957581A8A6}">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3386" authorId="0" shapeId="0" xr:uid="{EFCDBCF5-CE85-4AEA-AB8C-3F43B36640AD}">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3386" authorId="0" shapeId="0" xr:uid="{8C719809-70AF-43CB-80AA-B34AAAC350F6}">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3386" authorId="0" shapeId="0" xr:uid="{22938CDA-473A-4E75-93CE-2223AD88AAF5}">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3387" authorId="0" shapeId="0" xr:uid="{B79DAD1C-8479-42E6-B7C8-55811A1C43B4}">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3387" authorId="0" shapeId="0" xr:uid="{9F997DB5-4059-4FEA-B93A-8F3C1AD2CC18}">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3387" authorId="0" shapeId="0" xr:uid="{481F5815-3D17-4E57-B63F-3E8DCBE3EC5E}">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3388" authorId="1" shapeId="0" xr:uid="{A5F4349D-58E8-489A-A260-94E7521D2EA4}">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3394" authorId="0" shapeId="0" xr:uid="{19185F99-298F-4B43-99FF-5158B9DCFE66}">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3394" authorId="0" shapeId="0" xr:uid="{61C02ED8-DEA1-4951-A9F7-F1BA550B7AA1}">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3394" authorId="0" shapeId="0" xr:uid="{29728FF5-6859-44AE-B154-64028571B8C1}">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3395" authorId="0" shapeId="0" xr:uid="{AFC498F0-3352-45ED-AE51-CFE948D6C52E}">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3395" authorId="0" shapeId="0" xr:uid="{FEC7ED59-AA50-4392-A375-1491BCC266AD}">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3395" authorId="0" shapeId="0" xr:uid="{B474D92C-1E00-4924-B640-0CA0909C284A}">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3396" authorId="0" shapeId="0" xr:uid="{AB61DCE7-7C1B-437F-BF79-183193FAB1B4}">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3396" authorId="0" shapeId="0" xr:uid="{6F1A4379-D08F-43A4-8D48-EEF634EAEA51}">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3396" authorId="0" shapeId="0" xr:uid="{27D5528E-63EF-403C-8248-CD803A1A4A8D}">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3397" authorId="0" shapeId="0" xr:uid="{0E4A423E-1264-41B5-9C98-5CBD541738A2}">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3397" authorId="0" shapeId="0" xr:uid="{B7FAEC46-EC77-49A8-AD5C-F23B5A0AE356}">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3397" authorId="0" shapeId="0" xr:uid="{08127D8A-16F2-4A5B-B3FC-FAB9A312991D}">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3398" authorId="1" shapeId="0" xr:uid="{74B2F5A3-7784-4F96-8D67-42B44E8156BC}">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3398" authorId="1" shapeId="0" xr:uid="{EE9BCA1B-EE5E-46C9-BB5F-788CF3D8C0C5}">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3398" authorId="1" shapeId="0" xr:uid="{693569CB-6F6D-438E-83AC-1F09018AF9C1}">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3399" authorId="1" shapeId="0" xr:uid="{11C366A8-F5D2-40B0-B90D-B24D524FD44E}">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3399" authorId="1" shapeId="0" xr:uid="{64D54964-9DA2-45E0-A558-147C032BF2B3}">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3399" authorId="1" shapeId="0" xr:uid="{7D237889-26AE-4A28-B6ED-828BB78D7FF7}">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3400" authorId="1" shapeId="0" xr:uid="{F09C6539-424F-49C4-AECB-0A2EF701EB66}">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3400" authorId="1" shapeId="0" xr:uid="{1BBA15FF-B40C-4F92-AE27-6F8AE1FB0E06}">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3400" authorId="1" shapeId="0" xr:uid="{3AB12DF2-3BDB-4F63-8CC7-0E93CA9790D7}">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3401" authorId="0" shapeId="0" xr:uid="{55030CEE-8344-4A4C-9832-247915A837DB}">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3401" authorId="0" shapeId="0" xr:uid="{5F51CAC2-414F-4DEA-B094-E7902AF99B02}">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3401" authorId="0" shapeId="0" xr:uid="{2BCAEAAA-AA96-43F1-919F-106459A9434F}">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3402" authorId="0" shapeId="0" xr:uid="{E218E5B9-7FEE-490B-B758-E4EB189C9B01}">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3402" authorId="0" shapeId="0" xr:uid="{36147FB1-A8B2-4331-9BF1-E8B61BAD83A1}">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3402" authorId="0" shapeId="0" xr:uid="{FEB612F6-B325-4148-BC0B-C2605A5F0F80}">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3403" authorId="1" shapeId="0" xr:uid="{08B5B2E1-CDB6-4760-BADD-F213CF15D6BB}">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3409" authorId="0" shapeId="0" xr:uid="{A93BB2A7-10F6-4C8E-80F8-860BB52FDC98}">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3409" authorId="0" shapeId="0" xr:uid="{2F1A82C3-FA15-4CFA-88E5-CEA4397C3DC1}">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3409" authorId="0" shapeId="0" xr:uid="{EBB3F929-0976-4ADC-B4E7-9567D0DEA485}">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3410" authorId="0" shapeId="0" xr:uid="{8E1C6097-65EE-43C6-9F19-71A156C8D69F}">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3410" authorId="0" shapeId="0" xr:uid="{86E57A2C-23F4-44B7-A047-D1B27F69A9C1}">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3410" authorId="0" shapeId="0" xr:uid="{1304026F-4640-4196-B0D7-D13C93161603}">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3411" authorId="0" shapeId="0" xr:uid="{280BF1F6-B90C-4964-B69E-EB332F72A066}">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3411" authorId="0" shapeId="0" xr:uid="{9DC5186E-6E1A-458E-8725-E6D1942A77D8}">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3411" authorId="0" shapeId="0" xr:uid="{C4E40FE5-FC5D-4EF1-8610-C71AE0D2F3C9}">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3412" authorId="0" shapeId="0" xr:uid="{AD215361-30C6-44CF-A3F8-1F5FEF2BEF62}">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3412" authorId="0" shapeId="0" xr:uid="{34E5833B-2361-4D07-AAF9-1ACFE19D1A0B}">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3412" authorId="0" shapeId="0" xr:uid="{DD5270BC-EE85-4E39-A064-4E679FEB576D}">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3413" authorId="1" shapeId="0" xr:uid="{99D77653-E6D1-41AB-BC48-0151B8C7BE94}">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3413" authorId="1" shapeId="0" xr:uid="{E07F56F8-A279-43DF-8E9A-3853F6D4A5A0}">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3413" authorId="1" shapeId="0" xr:uid="{FAA61C88-D738-4920-9284-ABB1E0F7A29E}">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3414" authorId="1" shapeId="0" xr:uid="{5C01A84D-E00F-49BB-9F1C-267E6C5A75BF}">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3414" authorId="1" shapeId="0" xr:uid="{02DC905F-F19B-4FE2-9944-F3CEC3181BC2}">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3414" authorId="1" shapeId="0" xr:uid="{16C31C43-BEC7-4BE1-81C9-036C213D3335}">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3415" authorId="1" shapeId="0" xr:uid="{F1B3BC5E-5A05-4A6B-B869-17767EB06142}">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3415" authorId="1" shapeId="0" xr:uid="{5C81031A-7CB4-4B66-89F7-9EF87283E94A}">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3415" authorId="1" shapeId="0" xr:uid="{9152583B-48A9-4C8A-B10F-5FEEA5F4E8D1}">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3416" authorId="0" shapeId="0" xr:uid="{1B6D3A5D-9D9C-498D-A51A-836870C53738}">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3416" authorId="0" shapeId="0" xr:uid="{7BD8A350-CA81-4F3B-8968-8C5B066D9BC0}">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3416" authorId="0" shapeId="0" xr:uid="{F47EF4A0-F352-48BE-B1FA-506C65608C35}">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3417" authorId="0" shapeId="0" xr:uid="{691F0F0C-5383-420D-A627-49EC1EC83187}">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3417" authorId="0" shapeId="0" xr:uid="{4AA5293B-2E6B-4279-8EFF-DC67F7161D58}">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3417" authorId="0" shapeId="0" xr:uid="{08D8132F-6DEA-450E-99E7-18B4FAEDD4EC}">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3418" authorId="1" shapeId="0" xr:uid="{34D1FD2D-D643-486A-8A57-52CBE139E44B}">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3424" authorId="0" shapeId="0" xr:uid="{B473AB29-1EE3-4B54-9261-F068CC0C0771}">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3424" authorId="0" shapeId="0" xr:uid="{54F0C550-4A45-4593-BE69-2EFFA7D855C2}">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3424" authorId="0" shapeId="0" xr:uid="{9523CB5B-FA55-4A9D-BE45-0583222942A3}">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3425" authorId="0" shapeId="0" xr:uid="{68160FDF-5E3F-47E6-AA47-6037D83FBF14}">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3425" authorId="0" shapeId="0" xr:uid="{972CA5DB-8224-4074-88B4-382BCC0EB927}">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3425" authorId="0" shapeId="0" xr:uid="{08734B70-F8A8-4C3A-8686-D9B30FF41A48}">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3426" authorId="0" shapeId="0" xr:uid="{24EF2A58-D9A7-46E6-BB2A-BD540656E29E}">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3426" authorId="0" shapeId="0" xr:uid="{AE0697AA-B43F-4ED5-9EB5-ED11F3203299}">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3426" authorId="0" shapeId="0" xr:uid="{A9DC12B3-2ABF-45B6-BAFE-CCF8538787EE}">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3427" authorId="0" shapeId="0" xr:uid="{0128AB95-3913-430A-BC25-49A511AA99C1}">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3427" authorId="0" shapeId="0" xr:uid="{47FE16F9-4866-40CA-A8CA-F08F295352E2}">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3427" authorId="0" shapeId="0" xr:uid="{E4CC372A-1DFD-4D4D-8C84-D5EF6B095087}">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3428" authorId="1" shapeId="0" xr:uid="{84F473F1-1AAA-4612-9794-47EC082B9685}">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3428" authorId="1" shapeId="0" xr:uid="{1B15AAC5-F590-4E11-B258-12816B8C1C1B}">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3428" authorId="1" shapeId="0" xr:uid="{2C4ECCA0-A744-4640-BA09-1B8A5EB2ED05}">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3429" authorId="1" shapeId="0" xr:uid="{88082D68-E8AA-4A95-8832-A23341FACCB5}">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3429" authorId="1" shapeId="0" xr:uid="{ED98F7C5-4775-42B3-BD56-5CBD357F976A}">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3429" authorId="1" shapeId="0" xr:uid="{725DEAB6-720C-4BCE-849F-BA8DF13A37C1}">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3430" authorId="1" shapeId="0" xr:uid="{B370A989-2C8C-430A-8AF5-8074B8981BBE}">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3430" authorId="1" shapeId="0" xr:uid="{4EA8747E-8574-4684-A594-12D809DC6DEA}">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3430" authorId="1" shapeId="0" xr:uid="{02B38143-5024-4891-A6DD-3EDE6830CFCD}">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3431" authorId="0" shapeId="0" xr:uid="{ABE69CEC-7FD5-406E-AB42-64A3ADD96399}">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3431" authorId="0" shapeId="0" xr:uid="{09158D6F-CA61-440A-8370-C7AF61FCD859}">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3431" authorId="0" shapeId="0" xr:uid="{7CB8EBAB-A8C5-43C7-9891-16838B7B00C4}">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3432" authorId="0" shapeId="0" xr:uid="{B42747F3-EC91-4F9B-91C6-2B08F20513A7}">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3432" authorId="0" shapeId="0" xr:uid="{C20FAF9C-3B70-43E3-AE19-362062A3721A}">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3432" authorId="0" shapeId="0" xr:uid="{B1EF113F-473D-40A0-B1E2-12E6D6093A25}">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3433" authorId="1" shapeId="0" xr:uid="{75A0DD79-2608-456E-8609-B0FCC010F725}">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3439" authorId="0" shapeId="0" xr:uid="{62B5EA52-B394-4A57-93B9-2580C708EEF1}">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3439" authorId="0" shapeId="0" xr:uid="{BA778118-3689-4508-B0A7-1D73F01D3A1B}">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3439" authorId="0" shapeId="0" xr:uid="{755724FA-08CB-4286-ABDD-1483685D32EC}">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3440" authorId="0" shapeId="0" xr:uid="{F541189B-7CAA-4CB6-B1BB-9C472EE23C55}">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3440" authorId="0" shapeId="0" xr:uid="{68E8FF9D-8DBE-446B-A952-65D3D48BE052}">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3440" authorId="0" shapeId="0" xr:uid="{26F1D611-1C3F-41EB-8EB8-FF0D37E9EB7D}">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3441" authorId="0" shapeId="0" xr:uid="{631D6624-7DDD-4EBB-BD7A-462AA89A040C}">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3441" authorId="0" shapeId="0" xr:uid="{BEB32A96-A8BB-4E73-ADEF-4D8C21672360}">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3441" authorId="0" shapeId="0" xr:uid="{A48BBC8B-E4CA-477E-98E3-FEA8DDCBB232}">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3442" authorId="0" shapeId="0" xr:uid="{6AA40F0B-EF1C-4D63-A177-4CEFF212878F}">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3442" authorId="0" shapeId="0" xr:uid="{D165758A-AF68-4403-95DD-19752E61C136}">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3442" authorId="0" shapeId="0" xr:uid="{C3314940-57A8-4D8C-A132-21F528942CA7}">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3443" authorId="1" shapeId="0" xr:uid="{0C6725FF-AE71-443F-B748-431B9B4D58D8}">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3443" authorId="1" shapeId="0" xr:uid="{2E0C6D85-9BF7-4127-9E01-6FC889506053}">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3443" authorId="1" shapeId="0" xr:uid="{D19346C5-79AF-4671-B1B1-7DD17268DFE3}">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3444" authorId="1" shapeId="0" xr:uid="{1102B180-00AD-48A7-AEA5-C59B434514AC}">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3444" authorId="1" shapeId="0" xr:uid="{0E7248AF-A566-4298-87AD-5978AB029F22}">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3444" authorId="1" shapeId="0" xr:uid="{90D7757A-BD9F-4B44-92CF-52860F3D2A0B}">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3445" authorId="1" shapeId="0" xr:uid="{15E2E279-C97A-4DE4-9DE4-1F9305AF23EE}">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3445" authorId="1" shapeId="0" xr:uid="{E672D50E-BE6F-41C6-9946-B1E8DE3390B2}">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3445" authorId="1" shapeId="0" xr:uid="{1EA5DB33-6833-4DB6-8DF3-BE171177E575}">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3446" authorId="0" shapeId="0" xr:uid="{298A7ABE-8B33-47C8-988C-CFC4D4B568AD}">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3446" authorId="0" shapeId="0" xr:uid="{8A376BB7-8157-4D2E-895B-038F679F55CE}">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3446" authorId="0" shapeId="0" xr:uid="{F69257C2-6C86-4F4C-9454-5E159D9F1875}">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3447" authorId="0" shapeId="0" xr:uid="{9207E776-7D11-4C1F-9ED8-C177E0330176}">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3447" authorId="0" shapeId="0" xr:uid="{5D9B4BBD-F832-4DD2-8879-BA04F39CB6E6}">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3447" authorId="0" shapeId="0" xr:uid="{28D8F368-2C39-4016-AE74-1545BD4394BE}">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3448" authorId="1" shapeId="0" xr:uid="{02307DEC-2A47-4DAB-9839-CC8CE1E08CCA}">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3454" authorId="0" shapeId="0" xr:uid="{53DDB2BE-4384-409D-BE34-3587F5AFFDCD}">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3454" authorId="0" shapeId="0" xr:uid="{BDDB17B3-D25C-48FF-8FC1-ED6C9C77F65C}">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3454" authorId="0" shapeId="0" xr:uid="{B6B46AE1-45DE-4097-81BE-34219BE2B7C6}">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3455" authorId="0" shapeId="0" xr:uid="{D8CA2819-21E4-4B64-A588-04ED440B8DFE}">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3455" authorId="0" shapeId="0" xr:uid="{B72EE001-F39A-421D-8E48-8662E9EBA8AF}">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3455" authorId="0" shapeId="0" xr:uid="{CEDB19DE-3274-4C51-8A14-A509B2939BF2}">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3456" authorId="0" shapeId="0" xr:uid="{0BF07772-449E-451D-A52F-954A5DFB8EF0}">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3456" authorId="0" shapeId="0" xr:uid="{42CE8B97-8B8B-4ECD-8725-E63E2C484DA4}">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3456" authorId="0" shapeId="0" xr:uid="{D10BE4DA-0F1E-468B-B046-CD3B7B7B9A04}">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3457" authorId="0" shapeId="0" xr:uid="{24079BD0-FC61-4CC0-B2E1-A1ACA8DE8D93}">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3457" authorId="0" shapeId="0" xr:uid="{56058990-8E10-452C-A833-E37FEB2520A6}">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3457" authorId="0" shapeId="0" xr:uid="{E1F18DD8-10D0-479D-8981-17F83860E518}">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3458" authorId="1" shapeId="0" xr:uid="{D2E4155B-9E9E-41C0-AF0E-D496288AA463}">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3458" authorId="1" shapeId="0" xr:uid="{C93A498A-A90B-490B-9DF0-A6E0AE08194D}">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3458" authorId="1" shapeId="0" xr:uid="{6E92A47F-10B3-48E7-8C96-B99363E13FB7}">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3459" authorId="1" shapeId="0" xr:uid="{5BA9C9DE-4BA6-4159-ADC2-26F5BDB8A79C}">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3459" authorId="1" shapeId="0" xr:uid="{10D2FCC2-90B8-450A-8ACD-152F24CA543B}">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3459" authorId="1" shapeId="0" xr:uid="{B55884FB-52FA-4DBA-B03E-B51D108A6EE0}">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3460" authorId="1" shapeId="0" xr:uid="{15894E17-376F-44B8-8577-437921014E44}">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3460" authorId="1" shapeId="0" xr:uid="{3F8B80CB-2D4F-46F3-A0E7-9FDD34BEAA15}">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3460" authorId="1" shapeId="0" xr:uid="{A83CF0D4-CD19-4ED7-A7B0-CD5DC116DFAA}">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3461" authorId="0" shapeId="0" xr:uid="{A9D4DD40-5D66-4C32-A22F-FBF45157A933}">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3461" authorId="0" shapeId="0" xr:uid="{0BEA89B3-B025-497D-9AE9-7261BA56AC87}">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3461" authorId="0" shapeId="0" xr:uid="{F3CFADBD-FE72-4AFD-9CC5-52FF9CB50E6A}">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3462" authorId="0" shapeId="0" xr:uid="{6F03B3C9-F436-432A-ABEA-099E010427A3}">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3462" authorId="0" shapeId="0" xr:uid="{B5628B68-085C-4122-BEAF-0388E0F5981F}">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3462" authorId="0" shapeId="0" xr:uid="{DA37981F-5731-4D03-ADE6-5AA9E179FAAF}">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3463" authorId="1" shapeId="0" xr:uid="{C52F5D47-85B3-40A2-A52F-8550B50EFF8E}">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3469" authorId="0" shapeId="0" xr:uid="{D6A7E83E-AAF0-4B9C-81B8-F863448FFD8C}">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3469" authorId="0" shapeId="0" xr:uid="{96BC8C82-9931-4321-808F-5FE948D7DFB8}">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3469" authorId="0" shapeId="0" xr:uid="{569E1AE4-9D0A-491B-AAEE-9226A5168963}">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3470" authorId="0" shapeId="0" xr:uid="{078AD8CA-48E8-47F6-A17C-21F7D8B59169}">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3470" authorId="0" shapeId="0" xr:uid="{DFCE1757-BA5F-419D-B698-D1C5815DA5D3}">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3470" authorId="0" shapeId="0" xr:uid="{017D1DF2-8667-4AF2-B9F5-F53044F11441}">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3471" authorId="0" shapeId="0" xr:uid="{5F8C7F56-6638-44E7-8A76-5820571AF1B9}">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3471" authorId="0" shapeId="0" xr:uid="{6504E762-AB3A-4DB0-9C15-80D1E45DAB35}">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3471" authorId="0" shapeId="0" xr:uid="{70DF9E82-971E-4319-B179-73A64488BE9C}">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3472" authorId="0" shapeId="0" xr:uid="{159A4254-CB7A-42A3-A331-A0643B199FC9}">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3472" authorId="0" shapeId="0" xr:uid="{118FA3A0-E806-4F7D-A2CE-E3E558485255}">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3472" authorId="0" shapeId="0" xr:uid="{689286FA-BCE8-4F6B-911A-3908A69D2E3A}">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3473" authorId="1" shapeId="0" xr:uid="{0092EA81-5698-449A-9C1B-442A7E60C933}">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3473" authorId="1" shapeId="0" xr:uid="{7FF8A677-178A-42BB-84D8-F8C763F1B669}">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3473" authorId="1" shapeId="0" xr:uid="{B1E4152D-E4E6-49B7-952D-FE9751527110}">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3474" authorId="1" shapeId="0" xr:uid="{3A6B6183-844D-42DA-B167-ACFA2A8D5E02}">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3474" authorId="1" shapeId="0" xr:uid="{04FC739A-E13F-4172-ACA3-A7508B61321F}">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3474" authorId="1" shapeId="0" xr:uid="{31DD73C8-CE39-4FE0-871E-3673F7E8CBD7}">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3475" authorId="1" shapeId="0" xr:uid="{901DB065-8612-403E-8E87-73F46698017E}">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3475" authorId="1" shapeId="0" xr:uid="{918868BC-1B44-4164-B7B2-3204FBFFE371}">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3475" authorId="1" shapeId="0" xr:uid="{EA33671D-1986-4A68-81A1-560A053E95FE}">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3476" authorId="0" shapeId="0" xr:uid="{25F00944-4B46-4E5F-B155-13BE04ADCE2D}">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3476" authorId="0" shapeId="0" xr:uid="{4D476F26-6933-427C-8D4F-AFC6E0888535}">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3476" authorId="0" shapeId="0" xr:uid="{55C56B58-46DC-4641-B38D-98119F0A3006}">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3477" authorId="0" shapeId="0" xr:uid="{62E36212-8F22-4719-A9AA-CF37CC77C8D4}">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3477" authorId="0" shapeId="0" xr:uid="{C590EFF8-E729-4030-B099-49DBC9BA6CD8}">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3477" authorId="0" shapeId="0" xr:uid="{82FA4F3B-F4D2-4D1E-95F9-C9B0682B4552}">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3478" authorId="1" shapeId="0" xr:uid="{8255ECCC-8480-408B-A4A6-FA9A050172CA}">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3484" authorId="0" shapeId="0" xr:uid="{5CBFC139-61A5-4FC1-A47A-6707A96A71C7}">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3484" authorId="0" shapeId="0" xr:uid="{2E063A31-5BBD-4A4B-A13B-ED90B461128D}">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3484" authorId="0" shapeId="0" xr:uid="{22475CD3-F764-4E51-B587-E8A39FE6C786}">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3485" authorId="0" shapeId="0" xr:uid="{22112538-2ACA-462D-81AF-CF8E5B901B61}">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3485" authorId="0" shapeId="0" xr:uid="{32BA248A-97A8-478E-9424-D1BB47A07978}">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3485" authorId="0" shapeId="0" xr:uid="{3A202573-B05C-49CA-AA62-87518C1658C2}">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3486" authorId="0" shapeId="0" xr:uid="{D3769824-5647-481C-87B3-BB42E8729FCB}">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3486" authorId="0" shapeId="0" xr:uid="{5AE5D9D4-DC47-4AD3-AA88-8DF8F149B72F}">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3486" authorId="0" shapeId="0" xr:uid="{9F874D52-BA52-45E2-A02A-96125EDB31A6}">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3487" authorId="0" shapeId="0" xr:uid="{02D46035-3136-41B0-BCB6-80364B1E3140}">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3487" authorId="0" shapeId="0" xr:uid="{B9805591-4082-43D5-BA11-7496CAE103A0}">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3487" authorId="0" shapeId="0" xr:uid="{1E68726E-38E1-4E54-89DF-55E208F12D6F}">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3488" authorId="1" shapeId="0" xr:uid="{919476D9-2887-491B-BC4A-A962F6FA3557}">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3488" authorId="1" shapeId="0" xr:uid="{06AFA012-DEED-4979-9C09-770DB0AE61BC}">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3488" authorId="1" shapeId="0" xr:uid="{AB7A10DE-7C98-469D-A1AB-18D03F314D1D}">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3489" authorId="1" shapeId="0" xr:uid="{B81122AE-203F-404A-9231-4DC1EFDE49C5}">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3489" authorId="1" shapeId="0" xr:uid="{A60FB674-F8F0-4636-95FB-8726D6454EE4}">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3489" authorId="1" shapeId="0" xr:uid="{F62CFA9B-FC90-405A-9BAB-98B57AB22E71}">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3490" authorId="1" shapeId="0" xr:uid="{6F1A2630-6DC2-44D4-83D0-8337C835E653}">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3490" authorId="1" shapeId="0" xr:uid="{A6C9169E-EB8D-4EDD-9B1F-8349E73CE3D1}">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3490" authorId="1" shapeId="0" xr:uid="{07243C2F-782D-41B1-A4E4-A7B7E4C218F1}">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3491" authorId="0" shapeId="0" xr:uid="{8721471A-0994-40B2-84DE-541AACC9C033}">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3491" authorId="0" shapeId="0" xr:uid="{933458B7-EF14-4034-ADCD-0E36E9F537F1}">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3491" authorId="0" shapeId="0" xr:uid="{D68267EC-BC1C-4F5B-A0D3-E78438957A7E}">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3492" authorId="0" shapeId="0" xr:uid="{4F62E8DF-FA2A-49ED-A6EC-64C299424540}">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3492" authorId="0" shapeId="0" xr:uid="{0B2388B9-981E-48BB-9FDF-5BDDC4219830}">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3492" authorId="0" shapeId="0" xr:uid="{84EF06B6-01F0-4D57-A4A7-7CB083652E0C}">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3493" authorId="1" shapeId="0" xr:uid="{47239099-CE87-4E37-9913-B41C16DDC210}">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3499" authorId="0" shapeId="0" xr:uid="{EA354E9A-7D7F-4E97-9A1E-753FEBA62941}">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3499" authorId="0" shapeId="0" xr:uid="{E9FDD06C-9560-46A2-80C5-3031F63FBD34}">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3499" authorId="0" shapeId="0" xr:uid="{E3F913D2-5395-4CC7-A586-2EE90078BF8D}">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3500" authorId="0" shapeId="0" xr:uid="{93FBB18B-B7BC-4CA0-BC5D-FC50F3CB9567}">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3500" authorId="0" shapeId="0" xr:uid="{56CD23C0-83D4-4931-8F77-764DBCB5B862}">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3500" authorId="0" shapeId="0" xr:uid="{4E51FD3D-7851-46AE-9684-11649E56926F}">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3501" authorId="0" shapeId="0" xr:uid="{B0A7CA0B-86D5-4AB9-862D-C173B6802E01}">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3501" authorId="0" shapeId="0" xr:uid="{B1FAE40D-F141-4D10-9AFF-74F3D6446C47}">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3501" authorId="0" shapeId="0" xr:uid="{D59A82DC-7D05-4647-92B5-4F0C38E419D5}">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3502" authorId="0" shapeId="0" xr:uid="{FA35009C-1640-463F-9560-FC2ED8F08BB2}">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3502" authorId="0" shapeId="0" xr:uid="{98DABD71-0139-4E5F-9D65-242E50208378}">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3502" authorId="0" shapeId="0" xr:uid="{A7A84121-D238-4E4D-96F9-CE9C33E120BD}">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3503" authorId="1" shapeId="0" xr:uid="{45633FDF-1C9E-4EA4-B779-9CB1450E439B}">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3503" authorId="1" shapeId="0" xr:uid="{010CDA60-79A7-4344-8792-216D6D9684E3}">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3503" authorId="1" shapeId="0" xr:uid="{0435DA84-8636-4549-A77F-AF14DC4B3C37}">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3504" authorId="1" shapeId="0" xr:uid="{08CA94FB-9587-474F-87ED-2427812FF6E3}">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3504" authorId="1" shapeId="0" xr:uid="{1446A0A4-063A-448F-B906-E85A7CD7BC20}">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3504" authorId="1" shapeId="0" xr:uid="{08825634-03CA-4C3F-BDD2-0AFF966A7EF6}">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3505" authorId="1" shapeId="0" xr:uid="{F4625AFB-2730-43BE-BB8A-B026867054F5}">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3505" authorId="1" shapeId="0" xr:uid="{D329B9F0-99EE-499E-B7A1-1CC054F1FA60}">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3505" authorId="1" shapeId="0" xr:uid="{E266FA10-4670-4C82-8C9A-132900555B7C}">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3506" authorId="0" shapeId="0" xr:uid="{A25CB20E-84E0-4990-A21E-F1B0968CA11B}">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3506" authorId="0" shapeId="0" xr:uid="{A5CB8A6D-7158-4C17-84FD-99178D6D3BA3}">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3506" authorId="0" shapeId="0" xr:uid="{0DDE9D9B-A490-4E48-A5ED-76850007B10C}">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3507" authorId="0" shapeId="0" xr:uid="{60806FAA-9B12-46A4-9656-75205B1A846A}">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3507" authorId="0" shapeId="0" xr:uid="{80C05383-F3AE-47A7-9957-0E79938899D6}">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3507" authorId="0" shapeId="0" xr:uid="{8CFFED01-14DF-4E1B-A85C-129561B8E877}">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3508" authorId="1" shapeId="0" xr:uid="{F7044496-F929-4724-831B-3BD01089C1C0}">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3514" authorId="0" shapeId="0" xr:uid="{15324485-D998-497A-A0CB-C79CA62E4916}">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3514" authorId="0" shapeId="0" xr:uid="{577227AE-46F5-487A-A4C1-3CEA5FA8C7C6}">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3514" authorId="0" shapeId="0" xr:uid="{0325B35E-5B51-4A34-AF64-86E1799FDF73}">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3515" authorId="0" shapeId="0" xr:uid="{288E59E7-D116-4335-8740-BF4983D9AC07}">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3515" authorId="0" shapeId="0" xr:uid="{FC3F558B-2160-489E-A7D4-1FD96F7B8C02}">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3515" authorId="0" shapeId="0" xr:uid="{9D73074F-BEB1-4EDA-BDB6-F7ECDEA87EDD}">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3516" authorId="0" shapeId="0" xr:uid="{06631670-7B6A-4F26-A2BC-B9C0864D699D}">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3516" authorId="0" shapeId="0" xr:uid="{BF59D428-8A7F-4F51-800E-78367D6BF6B7}">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3516" authorId="0" shapeId="0" xr:uid="{5E23E712-B8D2-40F4-955A-C9444C225ABE}">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3517" authorId="0" shapeId="0" xr:uid="{D1D0A130-3860-4084-B995-F30D36255686}">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3517" authorId="0" shapeId="0" xr:uid="{180EF2EA-6B55-45B4-A965-2E012BFFB02A}">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3517" authorId="0" shapeId="0" xr:uid="{E12FFEC8-F96F-49F4-8025-D5551B2C101E}">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3518" authorId="1" shapeId="0" xr:uid="{B8C5C14B-974F-4894-9B78-0ADC9BD15055}">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3518" authorId="1" shapeId="0" xr:uid="{D4F04824-B420-4868-BA35-D4FA4419EBB1}">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3518" authorId="1" shapeId="0" xr:uid="{64CCEA2E-6CDD-48E5-8800-1E37F575DB6A}">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3519" authorId="1" shapeId="0" xr:uid="{12CA0424-0D4B-4F0A-A761-8ED88C6494D4}">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3519" authorId="1" shapeId="0" xr:uid="{A4854E4F-CFB3-46DB-8DA3-8FC832FA1686}">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3519" authorId="1" shapeId="0" xr:uid="{D0D99BF0-9420-4627-A54C-BDB1047E47B0}">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3520" authorId="1" shapeId="0" xr:uid="{CE83609D-44DB-4487-8150-2F14787C07A3}">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3520" authorId="1" shapeId="0" xr:uid="{823C710E-C86A-4274-9D36-6C43A86FC3E9}">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3520" authorId="1" shapeId="0" xr:uid="{99D5E6A6-7063-4108-879A-13215513743B}">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3521" authorId="0" shapeId="0" xr:uid="{046FAB61-F150-4C0B-9319-C7FE08746C61}">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3521" authorId="0" shapeId="0" xr:uid="{754FB439-DF43-4B17-BC1C-31822BFCE1B9}">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3521" authorId="0" shapeId="0" xr:uid="{C20A032B-F4B8-4027-9A14-2BD745505FFA}">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3522" authorId="0" shapeId="0" xr:uid="{D21B13BD-CD6D-44FA-9E95-78EA3BC8AE5A}">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3522" authorId="0" shapeId="0" xr:uid="{E78E4C95-F367-4B4A-B4CA-A0071D03B1DD}">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3522" authorId="0" shapeId="0" xr:uid="{2B11A27F-57A7-402D-9860-7D56D8DBA6F9}">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3523" authorId="1" shapeId="0" xr:uid="{A18A76E6-4311-4BCE-B297-AB949FF89B0A}">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3529" authorId="0" shapeId="0" xr:uid="{8EDA1DC0-E6A8-4514-9F97-87AF687E7F6D}">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3529" authorId="0" shapeId="0" xr:uid="{0BD06F69-F2DE-44E7-8D53-D8BE2ABB1186}">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3529" authorId="0" shapeId="0" xr:uid="{379A487F-D62F-4BFE-9F27-935AB18A3874}">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3530" authorId="0" shapeId="0" xr:uid="{FEAA7F67-187C-42B4-93CA-07B33642CB6E}">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3530" authorId="0" shapeId="0" xr:uid="{2FDF1274-3FAE-4BE9-85AA-AE4E2AC11E96}">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3530" authorId="0" shapeId="0" xr:uid="{377A1520-7E3D-4F15-8F57-7BABFDC8CEC5}">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3531" authorId="0" shapeId="0" xr:uid="{9BEE999B-E71D-4EEA-809C-6B394E1B8D62}">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3531" authorId="0" shapeId="0" xr:uid="{BC23F016-14C8-4109-9590-D3BE8B680B79}">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3531" authorId="0" shapeId="0" xr:uid="{525DDFFC-7719-4B04-9F19-3CDC66FD1C38}">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3532" authorId="0" shapeId="0" xr:uid="{E0B85DF2-6976-439A-9C5B-D902A42EBAC8}">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3532" authorId="0" shapeId="0" xr:uid="{1F0A0CC5-6B67-401F-B75B-980D1AD1BD90}">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3532" authorId="0" shapeId="0" xr:uid="{DBA1C09C-4F32-447A-9486-420559804D5C}">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3533" authorId="1" shapeId="0" xr:uid="{1FFB5982-FBFB-49F2-89A7-3AE58D1F719F}">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3533" authorId="1" shapeId="0" xr:uid="{5D828042-29AF-4E83-97A8-4BE020A869CF}">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3533" authorId="1" shapeId="0" xr:uid="{AB8BA857-DD8D-440C-9A3C-44ADCED1A7F4}">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3534" authorId="1" shapeId="0" xr:uid="{4F1F84E3-879B-407C-A2E0-4D8696564E88}">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3534" authorId="1" shapeId="0" xr:uid="{C351247C-CE79-4520-8420-B38FE83C7600}">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3534" authorId="1" shapeId="0" xr:uid="{5AA398C5-FE95-4031-B706-2DD3FE4468D8}">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3535" authorId="1" shapeId="0" xr:uid="{D74DA503-0DD6-46E1-82F6-7FD90E79F3A3}">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3535" authorId="1" shapeId="0" xr:uid="{957BD706-444D-48ED-8124-36A50F728C57}">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3535" authorId="1" shapeId="0" xr:uid="{E8E0075A-ECB0-4244-837C-5C34CD98E7EB}">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3536" authorId="0" shapeId="0" xr:uid="{34B8BCDB-FFDD-4F71-B285-6FC50FCF748C}">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3536" authorId="0" shapeId="0" xr:uid="{EE2B77AD-4DF4-4430-86F3-7E060154E9E6}">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3536" authorId="0" shapeId="0" xr:uid="{5E713733-B325-4EC9-931D-9B7873438E92}">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3537" authorId="0" shapeId="0" xr:uid="{3255DDC9-1A91-40AF-814C-90539578788C}">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3537" authorId="0" shapeId="0" xr:uid="{91F89BB4-3A27-40F7-B38F-57F3BB21D9FB}">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3537" authorId="0" shapeId="0" xr:uid="{1D0A8844-D182-4C33-8E56-A3FDA340F338}">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3538" authorId="1" shapeId="0" xr:uid="{17D5B0A1-7D49-487C-A278-60AC8E2297AC}">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3544" authorId="0" shapeId="0" xr:uid="{95A87A9F-3139-4CFA-A714-AD9364FC5388}">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3544" authorId="0" shapeId="0" xr:uid="{B130BD1F-3AF4-4A9C-B194-71C86AB3467C}">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3544" authorId="0" shapeId="0" xr:uid="{ECE3EFA9-D2F5-4C22-B34C-5888BA318951}">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3545" authorId="0" shapeId="0" xr:uid="{0163EF80-69FB-4D9C-B9C5-51937BD17BA4}">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3545" authorId="0" shapeId="0" xr:uid="{09D5F0B8-19EA-4B2F-BD97-0F5C51C85206}">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3545" authorId="0" shapeId="0" xr:uid="{CBD6F342-C100-48F5-A68D-F0C7E11395C4}">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3546" authorId="0" shapeId="0" xr:uid="{840ADA89-6AFA-47FE-A049-E7122D86C914}">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3546" authorId="0" shapeId="0" xr:uid="{D3669EB0-2D81-4760-998A-F68CE6CD7D00}">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3546" authorId="0" shapeId="0" xr:uid="{540D3879-4A0C-418A-B18F-92AC8472B33C}">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3547" authorId="0" shapeId="0" xr:uid="{E1420220-5D18-4DCB-A137-A55602618BE5}">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3547" authorId="0" shapeId="0" xr:uid="{DA379E11-7276-4E82-8C73-FD80F3938C72}">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3547" authorId="0" shapeId="0" xr:uid="{5BDE6C5A-56DF-4ADB-BD49-4AD652ACE8EC}">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3548" authorId="1" shapeId="0" xr:uid="{44129AF5-0725-4C54-9723-DEF6537EDE90}">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3548" authorId="1" shapeId="0" xr:uid="{6097E49C-8692-4AD0-9D34-D969203BECEE}">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3548" authorId="1" shapeId="0" xr:uid="{5F8A2690-19F0-4FAB-BFA2-FE6ECD042320}">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3549" authorId="1" shapeId="0" xr:uid="{1918E0CE-1B3D-4439-8502-0AEF03D9C6B1}">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3549" authorId="1" shapeId="0" xr:uid="{E8DCA47F-298C-4361-8759-0922C67C8B47}">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3549" authorId="1" shapeId="0" xr:uid="{65EC1796-C144-4103-BE98-ACD85470347D}">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3550" authorId="1" shapeId="0" xr:uid="{CBA4860D-DBD5-4AFA-94DF-B767878ECBB2}">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3550" authorId="1" shapeId="0" xr:uid="{F3F33960-3AB0-4718-9E29-AE15F2555CC9}">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3550" authorId="1" shapeId="0" xr:uid="{F2877622-4451-4303-AE7A-8429756F96B9}">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3551" authorId="0" shapeId="0" xr:uid="{276E2A83-445A-4279-B127-8BF1600EA12E}">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3551" authorId="0" shapeId="0" xr:uid="{B1333DC5-640E-4419-8BA3-2D82399A2ED8}">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3551" authorId="0" shapeId="0" xr:uid="{647C609B-1929-4A47-8021-BCEAF466F9A7}">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3552" authorId="0" shapeId="0" xr:uid="{7AE7BB46-6D99-492D-809B-9512EA39742C}">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3552" authorId="0" shapeId="0" xr:uid="{ADE250DE-5FA8-4BC4-ACD4-896FE8991E2A}">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3552" authorId="0" shapeId="0" xr:uid="{244B7145-463D-41FE-8779-8F461E2317E1}">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3553" authorId="1" shapeId="0" xr:uid="{CCAE6B52-DCAB-443F-A704-FD70FA7631C7}">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3559" authorId="0" shapeId="0" xr:uid="{358DDA0E-9634-4F55-A7A6-3C3AE347D012}">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3559" authorId="0" shapeId="0" xr:uid="{4BD4A394-AFC3-4D62-A7C2-8955841521EC}">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3559" authorId="0" shapeId="0" xr:uid="{ACBA9D56-DBF9-42DE-8E58-48DC66BC9DF1}">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3560" authorId="0" shapeId="0" xr:uid="{642527F8-0988-410B-8D18-D864C6ED3990}">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3560" authorId="0" shapeId="0" xr:uid="{CE8670AC-EECC-417D-8E2F-765EF7DEF0ED}">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3560" authorId="0" shapeId="0" xr:uid="{8BB34035-D223-4DCC-8FCE-6200D60D561B}">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3561" authorId="0" shapeId="0" xr:uid="{B1767CF3-413D-467D-8784-91DF70BEC6EF}">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3561" authorId="0" shapeId="0" xr:uid="{8E52AF7C-7681-487E-8FEC-2E668EBCB9DD}">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3561" authorId="0" shapeId="0" xr:uid="{228629C1-72BE-432E-BDC2-6E7D8EB61A1E}">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3562" authorId="0" shapeId="0" xr:uid="{4B4CFE99-F47F-4759-BD25-B1C917FC8AE2}">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3562" authorId="0" shapeId="0" xr:uid="{82B624C6-9B5A-449B-8633-378BA8D0B062}">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3562" authorId="0" shapeId="0" xr:uid="{41A57580-0EA0-4737-ADCC-DC95C19C1727}">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3563" authorId="1" shapeId="0" xr:uid="{CE56C348-3DDF-4CB6-B710-A81F4A8FAA48}">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3563" authorId="1" shapeId="0" xr:uid="{B1A478B8-19E5-47C3-AF7F-571002A3270F}">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3563" authorId="1" shapeId="0" xr:uid="{1A11ECFD-19C0-49A6-AB58-6AC53FD475AA}">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3564" authorId="1" shapeId="0" xr:uid="{49F1593C-27CB-4C89-8109-0F4890172101}">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3564" authorId="1" shapeId="0" xr:uid="{86222CFC-2A43-4A3E-BC80-FBF5A2D81451}">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3564" authorId="1" shapeId="0" xr:uid="{373D2560-2064-4C5E-9396-B9C29D76FACA}">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3565" authorId="1" shapeId="0" xr:uid="{57712F40-1D40-434F-8363-20F01874C630}">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3565" authorId="1" shapeId="0" xr:uid="{FCD517D4-320D-4453-9A32-97CB09CD0A26}">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3565" authorId="1" shapeId="0" xr:uid="{6177FB38-EFB4-4094-B43B-70CB03F0FDE1}">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3566" authorId="0" shapeId="0" xr:uid="{3661AEA9-6E6D-474F-843D-3E3BD46F0419}">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3566" authorId="0" shapeId="0" xr:uid="{640A3AEF-268D-4D91-B283-22FE0029A59C}">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3566" authorId="0" shapeId="0" xr:uid="{FF67BB20-6751-4C6F-9F65-2B5D0426B167}">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3567" authorId="0" shapeId="0" xr:uid="{2C545825-487B-45CA-BC54-95160530180B}">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3567" authorId="0" shapeId="0" xr:uid="{5FDC5D5B-3EA5-450B-B0BF-9149A98ABDE4}">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3567" authorId="0" shapeId="0" xr:uid="{F3279E1C-3C2B-434D-919B-CE156131AB09}">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3568" authorId="1" shapeId="0" xr:uid="{085CA83E-816B-4AD3-8F7D-4998D5BD6006}">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3574" authorId="0" shapeId="0" xr:uid="{AD70E497-5917-459E-9C21-4FD16698F940}">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3574" authorId="0" shapeId="0" xr:uid="{DC7A6F6F-815D-4808-AD49-D332B3BECF33}">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3574" authorId="0" shapeId="0" xr:uid="{60DE0488-260A-498C-95C5-D92CD6A58618}">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3575" authorId="0" shapeId="0" xr:uid="{F72A5F64-3B34-4F05-9DD6-5BBBC8459645}">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3575" authorId="0" shapeId="0" xr:uid="{7DB75EF6-1D08-4147-A152-CC4381198307}">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3575" authorId="0" shapeId="0" xr:uid="{781AF168-2FB3-4917-BAF1-52E6C7C0528A}">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3576" authorId="0" shapeId="0" xr:uid="{DF1A2245-53A1-41FD-94FA-03C7451DB323}">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3576" authorId="0" shapeId="0" xr:uid="{27BD40C3-4A6D-4E23-A2F6-3FD5CD26A8C3}">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3576" authorId="0" shapeId="0" xr:uid="{ED788B8E-2113-4E99-A8BF-F109BBC156AC}">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3577" authorId="0" shapeId="0" xr:uid="{5843E4F0-5EBB-4214-8434-03077FA8501C}">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3577" authorId="0" shapeId="0" xr:uid="{B67E7EAB-99C9-49D8-A30A-816B72DDDD7B}">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3577" authorId="0" shapeId="0" xr:uid="{21948388-E593-411E-AB3F-4C77786F4A41}">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3578" authorId="1" shapeId="0" xr:uid="{3E175BBA-A58B-4897-B3DB-C6A10E1C9BDF}">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3578" authorId="1" shapeId="0" xr:uid="{AB9B33D0-5073-447B-9AD7-C7CE7079724D}">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3578" authorId="1" shapeId="0" xr:uid="{2C8C921F-33FF-46B1-B0B7-E46F90E13915}">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3579" authorId="1" shapeId="0" xr:uid="{C43872E6-1880-446D-AD56-007C6247D001}">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3579" authorId="1" shapeId="0" xr:uid="{70FD93A1-74FC-4583-A7BC-5D1D761193D4}">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3579" authorId="1" shapeId="0" xr:uid="{C89995E4-67EB-448A-BB66-B465F5CA2E33}">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3580" authorId="1" shapeId="0" xr:uid="{F33E8B3C-C701-4FA0-984A-DD7700AC1440}">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3580" authorId="1" shapeId="0" xr:uid="{2EF6C573-BDF2-4C59-ABC9-160D3454703A}">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3580" authorId="1" shapeId="0" xr:uid="{BA1061D2-E7B4-4623-8729-63B8A4223242}">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3581" authorId="0" shapeId="0" xr:uid="{978759DA-4E5F-436D-86DB-6BF4C285AC57}">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3581" authorId="0" shapeId="0" xr:uid="{3DA927ED-5CAF-45B3-948E-2ACA1A021C1D}">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3581" authorId="0" shapeId="0" xr:uid="{8B6CB078-6456-457D-B96D-B65040D22B27}">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3582" authorId="0" shapeId="0" xr:uid="{AD43165B-062F-4746-9611-C57A9B72AC0A}">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3582" authorId="0" shapeId="0" xr:uid="{6BF95087-DCC2-41C5-AC5A-662D8239B5CA}">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3582" authorId="0" shapeId="0" xr:uid="{A824EEB3-2E72-4E05-A393-D98B46C45E17}">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3583" authorId="1" shapeId="0" xr:uid="{1C10AA28-5793-4704-85E4-9E6E4D520AEF}">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3589" authorId="0" shapeId="0" xr:uid="{C29099BA-575C-4635-BD8B-08E26EF8B3D1}">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3589" authorId="0" shapeId="0" xr:uid="{2B3FE967-EC1F-432E-B64E-FCD7D42552A5}">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3589" authorId="0" shapeId="0" xr:uid="{AB2AB49B-F05F-4827-8AFB-97B2A5BC3AB2}">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3590" authorId="0" shapeId="0" xr:uid="{81612D71-DE9D-4B40-A4F7-89544A5046AD}">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3590" authorId="0" shapeId="0" xr:uid="{5C5DE5CA-C5A5-4DDB-B1D1-12F1C591EB96}">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3590" authorId="0" shapeId="0" xr:uid="{E1D4583A-B7B8-4EEB-B859-B519A579E539}">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3591" authorId="0" shapeId="0" xr:uid="{7FFCF941-B0DC-418A-807F-FE448CD5BE4C}">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3591" authorId="0" shapeId="0" xr:uid="{8CF26183-9009-4161-A589-154ECC3CB198}">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3591" authorId="0" shapeId="0" xr:uid="{76F41FC8-4C21-4E68-B07F-413588586DD2}">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3592" authorId="0" shapeId="0" xr:uid="{441EBEFD-816E-4F2C-A3F6-67980E4B1DE7}">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3592" authorId="0" shapeId="0" xr:uid="{3CC696C2-FD7D-4294-9C3F-EDE247B6AC59}">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3592" authorId="0" shapeId="0" xr:uid="{FC7BBD94-54F7-4445-B242-BB4BE13C6C08}">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3593" authorId="1" shapeId="0" xr:uid="{6642312D-1767-41D5-9C38-E90B9858C145}">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3593" authorId="1" shapeId="0" xr:uid="{09C851D0-2EA1-4AA1-80EE-DD5CB97EEF5F}">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3593" authorId="1" shapeId="0" xr:uid="{F0C2243E-6C7D-4DF5-A42C-0FA1790D5E97}">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3594" authorId="1" shapeId="0" xr:uid="{DC590CB5-BA7D-42AC-9897-2277A8641C04}">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3594" authorId="1" shapeId="0" xr:uid="{4B6EFFB9-C64C-4073-ABB2-4A8EE306CFCB}">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3594" authorId="1" shapeId="0" xr:uid="{26B86C9C-3669-4D5C-8392-4045390770EE}">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3595" authorId="1" shapeId="0" xr:uid="{97E4310D-757D-46ED-ADF3-C40B35F54959}">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3595" authorId="1" shapeId="0" xr:uid="{51290548-E853-4F48-BD49-588E4B42EED7}">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3595" authorId="1" shapeId="0" xr:uid="{E6C88D5A-1407-40F7-8E98-02F8B91AA9C7}">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3596" authorId="0" shapeId="0" xr:uid="{325527A5-E8F1-4EA4-BE0D-0928EACA61C9}">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3596" authorId="0" shapeId="0" xr:uid="{528C50B8-3B5B-4054-8310-2175D3F8583A}">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3596" authorId="0" shapeId="0" xr:uid="{5841AF2E-8097-411A-BA49-F92F45A00E94}">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3597" authorId="0" shapeId="0" xr:uid="{DBB50DEA-1598-455D-835A-377D195D1574}">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3597" authorId="0" shapeId="0" xr:uid="{3E0114F5-3ADA-4C2D-ABB8-912191185297}">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3597" authorId="0" shapeId="0" xr:uid="{12422D9F-14B4-41DA-99F8-E2EC2E2AA61B}">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3598" authorId="1" shapeId="0" xr:uid="{DE03F2E2-B693-460E-9139-DE3340CDB05D}">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3604" authorId="0" shapeId="0" xr:uid="{398BD4AB-D024-4A7A-A8B3-0774B3312E82}">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3604" authorId="0" shapeId="0" xr:uid="{5BEF7551-7FD6-40A5-996C-FB8C95989797}">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3604" authorId="0" shapeId="0" xr:uid="{CB8605E5-2E28-4AD3-B932-F712B0ECBB99}">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3605" authorId="0" shapeId="0" xr:uid="{FD24E0BC-7651-4B74-A287-C115C1BC7826}">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3605" authorId="0" shapeId="0" xr:uid="{B72A3773-91EA-45E1-9C52-F2944F90AE54}">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3605" authorId="0" shapeId="0" xr:uid="{8B5F523C-4EA4-4319-846F-A9773D569BF5}">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3606" authorId="0" shapeId="0" xr:uid="{67990F8E-4A4B-4398-A95E-07265E38A104}">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3606" authorId="0" shapeId="0" xr:uid="{86150DA6-DB0F-435E-8B91-2895C64435C0}">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3606" authorId="0" shapeId="0" xr:uid="{3A0AF572-508D-43ED-9253-2D4D40A19511}">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3607" authorId="0" shapeId="0" xr:uid="{FC8CDE52-18E6-4DD6-8816-65B5AADD2B2A}">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3607" authorId="0" shapeId="0" xr:uid="{04372636-1462-44D6-AD42-0C060B598700}">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3607" authorId="0" shapeId="0" xr:uid="{114A0DF7-EAE1-4CEF-BEC0-D51DE2B3C96A}">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3608" authorId="1" shapeId="0" xr:uid="{7D6E8784-9E3A-4F5F-891E-9EDECBE2C548}">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3608" authorId="1" shapeId="0" xr:uid="{FC2D8E56-6315-458F-90FC-37970EF20104}">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3608" authorId="1" shapeId="0" xr:uid="{A104D14E-2DA4-48DC-A0D9-820ECF12FBA7}">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3609" authorId="1" shapeId="0" xr:uid="{92B6EF45-1AA9-4076-8C7B-35D62ED6F2E9}">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3609" authorId="1" shapeId="0" xr:uid="{A6FE1932-3864-4C73-A7AB-7D93A8FC0E2F}">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3609" authorId="1" shapeId="0" xr:uid="{BA994AAC-4F9E-43AF-9154-FDD1E5B84692}">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3610" authorId="1" shapeId="0" xr:uid="{51C219D9-AA8F-4F31-9CB8-8C022D220568}">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3610" authorId="1" shapeId="0" xr:uid="{44192D50-1B32-40E8-9918-8BC3CC918DE5}">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3610" authorId="1" shapeId="0" xr:uid="{A826EF0E-B1D0-4015-AB1A-7ACC10B3D68D}">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3611" authorId="0" shapeId="0" xr:uid="{CBDB26D5-C7C8-4E41-9BF4-78AB42D23647}">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3611" authorId="0" shapeId="0" xr:uid="{3F754A3F-8683-4A99-BCE3-900EDBF8273F}">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3611" authorId="0" shapeId="0" xr:uid="{D5623C0F-C93F-49D8-8E72-049D86C06A4B}">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3612" authorId="0" shapeId="0" xr:uid="{C5160F55-15AB-4CB6-860F-7CECBBBB6F70}">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3612" authorId="0" shapeId="0" xr:uid="{01E1A77C-25B4-4A57-93F8-A5EF8EC79DD7}">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3612" authorId="0" shapeId="0" xr:uid="{4768C343-84EA-43EC-BFB8-1531590247C4}">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3613" authorId="1" shapeId="0" xr:uid="{9827D07C-6B77-42AD-AEE3-7EBCFAACCE62}">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3619" authorId="0" shapeId="0" xr:uid="{C4491B1C-A381-434C-9208-3E99797B8FD1}">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3619" authorId="0" shapeId="0" xr:uid="{90B89D06-F3D5-447E-B087-0C2CEDAD0098}">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3619" authorId="0" shapeId="0" xr:uid="{B783C028-97D5-44BB-AEEB-97CC7C892C83}">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3620" authorId="0" shapeId="0" xr:uid="{1BFCC1E1-0C1A-4D26-9CD6-5E51D3DF84B1}">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3620" authorId="0" shapeId="0" xr:uid="{90EDD8E0-AA74-4A2D-9F1B-16B92BC77752}">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3620" authorId="0" shapeId="0" xr:uid="{86F80453-A658-4071-9522-DCB0C091E168}">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3621" authorId="0" shapeId="0" xr:uid="{DD0B068D-235D-4EA4-8FC1-9EEE056182F8}">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3621" authorId="0" shapeId="0" xr:uid="{30751E22-C14D-49F5-9025-73378D529C7D}">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3621" authorId="0" shapeId="0" xr:uid="{DCDBED95-2DA4-4682-8FE0-3B3E73534A9F}">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3622" authorId="0" shapeId="0" xr:uid="{7E2CDBFA-DCC9-4579-807D-8AAFE371371D}">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3622" authorId="0" shapeId="0" xr:uid="{CC29E6CB-0EA8-4574-B989-E7C3AF61D2DE}">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3622" authorId="0" shapeId="0" xr:uid="{28F56B18-0471-4342-B004-D0C50E11A4CE}">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3623" authorId="1" shapeId="0" xr:uid="{9469C91D-0684-4831-AE4A-6A19E84A5850}">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3623" authorId="1" shapeId="0" xr:uid="{431271DB-D1EB-4C73-8F5B-8494DEC44245}">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3623" authorId="1" shapeId="0" xr:uid="{D22AB6FF-5616-408D-825C-FE8AB6747165}">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3624" authorId="1" shapeId="0" xr:uid="{58F61C32-7982-4313-92B1-9DB5A85F8923}">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3624" authorId="1" shapeId="0" xr:uid="{6E9D5FD3-8F96-459E-89A8-1917CD1F800A}">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3624" authorId="1" shapeId="0" xr:uid="{0FA8734C-7086-4BF4-B775-F26B9866D5FF}">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3625" authorId="1" shapeId="0" xr:uid="{ABF5025A-B528-4118-AEEC-CE7363E84478}">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3625" authorId="1" shapeId="0" xr:uid="{39A72129-D25C-447C-A45F-832FD8F86DF4}">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3625" authorId="1" shapeId="0" xr:uid="{D9E36C4E-4405-4512-97FC-B21C60F81196}">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3626" authorId="0" shapeId="0" xr:uid="{039EE2C8-64ED-4772-A8C8-6A2490428CBA}">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3626" authorId="0" shapeId="0" xr:uid="{C8D4D0B6-C744-455F-908A-85544AC6AACA}">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3626" authorId="0" shapeId="0" xr:uid="{57A60E59-580F-4EDD-9227-FFAEBA7F5FD3}">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3627" authorId="0" shapeId="0" xr:uid="{C070966E-E8C3-4962-B4C3-1FE86D544EC7}">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3627" authorId="0" shapeId="0" xr:uid="{B5269B3D-5835-44E4-AB5A-4A8EAE255DD0}">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3627" authorId="0" shapeId="0" xr:uid="{6833A74E-AFD9-4226-98E6-31F6573575E9}">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3628" authorId="1" shapeId="0" xr:uid="{D8B40CDA-350C-4C16-BD2A-0BDE4BCDDCEE}">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3634" authorId="0" shapeId="0" xr:uid="{E4ED6009-3983-489D-A6D8-1DED14D6FAD4}">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3634" authorId="0" shapeId="0" xr:uid="{DE8074B3-63F6-4301-B8B9-6397C1B3A417}">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3634" authorId="0" shapeId="0" xr:uid="{97764DB3-E4DC-47B4-8831-16C698DEE5AE}">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3635" authorId="0" shapeId="0" xr:uid="{8F1DCA72-DBB1-4605-800B-A91AB9C8C6C7}">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3635" authorId="0" shapeId="0" xr:uid="{26D23D8C-40F0-4D50-8787-B6C90696F685}">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3635" authorId="0" shapeId="0" xr:uid="{875EA5EC-222B-4E8A-B569-428347DBDD0D}">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3636" authorId="0" shapeId="0" xr:uid="{2F4BEC80-1A59-4878-86B2-2A70BF146CDD}">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3636" authorId="0" shapeId="0" xr:uid="{350DF3E2-BC54-4408-9BFC-D53E1504D61A}">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3636" authorId="0" shapeId="0" xr:uid="{73BBD295-756B-4968-B058-541E1C5BE8E5}">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3637" authorId="0" shapeId="0" xr:uid="{DEDDDD92-6A2B-4E63-9799-D839EBFF5D67}">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3637" authorId="0" shapeId="0" xr:uid="{CEFFD995-203F-48E7-80D7-6C4A89893AA7}">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3637" authorId="0" shapeId="0" xr:uid="{1316B96C-B02D-4219-B5BB-830700CF611E}">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3638" authorId="1" shapeId="0" xr:uid="{9CBDCC75-9086-40E5-AEC8-9C0C0E71A417}">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3638" authorId="1" shapeId="0" xr:uid="{90A31C5A-68F3-437E-9FBA-2F3075D65515}">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3638" authorId="1" shapeId="0" xr:uid="{C0B9E3B9-43DE-461C-A082-D44F93AC2447}">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3639" authorId="1" shapeId="0" xr:uid="{DEDCDEF9-8856-4F62-A6EA-B1308D15D0ED}">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3639" authorId="1" shapeId="0" xr:uid="{2812C226-49C9-4C30-8F7C-EE49BE7B5DA2}">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3639" authorId="1" shapeId="0" xr:uid="{631F7729-0281-4FF0-95C6-EA0C20A89045}">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3640" authorId="1" shapeId="0" xr:uid="{6B110AA2-1C72-44CC-92EE-AF119D38F155}">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3640" authorId="1" shapeId="0" xr:uid="{64927E55-B780-4220-AE1B-F8DAA4B6909E}">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3640" authorId="1" shapeId="0" xr:uid="{64ACC709-9C11-418D-BDA4-73C34F4BE204}">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3641" authorId="0" shapeId="0" xr:uid="{CDCB6050-52D4-402F-9C59-017319937751}">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3641" authorId="0" shapeId="0" xr:uid="{E57A37A7-93B1-4A78-9C9A-D0969B4F4232}">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3641" authorId="0" shapeId="0" xr:uid="{BEE6E0B9-E576-4016-AA47-D80A0FC96F33}">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3642" authorId="0" shapeId="0" xr:uid="{0EE9D6C9-1736-4A25-AD3C-E41BAB5171BD}">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3642" authorId="0" shapeId="0" xr:uid="{E06EA4D6-E3BA-4BC6-AE9A-FEBAB0F410CC}">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3642" authorId="0" shapeId="0" xr:uid="{A9293964-C936-4133-B1EF-BF069E087D0B}">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3643" authorId="1" shapeId="0" xr:uid="{9B1B088A-5DE1-472D-9C59-580F8CC7CB93}">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3649" authorId="0" shapeId="0" xr:uid="{D5901A07-12E9-40C6-BD47-5F51E5007EA9}">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3649" authorId="0" shapeId="0" xr:uid="{89A2CDF0-4954-4EED-A843-1DDC0E86C013}">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3649" authorId="0" shapeId="0" xr:uid="{BA6DA42B-82D4-4BD2-AD9E-E3F91ABED4B0}">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3650" authorId="0" shapeId="0" xr:uid="{B878562B-29AE-474B-ADEF-21470A548D03}">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3650" authorId="0" shapeId="0" xr:uid="{281DC5F2-39C5-4432-9BE4-175EDD748525}">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3650" authorId="0" shapeId="0" xr:uid="{5E14F6D5-9FB4-40C5-BFFC-6A7766D4561B}">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3651" authorId="0" shapeId="0" xr:uid="{EB775955-94DF-4D40-BEF7-3B17453D30BE}">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3651" authorId="0" shapeId="0" xr:uid="{B019DC89-F250-468C-9CD6-BB7FA0D14843}">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3651" authorId="0" shapeId="0" xr:uid="{F8BB1928-A6B8-4B04-8D43-9382BF4C09C3}">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3652" authorId="0" shapeId="0" xr:uid="{B9498C40-1862-4F5C-BDF3-1071B8202680}">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3652" authorId="0" shapeId="0" xr:uid="{0B626AA7-D91D-4E37-B1B7-DD1D918F5C74}">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3652" authorId="0" shapeId="0" xr:uid="{D38318DC-F232-4500-9BDD-0C90562A789D}">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3653" authorId="1" shapeId="0" xr:uid="{4747DD3B-812D-42FD-9558-855C6F53849E}">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3653" authorId="1" shapeId="0" xr:uid="{D218CB97-0EFF-40DA-819F-753315EE5B27}">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3653" authorId="1" shapeId="0" xr:uid="{1F47187F-F239-439A-9664-848BA329FF02}">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3654" authorId="1" shapeId="0" xr:uid="{B9828439-A656-4BDD-8716-30E8A5B38412}">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3654" authorId="1" shapeId="0" xr:uid="{E3160214-E757-4C26-8931-8573723F0D28}">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3654" authorId="1" shapeId="0" xr:uid="{A6A38F08-9D0D-4F77-A664-18A554514125}">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3655" authorId="1" shapeId="0" xr:uid="{5DA95FD4-7118-46A3-BD3C-25B63E85702A}">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3655" authorId="1" shapeId="0" xr:uid="{D13E1311-B598-4834-B061-9DDB48500F66}">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3655" authorId="1" shapeId="0" xr:uid="{B9957F47-CCE7-401C-AEFE-7B2B9DC619B0}">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3656" authorId="0" shapeId="0" xr:uid="{1A45BFBC-C4DA-43E6-8FC0-9F5E57D5F9E3}">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3656" authorId="0" shapeId="0" xr:uid="{33E7AF5A-85F3-466B-86D6-156FCF197A2F}">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3656" authorId="0" shapeId="0" xr:uid="{3FC54BB0-616D-44E8-A439-59D68D37FB88}">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3657" authorId="0" shapeId="0" xr:uid="{FD3C909A-7E03-4F88-9C22-F0A513C0ECBA}">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3657" authorId="0" shapeId="0" xr:uid="{8067F028-09EE-44DE-A5B0-7D0A9EB7BA39}">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3657" authorId="0" shapeId="0" xr:uid="{AB4BE546-A1A1-4937-9A0E-2193356825D1}">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3658" authorId="1" shapeId="0" xr:uid="{2ACBED63-877C-4FA6-ADBF-D2EBF567E7F6}">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3664" authorId="0" shapeId="0" xr:uid="{114171AC-D552-457E-A9FD-0B8BC1562C3F}">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3664" authorId="0" shapeId="0" xr:uid="{4EE401AE-880D-455C-B53E-B4CE100B114D}">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3664" authorId="0" shapeId="0" xr:uid="{F2308C95-0DC6-4806-8EA7-D950F5465FE9}">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3665" authorId="0" shapeId="0" xr:uid="{40D1ABEB-7B77-41EE-9005-E76A963077BA}">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3665" authorId="0" shapeId="0" xr:uid="{D02D448F-7A51-4F20-BEDD-70E84DF12F11}">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3665" authorId="0" shapeId="0" xr:uid="{17C55553-C21B-465B-9EB2-9B51BA6359B1}">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3666" authorId="0" shapeId="0" xr:uid="{FA5E3F3F-9B9A-4331-9E9A-11A2DB2C8743}">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3666" authorId="0" shapeId="0" xr:uid="{D975E6AB-E6A0-4949-AC48-D878D833AD2C}">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3666" authorId="0" shapeId="0" xr:uid="{B7ED50C6-46F2-4E55-AF82-5B9810C6AB71}">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3667" authorId="0" shapeId="0" xr:uid="{83CA51FF-5D40-42B9-AD71-C41DEB4F5B82}">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3667" authorId="0" shapeId="0" xr:uid="{6AB536FE-AEBE-4386-B591-A67BB572445E}">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3667" authorId="0" shapeId="0" xr:uid="{AA0CA797-F565-4AF3-ABF9-F3FADD528C7D}">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3668" authorId="1" shapeId="0" xr:uid="{886DA20D-35F8-4012-AF9E-F7BD52F28ECA}">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3668" authorId="1" shapeId="0" xr:uid="{AA2C63B2-C1D1-45E6-A9F5-15A38C727468}">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3668" authorId="1" shapeId="0" xr:uid="{48399FCB-E985-490D-91AC-D882B524A569}">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3669" authorId="1" shapeId="0" xr:uid="{A14D6C27-9EC5-4F94-B180-A5275A8A825E}">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3669" authorId="1" shapeId="0" xr:uid="{2D1836DD-A2A4-4321-B59A-0B857C1CC4B5}">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3669" authorId="1" shapeId="0" xr:uid="{0BE9A1E0-D8D3-40BA-911A-7C1DFBA83CD3}">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3670" authorId="1" shapeId="0" xr:uid="{F27DA4C9-0556-416E-8791-515CE0FB2CA8}">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3670" authorId="1" shapeId="0" xr:uid="{063E5E9A-7AD3-4E29-9943-B4A81BC7ED2D}">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3670" authorId="1" shapeId="0" xr:uid="{95D17108-6035-401F-80F1-5C140A88AA14}">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3671" authorId="0" shapeId="0" xr:uid="{CF13C215-B9FD-450E-9195-33DCC1EFF683}">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3671" authorId="0" shapeId="0" xr:uid="{21374F1D-2DA5-4463-A2E0-2FA432DB6ECB}">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3671" authorId="0" shapeId="0" xr:uid="{D1FD71E5-4103-4D3E-9A1A-78C19C488F0B}">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3672" authorId="0" shapeId="0" xr:uid="{A35BDE5E-C3EB-4DEA-9F19-1A435F302F54}">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3672" authorId="0" shapeId="0" xr:uid="{68EFB276-552A-4298-A01E-8F1FC9DFE228}">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3672" authorId="0" shapeId="0" xr:uid="{AC467E3F-F730-4158-8DD8-858539468E7C}">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3673" authorId="1" shapeId="0" xr:uid="{9CA467E7-94D0-45F3-8733-E8C9A1E812FA}">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3679" authorId="0" shapeId="0" xr:uid="{D540B522-36B3-42A8-B456-974F3570262B}">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3679" authorId="0" shapeId="0" xr:uid="{61379BA1-713E-4AB7-9409-FD0EA1E45569}">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3679" authorId="0" shapeId="0" xr:uid="{10D663D9-D537-4DB8-992A-EC2068FB0629}">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3680" authorId="0" shapeId="0" xr:uid="{857E4AEB-A2F2-418A-82A7-B9B45677CAFD}">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3680" authorId="0" shapeId="0" xr:uid="{32153578-6530-4416-8C2C-BA79C7375B93}">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3680" authorId="0" shapeId="0" xr:uid="{0AEB910F-213B-4C65-AD82-28889B92A0AB}">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3681" authorId="0" shapeId="0" xr:uid="{92FFC872-745E-48E4-8FF6-85D26CC26E1B}">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3681" authorId="0" shapeId="0" xr:uid="{EAC35499-0F62-46D8-B315-39FD4081B00C}">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3681" authorId="0" shapeId="0" xr:uid="{6A7ACACF-A933-435B-A753-4A33137E17E9}">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3682" authorId="0" shapeId="0" xr:uid="{30B53DD0-B578-4236-BFE4-3BD1DC9C43A0}">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3682" authorId="0" shapeId="0" xr:uid="{278879E9-7E47-41C6-B581-939FB2D95ACA}">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3682" authorId="0" shapeId="0" xr:uid="{09A1691F-D8A4-4D32-98C0-F96DC33EFC61}">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3683" authorId="1" shapeId="0" xr:uid="{25091AE8-5F8C-4E03-B3FB-81CC78E2C46B}">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3683" authorId="1" shapeId="0" xr:uid="{C2F84A1A-9097-48D2-A85A-D598D9C63B9B}">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3683" authorId="1" shapeId="0" xr:uid="{338AD520-01AD-4E43-A433-9BA52B354045}">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3684" authorId="1" shapeId="0" xr:uid="{7A5551C6-5634-428D-8DF4-09AA373355B2}">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3684" authorId="1" shapeId="0" xr:uid="{3AE44094-5710-4BB0-BCBB-7CE8933B9D78}">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3684" authorId="1" shapeId="0" xr:uid="{917AFFD4-1963-4589-9D8E-C54B6929AB47}">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3685" authorId="1" shapeId="0" xr:uid="{DA9DDBF8-4F6F-4790-93E9-0865DC02F54B}">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3685" authorId="1" shapeId="0" xr:uid="{93DE0AFD-6D31-4CAE-8831-86E9ACEEB54F}">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3685" authorId="1" shapeId="0" xr:uid="{7FC4A6D7-6D70-4C33-A35D-74A9B0AFF984}">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3686" authorId="0" shapeId="0" xr:uid="{3ADA6F0C-6B21-4CC2-B871-778A3A267C97}">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3686" authorId="0" shapeId="0" xr:uid="{8F0EE0A1-CDFA-4C29-A531-5520FF7BF999}">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3686" authorId="0" shapeId="0" xr:uid="{C116726A-F0A7-4D9F-B312-4DD95B28F5A8}">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3687" authorId="0" shapeId="0" xr:uid="{F0E238B1-51C2-4013-BA33-681CFE83ABF0}">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3687" authorId="0" shapeId="0" xr:uid="{61567CAD-E0BA-4316-89D4-10F8F9D55475}">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3687" authorId="0" shapeId="0" xr:uid="{E96CAE93-196D-410D-9E76-7AA3B467A4C6}">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3688" authorId="1" shapeId="0" xr:uid="{AC23A412-451C-457E-BAEE-DEDEA01EF4F2}">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3694" authorId="0" shapeId="0" xr:uid="{50BA54CB-9F79-421D-B80F-0AF9AA2BCA19}">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3694" authorId="0" shapeId="0" xr:uid="{A5A85E0E-4278-46C4-A0A4-8FECEC89756B}">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3694" authorId="0" shapeId="0" xr:uid="{999961BF-12B6-49C5-A759-E9141DFC557D}">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3695" authorId="0" shapeId="0" xr:uid="{20A6C970-688E-42B5-B44C-7DD4C87D4612}">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3695" authorId="0" shapeId="0" xr:uid="{CAE766B6-A6CD-4628-B977-56AA92E52C5C}">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3695" authorId="0" shapeId="0" xr:uid="{76676FC4-7BE0-447B-A903-9F645386ACBC}">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3696" authorId="0" shapeId="0" xr:uid="{8A6F3407-9CE5-439F-915B-7E2227028DA5}">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3696" authorId="0" shapeId="0" xr:uid="{555BFCD3-8364-4B26-BC9F-C1F2522D8242}">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3696" authorId="0" shapeId="0" xr:uid="{FA67E873-4C3C-4B03-B93B-A08620CD082C}">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3697" authorId="0" shapeId="0" xr:uid="{7EAAD70C-8EE6-494B-AA5B-DD9B9DCCC164}">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3697" authorId="0" shapeId="0" xr:uid="{F7253B67-CA11-49C7-A301-3519A6092D25}">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3697" authorId="0" shapeId="0" xr:uid="{F5BA5CB3-E560-4DE5-BCAF-113448258052}">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3698" authorId="1" shapeId="0" xr:uid="{F9A37D2A-B521-4BE3-B04B-2B3E0CEFDFC1}">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3698" authorId="1" shapeId="0" xr:uid="{E434446E-0FCF-447B-8F39-F530C5B32AD1}">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3698" authorId="1" shapeId="0" xr:uid="{92935B31-FBAC-4D41-9FCE-D424D214B88A}">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3699" authorId="1" shapeId="0" xr:uid="{1A67D07A-6EB4-47E6-A90B-04B6EF99A164}">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3699" authorId="1" shapeId="0" xr:uid="{71548549-C4EB-4DBB-AC27-91C200B88697}">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3699" authorId="1" shapeId="0" xr:uid="{47CFBFF3-8496-4037-9CEE-AEDF3B69388E}">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3700" authorId="1" shapeId="0" xr:uid="{2CECEA36-DEFB-4C8C-BAED-09699E4180A0}">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3700" authorId="1" shapeId="0" xr:uid="{E0A817D9-A570-4058-9A57-D554599D333A}">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3700" authorId="1" shapeId="0" xr:uid="{C79587AA-9868-45F9-8639-88AE975B3AAF}">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3701" authorId="0" shapeId="0" xr:uid="{5219D2DE-0CC5-4CE0-9CB5-7A0719034D06}">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3701" authorId="0" shapeId="0" xr:uid="{0B279D9F-9047-449B-9618-6E1DACFAAB93}">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3701" authorId="0" shapeId="0" xr:uid="{40AAAF70-EF53-4D57-B79A-2030C2283225}">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3702" authorId="0" shapeId="0" xr:uid="{A278817C-5BDB-4E29-8169-43F9B6C21CAD}">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3702" authorId="0" shapeId="0" xr:uid="{D6CC9FF6-E38F-41E1-BE5F-FBA7BCC62F8E}">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3702" authorId="0" shapeId="0" xr:uid="{F6D98F78-AE07-4A44-8878-9EAE5C90CAA9}">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3703" authorId="1" shapeId="0" xr:uid="{99333CC8-3C6A-4F90-9C72-DB0D11BE2C4A}">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3709" authorId="0" shapeId="0" xr:uid="{DDD181F6-CE29-4C2B-8535-9D40C67A06FE}">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3709" authorId="0" shapeId="0" xr:uid="{73BB829B-6A2D-4076-9008-384CA31691A5}">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3709" authorId="0" shapeId="0" xr:uid="{549706C2-0C74-46DD-819D-EFA8AF9D9B58}">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3710" authorId="0" shapeId="0" xr:uid="{A39159AC-D9DB-4437-B471-BB312D3711E1}">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3710" authorId="0" shapeId="0" xr:uid="{EE4E711D-8429-40D9-BA65-35961EFE43EA}">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3710" authorId="0" shapeId="0" xr:uid="{341C8D51-63D2-46A3-B4EE-1CFDE1EA76EA}">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3711" authorId="0" shapeId="0" xr:uid="{E4C91009-A64C-47CF-B4D3-4069AFE74455}">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3711" authorId="0" shapeId="0" xr:uid="{B85B5C78-3C4A-4EFB-883C-A7823AD92958}">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3711" authorId="0" shapeId="0" xr:uid="{C6CB0FD8-3771-452B-A5A5-2EC4C06CADF3}">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3712" authorId="0" shapeId="0" xr:uid="{CB7A092E-ADA6-404D-9618-DD281EBD0E38}">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3712" authorId="0" shapeId="0" xr:uid="{CD996DFA-3259-4071-B06D-A52212A8B621}">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3712" authorId="0" shapeId="0" xr:uid="{057AD3F2-B35E-4B6F-9FF3-6DB66AE92F0E}">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3713" authorId="1" shapeId="0" xr:uid="{0141A477-A83C-4C00-9B42-3AB65623EF68}">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3713" authorId="1" shapeId="0" xr:uid="{8A5C6C3F-501F-455D-BFDC-D3E248E36026}">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3713" authorId="1" shapeId="0" xr:uid="{CFD88086-C265-42EF-9EE9-F5A39165148B}">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3714" authorId="1" shapeId="0" xr:uid="{B8C612C9-4ADD-49D3-8148-A67A4B3280F3}">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3714" authorId="1" shapeId="0" xr:uid="{BD2D21E6-9C46-453A-9B1C-BD6BDE86124B}">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3714" authorId="1" shapeId="0" xr:uid="{73DEF02D-1504-43B3-9CC0-46E03F735FD5}">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3715" authorId="1" shapeId="0" xr:uid="{21AABAD2-B6CA-4526-A000-8F29FCDCA0CD}">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3715" authorId="1" shapeId="0" xr:uid="{73AA9094-1713-4CC8-88CB-EC8E15949EBC}">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3715" authorId="1" shapeId="0" xr:uid="{379B966D-208A-4FB0-88C5-9043D32F3BBB}">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3716" authorId="0" shapeId="0" xr:uid="{DC90E6BA-7FC1-461E-81BD-4D6CBB7CC3D2}">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3716" authorId="0" shapeId="0" xr:uid="{B4E95711-6D0A-4D91-84F4-1EEB3E3A8363}">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3716" authorId="0" shapeId="0" xr:uid="{01AE4E66-EDC1-4E99-A7A2-A702FDEDB5BC}">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3717" authorId="0" shapeId="0" xr:uid="{82547188-2174-4E55-9F2A-914D128E665B}">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3717" authorId="0" shapeId="0" xr:uid="{C1A6D9D1-6AE6-4F84-B218-E1F1F22415E2}">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3717" authorId="0" shapeId="0" xr:uid="{6C3B22B8-157C-4969-ADD0-7C75A858EFCB}">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3718" authorId="1" shapeId="0" xr:uid="{F65AD5FF-0981-4BDD-B5A7-F197C103EF89}">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3724" authorId="0" shapeId="0" xr:uid="{C2F125B6-DC73-4D87-9578-69F7D819051C}">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3724" authorId="0" shapeId="0" xr:uid="{32CED114-374A-4037-AF84-FA2F7E641376}">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3724" authorId="0" shapeId="0" xr:uid="{BACF7C87-F2AB-4486-9478-56636BDED7B0}">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3725" authorId="0" shapeId="0" xr:uid="{8B208BEF-C0D2-4EE9-8E0E-17136C371D2E}">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3725" authorId="0" shapeId="0" xr:uid="{EED1B738-C10B-4CBA-92FD-B0478B57F6C8}">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3725" authorId="0" shapeId="0" xr:uid="{8AF43300-DD5D-4353-852A-6641239B13A1}">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3726" authorId="0" shapeId="0" xr:uid="{192D644E-4A40-408A-8AB2-F530B52C9B7B}">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3726" authorId="0" shapeId="0" xr:uid="{744F2F49-F2C4-45F9-8D4B-D59719A5BC0F}">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3726" authorId="0" shapeId="0" xr:uid="{A6828F95-0D51-47DE-AC4C-5B179286FABF}">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3727" authorId="0" shapeId="0" xr:uid="{DACFBCF7-CA5E-41F9-8E22-C1C40467BC01}">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3727" authorId="0" shapeId="0" xr:uid="{54B6A8B9-8326-4606-BAD9-9AA29862E94E}">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3727" authorId="0" shapeId="0" xr:uid="{D04A141C-D111-4337-B240-3473A64E978C}">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3728" authorId="1" shapeId="0" xr:uid="{D7E38BAE-4128-46C5-BACD-D8E9F33F9702}">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3728" authorId="1" shapeId="0" xr:uid="{F18A46C0-8396-4AF0-A836-88C90BE02ECD}">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3728" authorId="1" shapeId="0" xr:uid="{7063FC7F-9969-4027-ADD3-34D444C8C894}">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3729" authorId="1" shapeId="0" xr:uid="{8AA9E17F-8C80-4569-897C-0579B7BA34B4}">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3729" authorId="1" shapeId="0" xr:uid="{FA0DF19C-6245-4608-82BC-6142E49C66DB}">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3729" authorId="1" shapeId="0" xr:uid="{1F9EAC9A-4688-49F2-88F7-BA6B7AFD9BBE}">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3730" authorId="1" shapeId="0" xr:uid="{734743CF-F9B1-41A4-B71F-08ECCA54CD31}">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3730" authorId="1" shapeId="0" xr:uid="{3D60FAED-9864-4581-9501-819BB4C0F5E6}">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3730" authorId="1" shapeId="0" xr:uid="{6BA62D0F-0862-4829-91B5-DF0D69FC2D16}">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3731" authorId="0" shapeId="0" xr:uid="{277F03FA-25FC-4163-A1F6-1680B51BE45C}">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3731" authorId="0" shapeId="0" xr:uid="{D8E35777-B162-4C9A-8A26-6C7456953392}">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3731" authorId="0" shapeId="0" xr:uid="{B362D552-DB95-45AC-9570-2A3CED6A5044}">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3732" authorId="0" shapeId="0" xr:uid="{C5A3947D-A02E-4AF0-918E-27F2D5345AB9}">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3732" authorId="0" shapeId="0" xr:uid="{A814B65E-09EF-4CD5-A561-BED1AD55EA68}">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3732" authorId="0" shapeId="0" xr:uid="{D8E6C449-3385-4832-B957-480EF3931A52}">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3733" authorId="1" shapeId="0" xr:uid="{ADEF7373-E834-4CE9-B3FD-2D8D209A7F2D}">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3739" authorId="0" shapeId="0" xr:uid="{CC7490EC-0AB9-473D-B1E9-E8F2A0DF6954}">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3739" authorId="0" shapeId="0" xr:uid="{368CF703-16DA-4460-B47B-DF0253ACC918}">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3739" authorId="0" shapeId="0" xr:uid="{DAFEA2EA-4785-4A3C-A052-761C010C8CFA}">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3740" authorId="0" shapeId="0" xr:uid="{56DBC4BF-1746-460B-8D1E-E139E261E9D0}">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3740" authorId="0" shapeId="0" xr:uid="{E504B463-4400-4E33-BD1B-70D97F5F19D8}">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3740" authorId="0" shapeId="0" xr:uid="{CF077323-2C64-4A65-9310-6DA9A0A69EFF}">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3741" authorId="0" shapeId="0" xr:uid="{DB0B9276-08A1-42FB-9619-7AE9A8F75CED}">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3741" authorId="0" shapeId="0" xr:uid="{92B28619-C8BC-4433-B8B9-C57E4DB76CCB}">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3741" authorId="0" shapeId="0" xr:uid="{AAC3909A-492D-4285-855D-C7F3D903C542}">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3742" authorId="0" shapeId="0" xr:uid="{8C3CA287-F654-437A-8429-5EAB6D665441}">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3742" authorId="0" shapeId="0" xr:uid="{1828D24D-1910-408D-A422-6C699A3FC56F}">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3742" authorId="0" shapeId="0" xr:uid="{9FD52834-3ADD-4439-AC25-510431096B14}">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3743" authorId="1" shapeId="0" xr:uid="{5C4620E7-3A4F-41D5-BD82-7A026D77CD51}">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3743" authorId="1" shapeId="0" xr:uid="{034EBFE0-2C7D-455E-8751-34007552EB34}">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3743" authorId="1" shapeId="0" xr:uid="{F46CC963-0DB3-4464-A80D-C66CDD94EE6D}">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3744" authorId="1" shapeId="0" xr:uid="{87A912F2-929F-4CB3-B9FB-780FC56063DE}">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3744" authorId="1" shapeId="0" xr:uid="{13B6CF22-43C5-419B-8B56-D52209049504}">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3744" authorId="1" shapeId="0" xr:uid="{FC610A84-FD84-4A4D-8558-87EDA6FF2438}">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3745" authorId="1" shapeId="0" xr:uid="{9E702997-F3E1-4A7C-883D-DED4520813A9}">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3745" authorId="1" shapeId="0" xr:uid="{0E906BC1-2BB8-4A6F-994C-60C2369B8379}">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3745" authorId="1" shapeId="0" xr:uid="{E12FB241-BE75-4DFB-B3BB-C9714F8181CA}">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3746" authorId="0" shapeId="0" xr:uid="{0A647263-4C6A-47A1-9826-B7D1938BA821}">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3746" authorId="0" shapeId="0" xr:uid="{8634C91C-1EFD-44F3-A17C-5D568CC6ABD1}">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3746" authorId="0" shapeId="0" xr:uid="{C5DB57B7-B255-4D5D-8FA4-CDFE25F7BE81}">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3747" authorId="0" shapeId="0" xr:uid="{9E4B8538-4283-4DBE-82A2-6B083ECC85F2}">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3747" authorId="0" shapeId="0" xr:uid="{76A30CFA-15E6-44B6-B8AE-1B1AAF7ED7CD}">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3747" authorId="0" shapeId="0" xr:uid="{DE4F3ED1-807F-4A92-B1C3-47E3F55BB232}">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3748" authorId="1" shapeId="0" xr:uid="{1E238D31-B4C2-4EBB-8F57-6573C4D0F05C}">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3754" authorId="0" shapeId="0" xr:uid="{53442185-089D-4D1B-9BE7-8A7E7C6F11F1}">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3754" authorId="0" shapeId="0" xr:uid="{EACA9282-211A-43E2-B542-E74CAAF8C4CA}">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3754" authorId="0" shapeId="0" xr:uid="{75418B38-1126-4E5E-8A3F-F01C3FC5DE38}">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3755" authorId="0" shapeId="0" xr:uid="{0AB80C2A-F71D-4E3A-9EB7-E6FA88A8311F}">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3755" authorId="0" shapeId="0" xr:uid="{7D3AB68F-74EE-4871-8798-044F9E4BECAC}">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3755" authorId="0" shapeId="0" xr:uid="{09F40838-D3AB-4FDC-9E33-B66661D26968}">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3756" authorId="0" shapeId="0" xr:uid="{004C817A-847C-49E1-BE62-026CC8F1AEA5}">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3756" authorId="0" shapeId="0" xr:uid="{2F95942C-C2E2-4171-82C8-AB2FAD440EFE}">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3756" authorId="0" shapeId="0" xr:uid="{74526ADF-CEA0-4156-BD95-A5EDC85BF830}">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3757" authorId="0" shapeId="0" xr:uid="{6C7E3AC5-ED12-4616-B89B-076B80E9523E}">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3757" authorId="0" shapeId="0" xr:uid="{1489B35C-FB18-4731-BD2A-85941F3AE605}">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3757" authorId="0" shapeId="0" xr:uid="{8431D981-6349-4105-B4A0-49D01BF7284D}">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3758" authorId="1" shapeId="0" xr:uid="{6CEC0840-7ED9-4940-B8C4-99E56B4DC954}">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3758" authorId="1" shapeId="0" xr:uid="{73FC1CB2-340D-4B2B-BDC1-F7D5FE94084D}">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3758" authorId="1" shapeId="0" xr:uid="{7DB70221-154D-4434-AEA8-D4BA165CA2B2}">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3759" authorId="1" shapeId="0" xr:uid="{FFA39AFD-1EDE-4585-AFAF-0A122A9CAA87}">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3759" authorId="1" shapeId="0" xr:uid="{42A600EE-3EA5-4525-AB62-2A62171ECC8A}">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3759" authorId="1" shapeId="0" xr:uid="{32078C8E-016B-4A11-AB5D-BBC56EE54FFD}">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3760" authorId="1" shapeId="0" xr:uid="{819841E8-F36C-4D43-9DD0-A2AB3DE4237D}">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3760" authorId="1" shapeId="0" xr:uid="{C3782AD0-863B-4D92-A114-7C2F0F701B65}">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3760" authorId="1" shapeId="0" xr:uid="{FA785C09-78B5-418E-962E-1C72691F56B4}">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3761" authorId="0" shapeId="0" xr:uid="{6AFF2FF5-E3E6-417E-9FB9-0DF420D153B3}">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3761" authorId="0" shapeId="0" xr:uid="{B266B85B-8CC9-4C21-A6A1-1F6368189CAD}">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3761" authorId="0" shapeId="0" xr:uid="{881803E2-17CB-4D2D-8FD4-D46AA117C0F6}">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3762" authorId="0" shapeId="0" xr:uid="{D6611091-6677-4037-8068-25891F71E1C0}">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3762" authorId="0" shapeId="0" xr:uid="{254282D5-547E-44DC-A1A4-F59B80CFFB5E}">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3762" authorId="0" shapeId="0" xr:uid="{670E80CF-5921-4AE1-9D04-CAFF384DC526}">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3763" authorId="1" shapeId="0" xr:uid="{CBB90FC2-A850-4BB9-B910-B55147B44F61}">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3769" authorId="0" shapeId="0" xr:uid="{5AD6E377-006E-4DCC-A1F1-AF000CF9F377}">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3769" authorId="0" shapeId="0" xr:uid="{A5516BAA-BEEE-4E4C-98C9-704648729036}">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3769" authorId="0" shapeId="0" xr:uid="{1B0BB0E2-5EF5-4549-90B1-C01371F938AE}">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3770" authorId="0" shapeId="0" xr:uid="{CB384C6D-9DBF-4B16-AD7D-D3C2B834C50F}">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3770" authorId="0" shapeId="0" xr:uid="{7AB15F12-4B9C-456F-9586-503282EBE7B5}">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3770" authorId="0" shapeId="0" xr:uid="{CE983D85-2856-4327-BD6B-B4A4E6BEE57C}">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3771" authorId="0" shapeId="0" xr:uid="{7E2ED9A4-151E-474F-821B-B48551D5089B}">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3771" authorId="0" shapeId="0" xr:uid="{0D220681-E7BB-4868-BEC2-6CE3E4F2D772}">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3771" authorId="0" shapeId="0" xr:uid="{7125C32E-0ACB-4D7D-87C2-EE1FB462B545}">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3772" authorId="0" shapeId="0" xr:uid="{BEAB802B-E606-445A-878A-0473091B18C0}">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3772" authorId="0" shapeId="0" xr:uid="{8C8333CC-D64D-48D4-879C-D0612C64F4D6}">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3772" authorId="0" shapeId="0" xr:uid="{E913170F-1DF6-4AAD-8619-2D4DBC926C2A}">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3773" authorId="1" shapeId="0" xr:uid="{43B95EA6-A346-48ED-8D0F-712A07A5CA3A}">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3773" authorId="1" shapeId="0" xr:uid="{1B837B10-937A-4781-9481-1E98DB06AFF1}">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3773" authorId="1" shapeId="0" xr:uid="{E6C7B76F-136C-40FC-81A1-9838517C172B}">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3774" authorId="1" shapeId="0" xr:uid="{EDE8A08A-27FE-4708-A77D-BDAA2AA000A0}">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3774" authorId="1" shapeId="0" xr:uid="{1F69EF3F-A0A0-4DF5-9D2F-DCF84CF9E362}">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3774" authorId="1" shapeId="0" xr:uid="{2D55A8D0-5F47-4767-828F-8ECB6AF17CB3}">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3775" authorId="1" shapeId="0" xr:uid="{AA8BAEED-7110-4D94-8D6A-95BEA3284DF4}">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3775" authorId="1" shapeId="0" xr:uid="{2AB8B224-04A4-4134-B7EE-BA09D907AC21}">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3775" authorId="1" shapeId="0" xr:uid="{4B97022E-EE39-457D-82B1-B854F15CBE42}">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3776" authorId="0" shapeId="0" xr:uid="{3AF02B8A-DCF9-4D50-92BE-EC46DBEFFA29}">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3776" authorId="0" shapeId="0" xr:uid="{DEE786E9-B674-4215-AECC-7DFDE68E5D9C}">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3776" authorId="0" shapeId="0" xr:uid="{1944E29A-BCE8-4BA1-82A4-E48DE0B68206}">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3777" authorId="0" shapeId="0" xr:uid="{F4ACFECC-7C3A-42A9-8F2B-C2448746F151}">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3777" authorId="0" shapeId="0" xr:uid="{58FC0096-F939-4FA1-84DB-C95E4D680FA3}">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3777" authorId="0" shapeId="0" xr:uid="{3E26A965-F02F-4458-BCA8-7E8B421FE7D3}">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3778" authorId="1" shapeId="0" xr:uid="{EFFE6074-D5E5-4260-9EC3-8B47A75256AC}">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3784" authorId="0" shapeId="0" xr:uid="{F6E69D2E-00DF-4A1B-8A2A-3B9720C21E90}">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3784" authorId="0" shapeId="0" xr:uid="{3DF737AD-5722-4C17-B9D0-80901768164E}">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3784" authorId="0" shapeId="0" xr:uid="{EAEA528D-792D-4D1D-81DC-6A21CAD2677E}">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3785" authorId="0" shapeId="0" xr:uid="{696FBC99-7CFA-479D-A7EC-0BADFE0B1913}">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3785" authorId="0" shapeId="0" xr:uid="{D04272E3-A699-405E-B4CA-07E1BDFE6F1C}">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3785" authorId="0" shapeId="0" xr:uid="{64249045-1071-4BBB-A4AF-93DF72FDDF62}">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3786" authorId="0" shapeId="0" xr:uid="{F5FE65B5-C41A-4971-81C2-26B37A921FBE}">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3786" authorId="0" shapeId="0" xr:uid="{1364A5B3-30E0-4E50-B7A6-BF7ECF4B4853}">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3786" authorId="0" shapeId="0" xr:uid="{B9DE3711-AB38-4986-A730-A9C4542FC96E}">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3787" authorId="0" shapeId="0" xr:uid="{999C421D-20E1-46C3-9CBA-8BD4085DBD19}">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3787" authorId="0" shapeId="0" xr:uid="{13E57834-71C3-4CE6-90B9-5889956EB336}">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3787" authorId="0" shapeId="0" xr:uid="{0C94BBBA-943C-4E65-8B0C-FA695ACD7288}">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3788" authorId="1" shapeId="0" xr:uid="{E9363A02-C866-4482-8F18-DD921C0E5449}">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3788" authorId="1" shapeId="0" xr:uid="{88DA5E2B-0F56-4792-B5FC-C5BA0ACB7743}">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3788" authorId="1" shapeId="0" xr:uid="{5721DA25-9631-4670-BA9C-6D7CDC66C88E}">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3789" authorId="1" shapeId="0" xr:uid="{2CB09905-4D53-42DF-8FFB-5B4C3DC26CA0}">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3789" authorId="1" shapeId="0" xr:uid="{5AB83E70-9B93-49E4-AA8B-C2A162702EC9}">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3789" authorId="1" shapeId="0" xr:uid="{2DAB5C82-B477-4C14-A112-2AE950AB9AB3}">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3790" authorId="1" shapeId="0" xr:uid="{C7CD2790-124A-4CD8-8BAB-A91062796209}">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3790" authorId="1" shapeId="0" xr:uid="{1324F304-530F-4B07-9F95-6FD286AD260A}">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3790" authorId="1" shapeId="0" xr:uid="{DCA09469-E679-49AC-B42F-59ED5C359E29}">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3791" authorId="0" shapeId="0" xr:uid="{4C7FC84A-AD46-475F-88A8-01445DFDEF4D}">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3791" authorId="0" shapeId="0" xr:uid="{953ACEEC-9B98-4813-AD4D-BB3FB3243B60}">
      <text>
        <r>
          <rPr>
            <b/>
            <sz val="9"/>
            <color rgb="FF000000"/>
            <rFont val="Tahoma"/>
            <family val="2"/>
          </rPr>
          <t>Brian Du:</t>
        </r>
        <r>
          <rPr>
            <sz val="9"/>
            <color rgb="FF000000"/>
            <rFont val="Tahoma"/>
            <family val="2"/>
          </rPr>
          <t xml:space="preserve">
</t>
        </r>
        <r>
          <rPr>
            <sz val="9"/>
            <color rgb="FF000000"/>
            <rFont val="Tahoma"/>
            <family val="2"/>
          </rPr>
          <t xml:space="preserve">This measure is the ratio of debt to free cash flow. It looks at how much debt they are raising compared to how much cash they bring in.
</t>
        </r>
        <r>
          <rPr>
            <sz val="9"/>
            <color rgb="FF000000"/>
            <rFont val="Tahoma"/>
            <family val="2"/>
          </rPr>
          <t xml:space="preserve">
</t>
        </r>
        <r>
          <rPr>
            <sz val="9"/>
            <color rgb="FF000000"/>
            <rFont val="Tahoma"/>
            <family val="2"/>
          </rPr>
          <t xml:space="preserve">Some debt is actually healthy for a firm. No need to do z-score. Do manual scoring here.
</t>
        </r>
        <r>
          <rPr>
            <sz val="9"/>
            <color rgb="FF000000"/>
            <rFont val="Tahoma"/>
            <family val="2"/>
          </rPr>
          <t xml:space="preserve">
</t>
        </r>
        <r>
          <rPr>
            <sz val="9"/>
            <color rgb="FF000000"/>
            <rFont val="Tahoma"/>
            <family val="2"/>
          </rPr>
          <t xml:space="preserve">If this is &lt;25%, give a score of 5.
</t>
        </r>
        <r>
          <rPr>
            <sz val="9"/>
            <color rgb="FF000000"/>
            <rFont val="Tahoma"/>
            <family val="2"/>
          </rPr>
          <t xml:space="preserve">Between 25-30%, ~4.75.
</t>
        </r>
        <r>
          <rPr>
            <sz val="9"/>
            <color rgb="FF000000"/>
            <rFont val="Tahoma"/>
            <family val="2"/>
          </rPr>
          <t xml:space="preserve">Between 30-35%, ~4.4.
</t>
        </r>
        <r>
          <rPr>
            <sz val="9"/>
            <color rgb="FF000000"/>
            <rFont val="Tahoma"/>
            <family val="2"/>
          </rPr>
          <t xml:space="preserve">Between 35-40%, ~3.9.
</t>
        </r>
        <r>
          <rPr>
            <sz val="9"/>
            <color rgb="FF000000"/>
            <rFont val="Tahoma"/>
            <family val="2"/>
          </rPr>
          <t xml:space="preserve">Between 40-45%, ~3.2.
</t>
        </r>
        <r>
          <rPr>
            <sz val="9"/>
            <color rgb="FF000000"/>
            <rFont val="Tahoma"/>
            <family val="2"/>
          </rPr>
          <t xml:space="preserve">Between 45-50%, ~2.4.
</t>
        </r>
        <r>
          <rPr>
            <sz val="9"/>
            <color rgb="FF000000"/>
            <rFont val="Tahoma"/>
            <family val="2"/>
          </rPr>
          <t xml:space="preserve">If it is &gt;100%, give a score of 1. 
</t>
        </r>
        <r>
          <rPr>
            <sz val="9"/>
            <color rgb="FF000000"/>
            <rFont val="Tahoma"/>
            <family val="2"/>
          </rPr>
          <t xml:space="preserve">
</t>
        </r>
        <r>
          <rPr>
            <sz val="9"/>
            <color rgb="FF000000"/>
            <rFont val="Tahoma"/>
            <family val="2"/>
          </rPr>
          <t>Use discretion in assigning scores.</t>
        </r>
      </text>
    </comment>
    <comment ref="Z3791" authorId="0" shapeId="0" xr:uid="{00157D5B-730B-4DEE-A853-8A33D4AB5118}">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3792" authorId="0" shapeId="0" xr:uid="{D45649E2-B5FA-456F-8014-89EA93C64BB6}">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3792" authorId="0" shapeId="0" xr:uid="{A6B8CBF4-6DDD-47D6-A6B7-8A4941BEB6C4}">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3792" authorId="0" shapeId="0" xr:uid="{B85C6350-C74E-4D9C-8EF1-B0E6576686F9}">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3793" authorId="1" shapeId="0" xr:uid="{9FE6CA70-4BFE-4B9B-9101-A5F09757A04E}">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3799" authorId="0" shapeId="0" xr:uid="{06E1E5BA-F710-4185-9F2B-337A5D231065}">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3799" authorId="0" shapeId="0" xr:uid="{D87FF03B-2B70-42E8-A378-7523DC2B7B27}">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3799" authorId="0" shapeId="0" xr:uid="{F3E0DB7A-6691-4F2C-8DE4-1818F05C5A34}">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3800" authorId="0" shapeId="0" xr:uid="{A4B8D178-26B5-4A62-8C7D-CF7311EBE0B8}">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3800" authorId="0" shapeId="0" xr:uid="{2950971E-8D94-4A45-9AB4-894792ED68F7}">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3800" authorId="0" shapeId="0" xr:uid="{0482EF60-4012-4E02-8396-2478C0774F50}">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3801" authorId="0" shapeId="0" xr:uid="{D0FA82CB-B726-45AD-BFB9-8B7283D035D6}">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3801" authorId="0" shapeId="0" xr:uid="{A5958A8F-01E5-4143-BA05-C9BB3C5B77C5}">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3801" authorId="0" shapeId="0" xr:uid="{9D8CE21D-80B7-4B82-B561-F8FDE881AEBB}">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3802" authorId="0" shapeId="0" xr:uid="{53B2AC85-0CF4-47F6-A9FE-91797CF45A8A}">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3802" authorId="0" shapeId="0" xr:uid="{122CA3A8-90D4-459F-94D4-1641BABDA96B}">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3802" authorId="0" shapeId="0" xr:uid="{3B6B4BA0-645B-46EB-A6A0-BC318DA46819}">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3803" authorId="1" shapeId="0" xr:uid="{6CFDF997-FABF-464C-B179-2ECEC2D792C3}">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3803" authorId="1" shapeId="0" xr:uid="{CEB65187-ED51-4F81-8EA8-B4362F6D6A1D}">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3803" authorId="1" shapeId="0" xr:uid="{F7888339-FF57-4F73-A9CE-49D42BC6202C}">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3804" authorId="1" shapeId="0" xr:uid="{46877723-342D-4154-BBD6-8BBAF1A19BAE}">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3804" authorId="1" shapeId="0" xr:uid="{AAAA3E4B-967F-4C64-9EDC-B57D18FCB2F6}">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3804" authorId="1" shapeId="0" xr:uid="{0EE49439-76EF-4E3F-BB36-0A7096AB6FEB}">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3805" authorId="1" shapeId="0" xr:uid="{4E44C147-1F26-41A8-BD4E-47F2B56599CF}">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3805" authorId="1" shapeId="0" xr:uid="{3791BE50-904F-45BD-BA95-304F0B907046}">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3805" authorId="1" shapeId="0" xr:uid="{83FC5E50-1CEA-41D4-9F75-6FD0001B8779}">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3806" authorId="0" shapeId="0" xr:uid="{1BEE989E-A5F8-40C6-A8AB-83FFAFA5DBA3}">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3806" authorId="0" shapeId="0" xr:uid="{15883349-4FB4-4F75-94A3-837518E2B460}">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3806" authorId="0" shapeId="0" xr:uid="{27147011-A1E9-477E-9876-757882418831}">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3807" authorId="0" shapeId="0" xr:uid="{584A636F-18BF-4565-8ADF-4A935F796BEF}">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3807" authorId="0" shapeId="0" xr:uid="{E2CF5738-2C30-458A-826D-03A3C887B0E5}">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3807" authorId="0" shapeId="0" xr:uid="{CDAACE21-B858-4352-8EFF-BF3BBB3D22EA}">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3808" authorId="1" shapeId="0" xr:uid="{543DD325-289A-48DC-9FDA-6E1674728B86}">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3814" authorId="0" shapeId="0" xr:uid="{F68DDF22-B48E-42E8-A70E-FE8214435F21}">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3814" authorId="0" shapeId="0" xr:uid="{249815A1-817D-46D7-9BE7-DD25DF1B7AF0}">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3814" authorId="0" shapeId="0" xr:uid="{8E9A9873-C861-4968-9003-D0FADD040EB6}">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3815" authorId="0" shapeId="0" xr:uid="{436F5BBF-9D69-44B2-9E10-98622A3CF6FC}">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V3815" authorId="0" shapeId="0" xr:uid="{8F50E993-F633-4CE7-A5F9-E9C6FE6A5485}">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3815" authorId="0" shapeId="0" xr:uid="{7B64D6FB-64A9-4B76-900D-263A3ECAA09B}">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3816" authorId="0" shapeId="0" xr:uid="{FEEB7F0B-05E6-41DF-875C-FF5D223A6AF5}">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3816" authorId="0" shapeId="0" xr:uid="{2329D5FE-DBE9-4AA9-A40B-8BD5FEB0485F}">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3816" authorId="0" shapeId="0" xr:uid="{D0D42830-0C9D-4C8F-9C12-E7839B4D9463}">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3817" authorId="0" shapeId="0" xr:uid="{A4C2ADCD-7233-40F3-94E0-239A03306FEB}">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V3817" authorId="0" shapeId="0" xr:uid="{270F06D3-8CCB-4C19-9C50-785A5E69DF9B}">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3817" authorId="0" shapeId="0" xr:uid="{B8FBF55F-E147-4897-A000-770E97A7CCC1}">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3818" authorId="1" shapeId="0" xr:uid="{3B2227D4-EA39-41DD-9B95-86C4C6337034}">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3818" authorId="1" shapeId="0" xr:uid="{E15C1893-9155-4198-B40A-EDE92DB60381}">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3818" authorId="1" shapeId="0" xr:uid="{6509DD53-FFAB-4A39-B2DE-E0142F9EFB3A}">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3819" authorId="1" shapeId="0" xr:uid="{DEB297A3-7F4A-4F01-ABB5-11B3DC73A965}">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3819" authorId="1" shapeId="0" xr:uid="{F8F89756-80F7-4732-B64F-E9C72A56BB70}">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3819" authorId="1" shapeId="0" xr:uid="{C29789A1-9CA2-4FA8-8F3D-EE65E74B6AD4}">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3820" authorId="1" shapeId="0" xr:uid="{475FCBF1-6819-40FA-83B2-F3D4A7CDE206}">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3820" authorId="1" shapeId="0" xr:uid="{592F4110-72FD-4995-950B-B50474D59A57}">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3820" authorId="1" shapeId="0" xr:uid="{4085EB1A-C287-40D1-8C1C-41C434849D9C}">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3821" authorId="0" shapeId="0" xr:uid="{269CD364-617C-4DC6-89DA-0229FFEF66F2}">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3821" authorId="0" shapeId="0" xr:uid="{17FDE0AC-6AF0-43EA-9B19-49FE7E05BED3}">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3821" authorId="0" shapeId="0" xr:uid="{25F2C214-8888-45BC-BE0A-192054B564EC}">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R3822" authorId="0" shapeId="0" xr:uid="{52EDF233-B2AA-4C31-B42C-898675824FBC}">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3822" authorId="0" shapeId="0" xr:uid="{6524B315-E765-4E7A-9072-C66C0915FEA9}">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3822" authorId="0" shapeId="0" xr:uid="{2D153E48-500D-45F9-971C-87EC054A7073}">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3823" authorId="1" shapeId="0" xr:uid="{3F92FFF0-57EA-4C44-85E3-AC5C79A0B78C}">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3829" authorId="0" shapeId="0" xr:uid="{4934DFDB-BBD8-44B9-BA8E-49BE8FAD7F0F}">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V3829" authorId="0" shapeId="0" xr:uid="{FCA02418-7434-4150-BD85-257B11BBCE56}">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3829" authorId="0" shapeId="0" xr:uid="{3730EE0F-C490-48A7-8FB2-6756B9FFC5A3}">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3830" authorId="0" shapeId="0" xr:uid="{2D838647-2361-456A-A9F2-1381A0227F7A}">
      <text>
        <r>
          <rPr>
            <b/>
            <sz val="9"/>
            <color rgb="FF000000"/>
            <rFont val="Tahoma"/>
            <family val="2"/>
          </rPr>
          <t>Brian Du:</t>
        </r>
        <r>
          <rPr>
            <sz val="9"/>
            <color rgb="FF000000"/>
            <rFont val="Tahoma"/>
            <family val="2"/>
          </rPr>
          <t xml:space="preserve">
</t>
        </r>
        <r>
          <rPr>
            <sz val="9"/>
            <color rgb="FF000000"/>
            <rFont val="Tahoma"/>
            <family val="2"/>
          </rPr>
          <t>Market cap: we want this to be as high as possible. Larger firms are more diversified, more stable, benefit from economies of scale, watched closly by market participants, etc.</t>
        </r>
      </text>
    </comment>
    <comment ref="V3830" authorId="0" shapeId="0" xr:uid="{ADC7F390-48C5-4C93-863C-A45871886D6D}">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Z3830" authorId="0" shapeId="0" xr:uid="{E945A5E2-803D-413E-A5B9-1FE35A4E692D}">
      <text>
        <r>
          <rPr>
            <b/>
            <sz val="9"/>
            <color indexed="81"/>
            <rFont val="Tahoma"/>
            <family val="2"/>
          </rPr>
          <t>Brian Du:</t>
        </r>
        <r>
          <rPr>
            <sz val="9"/>
            <color indexed="81"/>
            <rFont val="Tahoma"/>
            <family val="2"/>
          </rPr>
          <t xml:space="preserve">
Market cap: we want this to be as high as possible. Larger firms are more diversified, more stable, benefit from economies of scale, watched closly by market participants, etc.</t>
        </r>
      </text>
    </comment>
    <comment ref="R3831" authorId="0" shapeId="0" xr:uid="{7EAF871D-0262-4B17-A718-26DE74FCFB42}">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3831" authorId="0" shapeId="0" xr:uid="{8BF9CD89-18E1-4B49-B36C-2A425073FD5F}">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3831" authorId="0" shapeId="0" xr:uid="{70F441D1-DE5C-4464-89DE-E3363A1177AC}">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3832" authorId="0" shapeId="0" xr:uid="{1ADB5DCB-91BD-4C15-BF32-08B078AD8A53}">
      <text>
        <r>
          <rPr>
            <b/>
            <sz val="9"/>
            <color rgb="FF000000"/>
            <rFont val="Tahoma"/>
            <family val="2"/>
          </rPr>
          <t>Brian Du:</t>
        </r>
        <r>
          <rPr>
            <sz val="9"/>
            <color rgb="FF000000"/>
            <rFont val="Tahoma"/>
            <family val="2"/>
          </rPr>
          <t xml:space="preserve">
</t>
        </r>
        <r>
          <rPr>
            <sz val="9"/>
            <color rgb="FF000000"/>
            <rFont val="Tahoma"/>
            <family val="2"/>
          </rPr>
          <t xml:space="preserve">This measure looks at the change in the number of shares outstanding in a firm. Firms that buyback shares will have lower shares outstanding and firms that issue more shares will have higher shares outstanding.
</t>
        </r>
        <r>
          <rPr>
            <sz val="9"/>
            <color rgb="FF000000"/>
            <rFont val="Tahoma"/>
            <family val="2"/>
          </rPr>
          <t xml:space="preserve">
</t>
        </r>
        <r>
          <rPr>
            <sz val="9"/>
            <color rgb="FF000000"/>
            <rFont val="Tahoma"/>
            <family val="2"/>
          </rPr>
          <t xml:space="preserve">Stock repurchases are another way to return money to shareholders because it makes the shares more valuable. We want shares outstanding to be decreasing over time. 
</t>
        </r>
        <r>
          <rPr>
            <sz val="9"/>
            <color rgb="FF000000"/>
            <rFont val="Tahoma"/>
            <family val="2"/>
          </rPr>
          <t xml:space="preserve">
</t>
        </r>
        <r>
          <rPr>
            <sz val="9"/>
            <color rgb="FF000000"/>
            <rFont val="Tahoma"/>
            <family val="2"/>
          </rPr>
          <t xml:space="preserve">
</t>
        </r>
        <r>
          <rPr>
            <sz val="9"/>
            <color rgb="FF000000"/>
            <rFont val="Tahoma"/>
            <family val="2"/>
          </rPr>
          <t>The more negative, the better.</t>
        </r>
      </text>
    </comment>
    <comment ref="V3832" authorId="0" shapeId="0" xr:uid="{C764C583-4BE5-4999-BD34-1ED470E93015}">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3832" authorId="0" shapeId="0" xr:uid="{A93E319A-8B78-4238-9FE0-F4AFBDD27E55}">
      <text>
        <r>
          <rPr>
            <b/>
            <sz val="9"/>
            <color rgb="FF000000"/>
            <rFont val="Tahoma"/>
            <family val="2"/>
          </rPr>
          <t>Brian Du:</t>
        </r>
        <r>
          <rPr>
            <sz val="9"/>
            <color rgb="FF000000"/>
            <rFont val="Tahoma"/>
            <family val="2"/>
          </rPr>
          <t xml:space="preserve">
</t>
        </r>
        <r>
          <rPr>
            <sz val="9"/>
            <color rgb="FF000000"/>
            <rFont val="Tahoma"/>
            <family val="2"/>
          </rPr>
          <t xml:space="preserve">This measure looks at the change in the number of shares outstanding in a firm. Firms that buyback shares will have lower shares outstanding and firms that issue more shares will have higher shares outstanding.
</t>
        </r>
        <r>
          <rPr>
            <sz val="9"/>
            <color rgb="FF000000"/>
            <rFont val="Tahoma"/>
            <family val="2"/>
          </rPr>
          <t xml:space="preserve">
</t>
        </r>
        <r>
          <rPr>
            <sz val="9"/>
            <color rgb="FF000000"/>
            <rFont val="Tahoma"/>
            <family val="2"/>
          </rPr>
          <t xml:space="preserve">Stock repurchases are another way to return money to shareholders because it makes the shares more valuable. We want shares outstanding to be decreasing over time. 
</t>
        </r>
        <r>
          <rPr>
            <sz val="9"/>
            <color rgb="FF000000"/>
            <rFont val="Tahoma"/>
            <family val="2"/>
          </rPr>
          <t xml:space="preserve">
</t>
        </r>
        <r>
          <rPr>
            <sz val="9"/>
            <color rgb="FF000000"/>
            <rFont val="Tahoma"/>
            <family val="2"/>
          </rPr>
          <t xml:space="preserve">
</t>
        </r>
        <r>
          <rPr>
            <sz val="9"/>
            <color rgb="FF000000"/>
            <rFont val="Tahoma"/>
            <family val="2"/>
          </rPr>
          <t>The more negative, the better.</t>
        </r>
      </text>
    </comment>
    <comment ref="R3833" authorId="1" shapeId="0" xr:uid="{EF2CA4B1-BF3E-47FE-91C3-5890A3EE6395}">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V3833" authorId="1" shapeId="0" xr:uid="{904E68C8-F5EE-42DD-B786-5AF065B382FA}">
      <text>
        <r>
          <rPr>
            <b/>
            <sz val="9"/>
            <color rgb="FF000000"/>
            <rFont val="Tahoma"/>
            <family val="2"/>
          </rPr>
          <t>brian du:</t>
        </r>
        <r>
          <rPr>
            <sz val="9"/>
            <color rgb="FF000000"/>
            <rFont val="Tahoma"/>
            <family val="2"/>
          </rPr>
          <t xml:space="preserve">
</t>
        </r>
        <r>
          <rPr>
            <sz val="9"/>
            <color rgb="FF000000"/>
            <rFont val="Tahoma"/>
            <family val="2"/>
          </rPr>
          <t xml:space="preserve">This measure looks at the ratio of earnings to revenue. It looks at how efficiently a firm is able to convert revenue into earnings.
</t>
        </r>
        <r>
          <rPr>
            <sz val="9"/>
            <color rgb="FF000000"/>
            <rFont val="Tahoma"/>
            <family val="2"/>
          </rPr>
          <t xml:space="preserve">
</t>
        </r>
        <r>
          <rPr>
            <sz val="9"/>
            <color rgb="FF000000"/>
            <rFont val="Tahoma"/>
            <family val="2"/>
          </rPr>
          <t xml:space="preserve">We want this to be as high as possible. A negative value here means earnings is negative. Give a 1 to firms that have a negative ratio.
</t>
        </r>
      </text>
    </comment>
    <comment ref="Z3833" authorId="1" shapeId="0" xr:uid="{F4F6ACB1-3165-4DD4-9043-8172F7E0BC05}">
      <text>
        <r>
          <rPr>
            <b/>
            <sz val="9"/>
            <color rgb="FF000000"/>
            <rFont val="Tahoma"/>
            <family val="2"/>
          </rPr>
          <t>brian du:</t>
        </r>
        <r>
          <rPr>
            <sz val="9"/>
            <color rgb="FF000000"/>
            <rFont val="Tahoma"/>
            <family val="2"/>
          </rPr>
          <t xml:space="preserve">
</t>
        </r>
        <r>
          <rPr>
            <sz val="9"/>
            <color rgb="FF000000"/>
            <rFont val="Tahoma"/>
            <family val="2"/>
          </rPr>
          <t xml:space="preserve">This measure looks at the ratio of earnings to revenue. It looks at how efficiently a firm is able to convert revenue into earnings.
</t>
        </r>
        <r>
          <rPr>
            <sz val="9"/>
            <color rgb="FF000000"/>
            <rFont val="Tahoma"/>
            <family val="2"/>
          </rPr>
          <t xml:space="preserve">
</t>
        </r>
        <r>
          <rPr>
            <sz val="9"/>
            <color rgb="FF000000"/>
            <rFont val="Tahoma"/>
            <family val="2"/>
          </rPr>
          <t xml:space="preserve">We want this to be as high as possible. A negative value here means earnings is negative. Give a 1 to firms that have a negative ratio.
</t>
        </r>
      </text>
    </comment>
    <comment ref="R3834" authorId="1" shapeId="0" xr:uid="{5099A9E5-08F1-4428-B37E-DE189319C059}">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V3834" authorId="1" shapeId="0" xr:uid="{0C0406A2-E284-40B4-A72E-5E8E769225BE}">
      <text>
        <r>
          <rPr>
            <b/>
            <sz val="9"/>
            <color rgb="FF000000"/>
            <rFont val="Tahoma"/>
            <family val="2"/>
          </rPr>
          <t>brian du:</t>
        </r>
        <r>
          <rPr>
            <sz val="9"/>
            <color rgb="FF000000"/>
            <rFont val="Tahoma"/>
            <family val="2"/>
          </rPr>
          <t xml:space="preserve">
</t>
        </r>
        <r>
          <rPr>
            <sz val="9"/>
            <color rgb="FF000000"/>
            <rFont val="Tahoma"/>
            <family val="2"/>
          </rPr>
          <t xml:space="preserve">This measure looks at the ratio of free cash flow to total assets. It also considers the consistency of free cash flow.
</t>
        </r>
        <r>
          <rPr>
            <sz val="9"/>
            <color rgb="FF000000"/>
            <rFont val="Tahoma"/>
            <family val="2"/>
          </rPr>
          <t xml:space="preserve">
</t>
        </r>
        <r>
          <rPr>
            <sz val="9"/>
            <color rgb="FF000000"/>
            <rFont val="Tahoma"/>
            <family val="2"/>
          </rPr>
          <t xml:space="preserve">This ratio measures how efficiently the firm converts it's assets into cash.
</t>
        </r>
        <r>
          <rPr>
            <sz val="9"/>
            <color rgb="FF000000"/>
            <rFont val="Tahoma"/>
            <family val="2"/>
          </rPr>
          <t xml:space="preserve">
</t>
        </r>
        <r>
          <rPr>
            <sz val="9"/>
            <color rgb="FF000000"/>
            <rFont val="Tahoma"/>
            <family val="2"/>
          </rPr>
          <t>We want this as high as possible. A negative ratio here means negative FCF. Give a 1 for negative ROA.</t>
        </r>
      </text>
    </comment>
    <comment ref="Z3834" authorId="1" shapeId="0" xr:uid="{6A6AE391-EEB2-4730-A8F3-742592146F4E}">
      <text>
        <r>
          <rPr>
            <b/>
            <sz val="9"/>
            <color rgb="FF000000"/>
            <rFont val="Tahoma"/>
            <family val="2"/>
          </rPr>
          <t>brian du:</t>
        </r>
        <r>
          <rPr>
            <sz val="9"/>
            <color rgb="FF000000"/>
            <rFont val="Tahoma"/>
            <family val="2"/>
          </rPr>
          <t xml:space="preserve">
</t>
        </r>
        <r>
          <rPr>
            <sz val="9"/>
            <color rgb="FF000000"/>
            <rFont val="Tahoma"/>
            <family val="2"/>
          </rPr>
          <t xml:space="preserve">This measure looks at the ratio of free cash flow to total assets. It also considers the consistency of free cash flow.
</t>
        </r>
        <r>
          <rPr>
            <sz val="9"/>
            <color rgb="FF000000"/>
            <rFont val="Tahoma"/>
            <family val="2"/>
          </rPr>
          <t xml:space="preserve">
</t>
        </r>
        <r>
          <rPr>
            <sz val="9"/>
            <color rgb="FF000000"/>
            <rFont val="Tahoma"/>
            <family val="2"/>
          </rPr>
          <t xml:space="preserve">This ratio measures how efficiently the firm converts it's assets into cash.
</t>
        </r>
        <r>
          <rPr>
            <sz val="9"/>
            <color rgb="FF000000"/>
            <rFont val="Tahoma"/>
            <family val="2"/>
          </rPr>
          <t xml:space="preserve">
</t>
        </r>
        <r>
          <rPr>
            <sz val="9"/>
            <color rgb="FF000000"/>
            <rFont val="Tahoma"/>
            <family val="2"/>
          </rPr>
          <t>We want this as high as possible. A negative ratio here means negative FCF. Give a 1 for negative ROA.</t>
        </r>
      </text>
    </comment>
    <comment ref="R3835" authorId="1" shapeId="0" xr:uid="{FBE63369-BDD8-4CD1-AEFA-5ED456BF67A2}">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V3835" authorId="1" shapeId="0" xr:uid="{5AAB4E95-EB19-42E8-A5A9-E73DC4C8C287}">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Z3835" authorId="1" shapeId="0" xr:uid="{4A59A70A-9789-46B4-AFCB-F4686E94D8D9}">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3836" authorId="0" shapeId="0" xr:uid="{4A82E210-9336-4AEF-9273-6D810DA829EB}">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V3836" authorId="0" shapeId="0" xr:uid="{F45AC376-8AEE-4AE1-99FD-DFE4AC9B9AEC}">
      <text>
        <r>
          <rPr>
            <b/>
            <sz val="9"/>
            <color indexed="81"/>
            <rFont val="Tahoma"/>
            <family val="2"/>
          </rPr>
          <t>Brian Du:</t>
        </r>
        <r>
          <rPr>
            <sz val="9"/>
            <color indexed="81"/>
            <rFont val="Tahoma"/>
            <family val="2"/>
          </rPr>
          <t xml:space="preserve">
This measure is the ratio of debt to free cash flow. It looks at how much debt they are raising compared to how much cash they bring in.
Some debt is actually healthy for a firm. No need to do z-score. Do manual scoring here.
If this is &lt;25%, give a score of 5.
Between 25-30%, ~4.75.
Between 30-35%, ~4.4.
Between 35-40%, ~3.9.
Between 40-45%, ~3.2.
Between 45-50%, ~2.4.
If it is &gt;100%, give a score of 1. 
Use discretion in assigning scores.</t>
        </r>
      </text>
    </comment>
    <comment ref="Z3836" authorId="0" shapeId="0" xr:uid="{C2A6FDCF-AAF9-4799-8CFB-D857EEF5274C}">
      <text>
        <r>
          <rPr>
            <b/>
            <sz val="9"/>
            <color rgb="FF000000"/>
            <rFont val="Tahoma"/>
            <family val="2"/>
          </rPr>
          <t>Brian Du:</t>
        </r>
        <r>
          <rPr>
            <sz val="9"/>
            <color rgb="FF000000"/>
            <rFont val="Tahoma"/>
            <family val="2"/>
          </rPr>
          <t xml:space="preserve">
</t>
        </r>
        <r>
          <rPr>
            <sz val="9"/>
            <color rgb="FF000000"/>
            <rFont val="Tahoma"/>
            <family val="2"/>
          </rPr>
          <t xml:space="preserve">This measure is the ratio of debt to free cash flow. It looks at how much debt they are raising compared to how much cash they bring in.
</t>
        </r>
        <r>
          <rPr>
            <sz val="9"/>
            <color rgb="FF000000"/>
            <rFont val="Tahoma"/>
            <family val="2"/>
          </rPr>
          <t xml:space="preserve">
</t>
        </r>
        <r>
          <rPr>
            <sz val="9"/>
            <color rgb="FF000000"/>
            <rFont val="Tahoma"/>
            <family val="2"/>
          </rPr>
          <t xml:space="preserve">Some debt is actually healthy for a firm. No need to do z-score. Do manual scoring here.
</t>
        </r>
        <r>
          <rPr>
            <sz val="9"/>
            <color rgb="FF000000"/>
            <rFont val="Tahoma"/>
            <family val="2"/>
          </rPr>
          <t xml:space="preserve">
</t>
        </r>
        <r>
          <rPr>
            <sz val="9"/>
            <color rgb="FF000000"/>
            <rFont val="Tahoma"/>
            <family val="2"/>
          </rPr>
          <t xml:space="preserve">If this is &lt;25%, give a score of 5.
</t>
        </r>
        <r>
          <rPr>
            <sz val="9"/>
            <color rgb="FF000000"/>
            <rFont val="Tahoma"/>
            <family val="2"/>
          </rPr>
          <t xml:space="preserve">Between 25-30%, ~4.75.
</t>
        </r>
        <r>
          <rPr>
            <sz val="9"/>
            <color rgb="FF000000"/>
            <rFont val="Tahoma"/>
            <family val="2"/>
          </rPr>
          <t xml:space="preserve">Between 30-35%, ~4.4.
</t>
        </r>
        <r>
          <rPr>
            <sz val="9"/>
            <color rgb="FF000000"/>
            <rFont val="Tahoma"/>
            <family val="2"/>
          </rPr>
          <t xml:space="preserve">Between 35-40%, ~3.9.
</t>
        </r>
        <r>
          <rPr>
            <sz val="9"/>
            <color rgb="FF000000"/>
            <rFont val="Tahoma"/>
            <family val="2"/>
          </rPr>
          <t xml:space="preserve">Between 40-45%, ~3.2.
</t>
        </r>
        <r>
          <rPr>
            <sz val="9"/>
            <color rgb="FF000000"/>
            <rFont val="Tahoma"/>
            <family val="2"/>
          </rPr>
          <t xml:space="preserve">Between 45-50%, ~2.4.
</t>
        </r>
        <r>
          <rPr>
            <sz val="9"/>
            <color rgb="FF000000"/>
            <rFont val="Tahoma"/>
            <family val="2"/>
          </rPr>
          <t xml:space="preserve">If it is &gt;100%, give a score of 1. 
</t>
        </r>
        <r>
          <rPr>
            <sz val="9"/>
            <color rgb="FF000000"/>
            <rFont val="Tahoma"/>
            <family val="2"/>
          </rPr>
          <t xml:space="preserve">
</t>
        </r>
        <r>
          <rPr>
            <sz val="9"/>
            <color rgb="FF000000"/>
            <rFont val="Tahoma"/>
            <family val="2"/>
          </rPr>
          <t>Use discretion in assigning scores.</t>
        </r>
      </text>
    </comment>
    <comment ref="R3837" authorId="0" shapeId="0" xr:uid="{DE0D7958-4193-4C5C-A411-E84412931FD7}">
      <text>
        <r>
          <rPr>
            <b/>
            <sz val="9"/>
            <color indexed="81"/>
            <rFont val="Tahoma"/>
            <family val="2"/>
          </rPr>
          <t>Brian Du:</t>
        </r>
        <r>
          <rPr>
            <sz val="9"/>
            <color indexed="81"/>
            <rFont val="Tahoma"/>
            <family val="2"/>
          </rPr>
          <t xml:space="preserve">
This measure is the ratio of enterprise value (EV) to EBITDA. EV is the total value of a firm including equity, debt, and cash. EBITDA is the profitability.
We want a low EV because it means the firm is cheap for us to invest. We want a high EBITDA.
We want a low ratio but not negative.</t>
        </r>
      </text>
    </comment>
    <comment ref="V3837" authorId="0" shapeId="0" xr:uid="{5295A123-A04B-4810-8F2F-02C60F48744E}">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3837" authorId="0" shapeId="0" xr:uid="{22C2E4A4-FF92-47B2-B9F7-31CE8BCEF7F3}">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3838" authorId="1" shapeId="0" xr:uid="{4DF551DC-B0C3-4F58-9346-013A5DD35C09}">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3844" authorId="0" shapeId="0" xr:uid="{60726895-6255-4ECD-8910-8411C3A37A9A}">
      <text>
        <r>
          <rPr>
            <b/>
            <sz val="9"/>
            <color rgb="FF000000"/>
            <rFont val="Tahoma"/>
            <family val="2"/>
          </rPr>
          <t>Brian Du:</t>
        </r>
        <r>
          <rPr>
            <sz val="9"/>
            <color rgb="FF000000"/>
            <rFont val="Tahoma"/>
            <family val="2"/>
          </rPr>
          <t xml:space="preserve">
</t>
        </r>
        <r>
          <rPr>
            <sz val="9"/>
            <color rgb="FF000000"/>
            <rFont val="Tahoma"/>
            <family val="2"/>
          </rPr>
          <t xml:space="preserve">This ratio compares the stock price (P) to the firm's free cash flow to equity (FCFE). We want a low stock price because it is cheap for us to invest. We want high FCFE because the firm is more profitable.
</t>
        </r>
        <r>
          <rPr>
            <sz val="9"/>
            <color rgb="FF000000"/>
            <rFont val="Tahoma"/>
            <family val="2"/>
          </rPr>
          <t xml:space="preserve">
</t>
        </r>
        <r>
          <rPr>
            <sz val="9"/>
            <color rgb="FF000000"/>
            <rFont val="Tahoma"/>
            <family val="2"/>
          </rPr>
          <t>We want this ratio to be as LOW as possible, but not negative. Negative means negative FCFE. Give a 1 for negative.</t>
        </r>
      </text>
    </comment>
    <comment ref="V3844" authorId="0" shapeId="0" xr:uid="{2B92ABFB-7C11-4124-8475-6C2B06921D7E}">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3844" authorId="0" shapeId="0" xr:uid="{99603768-C8F4-4906-A3E0-F3324F5FFBCF}">
      <text>
        <r>
          <rPr>
            <b/>
            <sz val="9"/>
            <color rgb="FF000000"/>
            <rFont val="Tahoma"/>
            <family val="2"/>
          </rPr>
          <t>Brian Du:</t>
        </r>
        <r>
          <rPr>
            <sz val="9"/>
            <color rgb="FF000000"/>
            <rFont val="Tahoma"/>
            <family val="2"/>
          </rPr>
          <t xml:space="preserve">
</t>
        </r>
        <r>
          <rPr>
            <sz val="9"/>
            <color rgb="FF000000"/>
            <rFont val="Tahoma"/>
            <family val="2"/>
          </rPr>
          <t xml:space="preserve">This ratio compares the stock price (P) to the firm's free cash flow to equity (FCFE). We want a low stock price because it is cheap for us to invest. We want high FCFE because the firm is more profitable.
</t>
        </r>
        <r>
          <rPr>
            <sz val="9"/>
            <color rgb="FF000000"/>
            <rFont val="Tahoma"/>
            <family val="2"/>
          </rPr>
          <t xml:space="preserve">
</t>
        </r>
        <r>
          <rPr>
            <sz val="9"/>
            <color rgb="FF000000"/>
            <rFont val="Tahoma"/>
            <family val="2"/>
          </rPr>
          <t>We want this ratio to be as LOW as possible, but not negative. Negative means negative FCFE. Give a 1 for negative.</t>
        </r>
      </text>
    </comment>
    <comment ref="R3845" authorId="0" shapeId="0" xr:uid="{7385C5BB-2E7E-43C3-A489-D3E1B516A73B}">
      <text>
        <r>
          <rPr>
            <b/>
            <sz val="9"/>
            <color rgb="FF000000"/>
            <rFont val="Tahoma"/>
            <family val="2"/>
          </rPr>
          <t>Brian Du:</t>
        </r>
        <r>
          <rPr>
            <sz val="9"/>
            <color rgb="FF000000"/>
            <rFont val="Tahoma"/>
            <family val="2"/>
          </rPr>
          <t xml:space="preserve">
</t>
        </r>
        <r>
          <rPr>
            <sz val="9"/>
            <color rgb="FF000000"/>
            <rFont val="Tahoma"/>
            <family val="2"/>
          </rPr>
          <t>Market cap: we want this to be as high as possible. Larger firms are more diversified, more stable, benefit from economies of scale, watched closly by market participants, etc.</t>
        </r>
      </text>
    </comment>
    <comment ref="V3845" authorId="0" shapeId="0" xr:uid="{1CF20371-8364-4AE4-96BF-7D74D4F7D589}">
      <text>
        <r>
          <rPr>
            <b/>
            <sz val="9"/>
            <color rgb="FF000000"/>
            <rFont val="Tahoma"/>
            <family val="2"/>
          </rPr>
          <t>Brian Du:</t>
        </r>
        <r>
          <rPr>
            <sz val="9"/>
            <color rgb="FF000000"/>
            <rFont val="Tahoma"/>
            <family val="2"/>
          </rPr>
          <t xml:space="preserve">
</t>
        </r>
        <r>
          <rPr>
            <sz val="9"/>
            <color rgb="FF000000"/>
            <rFont val="Tahoma"/>
            <family val="2"/>
          </rPr>
          <t>Market cap: we want this to be as high as possible. Larger firms are more diversified, more stable, benefit from economies of scale, watched closly by market participants, etc.</t>
        </r>
      </text>
    </comment>
    <comment ref="Z3845" authorId="0" shapeId="0" xr:uid="{9B0C03EA-083B-48C0-8D5D-70C28F21F5CF}">
      <text>
        <r>
          <rPr>
            <b/>
            <sz val="9"/>
            <color rgb="FF000000"/>
            <rFont val="Tahoma"/>
            <family val="2"/>
          </rPr>
          <t>Brian Du:</t>
        </r>
        <r>
          <rPr>
            <sz val="9"/>
            <color rgb="FF000000"/>
            <rFont val="Tahoma"/>
            <family val="2"/>
          </rPr>
          <t xml:space="preserve">
</t>
        </r>
        <r>
          <rPr>
            <sz val="9"/>
            <color rgb="FF000000"/>
            <rFont val="Tahoma"/>
            <family val="2"/>
          </rPr>
          <t>Market cap: we want this to be as high as possible. Larger firms are more diversified, more stable, benefit from economies of scale, watched closly by market participants, etc.</t>
        </r>
      </text>
    </comment>
    <comment ref="R3846" authorId="0" shapeId="0" xr:uid="{3504C4F8-3884-4A8D-B976-D0DC85033AB0}">
      <text>
        <r>
          <rPr>
            <b/>
            <sz val="9"/>
            <color rgb="FF000000"/>
            <rFont val="Tahoma"/>
            <family val="2"/>
          </rPr>
          <t>Brian Du:</t>
        </r>
        <r>
          <rPr>
            <sz val="9"/>
            <color rgb="FF000000"/>
            <rFont val="Tahoma"/>
            <family val="2"/>
          </rPr>
          <t xml:space="preserve">
</t>
        </r>
        <r>
          <rPr>
            <sz val="9"/>
            <color rgb="FF000000"/>
            <rFont val="Tahoma"/>
            <family val="2"/>
          </rPr>
          <t xml:space="preserve">This measure is a ratio of the stock price to a firm's dividends and dividend growth rate. Firms that are more financially stable can afford to pay lots of dividends because they are able to generate enough earnings.
</t>
        </r>
        <r>
          <rPr>
            <sz val="9"/>
            <color rgb="FF000000"/>
            <rFont val="Tahoma"/>
            <family val="2"/>
          </rPr>
          <t xml:space="preserve">
</t>
        </r>
        <r>
          <rPr>
            <sz val="9"/>
            <color rgb="FF000000"/>
            <rFont val="Tahoma"/>
            <family val="2"/>
          </rPr>
          <t>We want the number here to be as low as possible.</t>
        </r>
      </text>
    </comment>
    <comment ref="V3846" authorId="0" shapeId="0" xr:uid="{479F0F0D-615D-40C6-B8B9-A24B2FC82B8D}">
      <text>
        <r>
          <rPr>
            <b/>
            <sz val="9"/>
            <color rgb="FF000000"/>
            <rFont val="Tahoma"/>
            <family val="2"/>
          </rPr>
          <t>Brian Du:</t>
        </r>
        <r>
          <rPr>
            <sz val="9"/>
            <color rgb="FF000000"/>
            <rFont val="Tahoma"/>
            <family val="2"/>
          </rPr>
          <t xml:space="preserve">
</t>
        </r>
        <r>
          <rPr>
            <sz val="9"/>
            <color rgb="FF000000"/>
            <rFont val="Tahoma"/>
            <family val="2"/>
          </rPr>
          <t xml:space="preserve">This measure is a ratio of the stock price to a firm's dividends and dividend growth rate. Firms that are more financially stable can afford to pay lots of dividends because they are able to generate enough earnings.
</t>
        </r>
        <r>
          <rPr>
            <sz val="9"/>
            <color rgb="FF000000"/>
            <rFont val="Tahoma"/>
            <family val="2"/>
          </rPr>
          <t xml:space="preserve">
</t>
        </r>
        <r>
          <rPr>
            <sz val="9"/>
            <color rgb="FF000000"/>
            <rFont val="Tahoma"/>
            <family val="2"/>
          </rPr>
          <t>We want the number here to be as low as possible.</t>
        </r>
      </text>
    </comment>
    <comment ref="Z3846" authorId="0" shapeId="0" xr:uid="{68E70D56-349D-4AD4-9526-3CF7E1C4FA7F}">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3847" authorId="0" shapeId="0" xr:uid="{017FC1AE-7766-48E8-A266-1E60EA8D795C}">
      <text>
        <r>
          <rPr>
            <b/>
            <sz val="9"/>
            <color rgb="FF000000"/>
            <rFont val="Tahoma"/>
            <family val="2"/>
          </rPr>
          <t>Brian Du:</t>
        </r>
        <r>
          <rPr>
            <sz val="9"/>
            <color rgb="FF000000"/>
            <rFont val="Tahoma"/>
            <family val="2"/>
          </rPr>
          <t xml:space="preserve">
</t>
        </r>
        <r>
          <rPr>
            <sz val="9"/>
            <color rgb="FF000000"/>
            <rFont val="Tahoma"/>
            <family val="2"/>
          </rPr>
          <t xml:space="preserve">This measure looks at the change in the number of shares outstanding in a firm. Firms that buyback shares will have lower shares outstanding and firms that issue more shares will have higher shares outstanding.
</t>
        </r>
        <r>
          <rPr>
            <sz val="9"/>
            <color rgb="FF000000"/>
            <rFont val="Tahoma"/>
            <family val="2"/>
          </rPr>
          <t xml:space="preserve">
</t>
        </r>
        <r>
          <rPr>
            <sz val="9"/>
            <color rgb="FF000000"/>
            <rFont val="Tahoma"/>
            <family val="2"/>
          </rPr>
          <t xml:space="preserve">Stock repurchases are another way to return money to shareholders because it makes the shares more valuable. We want shares outstanding to be decreasing over time. 
</t>
        </r>
        <r>
          <rPr>
            <sz val="9"/>
            <color rgb="FF000000"/>
            <rFont val="Tahoma"/>
            <family val="2"/>
          </rPr>
          <t xml:space="preserve">
</t>
        </r>
        <r>
          <rPr>
            <sz val="9"/>
            <color rgb="FF000000"/>
            <rFont val="Tahoma"/>
            <family val="2"/>
          </rPr>
          <t xml:space="preserve">
</t>
        </r>
        <r>
          <rPr>
            <sz val="9"/>
            <color rgb="FF000000"/>
            <rFont val="Tahoma"/>
            <family val="2"/>
          </rPr>
          <t>The more negative, the better.</t>
        </r>
      </text>
    </comment>
    <comment ref="V3847" authorId="0" shapeId="0" xr:uid="{B1312DC9-1126-4BE4-BEF3-2F4C3D377E34}">
      <text>
        <r>
          <rPr>
            <b/>
            <sz val="9"/>
            <color rgb="FF000000"/>
            <rFont val="Tahoma"/>
            <family val="2"/>
          </rPr>
          <t>Brian Du:</t>
        </r>
        <r>
          <rPr>
            <sz val="9"/>
            <color rgb="FF000000"/>
            <rFont val="Tahoma"/>
            <family val="2"/>
          </rPr>
          <t xml:space="preserve">
</t>
        </r>
        <r>
          <rPr>
            <sz val="9"/>
            <color rgb="FF000000"/>
            <rFont val="Tahoma"/>
            <family val="2"/>
          </rPr>
          <t xml:space="preserve">This measure looks at the change in the number of shares outstanding in a firm. Firms that buyback shares will have lower shares outstanding and firms that issue more shares will have higher shares outstanding.
</t>
        </r>
        <r>
          <rPr>
            <sz val="9"/>
            <color rgb="FF000000"/>
            <rFont val="Tahoma"/>
            <family val="2"/>
          </rPr>
          <t xml:space="preserve">
</t>
        </r>
        <r>
          <rPr>
            <sz val="9"/>
            <color rgb="FF000000"/>
            <rFont val="Tahoma"/>
            <family val="2"/>
          </rPr>
          <t xml:space="preserve">Stock repurchases are another way to return money to shareholders because it makes the shares more valuable. We want shares outstanding to be decreasing over time. 
</t>
        </r>
        <r>
          <rPr>
            <sz val="9"/>
            <color rgb="FF000000"/>
            <rFont val="Tahoma"/>
            <family val="2"/>
          </rPr>
          <t xml:space="preserve">
</t>
        </r>
        <r>
          <rPr>
            <sz val="9"/>
            <color rgb="FF000000"/>
            <rFont val="Tahoma"/>
            <family val="2"/>
          </rPr>
          <t xml:space="preserve">
</t>
        </r>
        <r>
          <rPr>
            <sz val="9"/>
            <color rgb="FF000000"/>
            <rFont val="Tahoma"/>
            <family val="2"/>
          </rPr>
          <t>The more negative, the better.</t>
        </r>
      </text>
    </comment>
    <comment ref="Z3847" authorId="0" shapeId="0" xr:uid="{6A54E1F0-1AA9-4575-84C0-EB84EA1BA224}">
      <text>
        <r>
          <rPr>
            <b/>
            <sz val="9"/>
            <color rgb="FF000000"/>
            <rFont val="Tahoma"/>
            <family val="2"/>
          </rPr>
          <t>Brian Du:</t>
        </r>
        <r>
          <rPr>
            <sz val="9"/>
            <color rgb="FF000000"/>
            <rFont val="Tahoma"/>
            <family val="2"/>
          </rPr>
          <t xml:space="preserve">
</t>
        </r>
        <r>
          <rPr>
            <sz val="9"/>
            <color rgb="FF000000"/>
            <rFont val="Tahoma"/>
            <family val="2"/>
          </rPr>
          <t xml:space="preserve">This measure looks at the change in the number of shares outstanding in a firm. Firms that buyback shares will have lower shares outstanding and firms that issue more shares will have higher shares outstanding.
</t>
        </r>
        <r>
          <rPr>
            <sz val="9"/>
            <color rgb="FF000000"/>
            <rFont val="Tahoma"/>
            <family val="2"/>
          </rPr>
          <t xml:space="preserve">
</t>
        </r>
        <r>
          <rPr>
            <sz val="9"/>
            <color rgb="FF000000"/>
            <rFont val="Tahoma"/>
            <family val="2"/>
          </rPr>
          <t xml:space="preserve">Stock repurchases are another way to return money to shareholders because it makes the shares more valuable. We want shares outstanding to be decreasing over time. 
</t>
        </r>
        <r>
          <rPr>
            <sz val="9"/>
            <color rgb="FF000000"/>
            <rFont val="Tahoma"/>
            <family val="2"/>
          </rPr>
          <t xml:space="preserve">
</t>
        </r>
        <r>
          <rPr>
            <sz val="9"/>
            <color rgb="FF000000"/>
            <rFont val="Tahoma"/>
            <family val="2"/>
          </rPr>
          <t xml:space="preserve">
</t>
        </r>
        <r>
          <rPr>
            <sz val="9"/>
            <color rgb="FF000000"/>
            <rFont val="Tahoma"/>
            <family val="2"/>
          </rPr>
          <t>The more negative, the better.</t>
        </r>
      </text>
    </comment>
    <comment ref="R3848" authorId="1" shapeId="0" xr:uid="{51A0C4A8-D5FD-490D-A4CC-567A4130D344}">
      <text>
        <r>
          <rPr>
            <b/>
            <sz val="9"/>
            <color rgb="FF000000"/>
            <rFont val="Tahoma"/>
            <family val="2"/>
          </rPr>
          <t>brian du:</t>
        </r>
        <r>
          <rPr>
            <sz val="9"/>
            <color rgb="FF000000"/>
            <rFont val="Tahoma"/>
            <family val="2"/>
          </rPr>
          <t xml:space="preserve">
</t>
        </r>
        <r>
          <rPr>
            <sz val="9"/>
            <color rgb="FF000000"/>
            <rFont val="Tahoma"/>
            <family val="2"/>
          </rPr>
          <t xml:space="preserve">This measure looks at the ratio of earnings to revenue. It looks at how efficiently a firm is able to convert revenue into earnings.
</t>
        </r>
        <r>
          <rPr>
            <sz val="9"/>
            <color rgb="FF000000"/>
            <rFont val="Tahoma"/>
            <family val="2"/>
          </rPr>
          <t xml:space="preserve">
</t>
        </r>
        <r>
          <rPr>
            <sz val="9"/>
            <color rgb="FF000000"/>
            <rFont val="Tahoma"/>
            <family val="2"/>
          </rPr>
          <t xml:space="preserve">We want this to be as high as possible. A negative value here means earnings is negative. Give a 1 to firms that have a negative ratio.
</t>
        </r>
      </text>
    </comment>
    <comment ref="V3848" authorId="1" shapeId="0" xr:uid="{01CFFC03-CC18-4D95-AD5C-4DDDB43990E4}">
      <text>
        <r>
          <rPr>
            <b/>
            <sz val="9"/>
            <color rgb="FF000000"/>
            <rFont val="Tahoma"/>
            <family val="2"/>
          </rPr>
          <t>brian du:</t>
        </r>
        <r>
          <rPr>
            <sz val="9"/>
            <color rgb="FF000000"/>
            <rFont val="Tahoma"/>
            <family val="2"/>
          </rPr>
          <t xml:space="preserve">
</t>
        </r>
        <r>
          <rPr>
            <sz val="9"/>
            <color rgb="FF000000"/>
            <rFont val="Tahoma"/>
            <family val="2"/>
          </rPr>
          <t xml:space="preserve">This measure looks at the ratio of earnings to revenue. It looks at how efficiently a firm is able to convert revenue into earnings.
</t>
        </r>
        <r>
          <rPr>
            <sz val="9"/>
            <color rgb="FF000000"/>
            <rFont val="Tahoma"/>
            <family val="2"/>
          </rPr>
          <t xml:space="preserve">
</t>
        </r>
        <r>
          <rPr>
            <sz val="9"/>
            <color rgb="FF000000"/>
            <rFont val="Tahoma"/>
            <family val="2"/>
          </rPr>
          <t xml:space="preserve">We want this to be as high as possible. A negative value here means earnings is negative. Give a 1 to firms that have a negative ratio.
</t>
        </r>
      </text>
    </comment>
    <comment ref="Z3848" authorId="1" shapeId="0" xr:uid="{C6F45E47-4331-4CFB-8E63-C6098D6C2168}">
      <text>
        <r>
          <rPr>
            <b/>
            <sz val="9"/>
            <color rgb="FF000000"/>
            <rFont val="Tahoma"/>
            <family val="2"/>
          </rPr>
          <t>brian du:</t>
        </r>
        <r>
          <rPr>
            <sz val="9"/>
            <color rgb="FF000000"/>
            <rFont val="Tahoma"/>
            <family val="2"/>
          </rPr>
          <t xml:space="preserve">
</t>
        </r>
        <r>
          <rPr>
            <sz val="9"/>
            <color rgb="FF000000"/>
            <rFont val="Tahoma"/>
            <family val="2"/>
          </rPr>
          <t xml:space="preserve">This measure looks at the ratio of earnings to revenue. It looks at how efficiently a firm is able to convert revenue into earnings.
</t>
        </r>
        <r>
          <rPr>
            <sz val="9"/>
            <color rgb="FF000000"/>
            <rFont val="Tahoma"/>
            <family val="2"/>
          </rPr>
          <t xml:space="preserve">
</t>
        </r>
        <r>
          <rPr>
            <sz val="9"/>
            <color rgb="FF000000"/>
            <rFont val="Tahoma"/>
            <family val="2"/>
          </rPr>
          <t xml:space="preserve">We want this to be as high as possible. A negative value here means earnings is negative. Give a 1 to firms that have a negative ratio.
</t>
        </r>
      </text>
    </comment>
    <comment ref="R3849" authorId="1" shapeId="0" xr:uid="{0DA449FA-C72F-480C-B2E5-12C4F153956B}">
      <text>
        <r>
          <rPr>
            <b/>
            <sz val="9"/>
            <color rgb="FF000000"/>
            <rFont val="Tahoma"/>
            <family val="2"/>
          </rPr>
          <t>brian du:</t>
        </r>
        <r>
          <rPr>
            <sz val="9"/>
            <color rgb="FF000000"/>
            <rFont val="Tahoma"/>
            <family val="2"/>
          </rPr>
          <t xml:space="preserve">
</t>
        </r>
        <r>
          <rPr>
            <sz val="9"/>
            <color rgb="FF000000"/>
            <rFont val="Tahoma"/>
            <family val="2"/>
          </rPr>
          <t xml:space="preserve">This measure looks at the ratio of free cash flow to total assets. It also considers the consistency of free cash flow.
</t>
        </r>
        <r>
          <rPr>
            <sz val="9"/>
            <color rgb="FF000000"/>
            <rFont val="Tahoma"/>
            <family val="2"/>
          </rPr>
          <t xml:space="preserve">
</t>
        </r>
        <r>
          <rPr>
            <sz val="9"/>
            <color rgb="FF000000"/>
            <rFont val="Tahoma"/>
            <family val="2"/>
          </rPr>
          <t xml:space="preserve">This ratio measures how efficiently the firm converts it's assets into cash.
</t>
        </r>
        <r>
          <rPr>
            <sz val="9"/>
            <color rgb="FF000000"/>
            <rFont val="Tahoma"/>
            <family val="2"/>
          </rPr>
          <t xml:space="preserve">
</t>
        </r>
        <r>
          <rPr>
            <sz val="9"/>
            <color rgb="FF000000"/>
            <rFont val="Tahoma"/>
            <family val="2"/>
          </rPr>
          <t>We want this as high as possible. A negative ratio here means negative FCF. Give a 1 for negative ROA.</t>
        </r>
      </text>
    </comment>
    <comment ref="V3849" authorId="1" shapeId="0" xr:uid="{47AE6DE7-4693-430E-A979-4BAF945585D4}">
      <text>
        <r>
          <rPr>
            <b/>
            <sz val="9"/>
            <color rgb="FF000000"/>
            <rFont val="Tahoma"/>
            <family val="2"/>
          </rPr>
          <t>brian du:</t>
        </r>
        <r>
          <rPr>
            <sz val="9"/>
            <color rgb="FF000000"/>
            <rFont val="Tahoma"/>
            <family val="2"/>
          </rPr>
          <t xml:space="preserve">
</t>
        </r>
        <r>
          <rPr>
            <sz val="9"/>
            <color rgb="FF000000"/>
            <rFont val="Tahoma"/>
            <family val="2"/>
          </rPr>
          <t xml:space="preserve">This measure looks at the ratio of free cash flow to total assets. It also considers the consistency of free cash flow.
</t>
        </r>
        <r>
          <rPr>
            <sz val="9"/>
            <color rgb="FF000000"/>
            <rFont val="Tahoma"/>
            <family val="2"/>
          </rPr>
          <t xml:space="preserve">
</t>
        </r>
        <r>
          <rPr>
            <sz val="9"/>
            <color rgb="FF000000"/>
            <rFont val="Tahoma"/>
            <family val="2"/>
          </rPr>
          <t xml:space="preserve">This ratio measures how efficiently the firm converts it's assets into cash.
</t>
        </r>
        <r>
          <rPr>
            <sz val="9"/>
            <color rgb="FF000000"/>
            <rFont val="Tahoma"/>
            <family val="2"/>
          </rPr>
          <t xml:space="preserve">
</t>
        </r>
        <r>
          <rPr>
            <sz val="9"/>
            <color rgb="FF000000"/>
            <rFont val="Tahoma"/>
            <family val="2"/>
          </rPr>
          <t>We want this as high as possible. A negative ratio here means negative FCF. Give a 1 for negative ROA.</t>
        </r>
      </text>
    </comment>
    <comment ref="Z3849" authorId="1" shapeId="0" xr:uid="{8BF78D2C-B8FF-4957-908F-1FD707D61A0F}">
      <text>
        <r>
          <rPr>
            <b/>
            <sz val="9"/>
            <color rgb="FF000000"/>
            <rFont val="Tahoma"/>
            <family val="2"/>
          </rPr>
          <t>brian du:</t>
        </r>
        <r>
          <rPr>
            <sz val="9"/>
            <color rgb="FF000000"/>
            <rFont val="Tahoma"/>
            <family val="2"/>
          </rPr>
          <t xml:space="preserve">
</t>
        </r>
        <r>
          <rPr>
            <sz val="9"/>
            <color rgb="FF000000"/>
            <rFont val="Tahoma"/>
            <family val="2"/>
          </rPr>
          <t xml:space="preserve">This measure looks at the ratio of free cash flow to total assets. It also considers the consistency of free cash flow.
</t>
        </r>
        <r>
          <rPr>
            <sz val="9"/>
            <color rgb="FF000000"/>
            <rFont val="Tahoma"/>
            <family val="2"/>
          </rPr>
          <t xml:space="preserve">
</t>
        </r>
        <r>
          <rPr>
            <sz val="9"/>
            <color rgb="FF000000"/>
            <rFont val="Tahoma"/>
            <family val="2"/>
          </rPr>
          <t xml:space="preserve">This ratio measures how efficiently the firm converts it's assets into cash.
</t>
        </r>
        <r>
          <rPr>
            <sz val="9"/>
            <color rgb="FF000000"/>
            <rFont val="Tahoma"/>
            <family val="2"/>
          </rPr>
          <t xml:space="preserve">
</t>
        </r>
        <r>
          <rPr>
            <sz val="9"/>
            <color rgb="FF000000"/>
            <rFont val="Tahoma"/>
            <family val="2"/>
          </rPr>
          <t>We want this as high as possible. A negative ratio here means negative FCF. Give a 1 for negative ROA.</t>
        </r>
      </text>
    </comment>
    <comment ref="R3850" authorId="1" shapeId="0" xr:uid="{F7922662-AC6F-49DF-BC8C-D6268FBD6129}">
      <text>
        <r>
          <rPr>
            <b/>
            <sz val="9"/>
            <color rgb="FF000000"/>
            <rFont val="Tahoma"/>
            <family val="2"/>
          </rPr>
          <t>brian du:</t>
        </r>
        <r>
          <rPr>
            <sz val="9"/>
            <color rgb="FF000000"/>
            <rFont val="Tahoma"/>
            <family val="2"/>
          </rPr>
          <t xml:space="preserve">
</t>
        </r>
        <r>
          <rPr>
            <sz val="9"/>
            <color rgb="FF000000"/>
            <rFont val="Tahoma"/>
            <family val="2"/>
          </rPr>
          <t xml:space="preserve">This measure looks at the slope of the 10-year ordinary least square (OLS) EBITDA margin % trendline. A positive slope means the margin %'s are increasing. A higher positive slope means the trendline is increasing faster.
</t>
        </r>
        <r>
          <rPr>
            <sz val="9"/>
            <color rgb="FF000000"/>
            <rFont val="Tahoma"/>
            <family val="2"/>
          </rPr>
          <t xml:space="preserve">
</t>
        </r>
        <r>
          <rPr>
            <sz val="9"/>
            <color rgb="FF000000"/>
            <rFont val="Tahoma"/>
            <family val="2"/>
          </rPr>
          <t>We want a larger value here. A negative number is not good but in the analysis include values that are close to zero. Give the more negative values a score of 1.</t>
        </r>
      </text>
    </comment>
    <comment ref="V3850" authorId="1" shapeId="0" xr:uid="{64F9A664-F233-487B-9616-83BB15DCC88B}">
      <text>
        <r>
          <rPr>
            <b/>
            <sz val="9"/>
            <color rgb="FF000000"/>
            <rFont val="Tahoma"/>
            <family val="2"/>
          </rPr>
          <t>brian du:</t>
        </r>
        <r>
          <rPr>
            <sz val="9"/>
            <color rgb="FF000000"/>
            <rFont val="Tahoma"/>
            <family val="2"/>
          </rPr>
          <t xml:space="preserve">
</t>
        </r>
        <r>
          <rPr>
            <sz val="9"/>
            <color rgb="FF000000"/>
            <rFont val="Tahoma"/>
            <family val="2"/>
          </rPr>
          <t xml:space="preserve">This measure looks at the slope of the 10-year ordinary least square (OLS) EBITDA margin % trendline. A positive slope means the margin %'s are increasing. A higher positive slope means the trendline is increasing faster.
</t>
        </r>
        <r>
          <rPr>
            <sz val="9"/>
            <color rgb="FF000000"/>
            <rFont val="Tahoma"/>
            <family val="2"/>
          </rPr>
          <t xml:space="preserve">
</t>
        </r>
        <r>
          <rPr>
            <sz val="9"/>
            <color rgb="FF000000"/>
            <rFont val="Tahoma"/>
            <family val="2"/>
          </rPr>
          <t>We want a larger value here. A negative number is not good but in the analysis include values that are close to zero. Give the more negative values a score of 1.</t>
        </r>
      </text>
    </comment>
    <comment ref="Z3850" authorId="1" shapeId="0" xr:uid="{937C701E-2BC2-4B08-8949-80B9F941D464}">
      <text>
        <r>
          <rPr>
            <b/>
            <sz val="9"/>
            <color rgb="FF000000"/>
            <rFont val="Tahoma"/>
            <family val="2"/>
          </rPr>
          <t>brian du:</t>
        </r>
        <r>
          <rPr>
            <sz val="9"/>
            <color rgb="FF000000"/>
            <rFont val="Tahoma"/>
            <family val="2"/>
          </rPr>
          <t xml:space="preserve">
</t>
        </r>
        <r>
          <rPr>
            <sz val="9"/>
            <color rgb="FF000000"/>
            <rFont val="Tahoma"/>
            <family val="2"/>
          </rPr>
          <t xml:space="preserve">This measure looks at the slope of the 10-year ordinary least square (OLS) EBITDA margin % trendline. A positive slope means the margin %'s are increasing. A higher positive slope means the trendline is increasing faster.
</t>
        </r>
        <r>
          <rPr>
            <sz val="9"/>
            <color rgb="FF000000"/>
            <rFont val="Tahoma"/>
            <family val="2"/>
          </rPr>
          <t xml:space="preserve">
</t>
        </r>
        <r>
          <rPr>
            <sz val="9"/>
            <color rgb="FF000000"/>
            <rFont val="Tahoma"/>
            <family val="2"/>
          </rPr>
          <t>We want a larger value here. A negative number is not good but in the analysis include values that are close to zero. Give the more negative values a score of 1.</t>
        </r>
      </text>
    </comment>
    <comment ref="R3851" authorId="0" shapeId="0" xr:uid="{37F7E0EA-6977-41E5-BE3A-EE3367AE674C}">
      <text>
        <r>
          <rPr>
            <b/>
            <sz val="9"/>
            <color rgb="FF000000"/>
            <rFont val="Tahoma"/>
            <family val="2"/>
          </rPr>
          <t>Brian Du:</t>
        </r>
        <r>
          <rPr>
            <sz val="9"/>
            <color rgb="FF000000"/>
            <rFont val="Tahoma"/>
            <family val="2"/>
          </rPr>
          <t xml:space="preserve">
</t>
        </r>
        <r>
          <rPr>
            <sz val="9"/>
            <color rgb="FF000000"/>
            <rFont val="Tahoma"/>
            <family val="2"/>
          </rPr>
          <t xml:space="preserve">This measure is the ratio of debt to free cash flow. It looks at how much debt they are raising compared to how much cash they bring in.
</t>
        </r>
        <r>
          <rPr>
            <sz val="9"/>
            <color rgb="FF000000"/>
            <rFont val="Tahoma"/>
            <family val="2"/>
          </rPr>
          <t xml:space="preserve">
</t>
        </r>
        <r>
          <rPr>
            <sz val="9"/>
            <color rgb="FF000000"/>
            <rFont val="Tahoma"/>
            <family val="2"/>
          </rPr>
          <t xml:space="preserve">Some debt is actually healthy for a firm. No need to do z-score. Do manual scoring here.
</t>
        </r>
        <r>
          <rPr>
            <sz val="9"/>
            <color rgb="FF000000"/>
            <rFont val="Tahoma"/>
            <family val="2"/>
          </rPr>
          <t xml:space="preserve">
</t>
        </r>
        <r>
          <rPr>
            <sz val="9"/>
            <color rgb="FF000000"/>
            <rFont val="Tahoma"/>
            <family val="2"/>
          </rPr>
          <t xml:space="preserve">If this is &lt;25%, give a score of 5.
</t>
        </r>
        <r>
          <rPr>
            <sz val="9"/>
            <color rgb="FF000000"/>
            <rFont val="Tahoma"/>
            <family val="2"/>
          </rPr>
          <t xml:space="preserve">Between 25-30%, ~4.75.
</t>
        </r>
        <r>
          <rPr>
            <sz val="9"/>
            <color rgb="FF000000"/>
            <rFont val="Tahoma"/>
            <family val="2"/>
          </rPr>
          <t xml:space="preserve">Between 30-35%, ~4.4.
</t>
        </r>
        <r>
          <rPr>
            <sz val="9"/>
            <color rgb="FF000000"/>
            <rFont val="Tahoma"/>
            <family val="2"/>
          </rPr>
          <t xml:space="preserve">Between 35-40%, ~3.9.
</t>
        </r>
        <r>
          <rPr>
            <sz val="9"/>
            <color rgb="FF000000"/>
            <rFont val="Tahoma"/>
            <family val="2"/>
          </rPr>
          <t xml:space="preserve">Between 40-45%, ~3.2.
</t>
        </r>
        <r>
          <rPr>
            <sz val="9"/>
            <color rgb="FF000000"/>
            <rFont val="Tahoma"/>
            <family val="2"/>
          </rPr>
          <t xml:space="preserve">Between 45-50%, ~2.4.
</t>
        </r>
        <r>
          <rPr>
            <sz val="9"/>
            <color rgb="FF000000"/>
            <rFont val="Tahoma"/>
            <family val="2"/>
          </rPr>
          <t xml:space="preserve">If it is &gt;100%, give a score of 1. 
</t>
        </r>
        <r>
          <rPr>
            <sz val="9"/>
            <color rgb="FF000000"/>
            <rFont val="Tahoma"/>
            <family val="2"/>
          </rPr>
          <t xml:space="preserve">
</t>
        </r>
        <r>
          <rPr>
            <sz val="9"/>
            <color rgb="FF000000"/>
            <rFont val="Tahoma"/>
            <family val="2"/>
          </rPr>
          <t>Use discretion in assigning scores.</t>
        </r>
      </text>
    </comment>
    <comment ref="V3851" authorId="0" shapeId="0" xr:uid="{7FF5A6E4-9393-4EAB-81E5-31B907509E19}">
      <text>
        <r>
          <rPr>
            <b/>
            <sz val="9"/>
            <color rgb="FF000000"/>
            <rFont val="Tahoma"/>
            <family val="2"/>
          </rPr>
          <t>Brian Du:</t>
        </r>
        <r>
          <rPr>
            <sz val="9"/>
            <color rgb="FF000000"/>
            <rFont val="Tahoma"/>
            <family val="2"/>
          </rPr>
          <t xml:space="preserve">
</t>
        </r>
        <r>
          <rPr>
            <sz val="9"/>
            <color rgb="FF000000"/>
            <rFont val="Tahoma"/>
            <family val="2"/>
          </rPr>
          <t xml:space="preserve">This measure is the ratio of debt to free cash flow. It looks at how much debt they are raising compared to how much cash they bring in.
</t>
        </r>
        <r>
          <rPr>
            <sz val="9"/>
            <color rgb="FF000000"/>
            <rFont val="Tahoma"/>
            <family val="2"/>
          </rPr>
          <t xml:space="preserve">
</t>
        </r>
        <r>
          <rPr>
            <sz val="9"/>
            <color rgb="FF000000"/>
            <rFont val="Tahoma"/>
            <family val="2"/>
          </rPr>
          <t xml:space="preserve">Some debt is actually healthy for a firm. No need to do z-score. Do manual scoring here.
</t>
        </r>
        <r>
          <rPr>
            <sz val="9"/>
            <color rgb="FF000000"/>
            <rFont val="Tahoma"/>
            <family val="2"/>
          </rPr>
          <t xml:space="preserve">
</t>
        </r>
        <r>
          <rPr>
            <sz val="9"/>
            <color rgb="FF000000"/>
            <rFont val="Tahoma"/>
            <family val="2"/>
          </rPr>
          <t xml:space="preserve">If this is &lt;25%, give a score of 5.
</t>
        </r>
        <r>
          <rPr>
            <sz val="9"/>
            <color rgb="FF000000"/>
            <rFont val="Tahoma"/>
            <family val="2"/>
          </rPr>
          <t xml:space="preserve">Between 25-30%, ~4.75.
</t>
        </r>
        <r>
          <rPr>
            <sz val="9"/>
            <color rgb="FF000000"/>
            <rFont val="Tahoma"/>
            <family val="2"/>
          </rPr>
          <t xml:space="preserve">Between 30-35%, ~4.4.
</t>
        </r>
        <r>
          <rPr>
            <sz val="9"/>
            <color rgb="FF000000"/>
            <rFont val="Tahoma"/>
            <family val="2"/>
          </rPr>
          <t xml:space="preserve">Between 35-40%, ~3.9.
</t>
        </r>
        <r>
          <rPr>
            <sz val="9"/>
            <color rgb="FF000000"/>
            <rFont val="Tahoma"/>
            <family val="2"/>
          </rPr>
          <t xml:space="preserve">Between 40-45%, ~3.2.
</t>
        </r>
        <r>
          <rPr>
            <sz val="9"/>
            <color rgb="FF000000"/>
            <rFont val="Tahoma"/>
            <family val="2"/>
          </rPr>
          <t xml:space="preserve">Between 45-50%, ~2.4.
</t>
        </r>
        <r>
          <rPr>
            <sz val="9"/>
            <color rgb="FF000000"/>
            <rFont val="Tahoma"/>
            <family val="2"/>
          </rPr>
          <t xml:space="preserve">If it is &gt;100%, give a score of 1. 
</t>
        </r>
        <r>
          <rPr>
            <sz val="9"/>
            <color rgb="FF000000"/>
            <rFont val="Tahoma"/>
            <family val="2"/>
          </rPr>
          <t xml:space="preserve">
</t>
        </r>
        <r>
          <rPr>
            <sz val="9"/>
            <color rgb="FF000000"/>
            <rFont val="Tahoma"/>
            <family val="2"/>
          </rPr>
          <t>Use discretion in assigning scores.</t>
        </r>
      </text>
    </comment>
    <comment ref="Z3851" authorId="0" shapeId="0" xr:uid="{B9360782-825B-4368-9E96-1FA91E96640C}">
      <text>
        <r>
          <rPr>
            <b/>
            <sz val="9"/>
            <color rgb="FF000000"/>
            <rFont val="Tahoma"/>
            <family val="2"/>
          </rPr>
          <t>Brian Du:</t>
        </r>
        <r>
          <rPr>
            <sz val="9"/>
            <color rgb="FF000000"/>
            <rFont val="Tahoma"/>
            <family val="2"/>
          </rPr>
          <t xml:space="preserve">
</t>
        </r>
        <r>
          <rPr>
            <sz val="9"/>
            <color rgb="FF000000"/>
            <rFont val="Tahoma"/>
            <family val="2"/>
          </rPr>
          <t xml:space="preserve">This measure is the ratio of debt to free cash flow. It looks at how much debt they are raising compared to how much cash they bring in.
</t>
        </r>
        <r>
          <rPr>
            <sz val="9"/>
            <color rgb="FF000000"/>
            <rFont val="Tahoma"/>
            <family val="2"/>
          </rPr>
          <t xml:space="preserve">
</t>
        </r>
        <r>
          <rPr>
            <sz val="9"/>
            <color rgb="FF000000"/>
            <rFont val="Tahoma"/>
            <family val="2"/>
          </rPr>
          <t xml:space="preserve">Some debt is actually healthy for a firm. No need to do z-score. Do manual scoring here.
</t>
        </r>
        <r>
          <rPr>
            <sz val="9"/>
            <color rgb="FF000000"/>
            <rFont val="Tahoma"/>
            <family val="2"/>
          </rPr>
          <t xml:space="preserve">
</t>
        </r>
        <r>
          <rPr>
            <sz val="9"/>
            <color rgb="FF000000"/>
            <rFont val="Tahoma"/>
            <family val="2"/>
          </rPr>
          <t xml:space="preserve">If this is &lt;25%, give a score of 5.
</t>
        </r>
        <r>
          <rPr>
            <sz val="9"/>
            <color rgb="FF000000"/>
            <rFont val="Tahoma"/>
            <family val="2"/>
          </rPr>
          <t xml:space="preserve">Between 25-30%, ~4.75.
</t>
        </r>
        <r>
          <rPr>
            <sz val="9"/>
            <color rgb="FF000000"/>
            <rFont val="Tahoma"/>
            <family val="2"/>
          </rPr>
          <t xml:space="preserve">Between 30-35%, ~4.4.
</t>
        </r>
        <r>
          <rPr>
            <sz val="9"/>
            <color rgb="FF000000"/>
            <rFont val="Tahoma"/>
            <family val="2"/>
          </rPr>
          <t xml:space="preserve">Between 35-40%, ~3.9.
</t>
        </r>
        <r>
          <rPr>
            <sz val="9"/>
            <color rgb="FF000000"/>
            <rFont val="Tahoma"/>
            <family val="2"/>
          </rPr>
          <t xml:space="preserve">Between 40-45%, ~3.2.
</t>
        </r>
        <r>
          <rPr>
            <sz val="9"/>
            <color rgb="FF000000"/>
            <rFont val="Tahoma"/>
            <family val="2"/>
          </rPr>
          <t xml:space="preserve">Between 45-50%, ~2.4.
</t>
        </r>
        <r>
          <rPr>
            <sz val="9"/>
            <color rgb="FF000000"/>
            <rFont val="Tahoma"/>
            <family val="2"/>
          </rPr>
          <t xml:space="preserve">If it is &gt;100%, give a score of 1. 
</t>
        </r>
        <r>
          <rPr>
            <sz val="9"/>
            <color rgb="FF000000"/>
            <rFont val="Tahoma"/>
            <family val="2"/>
          </rPr>
          <t xml:space="preserve">
</t>
        </r>
        <r>
          <rPr>
            <sz val="9"/>
            <color rgb="FF000000"/>
            <rFont val="Tahoma"/>
            <family val="2"/>
          </rPr>
          <t>Use discretion in assigning scores.</t>
        </r>
      </text>
    </comment>
    <comment ref="R3852" authorId="0" shapeId="0" xr:uid="{D7D6CB88-ED7D-436E-B30E-5B242A575DC4}">
      <text>
        <r>
          <rPr>
            <b/>
            <sz val="9"/>
            <color rgb="FF000000"/>
            <rFont val="Tahoma"/>
            <family val="2"/>
          </rPr>
          <t>Brian Du:</t>
        </r>
        <r>
          <rPr>
            <sz val="9"/>
            <color rgb="FF000000"/>
            <rFont val="Tahoma"/>
            <family val="2"/>
          </rPr>
          <t xml:space="preserve">
</t>
        </r>
        <r>
          <rPr>
            <sz val="9"/>
            <color rgb="FF000000"/>
            <rFont val="Tahoma"/>
            <family val="2"/>
          </rPr>
          <t xml:space="preserve">This measure is the ratio of enterprise value (EV) to EBITDA. EV is the total value of a firm including equity, debt, and cash. EBITDA is the profitability.
</t>
        </r>
        <r>
          <rPr>
            <sz val="9"/>
            <color rgb="FF000000"/>
            <rFont val="Tahoma"/>
            <family val="2"/>
          </rPr>
          <t xml:space="preserve">
</t>
        </r>
        <r>
          <rPr>
            <sz val="9"/>
            <color rgb="FF000000"/>
            <rFont val="Tahoma"/>
            <family val="2"/>
          </rPr>
          <t xml:space="preserve">We want a low EV because it means the firm is cheap for us to invest. We want a high EBITDA.
</t>
        </r>
        <r>
          <rPr>
            <sz val="9"/>
            <color rgb="FF000000"/>
            <rFont val="Tahoma"/>
            <family val="2"/>
          </rPr>
          <t xml:space="preserve">
</t>
        </r>
        <r>
          <rPr>
            <sz val="9"/>
            <color rgb="FF000000"/>
            <rFont val="Tahoma"/>
            <family val="2"/>
          </rPr>
          <t>We want a low ratio but not negative.</t>
        </r>
      </text>
    </comment>
    <comment ref="V3852" authorId="0" shapeId="0" xr:uid="{2D355075-08E5-41E1-8843-F3DDC098B261}">
      <text>
        <r>
          <rPr>
            <b/>
            <sz val="9"/>
            <color rgb="FF000000"/>
            <rFont val="Tahoma"/>
            <family val="2"/>
          </rPr>
          <t>Brian Du:</t>
        </r>
        <r>
          <rPr>
            <sz val="9"/>
            <color rgb="FF000000"/>
            <rFont val="Tahoma"/>
            <family val="2"/>
          </rPr>
          <t xml:space="preserve">
</t>
        </r>
        <r>
          <rPr>
            <sz val="9"/>
            <color rgb="FF000000"/>
            <rFont val="Tahoma"/>
            <family val="2"/>
          </rPr>
          <t xml:space="preserve">This measure compares the stock price to revenue. It also considers consistency in revenue growth rates.
</t>
        </r>
        <r>
          <rPr>
            <sz val="9"/>
            <color rgb="FF000000"/>
            <rFont val="Tahoma"/>
            <family val="2"/>
          </rPr>
          <t xml:space="preserve">
</t>
        </r>
        <r>
          <rPr>
            <sz val="9"/>
            <color rgb="FF000000"/>
            <rFont val="Tahoma"/>
            <family val="2"/>
          </rPr>
          <t xml:space="preserve">We want stock price to be low because it is cheap for us to invest. We want revenue to be high and consistency.
</t>
        </r>
        <r>
          <rPr>
            <sz val="9"/>
            <color rgb="FF000000"/>
            <rFont val="Tahoma"/>
            <family val="2"/>
          </rPr>
          <t xml:space="preserve">
</t>
        </r>
        <r>
          <rPr>
            <sz val="9"/>
            <color rgb="FF000000"/>
            <rFont val="Tahoma"/>
            <family val="2"/>
          </rPr>
          <t>We want this measure to be low.</t>
        </r>
      </text>
    </comment>
    <comment ref="Z3852" authorId="0" shapeId="0" xr:uid="{0E9C83CE-53FC-4F48-97C4-55964EBD6C15}">
      <text>
        <r>
          <rPr>
            <b/>
            <sz val="9"/>
            <color rgb="FF000000"/>
            <rFont val="Tahoma"/>
            <family val="2"/>
          </rPr>
          <t>Brian Du:</t>
        </r>
        <r>
          <rPr>
            <sz val="9"/>
            <color rgb="FF000000"/>
            <rFont val="Tahoma"/>
            <family val="2"/>
          </rPr>
          <t xml:space="preserve">
</t>
        </r>
        <r>
          <rPr>
            <sz val="9"/>
            <color rgb="FF000000"/>
            <rFont val="Tahoma"/>
            <family val="2"/>
          </rPr>
          <t xml:space="preserve">This measure compares the stock price to revenue. It also considers consistency in revenue growth rates.
</t>
        </r>
        <r>
          <rPr>
            <sz val="9"/>
            <color rgb="FF000000"/>
            <rFont val="Tahoma"/>
            <family val="2"/>
          </rPr>
          <t xml:space="preserve">
</t>
        </r>
        <r>
          <rPr>
            <sz val="9"/>
            <color rgb="FF000000"/>
            <rFont val="Tahoma"/>
            <family val="2"/>
          </rPr>
          <t xml:space="preserve">We want stock price to be low because it is cheap for us to invest. We want revenue to be high and consistency.
</t>
        </r>
        <r>
          <rPr>
            <sz val="9"/>
            <color rgb="FF000000"/>
            <rFont val="Tahoma"/>
            <family val="2"/>
          </rPr>
          <t xml:space="preserve">
</t>
        </r>
        <r>
          <rPr>
            <sz val="9"/>
            <color rgb="FF000000"/>
            <rFont val="Tahoma"/>
            <family val="2"/>
          </rPr>
          <t>We want this measure to be low.</t>
        </r>
      </text>
    </comment>
    <comment ref="Q3853" authorId="1" shapeId="0" xr:uid="{C6F486B0-536B-49B3-AAB6-635427C97BD4}">
      <text>
        <r>
          <rPr>
            <b/>
            <sz val="9"/>
            <color indexed="81"/>
            <rFont val="Tahoma"/>
            <family val="2"/>
          </rPr>
          <t>brian du:</t>
        </r>
        <r>
          <rPr>
            <sz val="9"/>
            <color indexed="81"/>
            <rFont val="Tahoma"/>
            <family val="2"/>
          </rPr>
          <t xml:space="preserve">
Subjective factor.
Look for </t>
        </r>
        <r>
          <rPr>
            <u/>
            <sz val="9"/>
            <color indexed="81"/>
            <rFont val="Tahoma"/>
            <family val="2"/>
          </rPr>
          <t>consistency</t>
        </r>
        <r>
          <rPr>
            <sz val="9"/>
            <color indexed="81"/>
            <rFont val="Tahoma"/>
            <family val="2"/>
          </rPr>
          <t xml:space="preserve"> in all growth rates, especially revenue.</t>
        </r>
      </text>
    </comment>
    <comment ref="R3859" authorId="0" shapeId="0" xr:uid="{1A43A897-A856-41F6-9ACB-A13B0E534AAA}">
      <text>
        <r>
          <rPr>
            <b/>
            <sz val="9"/>
            <color rgb="FF000000"/>
            <rFont val="Tahoma"/>
            <family val="2"/>
          </rPr>
          <t>Brian Du:</t>
        </r>
        <r>
          <rPr>
            <sz val="9"/>
            <color rgb="FF000000"/>
            <rFont val="Tahoma"/>
            <family val="2"/>
          </rPr>
          <t xml:space="preserve">
</t>
        </r>
        <r>
          <rPr>
            <sz val="9"/>
            <color rgb="FF000000"/>
            <rFont val="Tahoma"/>
            <family val="2"/>
          </rPr>
          <t xml:space="preserve">This ratio compares the stock price (P) to the firm's free cash flow to equity (FCFE). We want a low stock price because it is cheap for us to invest. We want high FCFE because the firm is more profitable.
</t>
        </r>
        <r>
          <rPr>
            <sz val="9"/>
            <color rgb="FF000000"/>
            <rFont val="Tahoma"/>
            <family val="2"/>
          </rPr>
          <t xml:space="preserve">
</t>
        </r>
        <r>
          <rPr>
            <sz val="9"/>
            <color rgb="FF000000"/>
            <rFont val="Tahoma"/>
            <family val="2"/>
          </rPr>
          <t>We want this ratio to be as LOW as possible, but not negative. Negative means negative FCFE. Give a 1 for negative.</t>
        </r>
      </text>
    </comment>
    <comment ref="V3859" authorId="0" shapeId="0" xr:uid="{1C30FCE1-4CC2-4605-80BB-933BBBAD1C08}">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Z3859" authorId="0" shapeId="0" xr:uid="{1F63E07A-5AB7-4FE4-A425-14537E0D69F0}">
      <text>
        <r>
          <rPr>
            <b/>
            <sz val="9"/>
            <color indexed="81"/>
            <rFont val="Tahoma"/>
            <family val="2"/>
          </rPr>
          <t>Brian Du:</t>
        </r>
        <r>
          <rPr>
            <sz val="9"/>
            <color indexed="81"/>
            <rFont val="Tahoma"/>
            <family val="2"/>
          </rPr>
          <t xml:space="preserve">
This ratio compares the stock price (P) to the firm's free cash flow to equity (FCFE). We want a low stock price because it is cheap for us to invest. We want high FCFE because the firm is more profitable.
We want this ratio to be as LOW as possible, but not negative. Negative means negative FCFE. Give a 1 for negative.</t>
        </r>
      </text>
    </comment>
    <comment ref="R3860" authorId="0" shapeId="0" xr:uid="{66BF2DBA-CB8C-44D9-8466-D70A852B375F}">
      <text>
        <r>
          <rPr>
            <b/>
            <sz val="9"/>
            <color rgb="FF000000"/>
            <rFont val="Tahoma"/>
            <family val="2"/>
          </rPr>
          <t>Brian Du:</t>
        </r>
        <r>
          <rPr>
            <sz val="9"/>
            <color rgb="FF000000"/>
            <rFont val="Tahoma"/>
            <family val="2"/>
          </rPr>
          <t xml:space="preserve">
</t>
        </r>
        <r>
          <rPr>
            <sz val="9"/>
            <color rgb="FF000000"/>
            <rFont val="Tahoma"/>
            <family val="2"/>
          </rPr>
          <t>Market cap: we want this to be as high as possible. Larger firms are more diversified, more stable, benefit from economies of scale, watched closly by market participants, etc.</t>
        </r>
      </text>
    </comment>
    <comment ref="V3860" authorId="0" shapeId="0" xr:uid="{6DC322D7-6BDE-4520-857A-4B18B700E8F8}">
      <text>
        <r>
          <rPr>
            <b/>
            <sz val="9"/>
            <color rgb="FF000000"/>
            <rFont val="Tahoma"/>
            <family val="2"/>
          </rPr>
          <t>Brian Du:</t>
        </r>
        <r>
          <rPr>
            <sz val="9"/>
            <color rgb="FF000000"/>
            <rFont val="Tahoma"/>
            <family val="2"/>
          </rPr>
          <t xml:space="preserve">
</t>
        </r>
        <r>
          <rPr>
            <sz val="9"/>
            <color rgb="FF000000"/>
            <rFont val="Tahoma"/>
            <family val="2"/>
          </rPr>
          <t>Market cap: we want this to be as high as possible. Larger firms are more diversified, more stable, benefit from economies of scale, watched closly by market participants, etc.</t>
        </r>
      </text>
    </comment>
    <comment ref="Z3860" authorId="0" shapeId="0" xr:uid="{D5E400D8-0997-42B9-AB4D-D0BFE60B7081}">
      <text>
        <r>
          <rPr>
            <b/>
            <sz val="9"/>
            <color rgb="FF000000"/>
            <rFont val="Tahoma"/>
            <family val="2"/>
          </rPr>
          <t>Brian Du:</t>
        </r>
        <r>
          <rPr>
            <sz val="9"/>
            <color rgb="FF000000"/>
            <rFont val="Tahoma"/>
            <family val="2"/>
          </rPr>
          <t xml:space="preserve">
</t>
        </r>
        <r>
          <rPr>
            <sz val="9"/>
            <color rgb="FF000000"/>
            <rFont val="Tahoma"/>
            <family val="2"/>
          </rPr>
          <t>Market cap: we want this to be as high as possible. Larger firms are more diversified, more stable, benefit from economies of scale, watched closly by market participants, etc.</t>
        </r>
      </text>
    </comment>
    <comment ref="R3861" authorId="0" shapeId="0" xr:uid="{66F3C695-DEE3-4CB0-9AA6-49309CCD5AC9}">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V3861" authorId="0" shapeId="0" xr:uid="{B6AB3F2F-2E51-4DD0-8CAC-AF3FF225F710}">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Z3861" authorId="0" shapeId="0" xr:uid="{852FDBBB-87F2-4900-8037-012F56CF4BC3}">
      <text>
        <r>
          <rPr>
            <b/>
            <sz val="9"/>
            <color indexed="81"/>
            <rFont val="Tahoma"/>
            <family val="2"/>
          </rPr>
          <t>Brian Du:</t>
        </r>
        <r>
          <rPr>
            <sz val="9"/>
            <color indexed="81"/>
            <rFont val="Tahoma"/>
            <family val="2"/>
          </rPr>
          <t xml:space="preserve">
This measure is a ratio of the stock price to a firm's dividends and dividend growth rate. Firms that are more financially stable can afford to pay lots of dividends because they are able to generate enough earnings.
We want the number here to be as low as possible.</t>
        </r>
      </text>
    </comment>
    <comment ref="R3862" authorId="0" shapeId="0" xr:uid="{A9B92755-AAD6-4CD2-9F36-9670B1ACB7C5}">
      <text>
        <r>
          <rPr>
            <b/>
            <sz val="9"/>
            <color rgb="FF000000"/>
            <rFont val="Tahoma"/>
            <family val="2"/>
          </rPr>
          <t>Brian Du:</t>
        </r>
        <r>
          <rPr>
            <sz val="9"/>
            <color rgb="FF000000"/>
            <rFont val="Tahoma"/>
            <family val="2"/>
          </rPr>
          <t xml:space="preserve">
</t>
        </r>
        <r>
          <rPr>
            <sz val="9"/>
            <color rgb="FF000000"/>
            <rFont val="Tahoma"/>
            <family val="2"/>
          </rPr>
          <t xml:space="preserve">This measure looks at the change in the number of shares outstanding in a firm. Firms that buyback shares will have lower shares outstanding and firms that issue more shares will have higher shares outstanding.
</t>
        </r>
        <r>
          <rPr>
            <sz val="9"/>
            <color rgb="FF000000"/>
            <rFont val="Tahoma"/>
            <family val="2"/>
          </rPr>
          <t xml:space="preserve">
</t>
        </r>
        <r>
          <rPr>
            <sz val="9"/>
            <color rgb="FF000000"/>
            <rFont val="Tahoma"/>
            <family val="2"/>
          </rPr>
          <t xml:space="preserve">Stock repurchases are another way to return money to shareholders because it makes the shares more valuable. We want shares outstanding to be decreasing over time. 
</t>
        </r>
        <r>
          <rPr>
            <sz val="9"/>
            <color rgb="FF000000"/>
            <rFont val="Tahoma"/>
            <family val="2"/>
          </rPr>
          <t xml:space="preserve">
</t>
        </r>
        <r>
          <rPr>
            <sz val="9"/>
            <color rgb="FF000000"/>
            <rFont val="Tahoma"/>
            <family val="2"/>
          </rPr>
          <t xml:space="preserve">
</t>
        </r>
        <r>
          <rPr>
            <sz val="9"/>
            <color rgb="FF000000"/>
            <rFont val="Tahoma"/>
            <family val="2"/>
          </rPr>
          <t>The more negative, the better.</t>
        </r>
      </text>
    </comment>
    <comment ref="V3862" authorId="0" shapeId="0" xr:uid="{E5363672-7AAD-4CCA-908D-E84225F8771A}">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Z3862" authorId="0" shapeId="0" xr:uid="{5C9C1CA4-3208-4F45-A2EF-DF4AFB03049B}">
      <text>
        <r>
          <rPr>
            <b/>
            <sz val="9"/>
            <color indexed="81"/>
            <rFont val="Tahoma"/>
            <family val="2"/>
          </rPr>
          <t>Brian Du:</t>
        </r>
        <r>
          <rPr>
            <sz val="9"/>
            <color indexed="81"/>
            <rFont val="Tahoma"/>
            <family val="2"/>
          </rPr>
          <t xml:space="preserve">
This measure looks at the change in the number of shares outstanding in a firm. Firms that buyback shares will have lower shares outstanding and firms that issue more shares will have higher shares outstanding.
Stock repurchases are another way to return money to shareholders because it makes the shares more valuable. We want shares outstanding to be decreasing over time. 
The more negative, the better.</t>
        </r>
      </text>
    </comment>
    <comment ref="R3863" authorId="1" shapeId="0" xr:uid="{C977B5E5-FC98-4E3B-A126-E6779E950D0E}">
      <text>
        <r>
          <rPr>
            <b/>
            <sz val="9"/>
            <color rgb="FF000000"/>
            <rFont val="Tahoma"/>
            <family val="2"/>
          </rPr>
          <t>brian du:</t>
        </r>
        <r>
          <rPr>
            <sz val="9"/>
            <color rgb="FF000000"/>
            <rFont val="Tahoma"/>
            <family val="2"/>
          </rPr>
          <t xml:space="preserve">
</t>
        </r>
        <r>
          <rPr>
            <sz val="9"/>
            <color rgb="FF000000"/>
            <rFont val="Tahoma"/>
            <family val="2"/>
          </rPr>
          <t xml:space="preserve">This measure looks at the ratio of earnings to revenue. It looks at how efficiently a firm is able to convert revenue into earnings.
</t>
        </r>
        <r>
          <rPr>
            <sz val="9"/>
            <color rgb="FF000000"/>
            <rFont val="Tahoma"/>
            <family val="2"/>
          </rPr>
          <t xml:space="preserve">
</t>
        </r>
        <r>
          <rPr>
            <sz val="9"/>
            <color rgb="FF000000"/>
            <rFont val="Tahoma"/>
            <family val="2"/>
          </rPr>
          <t xml:space="preserve">We want this to be as high as possible. A negative value here means earnings is negative. Give a 1 to firms that have a negative ratio.
</t>
        </r>
      </text>
    </comment>
    <comment ref="V3863" authorId="1" shapeId="0" xr:uid="{99124999-0299-433B-96ED-179AFB674BA4}">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Z3863" authorId="1" shapeId="0" xr:uid="{4D33BCF3-8600-4CA6-9AAF-49AFED2DAD1B}">
      <text>
        <r>
          <rPr>
            <b/>
            <sz val="9"/>
            <color indexed="81"/>
            <rFont val="Tahoma"/>
            <family val="2"/>
          </rPr>
          <t>brian du:</t>
        </r>
        <r>
          <rPr>
            <sz val="9"/>
            <color indexed="81"/>
            <rFont val="Tahoma"/>
            <family val="2"/>
          </rPr>
          <t xml:space="preserve">
This measure looks at the ratio of earnings to revenue. It looks at how efficiently a firm is able to convert revenue into earnings.
We want this to be as high as possible. A negative value here means earnings is negative. Give a 1 to firms that have a negative ratio.
</t>
        </r>
      </text>
    </comment>
    <comment ref="R3864" authorId="1" shapeId="0" xr:uid="{D7E7B6F1-01EB-4BAE-958E-54B156CCC5CE}">
      <text>
        <r>
          <rPr>
            <b/>
            <sz val="9"/>
            <color rgb="FF000000"/>
            <rFont val="Tahoma"/>
            <family val="2"/>
          </rPr>
          <t>brian du:</t>
        </r>
        <r>
          <rPr>
            <sz val="9"/>
            <color rgb="FF000000"/>
            <rFont val="Tahoma"/>
            <family val="2"/>
          </rPr>
          <t xml:space="preserve">
</t>
        </r>
        <r>
          <rPr>
            <sz val="9"/>
            <color rgb="FF000000"/>
            <rFont val="Tahoma"/>
            <family val="2"/>
          </rPr>
          <t xml:space="preserve">This measure looks at the ratio of free cash flow to total assets. It also considers the consistency of free cash flow.
</t>
        </r>
        <r>
          <rPr>
            <sz val="9"/>
            <color rgb="FF000000"/>
            <rFont val="Tahoma"/>
            <family val="2"/>
          </rPr>
          <t xml:space="preserve">
</t>
        </r>
        <r>
          <rPr>
            <sz val="9"/>
            <color rgb="FF000000"/>
            <rFont val="Tahoma"/>
            <family val="2"/>
          </rPr>
          <t xml:space="preserve">This ratio measures how efficiently the firm converts it's assets into cash.
</t>
        </r>
        <r>
          <rPr>
            <sz val="9"/>
            <color rgb="FF000000"/>
            <rFont val="Tahoma"/>
            <family val="2"/>
          </rPr>
          <t xml:space="preserve">
</t>
        </r>
        <r>
          <rPr>
            <sz val="9"/>
            <color rgb="FF000000"/>
            <rFont val="Tahoma"/>
            <family val="2"/>
          </rPr>
          <t>We want this as high as possible. A negative ratio here means negative FCF. Give a 1 for negative ROA.</t>
        </r>
      </text>
    </comment>
    <comment ref="V3864" authorId="1" shapeId="0" xr:uid="{E07D2A06-1074-4FCE-A500-E83E99034225}">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Z3864" authorId="1" shapeId="0" xr:uid="{3D5FAF45-71CC-43CB-9A78-C13BB699E08C}">
      <text>
        <r>
          <rPr>
            <b/>
            <sz val="9"/>
            <color indexed="81"/>
            <rFont val="Tahoma"/>
            <family val="2"/>
          </rPr>
          <t>brian du:</t>
        </r>
        <r>
          <rPr>
            <sz val="9"/>
            <color indexed="81"/>
            <rFont val="Tahoma"/>
            <family val="2"/>
          </rPr>
          <t xml:space="preserve">
This measure looks at the ratio of free cash flow to total assets. It also considers the consistency of free cash flow.
This ratio measures how efficiently the firm converts it's assets into cash.
We want this as high as possible. A negative ratio here means negative FCF. Give a 1 for negative ROA.</t>
        </r>
      </text>
    </comment>
    <comment ref="R3865" authorId="1" shapeId="0" xr:uid="{FEAF18D3-A56A-4415-AC9B-118D32746E78}">
      <text>
        <r>
          <rPr>
            <b/>
            <sz val="9"/>
            <color rgb="FF000000"/>
            <rFont val="Tahoma"/>
            <family val="2"/>
          </rPr>
          <t>brian du:</t>
        </r>
        <r>
          <rPr>
            <sz val="9"/>
            <color rgb="FF000000"/>
            <rFont val="Tahoma"/>
            <family val="2"/>
          </rPr>
          <t xml:space="preserve">
</t>
        </r>
        <r>
          <rPr>
            <sz val="9"/>
            <color rgb="FF000000"/>
            <rFont val="Tahoma"/>
            <family val="2"/>
          </rPr>
          <t xml:space="preserve">This measure looks at the slope of the 10-year ordinary least square (OLS) EBITDA margin % trendline. A positive slope means the margin %'s are increasing. A higher positive slope means the trendline is increasing faster.
</t>
        </r>
        <r>
          <rPr>
            <sz val="9"/>
            <color rgb="FF000000"/>
            <rFont val="Tahoma"/>
            <family val="2"/>
          </rPr>
          <t xml:space="preserve">
</t>
        </r>
        <r>
          <rPr>
            <sz val="9"/>
            <color rgb="FF000000"/>
            <rFont val="Tahoma"/>
            <family val="2"/>
          </rPr>
          <t>We want a larger value here. A negative number is not good but in the analysis include values that are close to zero. Give the more negative values a score of 1.</t>
        </r>
      </text>
    </comment>
    <comment ref="V3865" authorId="1" shapeId="0" xr:uid="{9777ACA0-7767-463F-991C-6B95D2EECC3B}">
      <text>
        <r>
          <rPr>
            <b/>
            <sz val="9"/>
            <color rgb="FF000000"/>
            <rFont val="Tahoma"/>
            <family val="2"/>
          </rPr>
          <t>brian du:</t>
        </r>
        <r>
          <rPr>
            <sz val="9"/>
            <color rgb="FF000000"/>
            <rFont val="Tahoma"/>
            <family val="2"/>
          </rPr>
          <t xml:space="preserve">
</t>
        </r>
        <r>
          <rPr>
            <sz val="9"/>
            <color rgb="FF000000"/>
            <rFont val="Tahoma"/>
            <family val="2"/>
          </rPr>
          <t xml:space="preserve">This measure looks at the slope of the 10-year ordinary least square (OLS) EBITDA margin % trendline. A positive slope means the margin %'s are increasing. A higher positive slope means the trendline is increasing faster.
</t>
        </r>
        <r>
          <rPr>
            <sz val="9"/>
            <color rgb="FF000000"/>
            <rFont val="Tahoma"/>
            <family val="2"/>
          </rPr>
          <t xml:space="preserve">
</t>
        </r>
        <r>
          <rPr>
            <sz val="9"/>
            <color rgb="FF000000"/>
            <rFont val="Tahoma"/>
            <family val="2"/>
          </rPr>
          <t>We want a larger value here. A negative number is not good but in the analysis include values that are close to zero. Give the more negative values a score of 1.</t>
        </r>
      </text>
    </comment>
    <comment ref="Z3865" authorId="1" shapeId="0" xr:uid="{58BF37D7-3983-44B8-A527-F0669771EFAE}">
      <text>
        <r>
          <rPr>
            <b/>
            <sz val="9"/>
            <color indexed="81"/>
            <rFont val="Tahoma"/>
            <family val="2"/>
          </rPr>
          <t>brian du:</t>
        </r>
        <r>
          <rPr>
            <sz val="9"/>
            <color indexed="81"/>
            <rFont val="Tahoma"/>
            <family val="2"/>
          </rPr>
          <t xml:space="preserve">
This measure looks at the slope of the 10-year ordinary least square (OLS) EBITDA margin % trendline. A positive slope means the margin %'s are increasing. A higher positive slope means the trendline is increasing faster.
We want a larger value here. A negative number is not good but in the analysis include values that are close to zero. Give the more negative values a score of 1.</t>
        </r>
      </text>
    </comment>
    <comment ref="R3866" authorId="0" shapeId="0" xr:uid="{F6C87FAF-D548-4E8B-AFB3-64A322506DF8}">
      <text>
        <r>
          <rPr>
            <b/>
            <sz val="9"/>
            <color rgb="FF000000"/>
            <rFont val="Tahoma"/>
            <family val="2"/>
          </rPr>
          <t>Brian Du:</t>
        </r>
        <r>
          <rPr>
            <sz val="9"/>
            <color rgb="FF000000"/>
            <rFont val="Tahoma"/>
            <family val="2"/>
          </rPr>
          <t xml:space="preserve">
</t>
        </r>
        <r>
          <rPr>
            <sz val="9"/>
            <color rgb="FF000000"/>
            <rFont val="Tahoma"/>
            <family val="2"/>
          </rPr>
          <t xml:space="preserve">This measure is the ratio of debt to free cash flow. It looks at how much debt they are raising compared to how much cash they bring in.
</t>
        </r>
        <r>
          <rPr>
            <sz val="9"/>
            <color rgb="FF000000"/>
            <rFont val="Tahoma"/>
            <family val="2"/>
          </rPr>
          <t xml:space="preserve">
</t>
        </r>
        <r>
          <rPr>
            <sz val="9"/>
            <color rgb="FF000000"/>
            <rFont val="Tahoma"/>
            <family val="2"/>
          </rPr>
          <t xml:space="preserve">Some debt is actually healthy for a firm. No need to do z-score. Do manual scoring here.
</t>
        </r>
        <r>
          <rPr>
            <sz val="9"/>
            <color rgb="FF000000"/>
            <rFont val="Tahoma"/>
            <family val="2"/>
          </rPr>
          <t xml:space="preserve">
</t>
        </r>
        <r>
          <rPr>
            <sz val="9"/>
            <color rgb="FF000000"/>
            <rFont val="Tahoma"/>
            <family val="2"/>
          </rPr>
          <t xml:space="preserve">If this is &lt;25%, give a score of 5.
</t>
        </r>
        <r>
          <rPr>
            <sz val="9"/>
            <color rgb="FF000000"/>
            <rFont val="Tahoma"/>
            <family val="2"/>
          </rPr>
          <t xml:space="preserve">Between 25-30%, ~4.75.
</t>
        </r>
        <r>
          <rPr>
            <sz val="9"/>
            <color rgb="FF000000"/>
            <rFont val="Tahoma"/>
            <family val="2"/>
          </rPr>
          <t xml:space="preserve">Between 30-35%, ~4.4.
</t>
        </r>
        <r>
          <rPr>
            <sz val="9"/>
            <color rgb="FF000000"/>
            <rFont val="Tahoma"/>
            <family val="2"/>
          </rPr>
          <t xml:space="preserve">Between 35-40%, ~3.9.
</t>
        </r>
        <r>
          <rPr>
            <sz val="9"/>
            <color rgb="FF000000"/>
            <rFont val="Tahoma"/>
            <family val="2"/>
          </rPr>
          <t xml:space="preserve">Between 40-45%, ~3.2.
</t>
        </r>
        <r>
          <rPr>
            <sz val="9"/>
            <color rgb="FF000000"/>
            <rFont val="Tahoma"/>
            <family val="2"/>
          </rPr>
          <t xml:space="preserve">Between 45-50%, ~2.4.
</t>
        </r>
        <r>
          <rPr>
            <sz val="9"/>
            <color rgb="FF000000"/>
            <rFont val="Tahoma"/>
            <family val="2"/>
          </rPr>
          <t xml:space="preserve">If it is &gt;100%, give a score of 1. 
</t>
        </r>
        <r>
          <rPr>
            <sz val="9"/>
            <color rgb="FF000000"/>
            <rFont val="Tahoma"/>
            <family val="2"/>
          </rPr>
          <t xml:space="preserve">
</t>
        </r>
        <r>
          <rPr>
            <sz val="9"/>
            <color rgb="FF000000"/>
            <rFont val="Tahoma"/>
            <family val="2"/>
          </rPr>
          <t>Use discretion in assigning scores.</t>
        </r>
      </text>
    </comment>
    <comment ref="V3866" authorId="0" shapeId="0" xr:uid="{9DB8B2A6-73E8-4A68-B20D-1FF9ECECC779}">
      <text>
        <r>
          <rPr>
            <b/>
            <sz val="9"/>
            <color rgb="FF000000"/>
            <rFont val="Tahoma"/>
            <family val="2"/>
          </rPr>
          <t>Brian Du:</t>
        </r>
        <r>
          <rPr>
            <sz val="9"/>
            <color rgb="FF000000"/>
            <rFont val="Tahoma"/>
            <family val="2"/>
          </rPr>
          <t xml:space="preserve">
</t>
        </r>
        <r>
          <rPr>
            <sz val="9"/>
            <color rgb="FF000000"/>
            <rFont val="Tahoma"/>
            <family val="2"/>
          </rPr>
          <t xml:space="preserve">This measure is the ratio of debt to free cash flow. It looks at how much debt they are raising compared to how much cash they bring in.
</t>
        </r>
        <r>
          <rPr>
            <sz val="9"/>
            <color rgb="FF000000"/>
            <rFont val="Tahoma"/>
            <family val="2"/>
          </rPr>
          <t xml:space="preserve">
</t>
        </r>
        <r>
          <rPr>
            <sz val="9"/>
            <color rgb="FF000000"/>
            <rFont val="Tahoma"/>
            <family val="2"/>
          </rPr>
          <t xml:space="preserve">Some debt is actually healthy for a firm. No need to do z-score. Do manual scoring here.
</t>
        </r>
        <r>
          <rPr>
            <sz val="9"/>
            <color rgb="FF000000"/>
            <rFont val="Tahoma"/>
            <family val="2"/>
          </rPr>
          <t xml:space="preserve">
</t>
        </r>
        <r>
          <rPr>
            <sz val="9"/>
            <color rgb="FF000000"/>
            <rFont val="Tahoma"/>
            <family val="2"/>
          </rPr>
          <t xml:space="preserve">If this is &lt;25%, give a score of 5.
</t>
        </r>
        <r>
          <rPr>
            <sz val="9"/>
            <color rgb="FF000000"/>
            <rFont val="Tahoma"/>
            <family val="2"/>
          </rPr>
          <t xml:space="preserve">Between 25-30%, ~4.75.
</t>
        </r>
        <r>
          <rPr>
            <sz val="9"/>
            <color rgb="FF000000"/>
            <rFont val="Tahoma"/>
            <family val="2"/>
          </rPr>
          <t xml:space="preserve">Between 30-35%, ~4.4.
</t>
        </r>
        <r>
          <rPr>
            <sz val="9"/>
            <color rgb="FF000000"/>
            <rFont val="Tahoma"/>
            <family val="2"/>
          </rPr>
          <t xml:space="preserve">Between 35-40%, ~3.9.
</t>
        </r>
        <r>
          <rPr>
            <sz val="9"/>
            <color rgb="FF000000"/>
            <rFont val="Tahoma"/>
            <family val="2"/>
          </rPr>
          <t xml:space="preserve">Between 40-45%, ~3.2.
</t>
        </r>
        <r>
          <rPr>
            <sz val="9"/>
            <color rgb="FF000000"/>
            <rFont val="Tahoma"/>
            <family val="2"/>
          </rPr>
          <t xml:space="preserve">Between 45-50%, ~2.4.
</t>
        </r>
        <r>
          <rPr>
            <sz val="9"/>
            <color rgb="FF000000"/>
            <rFont val="Tahoma"/>
            <family val="2"/>
          </rPr>
          <t xml:space="preserve">If it is &gt;100%, give a score of 1. 
</t>
        </r>
        <r>
          <rPr>
            <sz val="9"/>
            <color rgb="FF000000"/>
            <rFont val="Tahoma"/>
            <family val="2"/>
          </rPr>
          <t xml:space="preserve">
</t>
        </r>
        <r>
          <rPr>
            <sz val="9"/>
            <color rgb="FF000000"/>
            <rFont val="Tahoma"/>
            <family val="2"/>
          </rPr>
          <t>Use discretion in assigning scores.</t>
        </r>
      </text>
    </comment>
    <comment ref="Z3866" authorId="0" shapeId="0" xr:uid="{9E3C73A7-7FCB-414C-B7B3-657A663DE723}">
      <text>
        <r>
          <rPr>
            <b/>
            <sz val="9"/>
            <color rgb="FF000000"/>
            <rFont val="Tahoma"/>
            <family val="2"/>
          </rPr>
          <t>Brian Du:</t>
        </r>
        <r>
          <rPr>
            <sz val="9"/>
            <color rgb="FF000000"/>
            <rFont val="Tahoma"/>
            <family val="2"/>
          </rPr>
          <t xml:space="preserve">
</t>
        </r>
        <r>
          <rPr>
            <sz val="9"/>
            <color rgb="FF000000"/>
            <rFont val="Tahoma"/>
            <family val="2"/>
          </rPr>
          <t xml:space="preserve">This measure is the ratio of debt to free cash flow. It looks at how much debt they are raising compared to how much cash they bring in.
</t>
        </r>
        <r>
          <rPr>
            <sz val="9"/>
            <color rgb="FF000000"/>
            <rFont val="Tahoma"/>
            <family val="2"/>
          </rPr>
          <t xml:space="preserve">
</t>
        </r>
        <r>
          <rPr>
            <sz val="9"/>
            <color rgb="FF000000"/>
            <rFont val="Tahoma"/>
            <family val="2"/>
          </rPr>
          <t xml:space="preserve">Some debt is actually healthy for a firm. No need to do z-score. Do manual scoring here.
</t>
        </r>
        <r>
          <rPr>
            <sz val="9"/>
            <color rgb="FF000000"/>
            <rFont val="Tahoma"/>
            <family val="2"/>
          </rPr>
          <t xml:space="preserve">
</t>
        </r>
        <r>
          <rPr>
            <sz val="9"/>
            <color rgb="FF000000"/>
            <rFont val="Tahoma"/>
            <family val="2"/>
          </rPr>
          <t xml:space="preserve">If this is &lt;25%, give a score of 5.
</t>
        </r>
        <r>
          <rPr>
            <sz val="9"/>
            <color rgb="FF000000"/>
            <rFont val="Tahoma"/>
            <family val="2"/>
          </rPr>
          <t xml:space="preserve">Between 25-30%, ~4.75.
</t>
        </r>
        <r>
          <rPr>
            <sz val="9"/>
            <color rgb="FF000000"/>
            <rFont val="Tahoma"/>
            <family val="2"/>
          </rPr>
          <t xml:space="preserve">Between 30-35%, ~4.4.
</t>
        </r>
        <r>
          <rPr>
            <sz val="9"/>
            <color rgb="FF000000"/>
            <rFont val="Tahoma"/>
            <family val="2"/>
          </rPr>
          <t xml:space="preserve">Between 35-40%, ~3.9.
</t>
        </r>
        <r>
          <rPr>
            <sz val="9"/>
            <color rgb="FF000000"/>
            <rFont val="Tahoma"/>
            <family val="2"/>
          </rPr>
          <t xml:space="preserve">Between 40-45%, ~3.2.
</t>
        </r>
        <r>
          <rPr>
            <sz val="9"/>
            <color rgb="FF000000"/>
            <rFont val="Tahoma"/>
            <family val="2"/>
          </rPr>
          <t xml:space="preserve">Between 45-50%, ~2.4.
</t>
        </r>
        <r>
          <rPr>
            <sz val="9"/>
            <color rgb="FF000000"/>
            <rFont val="Tahoma"/>
            <family val="2"/>
          </rPr>
          <t xml:space="preserve">If it is &gt;100%, give a score of 1. 
</t>
        </r>
        <r>
          <rPr>
            <sz val="9"/>
            <color rgb="FF000000"/>
            <rFont val="Tahoma"/>
            <family val="2"/>
          </rPr>
          <t xml:space="preserve">
</t>
        </r>
        <r>
          <rPr>
            <sz val="9"/>
            <color rgb="FF000000"/>
            <rFont val="Tahoma"/>
            <family val="2"/>
          </rPr>
          <t>Use discretion in assigning scores.</t>
        </r>
      </text>
    </comment>
    <comment ref="R3867" authorId="0" shapeId="0" xr:uid="{D46CA929-C2EF-48D7-A209-CC72BEC27B4C}">
      <text>
        <r>
          <rPr>
            <b/>
            <sz val="9"/>
            <color rgb="FF000000"/>
            <rFont val="Tahoma"/>
            <family val="2"/>
          </rPr>
          <t>Brian Du:</t>
        </r>
        <r>
          <rPr>
            <sz val="9"/>
            <color rgb="FF000000"/>
            <rFont val="Tahoma"/>
            <family val="2"/>
          </rPr>
          <t xml:space="preserve">
</t>
        </r>
        <r>
          <rPr>
            <sz val="9"/>
            <color rgb="FF000000"/>
            <rFont val="Tahoma"/>
            <family val="2"/>
          </rPr>
          <t xml:space="preserve">This measure is the ratio of enterprise value (EV) to EBITDA. EV is the total value of a firm including equity, debt, and cash. EBITDA is the profitability.
</t>
        </r>
        <r>
          <rPr>
            <sz val="9"/>
            <color rgb="FF000000"/>
            <rFont val="Tahoma"/>
            <family val="2"/>
          </rPr>
          <t xml:space="preserve">
</t>
        </r>
        <r>
          <rPr>
            <sz val="9"/>
            <color rgb="FF000000"/>
            <rFont val="Tahoma"/>
            <family val="2"/>
          </rPr>
          <t xml:space="preserve">We want a low EV because it means the firm is cheap for us to invest. We want a high EBITDA.
</t>
        </r>
        <r>
          <rPr>
            <sz val="9"/>
            <color rgb="FF000000"/>
            <rFont val="Tahoma"/>
            <family val="2"/>
          </rPr>
          <t xml:space="preserve">
</t>
        </r>
        <r>
          <rPr>
            <sz val="9"/>
            <color rgb="FF000000"/>
            <rFont val="Tahoma"/>
            <family val="2"/>
          </rPr>
          <t>We want a low ratio but not negative.</t>
        </r>
      </text>
    </comment>
    <comment ref="V3867" authorId="0" shapeId="0" xr:uid="{2A26D66C-C591-4916-91A7-3078002BB640}">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Z3867" authorId="0" shapeId="0" xr:uid="{BA109933-1C80-4CB7-BE46-E39D4E4E8BDD}">
      <text>
        <r>
          <rPr>
            <b/>
            <sz val="9"/>
            <color indexed="81"/>
            <rFont val="Tahoma"/>
            <family val="2"/>
          </rPr>
          <t>Brian Du:</t>
        </r>
        <r>
          <rPr>
            <sz val="9"/>
            <color indexed="81"/>
            <rFont val="Tahoma"/>
            <family val="2"/>
          </rPr>
          <t xml:space="preserve">
This measure compares the stock price to revenue. It also considers consistency in revenue growth rates.
We want stock price to be low because it is cheap for us to invest. We want revenue to be high and consistency.
We want this measure to be low.</t>
        </r>
      </text>
    </comment>
    <comment ref="Q3868" authorId="1" shapeId="0" xr:uid="{2EEFC2D3-CE7F-45CC-B437-8FFCCD0AEBC8}">
      <text>
        <r>
          <rPr>
            <b/>
            <sz val="9"/>
            <color rgb="FF000000"/>
            <rFont val="Tahoma"/>
            <family val="2"/>
          </rPr>
          <t>brian du:</t>
        </r>
        <r>
          <rPr>
            <sz val="9"/>
            <color rgb="FF000000"/>
            <rFont val="Tahoma"/>
            <family val="2"/>
          </rPr>
          <t xml:space="preserve">
</t>
        </r>
        <r>
          <rPr>
            <sz val="9"/>
            <color rgb="FF000000"/>
            <rFont val="Tahoma"/>
            <family val="2"/>
          </rPr>
          <t xml:space="preserve">Subjective factor.
</t>
        </r>
        <r>
          <rPr>
            <sz val="9"/>
            <color rgb="FF000000"/>
            <rFont val="Tahoma"/>
            <family val="2"/>
          </rPr>
          <t xml:space="preserve">
</t>
        </r>
        <r>
          <rPr>
            <sz val="9"/>
            <color rgb="FF000000"/>
            <rFont val="Tahoma"/>
            <family val="2"/>
          </rPr>
          <t xml:space="preserve">Look for </t>
        </r>
        <r>
          <rPr>
            <u/>
            <sz val="9"/>
            <color rgb="FF000000"/>
            <rFont val="Tahoma"/>
            <family val="2"/>
          </rPr>
          <t>consistency</t>
        </r>
        <r>
          <rPr>
            <sz val="9"/>
            <color rgb="FF000000"/>
            <rFont val="Tahoma"/>
            <family val="2"/>
          </rPr>
          <t xml:space="preserve"> in all growth rates, especially revenue.</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<sst xmlns="http://schemas.openxmlformats.org/spreadsheetml/2006/main" count="21242" uniqueCount="845">
  <si>
    <t>Company</t>
  </si>
  <si>
    <t>Year</t>
  </si>
  <si>
    <t>Rev/sh</t>
  </si>
  <si>
    <t>Rev %</t>
  </si>
  <si>
    <t>EPS</t>
  </si>
  <si>
    <t>Margin (%)</t>
  </si>
  <si>
    <t>Div/sh</t>
  </si>
  <si>
    <t>Sh. Out</t>
  </si>
  <si>
    <t>Op CF</t>
  </si>
  <si>
    <t>CapEx</t>
  </si>
  <si>
    <t>FCF/sh</t>
  </si>
  <si>
    <t>Debt Issued</t>
  </si>
  <si>
    <t>Debt Repaid</t>
  </si>
  <si>
    <t>Net Debt/sh</t>
  </si>
  <si>
    <t>FCFE/sh</t>
  </si>
  <si>
    <t>Stock price</t>
  </si>
  <si>
    <t>t-10</t>
  </si>
  <si>
    <t>t-9</t>
  </si>
  <si>
    <t>Profitability (35%)</t>
  </si>
  <si>
    <t>Terminal P/FCFE:</t>
  </si>
  <si>
    <t>t-8</t>
  </si>
  <si>
    <t>Size (20%)</t>
  </si>
  <si>
    <t>t-7</t>
  </si>
  <si>
    <t>Stability (15%)</t>
  </si>
  <si>
    <t>Div growth model:</t>
  </si>
  <si>
    <t>t-6</t>
  </si>
  <si>
    <t>t-5</t>
  </si>
  <si>
    <t>Efficiency (15%)</t>
  </si>
  <si>
    <t>t-4</t>
  </si>
  <si>
    <t>True ROA:</t>
  </si>
  <si>
    <t>t-3</t>
  </si>
  <si>
    <t>Margin 10-yr slope:</t>
  </si>
  <si>
    <t>t-2</t>
  </si>
  <si>
    <t>Solvency (7.5%)</t>
  </si>
  <si>
    <t>t-1</t>
  </si>
  <si>
    <t>EV/EBITDA:</t>
  </si>
  <si>
    <t>TTM</t>
  </si>
  <si>
    <t>5-yr ave</t>
  </si>
  <si>
    <t>10-yr ave</t>
  </si>
  <si>
    <t>Profitability (10%)</t>
  </si>
  <si>
    <t>Stability (10%)</t>
  </si>
  <si>
    <t>Large</t>
  </si>
  <si>
    <t>Mid</t>
  </si>
  <si>
    <t>Small</t>
  </si>
  <si>
    <t>Profitability (7.5%)</t>
  </si>
  <si>
    <t>Consistency</t>
  </si>
  <si>
    <t>Size (0%)</t>
  </si>
  <si>
    <t>Stability (5%)</t>
  </si>
  <si>
    <t>Profitability (20%)</t>
  </si>
  <si>
    <t>Market cap:</t>
  </si>
  <si>
    <t>Sh. Out. delta:</t>
  </si>
  <si>
    <t>Earnings conversion:</t>
  </si>
  <si>
    <t>Debt load</t>
  </si>
  <si>
    <t>Revenue payback</t>
  </si>
  <si>
    <t>Solvency (20%)</t>
  </si>
  <si>
    <t>Consistency (20%)</t>
  </si>
  <si>
    <t>Efficiency (30%)</t>
  </si>
  <si>
    <t>Consistency (25%)</t>
  </si>
  <si>
    <t>Efficiency (22.5%)</t>
  </si>
  <si>
    <t>Size (7.5%)</t>
  </si>
  <si>
    <t>Solvency (30%)</t>
  </si>
  <si>
    <t>Company Name</t>
  </si>
  <si>
    <t>Apple Inc. (NasdaqGS:AAPL)</t>
  </si>
  <si>
    <t>NasdaqGS:AAPL</t>
  </si>
  <si>
    <t>Technology Hardware, Storage and Peripherals</t>
  </si>
  <si>
    <t>Microsoft Corporation (NasdaqGS:MSFT)</t>
  </si>
  <si>
    <t>NasdaqGS:MSFT</t>
  </si>
  <si>
    <t>Systems Software</t>
  </si>
  <si>
    <t>NVIDIA Corporation (NasdaqGS:NVDA)</t>
  </si>
  <si>
    <t>NasdaqGS:NVDA</t>
  </si>
  <si>
    <t>Semiconductors</t>
  </si>
  <si>
    <t>Broadcom Inc. (NasdaqGS:AVGO)</t>
  </si>
  <si>
    <t>NasdaqGS:AVGO</t>
  </si>
  <si>
    <t>Oracle Corporation (NYSE:ORCL)</t>
  </si>
  <si>
    <t>NYSE:ORCL</t>
  </si>
  <si>
    <t>Adobe Inc. (NasdaqGS:ADBE)</t>
  </si>
  <si>
    <t>NasdaqGS:ADBE</t>
  </si>
  <si>
    <t>Application Software</t>
  </si>
  <si>
    <t>Cisco Systems, Inc. (NasdaqGS:CSCO)</t>
  </si>
  <si>
    <t>NasdaqGS:CSCO</t>
  </si>
  <si>
    <t>Communications Equipment</t>
  </si>
  <si>
    <t>Salesforce, Inc. (NYSE:CRM)</t>
  </si>
  <si>
    <t>NYSE:CRM</t>
  </si>
  <si>
    <t>Advanced Micro Devices, Inc. (NasdaqGS:AMD)</t>
  </si>
  <si>
    <t>NasdaqGS:AMD</t>
  </si>
  <si>
    <t>Texas Instruments Incorporated (NasdaqGS:TXN)</t>
  </si>
  <si>
    <t>NasdaqGS:TXN</t>
  </si>
  <si>
    <t>Intel Corporation (NasdaqGS:INTC)</t>
  </si>
  <si>
    <t>NasdaqGS:INTC</t>
  </si>
  <si>
    <t>Intuit Inc. (NasdaqGS:INTU)</t>
  </si>
  <si>
    <t>NasdaqGS:INTU</t>
  </si>
  <si>
    <t>International Business Machines Corporation (NYSE:IBM)</t>
  </si>
  <si>
    <t>NYSE:IBM</t>
  </si>
  <si>
    <t>IT Consulting and Other Services</t>
  </si>
  <si>
    <t>QUALCOMM Incorporated (NasdaqGS:QCOM)</t>
  </si>
  <si>
    <t>NasdaqGS:QCOM</t>
  </si>
  <si>
    <t>Applied Materials, Inc. (NasdaqGS:AMAT)</t>
  </si>
  <si>
    <t>NasdaqGS:AMAT</t>
  </si>
  <si>
    <t>Semiconductor Materials and Equipment</t>
  </si>
  <si>
    <t>ServiceNow, Inc. (NYSE:NOW)</t>
  </si>
  <si>
    <t>NYSE:NOW</t>
  </si>
  <si>
    <t>Analog Devices, Inc. (NasdaqGS:ADI)</t>
  </si>
  <si>
    <t>NasdaqGS:ADI</t>
  </si>
  <si>
    <t>Lam Research Corporation (NasdaqGS:LRCX)</t>
  </si>
  <si>
    <t>NasdaqGS:LRCX</t>
  </si>
  <si>
    <t>Micron Technology, Inc. (NasdaqGS:MU)</t>
  </si>
  <si>
    <t>NasdaqGS:MU</t>
  </si>
  <si>
    <t>VMware, Inc. (NYSE:VMW)</t>
  </si>
  <si>
    <t>NYSE:VMW</t>
  </si>
  <si>
    <t>Palo Alto Networks, Inc. (NasdaqGS:PANW)</t>
  </si>
  <si>
    <t>NasdaqGS:PANW</t>
  </si>
  <si>
    <t>Synopsys, Inc. (NasdaqGS:SNPS)</t>
  </si>
  <si>
    <t>NasdaqGS:SNPS</t>
  </si>
  <si>
    <t>Cadence Design Systems, Inc. (NasdaqGS:CDNS)</t>
  </si>
  <si>
    <t>NasdaqGS:CDNS</t>
  </si>
  <si>
    <t>KLA Corporation (NasdaqGS:KLAC)</t>
  </si>
  <si>
    <t>NasdaqGS:KLAC</t>
  </si>
  <si>
    <t>Workday, Inc. (NasdaqGS:WDAY)</t>
  </si>
  <si>
    <t>NasdaqGS:WDAY</t>
  </si>
  <si>
    <t>Arista Networks, Inc. (NYSE:ANET)</t>
  </si>
  <si>
    <t>NYSE:ANET</t>
  </si>
  <si>
    <t>Roper Technologies, Inc. (NasdaqGS:ROP)</t>
  </si>
  <si>
    <t>NasdaqGS:ROP</t>
  </si>
  <si>
    <t>Dell Technologies Inc. (NYSE:DELL)</t>
  </si>
  <si>
    <t>NYSE:DELL</t>
  </si>
  <si>
    <t>Amphenol Corporation (NYSE:APH)</t>
  </si>
  <si>
    <t>NYSE:APH</t>
  </si>
  <si>
    <t>Electronic Components</t>
  </si>
  <si>
    <t>Snowflake Inc. (NYSE:SNOW)</t>
  </si>
  <si>
    <t>NYSE:SNOW</t>
  </si>
  <si>
    <t>Internet Services and Infrastructure</t>
  </si>
  <si>
    <t>Motorola Solutions, Inc. (NYSE:MSI)</t>
  </si>
  <si>
    <t>NYSE:MSI</t>
  </si>
  <si>
    <t>Fortinet, Inc. (NasdaqGS:FTNT)</t>
  </si>
  <si>
    <t>NasdaqGS:FTNT</t>
  </si>
  <si>
    <t>Marvell Technology, Inc. (NasdaqGS:MRVL)</t>
  </si>
  <si>
    <t>NasdaqGS:MRVL</t>
  </si>
  <si>
    <t>Autodesk, Inc. (NasdaqGS:ADSK)</t>
  </si>
  <si>
    <t>NasdaqGS:ADSK</t>
  </si>
  <si>
    <t>Microchip Technology Incorporated (NasdaqGS:MCHP)</t>
  </si>
  <si>
    <t>NasdaqGS:MCHP</t>
  </si>
  <si>
    <t>ON Semiconductor Corporation (NasdaqGS:ON)</t>
  </si>
  <si>
    <t>NasdaqGS:ON</t>
  </si>
  <si>
    <t>CrowdStrike Holdings, Inc. (NasdaqGS:CRWD)</t>
  </si>
  <si>
    <t>NasdaqGS:CRWD</t>
  </si>
  <si>
    <t>Cognizant Technology Solutions Corporation (NasdaqGS:CTSH)</t>
  </si>
  <si>
    <t>NasdaqGS:CTSH</t>
  </si>
  <si>
    <t>GLOBALFOUNDRIES Inc. (NasdaqGS:GFS)</t>
  </si>
  <si>
    <t>NasdaqGS:GFS</t>
  </si>
  <si>
    <t>Palantir Technologies Inc. (NYSE:PLTR)</t>
  </si>
  <si>
    <t>NYSE:PLTR</t>
  </si>
  <si>
    <t>Datadog, Inc. (NasdaqGS:DDOG)</t>
  </si>
  <si>
    <t>NasdaqGS:DDOG</t>
  </si>
  <si>
    <t>Gartner, Inc. (NYSE:IT)</t>
  </si>
  <si>
    <t>NYSE:IT</t>
  </si>
  <si>
    <t>CDW Corporation (NasdaqGS:CDW)</t>
  </si>
  <si>
    <t>NasdaqGS:CDW</t>
  </si>
  <si>
    <t>Technology Distributors</t>
  </si>
  <si>
    <t>Corning Incorporated (NYSE:GLW)</t>
  </si>
  <si>
    <t>NYSE:GLW</t>
  </si>
  <si>
    <t>HP Inc. (NYSE:HPQ)</t>
  </si>
  <si>
    <t>NYSE:HPQ</t>
  </si>
  <si>
    <t>ANSYS, Inc. (NasdaqGS:ANSS)</t>
  </si>
  <si>
    <t>NasdaqGS:ANSS</t>
  </si>
  <si>
    <t>Splunk Inc. (NasdaqGS:SPLK)</t>
  </si>
  <si>
    <t>NasdaqGS:SPLK</t>
  </si>
  <si>
    <t>HubSpot, Inc. (NYSE:HUBS)</t>
  </si>
  <si>
    <t>NYSE:HUBS</t>
  </si>
  <si>
    <t>MongoDB, Inc. (NasdaqGM:MDB)</t>
  </si>
  <si>
    <t>NasdaqGM:MDB</t>
  </si>
  <si>
    <t>Keysight Technologies, Inc. (NYSE:KEYS)</t>
  </si>
  <si>
    <t>NYSE:KEYS</t>
  </si>
  <si>
    <t>Electronic Equipment and Instruments</t>
  </si>
  <si>
    <t>Zscaler, Inc. (NasdaqGS:ZS)</t>
  </si>
  <si>
    <t>NasdaqGS:ZS</t>
  </si>
  <si>
    <t>Fair Isaac Corporation (NYSE:FICO)</t>
  </si>
  <si>
    <t>NYSE:FICO</t>
  </si>
  <si>
    <t>Hewlett Packard Enterprise Company (NYSE:HPE)</t>
  </si>
  <si>
    <t>NYSE:HPE</t>
  </si>
  <si>
    <t>Monolithic Power Systems, Inc. (NasdaqGS:MPWR)</t>
  </si>
  <si>
    <t>NasdaqGS:MPWR</t>
  </si>
  <si>
    <t>Zoom Video Communications, Inc. (NasdaqGS:ZM)</t>
  </si>
  <si>
    <t>NasdaqGS:ZM</t>
  </si>
  <si>
    <t>VeriSign, Inc. (NasdaqGS:VRSN)</t>
  </si>
  <si>
    <t>NasdaqGS:VRSN</t>
  </si>
  <si>
    <t>Teledyne Technologies Incorporated (NYSE:TDY)</t>
  </si>
  <si>
    <t>NYSE:TDY</t>
  </si>
  <si>
    <t>Cloudflare, Inc. (NYSE:NET)</t>
  </si>
  <si>
    <t>NYSE:NET</t>
  </si>
  <si>
    <t>First Solar, Inc. (NasdaqGS:FSLR)</t>
  </si>
  <si>
    <t>NasdaqGS:FSLR</t>
  </si>
  <si>
    <t>PTC Inc. (NasdaqGS:PTC)</t>
  </si>
  <si>
    <t>NasdaqGS:PTC</t>
  </si>
  <si>
    <t>Tyler Technologies, Inc. (NYSE:TYL)</t>
  </si>
  <si>
    <t>NYSE:TYL</t>
  </si>
  <si>
    <t>Akamai Technologies, Inc. (NasdaqGS:AKAM)</t>
  </si>
  <si>
    <t>NasdaqGS:AKAM</t>
  </si>
  <si>
    <t>Enphase Energy, Inc. (NasdaqGM:ENPH)</t>
  </si>
  <si>
    <t>NasdaqGM:ENPH</t>
  </si>
  <si>
    <t>NetApp, Inc. (NasdaqGS:NTAP)</t>
  </si>
  <si>
    <t>NasdaqGS:NTAP</t>
  </si>
  <si>
    <t>Skyworks Solutions, Inc. (NasdaqGS:SWKS)</t>
  </si>
  <si>
    <t>NasdaqGS:SWKS</t>
  </si>
  <si>
    <t>Bentley Systems, Incorporated (NasdaqGS:BSY)</t>
  </si>
  <si>
    <t>NasdaqGS:BSY</t>
  </si>
  <si>
    <t>EPAM Systems, Inc. (NYSE:EPAM)</t>
  </si>
  <si>
    <t>NYSE:EPAM</t>
  </si>
  <si>
    <t>Teradyne, Inc. (NasdaqGS:TER)</t>
  </si>
  <si>
    <t>NasdaqGS:TER</t>
  </si>
  <si>
    <t>Western Digital Corporation (NasdaqGS:WDC)</t>
  </si>
  <si>
    <t>NasdaqGS:WDC</t>
  </si>
  <si>
    <t>Jabil Inc. (NYSE:JBL)</t>
  </si>
  <si>
    <t>NYSE:JBL</t>
  </si>
  <si>
    <t>Electronic Manufacturing Services</t>
  </si>
  <si>
    <t>Dynatrace, Inc. (NYSE:DT)</t>
  </si>
  <si>
    <t>NYSE:DT</t>
  </si>
  <si>
    <t>Entegris, Inc. (NasdaqGS:ENTG)</t>
  </si>
  <si>
    <t>NasdaqGS:ENTG</t>
  </si>
  <si>
    <t>Okta, Inc. (NasdaqGS:OKTA)</t>
  </si>
  <si>
    <t>NasdaqGS:OKTA</t>
  </si>
  <si>
    <t>AppLovin Corporation (NasdaqGS:APP)</t>
  </si>
  <si>
    <t>NasdaqGS:APP</t>
  </si>
  <si>
    <t>Aspen Technology, Inc. (NasdaqGS:AZPN)</t>
  </si>
  <si>
    <t>NasdaqGS:AZPN</t>
  </si>
  <si>
    <t>Super Micro Computer, Inc. (NasdaqGS:SMCI)</t>
  </si>
  <si>
    <t>NasdaqGS:SMCI</t>
  </si>
  <si>
    <t>Trimble Inc. (NasdaqGS:TRMB)</t>
  </si>
  <si>
    <t>NasdaqGS:TRMB</t>
  </si>
  <si>
    <t>Samsara Inc. (NYSE:IOT)</t>
  </si>
  <si>
    <t>NYSE:IOT</t>
  </si>
  <si>
    <t>Unity Software Inc. (NYSE:U)</t>
  </si>
  <si>
    <t>NYSE:U</t>
  </si>
  <si>
    <t>Gen Digital Inc. (NasdaqGS:GEN)</t>
  </si>
  <si>
    <t>NasdaqGS:GEN</t>
  </si>
  <si>
    <t>Manhattan Associates, Inc. (NasdaqGS:MANH)</t>
  </si>
  <si>
    <t>NasdaqGS:MANH</t>
  </si>
  <si>
    <t>Zebra Technologies Corporation (NasdaqGS:ZBRA)</t>
  </si>
  <si>
    <t>NasdaqGS:ZBRA</t>
  </si>
  <si>
    <t>Lattice Semiconductor Corporation (NasdaqGS:LSCC)</t>
  </si>
  <si>
    <t>NasdaqGS:LSCC</t>
  </si>
  <si>
    <t>Pure Storage, Inc. (NYSE:PSTG)</t>
  </si>
  <si>
    <t>NYSE:PSTG</t>
  </si>
  <si>
    <t>GoDaddy Inc. (NYSE:GDDY)</t>
  </si>
  <si>
    <t>NYSE:GDDY</t>
  </si>
  <si>
    <t>Twilio Inc. (NYSE:TWLO)</t>
  </si>
  <si>
    <t>NYSE:TWLO</t>
  </si>
  <si>
    <t>BILL Holdings, Inc. (NYSE:BILL)</t>
  </si>
  <si>
    <t>NYSE:BILL</t>
  </si>
  <si>
    <t>Amdocs Limited (NasdaqGS:DOX)</t>
  </si>
  <si>
    <t>NasdaqGS:DOX</t>
  </si>
  <si>
    <t>TD SYNNEX Corporation (NYSE:SNX)</t>
  </si>
  <si>
    <t>NYSE:SNX</t>
  </si>
  <si>
    <t>F5, Inc. (NasdaqGS:FFIV)</t>
  </si>
  <si>
    <t>NasdaqGS:FFIV</t>
  </si>
  <si>
    <t>Dropbox, Inc. (NasdaqGS:DBX)</t>
  </si>
  <si>
    <t>NasdaqGS:DBX</t>
  </si>
  <si>
    <t>UiPath Inc. (NYSE:PATH)</t>
  </si>
  <si>
    <t>NYSE:PATH</t>
  </si>
  <si>
    <t>Qorvo, Inc. (NasdaqGS:QRVO)</t>
  </si>
  <si>
    <t>NasdaqGS:QRVO</t>
  </si>
  <si>
    <t>Procore Technologies, Inc. (NYSE:PCOR)</t>
  </si>
  <si>
    <t>NYSE:PCOR</t>
  </si>
  <si>
    <t>Juniper Networks, Inc. (NYSE:JNPR)</t>
  </si>
  <si>
    <t>NYSE:JNPR</t>
  </si>
  <si>
    <t>Confluent, Inc. (NasdaqGS:CFLT)</t>
  </si>
  <si>
    <t>NasdaqGS:CFLT</t>
  </si>
  <si>
    <t>Ubiquiti Inc. (NYSE:UI)</t>
  </si>
  <si>
    <t>NYSE:UI</t>
  </si>
  <si>
    <t>DocuSign, Inc. (NasdaqGS:DOCU)</t>
  </si>
  <si>
    <t>NasdaqGS:DOCU</t>
  </si>
  <si>
    <t>Klaviyo, Inc. (NYSE:KVYO)</t>
  </si>
  <si>
    <t>NYSE:KVYO</t>
  </si>
  <si>
    <t>Nutanix, Inc. (NasdaqGS:NTNX)</t>
  </si>
  <si>
    <t>NasdaqGS:NTNX</t>
  </si>
  <si>
    <t>National Instruments Corporation (NasdaqGS:NATI)</t>
  </si>
  <si>
    <t>NasdaqGS:NATI</t>
  </si>
  <si>
    <t>Dolby Laboratories, Inc. (NYSE:DLB)</t>
  </si>
  <si>
    <t>NYSE:DLB</t>
  </si>
  <si>
    <t>Universal Display Corporation (NasdaqGS:OLED)</t>
  </si>
  <si>
    <t>NasdaqGS:OLED</t>
  </si>
  <si>
    <t>CCC Intelligent Solutions Holdings Inc. (NasdaqGS:CCCS)</t>
  </si>
  <si>
    <t>NasdaqGS:CCCS</t>
  </si>
  <si>
    <t>Cognex Corporation (NasdaqGS:CGNX)</t>
  </si>
  <si>
    <t>NasdaqGS:CGNX</t>
  </si>
  <si>
    <t>Guidewire Software, Inc. (NYSE:GWRE)</t>
  </si>
  <si>
    <t>NYSE:GWRE</t>
  </si>
  <si>
    <t>Arrow Electronics, Inc. (NYSE:ARW)</t>
  </si>
  <si>
    <t>NYSE:ARW</t>
  </si>
  <si>
    <t>Ciena Corporation (NYSE:CIEN)</t>
  </si>
  <si>
    <t>NYSE:CIEN</t>
  </si>
  <si>
    <t>GitLab Inc. (NasdaqGS:GTLB)</t>
  </si>
  <si>
    <t>NasdaqGS:GTLB</t>
  </si>
  <si>
    <t>AppFolio, Inc. (NasdaqGM:APPF)</t>
  </si>
  <si>
    <t>NasdaqGM:APPF</t>
  </si>
  <si>
    <t>SPS Commerce, Inc. (NasdaqGS:SPSC)</t>
  </si>
  <si>
    <t>NasdaqGS:SPSC</t>
  </si>
  <si>
    <t>Littelfuse, Inc. (NasdaqGS:LFUS)</t>
  </si>
  <si>
    <t>NasdaqGS:LFUS</t>
  </si>
  <si>
    <t>Onto Innovation Inc. (NYSE:ONTO)</t>
  </si>
  <si>
    <t>NYSE:ONTO</t>
  </si>
  <si>
    <t>New Relic, Inc. (NYSE:NEWR)</t>
  </si>
  <si>
    <t>NYSE:NEWR</t>
  </si>
  <si>
    <t>Informatica Inc. (NYSE:INFA)</t>
  </si>
  <si>
    <t>NYSE:INFA</t>
  </si>
  <si>
    <t>Rambus Inc. (NasdaqGS:RMBS)</t>
  </si>
  <si>
    <t>NasdaqGS:RMBS</t>
  </si>
  <si>
    <t>Freshworks Inc. (NasdaqGS:FRSH)</t>
  </si>
  <si>
    <t>NasdaqGS:FRSH</t>
  </si>
  <si>
    <t>MKS Instruments, Inc. (NasdaqGS:MKSI)</t>
  </si>
  <si>
    <t>NasdaqGS:MKSI</t>
  </si>
  <si>
    <t>Qualys, Inc. (NasdaqGS:QLYS)</t>
  </si>
  <si>
    <t>NasdaqGS:QLYS</t>
  </si>
  <si>
    <t>MACOM Technology Solutions Holdings, Inc. (NasdaqGS:MTSI)</t>
  </si>
  <si>
    <t>NasdaqGS:MTSI</t>
  </si>
  <si>
    <t>Amkor Technology, Inc. (NasdaqGS:AMKR)</t>
  </si>
  <si>
    <t>NasdaqGS:AMKR</t>
  </si>
  <si>
    <t>Workiva Inc. (NYSE:WK)</t>
  </si>
  <si>
    <t>NYSE:WK</t>
  </si>
  <si>
    <t>Smartsheet Inc. (NYSE:SMAR)</t>
  </si>
  <si>
    <t>NYSE:SMAR</t>
  </si>
  <si>
    <t>Insight Enterprises, Inc. (NasdaqGS:NSIT)</t>
  </si>
  <si>
    <t>NasdaqGS:NSIT</t>
  </si>
  <si>
    <t>Tenable Holdings, Inc. (NasdaqGS:TENB)</t>
  </si>
  <si>
    <t>NasdaqGS:TENB</t>
  </si>
  <si>
    <t>Axcelis Technologies, Inc. (NasdaqGS:ACLS)</t>
  </si>
  <si>
    <t>NasdaqGS:ACLS</t>
  </si>
  <si>
    <t>Altair Engineering Inc. (NasdaqGS:ALTR)</t>
  </si>
  <si>
    <t>NasdaqGS:ALTR</t>
  </si>
  <si>
    <t>Novanta Inc. (NasdaqGS:NOVT)</t>
  </si>
  <si>
    <t>NasdaqGS:NOVT</t>
  </si>
  <si>
    <t>Five9, Inc. (NasdaqGM:FIVN)</t>
  </si>
  <si>
    <t>NasdaqGM:FIVN</t>
  </si>
  <si>
    <t>Wolfspeed, Inc. (NYSE:WOLF)</t>
  </si>
  <si>
    <t>NYSE:WOLF</t>
  </si>
  <si>
    <t>IPG Photonics Corporation (NasdaqGS:IPGP)</t>
  </si>
  <si>
    <t>NasdaqGS:IPGP</t>
  </si>
  <si>
    <t>Coherent Corp. (NYSE:COHR)</t>
  </si>
  <si>
    <t>NYSE:COHR</t>
  </si>
  <si>
    <t>Vontier Corporation (NYSE:VNT)</t>
  </si>
  <si>
    <t>NYSE:VNT</t>
  </si>
  <si>
    <t>SentinelOne, Inc. (NYSE:S)</t>
  </si>
  <si>
    <t>NYSE:S</t>
  </si>
  <si>
    <t>DoubleVerify Holdings, Inc. (NYSE:DV)</t>
  </si>
  <si>
    <t>NYSE:DV</t>
  </si>
  <si>
    <t>MicroStrategy Incorporated (NasdaqGS:MSTR)</t>
  </si>
  <si>
    <t>NasdaqGS:MSTR</t>
  </si>
  <si>
    <t>Badger Meter, Inc. (NYSE:BMI)</t>
  </si>
  <si>
    <t>NYSE:BMI</t>
  </si>
  <si>
    <t>HashiCorp, Inc. (NasdaqGS:HCP)</t>
  </si>
  <si>
    <t>NasdaqGS:HCP</t>
  </si>
  <si>
    <t>Braze, Inc. (NasdaqGS:BRZE)</t>
  </si>
  <si>
    <t>NasdaqGS:BRZE</t>
  </si>
  <si>
    <t>Teradata Corporation (NYSE:TDC)</t>
  </si>
  <si>
    <t>NYSE:TDC</t>
  </si>
  <si>
    <t>Power Integrations, Inc. (NasdaqGS:POWI)</t>
  </si>
  <si>
    <t>NasdaqGS:POWI</t>
  </si>
  <si>
    <t>Avnet, Inc. (NasdaqGS:AVT)</t>
  </si>
  <si>
    <t>NasdaqGS:AVT</t>
  </si>
  <si>
    <t>DXC Technology Company (NYSE:DXC)</t>
  </si>
  <si>
    <t>NYSE:DXC</t>
  </si>
  <si>
    <t>Belden Inc. (NYSE:BDC)</t>
  </si>
  <si>
    <t>NYSE:BDC</t>
  </si>
  <si>
    <t>Clearwater Analytics Holdings, Inc. (NYSE:CWAN)</t>
  </si>
  <si>
    <t>NYSE:CWAN</t>
  </si>
  <si>
    <t>Cirrus Logic, Inc. (NasdaqGS:CRUS)</t>
  </si>
  <si>
    <t>NasdaqGS:CRUS</t>
  </si>
  <si>
    <t>Squarespace, Inc. (NYSE:SQSP)</t>
  </si>
  <si>
    <t>NYSE:SQSP</t>
  </si>
  <si>
    <t>Sprinklr, Inc. (NYSE:CXM)</t>
  </si>
  <si>
    <t>NYSE:CXM</t>
  </si>
  <si>
    <t>Aurora Innovation, Inc. (NasdaqGS:AUR)</t>
  </si>
  <si>
    <t>NasdaqGS:AUR</t>
  </si>
  <si>
    <t>NCR Corporation (NYSE:NCR)</t>
  </si>
  <si>
    <t>NYSE:NCR</t>
  </si>
  <si>
    <t>Blackbaud, Inc. (NasdaqGS:BLKB)</t>
  </si>
  <si>
    <t>NasdaqGS:BLKB</t>
  </si>
  <si>
    <t>Asana, Inc. (NYSE:ASAN)</t>
  </si>
  <si>
    <t>NYSE:ASAN</t>
  </si>
  <si>
    <t>Advanced Energy Industries, Inc. (NasdaqGS:AEIS)</t>
  </si>
  <si>
    <t>NasdaqGS:AEIS</t>
  </si>
  <si>
    <t>Silicon Laboratories Inc. (NasdaqGS:SLAB)</t>
  </si>
  <si>
    <t>NasdaqGS:SLAB</t>
  </si>
  <si>
    <t>Instructure Holdings, Inc. (NYSE:INST)</t>
  </si>
  <si>
    <t>NYSE:INST</t>
  </si>
  <si>
    <t>nCino, Inc. (NasdaqGS:NCNO)</t>
  </si>
  <si>
    <t>NasdaqGS:NCNO</t>
  </si>
  <si>
    <t>Kyndryl Holdings, Inc. (NYSE:KD)</t>
  </si>
  <si>
    <t>NYSE:KD</t>
  </si>
  <si>
    <t>Pegasystems Inc. (NasdaqGS:PEGA)</t>
  </si>
  <si>
    <t>NasdaqGS:PEGA</t>
  </si>
  <si>
    <t>PowerSchool Holdings, Inc. (NYSE:PWSC)</t>
  </si>
  <si>
    <t>NYSE:PWSC</t>
  </si>
  <si>
    <t>Box, Inc. (NYSE:BOX)</t>
  </si>
  <si>
    <t>NYSE:BOX</t>
  </si>
  <si>
    <t>Diodes Incorporated (NasdaqGS:DIOD)</t>
  </si>
  <si>
    <t>NasdaqGS:DIOD</t>
  </si>
  <si>
    <t>Vishay Intertechnology, Inc. (NYSE:VSH)</t>
  </si>
  <si>
    <t>NYSE:VSH</t>
  </si>
  <si>
    <t>Varonis Systems, Inc. (NasdaqGS:VRNS)</t>
  </si>
  <si>
    <t>NasdaqGS:VRNS</t>
  </si>
  <si>
    <t>Vertex, Inc. (NasdaqGM:VERX)</t>
  </si>
  <si>
    <t>NasdaqGM:VERX</t>
  </si>
  <si>
    <t>BlackLine, Inc. (NasdaqGS:BL)</t>
  </si>
  <si>
    <t>NasdaqGS:BL</t>
  </si>
  <si>
    <t>Synaptics Incorporated (NasdaqGS:SYNA)</t>
  </si>
  <si>
    <t>NasdaqGS:SYNA</t>
  </si>
  <si>
    <t>Crane NXT, Co. (NYSE:CXT)</t>
  </si>
  <si>
    <t>NYSE:CXT</t>
  </si>
  <si>
    <t>Appian Corporation (NasdaqGM:APPN)</t>
  </si>
  <si>
    <t>NasdaqGM:APPN</t>
  </si>
  <si>
    <t>Extreme Networks, Inc. (NasdaqGS:EXTR)</t>
  </si>
  <si>
    <t>NasdaqGS:EXTR</t>
  </si>
  <si>
    <t>Lumentum Holdings Inc. (NasdaqGS:LITE)</t>
  </si>
  <si>
    <t>NasdaqGS:LITE</t>
  </si>
  <si>
    <t>Alarm.com Holdings, Inc. (NasdaqGS:ALRM)</t>
  </si>
  <si>
    <t>NasdaqGS:ALRM</t>
  </si>
  <si>
    <t>Sanmina Corporation (NasdaqGS:SANM)</t>
  </si>
  <si>
    <t>NasdaqGS:SANM</t>
  </si>
  <si>
    <t>Calix, Inc. (NYSE:CALX)</t>
  </si>
  <si>
    <t>NYSE:CALX</t>
  </si>
  <si>
    <t>Commvault Systems, Inc. (NasdaqGS:CVLT)</t>
  </si>
  <si>
    <t>NasdaqGS:CVLT</t>
  </si>
  <si>
    <t>EngageSmart, Inc. (NYSE:ESMT)</t>
  </si>
  <si>
    <t>NYSE:ESMT</t>
  </si>
  <si>
    <t>C3.ai, Inc. (NYSE:AI)</t>
  </si>
  <si>
    <t>NYSE:AI</t>
  </si>
  <si>
    <t>Rapid7, Inc. (NasdaqGM:RPD)</t>
  </si>
  <si>
    <t>NasdaqGM:RPD</t>
  </si>
  <si>
    <t>Sprout Social, Inc. (NasdaqCM:SPT)</t>
  </si>
  <si>
    <t>NasdaqCM:SPT</t>
  </si>
  <si>
    <t>RingCentral, Inc. (NYSE:RNG)</t>
  </si>
  <si>
    <t>NYSE:RNG</t>
  </si>
  <si>
    <t>Itron, Inc. (NasdaqGS:ITRI)</t>
  </si>
  <si>
    <t>NasdaqGS:ITRI</t>
  </si>
  <si>
    <t>JFrog Ltd. (NasdaqGS:FROG)</t>
  </si>
  <si>
    <t>NasdaqGS:FROG</t>
  </si>
  <si>
    <t>IonQ, Inc. (NYSE:IONQ)</t>
  </si>
  <si>
    <t>NYSE:IONQ</t>
  </si>
  <si>
    <t>Envestnet, Inc. (NYSE:ENV)</t>
  </si>
  <si>
    <t>NYSE:ENV</t>
  </si>
  <si>
    <t>Alteryx, Inc. (NYSE:AYX)</t>
  </si>
  <si>
    <t>NYSE:AYX</t>
  </si>
  <si>
    <t>FormFactor, Inc. (NasdaqGS:FORM)</t>
  </si>
  <si>
    <t>NasdaqGS:FORM</t>
  </si>
  <si>
    <t>ACI Worldwide, Inc. (NasdaqGS:ACIW)</t>
  </si>
  <si>
    <t>NasdaqGS:ACIW</t>
  </si>
  <si>
    <t>Xerox Holdings Corporation (NasdaqGS:XRX)</t>
  </si>
  <si>
    <t>NasdaqGS:XRX</t>
  </si>
  <si>
    <t>Rogers Corporation (NYSE:ROG)</t>
  </si>
  <si>
    <t>NYSE:ROG</t>
  </si>
  <si>
    <t>Plexus Corp. (NasdaqGS:PLXS)</t>
  </si>
  <si>
    <t>NasdaqGS:PLXS</t>
  </si>
  <si>
    <t>Viasat, Inc. (NasdaqGS:VSAT)</t>
  </si>
  <si>
    <t>NasdaqGS:VSAT</t>
  </si>
  <si>
    <t>Progress Software Corporation (NasdaqGS:PRGS)</t>
  </si>
  <si>
    <t>NasdaqGS:PRGS</t>
  </si>
  <si>
    <t>N-able, Inc. (NYSE:NABL)</t>
  </si>
  <si>
    <t>NYSE:NABL</t>
  </si>
  <si>
    <t>Fastly, Inc. (NYSE:FSLY)</t>
  </si>
  <si>
    <t>NYSE:FSLY</t>
  </si>
  <si>
    <t>SiTime Corporation (NasdaqGM:SITM)</t>
  </si>
  <si>
    <t>NasdaqGM:SITM</t>
  </si>
  <si>
    <t>Credo Technology Group Holding Ltd (NasdaqGS:CRDO)</t>
  </si>
  <si>
    <t>NasdaqGS:CRDO</t>
  </si>
  <si>
    <t>Jamf Holding Corp. (NasdaqGS:JAMF)</t>
  </si>
  <si>
    <t>NasdaqGS:JAMF</t>
  </si>
  <si>
    <t>Intapp, Inc. (NasdaqGS:INTA)</t>
  </si>
  <si>
    <t>NasdaqGS:INTA</t>
  </si>
  <si>
    <t>DigitalOcean Holdings, Inc. (NYSE:DOCN)</t>
  </si>
  <si>
    <t>NYSE:DOCN</t>
  </si>
  <si>
    <t>InterDigital, Inc. (NasdaqGS:IDCC)</t>
  </si>
  <si>
    <t>NasdaqGS:IDCC</t>
  </si>
  <si>
    <t>PagerDuty, Inc. (NYSE:PD)</t>
  </si>
  <si>
    <t>NYSE:PD</t>
  </si>
  <si>
    <t>Ambarella, Inc. (NasdaqGS:AMBA)</t>
  </si>
  <si>
    <t>NasdaqGS:AMBA</t>
  </si>
  <si>
    <t>Perficient, Inc. (NasdaqGS:PRFT)</t>
  </si>
  <si>
    <t>NasdaqGS:PRFT</t>
  </si>
  <si>
    <t>Viavi Solutions Inc. (NasdaqGS:VIAV)</t>
  </si>
  <si>
    <t>NasdaqGS:VIAV</t>
  </si>
  <si>
    <t>NetScout Systems, Inc. (NasdaqGS:NTCT)</t>
  </si>
  <si>
    <t>NasdaqGS:NTCT</t>
  </si>
  <si>
    <t>Marathon Digital Holdings, Inc. (NasdaqCM:MARA)</t>
  </si>
  <si>
    <t>NasdaqCM:MARA</t>
  </si>
  <si>
    <t>LiveRamp Holdings, Inc. (NYSE:RAMP)</t>
  </si>
  <si>
    <t>NYSE:RAMP</t>
  </si>
  <si>
    <t>OSI Systems, Inc. (NasdaqGS:OSIS)</t>
  </si>
  <si>
    <t>NasdaqGS:OSIS</t>
  </si>
  <si>
    <t>EverCommerce Inc. (NasdaqGS:EVCM)</t>
  </si>
  <si>
    <t>NasdaqGS:EVCM</t>
  </si>
  <si>
    <t>Q2 Holdings, Inc. (NYSE:QTWO)</t>
  </si>
  <si>
    <t>NYSE:QTWO</t>
  </si>
  <si>
    <t>MaxLinear, Inc. (NasdaqGS:MXL)</t>
  </si>
  <si>
    <t>NasdaqGS:MXL</t>
  </si>
  <si>
    <t>Riot Platforms, Inc. (NasdaqCM:RIOT)</t>
  </si>
  <si>
    <t>NasdaqCM:RIOT</t>
  </si>
  <si>
    <t>ePlus inc. (NasdaqGS:PLUS)</t>
  </si>
  <si>
    <t>NasdaqGS:PLUS</t>
  </si>
  <si>
    <t>Zeta Global Holdings Corp. (NYSE:ZETA)</t>
  </si>
  <si>
    <t>NYSE:ZETA</t>
  </si>
  <si>
    <t>Clear Secure, Inc. (NYSE:YOU)</t>
  </si>
  <si>
    <t>NYSE:YOU</t>
  </si>
  <si>
    <t>Semtech Corporation (NasdaqGS:SMTC)</t>
  </si>
  <si>
    <t>NasdaqGS:SMTC</t>
  </si>
  <si>
    <t>Agilysys, Inc. (NasdaqGS:AGYS)</t>
  </si>
  <si>
    <t>NasdaqGS:AGYS</t>
  </si>
  <si>
    <t>Alkami Technology, Inc. (NasdaqGS:ALKT)</t>
  </si>
  <si>
    <t>NasdaqGS:ALKT</t>
  </si>
  <si>
    <t>Cohu, Inc. (NasdaqGS:COHU)</t>
  </si>
  <si>
    <t>NasdaqGS:COHU</t>
  </si>
  <si>
    <t>SolarWinds Corporation (NYSE:SWI)</t>
  </si>
  <si>
    <t>NYSE:SWI</t>
  </si>
  <si>
    <t>Verint Systems Inc. (NasdaqGS:VRNT)</t>
  </si>
  <si>
    <t>NasdaqGS:VRNT</t>
  </si>
  <si>
    <t>Mirion Technologies, Inc. (NYSE:MIR)</t>
  </si>
  <si>
    <t>NYSE:MIR</t>
  </si>
  <si>
    <t>PROS Holdings, Inc. (NYSE:PRO)</t>
  </si>
  <si>
    <t>NYSE:PRO</t>
  </si>
  <si>
    <t>Veeco Instruments Inc. (NasdaqGS:VECO)</t>
  </si>
  <si>
    <t>NasdaqGS:VECO</t>
  </si>
  <si>
    <t>Impinj, Inc. (NasdaqGS:PI)</t>
  </si>
  <si>
    <t>NasdaqGS:PI</t>
  </si>
  <si>
    <t>E2open Parent Holdings, Inc. (NYSE:ETWO)</t>
  </si>
  <si>
    <t>NYSE:ETWO</t>
  </si>
  <si>
    <t>Amplitude, Inc. (NasdaqCM:AMPL)</t>
  </si>
  <si>
    <t>NasdaqCM:AMPL</t>
  </si>
  <si>
    <t>PC Connection, Inc. (NasdaqGS:CNXN)</t>
  </si>
  <si>
    <t>NasdaqGS:CNXN</t>
  </si>
  <si>
    <t>MeridianLink, Inc. (NYSE:MLNK)</t>
  </si>
  <si>
    <t>NYSE:MLNK</t>
  </si>
  <si>
    <t>Knowles Corporation (NYSE:KN)</t>
  </si>
  <si>
    <t>NYSE:KN</t>
  </si>
  <si>
    <t>Thoughtworks Holding, Inc. (NasdaqGS:TWKS)</t>
  </si>
  <si>
    <t>NasdaqGS:TWKS</t>
  </si>
  <si>
    <t>TTM Technologies, Inc. (NasdaqGS:TTMI)</t>
  </si>
  <si>
    <t>NasdaqGS:TTMI</t>
  </si>
  <si>
    <t>Ultra Clean Holdings, Inc. (NasdaqGS:UCTT)</t>
  </si>
  <si>
    <t>NasdaqGS:UCTT</t>
  </si>
  <si>
    <t>CTS Corporation (NYSE:CTS)</t>
  </si>
  <si>
    <t>NYSE:CTS</t>
  </si>
  <si>
    <t>AvePoint, Inc. (NasdaqGS:AVPT)</t>
  </si>
  <si>
    <t>NasdaqGS:AVPT</t>
  </si>
  <si>
    <t>Aehr Test Systems (NasdaqCM:AEHR)</t>
  </si>
  <si>
    <t>NasdaqCM:AEHR</t>
  </si>
  <si>
    <t>Navitas Semiconductor Corporation (NasdaqGM:NVTS)</t>
  </si>
  <si>
    <t>NasdaqGM:NVTS</t>
  </si>
  <si>
    <t>Photronics, Inc. (NasdaqGS:PLAB)</t>
  </si>
  <si>
    <t>NasdaqGS:PLAB</t>
  </si>
  <si>
    <t>PDF Solutions, Inc. (NasdaqGS:PDFS)</t>
  </si>
  <si>
    <t>NasdaqGS:PDFS</t>
  </si>
  <si>
    <t>SMART Global Holdings, Inc. (NasdaqGS:SGH)</t>
  </si>
  <si>
    <t>NasdaqGS:SGH</t>
  </si>
  <si>
    <t>Zuora, Inc. (NYSE:ZUO)</t>
  </si>
  <si>
    <t>NYSE:ZUO</t>
  </si>
  <si>
    <t>Avid Technology, Inc. (NasdaqGS:AVID)</t>
  </si>
  <si>
    <t>NasdaqGS:AVID</t>
  </si>
  <si>
    <t>Semrush Holdings, Inc. (NYSE:SEMR)</t>
  </si>
  <si>
    <t>NYSE:SEMR</t>
  </si>
  <si>
    <t>Adeia Inc. (NasdaqGS:ADEA)</t>
  </si>
  <si>
    <t>NasdaqGS:ADEA</t>
  </si>
  <si>
    <t>A10 Networks, Inc. (NYSE:ATEN)</t>
  </si>
  <si>
    <t>NYSE:ATEN</t>
  </si>
  <si>
    <t>PAR Technology Corporation (NYSE:PAR)</t>
  </si>
  <si>
    <t>NYSE:PAR</t>
  </si>
  <si>
    <t>Harmonic Inc. (NasdaqGS:HLIT)</t>
  </si>
  <si>
    <t>NasdaqGS:HLIT</t>
  </si>
  <si>
    <t>Digi International Inc. (NasdaqGS:DGII)</t>
  </si>
  <si>
    <t>NasdaqGS:DGII</t>
  </si>
  <si>
    <t>indie Semiconductor, Inc. (NasdaqCM:INDI)</t>
  </si>
  <si>
    <t>NasdaqCM:INDI</t>
  </si>
  <si>
    <t>Olo Inc. (NYSE:OLO)</t>
  </si>
  <si>
    <t>NYSE:OLO</t>
  </si>
  <si>
    <t>Model N, Inc. (NYSE:MODN)</t>
  </si>
  <si>
    <t>NYSE:MODN</t>
  </si>
  <si>
    <t>Arlo Technologies, Inc. (NYSE:ARLO)</t>
  </si>
  <si>
    <t>NYSE:ARLO</t>
  </si>
  <si>
    <t>ACM Research, Inc. (NasdaqGM:ACMR)</t>
  </si>
  <si>
    <t>NasdaqGM:ACMR</t>
  </si>
  <si>
    <t>Infinera Corporation (NasdaqGS:INFN)</t>
  </si>
  <si>
    <t>NasdaqGS:INFN</t>
  </si>
  <si>
    <t>Everbridge, Inc. (NasdaqGM:EVBG)</t>
  </si>
  <si>
    <t>NasdaqGM:EVBG</t>
  </si>
  <si>
    <t>Grid Dynamics Holdings, Inc. (NasdaqCM:GDYN)</t>
  </si>
  <si>
    <t>NasdaqCM:GDYN</t>
  </si>
  <si>
    <t>Ichor Holdings, Ltd. (NasdaqGS:ICHR)</t>
  </si>
  <si>
    <t>NasdaqGS:ICHR</t>
  </si>
  <si>
    <t>Benchmark Electronics, Inc. (NYSE:BHE)</t>
  </si>
  <si>
    <t>NYSE:BHE</t>
  </si>
  <si>
    <t>Stratasys Ltd. (NasdaqGS:SSYS)</t>
  </si>
  <si>
    <t>NasdaqGS:SSYS</t>
  </si>
  <si>
    <t>Z Score scaled 1 to 5</t>
  </si>
  <si>
    <t>Dividends (Link)</t>
  </si>
  <si>
    <t>Sh. Out. delta: (Link)</t>
  </si>
  <si>
    <t>Earnings (Link)</t>
  </si>
  <si>
    <t>TRUE ROA (Link)</t>
  </si>
  <si>
    <t>Margin (Link)</t>
  </si>
  <si>
    <t>Profitability or Consistency (Link)</t>
  </si>
  <si>
    <t>Size (Fixed Values)</t>
  </si>
  <si>
    <t>Dividends (Fixed Values)</t>
  </si>
  <si>
    <t>Sh. Out. Delta (Fixed Values)</t>
  </si>
  <si>
    <t>Earnings (Fixed Values)</t>
  </si>
  <si>
    <t>Z-Score</t>
  </si>
  <si>
    <t>Z-Score Positive</t>
  </si>
  <si>
    <t>Z-Score Scaled 1 to 5</t>
  </si>
  <si>
    <t>Z Score Positive</t>
  </si>
  <si>
    <t>Z Score</t>
  </si>
  <si>
    <t>True ROA (Fixed Values)</t>
  </si>
  <si>
    <t>Margin (Fixed Values)</t>
  </si>
  <si>
    <t>Debt Load (Fixed Values)</t>
  </si>
  <si>
    <t>Profitability or Consistency (Fixed Values)</t>
  </si>
  <si>
    <t>Size (Link)</t>
  </si>
  <si>
    <t>Debt Load (Link)</t>
  </si>
  <si>
    <t>NM</t>
  </si>
  <si>
    <t>Final Score</t>
  </si>
  <si>
    <t>Ticker</t>
  </si>
  <si>
    <t>Market Cap</t>
  </si>
  <si>
    <t>Scaling Including Outliers</t>
  </si>
  <si>
    <t>PvFCFE(Link)</t>
  </si>
  <si>
    <t>P v FCFE fixed values</t>
  </si>
  <si>
    <t>Small Cap P v FCFE Average</t>
  </si>
  <si>
    <t>Small Cap P v FCFE Standard Deviation</t>
  </si>
  <si>
    <t>Z-Score Outliers Included</t>
  </si>
  <si>
    <t>Small Cap Dividends Average</t>
  </si>
  <si>
    <t>Small Cap Dividends Standard Deviation</t>
  </si>
  <si>
    <t>Small Cap Sh. Out. Delta Average</t>
  </si>
  <si>
    <t>Small Cap Sh. Out. Delta Standard Deviation</t>
  </si>
  <si>
    <t>Small Cap Earnings Average</t>
  </si>
  <si>
    <t>Small Cap Earnings Standard Deviation</t>
  </si>
  <si>
    <t>Small Cap TRUE ROA Average</t>
  </si>
  <si>
    <t>Small Cap TRUE ROA Standard Deviation</t>
  </si>
  <si>
    <t>Small Cap Margin Average</t>
  </si>
  <si>
    <t>Small Cap Margin Standard Deviation</t>
  </si>
  <si>
    <t>Small Cap Consistency Average</t>
  </si>
  <si>
    <t>Small Cap Consistency Standard Deviation</t>
  </si>
  <si>
    <t>Outliers Included</t>
  </si>
  <si>
    <t>Mid Cap P v FCFE Average</t>
  </si>
  <si>
    <t>Mid Cap P v FCFE Standard Deviation</t>
  </si>
  <si>
    <t>Small Cap Size Average</t>
  </si>
  <si>
    <t>Small Cap Size Standard Deviation</t>
  </si>
  <si>
    <t>Mid Cap Size Average</t>
  </si>
  <si>
    <t>Mid Cap Size Standard Deviation</t>
  </si>
  <si>
    <t>Mid Cap Sh. Out. Delta Average</t>
  </si>
  <si>
    <t>Mid Cap Sh. Out. Delta Standard Deviation</t>
  </si>
  <si>
    <t>Mid Cap Earnings Average</t>
  </si>
  <si>
    <t>Mid Cap Earnings Standard Deviation</t>
  </si>
  <si>
    <t>Mid Cap TRUE ROA Average</t>
  </si>
  <si>
    <t>Mid Cap TRUE ROA Standard Deviation</t>
  </si>
  <si>
    <t>Mid Cap Margin Average</t>
  </si>
  <si>
    <t>Mid Cap Margin Standard Deviation</t>
  </si>
  <si>
    <t>Mid Cap Consistency Average</t>
  </si>
  <si>
    <t>Mid Cap Consistency Standard Deviation</t>
  </si>
  <si>
    <t>Large Cap P v FCFE Average</t>
  </si>
  <si>
    <t>Large Cap P v FCFE Standard Deviation</t>
  </si>
  <si>
    <t>Large Cap Size Average</t>
  </si>
  <si>
    <t>Large Cap Size Standard Deviation</t>
  </si>
  <si>
    <t>Large Cap Dividends Average</t>
  </si>
  <si>
    <t>MId Cap Dividends Average</t>
  </si>
  <si>
    <t>Mid Cap Dividends Standard Deviation</t>
  </si>
  <si>
    <t>Large Cap Dividends Standard Deviation</t>
  </si>
  <si>
    <t>Large Cap Sh. Out. Delta Average</t>
  </si>
  <si>
    <t>Large Cap Sh. Out. Delta Standard Deviation</t>
  </si>
  <si>
    <t>Large Cap Earnings Average</t>
  </si>
  <si>
    <t>Large Cap Earnings Standard Deviation</t>
  </si>
  <si>
    <t>Large Cap TRUE ROA Average</t>
  </si>
  <si>
    <t>Large Cap TRUE ROA Standard Deviation</t>
  </si>
  <si>
    <t>Large Cap Margin Average</t>
  </si>
  <si>
    <t>Large Cap Margin Standard Deviation</t>
  </si>
  <si>
    <t>Large Cap Profitability Average</t>
  </si>
  <si>
    <t>Large Cap Profitability Standard Deviation</t>
  </si>
  <si>
    <t>Z-score Scaled Fixed Values (Profitability)</t>
  </si>
  <si>
    <t>Z-score Scaled Fixed Values (Debt Load)</t>
  </si>
  <si>
    <t>Z-Score Scaled Fixed Values (Margin)</t>
  </si>
  <si>
    <t>Z-score Scaled Fixed Values (True ROA)</t>
  </si>
  <si>
    <t>Z-score Scaled Fixed Values (Earnings)</t>
  </si>
  <si>
    <t>nati</t>
  </si>
  <si>
    <t>NATI</t>
  </si>
  <si>
    <t>Industry</t>
  </si>
  <si>
    <t>Large Caps</t>
  </si>
  <si>
    <t>Mid Caps</t>
  </si>
  <si>
    <t>Small Caps</t>
  </si>
  <si>
    <t>Sum of Market Caps ($B)</t>
  </si>
  <si>
    <t>Electronic Equipment, Instruments and Components</t>
  </si>
  <si>
    <t>IT Services</t>
  </si>
  <si>
    <t>Semiconductors and Semiconductor Equipment</t>
  </si>
  <si>
    <t>Software</t>
  </si>
  <si>
    <t>Fixed Values Sum of Market Caps ($B)</t>
  </si>
  <si>
    <t>INTU</t>
  </si>
  <si>
    <t>ACIW</t>
  </si>
  <si>
    <t>CSCO</t>
  </si>
  <si>
    <t>DOX</t>
  </si>
  <si>
    <t>TXN</t>
  </si>
  <si>
    <t>AAPL</t>
  </si>
  <si>
    <t>MSFT</t>
  </si>
  <si>
    <t xml:space="preserve">Primary Industry </t>
  </si>
  <si>
    <t>Z-Score Fixed (Size)</t>
  </si>
  <si>
    <t>Z-Score Fixed (Dividends)</t>
  </si>
  <si>
    <t>Z-Score Fixed (P v FCFE)</t>
  </si>
  <si>
    <t>Z-Score Fixed (Sh. Out. Delta)</t>
  </si>
  <si>
    <t>Currently in portfolio</t>
  </si>
  <si>
    <t>amzn</t>
  </si>
  <si>
    <t>goog</t>
  </si>
  <si>
    <t>voo</t>
  </si>
  <si>
    <t>Tickers Considered (Final Z-Score)</t>
  </si>
  <si>
    <t>fisv (not on portfolio visualizer or Capitol iq)</t>
  </si>
  <si>
    <t>Name</t>
  </si>
  <si>
    <t>IBM</t>
  </si>
  <si>
    <t>JNPR</t>
  </si>
  <si>
    <t>ZBRA</t>
  </si>
  <si>
    <t>QRVO</t>
  </si>
  <si>
    <t>GEN</t>
  </si>
  <si>
    <t>QLYS</t>
  </si>
  <si>
    <t>CTS</t>
  </si>
  <si>
    <t>VSH</t>
  </si>
  <si>
    <t>PRFT</t>
  </si>
  <si>
    <t>NVTS</t>
  </si>
  <si>
    <t>ADEA</t>
  </si>
  <si>
    <t>KLAC</t>
  </si>
  <si>
    <t>AMZN</t>
  </si>
  <si>
    <t>GOOG</t>
  </si>
  <si>
    <t>VOO</t>
  </si>
  <si>
    <t>Cisco Systems, Inc.</t>
  </si>
  <si>
    <t>International Business Machines Corporation</t>
  </si>
  <si>
    <t>Juniper Networks, Inc.</t>
  </si>
  <si>
    <t>Zebra Technologies Corporation</t>
  </si>
  <si>
    <t>Amdocs Limited</t>
  </si>
  <si>
    <t>Qorvo, Inc.</t>
  </si>
  <si>
    <t>Gen Digital</t>
  </si>
  <si>
    <t>Qualys, Inc.</t>
  </si>
  <si>
    <t>CTS Corporation</t>
  </si>
  <si>
    <t>Vishay Intertechnology, Inc.</t>
  </si>
  <si>
    <t>Perficient, Inc.</t>
  </si>
  <si>
    <t>Navitas Semiconductor Corp</t>
  </si>
  <si>
    <t>Adeia</t>
  </si>
  <si>
    <t>ACI Worldwide, Inc</t>
  </si>
  <si>
    <t>1-Year</t>
  </si>
  <si>
    <t>3-Year</t>
  </si>
  <si>
    <t>Tickers Included</t>
  </si>
  <si>
    <t>Percentage in the U.S.</t>
  </si>
  <si>
    <t>0?</t>
  </si>
  <si>
    <t>Revenue</t>
  </si>
  <si>
    <t>Revenue (Fixed Values)</t>
  </si>
  <si>
    <t>Segments</t>
  </si>
  <si>
    <t>IBM (3.85), CTSH (3.6)</t>
  </si>
  <si>
    <t>JNPR (3.75), FFIV (3.70)</t>
  </si>
  <si>
    <t>ZBRA (3.79), SNX (3.65)</t>
  </si>
  <si>
    <t>QRVO (3.75), AMKR (3.50)</t>
  </si>
  <si>
    <t xml:space="preserve">GEN (3.86), QLYS (3.77), DLB (3.65), </t>
  </si>
  <si>
    <t>PRFT (4.05), DXC (3.59)</t>
  </si>
  <si>
    <t>CSCO (4.33), MSI (3.38)</t>
  </si>
  <si>
    <t>MSI</t>
  </si>
  <si>
    <t xml:space="preserve">IBM </t>
  </si>
  <si>
    <t>CTSH</t>
  </si>
  <si>
    <t>FFIV</t>
  </si>
  <si>
    <t>SNX</t>
  </si>
  <si>
    <t>NSIT</t>
  </si>
  <si>
    <t>LFUS</t>
  </si>
  <si>
    <t>ARW</t>
  </si>
  <si>
    <t>TRMB</t>
  </si>
  <si>
    <t>GDDY</t>
  </si>
  <si>
    <t>AMKR</t>
  </si>
  <si>
    <t>DLB</t>
  </si>
  <si>
    <t>DOX (4.01), GDDY (3.98)</t>
  </si>
  <si>
    <t>CNXN</t>
  </si>
  <si>
    <t>IPGP</t>
  </si>
  <si>
    <t>DXC</t>
  </si>
  <si>
    <t>CRUS</t>
  </si>
  <si>
    <t>DIOD</t>
  </si>
  <si>
    <t>NVTS (3.91), CRUS (3.82), DIOD (3.69)</t>
  </si>
  <si>
    <t>ADEA (3.96), ACIW (3.88), PRGS (3.82), TDC (3.74),  VRNT (3.73), BLKB (3.73)</t>
  </si>
  <si>
    <t>PRGS</t>
  </si>
  <si>
    <t>TDC</t>
  </si>
  <si>
    <t>VRNT</t>
  </si>
  <si>
    <t>BLKB</t>
  </si>
  <si>
    <t>CTS (3.88), VSH (3.84), CNXN (3.78), IPGP (3.77)</t>
  </si>
  <si>
    <t xml:space="preserve">Aapl </t>
  </si>
  <si>
    <t>msft</t>
  </si>
  <si>
    <t xml:space="preserve">txn </t>
  </si>
  <si>
    <t xml:space="preserve">intu </t>
  </si>
  <si>
    <t>klac</t>
  </si>
  <si>
    <t>Motorola Solutions, Inc.</t>
  </si>
  <si>
    <t>Cognizant Technology Solutions Corporation</t>
  </si>
  <si>
    <t>F5 Networks, Inc.</t>
  </si>
  <si>
    <t>TD Synnex Corp</t>
  </si>
  <si>
    <t>Insight Enterprises, Inc.</t>
  </si>
  <si>
    <t>Littelfuse, Inc.</t>
  </si>
  <si>
    <t>Arrow Electronics, Inc.</t>
  </si>
  <si>
    <t>Trimble Inc.</t>
  </si>
  <si>
    <t>GoDaddy Inc.</t>
  </si>
  <si>
    <t>Amkor Technology, Inc.</t>
  </si>
  <si>
    <t>Dolby Laboratories</t>
  </si>
  <si>
    <t>PC Connection Inc</t>
  </si>
  <si>
    <t>IPG Photonics Corporation</t>
  </si>
  <si>
    <t>DXC Technology Company</t>
  </si>
  <si>
    <t>Cirrus Logic, Inc.</t>
  </si>
  <si>
    <t>Diodes Incorporated</t>
  </si>
  <si>
    <t>Progress Software Corporation</t>
  </si>
  <si>
    <t>Teradata Corporation</t>
  </si>
  <si>
    <t>Verint Systems Inc.</t>
  </si>
  <si>
    <t>Blackbaud, Inc.</t>
  </si>
  <si>
    <t>CSCO IBM CTSH JNPR NSIT DOX GDDY QLYS CNXN IPGP PRFT DXC NVTS CRUS ADEA ACIW PRGS TDC BLKB</t>
  </si>
  <si>
    <t>Final Tickers After Matrices</t>
  </si>
  <si>
    <t xml:space="preserve">CTSH </t>
  </si>
  <si>
    <t>List After Filtering By Z-Score</t>
  </si>
  <si>
    <t>List  After Filtering by Correlation</t>
  </si>
  <si>
    <t>x</t>
  </si>
  <si>
    <t>List  After Filtering by International Revenue</t>
  </si>
  <si>
    <t>MRK</t>
  </si>
  <si>
    <t>UNH</t>
  </si>
  <si>
    <t>TMO</t>
  </si>
  <si>
    <t>MCK</t>
  </si>
  <si>
    <t>VRTX</t>
  </si>
  <si>
    <t>SBUX</t>
  </si>
  <si>
    <t>WSM</t>
  </si>
  <si>
    <t>LULU</t>
  </si>
  <si>
    <t>ULTA</t>
  </si>
  <si>
    <t>BAC</t>
  </si>
  <si>
    <t>AXP</t>
  </si>
  <si>
    <t>TRV</t>
  </si>
  <si>
    <t>BLK</t>
  </si>
  <si>
    <t>MS</t>
  </si>
  <si>
    <t>SCHW</t>
  </si>
  <si>
    <t>CMCSA</t>
  </si>
  <si>
    <t>VZ</t>
  </si>
  <si>
    <t>LMT</t>
  </si>
  <si>
    <t>DE</t>
  </si>
  <si>
    <t>MMM</t>
  </si>
  <si>
    <t>WM</t>
  </si>
  <si>
    <t>EXPD</t>
  </si>
  <si>
    <t>PG</t>
  </si>
  <si>
    <t>TGT</t>
  </si>
  <si>
    <t>GIS</t>
  </si>
  <si>
    <t>VLO</t>
  </si>
  <si>
    <t>AMT</t>
  </si>
  <si>
    <t>PSA</t>
  </si>
  <si>
    <t>CF</t>
  </si>
  <si>
    <t>NEE</t>
  </si>
  <si>
    <t>LNT</t>
  </si>
  <si>
    <t>CSCO MSI IBM  CTSH JNPR FFIV ZBRA SNX NSIT LFUS ARW TRMB DOX GDDY QRVO AMKR GEN QLYS DLB CTS VSH CNXN IPGP PRFT DXC NVTS CRUS DIOD ADEA ACIW PRGS TDC VRNT BLKB AAPL  MSFT TXN  INTU  KLAC AMZN GOOG VOO MRK UNH TMO MCK VRTX SBUX WSM LULU ULTA BAC AXP TRV BLK MS SCHW CMCSA VZ LMT DE MMM WM EXPD PG TGT GIS VLO AMT PSA CF NEE LNT FI</t>
  </si>
  <si>
    <t>FI</t>
  </si>
  <si>
    <t>These did not do well but keep for qualitative analysis</t>
  </si>
  <si>
    <t>Industry Percentage Weight</t>
  </si>
  <si>
    <t>Industry Percentage Weignt</t>
  </si>
  <si>
    <t>TXN (4.25), KLAC (3.85)</t>
  </si>
  <si>
    <t>AAPL (4.09)</t>
  </si>
  <si>
    <t>MSFT (3.96), INTU (3.53)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</si>
</sst>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
    <numFmt numFmtId="166" formatCode="_(* #,##0.0_);_(* \(#,##0.0\)_)\ ;_(* 0_)"/>
  </numFmts>
  <fonts count="29">
    <font>
      <sz val="11"/>
      <color theme="1"/>
      <name val="Calibri"/>
      <family val="2"/>
      <scheme val="minor"/>
    </font>
    <font>
      <b/>
      <sz val="10"/>
      <color theme="1"/>
      <name val="Times New Roman"/>
      <family val="1"/>
    </font>
    <font>
      <sz val="10"/>
      <color theme="1"/>
      <name val="Times New Roman"/>
      <family val="1"/>
    </font>
    <font>
      <sz val="10"/>
      <color theme="0"/>
      <name val="Times New Roman"/>
      <family val="1"/>
    </font>
    <font>
      <sz val="10"/>
      <color theme="1"/>
      <name val="Calibri"/>
      <family val="2"/>
      <scheme val="minor"/>
    </font>
    <font>
      <b/>
      <sz val="9"/>
      <color indexed="81"/>
      <name val="Tahoma"/>
      <family val="2"/>
    </font>
    <font>
      <sz val="9"/>
      <color indexed="81"/>
      <name val="Tahoma"/>
      <family val="2"/>
    </font>
    <font>
      <u/>
      <sz val="9"/>
      <color indexed="81"/>
      <name val="Tahoma"/>
      <family val="2"/>
    </font>
    <font>
      <sz val="10"/>
      <name val="Arial"/>
      <family val="2"/>
    </font>
    <font>
      <sz val="8"/>
      <name val="Arial"/>
      <family val="2"/>
    </font>
    <font>
      <b/>
      <u val="singleAccounting"/>
      <sz val="8"/>
      <color indexed="8"/>
      <name val="Arial"/>
      <family val="2"/>
    </font>
    <font>
      <sz val="8"/>
      <color indexed="8"/>
      <name val="Arial"/>
      <family val="2"/>
    </font>
    <font>
      <sz val="10"/>
      <color rgb="FF000000"/>
      <name val="Times New Roman"/>
      <family val="1"/>
    </font>
    <font>
      <b/>
      <sz val="9"/>
      <color rgb="FF000000"/>
      <name val="Tahoma"/>
      <family val="2"/>
    </font>
    <font>
      <sz val="9"/>
      <color rgb="FF000000"/>
      <name val="Tahoma"/>
      <family val="2"/>
    </font>
    <font>
      <u/>
      <sz val="9"/>
      <color rgb="FF000000"/>
      <name val="Tahoma"/>
      <family val="2"/>
    </font>
    <font>
      <sz val="8"/>
      <name val="Calibri"/>
      <family val="2"/>
      <scheme val="minor"/>
    </font>
    <font>
      <b/>
      <u val="singleAccounting"/>
      <sz val="12"/>
      <color indexed="8"/>
      <name val="Arial"/>
      <family val="2"/>
    </font>
    <font>
      <b/>
      <sz val="12"/>
      <color theme="1"/>
      <name val="Calibri"/>
      <family val="2"/>
      <scheme val="minor"/>
    </font>
    <font>
      <b/>
      <sz val="11"/>
      <color theme="1"/>
      <name val="Calibri"/>
      <family val="2"/>
      <scheme val="minor"/>
    </font>
    <font>
      <b/>
      <sz val="10"/>
      <color theme="1"/>
      <name val="Calibri"/>
      <family val="2"/>
      <scheme val="minor"/>
    </font>
    <font>
      <b/>
      <sz val="10"/>
      <name val="Calibri"/>
      <family val="2"/>
      <scheme val="minor"/>
    </font>
    <font>
      <b/>
      <sz val="10"/>
      <color rgb="FF000000"/>
      <name val="Calibri"/>
      <family val="2"/>
      <scheme val="minor"/>
    </font>
    <font>
      <sz val="10"/>
      <color rgb="FF212529"/>
      <name val="Segoe UI"/>
      <family val="2"/>
    </font>
    <font>
      <b/>
      <sz val="11"/>
      <color rgb="FF212529"/>
      <name val="Segoe UI"/>
      <family val="2"/>
    </font>
    <font>
      <sz val="11"/>
      <color rgb="FF212529"/>
      <name val="Segoe UI"/>
      <family val="2"/>
    </font>
    <font>
      <b/>
      <sz val="14"/>
      <color rgb="FF212529"/>
      <name val="Helvetica Neue"/>
      <family val="2"/>
    </font>
    <font>
      <sz val="14"/>
      <color rgb="FF212529"/>
      <name val="Helvetica Neue"/>
      <family val="2"/>
    </font>
    <font>
      <sz val="8"/>
      <color theme="1"/>
      <name val="Arial"/>
      <family val="2"/>
    </font>
  </fonts>
  <fills count="20">
    <fill>
      <patternFill patternType="none"/>
    </fill>
    <fill>
      <patternFill patternType="gray125"/>
    </fill>
    <fill>
      <patternFill patternType="solid">
        <fgColor indexed="60"/>
        <bgColor indexed="64"/>
      </patternFill>
    </fill>
    <fill>
      <patternFill patternType="solid">
        <fgColor rgb="FFFFC000"/>
        <bgColor indexed="64"/>
      </patternFill>
    </fill>
    <fill>
      <patternFill patternType="solid">
        <fgColor rgb="FF92D050"/>
        <bgColor indexed="64"/>
      </patternFill>
    </fill>
    <fill>
      <patternFill patternType="solid">
        <fgColor rgb="FF00B0F0"/>
        <bgColor indexed="64"/>
      </patternFill>
    </fill>
    <fill>
      <patternFill patternType="solid">
        <fgColor rgb="FFFFFF00"/>
        <bgColor indexed="64"/>
      </patternFill>
    </fill>
    <fill>
      <patternFill patternType="solid">
        <fgColor theme="5" tint="-0.249977111117893"/>
        <bgColor indexed="64"/>
      </patternFill>
    </fill>
    <fill>
      <patternFill patternType="solid">
        <fgColor rgb="FF92D050"/>
        <bgColor rgb="FF000000"/>
      </patternFill>
    </fill>
    <fill>
      <patternFill patternType="solid">
        <fgColor rgb="FF7030A0"/>
        <bgColor indexed="64"/>
      </patternFill>
    </fill>
    <fill>
      <patternFill patternType="solid">
        <fgColor rgb="FFFF0000"/>
        <bgColor indexed="64"/>
      </patternFill>
    </fill>
    <fill>
      <patternFill patternType="solid">
        <fgColor rgb="FF00B050"/>
        <bgColor indexed="64"/>
      </patternFill>
    </fill>
    <fill>
      <patternFill patternType="solid">
        <fgColor theme="4" tint="0.79998168889431442"/>
        <bgColor indexed="64"/>
      </patternFill>
    </fill>
    <fill>
      <patternFill patternType="solid">
        <fgColor rgb="FFFFFFFF"/>
        <bgColor indexed="64"/>
      </patternFill>
    </fill>
    <fill>
      <patternFill patternType="solid">
        <fgColor theme="9" tint="0.59999389629810485"/>
        <bgColor indexed="64"/>
      </patternFill>
    </fill>
    <fill>
      <patternFill patternType="solid">
        <fgColor theme="7" tint="0.39997558519241921"/>
        <bgColor indexed="64"/>
      </patternFill>
    </fill>
    <fill>
      <patternFill patternType="solid">
        <fgColor theme="4" tint="0.39997558519241921"/>
        <bgColor indexed="64"/>
      </patternFill>
    </fill>
    <fill>
      <patternFill patternType="solid">
        <fgColor theme="4" tint="0.59999389629810485"/>
        <bgColor indexed="64"/>
      </patternFill>
    </fill>
    <fill>
      <patternFill patternType="solid">
        <fgColor theme="7" tint="0.59999389629810485"/>
        <bgColor indexed="64"/>
      </patternFill>
    </fill>
    <fill>
      <patternFill patternType="solid">
        <fgColor theme="6" tint="0.59999389629810485"/>
        <bgColor indexed="64"/>
      </patternFill>
    </fill>
  </fills>
  <borders count="6">
    <border>
      <left/>
      <right/>
      <top/>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
      <left style="thin">
        <color auto="1"/>
      </left>
      <right style="thin">
        <color auto="1"/>
      </right>
      <top style="thin">
        <color auto="1"/>
      </top>
      <bottom style="thin">
        <color auto="1"/>
      </bottom>
      <diagonal/>
    </border>
    <border>
      <left/>
      <right/>
      <top/>
      <bottom style="medium">
        <color rgb="FF000000"/>
      </bottom>
      <diagonal/>
    </border>
  </borders>
  <cellStyleXfs count="4">
    <xf numFmtId="0" fontId="0" fillId="0" borderId="0"/>
    <xf numFmtId="0" fontId="8" fillId="0" borderId="0"/>
    <xf numFmtId="0" fontId="10" fillId="2" borderId="0" applyAlignment="0"/>
    <xf numFmtId="0" fontId="11" fillId="0" borderId="0" applyAlignment="0"/>
  </cellStyleXfs>
  <cellXfs count="131">
    <xf numFmtId="0" fontId="0" fillId="0" borderId="0" xfId="0"/>
    <xf numFmtId="2" fontId="2" fillId="0" borderId="0" xfId="0" applyNumberFormat="1" applyFont="1" applyAlignment="1" applyProtection="1">
      <alignment horizontal="right"/>
      <protection hidden="1"/>
    </xf>
    <xf numFmtId="4" fontId="2" fillId="0" borderId="0" xfId="0" applyNumberFormat="1" applyFont="1" applyAlignment="1" applyProtection="1">
      <alignment horizontal="right"/>
      <protection hidden="1"/>
    </xf>
    <xf numFmtId="164" fontId="2" fillId="0" borderId="0" xfId="0" applyNumberFormat="1" applyFont="1" applyAlignment="1" applyProtection="1">
      <alignment horizontal="right"/>
      <protection hidden="1"/>
    </xf>
    <xf numFmtId="10" fontId="2" fillId="0" borderId="0" xfId="0" applyNumberFormat="1" applyFont="1" applyAlignment="1" applyProtection="1">
      <alignment horizontal="right"/>
      <protection hidden="1"/>
    </xf>
    <xf numFmtId="2" fontId="2" fillId="0" borderId="0" xfId="0" applyNumberFormat="1" applyFont="1" applyProtection="1">
      <protection hidden="1"/>
    </xf>
    <xf numFmtId="0" fontId="0" fillId="0" borderId="0" xfId="0" applyProtection="1">
      <protection locked="0"/>
    </xf>
    <xf numFmtId="1" fontId="0" fillId="0" borderId="0" xfId="0" applyNumberFormat="1" applyProtection="1">
      <protection locked="0"/>
    </xf>
    <xf numFmtId="0" fontId="0" fillId="0" borderId="0" xfId="0" applyAlignment="1" applyProtection="1">
      <alignment horizontal="center"/>
      <protection locked="0"/>
    </xf>
    <xf numFmtId="0" fontId="1" fillId="0" borderId="1" xfId="0" applyFont="1" applyBorder="1" applyAlignment="1" applyProtection="1">
      <alignment horizontal="center"/>
      <protection locked="0"/>
    </xf>
    <xf numFmtId="1" fontId="1" fillId="0" borderId="1" xfId="0" applyNumberFormat="1" applyFont="1" applyBorder="1" applyAlignment="1" applyProtection="1">
      <alignment horizontal="center"/>
      <protection locked="0"/>
    </xf>
    <xf numFmtId="2" fontId="1" fillId="0" borderId="1" xfId="0" applyNumberFormat="1" applyFont="1" applyBorder="1" applyAlignment="1" applyProtection="1">
      <alignment horizontal="center"/>
      <protection locked="0"/>
    </xf>
    <xf numFmtId="0" fontId="2" fillId="0" borderId="0" xfId="0" applyFont="1" applyAlignment="1" applyProtection="1">
      <alignment horizontal="left"/>
      <protection locked="0"/>
    </xf>
    <xf numFmtId="1" fontId="2" fillId="0" borderId="0" xfId="0" applyNumberFormat="1" applyFont="1" applyProtection="1">
      <protection locked="0"/>
    </xf>
    <xf numFmtId="0" fontId="1" fillId="0" borderId="0" xfId="0" applyFont="1" applyAlignment="1" applyProtection="1">
      <alignment horizontal="center"/>
      <protection locked="0"/>
    </xf>
    <xf numFmtId="4" fontId="2" fillId="0" borderId="0" xfId="0" applyNumberFormat="1" applyFont="1" applyProtection="1">
      <protection locked="0"/>
    </xf>
    <xf numFmtId="10" fontId="2" fillId="0" borderId="0" xfId="0" applyNumberFormat="1" applyFont="1" applyProtection="1">
      <protection locked="0"/>
    </xf>
    <xf numFmtId="3" fontId="2" fillId="0" borderId="0" xfId="0" applyNumberFormat="1" applyFont="1" applyProtection="1">
      <protection locked="0"/>
    </xf>
    <xf numFmtId="0" fontId="2" fillId="0" borderId="0" xfId="0" applyFont="1" applyProtection="1">
      <protection locked="0"/>
    </xf>
    <xf numFmtId="3" fontId="3" fillId="0" borderId="0" xfId="0" applyNumberFormat="1" applyFont="1" applyProtection="1">
      <protection locked="0"/>
    </xf>
    <xf numFmtId="0" fontId="1" fillId="0" borderId="3" xfId="0" applyFont="1" applyBorder="1" applyAlignment="1" applyProtection="1">
      <alignment horizontal="center"/>
      <protection locked="0"/>
    </xf>
    <xf numFmtId="4" fontId="2" fillId="0" borderId="3" xfId="0" applyNumberFormat="1" applyFont="1" applyBorder="1" applyProtection="1">
      <protection locked="0"/>
    </xf>
    <xf numFmtId="10" fontId="2" fillId="0" borderId="3" xfId="0" applyNumberFormat="1" applyFont="1" applyBorder="1" applyProtection="1">
      <protection locked="0"/>
    </xf>
    <xf numFmtId="3" fontId="2" fillId="0" borderId="3" xfId="0" applyNumberFormat="1" applyFont="1" applyBorder="1" applyProtection="1">
      <protection locked="0"/>
    </xf>
    <xf numFmtId="1" fontId="1" fillId="0" borderId="0" xfId="0" applyNumberFormat="1" applyFont="1" applyProtection="1">
      <protection locked="0"/>
    </xf>
    <xf numFmtId="0" fontId="1" fillId="0" borderId="0" xfId="0" applyFont="1" applyProtection="1">
      <protection locked="0"/>
    </xf>
    <xf numFmtId="10" fontId="1" fillId="0" borderId="0" xfId="0" applyNumberFormat="1" applyFont="1" applyProtection="1">
      <protection locked="0"/>
    </xf>
    <xf numFmtId="164" fontId="1" fillId="0" borderId="0" xfId="0" applyNumberFormat="1" applyFont="1" applyProtection="1">
      <protection locked="0"/>
    </xf>
    <xf numFmtId="165" fontId="1" fillId="0" borderId="0" xfId="0" applyNumberFormat="1" applyFont="1" applyProtection="1">
      <protection locked="0"/>
    </xf>
    <xf numFmtId="0" fontId="0" fillId="0" borderId="3" xfId="0" applyBorder="1" applyProtection="1">
      <protection locked="0"/>
    </xf>
    <xf numFmtId="1" fontId="1" fillId="0" borderId="3" xfId="0" applyNumberFormat="1" applyFont="1" applyBorder="1" applyProtection="1">
      <protection locked="0"/>
    </xf>
    <xf numFmtId="0" fontId="1" fillId="0" borderId="3" xfId="0" applyFont="1" applyBorder="1" applyProtection="1">
      <protection locked="0"/>
    </xf>
    <xf numFmtId="10" fontId="1" fillId="0" borderId="3" xfId="0" applyNumberFormat="1" applyFont="1" applyBorder="1" applyProtection="1">
      <protection locked="0"/>
    </xf>
    <xf numFmtId="164" fontId="1" fillId="0" borderId="3" xfId="0" applyNumberFormat="1" applyFont="1" applyBorder="1" applyProtection="1">
      <protection locked="0"/>
    </xf>
    <xf numFmtId="165" fontId="1" fillId="0" borderId="3" xfId="0" applyNumberFormat="1" applyFont="1" applyBorder="1" applyProtection="1">
      <protection locked="0"/>
    </xf>
    <xf numFmtId="2" fontId="1" fillId="0" borderId="0" xfId="0" applyNumberFormat="1" applyFont="1" applyProtection="1">
      <protection locked="0"/>
    </xf>
    <xf numFmtId="2" fontId="1" fillId="0" borderId="0" xfId="0" applyNumberFormat="1" applyFont="1" applyAlignment="1" applyProtection="1">
      <alignment horizontal="right"/>
      <protection locked="0"/>
    </xf>
    <xf numFmtId="0" fontId="2" fillId="0" borderId="2" xfId="0" applyFont="1" applyBorder="1" applyProtection="1">
      <protection locked="0"/>
    </xf>
    <xf numFmtId="0" fontId="2" fillId="0" borderId="0" xfId="0" applyFont="1" applyAlignment="1" applyProtection="1">
      <alignment horizontal="right"/>
      <protection locked="0"/>
    </xf>
    <xf numFmtId="2" fontId="2" fillId="0" borderId="0" xfId="0" applyNumberFormat="1" applyFont="1" applyAlignment="1" applyProtection="1">
      <alignment horizontal="right"/>
      <protection locked="0"/>
    </xf>
    <xf numFmtId="0" fontId="2" fillId="0" borderId="3" xfId="0" applyFont="1" applyBorder="1" applyProtection="1">
      <protection locked="0"/>
    </xf>
    <xf numFmtId="2" fontId="1" fillId="0" borderId="3" xfId="0" applyNumberFormat="1" applyFont="1" applyBorder="1" applyAlignment="1" applyProtection="1">
      <alignment horizontal="right"/>
      <protection locked="0"/>
    </xf>
    <xf numFmtId="2" fontId="2" fillId="0" borderId="2" xfId="0" applyNumberFormat="1" applyFont="1" applyBorder="1" applyAlignment="1" applyProtection="1">
      <alignment horizontal="center"/>
      <protection locked="0"/>
    </xf>
    <xf numFmtId="0" fontId="0" fillId="0" borderId="0" xfId="0" applyAlignment="1" applyProtection="1">
      <alignment horizontal="right"/>
      <protection hidden="1"/>
    </xf>
    <xf numFmtId="0" fontId="0" fillId="0" borderId="2" xfId="0" applyBorder="1" applyAlignment="1" applyProtection="1">
      <alignment horizontal="right"/>
      <protection hidden="1"/>
    </xf>
    <xf numFmtId="0" fontId="4" fillId="0" borderId="0" xfId="0" applyFont="1" applyAlignment="1" applyProtection="1">
      <alignment horizontal="right"/>
      <protection hidden="1"/>
    </xf>
    <xf numFmtId="0" fontId="0" fillId="0" borderId="3" xfId="0" applyBorder="1" applyAlignment="1" applyProtection="1">
      <alignment horizontal="right"/>
      <protection hidden="1"/>
    </xf>
    <xf numFmtId="0" fontId="0" fillId="0" borderId="0" xfId="0" applyAlignment="1" applyProtection="1">
      <alignment horizontal="center"/>
      <protection hidden="1"/>
    </xf>
    <xf numFmtId="0" fontId="0" fillId="0" borderId="0" xfId="0" applyProtection="1">
      <protection hidden="1"/>
    </xf>
    <xf numFmtId="0" fontId="9" fillId="0" borderId="0" xfId="1" applyFont="1"/>
    <xf numFmtId="0" fontId="11" fillId="3" borderId="0" xfId="3" applyFill="1" applyAlignment="1">
      <alignment horizontal="left" vertical="top" wrapText="1"/>
    </xf>
    <xf numFmtId="166" fontId="9" fillId="3" borderId="0" xfId="1" applyNumberFormat="1" applyFont="1" applyFill="1" applyAlignment="1">
      <alignment horizontal="right" vertical="top" wrapText="1"/>
    </xf>
    <xf numFmtId="49" fontId="9" fillId="3" borderId="0" xfId="1" applyNumberFormat="1" applyFont="1" applyFill="1" applyAlignment="1">
      <alignment horizontal="left" vertical="top"/>
    </xf>
    <xf numFmtId="0" fontId="11" fillId="4" borderId="0" xfId="3" applyFill="1" applyAlignment="1">
      <alignment horizontal="left" vertical="top" wrapText="1"/>
    </xf>
    <xf numFmtId="166" fontId="9" fillId="4" borderId="0" xfId="1" applyNumberFormat="1" applyFont="1" applyFill="1" applyAlignment="1">
      <alignment horizontal="right" vertical="top" wrapText="1"/>
    </xf>
    <xf numFmtId="49" fontId="9" fillId="4" borderId="0" xfId="1" applyNumberFormat="1" applyFont="1" applyFill="1" applyAlignment="1">
      <alignment horizontal="left" vertical="top"/>
    </xf>
    <xf numFmtId="0" fontId="11" fillId="5" borderId="0" xfId="3" applyFill="1" applyAlignment="1">
      <alignment horizontal="left" vertical="top" wrapText="1"/>
    </xf>
    <xf numFmtId="166" fontId="9" fillId="5" borderId="0" xfId="1" applyNumberFormat="1" applyFont="1" applyFill="1" applyAlignment="1">
      <alignment horizontal="right" vertical="top" wrapText="1"/>
    </xf>
    <xf numFmtId="49" fontId="9" fillId="5" borderId="0" xfId="1" applyNumberFormat="1" applyFont="1" applyFill="1" applyAlignment="1">
      <alignment horizontal="left" vertical="top"/>
    </xf>
    <xf numFmtId="0" fontId="12" fillId="0" borderId="0" xfId="0" applyFont="1" applyAlignment="1" applyProtection="1">
      <alignment horizontal="left"/>
      <protection locked="0"/>
    </xf>
    <xf numFmtId="2" fontId="9" fillId="0" borderId="0" xfId="1" quotePrefix="1" applyNumberFormat="1" applyFont="1"/>
    <xf numFmtId="2" fontId="0" fillId="0" borderId="0" xfId="0" quotePrefix="1" applyNumberFormat="1"/>
    <xf numFmtId="2" fontId="0" fillId="0" borderId="0" xfId="0" applyNumberFormat="1"/>
    <xf numFmtId="2" fontId="9" fillId="0" borderId="0" xfId="1" applyNumberFormat="1" applyFont="1"/>
    <xf numFmtId="0" fontId="9" fillId="6" borderId="4" xfId="1" applyFont="1" applyFill="1" applyBorder="1" applyAlignment="1">
      <alignment wrapText="1"/>
    </xf>
    <xf numFmtId="0" fontId="0" fillId="6" borderId="4" xfId="0" applyFill="1" applyBorder="1"/>
    <xf numFmtId="2" fontId="0" fillId="6" borderId="4" xfId="0" applyNumberFormat="1" applyFill="1" applyBorder="1"/>
    <xf numFmtId="0" fontId="9" fillId="4" borderId="0" xfId="1" applyFont="1" applyFill="1" applyAlignment="1">
      <alignment horizontal="left" vertical="top"/>
    </xf>
    <xf numFmtId="0" fontId="9" fillId="3" borderId="0" xfId="1" applyFont="1" applyFill="1" applyAlignment="1">
      <alignment horizontal="left" vertical="top"/>
    </xf>
    <xf numFmtId="0" fontId="9" fillId="5" borderId="0" xfId="1" applyFont="1" applyFill="1" applyAlignment="1">
      <alignment horizontal="left" vertical="top"/>
    </xf>
    <xf numFmtId="0" fontId="0" fillId="0" borderId="0" xfId="0" applyAlignment="1">
      <alignment wrapText="1"/>
    </xf>
    <xf numFmtId="2" fontId="0" fillId="0" borderId="0" xfId="0" applyNumberFormat="1" applyAlignment="1">
      <alignment wrapText="1"/>
    </xf>
    <xf numFmtId="10" fontId="0" fillId="0" borderId="0" xfId="0" applyNumberFormat="1" applyAlignment="1">
      <alignment wrapText="1"/>
    </xf>
    <xf numFmtId="10" fontId="0" fillId="0" borderId="0" xfId="0" applyNumberFormat="1"/>
    <xf numFmtId="0" fontId="19" fillId="0" borderId="0" xfId="0" applyFont="1" applyAlignment="1">
      <alignment wrapText="1"/>
    </xf>
    <xf numFmtId="0" fontId="19" fillId="3" borderId="0" xfId="0" applyFont="1" applyFill="1" applyAlignment="1">
      <alignment wrapText="1"/>
    </xf>
    <xf numFmtId="2" fontId="19" fillId="3" borderId="0" xfId="0" applyNumberFormat="1" applyFont="1" applyFill="1" applyAlignment="1">
      <alignment wrapText="1"/>
    </xf>
    <xf numFmtId="10" fontId="19" fillId="3" borderId="0" xfId="0" applyNumberFormat="1" applyFont="1" applyFill="1" applyAlignment="1">
      <alignment wrapText="1"/>
    </xf>
    <xf numFmtId="0" fontId="19" fillId="4" borderId="0" xfId="0" applyFont="1" applyFill="1" applyAlignment="1">
      <alignment wrapText="1"/>
    </xf>
    <xf numFmtId="10" fontId="19" fillId="4" borderId="0" xfId="0" applyNumberFormat="1" applyFont="1" applyFill="1" applyAlignment="1">
      <alignment wrapText="1"/>
    </xf>
    <xf numFmtId="0" fontId="19" fillId="5" borderId="0" xfId="0" applyFont="1" applyFill="1" applyAlignment="1">
      <alignment wrapText="1"/>
    </xf>
    <xf numFmtId="10" fontId="19" fillId="5" borderId="0" xfId="0" applyNumberFormat="1" applyFont="1" applyFill="1" applyAlignment="1">
      <alignment wrapText="1"/>
    </xf>
    <xf numFmtId="0" fontId="0" fillId="12" borderId="0" xfId="0" applyFill="1" applyAlignment="1">
      <alignment wrapText="1"/>
    </xf>
    <xf numFmtId="0" fontId="0" fillId="4" borderId="0" xfId="0" applyFill="1"/>
    <xf numFmtId="0" fontId="23" fillId="4" borderId="0" xfId="0" applyFont="1" applyFill="1" applyAlignment="1">
      <alignment vertical="center" wrapText="1"/>
    </xf>
    <xf numFmtId="0" fontId="0" fillId="4" borderId="0" xfId="0" applyFill="1" applyAlignment="1">
      <alignment wrapText="1"/>
    </xf>
    <xf numFmtId="2" fontId="0" fillId="14" borderId="0" xfId="0" applyNumberFormat="1" applyFill="1" applyAlignment="1">
      <alignment wrapText="1"/>
    </xf>
    <xf numFmtId="10" fontId="0" fillId="14" borderId="0" xfId="0" applyNumberFormat="1" applyFill="1"/>
    <xf numFmtId="1" fontId="0" fillId="14" borderId="0" xfId="0" applyNumberFormat="1" applyFill="1" applyAlignment="1">
      <alignment wrapText="1"/>
    </xf>
    <xf numFmtId="0" fontId="0" fillId="15" borderId="0" xfId="0" applyFill="1"/>
    <xf numFmtId="0" fontId="0" fillId="16" borderId="0" xfId="0" applyFill="1"/>
    <xf numFmtId="10" fontId="0" fillId="10" borderId="0" xfId="0" applyNumberFormat="1" applyFill="1" applyAlignment="1">
      <alignment wrapText="1"/>
    </xf>
    <xf numFmtId="0" fontId="24" fillId="13" borderId="5" xfId="0" applyFont="1" applyFill="1" applyBorder="1" applyAlignment="1">
      <alignment horizontal="center" vertical="center" wrapText="1"/>
    </xf>
    <xf numFmtId="0" fontId="24" fillId="13" borderId="5" xfId="0" applyFont="1" applyFill="1" applyBorder="1" applyAlignment="1">
      <alignment horizontal="right" vertical="center" wrapText="1"/>
    </xf>
    <xf numFmtId="0" fontId="25" fillId="13" borderId="5" xfId="0" applyFont="1" applyFill="1" applyBorder="1" applyAlignment="1">
      <alignment vertical="center" wrapText="1"/>
    </xf>
    <xf numFmtId="0" fontId="25" fillId="13" borderId="5" xfId="0" applyFont="1" applyFill="1" applyBorder="1" applyAlignment="1">
      <alignment horizontal="right" vertical="center"/>
    </xf>
    <xf numFmtId="0" fontId="25" fillId="13" borderId="0" xfId="0" applyFont="1" applyFill="1" applyAlignment="1">
      <alignment vertical="center" wrapText="1"/>
    </xf>
    <xf numFmtId="0" fontId="25" fillId="13" borderId="0" xfId="0" applyFont="1" applyFill="1" applyAlignment="1">
      <alignment horizontal="right" vertical="center"/>
    </xf>
    <xf numFmtId="0" fontId="25" fillId="10" borderId="5" xfId="0" applyFont="1" applyFill="1" applyBorder="1" applyAlignment="1">
      <alignment horizontal="right" vertical="center"/>
    </xf>
    <xf numFmtId="0" fontId="25" fillId="10" borderId="5" xfId="0" applyFont="1" applyFill="1" applyBorder="1" applyAlignment="1">
      <alignment vertical="center" wrapText="1"/>
    </xf>
    <xf numFmtId="0" fontId="0" fillId="17" borderId="0" xfId="0" applyFill="1"/>
    <xf numFmtId="0" fontId="25" fillId="0" borderId="5" xfId="0" applyFont="1" applyBorder="1" applyAlignment="1">
      <alignment horizontal="right" vertical="center"/>
    </xf>
    <xf numFmtId="0" fontId="0" fillId="18" borderId="0" xfId="0" applyFill="1" applyAlignment="1">
      <alignment wrapText="1"/>
    </xf>
    <xf numFmtId="0" fontId="0" fillId="19" borderId="0" xfId="0" applyFill="1" applyAlignment="1">
      <alignment wrapText="1"/>
    </xf>
    <xf numFmtId="0" fontId="26" fillId="0" borderId="0" xfId="0" applyFont="1"/>
    <xf numFmtId="0" fontId="27" fillId="0" borderId="0" xfId="0" applyFont="1"/>
    <xf numFmtId="0" fontId="27" fillId="10" borderId="0" xfId="0" applyFont="1" applyFill="1"/>
    <xf numFmtId="4" fontId="0" fillId="0" borderId="0" xfId="0" applyNumberFormat="1" applyAlignment="1">
      <alignment wrapText="1"/>
    </xf>
    <xf numFmtId="2" fontId="28" fillId="0" borderId="0" xfId="0" applyNumberFormat="1" applyFont="1"/>
    <xf numFmtId="0" fontId="28" fillId="0" borderId="0" xfId="0" applyFont="1"/>
    <xf numFmtId="0" fontId="17" fillId="2" borderId="0" xfId="2" applyFont="1" applyAlignment="1">
      <alignment horizontal="center" wrapText="1"/>
    </xf>
    <xf numFmtId="0" fontId="20" fillId="7" borderId="0" xfId="0" applyFont="1" applyFill="1" applyAlignment="1">
      <alignment horizontal="center" wrapText="1"/>
    </xf>
    <xf numFmtId="0" fontId="21" fillId="3" borderId="0" xfId="1" applyFont="1" applyFill="1" applyAlignment="1">
      <alignment horizontal="center" wrapText="1"/>
    </xf>
    <xf numFmtId="2" fontId="20" fillId="4" borderId="0" xfId="0" applyNumberFormat="1" applyFont="1" applyFill="1" applyAlignment="1">
      <alignment horizontal="center" wrapText="1"/>
    </xf>
    <xf numFmtId="0" fontId="20" fillId="5" borderId="0" xfId="0" applyFont="1" applyFill="1" applyAlignment="1">
      <alignment horizontal="center" wrapText="1"/>
    </xf>
    <xf numFmtId="0" fontId="20" fillId="9" borderId="0" xfId="0" applyFont="1" applyFill="1" applyAlignment="1">
      <alignment horizontal="center" wrapText="1"/>
    </xf>
    <xf numFmtId="0" fontId="20" fillId="10" borderId="0" xfId="0" applyFont="1" applyFill="1" applyAlignment="1">
      <alignment horizontal="center" wrapText="1"/>
    </xf>
    <xf numFmtId="0" fontId="20" fillId="3" borderId="0" xfId="0" applyFont="1" applyFill="1" applyAlignment="1">
      <alignment horizontal="center" wrapText="1"/>
    </xf>
    <xf numFmtId="0" fontId="20" fillId="6" borderId="0" xfId="0" applyFont="1" applyFill="1" applyAlignment="1">
      <alignment horizontal="center" wrapText="1"/>
    </xf>
    <xf numFmtId="2" fontId="20" fillId="11" borderId="0" xfId="0" applyNumberFormat="1" applyFont="1" applyFill="1" applyAlignment="1">
      <alignment horizontal="center" wrapText="1"/>
    </xf>
    <xf numFmtId="2" fontId="18" fillId="7" borderId="0" xfId="0" applyNumberFormat="1" applyFont="1" applyFill="1" applyAlignment="1">
      <alignment horizontal="center" wrapText="1"/>
    </xf>
    <xf numFmtId="0" fontId="18" fillId="7" borderId="0" xfId="0" applyFont="1" applyFill="1" applyAlignment="1">
      <alignment horizontal="center" wrapText="1"/>
    </xf>
    <xf numFmtId="2" fontId="21" fillId="3" borderId="0" xfId="1" applyNumberFormat="1" applyFont="1" applyFill="1" applyAlignment="1">
      <alignment horizontal="center" wrapText="1"/>
    </xf>
    <xf numFmtId="0" fontId="20" fillId="4" borderId="0" xfId="0" applyFont="1" applyFill="1" applyAlignment="1">
      <alignment horizontal="center" wrapText="1"/>
    </xf>
    <xf numFmtId="0" fontId="21" fillId="4" borderId="0" xfId="1" applyFont="1" applyFill="1" applyAlignment="1">
      <alignment horizontal="center" wrapText="1"/>
    </xf>
    <xf numFmtId="2" fontId="22" fillId="8" borderId="0" xfId="0" applyNumberFormat="1" applyFont="1" applyFill="1" applyAlignment="1">
      <alignment horizontal="center" wrapText="1"/>
    </xf>
    <xf numFmtId="0" fontId="20" fillId="5" borderId="0" xfId="1" applyFont="1" applyFill="1" applyAlignment="1" applyProtection="1">
      <alignment horizontal="center" wrapText="1"/>
      <protection locked="0"/>
    </xf>
    <xf numFmtId="0" fontId="21" fillId="5" borderId="0" xfId="1" applyFont="1" applyFill="1" applyAlignment="1">
      <alignment horizontal="center" wrapText="1"/>
    </xf>
    <xf numFmtId="0" fontId="21" fillId="9" borderId="0" xfId="1" applyFont="1" applyFill="1" applyAlignment="1">
      <alignment horizontal="center" wrapText="1"/>
    </xf>
    <xf numFmtId="0" fontId="20" fillId="11" borderId="0" xfId="0" applyFont="1" applyFill="1" applyAlignment="1">
      <alignment horizontal="center" wrapText="1"/>
    </xf>
    <xf numFmtId="0" fontId="9" fillId="0" borderId="0" xfId="1" applyFont="1" applyAlignment="1">
      <alignment horizontal="center" wrapText="1"/>
    </xf>
  </cellXfs>
  <cellStyles count="4">
    <cellStyle name="ColumnHeaderNormal" xfId="2" xr:uid="{E1272C1B-CB9A-454D-8678-ECBE79C87755}"/>
    <cellStyle name="Normal" xfId="0" builtinId="0"/>
    <cellStyle name="Normal 2" xfId="1" xr:uid="{B5364F38-5B67-CC49-890C-5D4EF83E76A6}"/>
    <cellStyle name="TextNormal" xfId="3" xr:uid="{B49B8A05-6AD5-DA4E-94D5-62D7D44DE1F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44ECC6-7ECB-9541-9F28-AE46124868C6}">
  <sheetPr codeName="Sheet1">
    <outlinePr summaryBelow="0" summaryRight="0"/>
    <pageSetUpPr autoPageBreaks="0"/>
  </sheetPr>
  <dimension ref="A1:BM272"/>
  <sheetViews>
    <sheetView zoomScaleNormal="100" workbookViewId="0">
      <pane ySplit="1" topLeftCell="A91" activePane="bottomLeft" state="frozen"/>
      <selection pane="bottomLeft" activeCell="BM84" sqref="BM84"/>
    </sheetView>
  </sheetViews>
  <sheetFormatPr defaultColWidth="11.42578125" defaultRowHeight="15"/>
  <cols>
    <col min="1" max="1" width="35.42578125" style="49" customWidth="1"/>
    <col min="2" max="2" width="13.7109375" style="49" bestFit="1" customWidth="1"/>
    <col min="3" max="3" width="9.85546875" style="49" customWidth="1"/>
    <col min="4" max="4" width="34.7109375" style="49" bestFit="1" customWidth="1"/>
    <col min="5" max="5" width="21.85546875" style="49" customWidth="1"/>
    <col min="6" max="6" width="12" style="49" hidden="1" customWidth="1"/>
    <col min="7" max="7" width="14" hidden="1" customWidth="1"/>
    <col min="8" max="9" width="8" style="62" hidden="1" customWidth="1"/>
    <col min="10" max="10" width="13.140625" style="62" hidden="1" customWidth="1"/>
    <col min="11" max="11" width="15.85546875" hidden="1" customWidth="1"/>
    <col min="12" max="12" width="11.7109375" customWidth="1"/>
    <col min="13" max="13" width="10.7109375" style="49" hidden="1" customWidth="1"/>
    <col min="14" max="14" width="12.42578125" style="49" hidden="1" customWidth="1"/>
    <col min="15" max="15" width="8.28515625" style="63" hidden="1" customWidth="1"/>
    <col min="16" max="16" width="8.28515625" style="49" hidden="1" customWidth="1"/>
    <col min="17" max="17" width="13.140625" style="49" hidden="1" customWidth="1"/>
    <col min="18" max="18" width="0.140625" customWidth="1"/>
    <col min="19" max="19" width="11.7109375" style="49" customWidth="1"/>
    <col min="20" max="20" width="16.7109375" style="49" hidden="1" customWidth="1"/>
    <col min="21" max="21" width="14.42578125" style="49" hidden="1" customWidth="1"/>
    <col min="22" max="22" width="8.140625" style="63" hidden="1" customWidth="1"/>
    <col min="23" max="23" width="8.85546875" style="49" hidden="1" customWidth="1"/>
    <col min="24" max="24" width="12.85546875" style="49" hidden="1" customWidth="1"/>
    <col min="25" max="25" width="14.42578125" style="63" hidden="1" customWidth="1"/>
    <col min="26" max="26" width="12.28515625" style="63" customWidth="1"/>
    <col min="27" max="27" width="21.42578125" style="49" hidden="1" customWidth="1"/>
    <col min="28" max="28" width="16.7109375" style="49" hidden="1" customWidth="1"/>
    <col min="29" max="29" width="8.140625" style="49" hidden="1" customWidth="1"/>
    <col min="30" max="30" width="9.28515625" style="49" hidden="1" customWidth="1"/>
    <col min="31" max="31" width="11.42578125" style="49" hidden="1" customWidth="1"/>
    <col min="32" max="32" width="3.140625" style="49" hidden="1" customWidth="1"/>
    <col min="33" max="33" width="12.7109375" style="49" customWidth="1"/>
    <col min="34" max="34" width="15.42578125" style="49" hidden="1" customWidth="1"/>
    <col min="35" max="35" width="13.140625" style="49" hidden="1" customWidth="1"/>
    <col min="36" max="36" width="8.140625" style="49" hidden="1" customWidth="1"/>
    <col min="37" max="37" width="8.42578125" style="49" hidden="1" customWidth="1"/>
    <col min="38" max="38" width="13.85546875" style="49" hidden="1" customWidth="1"/>
    <col min="39" max="39" width="14.28515625" style="49" hidden="1" customWidth="1"/>
    <col min="40" max="40" width="8.42578125" style="49" customWidth="1"/>
    <col min="41" max="41" width="17" style="49" hidden="1" customWidth="1"/>
    <col min="42" max="42" width="12.7109375" style="49" hidden="1" customWidth="1"/>
    <col min="43" max="43" width="7.42578125" style="49" hidden="1" customWidth="1"/>
    <col min="44" max="44" width="8.85546875" style="49" hidden="1" customWidth="1"/>
    <col min="45" max="45" width="11.7109375" style="49" hidden="1" customWidth="1"/>
    <col min="46" max="46" width="1.42578125" style="49" hidden="1" customWidth="1"/>
    <col min="47" max="47" width="21.42578125" style="49" customWidth="1"/>
    <col min="48" max="48" width="14.140625" style="49" hidden="1" customWidth="1"/>
    <col min="49" max="49" width="12.7109375" style="49" hidden="1" customWidth="1"/>
    <col min="50" max="50" width="8.140625" style="49" hidden="1" customWidth="1"/>
    <col min="51" max="51" width="8.85546875" style="49" hidden="1" customWidth="1"/>
    <col min="52" max="52" width="13" style="49" hidden="1" customWidth="1"/>
    <col min="53" max="53" width="14.7109375" style="49" hidden="1" customWidth="1"/>
    <col min="54" max="54" width="21" style="49" bestFit="1" customWidth="1"/>
    <col min="55" max="55" width="17.28515625" style="49" hidden="1" customWidth="1"/>
    <col min="56" max="56" width="13.42578125" style="49" hidden="1" customWidth="1"/>
    <col min="57" max="57" width="20.7109375" style="49" bestFit="1" customWidth="1"/>
    <col min="58" max="58" width="17" style="49" hidden="1" customWidth="1"/>
    <col min="59" max="59" width="24.28515625" style="49" hidden="1" customWidth="1"/>
    <col min="60" max="60" width="8.140625" style="63" hidden="1" customWidth="1"/>
    <col min="61" max="61" width="7.85546875" style="49" hidden="1" customWidth="1"/>
    <col min="62" max="62" width="12.85546875" style="49" hidden="1" customWidth="1"/>
    <col min="63" max="63" width="11" style="63" hidden="1" customWidth="1"/>
    <col min="64" max="64" width="21.42578125" style="63" bestFit="1" customWidth="1"/>
    <col min="65" max="65" width="6.140625" style="63" customWidth="1"/>
    <col min="66" max="297" width="8.85546875" style="49" customWidth="1"/>
    <col min="298" max="298" width="25.85546875" style="49" customWidth="1"/>
    <col min="299" max="299" width="15.85546875" style="49" customWidth="1"/>
    <col min="300" max="300" width="25.85546875" style="49" customWidth="1"/>
    <col min="301" max="301" width="44.85546875" style="49" customWidth="1"/>
    <col min="302" max="553" width="8.85546875" style="49" customWidth="1"/>
    <col min="554" max="554" width="25.85546875" style="49" customWidth="1"/>
    <col min="555" max="555" width="15.85546875" style="49" customWidth="1"/>
    <col min="556" max="556" width="25.85546875" style="49" customWidth="1"/>
    <col min="557" max="557" width="44.85546875" style="49" customWidth="1"/>
    <col min="558" max="809" width="8.85546875" style="49" customWidth="1"/>
    <col min="810" max="810" width="25.85546875" style="49" customWidth="1"/>
    <col min="811" max="811" width="15.85546875" style="49" customWidth="1"/>
    <col min="812" max="812" width="25.85546875" style="49" customWidth="1"/>
    <col min="813" max="813" width="44.85546875" style="49" customWidth="1"/>
    <col min="814" max="1065" width="8.85546875" style="49" customWidth="1"/>
    <col min="1066" max="1066" width="25.85546875" style="49" customWidth="1"/>
    <col min="1067" max="1067" width="15.85546875" style="49" customWidth="1"/>
    <col min="1068" max="1068" width="25.85546875" style="49" customWidth="1"/>
    <col min="1069" max="1069" width="44.85546875" style="49" customWidth="1"/>
    <col min="1070" max="1321" width="8.85546875" style="49" customWidth="1"/>
    <col min="1322" max="1322" width="25.85546875" style="49" customWidth="1"/>
    <col min="1323" max="1323" width="15.85546875" style="49" customWidth="1"/>
    <col min="1324" max="1324" width="25.85546875" style="49" customWidth="1"/>
    <col min="1325" max="1325" width="44.85546875" style="49" customWidth="1"/>
    <col min="1326" max="1577" width="8.85546875" style="49" customWidth="1"/>
    <col min="1578" max="1578" width="25.85546875" style="49" customWidth="1"/>
    <col min="1579" max="1579" width="15.85546875" style="49" customWidth="1"/>
    <col min="1580" max="1580" width="25.85546875" style="49" customWidth="1"/>
    <col min="1581" max="1581" width="44.85546875" style="49" customWidth="1"/>
    <col min="1582" max="1833" width="8.85546875" style="49" customWidth="1"/>
    <col min="1834" max="1834" width="25.85546875" style="49" customWidth="1"/>
    <col min="1835" max="1835" width="15.85546875" style="49" customWidth="1"/>
    <col min="1836" max="1836" width="25.85546875" style="49" customWidth="1"/>
    <col min="1837" max="1837" width="44.85546875" style="49" customWidth="1"/>
    <col min="1838" max="2089" width="8.85546875" style="49" customWidth="1"/>
    <col min="2090" max="2090" width="25.85546875" style="49" customWidth="1"/>
    <col min="2091" max="2091" width="15.85546875" style="49" customWidth="1"/>
    <col min="2092" max="2092" width="25.85546875" style="49" customWidth="1"/>
    <col min="2093" max="2093" width="44.85546875" style="49" customWidth="1"/>
    <col min="2094" max="2345" width="8.85546875" style="49" customWidth="1"/>
    <col min="2346" max="2346" width="25.85546875" style="49" customWidth="1"/>
    <col min="2347" max="2347" width="15.85546875" style="49" customWidth="1"/>
    <col min="2348" max="2348" width="25.85546875" style="49" customWidth="1"/>
    <col min="2349" max="2349" width="44.85546875" style="49" customWidth="1"/>
    <col min="2350" max="2601" width="8.85546875" style="49" customWidth="1"/>
    <col min="2602" max="2602" width="25.85546875" style="49" customWidth="1"/>
    <col min="2603" max="2603" width="15.85546875" style="49" customWidth="1"/>
    <col min="2604" max="2604" width="25.85546875" style="49" customWidth="1"/>
    <col min="2605" max="2605" width="44.85546875" style="49" customWidth="1"/>
    <col min="2606" max="2857" width="8.85546875" style="49" customWidth="1"/>
    <col min="2858" max="2858" width="25.85546875" style="49" customWidth="1"/>
    <col min="2859" max="2859" width="15.85546875" style="49" customWidth="1"/>
    <col min="2860" max="2860" width="25.85546875" style="49" customWidth="1"/>
    <col min="2861" max="2861" width="44.85546875" style="49" customWidth="1"/>
    <col min="2862" max="3113" width="8.85546875" style="49" customWidth="1"/>
    <col min="3114" max="3114" width="25.85546875" style="49" customWidth="1"/>
    <col min="3115" max="3115" width="15.85546875" style="49" customWidth="1"/>
    <col min="3116" max="3116" width="25.85546875" style="49" customWidth="1"/>
    <col min="3117" max="3117" width="44.85546875" style="49" customWidth="1"/>
    <col min="3118" max="3369" width="8.85546875" style="49" customWidth="1"/>
    <col min="3370" max="3370" width="25.85546875" style="49" customWidth="1"/>
    <col min="3371" max="3371" width="15.85546875" style="49" customWidth="1"/>
    <col min="3372" max="3372" width="25.85546875" style="49" customWidth="1"/>
    <col min="3373" max="3373" width="44.85546875" style="49" customWidth="1"/>
    <col min="3374" max="3625" width="8.85546875" style="49" customWidth="1"/>
    <col min="3626" max="3626" width="25.85546875" style="49" customWidth="1"/>
    <col min="3627" max="3627" width="15.85546875" style="49" customWidth="1"/>
    <col min="3628" max="3628" width="25.85546875" style="49" customWidth="1"/>
    <col min="3629" max="3629" width="44.85546875" style="49" customWidth="1"/>
    <col min="3630" max="3881" width="8.85546875" style="49" customWidth="1"/>
    <col min="3882" max="3882" width="25.85546875" style="49" customWidth="1"/>
    <col min="3883" max="3883" width="15.85546875" style="49" customWidth="1"/>
    <col min="3884" max="3884" width="25.85546875" style="49" customWidth="1"/>
    <col min="3885" max="3885" width="44.85546875" style="49" customWidth="1"/>
    <col min="3886" max="4137" width="8.85546875" style="49" customWidth="1"/>
    <col min="4138" max="4138" width="25.85546875" style="49" customWidth="1"/>
    <col min="4139" max="4139" width="15.85546875" style="49" customWidth="1"/>
    <col min="4140" max="4140" width="25.85546875" style="49" customWidth="1"/>
    <col min="4141" max="4141" width="44.85546875" style="49" customWidth="1"/>
    <col min="4142" max="4393" width="8.85546875" style="49" customWidth="1"/>
    <col min="4394" max="4394" width="25.85546875" style="49" customWidth="1"/>
    <col min="4395" max="4395" width="15.85546875" style="49" customWidth="1"/>
    <col min="4396" max="4396" width="25.85546875" style="49" customWidth="1"/>
    <col min="4397" max="4397" width="44.85546875" style="49" customWidth="1"/>
    <col min="4398" max="4649" width="8.85546875" style="49" customWidth="1"/>
    <col min="4650" max="4650" width="25.85546875" style="49" customWidth="1"/>
    <col min="4651" max="4651" width="15.85546875" style="49" customWidth="1"/>
    <col min="4652" max="4652" width="25.85546875" style="49" customWidth="1"/>
    <col min="4653" max="4653" width="44.85546875" style="49" customWidth="1"/>
    <col min="4654" max="4905" width="8.85546875" style="49" customWidth="1"/>
    <col min="4906" max="4906" width="25.85546875" style="49" customWidth="1"/>
    <col min="4907" max="4907" width="15.85546875" style="49" customWidth="1"/>
    <col min="4908" max="4908" width="25.85546875" style="49" customWidth="1"/>
    <col min="4909" max="4909" width="44.85546875" style="49" customWidth="1"/>
    <col min="4910" max="5161" width="8.85546875" style="49" customWidth="1"/>
    <col min="5162" max="5162" width="25.85546875" style="49" customWidth="1"/>
    <col min="5163" max="5163" width="15.85546875" style="49" customWidth="1"/>
    <col min="5164" max="5164" width="25.85546875" style="49" customWidth="1"/>
    <col min="5165" max="5165" width="44.85546875" style="49" customWidth="1"/>
    <col min="5166" max="5417" width="8.85546875" style="49" customWidth="1"/>
    <col min="5418" max="5418" width="25.85546875" style="49" customWidth="1"/>
    <col min="5419" max="5419" width="15.85546875" style="49" customWidth="1"/>
    <col min="5420" max="5420" width="25.85546875" style="49" customWidth="1"/>
    <col min="5421" max="5421" width="44.85546875" style="49" customWidth="1"/>
    <col min="5422" max="5673" width="8.85546875" style="49" customWidth="1"/>
    <col min="5674" max="5674" width="25.85546875" style="49" customWidth="1"/>
    <col min="5675" max="5675" width="15.85546875" style="49" customWidth="1"/>
    <col min="5676" max="5676" width="25.85546875" style="49" customWidth="1"/>
    <col min="5677" max="5677" width="44.85546875" style="49" customWidth="1"/>
    <col min="5678" max="5929" width="8.85546875" style="49" customWidth="1"/>
    <col min="5930" max="5930" width="25.85546875" style="49" customWidth="1"/>
    <col min="5931" max="5931" width="15.85546875" style="49" customWidth="1"/>
    <col min="5932" max="5932" width="25.85546875" style="49" customWidth="1"/>
    <col min="5933" max="5933" width="44.85546875" style="49" customWidth="1"/>
    <col min="5934" max="6185" width="8.85546875" style="49" customWidth="1"/>
    <col min="6186" max="6186" width="25.85546875" style="49" customWidth="1"/>
    <col min="6187" max="6187" width="15.85546875" style="49" customWidth="1"/>
    <col min="6188" max="6188" width="25.85546875" style="49" customWidth="1"/>
    <col min="6189" max="6189" width="44.85546875" style="49" customWidth="1"/>
    <col min="6190" max="6441" width="8.85546875" style="49" customWidth="1"/>
    <col min="6442" max="6442" width="25.85546875" style="49" customWidth="1"/>
    <col min="6443" max="6443" width="15.85546875" style="49" customWidth="1"/>
    <col min="6444" max="6444" width="25.85546875" style="49" customWidth="1"/>
    <col min="6445" max="6445" width="44.85546875" style="49" customWidth="1"/>
    <col min="6446" max="6697" width="8.85546875" style="49" customWidth="1"/>
    <col min="6698" max="6698" width="25.85546875" style="49" customWidth="1"/>
    <col min="6699" max="6699" width="15.85546875" style="49" customWidth="1"/>
    <col min="6700" max="6700" width="25.85546875" style="49" customWidth="1"/>
    <col min="6701" max="6701" width="44.85546875" style="49" customWidth="1"/>
    <col min="6702" max="6953" width="8.85546875" style="49" customWidth="1"/>
    <col min="6954" max="6954" width="25.85546875" style="49" customWidth="1"/>
    <col min="6955" max="6955" width="15.85546875" style="49" customWidth="1"/>
    <col min="6956" max="6956" width="25.85546875" style="49" customWidth="1"/>
    <col min="6957" max="6957" width="44.85546875" style="49" customWidth="1"/>
    <col min="6958" max="7209" width="8.85546875" style="49" customWidth="1"/>
    <col min="7210" max="7210" width="25.85546875" style="49" customWidth="1"/>
    <col min="7211" max="7211" width="15.85546875" style="49" customWidth="1"/>
    <col min="7212" max="7212" width="25.85546875" style="49" customWidth="1"/>
    <col min="7213" max="7213" width="44.85546875" style="49" customWidth="1"/>
    <col min="7214" max="7465" width="8.85546875" style="49" customWidth="1"/>
    <col min="7466" max="7466" width="25.85546875" style="49" customWidth="1"/>
    <col min="7467" max="7467" width="15.85546875" style="49" customWidth="1"/>
    <col min="7468" max="7468" width="25.85546875" style="49" customWidth="1"/>
    <col min="7469" max="7469" width="44.85546875" style="49" customWidth="1"/>
    <col min="7470" max="7721" width="8.85546875" style="49" customWidth="1"/>
    <col min="7722" max="7722" width="25.85546875" style="49" customWidth="1"/>
    <col min="7723" max="7723" width="15.85546875" style="49" customWidth="1"/>
    <col min="7724" max="7724" width="25.85546875" style="49" customWidth="1"/>
    <col min="7725" max="7725" width="44.85546875" style="49" customWidth="1"/>
    <col min="7726" max="7977" width="8.85546875" style="49" customWidth="1"/>
    <col min="7978" max="7978" width="25.85546875" style="49" customWidth="1"/>
    <col min="7979" max="7979" width="15.85546875" style="49" customWidth="1"/>
    <col min="7980" max="7980" width="25.85546875" style="49" customWidth="1"/>
    <col min="7981" max="7981" width="44.85546875" style="49" customWidth="1"/>
    <col min="7982" max="8233" width="8.85546875" style="49" customWidth="1"/>
    <col min="8234" max="8234" width="25.85546875" style="49" customWidth="1"/>
    <col min="8235" max="8235" width="15.85546875" style="49" customWidth="1"/>
    <col min="8236" max="8236" width="25.85546875" style="49" customWidth="1"/>
    <col min="8237" max="8237" width="44.85546875" style="49" customWidth="1"/>
    <col min="8238" max="8489" width="8.85546875" style="49" customWidth="1"/>
    <col min="8490" max="8490" width="25.85546875" style="49" customWidth="1"/>
    <col min="8491" max="8491" width="15.85546875" style="49" customWidth="1"/>
    <col min="8492" max="8492" width="25.85546875" style="49" customWidth="1"/>
    <col min="8493" max="8493" width="44.85546875" style="49" customWidth="1"/>
    <col min="8494" max="8745" width="8.85546875" style="49" customWidth="1"/>
    <col min="8746" max="8746" width="25.85546875" style="49" customWidth="1"/>
    <col min="8747" max="8747" width="15.85546875" style="49" customWidth="1"/>
    <col min="8748" max="8748" width="25.85546875" style="49" customWidth="1"/>
    <col min="8749" max="8749" width="44.85546875" style="49" customWidth="1"/>
    <col min="8750" max="9001" width="8.85546875" style="49" customWidth="1"/>
    <col min="9002" max="9002" width="25.85546875" style="49" customWidth="1"/>
    <col min="9003" max="9003" width="15.85546875" style="49" customWidth="1"/>
    <col min="9004" max="9004" width="25.85546875" style="49" customWidth="1"/>
    <col min="9005" max="9005" width="44.85546875" style="49" customWidth="1"/>
    <col min="9006" max="9257" width="8.85546875" style="49" customWidth="1"/>
    <col min="9258" max="9258" width="25.85546875" style="49" customWidth="1"/>
    <col min="9259" max="9259" width="15.85546875" style="49" customWidth="1"/>
    <col min="9260" max="9260" width="25.85546875" style="49" customWidth="1"/>
    <col min="9261" max="9261" width="44.85546875" style="49" customWidth="1"/>
    <col min="9262" max="9513" width="8.85546875" style="49" customWidth="1"/>
    <col min="9514" max="9514" width="25.85546875" style="49" customWidth="1"/>
    <col min="9515" max="9515" width="15.85546875" style="49" customWidth="1"/>
    <col min="9516" max="9516" width="25.85546875" style="49" customWidth="1"/>
    <col min="9517" max="9517" width="44.85546875" style="49" customWidth="1"/>
    <col min="9518" max="9769" width="8.85546875" style="49" customWidth="1"/>
    <col min="9770" max="9770" width="25.85546875" style="49" customWidth="1"/>
    <col min="9771" max="9771" width="15.85546875" style="49" customWidth="1"/>
    <col min="9772" max="9772" width="25.85546875" style="49" customWidth="1"/>
    <col min="9773" max="9773" width="44.85546875" style="49" customWidth="1"/>
    <col min="9774" max="10025" width="8.85546875" style="49" customWidth="1"/>
    <col min="10026" max="10026" width="25.85546875" style="49" customWidth="1"/>
    <col min="10027" max="10027" width="15.85546875" style="49" customWidth="1"/>
    <col min="10028" max="10028" width="25.85546875" style="49" customWidth="1"/>
    <col min="10029" max="10029" width="44.85546875" style="49" customWidth="1"/>
    <col min="10030" max="10281" width="8.85546875" style="49" customWidth="1"/>
    <col min="10282" max="10282" width="25.85546875" style="49" customWidth="1"/>
    <col min="10283" max="10283" width="15.85546875" style="49" customWidth="1"/>
    <col min="10284" max="10284" width="25.85546875" style="49" customWidth="1"/>
    <col min="10285" max="10285" width="44.85546875" style="49" customWidth="1"/>
    <col min="10286" max="10537" width="8.85546875" style="49" customWidth="1"/>
    <col min="10538" max="10538" width="25.85546875" style="49" customWidth="1"/>
    <col min="10539" max="10539" width="15.85546875" style="49" customWidth="1"/>
    <col min="10540" max="10540" width="25.85546875" style="49" customWidth="1"/>
    <col min="10541" max="10541" width="44.85546875" style="49" customWidth="1"/>
    <col min="10542" max="10793" width="8.85546875" style="49" customWidth="1"/>
    <col min="10794" max="10794" width="25.85546875" style="49" customWidth="1"/>
    <col min="10795" max="10795" width="15.85546875" style="49" customWidth="1"/>
    <col min="10796" max="10796" width="25.85546875" style="49" customWidth="1"/>
    <col min="10797" max="10797" width="44.85546875" style="49" customWidth="1"/>
    <col min="10798" max="11049" width="8.85546875" style="49" customWidth="1"/>
    <col min="11050" max="11050" width="25.85546875" style="49" customWidth="1"/>
    <col min="11051" max="11051" width="15.85546875" style="49" customWidth="1"/>
    <col min="11052" max="11052" width="25.85546875" style="49" customWidth="1"/>
    <col min="11053" max="11053" width="44.85546875" style="49" customWidth="1"/>
    <col min="11054" max="11305" width="8.85546875" style="49" customWidth="1"/>
    <col min="11306" max="11306" width="25.85546875" style="49" customWidth="1"/>
    <col min="11307" max="11307" width="15.85546875" style="49" customWidth="1"/>
    <col min="11308" max="11308" width="25.85546875" style="49" customWidth="1"/>
    <col min="11309" max="11309" width="44.85546875" style="49" customWidth="1"/>
    <col min="11310" max="11561" width="8.85546875" style="49" customWidth="1"/>
    <col min="11562" max="11562" width="25.85546875" style="49" customWidth="1"/>
    <col min="11563" max="11563" width="15.85546875" style="49" customWidth="1"/>
    <col min="11564" max="11564" width="25.85546875" style="49" customWidth="1"/>
    <col min="11565" max="11565" width="44.85546875" style="49" customWidth="1"/>
    <col min="11566" max="11817" width="8.85546875" style="49" customWidth="1"/>
    <col min="11818" max="11818" width="25.85546875" style="49" customWidth="1"/>
    <col min="11819" max="11819" width="15.85546875" style="49" customWidth="1"/>
    <col min="11820" max="11820" width="25.85546875" style="49" customWidth="1"/>
    <col min="11821" max="11821" width="44.85546875" style="49" customWidth="1"/>
    <col min="11822" max="12073" width="8.85546875" style="49" customWidth="1"/>
    <col min="12074" max="12074" width="25.85546875" style="49" customWidth="1"/>
    <col min="12075" max="12075" width="15.85546875" style="49" customWidth="1"/>
    <col min="12076" max="12076" width="25.85546875" style="49" customWidth="1"/>
    <col min="12077" max="12077" width="44.85546875" style="49" customWidth="1"/>
    <col min="12078" max="12329" width="8.85546875" style="49" customWidth="1"/>
    <col min="12330" max="12330" width="25.85546875" style="49" customWidth="1"/>
    <col min="12331" max="12331" width="15.85546875" style="49" customWidth="1"/>
    <col min="12332" max="12332" width="25.85546875" style="49" customWidth="1"/>
    <col min="12333" max="12333" width="44.85546875" style="49" customWidth="1"/>
    <col min="12334" max="12585" width="8.85546875" style="49" customWidth="1"/>
    <col min="12586" max="12586" width="25.85546875" style="49" customWidth="1"/>
    <col min="12587" max="12587" width="15.85546875" style="49" customWidth="1"/>
    <col min="12588" max="12588" width="25.85546875" style="49" customWidth="1"/>
    <col min="12589" max="12589" width="44.85546875" style="49" customWidth="1"/>
    <col min="12590" max="12841" width="8.85546875" style="49" customWidth="1"/>
    <col min="12842" max="12842" width="25.85546875" style="49" customWidth="1"/>
    <col min="12843" max="12843" width="15.85546875" style="49" customWidth="1"/>
    <col min="12844" max="12844" width="25.85546875" style="49" customWidth="1"/>
    <col min="12845" max="12845" width="44.85546875" style="49" customWidth="1"/>
    <col min="12846" max="13097" width="8.85546875" style="49" customWidth="1"/>
    <col min="13098" max="13098" width="25.85546875" style="49" customWidth="1"/>
    <col min="13099" max="13099" width="15.85546875" style="49" customWidth="1"/>
    <col min="13100" max="13100" width="25.85546875" style="49" customWidth="1"/>
    <col min="13101" max="13101" width="44.85546875" style="49" customWidth="1"/>
    <col min="13102" max="13353" width="8.85546875" style="49" customWidth="1"/>
    <col min="13354" max="13354" width="25.85546875" style="49" customWidth="1"/>
    <col min="13355" max="13355" width="15.85546875" style="49" customWidth="1"/>
    <col min="13356" max="13356" width="25.85546875" style="49" customWidth="1"/>
    <col min="13357" max="13357" width="44.85546875" style="49" customWidth="1"/>
    <col min="13358" max="13609" width="8.85546875" style="49" customWidth="1"/>
    <col min="13610" max="13610" width="25.85546875" style="49" customWidth="1"/>
    <col min="13611" max="13611" width="15.85546875" style="49" customWidth="1"/>
    <col min="13612" max="13612" width="25.85546875" style="49" customWidth="1"/>
    <col min="13613" max="13613" width="44.85546875" style="49" customWidth="1"/>
    <col min="13614" max="13865" width="8.85546875" style="49" customWidth="1"/>
    <col min="13866" max="13866" width="25.85546875" style="49" customWidth="1"/>
    <col min="13867" max="13867" width="15.85546875" style="49" customWidth="1"/>
    <col min="13868" max="13868" width="25.85546875" style="49" customWidth="1"/>
    <col min="13869" max="13869" width="44.85546875" style="49" customWidth="1"/>
    <col min="13870" max="14121" width="8.85546875" style="49" customWidth="1"/>
    <col min="14122" max="14122" width="25.85546875" style="49" customWidth="1"/>
    <col min="14123" max="14123" width="15.85546875" style="49" customWidth="1"/>
    <col min="14124" max="14124" width="25.85546875" style="49" customWidth="1"/>
    <col min="14125" max="14125" width="44.85546875" style="49" customWidth="1"/>
    <col min="14126" max="14377" width="8.85546875" style="49" customWidth="1"/>
    <col min="14378" max="14378" width="25.85546875" style="49" customWidth="1"/>
    <col min="14379" max="14379" width="15.85546875" style="49" customWidth="1"/>
    <col min="14380" max="14380" width="25.85546875" style="49" customWidth="1"/>
    <col min="14381" max="14381" width="44.85546875" style="49" customWidth="1"/>
    <col min="14382" max="14633" width="8.85546875" style="49" customWidth="1"/>
    <col min="14634" max="14634" width="25.85546875" style="49" customWidth="1"/>
    <col min="14635" max="14635" width="15.85546875" style="49" customWidth="1"/>
    <col min="14636" max="14636" width="25.85546875" style="49" customWidth="1"/>
    <col min="14637" max="14637" width="44.85546875" style="49" customWidth="1"/>
    <col min="14638" max="14889" width="8.85546875" style="49" customWidth="1"/>
    <col min="14890" max="14890" width="25.85546875" style="49" customWidth="1"/>
    <col min="14891" max="14891" width="15.85546875" style="49" customWidth="1"/>
    <col min="14892" max="14892" width="25.85546875" style="49" customWidth="1"/>
    <col min="14893" max="14893" width="44.85546875" style="49" customWidth="1"/>
    <col min="14894" max="15145" width="8.85546875" style="49" customWidth="1"/>
    <col min="15146" max="15146" width="25.85546875" style="49" customWidth="1"/>
    <col min="15147" max="15147" width="15.85546875" style="49" customWidth="1"/>
    <col min="15148" max="15148" width="25.85546875" style="49" customWidth="1"/>
    <col min="15149" max="15149" width="44.85546875" style="49" customWidth="1"/>
    <col min="15150" max="15401" width="8.85546875" style="49" customWidth="1"/>
    <col min="15402" max="15402" width="25.85546875" style="49" customWidth="1"/>
    <col min="15403" max="15403" width="15.85546875" style="49" customWidth="1"/>
    <col min="15404" max="15404" width="25.85546875" style="49" customWidth="1"/>
    <col min="15405" max="15405" width="44.85546875" style="49" customWidth="1"/>
    <col min="15406" max="15657" width="8.85546875" style="49" customWidth="1"/>
    <col min="15658" max="15658" width="25.85546875" style="49" customWidth="1"/>
    <col min="15659" max="15659" width="15.85546875" style="49" customWidth="1"/>
    <col min="15660" max="15660" width="25.85546875" style="49" customWidth="1"/>
    <col min="15661" max="15661" width="44.85546875" style="49" customWidth="1"/>
    <col min="15662" max="15913" width="8.85546875" style="49" customWidth="1"/>
    <col min="15914" max="15914" width="25.85546875" style="49" customWidth="1"/>
    <col min="15915" max="15915" width="15.85546875" style="49" customWidth="1"/>
    <col min="15916" max="15916" width="25.85546875" style="49" customWidth="1"/>
    <col min="15917" max="15917" width="44.85546875" style="49" customWidth="1"/>
    <col min="15918" max="16169" width="8.85546875" style="49" customWidth="1"/>
    <col min="16170" max="16170" width="25.85546875" style="49" customWidth="1"/>
    <col min="16171" max="16171" width="15.85546875" style="49" customWidth="1"/>
    <col min="16172" max="16172" width="25.85546875" style="49" customWidth="1"/>
    <col min="16173" max="16173" width="44.85546875" style="49" customWidth="1"/>
    <col min="16174" max="16384" width="8.85546875" style="49" customWidth="1"/>
  </cols>
  <sheetData>
    <row r="1" spans="1:65" s="130" customFormat="1" ht="42.95" customHeight="1">
      <c r="A1" s="110" t="s">
        <v>61</v>
      </c>
      <c r="B1" s="110" t="s">
        <v>614</v>
      </c>
      <c r="C1" s="110" t="s">
        <v>615</v>
      </c>
      <c r="D1" s="110" t="s">
        <v>693</v>
      </c>
      <c r="E1" s="110" t="s">
        <v>676</v>
      </c>
      <c r="F1" s="121" t="s">
        <v>617</v>
      </c>
      <c r="G1" s="121" t="s">
        <v>618</v>
      </c>
      <c r="H1" s="120" t="s">
        <v>605</v>
      </c>
      <c r="I1" s="120" t="s">
        <v>604</v>
      </c>
      <c r="J1" s="120" t="s">
        <v>590</v>
      </c>
      <c r="K1" s="121" t="s">
        <v>621</v>
      </c>
      <c r="L1" s="111" t="s">
        <v>696</v>
      </c>
      <c r="M1" s="117" t="s">
        <v>610</v>
      </c>
      <c r="N1" s="112" t="s">
        <v>597</v>
      </c>
      <c r="O1" s="122" t="s">
        <v>601</v>
      </c>
      <c r="P1" s="112" t="s">
        <v>602</v>
      </c>
      <c r="Q1" s="112" t="s">
        <v>603</v>
      </c>
      <c r="R1" s="117" t="s">
        <v>621</v>
      </c>
      <c r="S1" s="112" t="s">
        <v>694</v>
      </c>
      <c r="T1" s="123" t="s">
        <v>591</v>
      </c>
      <c r="U1" s="124" t="s">
        <v>598</v>
      </c>
      <c r="V1" s="113" t="s">
        <v>605</v>
      </c>
      <c r="W1" s="123" t="s">
        <v>604</v>
      </c>
      <c r="X1" s="123" t="s">
        <v>590</v>
      </c>
      <c r="Y1" s="125" t="s">
        <v>621</v>
      </c>
      <c r="Z1" s="113" t="s">
        <v>695</v>
      </c>
      <c r="AA1" s="126" t="s">
        <v>592</v>
      </c>
      <c r="AB1" s="127" t="s">
        <v>599</v>
      </c>
      <c r="AC1" s="114" t="s">
        <v>605</v>
      </c>
      <c r="AD1" s="114" t="s">
        <v>604</v>
      </c>
      <c r="AE1" s="114" t="s">
        <v>590</v>
      </c>
      <c r="AF1" s="114" t="s">
        <v>621</v>
      </c>
      <c r="AG1" s="114" t="s">
        <v>697</v>
      </c>
      <c r="AH1" s="115" t="s">
        <v>593</v>
      </c>
      <c r="AI1" s="128" t="s">
        <v>600</v>
      </c>
      <c r="AJ1" s="115" t="s">
        <v>605</v>
      </c>
      <c r="AK1" s="115" t="s">
        <v>604</v>
      </c>
      <c r="AL1" s="115" t="s">
        <v>590</v>
      </c>
      <c r="AM1" s="115" t="s">
        <v>621</v>
      </c>
      <c r="AN1" s="115" t="s">
        <v>673</v>
      </c>
      <c r="AO1" s="116" t="s">
        <v>594</v>
      </c>
      <c r="AP1" s="116" t="s">
        <v>606</v>
      </c>
      <c r="AQ1" s="116" t="s">
        <v>605</v>
      </c>
      <c r="AR1" s="116" t="s">
        <v>604</v>
      </c>
      <c r="AS1" s="116" t="s">
        <v>590</v>
      </c>
      <c r="AT1" s="116" t="s">
        <v>616</v>
      </c>
      <c r="AU1" s="116" t="s">
        <v>672</v>
      </c>
      <c r="AV1" s="117" t="s">
        <v>595</v>
      </c>
      <c r="AW1" s="117" t="s">
        <v>607</v>
      </c>
      <c r="AX1" s="117" t="s">
        <v>605</v>
      </c>
      <c r="AY1" s="117" t="s">
        <v>604</v>
      </c>
      <c r="AZ1" s="117" t="s">
        <v>590</v>
      </c>
      <c r="BA1" s="117" t="s">
        <v>616</v>
      </c>
      <c r="BB1" s="117" t="s">
        <v>671</v>
      </c>
      <c r="BC1" s="118" t="s">
        <v>611</v>
      </c>
      <c r="BD1" s="118" t="s">
        <v>608</v>
      </c>
      <c r="BE1" s="118" t="s">
        <v>670</v>
      </c>
      <c r="BF1" s="129" t="s">
        <v>596</v>
      </c>
      <c r="BG1" s="129" t="s">
        <v>609</v>
      </c>
      <c r="BH1" s="119" t="s">
        <v>605</v>
      </c>
      <c r="BI1" s="129" t="s">
        <v>604</v>
      </c>
      <c r="BJ1" s="129" t="s">
        <v>590</v>
      </c>
      <c r="BK1" s="119" t="s">
        <v>634</v>
      </c>
      <c r="BL1" s="119" t="s">
        <v>669</v>
      </c>
      <c r="BM1" s="120" t="s">
        <v>613</v>
      </c>
    </row>
    <row r="2" spans="1:65" ht="15.95" customHeight="1">
      <c r="A2" s="50" t="s">
        <v>78</v>
      </c>
      <c r="B2" s="50" t="s">
        <v>79</v>
      </c>
      <c r="C2" s="51">
        <v>217218.7</v>
      </c>
      <c r="D2" s="52" t="s">
        <v>80</v>
      </c>
      <c r="E2" s="68" t="str" cm="1">
        <f t="array" ref="E2">_xll.ciqfunctions.udf.CIQ(B2,"iq_industry")</f>
        <v>Communications Equipment</v>
      </c>
      <c r="F2" s="60">
        <f>'Information Technology'!S94</f>
        <v>22.064250594921262</v>
      </c>
      <c r="G2" s="62">
        <v>17.962277432335544</v>
      </c>
      <c r="H2" s="62">
        <f t="shared" ref="H2:H16" si="0">-(G2-$G$266)/$G$267</f>
        <v>0.20463934964003497</v>
      </c>
      <c r="I2" s="62">
        <f t="shared" ref="I2:I16" si="1">H2-$H$3</f>
        <v>9.2077675187411209E-2</v>
      </c>
      <c r="J2" s="62">
        <f t="shared" ref="J2:J16" si="2">I2+5-$I$66</f>
        <v>4.8170357011125597</v>
      </c>
      <c r="K2" s="62">
        <v>4.3455153649612397</v>
      </c>
      <c r="L2" s="108">
        <v>4.3455153649612397</v>
      </c>
      <c r="M2" s="60">
        <f>'Information Technology'!S95</f>
        <v>23.830281000000003</v>
      </c>
      <c r="N2" s="63">
        <v>216.56995402979996</v>
      </c>
      <c r="O2" s="63">
        <f t="shared" ref="O2:O18" si="3">(N2-$N$266)/$N$267</f>
        <v>0.13348153175054209</v>
      </c>
      <c r="P2" s="63">
        <f t="shared" ref="P2:P18" si="4">O2-$O$70</f>
        <v>0.44539193577327152</v>
      </c>
      <c r="Q2" s="63">
        <f t="shared" ref="Q2:Q18" si="5">P2+5-$P$7</f>
        <v>5.4211730888851744</v>
      </c>
      <c r="R2" s="62">
        <f t="shared" ref="R2:R18" si="6">Q2+1-$Q$70</f>
        <v>1.4453919357732712</v>
      </c>
      <c r="S2" s="63">
        <v>4.868250518648912</v>
      </c>
      <c r="T2" s="60" t="e">
        <f>'Information Technology'!S96</f>
        <v>#DIV/0!</v>
      </c>
      <c r="U2" s="63">
        <v>16.590312575327591</v>
      </c>
      <c r="V2" s="63" t="e">
        <f>-(U2-$U$266)/$U$267</f>
        <v>#DIV/0!</v>
      </c>
      <c r="W2" s="63" t="e">
        <f>V2-$V$42</f>
        <v>#DIV/0!</v>
      </c>
      <c r="X2" s="63" t="e">
        <f>W2+5-$W$70</f>
        <v>#DIV/0!</v>
      </c>
      <c r="Y2" s="63">
        <v>4.830255442937367</v>
      </c>
      <c r="Z2" s="63">
        <v>4.830255442937367</v>
      </c>
      <c r="AA2" s="60">
        <f>'Information Technology'!S97</f>
        <v>-1.4304104075678725E-2</v>
      </c>
      <c r="AB2" s="63">
        <v>-2.3692710663321792E-2</v>
      </c>
      <c r="AC2" s="60">
        <f t="shared" ref="AC2:AC16" si="7">-(AB2-$AB$266)/$AB$267</f>
        <v>0.55328690251027035</v>
      </c>
      <c r="AD2" s="60">
        <f t="shared" ref="AD2:AD16" si="8">AC2-$AC$9</f>
        <v>0.68995513489056626</v>
      </c>
      <c r="AE2" s="60">
        <f t="shared" ref="AE2:AE16" si="9">AD2+5-$AD$69</f>
        <v>5.2228064372800258</v>
      </c>
      <c r="AF2" s="60">
        <v>4.4296293050928677</v>
      </c>
      <c r="AG2" s="60">
        <v>4.4296293050928677</v>
      </c>
      <c r="AH2" s="60">
        <f>'Information Technology'!S98</f>
        <v>0.15692720222835799</v>
      </c>
      <c r="AI2" s="63">
        <v>0.18692062245989727</v>
      </c>
      <c r="AJ2" s="60">
        <f t="shared" ref="AJ2:AJ12" si="10">(AI2-$AI$266)/$AI$267</f>
        <v>0.2946403477522988</v>
      </c>
      <c r="AK2" s="60">
        <f t="shared" ref="AK2:AK12" si="11">AJ2-$AJ$58</f>
        <v>0.2946403477522988</v>
      </c>
      <c r="AL2" s="60">
        <f t="shared" ref="AL2:AL12" si="12">AK2+5-$AK$3</f>
        <v>5.2602596643208974</v>
      </c>
      <c r="AM2" s="60">
        <v>2.6146485436142921</v>
      </c>
      <c r="AN2" s="60">
        <v>2.6146485436142921</v>
      </c>
      <c r="AO2" s="60">
        <f>'Information Technology'!S99</f>
        <v>6.3066903667178806E-2</v>
      </c>
      <c r="AP2" s="60">
        <v>0.14022475336695667</v>
      </c>
      <c r="AQ2" s="60">
        <f>(AP2-$AP$266)/$AP$267</f>
        <v>0.43682915921947518</v>
      </c>
      <c r="AR2" s="60">
        <f>AQ2-$AQ$66</f>
        <v>0.71999508553948521</v>
      </c>
      <c r="AS2" s="60">
        <f>AR2+5-$AR$8</f>
        <v>5.650087527911908</v>
      </c>
      <c r="AT2" s="60">
        <v>4.3895845009242231</v>
      </c>
      <c r="AU2" s="60">
        <v>4.3895845009242231</v>
      </c>
      <c r="AV2" s="60">
        <f>'Information Technology'!S100</f>
        <v>1.1559981818181817</v>
      </c>
      <c r="AW2" s="60">
        <v>0.3959027272727273</v>
      </c>
      <c r="AX2" s="60" t="e">
        <f t="shared" ref="AX2:AX15" si="13">(AW2-$AW$266)/$AW$267</f>
        <v>#DIV/0!</v>
      </c>
      <c r="AY2" s="60" t="e">
        <f t="shared" ref="AY2:AY15" si="14">AX2-$AX$67</f>
        <v>#DIV/0!</v>
      </c>
      <c r="AZ2" s="60" t="e">
        <f t="shared" ref="AZ2:AZ15" si="15">AY2+5-$AY$14</f>
        <v>#DIV/0!</v>
      </c>
      <c r="BA2" s="60">
        <v>2.4437941689822402</v>
      </c>
      <c r="BB2" s="60">
        <v>2.4437941689822402</v>
      </c>
      <c r="BC2" s="60">
        <f>'Information Technology'!S101</f>
        <v>-4.788613038364873E-2</v>
      </c>
      <c r="BD2" s="60">
        <v>-0.38478269834808659</v>
      </c>
      <c r="BE2" s="60">
        <v>5</v>
      </c>
      <c r="BF2" s="60">
        <f>'Information Technology'!S102</f>
        <v>14.182510000000001</v>
      </c>
      <c r="BG2" s="63">
        <v>11.178269999999999</v>
      </c>
      <c r="BH2" s="63">
        <f t="shared" ref="BH2:BH15" si="16">-(BG2-$BG$266)/$BG$267</f>
        <v>0.7316919000902774</v>
      </c>
      <c r="BI2" s="63">
        <f t="shared" ref="BI2:BI15" si="17">BH2-$BH$16</f>
        <v>0.7316919000902774</v>
      </c>
      <c r="BJ2" s="63">
        <f t="shared" ref="BJ2:BJ15" si="18">BI2+5-$BI$70</f>
        <v>5.7316919000902775</v>
      </c>
      <c r="BK2" s="63">
        <v>4.5795429570002897</v>
      </c>
      <c r="BL2" s="63">
        <v>4.5795429570002897</v>
      </c>
      <c r="BM2" s="63">
        <f t="shared" ref="BM2:BM33" si="19">0.35*(L2)+0.2*(S2)+0.08*(Z2)+0.07*(AG2)+0.08*(AN2)+0.02*(AU2)+0.05*(BB2)+0.075*(BE2)+0.075*(BL2)</f>
        <v>4.3286939719894679</v>
      </c>
    </row>
    <row r="3" spans="1:65">
      <c r="A3" s="50" t="s">
        <v>131</v>
      </c>
      <c r="B3" s="50" t="s">
        <v>132</v>
      </c>
      <c r="C3" s="51">
        <v>46388</v>
      </c>
      <c r="D3" s="52" t="s">
        <v>80</v>
      </c>
      <c r="E3" s="68" t="str" cm="1">
        <f t="array" ref="E3">_xll.ciqfunctions.udf.CIQ(B3,"iq_industry")</f>
        <v>Communications Equipment</v>
      </c>
      <c r="F3" s="60">
        <f>'Information Technology'!S454</f>
        <v>28.522884743461578</v>
      </c>
      <c r="G3" s="62">
        <v>24.095003722835543</v>
      </c>
      <c r="H3" s="62">
        <f t="shared" si="0"/>
        <v>0.11256167445262376</v>
      </c>
      <c r="I3" s="62">
        <f t="shared" si="1"/>
        <v>0</v>
      </c>
      <c r="J3" s="62">
        <f t="shared" si="2"/>
        <v>4.7249580259251482</v>
      </c>
      <c r="K3" s="62">
        <v>4.0161427824044411</v>
      </c>
      <c r="L3" s="108">
        <v>4.0161427824044411</v>
      </c>
      <c r="M3" s="60">
        <f>'Information Technology'!S455</f>
        <v>48.325427999999995</v>
      </c>
      <c r="N3" s="63">
        <v>45.775487543174997</v>
      </c>
      <c r="O3" s="63">
        <f t="shared" si="3"/>
        <v>-0.24287233793761978</v>
      </c>
      <c r="P3" s="63">
        <f t="shared" si="4"/>
        <v>6.9038066085109678E-2</v>
      </c>
      <c r="Q3" s="63">
        <f t="shared" si="5"/>
        <v>5.0448192191970129</v>
      </c>
      <c r="R3" s="62">
        <f t="shared" si="6"/>
        <v>1.0690380660851098</v>
      </c>
      <c r="S3" s="63">
        <v>1.6072777221811352</v>
      </c>
      <c r="T3" s="60">
        <f>'Information Technology'!S456</f>
        <v>115.42965822850111</v>
      </c>
      <c r="U3" s="63">
        <v>36.471299896319444</v>
      </c>
      <c r="V3" s="63" t="e">
        <f>-(U3-$U$266)/$U$267</f>
        <v>#DIV/0!</v>
      </c>
      <c r="W3" s="63" t="e">
        <f>V3-$V$42</f>
        <v>#DIV/0!</v>
      </c>
      <c r="X3" s="63" t="e">
        <f>W3+5-$W$70</f>
        <v>#DIV/0!</v>
      </c>
      <c r="Y3" s="63">
        <v>4.2803326610299601</v>
      </c>
      <c r="Z3" s="63">
        <v>4.2803326610299601</v>
      </c>
      <c r="AA3" s="60">
        <f>'Information Technology'!S457</f>
        <v>5.533845857269748E-2</v>
      </c>
      <c r="AB3" s="63">
        <v>3.8132616115633677E-3</v>
      </c>
      <c r="AC3" s="60">
        <f t="shared" si="7"/>
        <v>0.30865734942154383</v>
      </c>
      <c r="AD3" s="60">
        <f t="shared" si="8"/>
        <v>0.44532558180183979</v>
      </c>
      <c r="AE3" s="60">
        <f t="shared" si="9"/>
        <v>4.9781768841912992</v>
      </c>
      <c r="AF3" s="60">
        <v>3.3794452288576933</v>
      </c>
      <c r="AG3" s="60">
        <v>3.3794452288576933</v>
      </c>
      <c r="AH3" s="60">
        <f>'Information Technology'!S458</f>
        <v>1.4551121487046336E-2</v>
      </c>
      <c r="AI3" s="63">
        <v>0.13499987367638827</v>
      </c>
      <c r="AJ3" s="60">
        <f t="shared" si="10"/>
        <v>3.438068343140166E-2</v>
      </c>
      <c r="AK3" s="60">
        <f t="shared" si="11"/>
        <v>3.438068343140166E-2</v>
      </c>
      <c r="AL3" s="60">
        <f t="shared" si="12"/>
        <v>5</v>
      </c>
      <c r="AM3" s="60">
        <v>1.9951503982586312</v>
      </c>
      <c r="AN3" s="60">
        <v>1.9951503982586312</v>
      </c>
      <c r="AO3" s="60">
        <f>'Information Technology'!S459</f>
        <v>0.16216563263504177</v>
      </c>
      <c r="AP3" s="60">
        <v>0.12925582280914544</v>
      </c>
      <c r="AQ3" s="60">
        <f>(AP3-$AP$266)/$AP$267</f>
        <v>0.34379243763834083</v>
      </c>
      <c r="AR3" s="60">
        <f>AQ3-$AQ$66</f>
        <v>0.62695836395835092</v>
      </c>
      <c r="AS3" s="60">
        <f>AR3+5-$AR$8</f>
        <v>5.5570508063307731</v>
      </c>
      <c r="AT3" s="60">
        <v>4.1380566877033491</v>
      </c>
      <c r="AU3" s="60">
        <v>4.1380566877033491</v>
      </c>
      <c r="AV3" s="60">
        <f>'Information Technology'!S460</f>
        <v>1.5014900000000002</v>
      </c>
      <c r="AW3" s="60">
        <v>0.90495090909090925</v>
      </c>
      <c r="AX3" s="60" t="e">
        <f t="shared" si="13"/>
        <v>#DIV/0!</v>
      </c>
      <c r="AY3" s="60" t="e">
        <f t="shared" si="14"/>
        <v>#DIV/0!</v>
      </c>
      <c r="AZ3" s="60" t="e">
        <f t="shared" si="15"/>
        <v>#DIV/0!</v>
      </c>
      <c r="BA3" s="60">
        <v>2.9543263652618394</v>
      </c>
      <c r="BB3" s="60">
        <v>2.9543263652618394</v>
      </c>
      <c r="BC3" s="60">
        <f>'Information Technology'!S461</f>
        <v>0.43861185098944089</v>
      </c>
      <c r="BD3" s="60">
        <v>0.13532337914934209</v>
      </c>
      <c r="BE3" s="60">
        <v>5</v>
      </c>
      <c r="BF3" s="60">
        <f>'Information Technology'!S462</f>
        <v>39.634309999999999</v>
      </c>
      <c r="BG3" s="63">
        <v>17.607759999999999</v>
      </c>
      <c r="BH3" s="63">
        <f t="shared" si="16"/>
        <v>0.53310824048431438</v>
      </c>
      <c r="BI3" s="63">
        <f t="shared" si="17"/>
        <v>0.53310824048431438</v>
      </c>
      <c r="BJ3" s="63">
        <f t="shared" si="18"/>
        <v>5.5331082404843146</v>
      </c>
      <c r="BK3" s="63">
        <v>4.0738583156984616</v>
      </c>
      <c r="BL3" s="63">
        <v>4.0738583156984616</v>
      </c>
      <c r="BM3" s="63">
        <f t="shared" si="19"/>
        <v>3.3767221547354507</v>
      </c>
    </row>
    <row r="4" spans="1:65">
      <c r="A4" s="50" t="s">
        <v>119</v>
      </c>
      <c r="B4" s="50" t="s">
        <v>120</v>
      </c>
      <c r="C4" s="51">
        <v>55829.8</v>
      </c>
      <c r="D4" s="52" t="s">
        <v>80</v>
      </c>
      <c r="E4" s="68" t="str" cm="1">
        <f t="array" ref="E4">_xll.ciqfunctions.udf.CIQ(B4,"iq_industry")</f>
        <v>Communications Equipment</v>
      </c>
      <c r="F4" s="60">
        <f>'Information Technology'!S379</f>
        <v>16.468375654619944</v>
      </c>
      <c r="G4" s="62">
        <v>45.187547906321022</v>
      </c>
      <c r="H4" s="62">
        <f t="shared" si="0"/>
        <v>-0.2041249572680221</v>
      </c>
      <c r="I4" s="62">
        <f t="shared" si="1"/>
        <v>-0.31668663172064587</v>
      </c>
      <c r="J4" s="62">
        <f t="shared" si="2"/>
        <v>4.408271394204502</v>
      </c>
      <c r="K4" s="62">
        <v>2.8833177676683643</v>
      </c>
      <c r="L4" s="108">
        <v>2.8833177676683643</v>
      </c>
      <c r="M4" s="60">
        <f>'Information Technology'!S380</f>
        <v>44.498270698500001</v>
      </c>
      <c r="N4" s="63">
        <v>57.606763630400003</v>
      </c>
      <c r="O4" s="63">
        <f t="shared" si="3"/>
        <v>-0.2168015486996977</v>
      </c>
      <c r="P4" s="63">
        <f t="shared" si="4"/>
        <v>9.510885532303176E-2</v>
      </c>
      <c r="Q4" s="63">
        <f t="shared" si="5"/>
        <v>5.0708900084349349</v>
      </c>
      <c r="R4" s="62">
        <f t="shared" si="6"/>
        <v>1.0951088553230317</v>
      </c>
      <c r="S4" s="63">
        <v>1.8331718641963377</v>
      </c>
      <c r="T4" s="60">
        <f>'Information Technology'!S381</f>
        <v>25.231523560604856</v>
      </c>
      <c r="U4" s="63" t="e">
        <v>#DIV/0!</v>
      </c>
      <c r="Z4" s="63">
        <v>1</v>
      </c>
      <c r="AA4" s="60">
        <f>'Information Technology'!S382</f>
        <v>2.6011337442333415E-2</v>
      </c>
      <c r="AB4" s="63">
        <v>4.3571267510256195E-3</v>
      </c>
      <c r="AC4" s="60">
        <f t="shared" si="7"/>
        <v>0.30382038221029317</v>
      </c>
      <c r="AD4" s="60">
        <f t="shared" si="8"/>
        <v>0.44048861459058908</v>
      </c>
      <c r="AE4" s="60">
        <f t="shared" si="9"/>
        <v>4.9733399169800485</v>
      </c>
      <c r="AF4" s="60">
        <v>3.3586803381141594</v>
      </c>
      <c r="AG4" s="60">
        <v>3.3586803381141594</v>
      </c>
      <c r="AH4" s="60">
        <f>'Information Technology'!S383</f>
        <v>0.17471644165251554</v>
      </c>
      <c r="AI4" s="63">
        <v>0.28345084653037927</v>
      </c>
      <c r="AJ4" s="60">
        <f t="shared" si="10"/>
        <v>0.77851094480701899</v>
      </c>
      <c r="AK4" s="60">
        <f t="shared" si="11"/>
        <v>0.77851094480701899</v>
      </c>
      <c r="AL4" s="60">
        <f t="shared" si="12"/>
        <v>5.7441302613756173</v>
      </c>
      <c r="AM4" s="60">
        <v>3.7664095675505207</v>
      </c>
      <c r="AN4" s="60">
        <v>3.7664095675505207</v>
      </c>
      <c r="AO4" s="60">
        <f>'Information Technology'!S384</f>
        <v>6.9659197617890078E-2</v>
      </c>
      <c r="AP4" s="60">
        <v>0.13810215492028668</v>
      </c>
      <c r="AQ4" s="60">
        <f>(AP4-$AP$266)/$AP$267</f>
        <v>0.41882561733628282</v>
      </c>
      <c r="AR4" s="60">
        <f>AQ4-$AQ$66</f>
        <v>0.7019915436562929</v>
      </c>
      <c r="AS4" s="60">
        <f>AR4+5-$AR$8</f>
        <v>5.6320839860287153</v>
      </c>
      <c r="AT4" s="60">
        <v>4.3409113378639708</v>
      </c>
      <c r="AU4" s="60">
        <v>4.3409113378639708</v>
      </c>
      <c r="AV4" s="60">
        <f>'Information Technology'!S385</f>
        <v>1.722309090909091</v>
      </c>
      <c r="AW4" s="60">
        <v>1.8581799999999999</v>
      </c>
      <c r="AX4" s="60" t="e">
        <f t="shared" si="13"/>
        <v>#DIV/0!</v>
      </c>
      <c r="AY4" s="60" t="e">
        <f t="shared" si="14"/>
        <v>#DIV/0!</v>
      </c>
      <c r="AZ4" s="60" t="e">
        <f t="shared" si="15"/>
        <v>#DIV/0!</v>
      </c>
      <c r="BA4" s="60">
        <v>3.9103343792797425</v>
      </c>
      <c r="BB4" s="60">
        <v>3.9103343792797425</v>
      </c>
      <c r="BC4" s="60">
        <f>'Information Technology'!S386</f>
        <v>-6.936582854437548E-2</v>
      </c>
      <c r="BD4" s="60">
        <v>-4.3510619405899272E-4</v>
      </c>
      <c r="BE4" s="60">
        <v>5</v>
      </c>
      <c r="BF4" s="60">
        <f>'Information Technology'!S387</f>
        <v>11.45186</v>
      </c>
      <c r="BG4" s="63">
        <v>26.660640000000001</v>
      </c>
      <c r="BH4" s="63">
        <f t="shared" si="16"/>
        <v>0.25349756524045658</v>
      </c>
      <c r="BI4" s="63">
        <f t="shared" si="17"/>
        <v>0.25349756524045658</v>
      </c>
      <c r="BJ4" s="63">
        <f t="shared" si="18"/>
        <v>5.2534975652404565</v>
      </c>
      <c r="BK4" s="63">
        <v>3.3618419076243375</v>
      </c>
      <c r="BL4" s="63">
        <v>3.3618419076243375</v>
      </c>
      <c r="BM4" s="63">
        <f t="shared" si="19"/>
        <v>2.9016890693883197</v>
      </c>
    </row>
    <row r="5" spans="1:65">
      <c r="A5" s="50" t="s">
        <v>155</v>
      </c>
      <c r="B5" s="50" t="s">
        <v>156</v>
      </c>
      <c r="C5" s="51">
        <v>27581.7</v>
      </c>
      <c r="D5" s="52" t="s">
        <v>157</v>
      </c>
      <c r="E5" s="68" t="str" cm="1">
        <f t="array" ref="E5">_xll.ciqfunctions.udf.CIQ(B5,"iq_industry")</f>
        <v>Electronic Equipment, Instruments and Components</v>
      </c>
      <c r="F5" s="60" t="e">
        <f>'Information Technology'!S634</f>
        <v>#VALUE!</v>
      </c>
      <c r="G5" s="62">
        <v>17.539012156336121</v>
      </c>
      <c r="H5" s="62">
        <f t="shared" si="0"/>
        <v>0.21099431817367997</v>
      </c>
      <c r="I5" s="62">
        <f t="shared" si="1"/>
        <v>9.8432643721056215E-2</v>
      </c>
      <c r="J5" s="62">
        <f t="shared" si="2"/>
        <v>4.8233906696462041</v>
      </c>
      <c r="K5" s="62">
        <v>4.3682478285441162</v>
      </c>
      <c r="L5" s="108">
        <v>4.3682478285441162</v>
      </c>
      <c r="M5" s="60" t="e">
        <f>'Information Technology'!S635</f>
        <v>#VALUE!</v>
      </c>
      <c r="N5" s="63">
        <v>27.401391257750003</v>
      </c>
      <c r="O5" s="63">
        <f t="shared" si="3"/>
        <v>-0.28336054801428584</v>
      </c>
      <c r="P5" s="63">
        <f t="shared" si="4"/>
        <v>2.8549856008443619E-2</v>
      </c>
      <c r="Q5" s="63">
        <f t="shared" si="5"/>
        <v>5.0043310091203468</v>
      </c>
      <c r="R5" s="62">
        <f t="shared" si="6"/>
        <v>1.0285498560084436</v>
      </c>
      <c r="S5" s="63">
        <v>1.2564617421379953</v>
      </c>
      <c r="T5" s="60" t="e">
        <f>'Information Technology'!S636</f>
        <v>#VALUE!</v>
      </c>
      <c r="U5" s="63">
        <v>31.885645147040726</v>
      </c>
      <c r="V5" s="63" t="e">
        <f>-(U5-$U$266)/$U$267</f>
        <v>#DIV/0!</v>
      </c>
      <c r="W5" s="63" t="e">
        <f>V5-$V$42</f>
        <v>#DIV/0!</v>
      </c>
      <c r="X5" s="63" t="e">
        <f>W5+5-$W$70</f>
        <v>#DIV/0!</v>
      </c>
      <c r="Y5" s="63">
        <v>4.4071752557097321</v>
      </c>
      <c r="Z5" s="63">
        <v>4.4071752557097321</v>
      </c>
      <c r="AA5" s="60" t="e">
        <f>'Information Technology'!S637</f>
        <v>#VALUE!</v>
      </c>
      <c r="AB5" s="63">
        <v>-1.8357097862997662E-2</v>
      </c>
      <c r="AC5" s="60">
        <f t="shared" si="7"/>
        <v>0.50583362357311523</v>
      </c>
      <c r="AD5" s="60">
        <f t="shared" si="8"/>
        <v>0.64250185595341114</v>
      </c>
      <c r="AE5" s="60">
        <f t="shared" si="9"/>
        <v>5.1753531583428707</v>
      </c>
      <c r="AF5" s="60">
        <v>4.2259144338693106</v>
      </c>
      <c r="AG5" s="60">
        <v>4.2259144338693106</v>
      </c>
      <c r="AH5" s="60" t="e">
        <f>'Information Technology'!S638</f>
        <v>#DIV/0!</v>
      </c>
      <c r="AI5" s="63">
        <v>4.3581676488231316E-2</v>
      </c>
      <c r="AJ5" s="60">
        <f t="shared" si="10"/>
        <v>-0.42386519842630083</v>
      </c>
      <c r="AK5" s="60">
        <f t="shared" si="11"/>
        <v>-0.42386519842630083</v>
      </c>
      <c r="AL5" s="60">
        <f t="shared" si="12"/>
        <v>4.5417541181422978</v>
      </c>
      <c r="AM5" s="60">
        <v>1.8</v>
      </c>
      <c r="AN5" s="60">
        <v>1.8</v>
      </c>
      <c r="AO5" s="60" t="e">
        <f>'Information Technology'!S639</f>
        <v>#VALUE!</v>
      </c>
      <c r="AP5" s="60">
        <v>2.2553510775961801E-2</v>
      </c>
      <c r="AQ5" s="60">
        <f>(AP5-$AP$266)/$AP$267</f>
        <v>-0.56123957476921482</v>
      </c>
      <c r="AR5" s="60">
        <f>AQ5-$AQ$66</f>
        <v>-0.27807364844920474</v>
      </c>
      <c r="AS5" s="60">
        <f>AR5+5-$AR$8</f>
        <v>4.6520187939232178</v>
      </c>
      <c r="AT5" s="60">
        <v>1.6912731047581913</v>
      </c>
      <c r="AU5" s="60">
        <v>1.6912731047581913</v>
      </c>
      <c r="AV5" s="60" t="e">
        <f>'Information Technology'!S640</f>
        <v>#VALUE!</v>
      </c>
      <c r="AW5" s="60">
        <v>0.18790636363636359</v>
      </c>
      <c r="AX5" s="60" t="e">
        <f t="shared" si="13"/>
        <v>#DIV/0!</v>
      </c>
      <c r="AY5" s="60" t="e">
        <f t="shared" si="14"/>
        <v>#DIV/0!</v>
      </c>
      <c r="AZ5" s="60" t="e">
        <f t="shared" si="15"/>
        <v>#DIV/0!</v>
      </c>
      <c r="BA5" s="60">
        <v>2.2351914391460088</v>
      </c>
      <c r="BB5" s="60">
        <v>2.2351914391460088</v>
      </c>
      <c r="BC5" s="60" t="e">
        <f>'Information Technology'!S641</f>
        <v>#VALUE!</v>
      </c>
      <c r="BD5" s="60">
        <v>0.24855383988554738</v>
      </c>
      <c r="BE5" s="60">
        <v>4.75</v>
      </c>
      <c r="BF5" s="60" t="str">
        <f>'Information Technology'!S642</f>
        <v>(Invalid Identifier)</v>
      </c>
      <c r="BG5" s="63">
        <v>16.11384</v>
      </c>
      <c r="BH5" s="63">
        <f t="shared" si="16"/>
        <v>0.5792500185660191</v>
      </c>
      <c r="BI5" s="63">
        <f t="shared" si="17"/>
        <v>0.5792500185660191</v>
      </c>
      <c r="BJ5" s="63">
        <f t="shared" si="18"/>
        <v>5.579250018566019</v>
      </c>
      <c r="BK5" s="63">
        <v>4.19135634420984</v>
      </c>
      <c r="BL5" s="63">
        <v>4.19135634420984</v>
      </c>
      <c r="BM5" s="63">
        <f t="shared" si="19"/>
        <v>3.3887538791138723</v>
      </c>
    </row>
    <row r="6" spans="1:65">
      <c r="A6" s="50" t="s">
        <v>125</v>
      </c>
      <c r="B6" s="50" t="s">
        <v>126</v>
      </c>
      <c r="C6" s="51">
        <v>49702.5</v>
      </c>
      <c r="D6" s="52" t="s">
        <v>127</v>
      </c>
      <c r="E6" s="68" t="str" cm="1">
        <f t="array" ref="E6">_xll.ciqfunctions.udf.CIQ(B6,"iq_industry")</f>
        <v>Electronic Equipment, Instruments and Components</v>
      </c>
      <c r="F6" s="60">
        <f>'Information Technology'!S424</f>
        <v>7.2123816655638189</v>
      </c>
      <c r="G6" s="62">
        <v>27.591399799249913</v>
      </c>
      <c r="H6" s="62">
        <f t="shared" si="0"/>
        <v>6.006625773244044E-2</v>
      </c>
      <c r="I6" s="62">
        <f t="shared" si="1"/>
        <v>-5.2495416720183319E-2</v>
      </c>
      <c r="J6" s="62">
        <f t="shared" si="2"/>
        <v>4.672462609204965</v>
      </c>
      <c r="K6" s="62">
        <v>3.8283605546024289</v>
      </c>
      <c r="L6" s="108">
        <v>3.8283605546024289</v>
      </c>
      <c r="M6" s="60">
        <f>'Information Technology'!S425</f>
        <v>13.4374179646</v>
      </c>
      <c r="N6" s="63">
        <v>49.392352427600002</v>
      </c>
      <c r="O6" s="63">
        <f t="shared" si="3"/>
        <v>-0.23490240118619007</v>
      </c>
      <c r="P6" s="63">
        <f t="shared" si="4"/>
        <v>7.7008002836539385E-2</v>
      </c>
      <c r="Q6" s="63">
        <f t="shared" si="5"/>
        <v>5.0527891559484424</v>
      </c>
      <c r="R6" s="62">
        <f t="shared" si="6"/>
        <v>1.0770080028365392</v>
      </c>
      <c r="S6" s="63">
        <v>1.6763343973722673</v>
      </c>
      <c r="T6" s="60" t="e">
        <f>'Information Technology'!S426</f>
        <v>#DIV/0!</v>
      </c>
      <c r="U6" s="63">
        <v>43.746636381207836</v>
      </c>
      <c r="V6" s="63" t="e">
        <f>-(U6-$U$266)/$U$267</f>
        <v>#DIV/0!</v>
      </c>
      <c r="W6" s="63" t="e">
        <f>V6-$V$42</f>
        <v>#DIV/0!</v>
      </c>
      <c r="X6" s="63" t="e">
        <f>W6+5-$W$70</f>
        <v>#DIV/0!</v>
      </c>
      <c r="Y6" s="63">
        <v>4.0790914844985577</v>
      </c>
      <c r="Z6" s="63">
        <v>4.0790914844985577</v>
      </c>
      <c r="AA6" s="60">
        <f>'Information Technology'!S427</f>
        <v>4.6379681417665353E-2</v>
      </c>
      <c r="AB6" s="63">
        <v>9.3760341271620362E-5</v>
      </c>
      <c r="AC6" s="60">
        <f t="shared" si="7"/>
        <v>0.34173743560687098</v>
      </c>
      <c r="AD6" s="60">
        <f t="shared" si="8"/>
        <v>0.47840566798716688</v>
      </c>
      <c r="AE6" s="60">
        <f t="shared" si="9"/>
        <v>5.0112569703766257</v>
      </c>
      <c r="AF6" s="60">
        <v>3.5214566061164243</v>
      </c>
      <c r="AG6" s="60">
        <v>3.5214566061164243</v>
      </c>
      <c r="AH6" s="60">
        <f>'Information Technology'!S428</f>
        <v>0.16025099475957699</v>
      </c>
      <c r="AI6" s="63">
        <v>0.14073915311382529</v>
      </c>
      <c r="AJ6" s="60">
        <f t="shared" si="10"/>
        <v>6.3149585552967624E-2</v>
      </c>
      <c r="AK6" s="60">
        <f t="shared" si="11"/>
        <v>6.3149585552967624E-2</v>
      </c>
      <c r="AL6" s="60">
        <f t="shared" si="12"/>
        <v>5.0287689021215662</v>
      </c>
      <c r="AM6" s="60">
        <v>2.0636292443938276</v>
      </c>
      <c r="AN6" s="60">
        <v>2.0636292443938276</v>
      </c>
      <c r="AO6" s="60">
        <f>'Information Technology'!S429</f>
        <v>6.5400321773597586E-2</v>
      </c>
      <c r="AP6" s="60">
        <v>0.3305367956195906</v>
      </c>
      <c r="AQ6" s="60"/>
      <c r="AR6" s="60"/>
      <c r="AT6" s="60">
        <v>4.97</v>
      </c>
      <c r="AU6" s="60">
        <v>4.97</v>
      </c>
      <c r="AV6" s="60">
        <f>'Information Technology'!S430</f>
        <v>3.7172254545454551</v>
      </c>
      <c r="AW6" s="60">
        <v>0.10678454545454527</v>
      </c>
      <c r="AX6" s="60" t="e">
        <f t="shared" si="13"/>
        <v>#DIV/0!</v>
      </c>
      <c r="AY6" s="60" t="e">
        <f t="shared" si="14"/>
        <v>#DIV/0!</v>
      </c>
      <c r="AZ6" s="60" t="e">
        <f t="shared" si="15"/>
        <v>#DIV/0!</v>
      </c>
      <c r="BA6" s="60">
        <v>2.1538331287113586</v>
      </c>
      <c r="BB6" s="60">
        <v>2.1538331287113586</v>
      </c>
      <c r="BC6" s="60">
        <f>'Information Technology'!S431</f>
        <v>0.38510932022334882</v>
      </c>
      <c r="BD6" s="60">
        <v>1.0313796107991749E-2</v>
      </c>
      <c r="BE6" s="60">
        <v>5</v>
      </c>
      <c r="BF6" s="60">
        <f>'Information Technology'!S432</f>
        <v>19.144739999999999</v>
      </c>
      <c r="BG6" s="63">
        <v>16.687470000000001</v>
      </c>
      <c r="BH6" s="63">
        <f t="shared" si="16"/>
        <v>0.56153266545406644</v>
      </c>
      <c r="BI6" s="63">
        <f t="shared" si="17"/>
        <v>0.56153266545406644</v>
      </c>
      <c r="BJ6" s="63">
        <f t="shared" si="18"/>
        <v>5.5615326654540667</v>
      </c>
      <c r="BK6" s="63">
        <v>4.1462398760622934</v>
      </c>
      <c r="BL6" s="63">
        <v>4.1462398760622934</v>
      </c>
      <c r="BM6" s="63">
        <f t="shared" si="19"/>
        <v>3.3061723414650843</v>
      </c>
    </row>
    <row r="7" spans="1:65">
      <c r="A7" s="50" t="s">
        <v>158</v>
      </c>
      <c r="B7" s="50" t="s">
        <v>159</v>
      </c>
      <c r="C7" s="51">
        <v>26630.1</v>
      </c>
      <c r="D7" s="52" t="s">
        <v>127</v>
      </c>
      <c r="E7" s="68" t="str" cm="1">
        <f t="array" ref="E7">_xll.ciqfunctions.udf.CIQ(B7,"iq_industry")</f>
        <v>Electronic Equipment, Instruments and Components</v>
      </c>
      <c r="F7" s="60">
        <f>'Information Technology'!S649</f>
        <v>16.201015684240037</v>
      </c>
      <c r="G7" s="62">
        <v>19.554320741500995</v>
      </c>
      <c r="H7" s="62">
        <f t="shared" si="0"/>
        <v>0.18073617187508109</v>
      </c>
      <c r="I7" s="62">
        <f t="shared" si="1"/>
        <v>6.8174497422457334E-2</v>
      </c>
      <c r="J7" s="62">
        <f t="shared" si="2"/>
        <v>4.7931325233476052</v>
      </c>
      <c r="K7" s="62">
        <v>4.2600109104261668</v>
      </c>
      <c r="L7" s="108">
        <v>4.2600109104261668</v>
      </c>
      <c r="M7" s="60">
        <f>'Information Technology'!S650</f>
        <v>41.167633656</v>
      </c>
      <c r="N7" s="63">
        <v>25.435920854399999</v>
      </c>
      <c r="O7" s="63">
        <f t="shared" si="3"/>
        <v>-0.28769155713463257</v>
      </c>
      <c r="P7" s="63">
        <f t="shared" si="4"/>
        <v>2.421884688809689E-2</v>
      </c>
      <c r="Q7" s="63">
        <f t="shared" si="5"/>
        <v>5</v>
      </c>
      <c r="R7" s="62">
        <f t="shared" si="6"/>
        <v>1.0242188468880968</v>
      </c>
      <c r="S7" s="63">
        <v>1.2189350842231805</v>
      </c>
      <c r="T7" s="60" t="e">
        <f>'Information Technology'!S651</f>
        <v>#DIV/0!</v>
      </c>
      <c r="U7" s="63">
        <v>12.362487846600869</v>
      </c>
      <c r="V7" s="63" t="e">
        <f>-(U7-$U$266)/$U$267</f>
        <v>#DIV/0!</v>
      </c>
      <c r="W7" s="63" t="e">
        <f>V7-$V$42</f>
        <v>#DIV/0!</v>
      </c>
      <c r="X7" s="63" t="e">
        <f>W7+5-$W$70</f>
        <v>#DIV/0!</v>
      </c>
      <c r="Y7" s="63">
        <v>4.9472001951621953</v>
      </c>
      <c r="Z7" s="63">
        <v>4.9472001951621953</v>
      </c>
      <c r="AA7" s="60">
        <f>'Information Technology'!S652</f>
        <v>-2.0836826624598626E-2</v>
      </c>
      <c r="AB7" s="63">
        <v>1.6294072811496196E-2</v>
      </c>
      <c r="AC7" s="60">
        <f t="shared" si="7"/>
        <v>0.19765690066401709</v>
      </c>
      <c r="AD7" s="60">
        <f t="shared" si="8"/>
        <v>0.33432513304431299</v>
      </c>
      <c r="AE7" s="60">
        <f t="shared" si="9"/>
        <v>4.8671764354337723</v>
      </c>
      <c r="AF7" s="60">
        <v>2.9029251098930287</v>
      </c>
      <c r="AG7" s="60">
        <v>2.9029251098930287</v>
      </c>
      <c r="AH7" s="60">
        <f>'Information Technology'!S653</f>
        <v>0.1881200709891688</v>
      </c>
      <c r="AI7" s="63">
        <v>6.7649322699656136E-2</v>
      </c>
      <c r="AJ7" s="60">
        <f t="shared" si="10"/>
        <v>-0.30322291820616176</v>
      </c>
      <c r="AK7" s="60">
        <f t="shared" si="11"/>
        <v>-0.30322291820616176</v>
      </c>
      <c r="AL7" s="60">
        <f t="shared" si="12"/>
        <v>4.6623963983624366</v>
      </c>
      <c r="AM7" s="60">
        <v>1.1915498648237266</v>
      </c>
      <c r="AN7" s="60">
        <v>1.1915498648237266</v>
      </c>
      <c r="AO7" s="60">
        <f>'Information Technology'!S654</f>
        <v>0.21006219255483208</v>
      </c>
      <c r="AP7" s="60">
        <v>0.12813382903110862</v>
      </c>
      <c r="AQ7" s="60">
        <f>(AP7-$AP$266)/$AP$267</f>
        <v>0.334275865152736</v>
      </c>
      <c r="AR7" s="60">
        <f>AQ7-$AQ$66</f>
        <v>0.61744179147274614</v>
      </c>
      <c r="AS7" s="60">
        <f>AR7+5-$AR$8</f>
        <v>5.5475342338451687</v>
      </c>
      <c r="AT7" s="60">
        <v>4.1123283233974908</v>
      </c>
      <c r="AU7" s="60">
        <v>4.1123283233974908</v>
      </c>
      <c r="AV7" s="60">
        <f>'Information Technology'!S655</f>
        <v>1.7964272727272725</v>
      </c>
      <c r="AW7" s="60">
        <v>-0.83102545454545462</v>
      </c>
      <c r="AX7" s="60" t="e">
        <f t="shared" si="13"/>
        <v>#DIV/0!</v>
      </c>
      <c r="AY7" s="60" t="e">
        <f t="shared" si="14"/>
        <v>#DIV/0!</v>
      </c>
      <c r="AZ7" s="60" t="e">
        <f t="shared" si="15"/>
        <v>#DIV/0!</v>
      </c>
      <c r="BA7" s="60">
        <v>1.2132891564632091</v>
      </c>
      <c r="BB7" s="60">
        <v>1.2132891564632091</v>
      </c>
      <c r="BC7" s="60">
        <f>'Information Technology'!S656</f>
        <v>0.11959900834592607</v>
      </c>
      <c r="BD7" s="60">
        <v>0.37004246683277953</v>
      </c>
      <c r="BE7" s="60">
        <v>3.9</v>
      </c>
      <c r="BF7" s="60">
        <f>'Information Technology'!S657</f>
        <v>30.215070000000001</v>
      </c>
      <c r="BG7" s="63">
        <v>11.03974</v>
      </c>
      <c r="BH7" s="63">
        <f t="shared" si="16"/>
        <v>0.73597059005872179</v>
      </c>
      <c r="BI7" s="63">
        <f t="shared" si="17"/>
        <v>0.73597059005872179</v>
      </c>
      <c r="BJ7" s="63">
        <f t="shared" si="18"/>
        <v>5.7359705900587219</v>
      </c>
      <c r="BK7" s="63">
        <v>4.5904384546773285</v>
      </c>
      <c r="BL7" s="63">
        <v>4.5904384546773285</v>
      </c>
      <c r="BM7" s="63">
        <f t="shared" si="19"/>
        <v>3.2087895063770899</v>
      </c>
    </row>
    <row r="8" spans="1:65">
      <c r="A8" s="50" t="s">
        <v>170</v>
      </c>
      <c r="B8" s="50" t="s">
        <v>171</v>
      </c>
      <c r="C8" s="51">
        <v>23258.7</v>
      </c>
      <c r="D8" s="52" t="s">
        <v>172</v>
      </c>
      <c r="E8" s="68" t="str" cm="1">
        <f t="array" ref="E8">_xll.ciqfunctions.udf.CIQ(B8,"iq_industry")</f>
        <v>Electronic Equipment, Instruments and Components</v>
      </c>
      <c r="F8" s="60">
        <f>'Information Technology'!S739</f>
        <v>27.080344784957912</v>
      </c>
      <c r="G8" s="62">
        <v>20.993129031845736</v>
      </c>
      <c r="H8" s="62">
        <f t="shared" si="0"/>
        <v>0.15913368773673936</v>
      </c>
      <c r="I8" s="62">
        <f t="shared" si="1"/>
        <v>4.6572013284115601E-2</v>
      </c>
      <c r="J8" s="62">
        <f t="shared" si="2"/>
        <v>4.7715300392092637</v>
      </c>
      <c r="K8" s="62">
        <v>4.1827363053081976</v>
      </c>
      <c r="L8" s="108">
        <v>4.1827363053081976</v>
      </c>
      <c r="M8" s="60">
        <f>'Information Technology'!S740</f>
        <v>18.554483099999999</v>
      </c>
      <c r="N8" s="63">
        <v>23.063396840799999</v>
      </c>
      <c r="O8" s="63">
        <f t="shared" si="3"/>
        <v>-0.29291952857781961</v>
      </c>
      <c r="P8" s="63">
        <f t="shared" si="4"/>
        <v>1.8990875444909849E-2</v>
      </c>
      <c r="Q8" s="63">
        <f t="shared" si="5"/>
        <v>4.9947720285568131</v>
      </c>
      <c r="R8" s="62">
        <f t="shared" si="6"/>
        <v>1.01899087544491</v>
      </c>
      <c r="S8" s="63">
        <v>1.1736365659136192</v>
      </c>
      <c r="T8" s="60" t="e">
        <f>'Information Technology'!S741</f>
        <v>#DIV/0!</v>
      </c>
      <c r="U8" s="63" t="e">
        <v>#DIV/0!</v>
      </c>
      <c r="Z8" s="63">
        <v>1</v>
      </c>
      <c r="AA8" s="60">
        <f>'Information Technology'!S742</f>
        <v>9.5794190891207442E-4</v>
      </c>
      <c r="AB8" s="63">
        <v>-1.0968101483054382E-2</v>
      </c>
      <c r="AC8" s="60">
        <f t="shared" si="7"/>
        <v>0.44011819042515937</v>
      </c>
      <c r="AD8" s="60">
        <f t="shared" si="8"/>
        <v>0.57678642280545533</v>
      </c>
      <c r="AE8" s="60">
        <f t="shared" si="9"/>
        <v>5.1096377251949141</v>
      </c>
      <c r="AF8" s="60">
        <v>3.9438009255727495</v>
      </c>
      <c r="AG8" s="60">
        <v>3.9438009255727495</v>
      </c>
      <c r="AH8" s="60">
        <f>'Information Technology'!S743</f>
        <v>0.12097594680147074</v>
      </c>
      <c r="AI8" s="63">
        <v>0.15916633026679516</v>
      </c>
      <c r="AJ8" s="60">
        <f t="shared" si="10"/>
        <v>0.1555182638285956</v>
      </c>
      <c r="AK8" s="60">
        <f t="shared" si="11"/>
        <v>0.1555182638285956</v>
      </c>
      <c r="AL8" s="60">
        <f t="shared" si="12"/>
        <v>5.1211375803971935</v>
      </c>
      <c r="AM8" s="60">
        <v>2.2834951426689862</v>
      </c>
      <c r="AN8" s="60">
        <v>2.2834951426689862</v>
      </c>
      <c r="AO8" s="60">
        <f>'Information Technology'!S744</f>
        <v>0.1054558699757564</v>
      </c>
      <c r="AP8" s="60">
        <v>6.3580124998937809E-2</v>
      </c>
      <c r="AQ8" s="60">
        <f>(AP8-$AP$266)/$AP$267</f>
        <v>-0.21325836869243239</v>
      </c>
      <c r="AR8" s="60">
        <f>AQ8-$AQ$66</f>
        <v>6.9907557627577693E-2</v>
      </c>
      <c r="AS8" s="60">
        <f>AR8+5-$AR$8</f>
        <v>5</v>
      </c>
      <c r="AT8" s="60">
        <v>2.6320516524000039</v>
      </c>
      <c r="AU8" s="60">
        <v>2.6320516524000039</v>
      </c>
      <c r="AV8" s="60">
        <f>'Information Technology'!S745</f>
        <v>0.95357272727272724</v>
      </c>
      <c r="AW8" s="60">
        <v>1.1942300000000001</v>
      </c>
      <c r="AX8" s="60" t="e">
        <f t="shared" si="13"/>
        <v>#DIV/0!</v>
      </c>
      <c r="AY8" s="60" t="e">
        <f t="shared" si="14"/>
        <v>#DIV/0!</v>
      </c>
      <c r="AZ8" s="60" t="e">
        <f t="shared" si="15"/>
        <v>#DIV/0!</v>
      </c>
      <c r="BA8" s="60">
        <v>3.2444487837175719</v>
      </c>
      <c r="BB8" s="60">
        <v>3.2444487837175719</v>
      </c>
      <c r="BC8" s="60">
        <f>'Information Technology'!S746</f>
        <v>0.33030696277385435</v>
      </c>
      <c r="BD8" s="60">
        <v>-4.8079344634292122E-2</v>
      </c>
      <c r="BE8" s="60">
        <v>5</v>
      </c>
      <c r="BF8" s="60">
        <f>'Information Technology'!S747</f>
        <v>33.968739999999997</v>
      </c>
      <c r="BG8" s="63">
        <v>13.17451</v>
      </c>
      <c r="BH8" s="63">
        <f t="shared" si="16"/>
        <v>0.67003527652420802</v>
      </c>
      <c r="BI8" s="63">
        <f t="shared" si="17"/>
        <v>0.67003527652420802</v>
      </c>
      <c r="BJ8" s="63">
        <f t="shared" si="18"/>
        <v>5.6700352765242084</v>
      </c>
      <c r="BK8" s="63">
        <v>4.4225370501006198</v>
      </c>
      <c r="BL8" s="63">
        <v>4.4225370501006198</v>
      </c>
      <c r="BM8" s="63">
        <f t="shared" si="19"/>
        <v>3.1589844472356297</v>
      </c>
    </row>
    <row r="9" spans="1:65" ht="22.5">
      <c r="A9" s="50" t="s">
        <v>185</v>
      </c>
      <c r="B9" s="50" t="s">
        <v>186</v>
      </c>
      <c r="C9" s="51">
        <v>19671.5</v>
      </c>
      <c r="D9" s="52" t="s">
        <v>172</v>
      </c>
      <c r="E9" s="68" t="str" cm="1">
        <f t="array" ref="E9">_xll.ciqfunctions.udf.CIQ(B9,"iq_industry")</f>
        <v>Electronic Equipment, Instruments and Components</v>
      </c>
      <c r="F9" s="60">
        <f>'Information Technology'!S844</f>
        <v>20.781663127031869</v>
      </c>
      <c r="G9" s="62">
        <v>16.99946456272847</v>
      </c>
      <c r="H9" s="62">
        <f t="shared" si="0"/>
        <v>0.21909516691844014</v>
      </c>
      <c r="I9" s="62">
        <f t="shared" si="1"/>
        <v>0.10653349246581638</v>
      </c>
      <c r="J9" s="62">
        <f t="shared" si="2"/>
        <v>4.8314915183909646</v>
      </c>
      <c r="K9" s="62">
        <v>4.397225509252638</v>
      </c>
      <c r="L9" s="108">
        <v>4.397225509252638</v>
      </c>
      <c r="M9" s="60">
        <f>'Information Technology'!S845</f>
        <v>25.567425462999996</v>
      </c>
      <c r="N9" s="63">
        <v>18.844437129099997</v>
      </c>
      <c r="O9" s="63">
        <f t="shared" si="3"/>
        <v>-0.30221621040961127</v>
      </c>
      <c r="P9" s="63">
        <f t="shared" si="4"/>
        <v>9.6941936131181849E-3</v>
      </c>
      <c r="Q9" s="63">
        <f t="shared" si="5"/>
        <v>4.9854753467250212</v>
      </c>
      <c r="R9" s="62">
        <f t="shared" si="6"/>
        <v>1.0096941936131181</v>
      </c>
      <c r="S9" s="63">
        <v>1.0930841151682396</v>
      </c>
      <c r="T9" s="60" t="e">
        <f>'Information Technology'!S846</f>
        <v>#DIV/0!</v>
      </c>
      <c r="U9" s="63" t="e">
        <v>#DIV/0!</v>
      </c>
      <c r="Z9" s="63">
        <v>1</v>
      </c>
      <c r="AA9" s="60">
        <f>'Information Technology'!S847</f>
        <v>2.3478920816551785E-2</v>
      </c>
      <c r="AB9" s="63">
        <v>5.3885352050676349E-2</v>
      </c>
      <c r="AC9" s="60">
        <f t="shared" si="7"/>
        <v>-0.13666823238029593</v>
      </c>
      <c r="AD9" s="60">
        <f t="shared" si="8"/>
        <v>0</v>
      </c>
      <c r="AE9" s="60">
        <f t="shared" si="9"/>
        <v>4.5328513023894592</v>
      </c>
      <c r="AF9" s="60">
        <v>1.467681793722643</v>
      </c>
      <c r="AG9" s="60">
        <v>1.467681793722643</v>
      </c>
      <c r="AH9" s="60">
        <f>'Information Technology'!S848</f>
        <v>-0.19537406301929597</v>
      </c>
      <c r="AI9" s="63">
        <v>0.12534518632738045</v>
      </c>
      <c r="AJ9" s="60">
        <f t="shared" si="10"/>
        <v>-1.4014722017259281E-2</v>
      </c>
      <c r="AK9" s="60">
        <f t="shared" si="11"/>
        <v>-1.4014722017259281E-2</v>
      </c>
      <c r="AL9" s="60">
        <f t="shared" si="12"/>
        <v>4.9516045945513394</v>
      </c>
      <c r="AM9" s="60">
        <v>1.879954430426233</v>
      </c>
      <c r="AN9" s="60">
        <v>1.879954430426233</v>
      </c>
      <c r="AO9" s="60">
        <f>'Information Technology'!S849</f>
        <v>3.2575637290311946E-2</v>
      </c>
      <c r="AP9" s="60">
        <v>8.7978209893811998E-3</v>
      </c>
      <c r="AQ9" s="60">
        <f>(AP9-$AP$266)/$AP$267</f>
        <v>-0.67791314418288839</v>
      </c>
      <c r="AR9" s="60">
        <f>AQ9-$AQ$66</f>
        <v>-0.39474721786287831</v>
      </c>
      <c r="AS9" s="60">
        <f>AR9+5-$AR$8</f>
        <v>4.5353452245095438</v>
      </c>
      <c r="AT9" s="60">
        <v>1.3758423019896009</v>
      </c>
      <c r="AU9" s="60">
        <v>1.3758423019896009</v>
      </c>
      <c r="AV9" s="60">
        <f>'Information Technology'!S850</f>
        <v>2.7312700000000003</v>
      </c>
      <c r="AW9" s="60">
        <v>1.0228599999999999</v>
      </c>
      <c r="AX9" s="60" t="e">
        <f t="shared" si="13"/>
        <v>#DIV/0!</v>
      </c>
      <c r="AY9" s="60" t="e">
        <f t="shared" si="14"/>
        <v>#DIV/0!</v>
      </c>
      <c r="AZ9" s="60" t="e">
        <f t="shared" si="15"/>
        <v>#DIV/0!</v>
      </c>
      <c r="BA9" s="60">
        <v>3.0725791933696707</v>
      </c>
      <c r="BB9" s="60">
        <v>3.0725791933696707</v>
      </c>
      <c r="BC9" s="60">
        <f>'Information Technology'!S851</f>
        <v>0.79302977409700381</v>
      </c>
      <c r="BD9" s="60">
        <v>0.31779147647806055</v>
      </c>
      <c r="BE9" s="60">
        <v>4.4000000000000004</v>
      </c>
      <c r="BF9" s="60">
        <f>'Information Technology'!S852</f>
        <v>161.96646000000001</v>
      </c>
      <c r="BG9" s="63">
        <v>16.090599999999998</v>
      </c>
      <c r="BH9" s="63">
        <f t="shared" si="16"/>
        <v>0.57996781799478292</v>
      </c>
      <c r="BI9" s="63">
        <f t="shared" si="17"/>
        <v>0.57996781799478292</v>
      </c>
      <c r="BJ9" s="63">
        <f t="shared" si="18"/>
        <v>5.5799678179947829</v>
      </c>
      <c r="BK9" s="63">
        <v>4.1931841891965895</v>
      </c>
      <c r="BL9" s="63">
        <v>4.1931841891965895</v>
      </c>
      <c r="BM9" s="63">
        <f t="shared" si="19"/>
        <v>2.9164144511647749</v>
      </c>
    </row>
    <row r="10" spans="1:65" ht="22.5">
      <c r="A10" s="50" t="s">
        <v>91</v>
      </c>
      <c r="B10" s="50" t="s">
        <v>92</v>
      </c>
      <c r="C10" s="51">
        <v>133835.9</v>
      </c>
      <c r="D10" s="52" t="s">
        <v>93</v>
      </c>
      <c r="E10" s="68" t="str" cm="1">
        <f t="array" ref="E10">_xll.ciqfunctions.udf.CIQ(B10,"iq_industry")</f>
        <v>IT Services</v>
      </c>
      <c r="F10" s="60">
        <f>'Information Technology'!S184</f>
        <v>22.501727515380065</v>
      </c>
      <c r="G10" s="62">
        <v>10.892845612874076</v>
      </c>
      <c r="H10" s="62">
        <f t="shared" si="0"/>
        <v>0.31078086256557791</v>
      </c>
      <c r="I10" s="62">
        <f t="shared" si="1"/>
        <v>0.19821918811295414</v>
      </c>
      <c r="J10" s="62">
        <f t="shared" si="2"/>
        <v>4.9231772140381027</v>
      </c>
      <c r="K10" s="62">
        <v>4.7251959352798911</v>
      </c>
      <c r="L10" s="108">
        <v>4.7251959352798911</v>
      </c>
      <c r="M10" s="60">
        <f>'Information Technology'!S185</f>
        <v>14.8004616224</v>
      </c>
      <c r="N10" s="63">
        <v>128.06315347739201</v>
      </c>
      <c r="O10" s="63">
        <f t="shared" si="3"/>
        <v>-6.1547485095419921E-2</v>
      </c>
      <c r="P10" s="63">
        <f t="shared" si="4"/>
        <v>0.25036291892730955</v>
      </c>
      <c r="Q10" s="63">
        <f t="shared" si="5"/>
        <v>5.2261440720392125</v>
      </c>
      <c r="R10" s="62">
        <f t="shared" si="6"/>
        <v>1.2503629189273093</v>
      </c>
      <c r="S10" s="63">
        <v>3.1783932601504148</v>
      </c>
      <c r="T10" s="60" t="e">
        <f>'Information Technology'!S186</f>
        <v>#DIV/0!</v>
      </c>
      <c r="U10" s="63">
        <v>10.617450649051287</v>
      </c>
      <c r="V10" s="63" t="e">
        <f>-(U10-$U$266)/$U$267</f>
        <v>#DIV/0!</v>
      </c>
      <c r="W10" s="63" t="e">
        <f>V10-$V$42</f>
        <v>#DIV/0!</v>
      </c>
      <c r="X10" s="63" t="e">
        <f>W10+5-$W$70</f>
        <v>#DIV/0!</v>
      </c>
      <c r="Y10" s="63">
        <v>4.9954692119224999</v>
      </c>
      <c r="Z10" s="63">
        <v>4.9954692119224999</v>
      </c>
      <c r="AA10" s="60">
        <f>'Information Technology'!S187</f>
        <v>1.2679898095769193E-2</v>
      </c>
      <c r="AB10" s="63">
        <v>4.7067551533006569E-3</v>
      </c>
      <c r="AC10" s="60">
        <f t="shared" si="7"/>
        <v>0.30071089606157914</v>
      </c>
      <c r="AD10" s="60">
        <f t="shared" si="8"/>
        <v>0.4373791284418751</v>
      </c>
      <c r="AE10" s="60">
        <f t="shared" si="9"/>
        <v>4.9702304308313341</v>
      </c>
      <c r="AF10" s="60">
        <v>3.345331448752991</v>
      </c>
      <c r="AG10" s="60">
        <v>3.345331448752991</v>
      </c>
      <c r="AH10" s="60">
        <f>'Information Technology'!S188</f>
        <v>0.10594809135284079</v>
      </c>
      <c r="AI10" s="63">
        <v>7.6046218722786191E-2</v>
      </c>
      <c r="AJ10" s="60">
        <f t="shared" si="10"/>
        <v>-0.26113235919998234</v>
      </c>
      <c r="AK10" s="60">
        <f t="shared" si="11"/>
        <v>-0.26113235919998234</v>
      </c>
      <c r="AL10" s="60">
        <f t="shared" si="12"/>
        <v>4.7044869573686157</v>
      </c>
      <c r="AM10" s="60">
        <v>1.2917383566107636</v>
      </c>
      <c r="AN10" s="60">
        <v>1.2917383566107636</v>
      </c>
      <c r="AO10" s="60">
        <f>'Information Technology'!S189</f>
        <v>5.1952118917262792E-2</v>
      </c>
      <c r="AP10" s="60">
        <v>2.3799694914777753E-2</v>
      </c>
      <c r="AQ10" s="60">
        <f>(AP10-$AP$266)/$AP$267</f>
        <v>-0.55066963942768055</v>
      </c>
      <c r="AR10" s="60">
        <f>AQ10-$AQ$66</f>
        <v>-0.26750371310767046</v>
      </c>
      <c r="AS10" s="60">
        <f>AR10+5-$AR$8</f>
        <v>4.6625887292647521</v>
      </c>
      <c r="AT10" s="60">
        <v>1.7198492699235093</v>
      </c>
      <c r="AU10" s="60">
        <v>1.7198492699235093</v>
      </c>
      <c r="AV10" s="60">
        <f>'Information Technology'!S190</f>
        <v>-2.9313636363636292E-2</v>
      </c>
      <c r="AW10" s="60">
        <v>-0.5542145454545454</v>
      </c>
      <c r="AX10" s="60" t="e">
        <f t="shared" si="13"/>
        <v>#DIV/0!</v>
      </c>
      <c r="AY10" s="60" t="e">
        <f t="shared" si="14"/>
        <v>#DIV/0!</v>
      </c>
      <c r="AZ10" s="60" t="e">
        <f t="shared" si="15"/>
        <v>#DIV/0!</v>
      </c>
      <c r="BA10" s="60">
        <v>1.4909070449459341</v>
      </c>
      <c r="BB10" s="60">
        <v>1.4909070449459341</v>
      </c>
      <c r="BC10" s="60">
        <f>'Information Technology'!S191</f>
        <v>-1.1074885578875336E-2</v>
      </c>
      <c r="BD10" s="60">
        <v>0.14931730127773307</v>
      </c>
      <c r="BE10" s="60">
        <v>5</v>
      </c>
      <c r="BF10" s="60">
        <f>'Information Technology'!S192</f>
        <v>17.035299999999999</v>
      </c>
      <c r="BG10" s="63">
        <v>12.16469</v>
      </c>
      <c r="BH10" s="63">
        <f t="shared" si="16"/>
        <v>0.70122495893187842</v>
      </c>
      <c r="BI10" s="63">
        <f t="shared" si="17"/>
        <v>0.70122495893187842</v>
      </c>
      <c r="BJ10" s="63">
        <f t="shared" si="18"/>
        <v>5.7012249589318786</v>
      </c>
      <c r="BK10" s="63">
        <v>4.5019602181091871</v>
      </c>
      <c r="BL10" s="63">
        <v>4.5019602181091871</v>
      </c>
      <c r="BM10" s="63">
        <f t="shared" si="19"/>
        <v>3.8482363902773709</v>
      </c>
    </row>
    <row r="11" spans="1:65" ht="22.5">
      <c r="A11" s="50" t="s">
        <v>145</v>
      </c>
      <c r="B11" s="50" t="s">
        <v>146</v>
      </c>
      <c r="C11" s="51">
        <v>35155.9</v>
      </c>
      <c r="D11" s="52" t="s">
        <v>93</v>
      </c>
      <c r="E11" s="68" t="str" cm="1">
        <f t="array" ref="E11">_xll.ciqfunctions.udf.CIQ(B11,"iq_industry")</f>
        <v>IT Services</v>
      </c>
      <c r="F11" s="60">
        <f>'Information Technology'!S559</f>
        <v>17.906116359696401</v>
      </c>
      <c r="G11" s="62">
        <v>13.122546425139248</v>
      </c>
      <c r="H11" s="62">
        <f t="shared" si="0"/>
        <v>0.2773037991142232</v>
      </c>
      <c r="I11" s="62">
        <f t="shared" si="1"/>
        <v>0.16474212466159943</v>
      </c>
      <c r="J11" s="62">
        <f t="shared" si="2"/>
        <v>4.8897001505867479</v>
      </c>
      <c r="K11" s="62">
        <v>4.6054445751054756</v>
      </c>
      <c r="L11" s="108">
        <v>4.6054445751054756</v>
      </c>
      <c r="M11" s="60">
        <f>'Information Technology'!S560</f>
        <v>318.91816090520001</v>
      </c>
      <c r="N11" s="63">
        <v>33.956457856649997</v>
      </c>
      <c r="O11" s="63">
        <f t="shared" si="3"/>
        <v>-0.26891614163913657</v>
      </c>
      <c r="P11" s="63">
        <f t="shared" si="4"/>
        <v>4.2994262383592885E-2</v>
      </c>
      <c r="Q11" s="63">
        <f t="shared" si="5"/>
        <v>5.0187754154954964</v>
      </c>
      <c r="R11" s="62">
        <f t="shared" si="6"/>
        <v>1.0429942623835933</v>
      </c>
      <c r="S11" s="63">
        <v>1.3816174002677126</v>
      </c>
      <c r="T11" s="60">
        <f>'Information Technology'!S561</f>
        <v>35.889965898781291</v>
      </c>
      <c r="U11" s="63">
        <v>28.061386842115915</v>
      </c>
      <c r="V11" s="63" t="e">
        <f>-(U11-$U$266)/$U$267</f>
        <v>#DIV/0!</v>
      </c>
      <c r="W11" s="63" t="e">
        <f>V11-$V$42</f>
        <v>#DIV/0!</v>
      </c>
      <c r="X11" s="63" t="e">
        <f>W11+5-$W$70</f>
        <v>#DIV/0!</v>
      </c>
      <c r="Y11" s="63">
        <v>4.5129570628112434</v>
      </c>
      <c r="Z11" s="63">
        <v>4.5129570628112434</v>
      </c>
      <c r="AA11" s="60">
        <f>'Information Technology'!S562</f>
        <v>-3.863161601862386E-2</v>
      </c>
      <c r="AB11" s="63">
        <v>-2.5645871785267338E-2</v>
      </c>
      <c r="AC11" s="60">
        <f t="shared" si="7"/>
        <v>0.57065770938802185</v>
      </c>
      <c r="AD11" s="60">
        <f t="shared" si="8"/>
        <v>0.70732594176831776</v>
      </c>
      <c r="AE11" s="60">
        <f t="shared" si="9"/>
        <v>5.2401772441577767</v>
      </c>
      <c r="AF11" s="60">
        <v>4.5042014266703214</v>
      </c>
      <c r="AG11" s="60">
        <v>4.5042014266703214</v>
      </c>
      <c r="AH11" s="60">
        <f>'Information Technology'!S563</f>
        <v>0.21138319290582372</v>
      </c>
      <c r="AI11" s="63">
        <v>0.10999512027873808</v>
      </c>
      <c r="AJ11" s="60">
        <f t="shared" si="10"/>
        <v>-9.0958971295731814E-2</v>
      </c>
      <c r="AK11" s="60">
        <f t="shared" si="11"/>
        <v>-9.0958971295731814E-2</v>
      </c>
      <c r="AL11" s="60">
        <f t="shared" si="12"/>
        <v>4.8746603452728667</v>
      </c>
      <c r="AM11" s="60">
        <v>1.6968034229576885</v>
      </c>
      <c r="AN11" s="60">
        <v>1.6968034229576885</v>
      </c>
      <c r="AO11" s="60">
        <f>'Information Technology'!S564</f>
        <v>5.2842146789337088E-2</v>
      </c>
      <c r="AP11" s="60">
        <v>0.35595396332518364</v>
      </c>
      <c r="AQ11" s="60"/>
      <c r="AR11" s="60"/>
      <c r="AT11" s="60">
        <v>4.9749999999999996</v>
      </c>
      <c r="AU11" s="60">
        <v>4.9749999999999996</v>
      </c>
      <c r="AV11" s="60">
        <f>'Information Technology'!S565</f>
        <v>-0.31408454545454528</v>
      </c>
      <c r="AW11" s="60">
        <v>-0.32155636363636353</v>
      </c>
      <c r="AX11" s="60" t="e">
        <f t="shared" si="13"/>
        <v>#DIV/0!</v>
      </c>
      <c r="AY11" s="60" t="e">
        <f t="shared" si="14"/>
        <v>#DIV/0!</v>
      </c>
      <c r="AZ11" s="60" t="e">
        <f t="shared" si="15"/>
        <v>#DIV/0!</v>
      </c>
      <c r="BA11" s="60">
        <v>1.7242434888986597</v>
      </c>
      <c r="BB11" s="60">
        <v>1.7242434888986597</v>
      </c>
      <c r="BC11" s="60">
        <f>'Information Technology'!S566</f>
        <v>0.29343795237983483</v>
      </c>
      <c r="BD11" s="60">
        <v>-2.37180231329603E-2</v>
      </c>
      <c r="BE11" s="60">
        <v>5</v>
      </c>
      <c r="BF11" s="60">
        <f>'Information Technology'!S567</f>
        <v>19.226690000000001</v>
      </c>
      <c r="BG11" s="63">
        <v>8.9670299999999994</v>
      </c>
      <c r="BH11" s="63">
        <f t="shared" si="16"/>
        <v>0.79998909496375714</v>
      </c>
      <c r="BI11" s="63">
        <f t="shared" si="17"/>
        <v>0.79998909496375714</v>
      </c>
      <c r="BJ11" s="63">
        <f t="shared" si="18"/>
        <v>5.7999890949637569</v>
      </c>
      <c r="BK11" s="63">
        <v>4.7534587895519005</v>
      </c>
      <c r="BL11" s="63">
        <v>4.7534587895519005</v>
      </c>
      <c r="BM11" s="63">
        <f t="shared" si="19"/>
        <v>3.617525603730221</v>
      </c>
    </row>
    <row r="12" spans="1:65">
      <c r="A12" s="50" t="s">
        <v>195</v>
      </c>
      <c r="B12" s="50" t="s">
        <v>196</v>
      </c>
      <c r="C12" s="51">
        <v>16316.8</v>
      </c>
      <c r="D12" s="52" t="s">
        <v>130</v>
      </c>
      <c r="E12" s="68" t="str" cm="1">
        <f t="array" ref="E12">_xll.ciqfunctions.udf.CIQ(B12,"iq_industry")</f>
        <v>IT Services</v>
      </c>
      <c r="F12" s="60">
        <f>'Information Technology'!S919</f>
        <v>67.212811856925669</v>
      </c>
      <c r="G12" s="62">
        <v>12.108959951397329</v>
      </c>
      <c r="H12" s="62">
        <f t="shared" si="0"/>
        <v>0.29252193892394118</v>
      </c>
      <c r="I12" s="62">
        <f t="shared" si="1"/>
        <v>0.17996026447131741</v>
      </c>
      <c r="J12" s="62">
        <f t="shared" si="2"/>
        <v>4.9049182903964654</v>
      </c>
      <c r="K12" s="62">
        <v>4.6598816359960251</v>
      </c>
      <c r="L12" s="108">
        <v>4.6598816359960251</v>
      </c>
      <c r="M12" s="60">
        <f>'Information Technology'!S920</f>
        <v>23.645790997399999</v>
      </c>
      <c r="N12" s="63">
        <v>16.107401061000001</v>
      </c>
      <c r="O12" s="63">
        <f t="shared" si="3"/>
        <v>-0.30824740179944576</v>
      </c>
      <c r="P12" s="63">
        <f t="shared" si="4"/>
        <v>3.6630022232836956E-3</v>
      </c>
      <c r="Q12" s="63">
        <f t="shared" si="5"/>
        <v>4.9794441553351865</v>
      </c>
      <c r="R12" s="62">
        <f t="shared" si="6"/>
        <v>1.0036630022232833</v>
      </c>
      <c r="S12" s="63">
        <v>1.0408259809053</v>
      </c>
      <c r="T12" s="60" t="e">
        <f>'Information Technology'!S921</f>
        <v>#DIV/0!</v>
      </c>
      <c r="U12" s="63" t="e">
        <v>#DIV/0!</v>
      </c>
      <c r="Z12" s="63">
        <v>1</v>
      </c>
      <c r="AA12" s="60">
        <f>'Information Technology'!S922</f>
        <v>4.9056133648554878E-2</v>
      </c>
      <c r="AB12" s="63">
        <v>-1.4505856855813515E-2</v>
      </c>
      <c r="AC12" s="60">
        <f t="shared" si="7"/>
        <v>0.47158188518666083</v>
      </c>
      <c r="AD12" s="60">
        <f t="shared" si="8"/>
        <v>0.60825011756695679</v>
      </c>
      <c r="AE12" s="60">
        <f t="shared" si="9"/>
        <v>5.1411014199564162</v>
      </c>
      <c r="AF12" s="60">
        <v>4.0788732044566842</v>
      </c>
      <c r="AG12" s="60">
        <v>4.0788732044566842</v>
      </c>
      <c r="AH12" s="60">
        <f>'Information Technology'!S923</f>
        <v>-8.2559148190777878E-2</v>
      </c>
      <c r="AI12" s="63">
        <v>0.14858649472048632</v>
      </c>
      <c r="AJ12" s="60">
        <f t="shared" si="10"/>
        <v>0.10248542989675526</v>
      </c>
      <c r="AK12" s="60">
        <f t="shared" si="11"/>
        <v>0.10248542989675526</v>
      </c>
      <c r="AL12" s="60">
        <f t="shared" si="12"/>
        <v>5.0681047464653535</v>
      </c>
      <c r="AM12" s="60">
        <v>2.1572606669984822</v>
      </c>
      <c r="AN12" s="60">
        <v>2.1572606669984822</v>
      </c>
      <c r="AO12" s="60">
        <f>'Information Technology'!S924</f>
        <v>3.6047037791730747E-2</v>
      </c>
      <c r="AP12" s="60">
        <v>8.9600620358303282E-2</v>
      </c>
      <c r="AQ12" s="60">
        <f>(AP12-$AP$266)/$AP$267</f>
        <v>7.4433277394529256E-3</v>
      </c>
      <c r="AR12" s="60">
        <f>AQ12-$AQ$66</f>
        <v>0.29060925405946303</v>
      </c>
      <c r="AS12" s="60">
        <f>AR12+5-$AR$8</f>
        <v>5.2207016964318855</v>
      </c>
      <c r="AT12" s="60">
        <v>3.2287258917135464</v>
      </c>
      <c r="AU12" s="60">
        <v>3.2287258917135464</v>
      </c>
      <c r="AV12" s="60">
        <f>'Information Technology'!S925</f>
        <v>3.8606518181818181</v>
      </c>
      <c r="AW12" s="60">
        <v>-0.2391036363636363</v>
      </c>
      <c r="AX12" s="60" t="e">
        <f t="shared" si="13"/>
        <v>#DIV/0!</v>
      </c>
      <c r="AY12" s="60" t="e">
        <f t="shared" si="14"/>
        <v>#DIV/0!</v>
      </c>
      <c r="AZ12" s="60" t="e">
        <f t="shared" si="15"/>
        <v>#DIV/0!</v>
      </c>
      <c r="BA12" s="60">
        <v>1.8069365883876651</v>
      </c>
      <c r="BB12" s="60">
        <v>1.8069365883876651</v>
      </c>
      <c r="BC12" s="60">
        <f>'Information Technology'!S926</f>
        <v>6.0403683193680738E-2</v>
      </c>
      <c r="BD12" s="60">
        <v>0.22166438868531704</v>
      </c>
      <c r="BE12" s="60">
        <v>5</v>
      </c>
      <c r="BF12" s="60" t="str">
        <f>'Information Technology'!S927</f>
        <v>NM</v>
      </c>
      <c r="BG12" s="63">
        <v>13.354699999999999</v>
      </c>
      <c r="BH12" s="63">
        <f t="shared" si="16"/>
        <v>0.66446986004103448</v>
      </c>
      <c r="BI12" s="63">
        <f t="shared" si="17"/>
        <v>0.66446986004103448</v>
      </c>
      <c r="BJ12" s="63">
        <f t="shared" si="18"/>
        <v>5.6644698600410344</v>
      </c>
      <c r="BK12" s="63">
        <v>4.4083649593879537</v>
      </c>
      <c r="BL12" s="63">
        <v>4.4083649593879537</v>
      </c>
      <c r="BM12" s="63">
        <f t="shared" si="19"/>
        <v>3.2377744656592662</v>
      </c>
    </row>
    <row r="13" spans="1:65">
      <c r="A13" s="50" t="s">
        <v>183</v>
      </c>
      <c r="B13" s="50" t="s">
        <v>184</v>
      </c>
      <c r="C13" s="51">
        <v>20597.900000000001</v>
      </c>
      <c r="D13" s="52" t="s">
        <v>130</v>
      </c>
      <c r="E13" s="68" t="str" cm="1">
        <f t="array" ref="E13">_xll.ciqfunctions.udf.CIQ(B13,"iq_industry")</f>
        <v>IT Services</v>
      </c>
      <c r="F13" s="60">
        <f>'Information Technology'!S829</f>
        <v>28.194269964008011</v>
      </c>
      <c r="G13" s="62">
        <v>33.108065457433483</v>
      </c>
      <c r="H13" s="62">
        <f t="shared" si="0"/>
        <v>-2.2761790435735497E-2</v>
      </c>
      <c r="I13" s="62">
        <f t="shared" si="1"/>
        <v>-0.13532346488835925</v>
      </c>
      <c r="J13" s="62">
        <f t="shared" si="2"/>
        <v>4.5896345610367888</v>
      </c>
      <c r="K13" s="62">
        <v>3.5320749666163769</v>
      </c>
      <c r="L13" s="108">
        <v>3.5320749666163769</v>
      </c>
      <c r="M13" s="60">
        <f>'Information Technology'!S830</f>
        <v>17.360431803749997</v>
      </c>
      <c r="N13" s="63">
        <v>20.877369061100001</v>
      </c>
      <c r="O13" s="63">
        <f t="shared" si="3"/>
        <v>-0.29773654654719478</v>
      </c>
      <c r="P13" s="63">
        <f t="shared" si="4"/>
        <v>1.4173857475534679E-2</v>
      </c>
      <c r="Q13" s="63">
        <f t="shared" si="5"/>
        <v>4.9899550105874377</v>
      </c>
      <c r="R13" s="62">
        <f t="shared" si="6"/>
        <v>1.0141738574755346</v>
      </c>
      <c r="S13" s="63">
        <v>1.1318988136985446</v>
      </c>
      <c r="T13" s="60" t="e">
        <f>'Information Technology'!S831</f>
        <v>#DIV/0!</v>
      </c>
      <c r="U13" s="63" t="e">
        <v>#DIV/0!</v>
      </c>
      <c r="Z13" s="63">
        <v>1</v>
      </c>
      <c r="AA13" s="60">
        <f>'Information Technology'!S832</f>
        <v>1.9254022897248646E-2</v>
      </c>
      <c r="AB13" s="63">
        <v>-2.9377172543288865E-2</v>
      </c>
      <c r="AC13" s="60">
        <f t="shared" si="7"/>
        <v>0.60384273654330145</v>
      </c>
      <c r="AD13" s="60">
        <f t="shared" si="8"/>
        <v>0.74051096892359736</v>
      </c>
      <c r="AE13" s="60">
        <f t="shared" si="9"/>
        <v>5.273362271313057</v>
      </c>
      <c r="AF13" s="60">
        <v>4.6466633109679494</v>
      </c>
      <c r="AG13" s="60">
        <v>4.6466633109679494</v>
      </c>
      <c r="AH13" s="60">
        <f>'Information Technology'!S833</f>
        <v>0.11259541977373619</v>
      </c>
      <c r="AI13" s="63">
        <v>0.51555254715322973</v>
      </c>
      <c r="AJ13" s="60"/>
      <c r="AK13" s="60"/>
      <c r="AL13" s="60"/>
      <c r="AM13" s="60">
        <v>5</v>
      </c>
      <c r="AN13" s="60">
        <v>5</v>
      </c>
      <c r="AO13" s="60">
        <f>'Information Technology'!S834</f>
        <v>2.6631937115144527E-2</v>
      </c>
      <c r="AP13" s="60">
        <v>7.0417313020663952E-2</v>
      </c>
      <c r="AQ13" s="60">
        <f>(AP13-$AP$266)/$AP$267</f>
        <v>-0.15526642909334232</v>
      </c>
      <c r="AR13" s="60">
        <f>AQ13-$AQ$66</f>
        <v>0.12789949722666777</v>
      </c>
      <c r="AS13" s="60">
        <f>AR13+5-$AR$8</f>
        <v>5.0579919395990904</v>
      </c>
      <c r="AT13" s="60">
        <v>2.7888347537808453</v>
      </c>
      <c r="AU13" s="60">
        <v>2.7888347537808453</v>
      </c>
      <c r="AV13" s="60">
        <f>'Information Technology'!S835</f>
        <v>-0.44341090909090936</v>
      </c>
      <c r="AW13" s="60">
        <v>0.92112545454545514</v>
      </c>
      <c r="AX13" s="60" t="e">
        <f t="shared" si="13"/>
        <v>#DIV/0!</v>
      </c>
      <c r="AY13" s="60" t="e">
        <f t="shared" si="14"/>
        <v>#DIV/0!</v>
      </c>
      <c r="AZ13" s="60" t="e">
        <f t="shared" si="15"/>
        <v>#DIV/0!</v>
      </c>
      <c r="BA13" s="60">
        <v>2.9705480639333475</v>
      </c>
      <c r="BB13" s="60">
        <v>2.9705480639333475</v>
      </c>
      <c r="BC13" s="60">
        <f>'Information Technology'!S836</f>
        <v>0.26503454486312483</v>
      </c>
      <c r="BD13" s="60">
        <v>-0.35057951392146597</v>
      </c>
      <c r="BE13" s="60">
        <v>5</v>
      </c>
      <c r="BF13" s="60">
        <f>'Information Technology'!S837</f>
        <v>52.504600000000003</v>
      </c>
      <c r="BG13" s="63">
        <v>21.22681</v>
      </c>
      <c r="BH13" s="63">
        <f t="shared" si="16"/>
        <v>0.42132889355369296</v>
      </c>
      <c r="BI13" s="63">
        <f t="shared" si="17"/>
        <v>0.42132889355369296</v>
      </c>
      <c r="BJ13" s="63">
        <f t="shared" si="18"/>
        <v>5.4213288935536932</v>
      </c>
      <c r="BK13" s="63">
        <v>3.7892170764861151</v>
      </c>
      <c r="BL13" s="63">
        <v>3.7892170764861151</v>
      </c>
      <c r="BM13" s="63">
        <f t="shared" si="19"/>
        <v>3.1313678118319404</v>
      </c>
    </row>
    <row r="14" spans="1:65">
      <c r="A14" s="50" t="s">
        <v>205</v>
      </c>
      <c r="B14" s="50" t="s">
        <v>206</v>
      </c>
      <c r="C14" s="51">
        <v>15127.8</v>
      </c>
      <c r="D14" s="52" t="s">
        <v>93</v>
      </c>
      <c r="E14" s="68" t="str" cm="1">
        <f t="array" ref="E14">_xll.ciqfunctions.udf.CIQ(B14,"iq_industry")</f>
        <v>IT Services</v>
      </c>
      <c r="F14" s="60">
        <f>'Information Technology'!S994</f>
        <v>22.087650018447746</v>
      </c>
      <c r="G14" s="62">
        <v>20.82206778415707</v>
      </c>
      <c r="H14" s="62">
        <f t="shared" si="0"/>
        <v>0.16170202704551129</v>
      </c>
      <c r="I14" s="62">
        <f t="shared" si="1"/>
        <v>4.9140352592887529E-2</v>
      </c>
      <c r="J14" s="62">
        <f t="shared" si="2"/>
        <v>4.774098378518036</v>
      </c>
      <c r="K14" s="62">
        <v>4.1919235545441351</v>
      </c>
      <c r="L14" s="108">
        <v>4.1919235545441351</v>
      </c>
      <c r="M14" s="60">
        <f>'Information Technology'!S995</f>
        <v>20.121733133199999</v>
      </c>
      <c r="N14" s="63">
        <v>13.969127587799999</v>
      </c>
      <c r="O14" s="63">
        <f t="shared" si="3"/>
        <v>-0.31295919084416512</v>
      </c>
      <c r="P14" s="63">
        <f t="shared" si="4"/>
        <v>-1.0487868214356655E-3</v>
      </c>
      <c r="Q14" s="63">
        <f t="shared" si="5"/>
        <v>4.9747323662904677</v>
      </c>
      <c r="R14" s="62">
        <f t="shared" si="6"/>
        <v>0.9989512131785645</v>
      </c>
      <c r="S14" s="63">
        <v>1</v>
      </c>
      <c r="T14" s="60">
        <f>'Information Technology'!S996</f>
        <v>15.099767683135589</v>
      </c>
      <c r="U14" s="63" t="e">
        <v>#DIV/0!</v>
      </c>
      <c r="Z14" s="63">
        <v>1</v>
      </c>
      <c r="AA14" s="60">
        <f>'Information Technology'!S997</f>
        <v>-1.7137881311983572E-2</v>
      </c>
      <c r="AB14" s="63">
        <v>1.3591939714965529E-2</v>
      </c>
      <c r="AC14" s="60">
        <f t="shared" si="7"/>
        <v>0.22168883108205623</v>
      </c>
      <c r="AD14" s="60">
        <f t="shared" si="8"/>
        <v>0.35835706346235219</v>
      </c>
      <c r="AE14" s="60">
        <f t="shared" si="9"/>
        <v>4.8912083658518117</v>
      </c>
      <c r="AF14" s="60">
        <v>3.0060931463283591</v>
      </c>
      <c r="AG14" s="60">
        <v>3.0060931463283591</v>
      </c>
      <c r="AH14" s="60">
        <f>'Information Technology'!S998</f>
        <v>4.450864529632987E-2</v>
      </c>
      <c r="AI14" s="63">
        <v>0.10840421869933876</v>
      </c>
      <c r="AJ14" s="60">
        <f>(AI14-$AI$266)/$AI$267</f>
        <v>-9.8933577223479119E-2</v>
      </c>
      <c r="AK14" s="60">
        <f>AJ14-$AJ$58</f>
        <v>-9.8933577223479119E-2</v>
      </c>
      <c r="AL14" s="60">
        <f>AK14+5-$AK$3</f>
        <v>4.8666857393451188</v>
      </c>
      <c r="AM14" s="60">
        <v>1.6778214051522315</v>
      </c>
      <c r="AN14" s="60">
        <v>1.6778214051522315</v>
      </c>
      <c r="AO14" s="60">
        <f>'Information Technology'!S999</f>
        <v>2.4867164789503161E-2</v>
      </c>
      <c r="AP14" s="60">
        <v>5.1686597065332282E-2</v>
      </c>
      <c r="AQ14" s="60">
        <f>(AP14-$AP$266)/$AP$267</f>
        <v>-0.31413737792166968</v>
      </c>
      <c r="AR14" s="60">
        <f>AQ14-$AQ$66</f>
        <v>-3.0971451601659594E-2</v>
      </c>
      <c r="AS14" s="60">
        <f>AR14+5-$AR$8</f>
        <v>4.8991209907707631</v>
      </c>
      <c r="AT14" s="60">
        <v>2.3593219585748555</v>
      </c>
      <c r="AU14" s="60">
        <v>2.3593219585748555</v>
      </c>
      <c r="AV14" s="60">
        <f>'Information Technology'!S1000</f>
        <v>0.23887272727272729</v>
      </c>
      <c r="AW14" s="60">
        <v>5.459090909091008E-3</v>
      </c>
      <c r="AX14" s="60" t="e">
        <f t="shared" si="13"/>
        <v>#DIV/0!</v>
      </c>
      <c r="AY14" s="60" t="e">
        <f t="shared" si="14"/>
        <v>#DIV/0!</v>
      </c>
      <c r="AZ14" s="60" t="e">
        <f t="shared" si="15"/>
        <v>#DIV/0!</v>
      </c>
      <c r="BA14" s="60">
        <v>2.0522122827958418</v>
      </c>
      <c r="BB14" s="60">
        <v>2.0522122827958418</v>
      </c>
      <c r="BC14" s="60">
        <f>'Information Technology'!S1001</f>
        <v>-0.3697237471368397</v>
      </c>
      <c r="BD14" s="60">
        <v>-1.0898889125923409E-2</v>
      </c>
      <c r="BE14" s="60">
        <v>5</v>
      </c>
      <c r="BF14" s="60">
        <f>'Information Technology'!S1002</f>
        <v>5.5834799999999998</v>
      </c>
      <c r="BG14" s="63">
        <v>15.15447</v>
      </c>
      <c r="BH14" s="63">
        <f t="shared" si="16"/>
        <v>0.60888148319481128</v>
      </c>
      <c r="BI14" s="63">
        <f t="shared" si="17"/>
        <v>0.60888148319481128</v>
      </c>
      <c r="BJ14" s="63">
        <f t="shared" si="18"/>
        <v>5.6088814831948115</v>
      </c>
      <c r="BK14" s="63">
        <v>4.2668115785014775</v>
      </c>
      <c r="BL14" s="63">
        <v>4.2668115785014775</v>
      </c>
      <c r="BM14" s="63">
        <f t="shared" si="19"/>
        <v>2.9366333984445108</v>
      </c>
    </row>
    <row r="15" spans="1:65">
      <c r="A15" s="50" t="s">
        <v>153</v>
      </c>
      <c r="B15" s="50" t="s">
        <v>154</v>
      </c>
      <c r="C15" s="51">
        <v>28082.3</v>
      </c>
      <c r="D15" s="52" t="s">
        <v>93</v>
      </c>
      <c r="E15" s="68" t="str" cm="1">
        <f t="array" ref="E15">_xll.ciqfunctions.udf.CIQ(B15,"iq_industry")</f>
        <v>IT Services</v>
      </c>
      <c r="F15" s="60">
        <f>'Information Technology'!S619</f>
        <v>23.870599574342442</v>
      </c>
      <c r="G15" s="62">
        <v>31.183587705981338</v>
      </c>
      <c r="H15" s="62">
        <f t="shared" si="0"/>
        <v>6.1326080601026229E-3</v>
      </c>
      <c r="I15" s="62">
        <f t="shared" si="1"/>
        <v>-0.10642906639252113</v>
      </c>
      <c r="J15" s="62">
        <f t="shared" si="2"/>
        <v>4.6185289595326271</v>
      </c>
      <c r="K15" s="62">
        <v>3.6354335997989464</v>
      </c>
      <c r="L15" s="108">
        <v>3.6354335997989464</v>
      </c>
      <c r="M15" s="60">
        <f>'Information Technology'!S620</f>
        <v>158.21909378205001</v>
      </c>
      <c r="N15" s="63">
        <v>27.2285957446</v>
      </c>
      <c r="O15" s="63">
        <f t="shared" si="3"/>
        <v>-0.28374131128710445</v>
      </c>
      <c r="P15" s="63">
        <f t="shared" si="4"/>
        <v>2.8169092735625012E-2</v>
      </c>
      <c r="Q15" s="63">
        <f t="shared" si="5"/>
        <v>5.0039502458475278</v>
      </c>
      <c r="R15" s="62">
        <f t="shared" si="6"/>
        <v>1.0281690927356246</v>
      </c>
      <c r="S15" s="63">
        <v>1.2531625634273205</v>
      </c>
      <c r="T15" s="60">
        <f>'Information Technology'!S621</f>
        <v>73.87996827733599</v>
      </c>
      <c r="U15" s="63" t="e">
        <v>#DIV/0!</v>
      </c>
      <c r="Z15" s="63">
        <v>1</v>
      </c>
      <c r="AA15" s="60">
        <f>'Information Technology'!S622</f>
        <v>1.6160499508339088E-2</v>
      </c>
      <c r="AB15" s="63">
        <v>-2.5541872317132119E-2</v>
      </c>
      <c r="AC15" s="60">
        <f t="shared" si="7"/>
        <v>0.56973277049994575</v>
      </c>
      <c r="AD15" s="60">
        <f t="shared" si="8"/>
        <v>0.70640100288024166</v>
      </c>
      <c r="AE15" s="60">
        <f t="shared" si="9"/>
        <v>5.2392523052697006</v>
      </c>
      <c r="AF15" s="60">
        <v>4.50023070408393</v>
      </c>
      <c r="AG15" s="60">
        <v>4.50023070408393</v>
      </c>
      <c r="AH15" s="60">
        <f>'Information Technology'!S623</f>
        <v>0.19563030914908811</v>
      </c>
      <c r="AI15" s="63">
        <v>0.11115748551403429</v>
      </c>
      <c r="AJ15" s="60">
        <f>(AI15-$AI$266)/$AI$267</f>
        <v>-8.5132460834223253E-2</v>
      </c>
      <c r="AK15" s="60">
        <f>AJ15-$AJ$58</f>
        <v>-8.5132460834223253E-2</v>
      </c>
      <c r="AL15" s="60">
        <f>AK15+5-$AK$3</f>
        <v>4.8804868557343752</v>
      </c>
      <c r="AM15" s="60">
        <v>1.7106723120697156</v>
      </c>
      <c r="AN15" s="60">
        <v>1.7106723120697156</v>
      </c>
      <c r="AO15" s="60">
        <f>'Information Technology'!S624</f>
        <v>6.4466603329300751E-2</v>
      </c>
      <c r="AP15" s="60">
        <v>1.880627060113128E-2</v>
      </c>
      <c r="AQ15" s="60">
        <f>(AP15-$AP$266)/$AP$267</f>
        <v>-0.59302306897641266</v>
      </c>
      <c r="AR15" s="60">
        <f>AQ15-$AQ$66</f>
        <v>-0.30985714265640257</v>
      </c>
      <c r="AS15" s="60">
        <f>AR15+5-$AR$8</f>
        <v>4.6202352997160201</v>
      </c>
      <c r="AT15" s="60">
        <v>1.6053453908556437</v>
      </c>
      <c r="AU15" s="60">
        <v>1.6053453908556437</v>
      </c>
      <c r="AV15" s="60">
        <f>'Information Technology'!S625</f>
        <v>-0.6982754545454547</v>
      </c>
      <c r="AW15" s="60">
        <v>0.77361818181818198</v>
      </c>
      <c r="AX15" s="60" t="e">
        <f t="shared" si="13"/>
        <v>#DIV/0!</v>
      </c>
      <c r="AY15" s="60" t="e">
        <f t="shared" si="14"/>
        <v>#DIV/0!</v>
      </c>
      <c r="AZ15" s="60" t="e">
        <f t="shared" si="15"/>
        <v>#DIV/0!</v>
      </c>
      <c r="BA15" s="60">
        <v>2.8226107672246323</v>
      </c>
      <c r="BB15" s="60">
        <v>2.8226107672246323</v>
      </c>
      <c r="BC15" s="60">
        <f>'Information Technology'!S626</f>
        <v>0.2322889258098626</v>
      </c>
      <c r="BD15" s="60">
        <v>-0.1817056293633075</v>
      </c>
      <c r="BE15" s="60">
        <v>5</v>
      </c>
      <c r="BF15" s="60">
        <f>'Information Technology'!S627</f>
        <v>41.120040000000003</v>
      </c>
      <c r="BG15" s="63">
        <v>20.350460000000002</v>
      </c>
      <c r="BH15" s="63">
        <f t="shared" si="16"/>
        <v>0.44839617106647939</v>
      </c>
      <c r="BI15" s="63">
        <f t="shared" si="17"/>
        <v>0.44839617106647939</v>
      </c>
      <c r="BJ15" s="63">
        <f t="shared" si="18"/>
        <v>5.448396171066479</v>
      </c>
      <c r="BK15" s="63">
        <v>3.8581427199515934</v>
      </c>
      <c r="BL15" s="63">
        <v>3.8581427199515934</v>
      </c>
      <c r="BM15" s="63">
        <f t="shared" si="19"/>
        <v>2.8925023570412614</v>
      </c>
    </row>
    <row r="16" spans="1:65">
      <c r="A16" s="50" t="s">
        <v>168</v>
      </c>
      <c r="B16" s="50" t="s">
        <v>169</v>
      </c>
      <c r="C16" s="51">
        <v>23954.7</v>
      </c>
      <c r="D16" s="52" t="s">
        <v>130</v>
      </c>
      <c r="E16" s="68" t="str" cm="1">
        <f t="array" ref="E16">_xll.ciqfunctions.udf.CIQ(B16,"iq_industry")</f>
        <v>IT Services</v>
      </c>
      <c r="F16" s="60">
        <f>'Information Technology'!S724</f>
        <v>29.446732301183527</v>
      </c>
      <c r="G16" s="62">
        <v>60.178860473731767</v>
      </c>
      <c r="H16" s="62">
        <f t="shared" si="0"/>
        <v>-0.42920677958141634</v>
      </c>
      <c r="I16" s="62">
        <f t="shared" si="1"/>
        <v>-0.54176845403404006</v>
      </c>
      <c r="J16" s="62">
        <f t="shared" si="2"/>
        <v>4.1831895718911083</v>
      </c>
      <c r="K16" s="62">
        <v>2.078173839446241</v>
      </c>
      <c r="L16" s="108">
        <v>2.078173839446241</v>
      </c>
      <c r="M16" s="60">
        <f>'Information Technology'!S725</f>
        <v>25.963673736000001</v>
      </c>
      <c r="N16" s="63">
        <v>23.823395510400001</v>
      </c>
      <c r="O16" s="63">
        <f t="shared" si="3"/>
        <v>-0.29124483474173912</v>
      </c>
      <c r="P16" s="63">
        <f t="shared" si="4"/>
        <v>2.0665569280990337E-2</v>
      </c>
      <c r="Q16" s="63">
        <f t="shared" si="5"/>
        <v>4.9964467223928937</v>
      </c>
      <c r="R16" s="62">
        <f t="shared" si="6"/>
        <v>1.0206655692809905</v>
      </c>
      <c r="S16" s="63">
        <v>1.1881471940264534</v>
      </c>
      <c r="T16" s="60" t="e">
        <f>'Information Technology'!S726</f>
        <v>#DIV/0!</v>
      </c>
      <c r="U16" s="63" t="e">
        <v>#DIV/0!</v>
      </c>
      <c r="Z16" s="63">
        <v>1</v>
      </c>
      <c r="AA16" s="60">
        <f>'Information Technology'!S727</f>
        <v>7.2961252334469151E-3</v>
      </c>
      <c r="AB16" s="63">
        <v>5.3448071945361164E-2</v>
      </c>
      <c r="AC16" s="60">
        <f t="shared" si="7"/>
        <v>-0.13277919927618284</v>
      </c>
      <c r="AD16" s="60">
        <f t="shared" si="8"/>
        <v>3.8890331041130932E-3</v>
      </c>
      <c r="AE16" s="60">
        <f t="shared" si="9"/>
        <v>4.5367403354935725</v>
      </c>
      <c r="AF16" s="60">
        <v>1.4843772444003038</v>
      </c>
      <c r="AG16" s="60">
        <v>1.4843772444003038</v>
      </c>
      <c r="AH16" s="60">
        <f>'Information Technology'!S728</f>
        <v>0.25861565376341072</v>
      </c>
      <c r="AI16" s="63">
        <v>-0.30838941189943575</v>
      </c>
      <c r="AJ16" s="60"/>
      <c r="AK16" s="60"/>
      <c r="AL16" s="60"/>
      <c r="AM16" s="60"/>
      <c r="AN16" s="60">
        <v>1</v>
      </c>
      <c r="AO16" s="60">
        <f>'Information Technology'!S729</f>
        <v>0.15937576151398422</v>
      </c>
      <c r="AP16" s="60">
        <v>1.5320973194429021E-2</v>
      </c>
      <c r="AQ16" s="60">
        <f>(AP16-$AP$266)/$AP$267</f>
        <v>-0.62258480635325253</v>
      </c>
      <c r="AR16" s="60">
        <f>AQ16-$AQ$66</f>
        <v>-0.33941888003324244</v>
      </c>
      <c r="AS16" s="60">
        <f>AR16+5-$AR$8</f>
        <v>4.5906735623391803</v>
      </c>
      <c r="AT16" s="60">
        <v>1.5254242690551303</v>
      </c>
      <c r="AU16" s="60">
        <v>1.5254242690551303</v>
      </c>
      <c r="AV16" s="60">
        <f>'Information Technology'!S730</f>
        <v>-1.6673345454545452</v>
      </c>
      <c r="AW16" s="60" t="e">
        <v>#DIV/0!</v>
      </c>
      <c r="AX16" s="60"/>
      <c r="AY16" s="60"/>
      <c r="AZ16" s="60"/>
      <c r="BA16" s="60"/>
      <c r="BB16" s="60">
        <v>1</v>
      </c>
      <c r="BC16" s="60">
        <f>'Information Technology'!S731</f>
        <v>0.19142336934320792</v>
      </c>
      <c r="BD16" s="60">
        <v>1.1457194082106885</v>
      </c>
      <c r="BE16" s="60">
        <v>1</v>
      </c>
      <c r="BF16" s="60">
        <f>'Information Technology'!S732</f>
        <v>37.508560000000003</v>
      </c>
      <c r="BG16" s="63" t="s">
        <v>612</v>
      </c>
      <c r="BL16" s="63">
        <v>1</v>
      </c>
      <c r="BM16" s="63">
        <f t="shared" si="19"/>
        <v>1.459405175100599</v>
      </c>
    </row>
    <row r="17" spans="1:65">
      <c r="A17" s="50" t="s">
        <v>128</v>
      </c>
      <c r="B17" s="50" t="s">
        <v>129</v>
      </c>
      <c r="C17" s="51">
        <v>49356.1</v>
      </c>
      <c r="D17" s="52" t="s">
        <v>130</v>
      </c>
      <c r="E17" s="68" t="str" cm="1">
        <f t="array" ref="E17">_xll.ciqfunctions.udf.CIQ(B17,"iq_industry")</f>
        <v>IT Services</v>
      </c>
      <c r="F17" s="60">
        <f>'Information Technology'!S439</f>
        <v>30.970823875673776</v>
      </c>
      <c r="G17" s="62">
        <v>-127.31804472294964</v>
      </c>
      <c r="K17" s="62">
        <v>1</v>
      </c>
      <c r="L17" s="108">
        <v>1</v>
      </c>
      <c r="M17" s="60">
        <f>'Information Technology'!S440</f>
        <v>29.765510444899999</v>
      </c>
      <c r="N17" s="63">
        <v>49.820967000000003</v>
      </c>
      <c r="O17" s="63">
        <f t="shared" si="3"/>
        <v>-0.23395792824016459</v>
      </c>
      <c r="P17" s="63">
        <f t="shared" si="4"/>
        <v>7.7952475782564867E-2</v>
      </c>
      <c r="Q17" s="63">
        <f t="shared" si="5"/>
        <v>5.0537336288944683</v>
      </c>
      <c r="R17" s="62">
        <f t="shared" si="6"/>
        <v>1.0779524757825651</v>
      </c>
      <c r="S17" s="63">
        <v>1.6845179204659475</v>
      </c>
      <c r="T17" s="60" t="e">
        <f>'Information Technology'!S441</f>
        <v>#DIV/0!</v>
      </c>
      <c r="U17" s="63" t="e">
        <v>#DIV/0!</v>
      </c>
      <c r="Z17" s="63">
        <v>1</v>
      </c>
      <c r="AA17" s="60">
        <f>'Information Technology'!S442</f>
        <v>1.0041218294762899E-2</v>
      </c>
      <c r="AB17" s="63">
        <v>0.53920703797834735</v>
      </c>
      <c r="AC17" s="60"/>
      <c r="AD17" s="60"/>
      <c r="AE17" s="60"/>
      <c r="AF17" s="60">
        <v>1</v>
      </c>
      <c r="AG17" s="60">
        <v>1</v>
      </c>
      <c r="AH17" s="60">
        <f>'Information Technology'!S443</f>
        <v>0.14764388548054108</v>
      </c>
      <c r="AI17" s="63">
        <v>-0.87655956743995245</v>
      </c>
      <c r="AJ17" s="60"/>
      <c r="AK17" s="60"/>
      <c r="AL17" s="60"/>
      <c r="AM17" s="60"/>
      <c r="AN17" s="60">
        <v>1</v>
      </c>
      <c r="AO17" s="60">
        <f>'Information Technology'!S444</f>
        <v>7.5242856249132087E-2</v>
      </c>
      <c r="AP17" s="60">
        <v>-1.4151094251101082E-2</v>
      </c>
      <c r="AQ17" s="60"/>
      <c r="AR17" s="60"/>
      <c r="AS17" s="60"/>
      <c r="AT17" s="60"/>
      <c r="AU17" s="60">
        <v>1</v>
      </c>
      <c r="AV17" s="60">
        <f>'Information Technology'!S445</f>
        <v>2.1920700000000002</v>
      </c>
      <c r="AW17" s="60" t="e">
        <v>#DIV/0!</v>
      </c>
      <c r="AX17" s="60"/>
      <c r="AY17" s="60"/>
      <c r="AZ17" s="60"/>
      <c r="BA17" s="60"/>
      <c r="BB17" s="60">
        <v>1</v>
      </c>
      <c r="BC17" s="60">
        <f>'Information Technology'!S446</f>
        <v>1.2918073141530102E-2</v>
      </c>
      <c r="BD17" s="60">
        <v>-1.9360375859943952E-3</v>
      </c>
      <c r="BE17" s="60">
        <v>5</v>
      </c>
      <c r="BF17" s="60">
        <f>'Information Technology'!S447</f>
        <v>9.2472499999999993</v>
      </c>
      <c r="BG17" s="63" t="s">
        <v>612</v>
      </c>
      <c r="BL17" s="63">
        <v>1</v>
      </c>
      <c r="BM17" s="63">
        <f t="shared" si="19"/>
        <v>1.4369035840931896</v>
      </c>
    </row>
    <row r="18" spans="1:65">
      <c r="A18" s="50" t="s">
        <v>187</v>
      </c>
      <c r="B18" s="50" t="s">
        <v>188</v>
      </c>
      <c r="C18" s="51">
        <v>19304.5</v>
      </c>
      <c r="D18" s="52" t="s">
        <v>130</v>
      </c>
      <c r="E18" s="68" t="str" cm="1">
        <f t="array" ref="E18">_xll.ciqfunctions.udf.CIQ(B18,"iq_industry")</f>
        <v>IT Services</v>
      </c>
      <c r="F18" s="60">
        <f>'Information Technology'!S859</f>
        <v>29.099776442618019</v>
      </c>
      <c r="G18" s="62">
        <v>89.445211950059374</v>
      </c>
      <c r="H18" s="62">
        <f t="shared" ref="H18:H36" si="20">-(G18-$G$266)/$G$267</f>
        <v>-0.868616183737003</v>
      </c>
      <c r="I18" s="62">
        <f t="shared" ref="I18:I36" si="21">H18-$H$3</f>
        <v>-0.98117785818962677</v>
      </c>
      <c r="J18" s="62">
        <f t="shared" ref="J18:J36" si="22">I18+5-$I$66</f>
        <v>3.7437801677355211</v>
      </c>
      <c r="K18">
        <v>1.1000000000000001</v>
      </c>
      <c r="L18" s="109">
        <v>1.1000000000000001</v>
      </c>
      <c r="M18" s="60">
        <f>'Information Technology'!S860</f>
        <v>16.287973181999998</v>
      </c>
      <c r="N18" s="63">
        <v>19.713877632649996</v>
      </c>
      <c r="O18" s="63">
        <f t="shared" si="3"/>
        <v>-0.30030035619778706</v>
      </c>
      <c r="P18" s="63">
        <f t="shared" si="4"/>
        <v>1.1610047824942404E-2</v>
      </c>
      <c r="Q18" s="63">
        <f t="shared" si="5"/>
        <v>4.9873912009368455</v>
      </c>
      <c r="R18" s="62">
        <f t="shared" si="6"/>
        <v>1.0116100478249423</v>
      </c>
      <c r="S18" s="63">
        <v>1.1096843124026501</v>
      </c>
      <c r="T18" s="60">
        <f>'Information Technology'!S861</f>
        <v>140.2293095818718</v>
      </c>
      <c r="U18" s="63" t="e">
        <v>#DIV/0!</v>
      </c>
      <c r="Z18" s="63">
        <v>1</v>
      </c>
      <c r="AA18" s="60">
        <f>'Information Technology'!S862</f>
        <v>4.629341049447766E-2</v>
      </c>
      <c r="AB18" s="63">
        <v>0.29563236296457629</v>
      </c>
      <c r="AC18" s="60"/>
      <c r="AD18" s="60"/>
      <c r="AE18" s="60"/>
      <c r="AF18" s="60">
        <v>1.1200000000000001</v>
      </c>
      <c r="AG18" s="60">
        <v>1.1200000000000001</v>
      </c>
      <c r="AH18" s="60">
        <f>'Information Technology'!S863</f>
        <v>0.1435754554417524</v>
      </c>
      <c r="AI18" s="63">
        <v>-0.33549059280729682</v>
      </c>
      <c r="AJ18" s="60"/>
      <c r="AK18" s="60"/>
      <c r="AL18" s="60"/>
      <c r="AM18" s="60"/>
      <c r="AN18" s="60">
        <v>1</v>
      </c>
      <c r="AO18" s="60">
        <f>'Information Technology'!S864</f>
        <v>0.48024694116023564</v>
      </c>
      <c r="AP18" s="60">
        <v>5.5869880245139426E-2</v>
      </c>
      <c r="AQ18" s="60">
        <f>(AP18-$AP$266)/$AP$267</f>
        <v>-0.27865543641027934</v>
      </c>
      <c r="AR18" s="60">
        <f>AQ18-$AQ$66</f>
        <v>4.5104899097307416E-3</v>
      </c>
      <c r="AS18" s="60">
        <f>AR18+5-$AR$8</f>
        <v>4.9346029322821527</v>
      </c>
      <c r="AT18" s="60">
        <v>2.4552485454699884</v>
      </c>
      <c r="AU18" s="60">
        <v>2.4552485454699884</v>
      </c>
      <c r="AV18" s="60" t="e">
        <f>'Information Technology'!S865</f>
        <v>#DIV/0!</v>
      </c>
      <c r="AW18" s="60" t="e">
        <v>#DIV/0!</v>
      </c>
      <c r="AX18" s="60"/>
      <c r="AY18" s="60"/>
      <c r="AZ18" s="60"/>
      <c r="BA18" s="60"/>
      <c r="BB18" s="60">
        <v>1</v>
      </c>
      <c r="BC18" s="60">
        <f>'Information Technology'!S866</f>
        <v>0.46672873178139612</v>
      </c>
      <c r="BD18" s="60">
        <v>1.388793570326734</v>
      </c>
      <c r="BE18" s="60">
        <v>1</v>
      </c>
      <c r="BF18" s="60">
        <f>'Information Technology'!S867</f>
        <v>54.588819999999998</v>
      </c>
      <c r="BG18" s="63" t="s">
        <v>612</v>
      </c>
      <c r="BL18" s="63">
        <v>1</v>
      </c>
      <c r="BM18" s="63">
        <f t="shared" si="19"/>
        <v>1.0944418333899297</v>
      </c>
    </row>
    <row r="19" spans="1:65">
      <c r="A19" s="50" t="s">
        <v>71</v>
      </c>
      <c r="B19" s="50" t="s">
        <v>72</v>
      </c>
      <c r="C19" s="51">
        <v>342190.8</v>
      </c>
      <c r="D19" s="52" t="s">
        <v>70</v>
      </c>
      <c r="E19" s="68" t="str" cm="1">
        <f t="array" ref="E19">_xll.ciqfunctions.udf.CIQ(B19,"iq_industry")</f>
        <v>Semiconductors and Semiconductor Equipment</v>
      </c>
      <c r="F19" s="60">
        <f>'Information Technology'!S49</f>
        <v>17.676195998584785</v>
      </c>
      <c r="G19" s="62">
        <v>15.68384591478369</v>
      </c>
      <c r="H19" s="62">
        <f t="shared" si="20"/>
        <v>0.23884806323204424</v>
      </c>
      <c r="I19" s="62">
        <f t="shared" si="21"/>
        <v>0.1262863887794205</v>
      </c>
      <c r="J19" s="62">
        <f t="shared" si="22"/>
        <v>4.8512444147045688</v>
      </c>
      <c r="K19" s="62">
        <v>4.4678839230163012</v>
      </c>
      <c r="L19" s="108">
        <v>4.4678839230163012</v>
      </c>
      <c r="M19" s="60">
        <f>'Information Technology'!S50</f>
        <v>28.899270620100001</v>
      </c>
      <c r="N19" s="63">
        <v>338.12967866129998</v>
      </c>
      <c r="R19">
        <v>4.93</v>
      </c>
      <c r="S19" s="49">
        <v>4.93</v>
      </c>
      <c r="T19" s="60">
        <f>'Information Technology'!S51</f>
        <v>32.153705417252382</v>
      </c>
      <c r="U19" s="63">
        <v>15.112429390561854</v>
      </c>
      <c r="V19" s="63" t="e">
        <f t="shared" ref="V19:V29" si="23">-(U19-$U$266)/$U$267</f>
        <v>#DIV/0!</v>
      </c>
      <c r="W19" s="63" t="e">
        <f t="shared" ref="W19:W29" si="24">V19-$V$42</f>
        <v>#DIV/0!</v>
      </c>
      <c r="X19" s="63" t="e">
        <f t="shared" ref="X19:X29" si="25">W19+5-$W$70</f>
        <v>#DIV/0!</v>
      </c>
      <c r="Y19" s="63">
        <v>4.871134782538495</v>
      </c>
      <c r="Z19" s="63">
        <v>4.871134782538495</v>
      </c>
      <c r="AA19" s="60">
        <f>'Information Technology'!S52</f>
        <v>-1.8485255899902575E-2</v>
      </c>
      <c r="AB19" s="63">
        <v>2.6692332696505172E-3</v>
      </c>
      <c r="AC19" s="60">
        <f t="shared" ref="AC19:AC34" si="26">-(AB19-$AB$266)/$AB$267</f>
        <v>0.31883198128716639</v>
      </c>
      <c r="AD19" s="60">
        <f t="shared" ref="AD19:AD34" si="27">AC19-$AC$9</f>
        <v>0.45550021366746229</v>
      </c>
      <c r="AE19" s="60">
        <f t="shared" ref="AE19:AE34" si="28">AD19+5-$AD$69</f>
        <v>4.9883515160569214</v>
      </c>
      <c r="AF19" s="60">
        <v>3.4231244827823257</v>
      </c>
      <c r="AG19" s="60">
        <v>3.4231244827823257</v>
      </c>
      <c r="AH19" s="60">
        <f>'Information Technology'!S53</f>
        <v>4.3972497277866611E-2</v>
      </c>
      <c r="AI19" s="63">
        <v>0.28985233633199536</v>
      </c>
      <c r="AJ19" s="60">
        <f t="shared" ref="AJ19:AJ37" si="29">(AI19-$AI$266)/$AI$267</f>
        <v>0.81059926452423037</v>
      </c>
      <c r="AK19" s="60">
        <f t="shared" ref="AK19:AK37" si="30">AJ19-$AJ$58</f>
        <v>0.81059926452423037</v>
      </c>
      <c r="AL19" s="60">
        <f t="shared" ref="AL19:AL37" si="31">AK19+5-$AK$3</f>
        <v>5.7762185810928282</v>
      </c>
      <c r="AM19" s="60">
        <v>3.8427896497436711</v>
      </c>
      <c r="AN19" s="60">
        <v>3.8427896497436711</v>
      </c>
      <c r="AO19" s="60">
        <f>'Information Technology'!S54</f>
        <v>2.534975004208179E-2</v>
      </c>
      <c r="AP19" s="60">
        <v>5.4051849530840149E-2</v>
      </c>
      <c r="AQ19" s="60">
        <f>(AP19-$AP$266)/$AP$267</f>
        <v>-0.29407568330679762</v>
      </c>
      <c r="AR19" s="60">
        <f>AQ19-$AQ$66</f>
        <v>-1.0909756986787533E-2</v>
      </c>
      <c r="AS19" s="60">
        <f>AR19+5-$AR$8</f>
        <v>4.9191826853856346</v>
      </c>
      <c r="AT19" s="60">
        <v>2.4135594047168416</v>
      </c>
      <c r="AU19" s="60">
        <v>2.4135594047168416</v>
      </c>
      <c r="AV19" s="60">
        <f>'Information Technology'!S55</f>
        <v>0.2012518181818182</v>
      </c>
      <c r="AW19" s="60">
        <v>2.5836454545454548</v>
      </c>
      <c r="AX19" s="60" t="e">
        <f t="shared" ref="AX19:AX24" si="32">(AW19-$AW$266)/$AW$267</f>
        <v>#DIV/0!</v>
      </c>
      <c r="AY19" s="60" t="e">
        <f t="shared" ref="AY19:AY24" si="33">AX19-$AX$67</f>
        <v>#DIV/0!</v>
      </c>
      <c r="AZ19" s="60" t="e">
        <f t="shared" ref="AZ19:AZ24" si="34">AY19+5-$AY$14</f>
        <v>#DIV/0!</v>
      </c>
      <c r="BA19" s="60">
        <v>4.6379147637360729</v>
      </c>
      <c r="BB19" s="60">
        <v>4.6379147637360729</v>
      </c>
      <c r="BC19" s="60">
        <f>'Information Technology'!S56</f>
        <v>0.27719599298626607</v>
      </c>
      <c r="BD19" s="60">
        <v>0.19280909608362901</v>
      </c>
      <c r="BE19" s="60">
        <v>5</v>
      </c>
      <c r="BF19" s="60">
        <f>'Information Technology'!S57</f>
        <v>16.808409999999999</v>
      </c>
      <c r="BG19" s="63">
        <v>17.806709999999999</v>
      </c>
      <c r="BH19" s="63">
        <f t="shared" ref="BH19:BH32" si="35">-(BG19-$BG$266)/$BG$267</f>
        <v>0.52696339554659666</v>
      </c>
      <c r="BI19" s="63">
        <f t="shared" ref="BI19:BI32" si="36">BH19-$BH$16</f>
        <v>0.52696339554659666</v>
      </c>
      <c r="BJ19" s="63">
        <f t="shared" ref="BJ19:BJ32" si="37">BI19+5-$BI$70</f>
        <v>5.5269633955465967</v>
      </c>
      <c r="BK19" s="63">
        <v>4.0582107356591424</v>
      </c>
      <c r="BL19" s="63">
        <v>4.0582107356591424</v>
      </c>
      <c r="BM19" s="63">
        <f t="shared" si="19"/>
        <v>4.4460247728886175</v>
      </c>
    </row>
    <row r="20" spans="1:65" ht="22.5">
      <c r="A20" s="50" t="s">
        <v>85</v>
      </c>
      <c r="B20" s="50" t="s">
        <v>86</v>
      </c>
      <c r="C20" s="51">
        <v>145556.1</v>
      </c>
      <c r="D20" s="52" t="s">
        <v>70</v>
      </c>
      <c r="E20" s="68" t="str" cm="1">
        <f t="array" ref="E20">_xll.ciqfunctions.udf.CIQ(B20,"iq_industry")</f>
        <v>Semiconductors and Semiconductor Equipment</v>
      </c>
      <c r="F20" s="60">
        <f>'Information Technology'!S139</f>
        <v>13.959683874385711</v>
      </c>
      <c r="G20" s="62">
        <v>18.524774757788048</v>
      </c>
      <c r="H20" s="62">
        <f t="shared" si="20"/>
        <v>0.19619393016859454</v>
      </c>
      <c r="I20" s="62">
        <f t="shared" si="21"/>
        <v>8.3632255715970785E-2</v>
      </c>
      <c r="J20" s="62">
        <f t="shared" si="22"/>
        <v>4.808590281641119</v>
      </c>
      <c r="K20" s="62">
        <v>4.3153051145783747</v>
      </c>
      <c r="L20" s="108">
        <v>4.3153051145783747</v>
      </c>
      <c r="M20" s="60">
        <f>'Information Technology'!S140</f>
        <v>35.595276924499998</v>
      </c>
      <c r="N20" s="63">
        <v>142.85034269889999</v>
      </c>
      <c r="O20" s="63">
        <f t="shared" ref="O20:O32" si="38">(N20-$N$266)/$N$267</f>
        <v>-2.8963198263378884E-2</v>
      </c>
      <c r="P20" s="63">
        <f t="shared" ref="P20:P32" si="39">O20-$O$70</f>
        <v>0.28294720575935056</v>
      </c>
      <c r="Q20" s="63">
        <f t="shared" ref="Q20:Q32" si="40">P20+5-$P$7</f>
        <v>5.2587283588712541</v>
      </c>
      <c r="R20" s="62">
        <f t="shared" ref="R20:R32" si="41">Q20+1-$Q$70</f>
        <v>1.282947205759351</v>
      </c>
      <c r="S20" s="63">
        <v>3.4607245486253557</v>
      </c>
      <c r="T20" s="60">
        <f>'Information Technology'!S141</f>
        <v>29.163782705788837</v>
      </c>
      <c r="U20" s="63">
        <v>13.47028434253423</v>
      </c>
      <c r="V20" s="63" t="e">
        <f t="shared" si="23"/>
        <v>#DIV/0!</v>
      </c>
      <c r="W20" s="63" t="e">
        <f t="shared" si="24"/>
        <v>#DIV/0!</v>
      </c>
      <c r="X20" s="63" t="e">
        <f t="shared" si="25"/>
        <v>#DIV/0!</v>
      </c>
      <c r="Y20" s="63">
        <v>4.9165577265063396</v>
      </c>
      <c r="Z20" s="63">
        <v>4.9165577265063396</v>
      </c>
      <c r="AA20" s="60">
        <f>'Information Technology'!S142</f>
        <v>-2.7050105768551602E-2</v>
      </c>
      <c r="AB20" s="63">
        <v>-6.5900200086912442E-3</v>
      </c>
      <c r="AC20" s="60">
        <f t="shared" si="26"/>
        <v>0.40118089696189974</v>
      </c>
      <c r="AD20" s="60">
        <f t="shared" si="27"/>
        <v>0.53784912934219564</v>
      </c>
      <c r="AE20" s="60">
        <f t="shared" si="28"/>
        <v>5.0707004317316544</v>
      </c>
      <c r="AF20" s="60">
        <v>3.7766448111519377</v>
      </c>
      <c r="AG20" s="60">
        <v>3.7766448111519377</v>
      </c>
      <c r="AH20" s="60">
        <f>'Information Technology'!S143</f>
        <v>0.10889425638396617</v>
      </c>
      <c r="AI20" s="63">
        <v>0.38683927380029198</v>
      </c>
      <c r="AJ20" s="60">
        <f t="shared" si="29"/>
        <v>1.2967591982774969</v>
      </c>
      <c r="AK20" s="60">
        <f t="shared" si="30"/>
        <v>1.2967591982774969</v>
      </c>
      <c r="AL20" s="60">
        <f t="shared" si="31"/>
        <v>6.2623785148460955</v>
      </c>
      <c r="AM20" s="60">
        <v>4.95</v>
      </c>
      <c r="AN20" s="60">
        <v>4.95</v>
      </c>
      <c r="AO20" s="60">
        <f>'Information Technology'!S144</f>
        <v>0.33400448715731224</v>
      </c>
      <c r="AP20" s="60">
        <v>0.73200059956973562</v>
      </c>
      <c r="AQ20" s="60"/>
      <c r="AR20" s="60"/>
      <c r="AT20" s="60">
        <v>5</v>
      </c>
      <c r="AU20" s="60">
        <v>5</v>
      </c>
      <c r="AV20" s="60">
        <f>'Information Technology'!S145</f>
        <v>-0.32977454545454543</v>
      </c>
      <c r="AW20" s="60">
        <v>1.8875827272727277</v>
      </c>
      <c r="AX20" s="60" t="e">
        <f t="shared" si="32"/>
        <v>#DIV/0!</v>
      </c>
      <c r="AY20" s="60" t="e">
        <f t="shared" si="33"/>
        <v>#DIV/0!</v>
      </c>
      <c r="AZ20" s="60" t="e">
        <f t="shared" si="34"/>
        <v>#DIV/0!</v>
      </c>
      <c r="BA20" s="60">
        <v>3.9398228235317978</v>
      </c>
      <c r="BB20" s="60">
        <v>3.9398228235317978</v>
      </c>
      <c r="BC20" s="60">
        <f>'Information Technology'!S146</f>
        <v>-2.2692356704508657E-2</v>
      </c>
      <c r="BD20" s="60">
        <v>0.21050404755949237</v>
      </c>
      <c r="BE20" s="60">
        <v>5</v>
      </c>
      <c r="BF20" s="60">
        <f>'Information Technology'!S147</f>
        <v>9.42713</v>
      </c>
      <c r="BG20" s="63">
        <v>14.80118</v>
      </c>
      <c r="BH20" s="63">
        <f t="shared" si="35"/>
        <v>0.61979333173990425</v>
      </c>
      <c r="BI20" s="63">
        <f t="shared" si="36"/>
        <v>0.61979333173990425</v>
      </c>
      <c r="BJ20" s="63">
        <f t="shared" si="37"/>
        <v>5.6197933317399045</v>
      </c>
      <c r="BK20" s="63">
        <v>4.294598125634379</v>
      </c>
      <c r="BL20" s="63">
        <v>4.294598125634379</v>
      </c>
      <c r="BM20" s="63">
        <f t="shared" si="19"/>
        <v>4.2502774553278133</v>
      </c>
    </row>
    <row r="21" spans="1:65">
      <c r="A21" s="50" t="s">
        <v>94</v>
      </c>
      <c r="B21" s="50" t="s">
        <v>95</v>
      </c>
      <c r="C21" s="51">
        <v>120170.9</v>
      </c>
      <c r="D21" s="52" t="s">
        <v>70</v>
      </c>
      <c r="E21" s="68" t="str" cm="1">
        <f t="array" ref="E21">_xll.ciqfunctions.udf.CIQ(B21,"iq_industry")</f>
        <v>Semiconductors and Semiconductor Equipment</v>
      </c>
      <c r="F21" s="60">
        <f>'Information Technology'!S199</f>
        <v>38.128631625388415</v>
      </c>
      <c r="G21" s="62">
        <v>17.124045411662831</v>
      </c>
      <c r="H21" s="62">
        <f t="shared" si="20"/>
        <v>0.21722469130948957</v>
      </c>
      <c r="I21" s="62">
        <f t="shared" si="21"/>
        <v>0.10466301685686581</v>
      </c>
      <c r="J21" s="62">
        <f t="shared" si="22"/>
        <v>4.8296210427820139</v>
      </c>
      <c r="K21" s="62">
        <v>4.3905345998581984</v>
      </c>
      <c r="L21" s="108">
        <v>4.3905345998581984</v>
      </c>
      <c r="M21" s="60">
        <f>'Information Technology'!S200</f>
        <v>33.672630290850002</v>
      </c>
      <c r="N21" s="63">
        <v>121.90068000000001</v>
      </c>
      <c r="O21" s="63">
        <f t="shared" si="38"/>
        <v>-7.5126793534249031E-2</v>
      </c>
      <c r="P21" s="63">
        <f t="shared" si="39"/>
        <v>0.23678361048848043</v>
      </c>
      <c r="Q21" s="63">
        <f t="shared" si="40"/>
        <v>5.2125647636003833</v>
      </c>
      <c r="R21" s="62">
        <f t="shared" si="41"/>
        <v>1.2367836104884802</v>
      </c>
      <c r="S21" s="63">
        <v>3.0607333688078384</v>
      </c>
      <c r="T21" s="60" t="e">
        <f>'Information Technology'!S201</f>
        <v>#DIV/0!</v>
      </c>
      <c r="U21" s="63">
        <v>18.944194095002416</v>
      </c>
      <c r="V21" s="63" t="e">
        <f t="shared" si="23"/>
        <v>#DIV/0!</v>
      </c>
      <c r="W21" s="63" t="e">
        <f t="shared" si="24"/>
        <v>#DIV/0!</v>
      </c>
      <c r="X21" s="63" t="e">
        <f t="shared" si="25"/>
        <v>#DIV/0!</v>
      </c>
      <c r="Y21" s="63">
        <v>4.7651453428864885</v>
      </c>
      <c r="Z21" s="63">
        <v>4.7651453428864885</v>
      </c>
      <c r="AA21" s="60">
        <f>'Information Technology'!S202</f>
        <v>-2.7718955188806849E-2</v>
      </c>
      <c r="AB21" s="63">
        <v>-1.6395145264028965E-2</v>
      </c>
      <c r="AC21" s="60">
        <f t="shared" si="26"/>
        <v>0.48838462803605487</v>
      </c>
      <c r="AD21" s="60">
        <f t="shared" si="27"/>
        <v>0.62505286041635078</v>
      </c>
      <c r="AE21" s="60">
        <f t="shared" si="28"/>
        <v>5.15790416280581</v>
      </c>
      <c r="AF21" s="60">
        <v>4.1510066517638782</v>
      </c>
      <c r="AG21" s="60">
        <v>4.1510066517638782</v>
      </c>
      <c r="AH21" s="60">
        <f>'Information Technology'!S203</f>
        <v>0.11087036704879968</v>
      </c>
      <c r="AI21" s="63">
        <v>0.19210708460660594</v>
      </c>
      <c r="AJ21" s="60">
        <f t="shared" si="29"/>
        <v>0.32063817961993496</v>
      </c>
      <c r="AK21" s="60">
        <f t="shared" si="30"/>
        <v>0.32063817961993496</v>
      </c>
      <c r="AL21" s="60">
        <f t="shared" si="31"/>
        <v>5.2862574961885329</v>
      </c>
      <c r="AM21" s="60">
        <v>2.6765313892227107</v>
      </c>
      <c r="AN21" s="60">
        <v>2.6765313892227107</v>
      </c>
      <c r="AO21" s="60">
        <f>'Information Technology'!S204</f>
        <v>1.9088794368949516E-2</v>
      </c>
      <c r="AP21" s="60">
        <v>4.3241611222531111E-2</v>
      </c>
      <c r="AQ21" s="60">
        <f t="shared" ref="AQ21:AQ28" si="42">(AP21-$AP$266)/$AP$267</f>
        <v>-0.38576640250819172</v>
      </c>
      <c r="AR21" s="60">
        <f t="shared" ref="AR21:AR28" si="43">AQ21-$AQ$66</f>
        <v>-0.10260047618818163</v>
      </c>
      <c r="AS21" s="60">
        <f t="shared" ref="AS21:AS28" si="44">AR21+5-$AR$8</f>
        <v>4.8274919661842404</v>
      </c>
      <c r="AT21" s="60">
        <v>2.1656705528588844</v>
      </c>
      <c r="AU21" s="60">
        <v>2.1656705528588844</v>
      </c>
      <c r="AV21" s="60">
        <f>'Information Technology'!S205</f>
        <v>0.75476818181818184</v>
      </c>
      <c r="AW21" s="60">
        <v>0.136051818181818</v>
      </c>
      <c r="AX21" s="60" t="e">
        <f t="shared" si="32"/>
        <v>#DIV/0!</v>
      </c>
      <c r="AY21" s="60" t="e">
        <f t="shared" si="33"/>
        <v>#DIV/0!</v>
      </c>
      <c r="AZ21" s="60" t="e">
        <f t="shared" si="34"/>
        <v>#DIV/0!</v>
      </c>
      <c r="BA21" s="60">
        <v>2.1831857235309693</v>
      </c>
      <c r="BB21" s="60">
        <v>2.1831857235309693</v>
      </c>
      <c r="BC21" s="60">
        <f>'Information Technology'!S206</f>
        <v>-0.18042646813247032</v>
      </c>
      <c r="BD21" s="60">
        <v>-0.21249427830741424</v>
      </c>
      <c r="BE21" s="60">
        <v>5</v>
      </c>
      <c r="BF21" s="60">
        <f>'Information Technology'!S207</f>
        <v>24.877500000000001</v>
      </c>
      <c r="BG21" s="63">
        <v>9.6674100000000003</v>
      </c>
      <c r="BH21" s="63">
        <f t="shared" si="35"/>
        <v>0.77835689341824976</v>
      </c>
      <c r="BI21" s="63">
        <f t="shared" si="36"/>
        <v>0.77835689341824976</v>
      </c>
      <c r="BJ21" s="63">
        <f t="shared" si="37"/>
        <v>5.7783568934182501</v>
      </c>
      <c r="BK21" s="63">
        <v>4.6983733303514077</v>
      </c>
      <c r="BL21" s="63">
        <v>4.6983733303514077</v>
      </c>
      <c r="BM21" s="63">
        <f t="shared" si="19"/>
        <v>3.9145890849142262</v>
      </c>
    </row>
    <row r="22" spans="1:65">
      <c r="A22" s="50" t="s">
        <v>96</v>
      </c>
      <c r="B22" s="50" t="s">
        <v>97</v>
      </c>
      <c r="C22" s="51">
        <v>113910.8</v>
      </c>
      <c r="D22" s="52" t="s">
        <v>98</v>
      </c>
      <c r="E22" s="68" t="str" cm="1">
        <f t="array" ref="E22">_xll.ciqfunctions.udf.CIQ(B22,"iq_industry")</f>
        <v>Semiconductors and Semiconductor Equipment</v>
      </c>
      <c r="F22" s="60">
        <f>'Information Technology'!S214</f>
        <v>72.644636045629298</v>
      </c>
      <c r="G22" s="62">
        <v>19.583534642288996</v>
      </c>
      <c r="H22" s="62">
        <f t="shared" si="20"/>
        <v>0.18029754997345118</v>
      </c>
      <c r="I22" s="62">
        <f t="shared" si="21"/>
        <v>6.7735875520827424E-2</v>
      </c>
      <c r="J22" s="62">
        <f t="shared" si="22"/>
        <v>4.7926939014459755</v>
      </c>
      <c r="K22" s="62">
        <v>4.2584419087304601</v>
      </c>
      <c r="L22" s="108">
        <v>4.2584419087304601</v>
      </c>
      <c r="M22" s="60">
        <f>'Information Technology'!S215</f>
        <v>28.758302875799998</v>
      </c>
      <c r="N22" s="63">
        <v>115.69263145500001</v>
      </c>
      <c r="O22" s="63">
        <f t="shared" si="38"/>
        <v>-8.8806528839407053E-2</v>
      </c>
      <c r="P22" s="63">
        <f t="shared" si="39"/>
        <v>0.22310387518332242</v>
      </c>
      <c r="Q22" s="63">
        <f t="shared" si="40"/>
        <v>5.1988850282952255</v>
      </c>
      <c r="R22" s="62">
        <f t="shared" si="41"/>
        <v>1.2231038751833223</v>
      </c>
      <c r="S22" s="63">
        <v>2.942203314287708</v>
      </c>
      <c r="T22" s="60" t="e">
        <f>'Information Technology'!S216</f>
        <v>#DIV/0!</v>
      </c>
      <c r="U22" s="63">
        <v>51.932705663143913</v>
      </c>
      <c r="V22" s="63" t="e">
        <f t="shared" si="23"/>
        <v>#DIV/0!</v>
      </c>
      <c r="W22" s="63" t="e">
        <f t="shared" si="24"/>
        <v>#DIV/0!</v>
      </c>
      <c r="X22" s="63" t="e">
        <f t="shared" si="25"/>
        <v>#DIV/0!</v>
      </c>
      <c r="Y22" s="63">
        <v>3.8526587666598511</v>
      </c>
      <c r="Z22" s="63">
        <v>3.8526587666598511</v>
      </c>
      <c r="AA22" s="60">
        <f>'Information Technology'!S217</f>
        <v>5.3448071945361164E-2</v>
      </c>
      <c r="AB22" s="63">
        <v>-2.6874916683820471E-2</v>
      </c>
      <c r="AC22" s="60">
        <f t="shared" si="26"/>
        <v>0.58158845203744847</v>
      </c>
      <c r="AD22" s="60">
        <f t="shared" si="27"/>
        <v>0.71825668441774437</v>
      </c>
      <c r="AE22" s="60">
        <f t="shared" si="28"/>
        <v>5.2511079868072033</v>
      </c>
      <c r="AF22" s="60">
        <v>4.5511266314418366</v>
      </c>
      <c r="AG22" s="60">
        <v>4.5511266314418366</v>
      </c>
      <c r="AH22" s="60">
        <f>'Information Technology'!S218</f>
        <v>-0.30838941189943575</v>
      </c>
      <c r="AI22" s="63">
        <v>0.22187980213103081</v>
      </c>
      <c r="AJ22" s="60">
        <f t="shared" si="29"/>
        <v>0.4698778891845401</v>
      </c>
      <c r="AK22" s="60">
        <f t="shared" si="30"/>
        <v>0.4698778891845401</v>
      </c>
      <c r="AL22" s="60">
        <f t="shared" si="31"/>
        <v>5.4354972057531379</v>
      </c>
      <c r="AM22" s="60">
        <v>3.0317678548115392</v>
      </c>
      <c r="AN22" s="60">
        <v>3.0317678548115392</v>
      </c>
      <c r="AO22" s="60">
        <f>'Information Technology'!S219</f>
        <v>1.5320973194429021E-2</v>
      </c>
      <c r="AP22" s="60">
        <v>8.338102503135647E-2</v>
      </c>
      <c r="AQ22" s="60">
        <f t="shared" si="42"/>
        <v>-4.5310289008389848E-2</v>
      </c>
      <c r="AR22" s="60">
        <f t="shared" si="43"/>
        <v>0.23785563731162024</v>
      </c>
      <c r="AS22" s="60">
        <f t="shared" si="44"/>
        <v>5.1679480796840425</v>
      </c>
      <c r="AT22" s="60">
        <v>3.0861047671234516</v>
      </c>
      <c r="AU22" s="60">
        <v>3.0861047671234516</v>
      </c>
      <c r="AV22" s="60" t="e">
        <f>'Information Technology'!S220</f>
        <v>#DIV/0!</v>
      </c>
      <c r="AW22" s="60">
        <v>1.4430227272727272</v>
      </c>
      <c r="AX22" s="60" t="e">
        <f t="shared" si="32"/>
        <v>#DIV/0!</v>
      </c>
      <c r="AY22" s="60" t="e">
        <f t="shared" si="33"/>
        <v>#DIV/0!</v>
      </c>
      <c r="AZ22" s="60" t="e">
        <f t="shared" si="34"/>
        <v>#DIV/0!</v>
      </c>
      <c r="BA22" s="60">
        <v>3.4939668097308809</v>
      </c>
      <c r="BB22" s="60">
        <v>3.4939668097308809</v>
      </c>
      <c r="BC22" s="60">
        <f>'Information Technology'!S221</f>
        <v>1.1457194082106885</v>
      </c>
      <c r="BD22" s="60">
        <v>1.1024212615539057E-2</v>
      </c>
      <c r="BE22" s="60">
        <v>5</v>
      </c>
      <c r="BF22" s="60" t="str">
        <f>'Information Technology'!S222</f>
        <v>NM</v>
      </c>
      <c r="BG22" s="63">
        <v>13.68587</v>
      </c>
      <c r="BH22" s="63">
        <f t="shared" si="35"/>
        <v>0.65424121818115033</v>
      </c>
      <c r="BI22" s="63">
        <f t="shared" si="36"/>
        <v>0.65424121818115033</v>
      </c>
      <c r="BJ22" s="63">
        <f t="shared" si="37"/>
        <v>5.6542412181811503</v>
      </c>
      <c r="BK22" s="63">
        <v>4.3823181683267771</v>
      </c>
      <c r="BL22" s="63">
        <v>4.3823181683267771</v>
      </c>
      <c r="BM22" s="63">
        <f t="shared" si="19"/>
        <v>3.8883226232853643</v>
      </c>
    </row>
    <row r="23" spans="1:65">
      <c r="A23" s="50" t="s">
        <v>103</v>
      </c>
      <c r="B23" s="50" t="s">
        <v>104</v>
      </c>
      <c r="C23" s="51">
        <v>82039.3</v>
      </c>
      <c r="D23" s="52" t="s">
        <v>98</v>
      </c>
      <c r="E23" s="68" t="str" cm="1">
        <f t="array" ref="E23">_xll.ciqfunctions.udf.CIQ(B23,"iq_industry")</f>
        <v>Semiconductors and Semiconductor Equipment</v>
      </c>
      <c r="F23" s="60">
        <f>'Information Technology'!S259</f>
        <v>18.493270859893784</v>
      </c>
      <c r="G23" s="62">
        <v>18.671332259544052</v>
      </c>
      <c r="H23" s="62">
        <f t="shared" si="20"/>
        <v>0.19399349378781691</v>
      </c>
      <c r="I23" s="62">
        <f t="shared" si="21"/>
        <v>8.1431819335193154E-2</v>
      </c>
      <c r="J23" s="62">
        <f t="shared" si="22"/>
        <v>4.8063898452603411</v>
      </c>
      <c r="K23" s="62">
        <v>4.307433897021963</v>
      </c>
      <c r="L23" s="108">
        <v>4.307433897021963</v>
      </c>
      <c r="M23" s="60">
        <f>'Information Technology'!S260</f>
        <v>398.69836564500002</v>
      </c>
      <c r="N23" s="63">
        <v>83.414127474499992</v>
      </c>
      <c r="O23" s="63">
        <f t="shared" si="38"/>
        <v>-0.15993377394694833</v>
      </c>
      <c r="P23" s="63">
        <f t="shared" si="39"/>
        <v>0.15197663007578113</v>
      </c>
      <c r="Q23" s="63">
        <f t="shared" si="40"/>
        <v>5.1277577831876844</v>
      </c>
      <c r="R23" s="62">
        <f t="shared" si="41"/>
        <v>1.1519766300757812</v>
      </c>
      <c r="S23" s="63">
        <v>2.325910962689008</v>
      </c>
      <c r="T23" s="60">
        <f>'Information Technology'!S261</f>
        <v>17.819497308835579</v>
      </c>
      <c r="U23" s="63">
        <v>21.676646025337881</v>
      </c>
      <c r="V23" s="63" t="e">
        <f t="shared" si="23"/>
        <v>#DIV/0!</v>
      </c>
      <c r="W23" s="63" t="e">
        <f t="shared" si="24"/>
        <v>#DIV/0!</v>
      </c>
      <c r="X23" s="63" t="e">
        <f t="shared" si="25"/>
        <v>#DIV/0!</v>
      </c>
      <c r="Y23" s="63">
        <v>4.6895637058833932</v>
      </c>
      <c r="Z23" s="63">
        <v>4.6895637058833932</v>
      </c>
      <c r="AA23" s="60">
        <f>'Information Technology'!S262</f>
        <v>2.6692332696505172E-3</v>
      </c>
      <c r="AB23" s="63">
        <v>-3.4058918723027576E-2</v>
      </c>
      <c r="AC23" s="60">
        <f t="shared" si="26"/>
        <v>0.64548072934641598</v>
      </c>
      <c r="AD23" s="60">
        <f t="shared" si="27"/>
        <v>0.78214896172671189</v>
      </c>
      <c r="AE23" s="60">
        <f t="shared" si="28"/>
        <v>5.3150002641161711</v>
      </c>
      <c r="AF23" s="60">
        <v>4.8254134106845017</v>
      </c>
      <c r="AG23" s="60">
        <v>4.8254134106845017</v>
      </c>
      <c r="AH23" s="60">
        <f>'Information Technology'!S263</f>
        <v>0.28985233633199536</v>
      </c>
      <c r="AI23" s="63">
        <v>0.23805677640639719</v>
      </c>
      <c r="AJ23" s="60">
        <f t="shared" si="29"/>
        <v>0.55096712601719311</v>
      </c>
      <c r="AK23" s="60">
        <f t="shared" si="30"/>
        <v>0.55096712601719311</v>
      </c>
      <c r="AL23" s="60">
        <f t="shared" si="31"/>
        <v>5.5165864425857913</v>
      </c>
      <c r="AM23" s="60">
        <v>3.2247852090650815</v>
      </c>
      <c r="AN23" s="60">
        <v>3.2247852090650815</v>
      </c>
      <c r="AO23" s="60">
        <f>'Information Technology'!S264</f>
        <v>5.4051849530840149E-2</v>
      </c>
      <c r="AP23" s="60">
        <v>2.1319692771276121E-2</v>
      </c>
      <c r="AQ23" s="60">
        <f t="shared" si="42"/>
        <v>-0.5717046225310487</v>
      </c>
      <c r="AR23" s="60">
        <f t="shared" si="43"/>
        <v>-0.28853869621103861</v>
      </c>
      <c r="AS23" s="60">
        <f t="shared" si="44"/>
        <v>4.6415537461613834</v>
      </c>
      <c r="AT23" s="60">
        <v>1.6629805065877958</v>
      </c>
      <c r="AU23" s="60">
        <v>1.6629805065877958</v>
      </c>
      <c r="AV23" s="60">
        <f>'Information Technology'!S265</f>
        <v>2.5836454545454548</v>
      </c>
      <c r="AW23" s="60">
        <v>1.7860545454545453</v>
      </c>
      <c r="AX23" s="60" t="e">
        <f t="shared" si="32"/>
        <v>#DIV/0!</v>
      </c>
      <c r="AY23" s="60" t="e">
        <f t="shared" si="33"/>
        <v>#DIV/0!</v>
      </c>
      <c r="AZ23" s="60" t="e">
        <f t="shared" si="34"/>
        <v>#DIV/0!</v>
      </c>
      <c r="BA23" s="60">
        <v>3.8379986593381918</v>
      </c>
      <c r="BB23" s="60">
        <v>3.8379986593381918</v>
      </c>
      <c r="BC23" s="60">
        <f>'Information Technology'!S266</f>
        <v>0.19280909608362901</v>
      </c>
      <c r="BD23" s="60">
        <v>0.10040589601930854</v>
      </c>
      <c r="BE23" s="60">
        <v>5</v>
      </c>
      <c r="BF23" s="60">
        <f>'Information Technology'!S267</f>
        <v>21.122499999999999</v>
      </c>
      <c r="BG23" s="63">
        <v>13.735480000000001</v>
      </c>
      <c r="BH23" s="63">
        <f t="shared" si="35"/>
        <v>0.65270894495993803</v>
      </c>
      <c r="BI23" s="63">
        <f t="shared" si="36"/>
        <v>0.65270894495993803</v>
      </c>
      <c r="BJ23" s="63">
        <f t="shared" si="37"/>
        <v>5.6527089449599384</v>
      </c>
      <c r="BK23" s="63">
        <v>4.3784163012961121</v>
      </c>
      <c r="BL23" s="63">
        <v>4.3784163012961121</v>
      </c>
      <c r="BM23" s="63">
        <f t="shared" si="19"/>
        <v>3.8722516741351556</v>
      </c>
    </row>
    <row r="24" spans="1:65">
      <c r="A24" s="50" t="s">
        <v>115</v>
      </c>
      <c r="B24" s="50" t="s">
        <v>116</v>
      </c>
      <c r="C24" s="51">
        <v>61593.2</v>
      </c>
      <c r="D24" s="52" t="s">
        <v>98</v>
      </c>
      <c r="E24" s="68" t="str" cm="1">
        <f t="array" ref="E24">_xll.ciqfunctions.udf.CIQ(B24,"iq_industry")</f>
        <v>Semiconductors and Semiconductor Equipment</v>
      </c>
      <c r="F24" s="60">
        <f>'Information Technology'!S349</f>
        <v>20.411942107032466</v>
      </c>
      <c r="G24" s="62">
        <v>13.94693450531126</v>
      </c>
      <c r="H24" s="62">
        <f t="shared" si="20"/>
        <v>0.26492631245025161</v>
      </c>
      <c r="I24" s="62">
        <f t="shared" si="21"/>
        <v>0.15236463799762784</v>
      </c>
      <c r="J24" s="62">
        <f t="shared" si="22"/>
        <v>4.8773226639227758</v>
      </c>
      <c r="K24" s="62">
        <v>4.5611688618038864</v>
      </c>
      <c r="L24" s="108">
        <v>4.5611688618038864</v>
      </c>
      <c r="M24" s="60">
        <f>'Information Technology'!S350</f>
        <v>186.89527999999999</v>
      </c>
      <c r="N24" s="63">
        <v>62.587713644599994</v>
      </c>
      <c r="O24" s="63">
        <f t="shared" si="38"/>
        <v>-0.20582578437237811</v>
      </c>
      <c r="P24" s="63">
        <f t="shared" si="39"/>
        <v>0.10608461965035135</v>
      </c>
      <c r="Q24" s="63">
        <f t="shared" si="40"/>
        <v>5.0818657727622547</v>
      </c>
      <c r="R24" s="62">
        <f t="shared" si="41"/>
        <v>1.1060846196503515</v>
      </c>
      <c r="S24" s="63">
        <v>1.9282729692321032</v>
      </c>
      <c r="T24" s="60">
        <f>'Information Technology'!S351</f>
        <v>19.843927993746313</v>
      </c>
      <c r="U24" s="63">
        <v>35.786741233016201</v>
      </c>
      <c r="V24" s="63" t="e">
        <f t="shared" si="23"/>
        <v>#DIV/0!</v>
      </c>
      <c r="W24" s="63" t="e">
        <f t="shared" si="24"/>
        <v>#DIV/0!</v>
      </c>
      <c r="X24" s="63" t="e">
        <f t="shared" si="25"/>
        <v>#DIV/0!</v>
      </c>
      <c r="Y24" s="63">
        <v>4.2992680588763745</v>
      </c>
      <c r="Z24" s="63">
        <v>4.2992680588763745</v>
      </c>
      <c r="AA24" s="60">
        <f>'Information Technology'!S352</f>
        <v>-1.2821830184986838E-2</v>
      </c>
      <c r="AB24" s="63">
        <v>-2.6196964303508596E-2</v>
      </c>
      <c r="AC24" s="60">
        <f t="shared" si="26"/>
        <v>0.57555895465579932</v>
      </c>
      <c r="AD24" s="60">
        <f t="shared" si="27"/>
        <v>0.71222718703609522</v>
      </c>
      <c r="AE24" s="60">
        <f t="shared" si="28"/>
        <v>5.2450784894255547</v>
      </c>
      <c r="AF24" s="60">
        <v>4.5252422603265723</v>
      </c>
      <c r="AG24" s="60">
        <v>4.5252422603265723</v>
      </c>
      <c r="AH24" s="60">
        <f>'Information Technology'!S353</f>
        <v>0.20756857249843655</v>
      </c>
      <c r="AI24" s="63">
        <v>0.28584756439512821</v>
      </c>
      <c r="AJ24" s="60">
        <f t="shared" si="29"/>
        <v>0.79052481212531112</v>
      </c>
      <c r="AK24" s="60">
        <f t="shared" si="30"/>
        <v>0.79052481212531112</v>
      </c>
      <c r="AL24" s="60">
        <f t="shared" si="31"/>
        <v>5.7561441286939097</v>
      </c>
      <c r="AM24" s="60">
        <v>3.7950062713142456</v>
      </c>
      <c r="AN24" s="60">
        <v>3.7950062713142456</v>
      </c>
      <c r="AO24" s="60">
        <f>'Information Technology'!S354</f>
        <v>2.584931298993759E-2</v>
      </c>
      <c r="AP24" s="60">
        <v>1.6711084424775868E-2</v>
      </c>
      <c r="AQ24" s="60">
        <f t="shared" si="42"/>
        <v>-0.61079410434972048</v>
      </c>
      <c r="AR24" s="60">
        <f t="shared" si="43"/>
        <v>-0.32762817802971039</v>
      </c>
      <c r="AS24" s="60">
        <f t="shared" si="44"/>
        <v>4.6024642643427116</v>
      </c>
      <c r="AT24" s="60">
        <v>1.5573008167331466</v>
      </c>
      <c r="AU24" s="60">
        <v>1.5573008167331466</v>
      </c>
      <c r="AV24" s="60">
        <f>'Information Technology'!S355</f>
        <v>-1.5349327272727271</v>
      </c>
      <c r="AW24" s="60">
        <v>1.4888145454545452</v>
      </c>
      <c r="AX24" s="60" t="e">
        <f t="shared" si="32"/>
        <v>#DIV/0!</v>
      </c>
      <c r="AY24" s="60" t="e">
        <f t="shared" si="33"/>
        <v>#DIV/0!</v>
      </c>
      <c r="AZ24" s="60" t="e">
        <f t="shared" si="34"/>
        <v>#DIV/0!</v>
      </c>
      <c r="BA24" s="60">
        <v>3.5398921235675767</v>
      </c>
      <c r="BB24" s="60">
        <v>3.5398921235675767</v>
      </c>
      <c r="BC24" s="60">
        <f>'Information Technology'!S356</f>
        <v>0.34115438543046667</v>
      </c>
      <c r="BD24" s="60">
        <v>0.19370580950584873</v>
      </c>
      <c r="BE24" s="60">
        <v>5</v>
      </c>
      <c r="BF24" s="60">
        <f>'Information Technology'!S357</f>
        <v>23.489350000000002</v>
      </c>
      <c r="BG24" s="63">
        <v>14.479699999999999</v>
      </c>
      <c r="BH24" s="63">
        <f t="shared" si="35"/>
        <v>0.62972268459528247</v>
      </c>
      <c r="BI24" s="63">
        <f t="shared" si="36"/>
        <v>0.62972268459528247</v>
      </c>
      <c r="BJ24" s="63">
        <f t="shared" si="37"/>
        <v>5.6297226845952828</v>
      </c>
      <c r="BK24" s="63">
        <v>4.3198827902789647</v>
      </c>
      <c r="BL24" s="63">
        <v>4.3198827902789647</v>
      </c>
      <c r="BM24" s="63">
        <f t="shared" si="19"/>
        <v>3.8535044318998546</v>
      </c>
    </row>
    <row r="25" spans="1:65">
      <c r="A25" s="50" t="s">
        <v>87</v>
      </c>
      <c r="B25" s="50" t="s">
        <v>88</v>
      </c>
      <c r="C25" s="51">
        <v>143145.79999999999</v>
      </c>
      <c r="D25" s="52" t="s">
        <v>70</v>
      </c>
      <c r="E25" s="68" t="str" cm="1">
        <f t="array" ref="E25">_xll.ciqfunctions.udf.CIQ(B25,"iq_industry")</f>
        <v>Semiconductors and Semiconductor Equipment</v>
      </c>
      <c r="F25" s="60">
        <f>'Information Technology'!S154</f>
        <v>10.63113358765289</v>
      </c>
      <c r="G25" s="62">
        <v>16.58115319229497</v>
      </c>
      <c r="H25" s="62">
        <f t="shared" si="20"/>
        <v>0.22537575676860877</v>
      </c>
      <c r="I25" s="62">
        <f t="shared" si="21"/>
        <v>0.11281408231598501</v>
      </c>
      <c r="J25" s="62">
        <f t="shared" si="22"/>
        <v>4.8377721082411336</v>
      </c>
      <c r="K25" s="62">
        <v>4.4196919116104239</v>
      </c>
      <c r="L25" s="108">
        <v>4.4196919116104239</v>
      </c>
      <c r="M25" s="60">
        <f>'Information Technology'!S155</f>
        <v>17.160107718899997</v>
      </c>
      <c r="N25" s="63">
        <v>149.30219999999997</v>
      </c>
      <c r="O25" s="63">
        <f t="shared" si="38"/>
        <v>-1.4746218569045818E-2</v>
      </c>
      <c r="P25" s="63">
        <f t="shared" si="39"/>
        <v>0.29716418545368362</v>
      </c>
      <c r="Q25" s="63">
        <f t="shared" si="40"/>
        <v>5.2729453385655871</v>
      </c>
      <c r="R25" s="62">
        <f t="shared" si="41"/>
        <v>1.2971641854536839</v>
      </c>
      <c r="S25" s="63">
        <v>3.5839096352290056</v>
      </c>
      <c r="T25" s="60" t="e">
        <f>'Information Technology'!S156</f>
        <v>#DIV/0!</v>
      </c>
      <c r="U25" s="63">
        <v>13.637429572015849</v>
      </c>
      <c r="V25" s="63" t="e">
        <f t="shared" si="23"/>
        <v>#DIV/0!</v>
      </c>
      <c r="W25" s="63" t="e">
        <f t="shared" si="24"/>
        <v>#DIV/0!</v>
      </c>
      <c r="X25" s="63" t="e">
        <f t="shared" si="25"/>
        <v>#DIV/0!</v>
      </c>
      <c r="Y25" s="63">
        <v>4.9119343661019981</v>
      </c>
      <c r="Z25" s="63">
        <v>4.9119343661019981</v>
      </c>
      <c r="AA25" s="60">
        <f>'Information Technology'!S157</f>
        <v>-1.5654031566113447E-2</v>
      </c>
      <c r="AB25" s="63">
        <v>-1.4136569857533088E-2</v>
      </c>
      <c r="AC25" s="60">
        <f t="shared" si="26"/>
        <v>0.46829756160602143</v>
      </c>
      <c r="AD25" s="60">
        <f t="shared" si="27"/>
        <v>0.60496579398631734</v>
      </c>
      <c r="AE25" s="60">
        <f t="shared" si="28"/>
        <v>5.1378170963757768</v>
      </c>
      <c r="AF25" s="60">
        <v>4.0647737455726629</v>
      </c>
      <c r="AG25" s="60">
        <v>4.0647737455726629</v>
      </c>
      <c r="AH25" s="60">
        <f>'Information Technology'!S158</f>
        <v>0.14984777805117266</v>
      </c>
      <c r="AI25" s="63">
        <v>0.20845484415367618</v>
      </c>
      <c r="AJ25" s="60">
        <f t="shared" si="29"/>
        <v>0.40258350035981233</v>
      </c>
      <c r="AK25" s="60">
        <f t="shared" si="30"/>
        <v>0.40258350035981233</v>
      </c>
      <c r="AL25" s="60">
        <f t="shared" si="31"/>
        <v>5.3682028169284104</v>
      </c>
      <c r="AM25" s="60">
        <v>2.8715864867976322</v>
      </c>
      <c r="AN25" s="60">
        <v>2.8715864867976322</v>
      </c>
      <c r="AO25" s="60">
        <f>'Information Technology'!S159</f>
        <v>5.8309757082768185E-2</v>
      </c>
      <c r="AP25" s="60">
        <v>2.484000299863566E-2</v>
      </c>
      <c r="AQ25" s="60">
        <f t="shared" si="42"/>
        <v>-0.54184591198712639</v>
      </c>
      <c r="AR25" s="60">
        <f t="shared" si="43"/>
        <v>-0.25867998566711631</v>
      </c>
      <c r="AS25" s="60">
        <f t="shared" si="44"/>
        <v>4.6714124567053057</v>
      </c>
      <c r="AT25" s="60">
        <v>1.7437045050377877</v>
      </c>
      <c r="AU25" s="60">
        <v>1.7437045050377877</v>
      </c>
      <c r="AV25" s="60">
        <f>'Information Technology'!S160</f>
        <v>-0.25766272727272715</v>
      </c>
      <c r="AW25" s="60">
        <v>-1.5096281818181816</v>
      </c>
      <c r="AX25" s="60"/>
      <c r="AY25" s="60"/>
      <c r="AZ25" s="60"/>
      <c r="BA25" s="60"/>
      <c r="BB25" s="60">
        <v>1</v>
      </c>
      <c r="BC25" s="60">
        <f>'Information Technology'!S161</f>
        <v>0.36755290163827692</v>
      </c>
      <c r="BD25" s="60">
        <v>0.4281624306616823</v>
      </c>
      <c r="BE25" s="60">
        <v>3.2</v>
      </c>
      <c r="BF25" s="60">
        <f>'Information Technology'!S162</f>
        <v>14.18432</v>
      </c>
      <c r="BG25" s="63">
        <v>18.552710000000001</v>
      </c>
      <c r="BH25" s="63">
        <f t="shared" si="35"/>
        <v>0.50392215742879121</v>
      </c>
      <c r="BI25" s="63">
        <f t="shared" si="36"/>
        <v>0.50392215742879121</v>
      </c>
      <c r="BJ25" s="63">
        <f t="shared" si="37"/>
        <v>5.5039221574287911</v>
      </c>
      <c r="BK25" s="63">
        <v>3.9995372261877593</v>
      </c>
      <c r="BL25" s="63">
        <v>3.9995372261877593</v>
      </c>
      <c r="BM25" s="63">
        <f t="shared" si="19"/>
        <v>3.7957293085963442</v>
      </c>
    </row>
    <row r="26" spans="1:65">
      <c r="A26" s="50" t="s">
        <v>201</v>
      </c>
      <c r="B26" s="50" t="s">
        <v>202</v>
      </c>
      <c r="C26" s="51">
        <v>15368.6</v>
      </c>
      <c r="D26" s="52" t="s">
        <v>70</v>
      </c>
      <c r="E26" s="68" t="str" cm="1">
        <f t="array" ref="E26">_xll.ciqfunctions.udf.CIQ(B26,"iq_industry")</f>
        <v>Semiconductors and Semiconductor Equipment</v>
      </c>
      <c r="F26" s="60">
        <f>'Information Technology'!S964</f>
        <v>6.3592737568759592</v>
      </c>
      <c r="G26" s="62">
        <v>10.228905917607891</v>
      </c>
      <c r="H26" s="62">
        <f t="shared" si="20"/>
        <v>0.32074935303929253</v>
      </c>
      <c r="I26" s="62">
        <f t="shared" si="21"/>
        <v>0.20818767858666876</v>
      </c>
      <c r="J26" s="62">
        <f t="shared" si="22"/>
        <v>4.9331457045118166</v>
      </c>
      <c r="K26" s="62">
        <v>4.760854388263609</v>
      </c>
      <c r="L26" s="108">
        <v>4.760854388263609</v>
      </c>
      <c r="M26" s="60">
        <f>'Information Technology'!S965</f>
        <v>28.4284</v>
      </c>
      <c r="N26" s="63">
        <v>15.451515735799999</v>
      </c>
      <c r="O26" s="63">
        <f t="shared" si="38"/>
        <v>-0.30969267684429053</v>
      </c>
      <c r="P26" s="63">
        <f t="shared" si="39"/>
        <v>2.217727178438933E-3</v>
      </c>
      <c r="Q26" s="63">
        <f t="shared" si="40"/>
        <v>4.9779988802903423</v>
      </c>
      <c r="R26" s="62">
        <f t="shared" si="41"/>
        <v>1.0022177271784392</v>
      </c>
      <c r="S26" s="63">
        <v>1.0283031852487614</v>
      </c>
      <c r="T26" s="60">
        <f>'Information Technology'!S966</f>
        <v>11.482429933111236</v>
      </c>
      <c r="U26" s="63">
        <v>16.482856481769065</v>
      </c>
      <c r="V26" s="63" t="e">
        <f t="shared" si="23"/>
        <v>#DIV/0!</v>
      </c>
      <c r="W26" s="63" t="e">
        <f t="shared" si="24"/>
        <v>#DIV/0!</v>
      </c>
      <c r="X26" s="63" t="e">
        <f t="shared" si="25"/>
        <v>#DIV/0!</v>
      </c>
      <c r="Y26" s="63">
        <v>4.8332277577901719</v>
      </c>
      <c r="Z26" s="63">
        <v>4.8332277577901719</v>
      </c>
      <c r="AA26" s="60">
        <f>'Information Technology'!S967</f>
        <v>-8.5433409622370782E-2</v>
      </c>
      <c r="AB26" s="63">
        <v>-2.1325471046855005E-2</v>
      </c>
      <c r="AC26" s="60">
        <f t="shared" si="26"/>
        <v>0.53223341043069916</v>
      </c>
      <c r="AD26" s="60">
        <f t="shared" si="27"/>
        <v>0.66890164281099507</v>
      </c>
      <c r="AE26" s="60">
        <f t="shared" si="28"/>
        <v>5.2017529452004547</v>
      </c>
      <c r="AF26" s="60">
        <v>4.3392475754451416</v>
      </c>
      <c r="AG26" s="60">
        <v>4.3392475754451416</v>
      </c>
      <c r="AH26" s="60">
        <f>'Information Technology'!S968</f>
        <v>6.3487974138046147E-2</v>
      </c>
      <c r="AI26" s="63">
        <v>0.24020179657721544</v>
      </c>
      <c r="AJ26" s="60">
        <f t="shared" si="29"/>
        <v>0.56171932514179479</v>
      </c>
      <c r="AK26" s="60">
        <f t="shared" si="30"/>
        <v>0.56171932514179479</v>
      </c>
      <c r="AL26" s="60">
        <f t="shared" si="31"/>
        <v>5.5273386417103927</v>
      </c>
      <c r="AM26" s="60">
        <v>3.2503787540101508</v>
      </c>
      <c r="AN26" s="60">
        <v>3.2503787540101508</v>
      </c>
      <c r="AO26" s="60">
        <f>'Information Technology'!S969</f>
        <v>5.3674793367258528E-2</v>
      </c>
      <c r="AP26" s="60">
        <v>4.2567624855637476E-2</v>
      </c>
      <c r="AQ26" s="60">
        <f t="shared" si="42"/>
        <v>-0.39148304750249424</v>
      </c>
      <c r="AR26" s="60">
        <f t="shared" si="43"/>
        <v>-0.10831712118248416</v>
      </c>
      <c r="AS26" s="60">
        <f t="shared" si="44"/>
        <v>4.8217753211899383</v>
      </c>
      <c r="AT26" s="60">
        <v>2.1502154165434568</v>
      </c>
      <c r="AU26" s="60">
        <v>2.1502154165434568</v>
      </c>
      <c r="AV26" s="60">
        <f>'Information Technology'!S970</f>
        <v>-1.0631818181818208E-2</v>
      </c>
      <c r="AW26" s="60">
        <v>0.68224000000000029</v>
      </c>
      <c r="AX26" s="60" t="e">
        <f>(AW26-$AW$266)/$AW$267</f>
        <v>#DIV/0!</v>
      </c>
      <c r="AY26" s="60" t="e">
        <f>AX26-$AX$67</f>
        <v>#DIV/0!</v>
      </c>
      <c r="AZ26" s="60" t="e">
        <f>AY26+5-$AY$14</f>
        <v>#DIV/0!</v>
      </c>
      <c r="BA26" s="60">
        <v>2.7309661930528</v>
      </c>
      <c r="BB26" s="60">
        <v>2.7309661930528</v>
      </c>
      <c r="BC26" s="60">
        <f>'Information Technology'!S971</f>
        <v>6.529295976130399E-2</v>
      </c>
      <c r="BD26" s="60">
        <v>0.19231191869463923</v>
      </c>
      <c r="BE26" s="60">
        <v>5</v>
      </c>
      <c r="BF26" s="60">
        <f>'Information Technology'!S972</f>
        <v>6.8111600000000001</v>
      </c>
      <c r="BG26" s="63">
        <v>8.9296900000000008</v>
      </c>
      <c r="BH26" s="63">
        <f t="shared" si="35"/>
        <v>0.80114239232477436</v>
      </c>
      <c r="BI26" s="63">
        <f t="shared" si="36"/>
        <v>0.80114239232477436</v>
      </c>
      <c r="BJ26" s="63">
        <f t="shared" si="37"/>
        <v>5.801142392324774</v>
      </c>
      <c r="BK26" s="63">
        <v>4.7563956110581485</v>
      </c>
      <c r="BL26" s="63">
        <v>4.7563956110581485</v>
      </c>
      <c r="BM26" s="63">
        <f t="shared" si="19"/>
        <v>3.7336778129800714</v>
      </c>
    </row>
    <row r="27" spans="1:65" ht="22.5">
      <c r="A27" s="50" t="s">
        <v>139</v>
      </c>
      <c r="B27" s="50" t="s">
        <v>140</v>
      </c>
      <c r="C27" s="51">
        <v>41957.3</v>
      </c>
      <c r="D27" s="52" t="s">
        <v>70</v>
      </c>
      <c r="E27" s="68" t="str" cm="1">
        <f t="array" ref="E27">_xll.ciqfunctions.udf.CIQ(B27,"iq_industry")</f>
        <v>Semiconductors and Semiconductor Equipment</v>
      </c>
      <c r="F27" s="60">
        <f>'Information Technology'!S514</f>
        <v>86.81386479602196</v>
      </c>
      <c r="G27" s="62">
        <v>15.976809249225859</v>
      </c>
      <c r="H27" s="62">
        <f t="shared" si="20"/>
        <v>0.23444946765272195</v>
      </c>
      <c r="I27" s="62">
        <f t="shared" si="21"/>
        <v>0.1218877932000982</v>
      </c>
      <c r="J27" s="62">
        <f t="shared" si="22"/>
        <v>4.8468458191252468</v>
      </c>
      <c r="K27" s="62">
        <v>4.4521496336499</v>
      </c>
      <c r="L27" s="108">
        <v>4.4521496336499</v>
      </c>
      <c r="M27" s="60">
        <f>'Information Technology'!S515</f>
        <v>85.553355730050015</v>
      </c>
      <c r="N27" s="63">
        <v>42.049823902500002</v>
      </c>
      <c r="O27" s="63">
        <f t="shared" si="38"/>
        <v>-0.25108201801196994</v>
      </c>
      <c r="P27" s="63">
        <f t="shared" si="39"/>
        <v>6.0828386010759516E-2</v>
      </c>
      <c r="Q27" s="63">
        <f t="shared" si="40"/>
        <v>5.0366095391226624</v>
      </c>
      <c r="R27" s="62">
        <f t="shared" si="41"/>
        <v>1.0608283860107592</v>
      </c>
      <c r="S27" s="63">
        <v>1.5361437561285429</v>
      </c>
      <c r="T27" s="60" t="e">
        <f>'Information Technology'!S516</f>
        <v>#DIV/0!</v>
      </c>
      <c r="U27" s="63">
        <v>25.839233229083824</v>
      </c>
      <c r="V27" s="63" t="e">
        <f t="shared" si="23"/>
        <v>#DIV/0!</v>
      </c>
      <c r="W27" s="63" t="e">
        <f t="shared" si="24"/>
        <v>#DIV/0!</v>
      </c>
      <c r="X27" s="63" t="e">
        <f t="shared" si="25"/>
        <v>#DIV/0!</v>
      </c>
      <c r="Y27" s="63">
        <v>4.5744234717462726</v>
      </c>
      <c r="Z27" s="63">
        <v>4.5744234717462726</v>
      </c>
      <c r="AA27" s="60">
        <f>'Information Technology'!S517</f>
        <v>-6.4699087708972591E-3</v>
      </c>
      <c r="AB27" s="63">
        <v>2.7255730603956918E-2</v>
      </c>
      <c r="AC27" s="60">
        <f t="shared" si="26"/>
        <v>0.10016732930537588</v>
      </c>
      <c r="AD27" s="60">
        <f t="shared" si="27"/>
        <v>0.23683556168567182</v>
      </c>
      <c r="AE27" s="60">
        <f t="shared" si="28"/>
        <v>4.7696868640751307</v>
      </c>
      <c r="AF27" s="60">
        <v>2.4844066024308331</v>
      </c>
      <c r="AG27" s="60">
        <v>2.4844066024308331</v>
      </c>
      <c r="AH27" s="60">
        <f>'Information Technology'!S518</f>
        <v>0.20047890966448129</v>
      </c>
      <c r="AI27" s="63">
        <v>0.17267835438936466</v>
      </c>
      <c r="AJ27" s="60">
        <f t="shared" si="29"/>
        <v>0.22324908329537399</v>
      </c>
      <c r="AK27" s="60">
        <f t="shared" si="30"/>
        <v>0.22324908329537399</v>
      </c>
      <c r="AL27" s="60">
        <f t="shared" si="31"/>
        <v>5.1888683998639724</v>
      </c>
      <c r="AM27" s="60">
        <v>2.4447153500052758</v>
      </c>
      <c r="AN27" s="60">
        <v>2.4447153500052758</v>
      </c>
      <c r="AO27" s="60">
        <f>'Information Technology'!S519</f>
        <v>1.5874796527114283E-2</v>
      </c>
      <c r="AP27" s="60">
        <v>7.1615777136815231E-2</v>
      </c>
      <c r="AQ27" s="60">
        <f t="shared" si="42"/>
        <v>-0.14510124738199087</v>
      </c>
      <c r="AR27" s="60">
        <f t="shared" si="43"/>
        <v>0.13806467893801921</v>
      </c>
      <c r="AS27" s="60">
        <f t="shared" si="44"/>
        <v>5.0681571213104419</v>
      </c>
      <c r="AT27" s="60">
        <v>2.8163166542970766</v>
      </c>
      <c r="AU27" s="60">
        <v>2.8163166542970766</v>
      </c>
      <c r="AV27" s="60">
        <f>'Information Technology'!S520</f>
        <v>0.93032909090909077</v>
      </c>
      <c r="AW27" s="60">
        <v>1.7193318181818185</v>
      </c>
      <c r="AX27" s="60" t="e">
        <f>(AW27-$AW$266)/$AW$267</f>
        <v>#DIV/0!</v>
      </c>
      <c r="AY27" s="60" t="e">
        <f>AX27-$AX$67</f>
        <v>#DIV/0!</v>
      </c>
      <c r="AZ27" s="60" t="e">
        <f>AY27+5-$AY$14</f>
        <v>#DIV/0!</v>
      </c>
      <c r="BA27" s="60">
        <v>3.7710814170947522</v>
      </c>
      <c r="BB27" s="60">
        <v>3.7710814170947522</v>
      </c>
      <c r="BC27" s="60">
        <f>'Information Technology'!S521</f>
        <v>-0.28381708126233551</v>
      </c>
      <c r="BD27" s="60">
        <v>-9.6671139140841758E-2</v>
      </c>
      <c r="BE27" s="60">
        <v>5</v>
      </c>
      <c r="BF27" s="60">
        <f>'Information Technology'!S522</f>
        <v>37.432729999999999</v>
      </c>
      <c r="BG27" s="63">
        <v>10.927</v>
      </c>
      <c r="BH27" s="63">
        <f t="shared" si="35"/>
        <v>0.73945272033405884</v>
      </c>
      <c r="BI27" s="63">
        <f t="shared" si="36"/>
        <v>0.73945272033405884</v>
      </c>
      <c r="BJ27" s="63">
        <f t="shared" si="37"/>
        <v>5.7394527203340591</v>
      </c>
      <c r="BK27" s="63">
        <v>4.5993055477843034</v>
      </c>
      <c r="BL27" s="63">
        <v>4.5993055477843034</v>
      </c>
      <c r="BM27" s="63">
        <f t="shared" si="19"/>
        <v>3.5657490109379579</v>
      </c>
    </row>
    <row r="28" spans="1:65">
      <c r="A28" s="50" t="s">
        <v>101</v>
      </c>
      <c r="B28" s="50" t="s">
        <v>102</v>
      </c>
      <c r="C28" s="51">
        <v>87444.1</v>
      </c>
      <c r="D28" s="52" t="s">
        <v>70</v>
      </c>
      <c r="E28" s="68" t="str" cm="1">
        <f t="array" ref="E28">_xll.ciqfunctions.udf.CIQ(B28,"iq_industry")</f>
        <v>Semiconductors and Semiconductor Equipment</v>
      </c>
      <c r="F28" s="60">
        <f>'Information Technology'!S244</f>
        <v>108.56250060679862</v>
      </c>
      <c r="G28" s="62">
        <v>26.77768717100583</v>
      </c>
      <c r="H28" s="62">
        <f t="shared" si="20"/>
        <v>7.22834615550563E-2</v>
      </c>
      <c r="I28" s="62">
        <f t="shared" si="21"/>
        <v>-4.0278212897567459E-2</v>
      </c>
      <c r="J28" s="62">
        <f t="shared" si="22"/>
        <v>4.6846798130275804</v>
      </c>
      <c r="K28" s="62">
        <v>3.8720629174877592</v>
      </c>
      <c r="L28" s="108">
        <v>3.8720629174877592</v>
      </c>
      <c r="M28" s="60">
        <f>'Information Technology'!S245</f>
        <v>25.125806038900002</v>
      </c>
      <c r="N28" s="63">
        <v>86.216437597548008</v>
      </c>
      <c r="O28" s="63">
        <f t="shared" si="38"/>
        <v>-0.15375874801917319</v>
      </c>
      <c r="P28" s="63">
        <f t="shared" si="39"/>
        <v>0.15815165600355627</v>
      </c>
      <c r="Q28" s="63">
        <f t="shared" si="40"/>
        <v>5.1339328091154597</v>
      </c>
      <c r="R28" s="62">
        <f t="shared" si="41"/>
        <v>1.1581516560035565</v>
      </c>
      <c r="S28" s="63">
        <v>2.37941537220828</v>
      </c>
      <c r="T28" s="60" t="e">
        <f>'Information Technology'!S246</f>
        <v>#DIV/0!</v>
      </c>
      <c r="U28" s="63">
        <v>24.028865435872738</v>
      </c>
      <c r="V28" s="63" t="e">
        <f t="shared" si="23"/>
        <v>#DIV/0!</v>
      </c>
      <c r="W28" s="63" t="e">
        <f t="shared" si="24"/>
        <v>#DIV/0!</v>
      </c>
      <c r="X28" s="63" t="e">
        <f t="shared" si="25"/>
        <v>#DIV/0!</v>
      </c>
      <c r="Y28" s="63">
        <v>4.624499580998001</v>
      </c>
      <c r="Z28" s="63">
        <v>4.624499580998001</v>
      </c>
      <c r="AA28" s="60">
        <f>'Information Technology'!S247</f>
        <v>0.29683446670598923</v>
      </c>
      <c r="AB28" s="63">
        <v>6.1262501178841688E-2</v>
      </c>
      <c r="AC28" s="60">
        <f t="shared" si="26"/>
        <v>-0.20227829975972692</v>
      </c>
      <c r="AD28" s="60">
        <f t="shared" si="27"/>
        <v>-6.5610067379430981E-2</v>
      </c>
      <c r="AE28" s="60">
        <f t="shared" si="28"/>
        <v>4.4672412350100279</v>
      </c>
      <c r="AF28" s="60">
        <v>1.1860206161068527</v>
      </c>
      <c r="AG28" s="60">
        <v>1.1860206161068527</v>
      </c>
      <c r="AH28" s="60">
        <f>'Information Technology'!S248</f>
        <v>-0.32492574237407817</v>
      </c>
      <c r="AI28" s="63">
        <v>0.24208162361266095</v>
      </c>
      <c r="AJ28" s="60">
        <f t="shared" si="29"/>
        <v>0.57114220837613272</v>
      </c>
      <c r="AK28" s="60">
        <f t="shared" si="30"/>
        <v>0.57114220837613272</v>
      </c>
      <c r="AL28" s="60">
        <f t="shared" si="31"/>
        <v>5.5367615249447306</v>
      </c>
      <c r="AM28" s="60">
        <v>3.2728081177873118</v>
      </c>
      <c r="AN28" s="60">
        <v>3.2728081177873118</v>
      </c>
      <c r="AO28" s="60">
        <f>'Information Technology'!S249</f>
        <v>5.5043991680290207E-2</v>
      </c>
      <c r="AP28" s="60">
        <v>9.7063414251201657E-2</v>
      </c>
      <c r="AQ28" s="60">
        <f t="shared" si="42"/>
        <v>7.0741556675412334E-2</v>
      </c>
      <c r="AR28" s="60">
        <f t="shared" si="43"/>
        <v>0.35390748299542241</v>
      </c>
      <c r="AS28" s="60">
        <f t="shared" si="44"/>
        <v>5.2839999253678451</v>
      </c>
      <c r="AT28" s="60">
        <v>3.3998547194972266</v>
      </c>
      <c r="AU28" s="60">
        <v>3.3998547194972266</v>
      </c>
      <c r="AV28" s="60" t="e">
        <f>'Information Technology'!S250</f>
        <v>#DIV/0!</v>
      </c>
      <c r="AW28" s="60">
        <v>1.9096363636363636</v>
      </c>
      <c r="AX28" s="60" t="e">
        <f>(AW28-$AW$266)/$AW$267</f>
        <v>#DIV/0!</v>
      </c>
      <c r="AY28" s="60" t="e">
        <f>AX28-$AX$67</f>
        <v>#DIV/0!</v>
      </c>
      <c r="AZ28" s="60" t="e">
        <f>AY28+5-$AY$14</f>
        <v>#DIV/0!</v>
      </c>
      <c r="BA28" s="60">
        <v>3.9619407522678642</v>
      </c>
      <c r="BB28" s="60">
        <v>3.9619407522678642</v>
      </c>
      <c r="BC28" s="60">
        <f>'Information Technology'!S251</f>
        <v>1.3474649319364449</v>
      </c>
      <c r="BD28" s="60">
        <v>-0.18737899549117745</v>
      </c>
      <c r="BE28" s="60">
        <v>5</v>
      </c>
      <c r="BF28" s="60" t="str">
        <f>'Information Technology'!S252</f>
        <v>NM</v>
      </c>
      <c r="BG28" s="63">
        <v>13.524229999999999</v>
      </c>
      <c r="BH28" s="63">
        <f t="shared" si="35"/>
        <v>0.65923369234919604</v>
      </c>
      <c r="BI28" s="63">
        <f t="shared" si="36"/>
        <v>0.65923369234919604</v>
      </c>
      <c r="BJ28" s="63">
        <f t="shared" si="37"/>
        <v>5.6592336923491962</v>
      </c>
      <c r="BK28" s="63">
        <v>4.3950312863843566</v>
      </c>
      <c r="BL28" s="63">
        <v>4.3950312863843566</v>
      </c>
      <c r="BM28" s="63">
        <f t="shared" si="19"/>
        <v>3.5166326330748405</v>
      </c>
    </row>
    <row r="29" spans="1:65">
      <c r="A29" s="50" t="s">
        <v>207</v>
      </c>
      <c r="B29" s="50" t="s">
        <v>208</v>
      </c>
      <c r="C29" s="51">
        <v>14692.9</v>
      </c>
      <c r="D29" s="52" t="s">
        <v>98</v>
      </c>
      <c r="E29" s="68" t="str" cm="1">
        <f t="array" ref="E29">_xll.ciqfunctions.udf.CIQ(B29,"iq_industry")</f>
        <v>Semiconductors and Semiconductor Equipment</v>
      </c>
      <c r="F29" s="60">
        <f>'Information Technology'!S1009</f>
        <v>12.14769747976101</v>
      </c>
      <c r="G29" s="62">
        <v>26.174179933873223</v>
      </c>
      <c r="H29" s="62">
        <f t="shared" si="20"/>
        <v>8.1344610010357352E-2</v>
      </c>
      <c r="I29" s="62">
        <f t="shared" si="21"/>
        <v>-3.1217064442266407E-2</v>
      </c>
      <c r="J29" s="62">
        <f t="shared" si="22"/>
        <v>4.6937409614828818</v>
      </c>
      <c r="K29" s="62">
        <v>3.9044757022543015</v>
      </c>
      <c r="L29" s="108">
        <v>3.9044757022543015</v>
      </c>
      <c r="M29" s="60">
        <f>'Information Technology'!S1010</f>
        <v>54.003798676000002</v>
      </c>
      <c r="N29" s="63">
        <v>15.338228366600003</v>
      </c>
      <c r="O29" s="63">
        <f t="shared" si="38"/>
        <v>-0.30994231104299891</v>
      </c>
      <c r="P29" s="63">
        <f t="shared" si="39"/>
        <v>1.9680929797305513E-3</v>
      </c>
      <c r="Q29" s="63">
        <f t="shared" si="40"/>
        <v>4.9777492460916335</v>
      </c>
      <c r="R29" s="62">
        <f t="shared" si="41"/>
        <v>1.0019680929797303</v>
      </c>
      <c r="S29" s="63">
        <v>1.0261401934566727</v>
      </c>
      <c r="T29" s="60" t="e">
        <f>'Information Technology'!S1011</f>
        <v>#DIV/0!</v>
      </c>
      <c r="U29" s="63">
        <v>112.02137517119596</v>
      </c>
      <c r="V29" s="63" t="e">
        <f t="shared" si="23"/>
        <v>#DIV/0!</v>
      </c>
      <c r="W29" s="63" t="e">
        <f t="shared" si="24"/>
        <v>#DIV/0!</v>
      </c>
      <c r="X29" s="63" t="e">
        <f t="shared" si="25"/>
        <v>#DIV/0!</v>
      </c>
      <c r="Y29" s="63">
        <v>2.1905618212987772</v>
      </c>
      <c r="Z29" s="63">
        <v>2.1905618212987772</v>
      </c>
      <c r="AA29" s="60">
        <f>'Information Technology'!S1012</f>
        <v>1.3594860525325547E-3</v>
      </c>
      <c r="AB29" s="63">
        <v>-2.36909825846644E-2</v>
      </c>
      <c r="AC29" s="60">
        <f t="shared" si="26"/>
        <v>0.55327153351675018</v>
      </c>
      <c r="AD29" s="60">
        <f t="shared" si="27"/>
        <v>0.68993976589704609</v>
      </c>
      <c r="AE29" s="60">
        <f t="shared" si="28"/>
        <v>5.2227910682865053</v>
      </c>
      <c r="AF29" s="60">
        <v>4.4295633266693324</v>
      </c>
      <c r="AG29" s="60">
        <v>4.4295633266693324</v>
      </c>
      <c r="AH29" s="60">
        <f>'Information Technology'!S1013</f>
        <v>1.6612808102259305E-2</v>
      </c>
      <c r="AI29" s="63">
        <v>0.21062208285183132</v>
      </c>
      <c r="AJ29" s="60">
        <f t="shared" si="29"/>
        <v>0.41344707281014387</v>
      </c>
      <c r="AK29" s="60">
        <f t="shared" si="30"/>
        <v>0.41344707281014387</v>
      </c>
      <c r="AL29" s="60">
        <f t="shared" si="31"/>
        <v>5.3790663893787425</v>
      </c>
      <c r="AM29" s="60">
        <v>2.8974451345542018</v>
      </c>
      <c r="AN29" s="60">
        <v>2.8974451345542018</v>
      </c>
      <c r="AO29" s="60">
        <f>'Information Technology'!S1014</f>
        <v>2.8494557351204486E-2</v>
      </c>
      <c r="AP29" s="60">
        <v>0.20177697428775543</v>
      </c>
      <c r="AQ29" s="60"/>
      <c r="AR29" s="60"/>
      <c r="AS29" s="60"/>
      <c r="AT29" s="60">
        <v>4.9400000000000004</v>
      </c>
      <c r="AU29" s="60">
        <v>4.9400000000000004</v>
      </c>
      <c r="AV29" s="60">
        <f>'Information Technology'!S1015</f>
        <v>0.67794818181818184</v>
      </c>
      <c r="AW29" s="60">
        <v>0.95926818181818196</v>
      </c>
      <c r="AX29" s="60" t="e">
        <f>(AW29-$AW$266)/$AW$267</f>
        <v>#DIV/0!</v>
      </c>
      <c r="AY29" s="60" t="e">
        <f>AX29-$AX$67</f>
        <v>#DIV/0!</v>
      </c>
      <c r="AZ29" s="60" t="e">
        <f>AY29+5-$AY$14</f>
        <v>#DIV/0!</v>
      </c>
      <c r="BA29" s="60">
        <v>3.0088019876721308</v>
      </c>
      <c r="BB29" s="60">
        <v>3.0088019876721308</v>
      </c>
      <c r="BC29" s="60">
        <f>'Information Technology'!S1016</f>
        <v>-0.29136287747618694</v>
      </c>
      <c r="BD29" s="60">
        <v>-0.15929378822350743</v>
      </c>
      <c r="BE29" s="60">
        <v>5</v>
      </c>
      <c r="BF29" s="60">
        <f>'Information Technology'!S1017</f>
        <v>8.5677400000000006</v>
      </c>
      <c r="BG29" s="63">
        <v>17.798719999999999</v>
      </c>
      <c r="BH29" s="63">
        <f t="shared" si="35"/>
        <v>0.52721017770820688</v>
      </c>
      <c r="BI29" s="63">
        <f t="shared" si="36"/>
        <v>0.52721017770820688</v>
      </c>
      <c r="BJ29" s="63">
        <f t="shared" si="37"/>
        <v>5.5272101777082066</v>
      </c>
      <c r="BK29" s="63">
        <v>4.0588391556868588</v>
      </c>
      <c r="BL29" s="63">
        <v>4.0588391556868588</v>
      </c>
      <c r="BM29" s="63">
        <f t="shared" si="19"/>
        <v>3.2175575598755524</v>
      </c>
    </row>
    <row r="30" spans="1:65">
      <c r="A30" s="50" t="s">
        <v>197</v>
      </c>
      <c r="B30" s="50" t="s">
        <v>198</v>
      </c>
      <c r="C30" s="51">
        <v>16301.3</v>
      </c>
      <c r="D30" s="52" t="s">
        <v>98</v>
      </c>
      <c r="E30" s="68" t="str" cm="1">
        <f t="array" ref="E30">_xll.ciqfunctions.udf.CIQ(B30,"iq_industry")</f>
        <v>Semiconductors and Semiconductor Equipment</v>
      </c>
      <c r="F30" s="60">
        <f>'Information Technology'!S934</f>
        <v>495.07765938998983</v>
      </c>
      <c r="G30" s="62">
        <v>8.2120015864842895</v>
      </c>
      <c r="H30" s="62">
        <f t="shared" si="20"/>
        <v>0.35103145810779396</v>
      </c>
      <c r="I30" s="62">
        <f t="shared" si="21"/>
        <v>0.23846978365517019</v>
      </c>
      <c r="J30" s="62">
        <f t="shared" si="22"/>
        <v>4.9634278095803186</v>
      </c>
      <c r="K30" s="62">
        <v>4.8691770096956501</v>
      </c>
      <c r="L30" s="108">
        <v>4.8691770096956501</v>
      </c>
      <c r="M30" s="60">
        <f>'Information Technology'!S935</f>
        <v>41.755495218804001</v>
      </c>
      <c r="N30" s="63">
        <v>15.829563209</v>
      </c>
      <c r="O30" s="63">
        <f t="shared" si="38"/>
        <v>-0.30885963094771401</v>
      </c>
      <c r="P30" s="63">
        <f t="shared" si="39"/>
        <v>3.0507730750154449E-3</v>
      </c>
      <c r="Q30" s="63">
        <f t="shared" si="40"/>
        <v>4.9788319261869187</v>
      </c>
      <c r="R30" s="62">
        <f t="shared" si="41"/>
        <v>1.0030507730750156</v>
      </c>
      <c r="S30" s="63">
        <v>1.0355212324796712</v>
      </c>
      <c r="T30" s="60" t="e">
        <f>'Information Technology'!S936</f>
        <v>#DIV/0!</v>
      </c>
      <c r="U30" s="63" t="e">
        <v>#DIV/0!</v>
      </c>
      <c r="Z30" s="63">
        <v>1</v>
      </c>
      <c r="AA30" s="60">
        <f>'Information Technology'!S937</f>
        <v>0.32279077018427205</v>
      </c>
      <c r="AB30" s="63">
        <v>4.6078439032027241E-2</v>
      </c>
      <c r="AC30" s="60">
        <f t="shared" si="26"/>
        <v>-6.7235978771196192E-2</v>
      </c>
      <c r="AD30" s="60">
        <f t="shared" si="27"/>
        <v>6.9432253609099742E-2</v>
      </c>
      <c r="AE30" s="60">
        <f t="shared" si="28"/>
        <v>4.6022835559985591</v>
      </c>
      <c r="AF30" s="60">
        <v>1.765751451279316</v>
      </c>
      <c r="AG30" s="60">
        <v>1.765751451279316</v>
      </c>
      <c r="AH30" s="60">
        <f>'Information Technology'!S938</f>
        <v>-0.66996527528760119</v>
      </c>
      <c r="AI30" s="63">
        <v>0.15846633726189521</v>
      </c>
      <c r="AJ30" s="60">
        <f t="shared" si="29"/>
        <v>0.15200945571718213</v>
      </c>
      <c r="AK30" s="60">
        <f t="shared" si="30"/>
        <v>0.15200945571718213</v>
      </c>
      <c r="AL30" s="60">
        <f t="shared" si="31"/>
        <v>5.1176287722857801</v>
      </c>
      <c r="AM30" s="60">
        <v>2.275143098862654</v>
      </c>
      <c r="AN30" s="60">
        <v>2.275143098862654</v>
      </c>
      <c r="AO30" s="60">
        <f>'Information Technology'!S939</f>
        <v>9.5888373248188469E-2</v>
      </c>
      <c r="AP30" s="60">
        <v>6.7270430479837343E-2</v>
      </c>
      <c r="AQ30" s="60">
        <f t="shared" ref="AQ30:AQ36" si="45">(AP30-$AP$266)/$AP$267</f>
        <v>-0.18195778548915117</v>
      </c>
      <c r="AR30" s="60">
        <f t="shared" ref="AR30:AR36" si="46">AQ30-$AQ$66</f>
        <v>0.10120814083085891</v>
      </c>
      <c r="AS30" s="60">
        <f t="shared" ref="AS30:AS36" si="47">AR30+5-$AR$8</f>
        <v>5.0313005832032811</v>
      </c>
      <c r="AT30" s="60">
        <v>2.7166738006427664</v>
      </c>
      <c r="AU30" s="60">
        <v>2.7166738006427664</v>
      </c>
      <c r="AV30" s="60" t="e">
        <f>'Information Technology'!S940</f>
        <v>#DIV/0!</v>
      </c>
      <c r="AW30" s="60">
        <v>3.7055163636363635</v>
      </c>
      <c r="AX30" s="60"/>
      <c r="AY30" s="60"/>
      <c r="AZ30" s="60"/>
      <c r="BA30" s="60">
        <v>4.99</v>
      </c>
      <c r="BB30" s="60">
        <v>4.99</v>
      </c>
      <c r="BC30" s="60">
        <f>'Information Technology'!S941</f>
        <v>1.4530014329670098</v>
      </c>
      <c r="BD30" s="60">
        <v>0.37884604424918122</v>
      </c>
      <c r="BE30" s="60">
        <v>3.9</v>
      </c>
      <c r="BF30" s="60" t="str">
        <f>'Information Technology'!S942</f>
        <v>NM</v>
      </c>
      <c r="BG30" s="63">
        <v>21.4572</v>
      </c>
      <c r="BH30" s="63">
        <f t="shared" si="35"/>
        <v>0.41421298088618469</v>
      </c>
      <c r="BI30" s="63">
        <f t="shared" si="36"/>
        <v>0.41421298088618469</v>
      </c>
      <c r="BJ30" s="63">
        <f t="shared" si="37"/>
        <v>5.4142129808861847</v>
      </c>
      <c r="BK30" s="63">
        <v>3.7710967147607644</v>
      </c>
      <c r="BL30" s="63">
        <v>3.7710967147607644</v>
      </c>
      <c r="BM30" s="63">
        <f t="shared" si="19"/>
        <v>3.1760959790078891</v>
      </c>
    </row>
    <row r="31" spans="1:65">
      <c r="A31" s="50" t="s">
        <v>141</v>
      </c>
      <c r="B31" s="50" t="s">
        <v>142</v>
      </c>
      <c r="C31" s="51">
        <v>40481.699999999997</v>
      </c>
      <c r="D31" s="52" t="s">
        <v>70</v>
      </c>
      <c r="E31" s="68" t="str" cm="1">
        <f t="array" ref="E31">_xll.ciqfunctions.udf.CIQ(B31,"iq_industry")</f>
        <v>Semiconductors and Semiconductor Equipment</v>
      </c>
      <c r="F31" s="60">
        <f>'Information Technology'!S529</f>
        <v>-46.82464359252117</v>
      </c>
      <c r="G31" s="62">
        <v>35.922455173241069</v>
      </c>
      <c r="H31" s="62">
        <f t="shared" si="20"/>
        <v>-6.5017461050670716E-2</v>
      </c>
      <c r="I31" s="62">
        <f t="shared" si="21"/>
        <v>-0.17757913550329446</v>
      </c>
      <c r="J31" s="62">
        <f t="shared" si="22"/>
        <v>4.5473788904218537</v>
      </c>
      <c r="K31" s="62">
        <v>3.3809215048268291</v>
      </c>
      <c r="L31" s="108">
        <v>3.3809215048268291</v>
      </c>
      <c r="M31" s="60">
        <f>'Information Technology'!S530</f>
        <v>16.591677104584999</v>
      </c>
      <c r="N31" s="63">
        <v>38.673624499000006</v>
      </c>
      <c r="O31" s="63">
        <f t="shared" si="38"/>
        <v>-0.25852163673313971</v>
      </c>
      <c r="P31" s="63">
        <f t="shared" si="39"/>
        <v>5.3388767289589745E-2</v>
      </c>
      <c r="Q31" s="63">
        <f t="shared" si="40"/>
        <v>5.0291699204014932</v>
      </c>
      <c r="R31" s="62">
        <f t="shared" si="41"/>
        <v>1.0533887672895901</v>
      </c>
      <c r="S31" s="63">
        <v>1.4716820985775563</v>
      </c>
      <c r="T31" s="60" t="e">
        <f>'Information Technology'!S531</f>
        <v>#DIV/0!</v>
      </c>
      <c r="U31" s="63" t="e">
        <v>#DIV/0!</v>
      </c>
      <c r="Z31" s="63">
        <v>1</v>
      </c>
      <c r="AA31" s="60">
        <f>'Information Technology'!S532</f>
        <v>3.6899996881925023E-3</v>
      </c>
      <c r="AB31" s="63">
        <v>1.043084679210704E-2</v>
      </c>
      <c r="AC31" s="60">
        <f t="shared" si="26"/>
        <v>0.249802607292646</v>
      </c>
      <c r="AD31" s="60">
        <f t="shared" si="27"/>
        <v>0.38647083967294193</v>
      </c>
      <c r="AE31" s="60">
        <f t="shared" si="28"/>
        <v>4.9193221420624011</v>
      </c>
      <c r="AF31" s="60">
        <v>3.1267843699618831</v>
      </c>
      <c r="AG31" s="60">
        <v>3.1267843699618831</v>
      </c>
      <c r="AH31" s="60">
        <f>'Information Technology'!S533</f>
        <v>7.8588495745952738E-2</v>
      </c>
      <c r="AI31" s="63">
        <v>0.1413462221275863</v>
      </c>
      <c r="AJ31" s="60">
        <f t="shared" si="29"/>
        <v>6.6192599789912543E-2</v>
      </c>
      <c r="AK31" s="60">
        <f t="shared" si="30"/>
        <v>6.6192599789912543E-2</v>
      </c>
      <c r="AL31" s="60">
        <f t="shared" si="31"/>
        <v>5.0318119163585111</v>
      </c>
      <c r="AM31" s="60">
        <v>2.0708725553425191</v>
      </c>
      <c r="AN31" s="60">
        <v>2.0708725553425191</v>
      </c>
      <c r="AO31" s="60">
        <f>'Information Technology'!S534</f>
        <v>-9.7653593701815516E-3</v>
      </c>
      <c r="AP31" s="60">
        <v>7.819243327130812E-2</v>
      </c>
      <c r="AQ31" s="60">
        <f t="shared" si="45"/>
        <v>-8.9319097746268436E-2</v>
      </c>
      <c r="AR31" s="60">
        <f t="shared" si="46"/>
        <v>0.19384682857374164</v>
      </c>
      <c r="AS31" s="60">
        <f t="shared" si="47"/>
        <v>5.1239392709461642</v>
      </c>
      <c r="AT31" s="60">
        <v>2.967125516391353</v>
      </c>
      <c r="AU31" s="60">
        <v>2.967125516391353</v>
      </c>
      <c r="AV31" s="60">
        <f>'Information Technology'!S535</f>
        <v>-0.43241636363636371</v>
      </c>
      <c r="AW31" s="60">
        <v>2.20282</v>
      </c>
      <c r="AX31" s="60" t="e">
        <f t="shared" ref="AX31:AX37" si="48">(AW31-$AW$266)/$AW$267</f>
        <v>#DIV/0!</v>
      </c>
      <c r="AY31" s="60" t="e">
        <f t="shared" ref="AY31:AY37" si="49">AX31-$AX$67</f>
        <v>#DIV/0!</v>
      </c>
      <c r="AZ31" s="60" t="e">
        <f t="shared" ref="AZ31:AZ37" si="50">AY31+5-$AY$14</f>
        <v>#DIV/0!</v>
      </c>
      <c r="BA31" s="60">
        <v>4.2559790989943993</v>
      </c>
      <c r="BB31" s="60">
        <v>4.2559790989943993</v>
      </c>
      <c r="BC31" s="60">
        <f>'Information Technology'!S536</f>
        <v>-0.62022776828574622</v>
      </c>
      <c r="BD31" s="60">
        <v>1.1012115306542336E-2</v>
      </c>
      <c r="BE31" s="60">
        <v>5</v>
      </c>
      <c r="BF31" s="60">
        <f>'Information Technology'!S537</f>
        <v>20.208379999999998</v>
      </c>
      <c r="BG31" s="63">
        <v>11.83</v>
      </c>
      <c r="BH31" s="63">
        <f t="shared" si="35"/>
        <v>0.71156232084293514</v>
      </c>
      <c r="BI31" s="63">
        <f t="shared" si="36"/>
        <v>0.71156232084293514</v>
      </c>
      <c r="BJ31" s="63">
        <f t="shared" si="37"/>
        <v>5.7115623208429351</v>
      </c>
      <c r="BK31" s="63">
        <v>4.5282838600461544</v>
      </c>
      <c r="BL31" s="63">
        <v>4.5282838600461544</v>
      </c>
      <c r="BM31" s="63">
        <f t="shared" si="19"/>
        <v>2.9289664115106433</v>
      </c>
    </row>
    <row r="32" spans="1:65">
      <c r="A32" s="50" t="s">
        <v>135</v>
      </c>
      <c r="B32" s="50" t="s">
        <v>136</v>
      </c>
      <c r="C32" s="51">
        <v>45124.4</v>
      </c>
      <c r="D32" s="52" t="s">
        <v>70</v>
      </c>
      <c r="E32" s="68" t="str" cm="1">
        <f t="array" ref="E32">_xll.ciqfunctions.udf.CIQ(B32,"iq_industry")</f>
        <v>Semiconductors and Semiconductor Equipment</v>
      </c>
      <c r="F32" s="60">
        <f>'Information Technology'!S484</f>
        <v>61.483637317811322</v>
      </c>
      <c r="G32" s="62">
        <v>26.867834298607981</v>
      </c>
      <c r="H32" s="62">
        <f t="shared" si="20"/>
        <v>7.0929979018702599E-2</v>
      </c>
      <c r="I32" s="62">
        <f t="shared" si="21"/>
        <v>-4.1631695433921159E-2</v>
      </c>
      <c r="J32" s="62">
        <f t="shared" si="22"/>
        <v>4.6833263304912274</v>
      </c>
      <c r="K32" s="62">
        <v>3.8672213526074879</v>
      </c>
      <c r="L32" s="108">
        <v>3.8672213526074879</v>
      </c>
      <c r="M32" s="60">
        <f>'Information Technology'!S485</f>
        <v>26.441674559999999</v>
      </c>
      <c r="N32" s="63">
        <v>45.521327999999997</v>
      </c>
      <c r="O32" s="63">
        <f t="shared" si="38"/>
        <v>-0.24343239078687046</v>
      </c>
      <c r="P32" s="63">
        <f t="shared" si="39"/>
        <v>6.8478013235859003E-2</v>
      </c>
      <c r="Q32" s="63">
        <f t="shared" si="40"/>
        <v>5.0442591663477625</v>
      </c>
      <c r="R32" s="62">
        <f t="shared" si="41"/>
        <v>1.0684780132358593</v>
      </c>
      <c r="S32" s="63">
        <v>1.6024250628807168</v>
      </c>
      <c r="T32" s="60">
        <f>'Information Technology'!S486</f>
        <v>45.872471106062029</v>
      </c>
      <c r="U32" s="63">
        <v>108.73181160749364</v>
      </c>
      <c r="V32" s="63" t="e">
        <f>-(U32-$U$266)/$U$267</f>
        <v>#DIV/0!</v>
      </c>
      <c r="W32" s="63" t="e">
        <f>V32-$V$42</f>
        <v>#DIV/0!</v>
      </c>
      <c r="X32" s="63" t="e">
        <f>W32+5-$W$70</f>
        <v>#DIV/0!</v>
      </c>
      <c r="Y32" s="63">
        <v>2.2815535772415183</v>
      </c>
      <c r="Z32" s="63">
        <v>2.2815535772415183</v>
      </c>
      <c r="AA32" s="60">
        <f>'Information Technology'!S487</f>
        <v>2.2268579945857736E-2</v>
      </c>
      <c r="AB32" s="63">
        <v>5.533845857269748E-2</v>
      </c>
      <c r="AC32" s="60">
        <f t="shared" si="26"/>
        <v>-0.14959170934449378</v>
      </c>
      <c r="AD32" s="60">
        <f t="shared" si="27"/>
        <v>-1.292347696419785E-2</v>
      </c>
      <c r="AE32" s="60">
        <f t="shared" si="28"/>
        <v>4.5199278254252615</v>
      </c>
      <c r="AF32" s="60">
        <v>1.4122018668453284</v>
      </c>
      <c r="AG32" s="60">
        <v>1.4122018668453284</v>
      </c>
      <c r="AH32" s="60">
        <f>'Information Technology'!S488</f>
        <v>0.21302845994122291</v>
      </c>
      <c r="AI32" s="63">
        <v>1.4551121487046336E-2</v>
      </c>
      <c r="AJ32" s="60">
        <f t="shared" si="29"/>
        <v>-0.56938471955573244</v>
      </c>
      <c r="AK32" s="60">
        <f t="shared" si="30"/>
        <v>-0.56938471955573244</v>
      </c>
      <c r="AL32" s="60">
        <f t="shared" si="31"/>
        <v>4.3962345970128656</v>
      </c>
      <c r="AM32" s="60">
        <v>1.3</v>
      </c>
      <c r="AN32" s="60">
        <v>1.3</v>
      </c>
      <c r="AO32" s="60">
        <f>'Information Technology'!S489</f>
        <v>4.0370536318924392E-2</v>
      </c>
      <c r="AP32" s="60">
        <v>0.16216563263504177</v>
      </c>
      <c r="AQ32" s="60">
        <f t="shared" si="45"/>
        <v>0.62292820187012399</v>
      </c>
      <c r="AR32" s="60">
        <f t="shared" si="46"/>
        <v>0.90609412819013402</v>
      </c>
      <c r="AS32" s="60">
        <f t="shared" si="47"/>
        <v>5.836186570562556</v>
      </c>
      <c r="AT32" s="60">
        <v>4.8927093364182932</v>
      </c>
      <c r="AU32" s="60">
        <v>4.8927093364182932</v>
      </c>
      <c r="AV32" s="60">
        <f>'Information Technology'!S490</f>
        <v>1.6491318181818186</v>
      </c>
      <c r="AW32" s="60">
        <v>1.5014900000000002</v>
      </c>
      <c r="AX32" s="60" t="e">
        <f t="shared" si="48"/>
        <v>#DIV/0!</v>
      </c>
      <c r="AY32" s="60" t="e">
        <f t="shared" si="49"/>
        <v>#DIV/0!</v>
      </c>
      <c r="AZ32" s="60" t="e">
        <f t="shared" si="50"/>
        <v>#DIV/0!</v>
      </c>
      <c r="BA32" s="60">
        <v>3.5526045305244587</v>
      </c>
      <c r="BB32" s="60">
        <v>3.5526045305244587</v>
      </c>
      <c r="BC32" s="60">
        <f>'Information Technology'!S491</f>
        <v>0</v>
      </c>
      <c r="BD32" s="60">
        <v>0.43861185098944089</v>
      </c>
      <c r="BE32" s="60">
        <v>3.2</v>
      </c>
      <c r="BF32" s="60">
        <f>'Information Technology'!S492</f>
        <v>45.095730000000003</v>
      </c>
      <c r="BG32" s="63">
        <v>37.365760000000002</v>
      </c>
      <c r="BH32" s="63">
        <f t="shared" si="35"/>
        <v>-7.7144819477613966E-2</v>
      </c>
      <c r="BI32" s="63">
        <f t="shared" si="36"/>
        <v>-7.7144819477613966E-2</v>
      </c>
      <c r="BJ32" s="63">
        <f t="shared" si="37"/>
        <v>4.9228551805223857</v>
      </c>
      <c r="BK32" s="63">
        <v>2.5198754736936477</v>
      </c>
      <c r="BL32" s="63">
        <v>2.5198754736936477</v>
      </c>
      <c r="BM32" s="63">
        <f t="shared" si="19"/>
        <v>2.7638659766288711</v>
      </c>
    </row>
    <row r="33" spans="1:65">
      <c r="A33" s="50" t="s">
        <v>68</v>
      </c>
      <c r="B33" s="50" t="s">
        <v>69</v>
      </c>
      <c r="C33" s="51">
        <v>1027767</v>
      </c>
      <c r="D33" s="52" t="s">
        <v>70</v>
      </c>
      <c r="E33" s="68" t="str" cm="1">
        <f t="array" ref="E33">_xll.ciqfunctions.udf.CIQ(B33,"iq_industry")</f>
        <v>Semiconductors and Semiconductor Equipment</v>
      </c>
      <c r="F33" s="60">
        <f>'Information Technology'!S34</f>
        <v>46.06542821701192</v>
      </c>
      <c r="G33" s="62">
        <v>84.357705339208451</v>
      </c>
      <c r="H33" s="62">
        <f t="shared" si="20"/>
        <v>-0.79223159407198041</v>
      </c>
      <c r="I33" s="62">
        <f t="shared" si="21"/>
        <v>-0.90479326852460418</v>
      </c>
      <c r="J33" s="62">
        <f t="shared" si="22"/>
        <v>3.8201647574005437</v>
      </c>
      <c r="K33">
        <v>1.1499999999999999</v>
      </c>
      <c r="L33" s="109">
        <v>1.1499999999999999</v>
      </c>
      <c r="M33" s="60">
        <f>'Information Technology'!S35</f>
        <v>68.546249346899998</v>
      </c>
      <c r="N33" s="63">
        <v>1078.8713</v>
      </c>
      <c r="R33">
        <v>4.96</v>
      </c>
      <c r="S33" s="49">
        <v>4.96</v>
      </c>
      <c r="T33" s="60" t="e">
        <f>'Information Technology'!S36</f>
        <v>#DIV/0!</v>
      </c>
      <c r="U33" s="63">
        <v>1335.2113019780636</v>
      </c>
      <c r="Y33" s="63">
        <v>1.1100000000000001</v>
      </c>
      <c r="Z33" s="63">
        <v>1.1100000000000001</v>
      </c>
      <c r="AA33" s="60">
        <f>'Information Technology'!S37</f>
        <v>5.3411309618613956E-3</v>
      </c>
      <c r="AB33" s="63">
        <v>3.7668934631680528E-3</v>
      </c>
      <c r="AC33" s="60">
        <f t="shared" si="26"/>
        <v>0.30906973329607618</v>
      </c>
      <c r="AD33" s="60">
        <f t="shared" si="27"/>
        <v>0.44573796567637214</v>
      </c>
      <c r="AE33" s="60">
        <f t="shared" si="28"/>
        <v>4.9785892680658312</v>
      </c>
      <c r="AF33" s="60">
        <v>3.3812155749702626</v>
      </c>
      <c r="AG33" s="60">
        <v>3.3812155749702626</v>
      </c>
      <c r="AH33" s="60">
        <f>'Information Technology'!S38</f>
        <v>0.288381520697578</v>
      </c>
      <c r="AI33" s="63">
        <v>0.27992248024626332</v>
      </c>
      <c r="AJ33" s="60">
        <f t="shared" si="29"/>
        <v>0.76082453915570347</v>
      </c>
      <c r="AK33" s="60">
        <f t="shared" si="30"/>
        <v>0.76082453915570347</v>
      </c>
      <c r="AL33" s="60">
        <f t="shared" si="31"/>
        <v>5.7264438557243018</v>
      </c>
      <c r="AM33" s="60">
        <v>3.724310475754689</v>
      </c>
      <c r="AN33" s="60">
        <v>3.724310475754689</v>
      </c>
      <c r="AO33" s="60">
        <f>'Information Technology'!S39</f>
        <v>8.5634742291414295E-2</v>
      </c>
      <c r="AP33" s="60">
        <v>0.11770091487888411</v>
      </c>
      <c r="AQ33" s="60">
        <f t="shared" si="45"/>
        <v>0.24578554933346314</v>
      </c>
      <c r="AR33" s="60">
        <f t="shared" si="46"/>
        <v>0.52895147565347322</v>
      </c>
      <c r="AS33" s="60">
        <f t="shared" si="47"/>
        <v>5.4590439180258956</v>
      </c>
      <c r="AT33" s="60">
        <v>3.8730918665342093</v>
      </c>
      <c r="AU33" s="60">
        <v>3.8730918665342093</v>
      </c>
      <c r="AV33" s="60">
        <f>'Information Technology'!S40</f>
        <v>1.9072209090909094</v>
      </c>
      <c r="AW33" s="60">
        <v>1.6889499999999997</v>
      </c>
      <c r="AX33" s="60" t="e">
        <f t="shared" si="48"/>
        <v>#DIV/0!</v>
      </c>
      <c r="AY33" s="60" t="e">
        <f t="shared" si="49"/>
        <v>#DIV/0!</v>
      </c>
      <c r="AZ33" s="60" t="e">
        <f t="shared" si="50"/>
        <v>#DIV/0!</v>
      </c>
      <c r="BA33" s="60">
        <v>3.7406110276162341</v>
      </c>
      <c r="BB33" s="60">
        <v>3.7406110276162341</v>
      </c>
      <c r="BC33" s="60">
        <f>'Information Technology'!S41</f>
        <v>-3.8749275419124794E-4</v>
      </c>
      <c r="BD33" s="60">
        <v>0.18126585396313982</v>
      </c>
      <c r="BE33" s="60">
        <v>5</v>
      </c>
      <c r="BF33" s="60">
        <f>'Information Technology'!S42</f>
        <v>28.955410000000001</v>
      </c>
      <c r="BG33" s="63">
        <v>84.850960000000001</v>
      </c>
      <c r="BK33" s="63">
        <v>1.1499999999999999</v>
      </c>
      <c r="BL33" s="63">
        <v>1.1499999999999999</v>
      </c>
      <c r="BM33" s="63">
        <f t="shared" si="19"/>
        <v>2.7436723170197896</v>
      </c>
    </row>
    <row r="34" spans="1:65" ht="22.5">
      <c r="A34" s="50" t="s">
        <v>179</v>
      </c>
      <c r="B34" s="50" t="s">
        <v>180</v>
      </c>
      <c r="C34" s="51">
        <v>21466.2</v>
      </c>
      <c r="D34" s="52" t="s">
        <v>70</v>
      </c>
      <c r="E34" s="68" t="str" cm="1">
        <f t="array" ref="E34">_xll.ciqfunctions.udf.CIQ(B34,"iq_industry")</f>
        <v>Semiconductors and Semiconductor Equipment</v>
      </c>
      <c r="F34" s="60">
        <f>'Information Technology'!S799</f>
        <v>36.747690896656614</v>
      </c>
      <c r="G34" s="62">
        <v>57.287896595825316</v>
      </c>
      <c r="H34" s="62">
        <f t="shared" si="20"/>
        <v>-0.38580141297623133</v>
      </c>
      <c r="I34" s="62">
        <f t="shared" si="21"/>
        <v>-0.4983630874288551</v>
      </c>
      <c r="J34" s="62">
        <f t="shared" si="22"/>
        <v>4.2265949384962935</v>
      </c>
      <c r="K34" s="62">
        <v>2.2334398978743648</v>
      </c>
      <c r="L34" s="108">
        <v>2.2334398978743648</v>
      </c>
      <c r="M34" s="60">
        <f>'Information Technology'!S800</f>
        <v>61.997059999999998</v>
      </c>
      <c r="N34" s="63">
        <v>21.680223059999999</v>
      </c>
      <c r="O34" s="63">
        <f>(N34-$N$266)/$N$267</f>
        <v>-0.29596741891972395</v>
      </c>
      <c r="P34" s="63">
        <f>O34-$O$70</f>
        <v>1.5942985103005514E-2</v>
      </c>
      <c r="Q34" s="63">
        <f>P34+5-$P$7</f>
        <v>4.9917241382149085</v>
      </c>
      <c r="R34" s="62">
        <f>Q34+1-$Q$70</f>
        <v>1.0159429851030053</v>
      </c>
      <c r="S34" s="63">
        <v>1.1472276771202026</v>
      </c>
      <c r="T34" s="60" t="e">
        <f>'Information Technology'!S801</f>
        <v>#DIV/0!</v>
      </c>
      <c r="U34" s="63">
        <v>42.277244440848847</v>
      </c>
      <c r="V34" s="63" t="e">
        <f>-(U34-$U$266)/$U$267</f>
        <v>#DIV/0!</v>
      </c>
      <c r="W34" s="63" t="e">
        <f>V34-$V$42</f>
        <v>#DIV/0!</v>
      </c>
      <c r="X34" s="63" t="e">
        <f>W34+5-$W$70</f>
        <v>#DIV/0!</v>
      </c>
      <c r="Y34" s="63">
        <v>4.1197359500126689</v>
      </c>
      <c r="Z34" s="63">
        <v>4.1197359500126689</v>
      </c>
      <c r="AA34" s="60">
        <f>'Information Technology'!S802</f>
        <v>3.3688449278966637E-2</v>
      </c>
      <c r="AB34" s="63">
        <v>2.1696124219595658E-2</v>
      </c>
      <c r="AC34" s="60">
        <f t="shared" si="26"/>
        <v>0.14961273743578904</v>
      </c>
      <c r="AD34" s="60">
        <f t="shared" si="27"/>
        <v>0.28628096981608497</v>
      </c>
      <c r="AE34" s="60">
        <f t="shared" si="28"/>
        <v>4.8191322722055441</v>
      </c>
      <c r="AF34" s="60">
        <v>2.6966735979997436</v>
      </c>
      <c r="AG34" s="60">
        <v>2.6966735979997436</v>
      </c>
      <c r="AH34" s="60">
        <f>'Information Technology'!S803</f>
        <v>-6.0558008797203099E-2</v>
      </c>
      <c r="AI34" s="63">
        <v>0.21291620780871323</v>
      </c>
      <c r="AJ34" s="60">
        <f t="shared" si="29"/>
        <v>0.42494667952186216</v>
      </c>
      <c r="AK34" s="60">
        <f t="shared" si="30"/>
        <v>0.42494667952186216</v>
      </c>
      <c r="AL34" s="60">
        <f t="shared" si="31"/>
        <v>5.3905659960904604</v>
      </c>
      <c r="AM34" s="60">
        <v>2.9248177397130455</v>
      </c>
      <c r="AN34" s="60">
        <v>2.9248177397130455</v>
      </c>
      <c r="AO34" s="60">
        <f>'Information Technology'!S804</f>
        <v>3.382563618005037E-2</v>
      </c>
      <c r="AP34" s="60">
        <v>7.1199254805813877E-2</v>
      </c>
      <c r="AQ34" s="60">
        <f t="shared" si="45"/>
        <v>-0.14863412343927448</v>
      </c>
      <c r="AR34" s="60">
        <f t="shared" si="46"/>
        <v>0.1345318028807356</v>
      </c>
      <c r="AS34" s="60">
        <f t="shared" si="47"/>
        <v>5.0646242452531576</v>
      </c>
      <c r="AT34" s="60">
        <v>2.8067654085742362</v>
      </c>
      <c r="AU34" s="60">
        <v>2.8067654085742362</v>
      </c>
      <c r="AV34" s="60">
        <f>'Information Technology'!S805</f>
        <v>2.9446781818181815</v>
      </c>
      <c r="AW34" s="60">
        <v>1.6730272727272728</v>
      </c>
      <c r="AX34" s="60" t="e">
        <f t="shared" si="48"/>
        <v>#DIV/0!</v>
      </c>
      <c r="AY34" s="60" t="e">
        <f t="shared" si="49"/>
        <v>#DIV/0!</v>
      </c>
      <c r="AZ34" s="60" t="e">
        <f t="shared" si="50"/>
        <v>#DIV/0!</v>
      </c>
      <c r="BA34" s="60">
        <v>3.7246418812453124</v>
      </c>
      <c r="BB34" s="60">
        <v>3.7246418812453124</v>
      </c>
      <c r="BC34" s="60">
        <f>'Information Technology'!S806</f>
        <v>9.3422549947234333E-3</v>
      </c>
      <c r="BD34" s="60">
        <v>0</v>
      </c>
      <c r="BE34" s="60">
        <v>5</v>
      </c>
      <c r="BF34" s="60">
        <f>'Information Technology'!S807</f>
        <v>153.96696</v>
      </c>
      <c r="BG34" s="63">
        <v>35.581910000000001</v>
      </c>
      <c r="BH34" s="63">
        <f t="shared" ref="BH34:BH48" si="51">-(BG34-$BG$266)/$BG$267</f>
        <v>-2.2048153771920771E-2</v>
      </c>
      <c r="BI34" s="63">
        <f t="shared" ref="BI34:BI48" si="52">BH34-$BH$16</f>
        <v>-2.2048153771920771E-2</v>
      </c>
      <c r="BJ34" s="63">
        <f t="shared" ref="BJ34:BJ48" si="53">BI34+5-$BI$70</f>
        <v>4.9779518462280796</v>
      </c>
      <c r="BK34" s="63">
        <v>2.660176733573711</v>
      </c>
      <c r="BL34" s="63">
        <v>2.660176733573711</v>
      </c>
      <c r="BM34" s="63">
        <f t="shared" ref="BM34:BM65" si="54">0.35*(L34)+0.2*(S34)+0.08*(Z34)+0.07*(AG34)+0.08*(AN34)+0.02*(AU34)+0.05*(BB34)+0.075*(BE34)+0.075*(BL34)</f>
        <v>2.5803616039698865</v>
      </c>
    </row>
    <row r="35" spans="1:65">
      <c r="A35" s="50" t="s">
        <v>83</v>
      </c>
      <c r="B35" s="50" t="s">
        <v>84</v>
      </c>
      <c r="C35" s="51">
        <v>155427.6</v>
      </c>
      <c r="D35" s="52" t="s">
        <v>70</v>
      </c>
      <c r="E35" s="68" t="str" cm="1">
        <f t="array" ref="E35">_xll.ciqfunctions.udf.CIQ(B35,"iq_industry")</f>
        <v>Semiconductors and Semiconductor Equipment</v>
      </c>
      <c r="F35" s="60">
        <f>'Information Technology'!S124</f>
        <v>12.406667893580385</v>
      </c>
      <c r="G35" s="62">
        <v>62.225305132551149</v>
      </c>
      <c r="H35" s="62">
        <f t="shared" si="20"/>
        <v>-0.45993240757425163</v>
      </c>
      <c r="I35" s="62">
        <f t="shared" si="21"/>
        <v>-0.57249408202687535</v>
      </c>
      <c r="J35" s="62">
        <f t="shared" si="22"/>
        <v>4.1524639438982733</v>
      </c>
      <c r="K35" s="62">
        <v>1.9682646847887044</v>
      </c>
      <c r="L35" s="108">
        <v>1.9682646847887044</v>
      </c>
      <c r="M35" s="60">
        <f>'Information Technology'!S125</f>
        <v>142.51562155650601</v>
      </c>
      <c r="N35" s="63">
        <v>165.009649009366</v>
      </c>
      <c r="O35" s="63">
        <f>(N35-$N$266)/$N$267</f>
        <v>1.9865905226354359E-2</v>
      </c>
      <c r="P35" s="63">
        <f>O35-$O$70</f>
        <v>0.3317763092490838</v>
      </c>
      <c r="Q35" s="63">
        <f>P35+5-$P$7</f>
        <v>5.3075574623609869</v>
      </c>
      <c r="R35" s="62">
        <f>Q35+1-$Q$70</f>
        <v>1.3317763092490837</v>
      </c>
      <c r="S35" s="63">
        <v>3.8838114117626059</v>
      </c>
      <c r="T35" s="60">
        <f>'Information Technology'!S126</f>
        <v>11.772948751630482</v>
      </c>
      <c r="U35" s="63" t="e">
        <v>#DIV/0!</v>
      </c>
      <c r="Z35" s="63">
        <v>1</v>
      </c>
      <c r="AA35" s="60">
        <f>'Information Technology'!S127</f>
        <v>5.1722440913954948E-3</v>
      </c>
      <c r="AB35" s="63">
        <v>9.9541350787315075E-2</v>
      </c>
      <c r="AC35" s="60"/>
      <c r="AD35" s="60"/>
      <c r="AE35" s="60"/>
      <c r="AF35" s="60">
        <v>1.17</v>
      </c>
      <c r="AG35" s="60">
        <v>1.17</v>
      </c>
      <c r="AH35" s="60">
        <f>'Information Technology'!S128</f>
        <v>8.8741935584937287E-2</v>
      </c>
      <c r="AI35" s="63">
        <v>9.7806559803485182E-2</v>
      </c>
      <c r="AJ35" s="60">
        <f t="shared" si="29"/>
        <v>-0.15205575306733485</v>
      </c>
      <c r="AK35" s="60">
        <f t="shared" si="30"/>
        <v>-0.15205575306733485</v>
      </c>
      <c r="AL35" s="60">
        <f t="shared" si="31"/>
        <v>4.8135635635012637</v>
      </c>
      <c r="AM35" s="60">
        <v>1.5513742682192122</v>
      </c>
      <c r="AN35" s="60">
        <v>1.5513742682192122</v>
      </c>
      <c r="AO35" s="60">
        <f>'Information Technology'!S129</f>
        <v>2.6316268994075191E-2</v>
      </c>
      <c r="AP35" s="60">
        <v>7.1571114940929631E-2</v>
      </c>
      <c r="AQ35" s="60">
        <f t="shared" si="45"/>
        <v>-0.14548006501256211</v>
      </c>
      <c r="AR35" s="60">
        <f t="shared" si="46"/>
        <v>0.13768586130744798</v>
      </c>
      <c r="AS35" s="60">
        <f t="shared" si="47"/>
        <v>5.0677783036798703</v>
      </c>
      <c r="AT35" s="60">
        <v>2.81529250846941</v>
      </c>
      <c r="AU35" s="60">
        <v>2.81529250846941</v>
      </c>
      <c r="AV35" s="60">
        <f>'Information Technology'!S130</f>
        <v>-0.5141327272727273</v>
      </c>
      <c r="AW35" s="60">
        <v>2.1569136363636363</v>
      </c>
      <c r="AX35" s="60" t="e">
        <f t="shared" si="48"/>
        <v>#DIV/0!</v>
      </c>
      <c r="AY35" s="60" t="e">
        <f t="shared" si="49"/>
        <v>#DIV/0!</v>
      </c>
      <c r="AZ35" s="60" t="e">
        <f t="shared" si="50"/>
        <v>#DIV/0!</v>
      </c>
      <c r="BA35" s="60">
        <v>4.2099389057718772</v>
      </c>
      <c r="BB35" s="60">
        <v>4.2099389057718772</v>
      </c>
      <c r="BC35" s="60">
        <f>'Information Technology'!S131</f>
        <v>0.10875389868486411</v>
      </c>
      <c r="BD35" s="60">
        <v>-3.4398185865474121E-2</v>
      </c>
      <c r="BE35" s="60">
        <v>5</v>
      </c>
      <c r="BF35" s="60">
        <f>'Information Technology'!S132</f>
        <v>12.820029999999999</v>
      </c>
      <c r="BG35" s="63">
        <v>47.60042</v>
      </c>
      <c r="BH35" s="63">
        <f t="shared" si="51"/>
        <v>-0.3932563987199435</v>
      </c>
      <c r="BI35" s="63">
        <f t="shared" si="52"/>
        <v>-0.3932563987199435</v>
      </c>
      <c r="BJ35" s="63">
        <f t="shared" si="53"/>
        <v>4.6067436012800567</v>
      </c>
      <c r="BK35" s="63">
        <v>1.7149111031220823</v>
      </c>
      <c r="BL35" s="63">
        <v>1.7149111031220823</v>
      </c>
      <c r="BM35" s="63">
        <f t="shared" si="54"/>
        <v>2.5220859916782432</v>
      </c>
    </row>
    <row r="36" spans="1:65">
      <c r="A36" s="50" t="s">
        <v>105</v>
      </c>
      <c r="B36" s="50" t="s">
        <v>106</v>
      </c>
      <c r="C36" s="51">
        <v>75444.399999999994</v>
      </c>
      <c r="D36" s="52" t="s">
        <v>70</v>
      </c>
      <c r="E36" s="68" t="str" cm="1">
        <f t="array" ref="E36">_xll.ciqfunctions.udf.CIQ(B36,"iq_industry")</f>
        <v>Semiconductors and Semiconductor Equipment</v>
      </c>
      <c r="F36" s="60">
        <f>'Information Technology'!S274</f>
        <v>19.486266934065871</v>
      </c>
      <c r="G36" s="62">
        <v>75.233068154027677</v>
      </c>
      <c r="H36" s="62">
        <f t="shared" si="20"/>
        <v>-0.65523291858216814</v>
      </c>
      <c r="I36" s="62">
        <f t="shared" si="21"/>
        <v>-0.76779459303479192</v>
      </c>
      <c r="J36" s="62">
        <f t="shared" si="22"/>
        <v>3.9571634328903555</v>
      </c>
      <c r="K36" s="62">
        <v>1.2696519803040172</v>
      </c>
      <c r="L36" s="108">
        <v>1.2696519803040172</v>
      </c>
      <c r="M36" s="60">
        <f>'Information Technology'!S275</f>
        <v>138.83261821784998</v>
      </c>
      <c r="N36" s="63">
        <v>74.054849999999988</v>
      </c>
      <c r="O36" s="63">
        <f>(N36-$N$266)/$N$267</f>
        <v>-0.1805573946500767</v>
      </c>
      <c r="P36" s="63">
        <f>O36-$O$70</f>
        <v>0.13135300937265276</v>
      </c>
      <c r="Q36" s="63">
        <f>P36+5-$P$7</f>
        <v>5.1071341624845559</v>
      </c>
      <c r="R36" s="62">
        <f>Q36+1-$Q$70</f>
        <v>1.1313530093726527</v>
      </c>
      <c r="S36" s="63">
        <v>2.1472146040377851</v>
      </c>
      <c r="T36" s="60">
        <f>'Information Technology'!S276</f>
        <v>12.87116565456199</v>
      </c>
      <c r="U36" s="63" t="e">
        <v>#DIV/0!</v>
      </c>
      <c r="Z36" s="63">
        <v>1</v>
      </c>
      <c r="AA36" s="60">
        <f>'Information Technology'!S277</f>
        <v>-6.5379986036860904E-3</v>
      </c>
      <c r="AB36" s="63">
        <v>-7.019650246781528E-3</v>
      </c>
      <c r="AC36" s="60">
        <f t="shared" ref="AC36:AC51" si="55">-(AB36-$AB$266)/$AB$267</f>
        <v>0.40500189452879515</v>
      </c>
      <c r="AD36" s="60">
        <f t="shared" ref="AD36:AD51" si="56">AC36-$AC$9</f>
        <v>0.54167012690909111</v>
      </c>
      <c r="AE36" s="60">
        <f t="shared" ref="AE36:AE51" si="57">AD36+5-$AD$69</f>
        <v>5.0745214292985503</v>
      </c>
      <c r="AF36" s="60">
        <v>3.7930481882150167</v>
      </c>
      <c r="AG36" s="60">
        <v>3.7930481882150167</v>
      </c>
      <c r="AH36" s="60">
        <f>'Information Technology'!S278</f>
        <v>0.3840416289356175</v>
      </c>
      <c r="AI36" s="63">
        <v>0.20042042562229531</v>
      </c>
      <c r="AJ36" s="60">
        <f t="shared" si="29"/>
        <v>0.36230990802951579</v>
      </c>
      <c r="AK36" s="60">
        <f t="shared" si="30"/>
        <v>0.36230990802951579</v>
      </c>
      <c r="AL36" s="60">
        <f t="shared" si="31"/>
        <v>5.3279292245981145</v>
      </c>
      <c r="AM36" s="60">
        <v>2.7757229352152928</v>
      </c>
      <c r="AN36" s="60">
        <v>2.7757229352152928</v>
      </c>
      <c r="AO36" s="60">
        <f>'Information Technology'!S279</f>
        <v>0.29989722556537901</v>
      </c>
      <c r="AP36" s="60">
        <v>1.5829357332642097E-2</v>
      </c>
      <c r="AQ36" s="60">
        <f t="shared" si="45"/>
        <v>-0.61827277308128381</v>
      </c>
      <c r="AR36" s="60">
        <f t="shared" si="46"/>
        <v>-0.33510684676127372</v>
      </c>
      <c r="AS36" s="60">
        <f t="shared" si="47"/>
        <v>4.5949855956111483</v>
      </c>
      <c r="AT36" s="60">
        <v>1.5370819917371152</v>
      </c>
      <c r="AU36" s="60">
        <v>1.5370819917371152</v>
      </c>
      <c r="AV36" s="60">
        <f>'Information Technology'!S280</f>
        <v>1.7790100000000002</v>
      </c>
      <c r="AW36" s="60">
        <v>0.93997090909090897</v>
      </c>
      <c r="AX36" s="60" t="e">
        <f t="shared" si="48"/>
        <v>#DIV/0!</v>
      </c>
      <c r="AY36" s="60" t="e">
        <f t="shared" si="49"/>
        <v>#DIV/0!</v>
      </c>
      <c r="AZ36" s="60" t="e">
        <f t="shared" si="50"/>
        <v>#DIV/0!</v>
      </c>
      <c r="BA36" s="60">
        <v>2.9894484581251382</v>
      </c>
      <c r="BB36" s="60">
        <v>2.9894484581251382</v>
      </c>
      <c r="BC36" s="60">
        <f>'Information Technology'!S281</f>
        <v>0.2046368773500197</v>
      </c>
      <c r="BD36" s="60">
        <v>-0.28192870678319054</v>
      </c>
      <c r="BE36" s="60">
        <v>5</v>
      </c>
      <c r="BF36" s="60">
        <f>'Information Technology'!S282</f>
        <v>15.816700000000001</v>
      </c>
      <c r="BG36" s="63">
        <v>33.549160000000001</v>
      </c>
      <c r="BH36" s="63">
        <f t="shared" si="51"/>
        <v>4.0736131461281459E-2</v>
      </c>
      <c r="BI36" s="63">
        <f t="shared" si="52"/>
        <v>4.0736131461281459E-2</v>
      </c>
      <c r="BJ36" s="63">
        <f t="shared" si="53"/>
        <v>5.0407361314612817</v>
      </c>
      <c r="BK36" s="63">
        <v>2.8200541818015319</v>
      </c>
      <c r="BL36" s="63">
        <v>2.8200541818015319</v>
      </c>
      <c r="BM36" s="63">
        <f t="shared" si="54"/>
        <v>2.2081104482823517</v>
      </c>
    </row>
    <row r="37" spans="1:65">
      <c r="A37" s="50" t="s">
        <v>189</v>
      </c>
      <c r="B37" s="50" t="s">
        <v>190</v>
      </c>
      <c r="C37" s="51">
        <v>17354.8</v>
      </c>
      <c r="D37" s="52" t="s">
        <v>70</v>
      </c>
      <c r="E37" s="68" t="str" cm="1">
        <f t="array" ref="E37">_xll.ciqfunctions.udf.CIQ(B37,"iq_industry")</f>
        <v>Semiconductors and Semiconductor Equipment</v>
      </c>
      <c r="F37" s="60">
        <f>'Information Technology'!S874</f>
        <v>25.272666306802826</v>
      </c>
      <c r="G37" s="62">
        <v>-48.691719453796914</v>
      </c>
      <c r="K37" s="62">
        <v>1</v>
      </c>
      <c r="L37" s="108">
        <v>1</v>
      </c>
      <c r="M37" s="60">
        <f>'Information Technology'!S875</f>
        <v>28.516892562900001</v>
      </c>
      <c r="N37" s="63">
        <v>16.202048607399998</v>
      </c>
      <c r="O37" s="63">
        <f>(N37-$N$266)/$N$267</f>
        <v>-0.30803884135204435</v>
      </c>
      <c r="P37" s="63">
        <f>O37-$O$70</f>
        <v>3.8715626706851136E-3</v>
      </c>
      <c r="Q37" s="63">
        <f>P37+5-$P$7</f>
        <v>4.9796527157825885</v>
      </c>
      <c r="R37" s="62">
        <f>Q37+1-$Q$70</f>
        <v>1.0038715626706853</v>
      </c>
      <c r="S37" s="63">
        <v>1.0426330832102622</v>
      </c>
      <c r="T37" s="60" t="e">
        <f>'Information Technology'!S876</f>
        <v>#DIV/0!</v>
      </c>
      <c r="U37" s="63" t="e">
        <v>#DIV/0!</v>
      </c>
      <c r="Z37" s="63">
        <v>1</v>
      </c>
      <c r="AA37" s="60">
        <f>'Information Technology'!S877</f>
        <v>4.2056464751293765E-2</v>
      </c>
      <c r="AB37" s="63">
        <v>3.665912424300144E-3</v>
      </c>
      <c r="AC37" s="60">
        <f t="shared" si="55"/>
        <v>0.30996782721407407</v>
      </c>
      <c r="AD37" s="60">
        <f t="shared" si="56"/>
        <v>0.44663605959437003</v>
      </c>
      <c r="AE37" s="60">
        <f t="shared" si="57"/>
        <v>4.9794873619838294</v>
      </c>
      <c r="AF37" s="60">
        <v>3.3850710532627923</v>
      </c>
      <c r="AG37" s="60">
        <v>3.3850710532627923</v>
      </c>
      <c r="AH37" s="60">
        <f>'Information Technology'!S878</f>
        <v>-0.25615176179831195</v>
      </c>
      <c r="AI37" s="63">
        <v>6.0421273445024057E-2</v>
      </c>
      <c r="AJ37" s="60">
        <f t="shared" si="29"/>
        <v>-0.33945447720291783</v>
      </c>
      <c r="AK37" s="60">
        <f t="shared" si="30"/>
        <v>-0.33945447720291783</v>
      </c>
      <c r="AL37" s="60">
        <f t="shared" si="31"/>
        <v>4.6261648393656802</v>
      </c>
      <c r="AM37" s="60">
        <v>1.1053075972775739</v>
      </c>
      <c r="AN37" s="60">
        <v>1.1053075972775739</v>
      </c>
      <c r="AO37" s="60">
        <f>'Information Technology'!S879</f>
        <v>3.4118192239798596E-2</v>
      </c>
      <c r="AP37" s="60">
        <v>-9.972054142908398E-3</v>
      </c>
      <c r="AQ37" s="60"/>
      <c r="AR37" s="60"/>
      <c r="AS37" s="60"/>
      <c r="AT37" s="60"/>
      <c r="AU37" s="60">
        <v>1</v>
      </c>
      <c r="AV37" s="60" t="e">
        <f>'Information Technology'!S880</f>
        <v>#DIV/0!</v>
      </c>
      <c r="AW37" s="60">
        <v>-0.91468454545454558</v>
      </c>
      <c r="AX37" s="60" t="e">
        <f t="shared" si="48"/>
        <v>#DIV/0!</v>
      </c>
      <c r="AY37" s="60" t="e">
        <f t="shared" si="49"/>
        <v>#DIV/0!</v>
      </c>
      <c r="AZ37" s="60" t="e">
        <f t="shared" si="50"/>
        <v>#DIV/0!</v>
      </c>
      <c r="BA37" s="60">
        <v>1.1293861764584046</v>
      </c>
      <c r="BB37" s="60">
        <v>1.1293861764584046</v>
      </c>
      <c r="BC37" s="60">
        <f>'Information Technology'!S881</f>
        <v>0.59020170674332317</v>
      </c>
      <c r="BD37" s="60">
        <v>-0.65272664138563907</v>
      </c>
      <c r="BE37" s="60">
        <v>5</v>
      </c>
      <c r="BF37" s="60" t="str">
        <f>'Information Technology'!S882</f>
        <v>NM</v>
      </c>
      <c r="BG37" s="63">
        <v>37.305070000000001</v>
      </c>
      <c r="BH37" s="63">
        <f t="shared" si="51"/>
        <v>-7.5270325186233764E-2</v>
      </c>
      <c r="BI37" s="63">
        <f t="shared" si="52"/>
        <v>-7.5270325186233764E-2</v>
      </c>
      <c r="BJ37" s="63">
        <f t="shared" si="53"/>
        <v>4.9247296748137659</v>
      </c>
      <c r="BK37" s="63">
        <v>2.5246487917765137</v>
      </c>
      <c r="BL37" s="63">
        <v>2.5246487917765137</v>
      </c>
      <c r="BM37" s="63">
        <f t="shared" si="54"/>
        <v>1.6047241663588125</v>
      </c>
    </row>
    <row r="38" spans="1:65">
      <c r="A38" s="50" t="s">
        <v>147</v>
      </c>
      <c r="B38" s="50" t="s">
        <v>148</v>
      </c>
      <c r="C38" s="51">
        <v>31408.400000000001</v>
      </c>
      <c r="D38" s="52" t="s">
        <v>70</v>
      </c>
      <c r="E38" s="68" t="str" cm="1">
        <f t="array" ref="E38">_xll.ciqfunctions.udf.CIQ(B38,"iq_industry")</f>
        <v>Semiconductors and Semiconductor Equipment</v>
      </c>
      <c r="F38" s="60">
        <f>'Information Technology'!S574</f>
        <v>37.088793662084953</v>
      </c>
      <c r="G38" s="62">
        <v>-78.290015429050285</v>
      </c>
      <c r="K38" s="62">
        <v>1</v>
      </c>
      <c r="L38" s="108">
        <v>1</v>
      </c>
      <c r="M38" s="60">
        <f>'Information Technology'!S575</f>
        <v>2820.2091024301499</v>
      </c>
      <c r="N38" s="63">
        <v>31.220497770000001</v>
      </c>
      <c r="O38" s="63">
        <f>(N38-$N$266)/$N$267</f>
        <v>-0.27494496205179153</v>
      </c>
      <c r="P38" s="63">
        <f>O38-$O$70</f>
        <v>3.6965441970937929E-2</v>
      </c>
      <c r="Q38" s="63">
        <f>P38+5-$P$7</f>
        <v>5.0127465950828407</v>
      </c>
      <c r="R38" s="62">
        <f>Q38+1-$Q$70</f>
        <v>1.0369654419709375</v>
      </c>
      <c r="S38" s="63">
        <v>1.3293798096811003</v>
      </c>
      <c r="T38" s="60">
        <f>'Information Technology'!S576</f>
        <v>62.949528453970416</v>
      </c>
      <c r="U38" s="63" t="e">
        <v>#DIV/0!</v>
      </c>
      <c r="Z38" s="63">
        <v>1</v>
      </c>
      <c r="AA38" s="60">
        <f>'Information Technology'!S577</f>
        <v>-5.3787346187952334E-3</v>
      </c>
      <c r="AB38" s="63">
        <v>-8.5445186213997104E-3</v>
      </c>
      <c r="AC38" s="60">
        <f t="shared" si="55"/>
        <v>0.41856359906605228</v>
      </c>
      <c r="AD38" s="60">
        <f t="shared" si="56"/>
        <v>0.55523183144634825</v>
      </c>
      <c r="AE38" s="60">
        <f t="shared" si="57"/>
        <v>5.0880831338358075</v>
      </c>
      <c r="AF38" s="60">
        <v>3.8512679984211369</v>
      </c>
      <c r="AG38" s="60">
        <v>3.8512679984211369</v>
      </c>
      <c r="AH38" s="60">
        <f>'Information Technology'!S578</f>
        <v>0.34114130510456964</v>
      </c>
      <c r="AI38" s="63">
        <v>-6.8494230427347605E-2</v>
      </c>
      <c r="AJ38" s="60"/>
      <c r="AK38" s="60"/>
      <c r="AL38" s="60"/>
      <c r="AM38" s="60"/>
      <c r="AN38" s="60">
        <v>1</v>
      </c>
      <c r="AO38" s="60">
        <f>'Information Technology'!S579</f>
        <v>6.4797878128471001E-2</v>
      </c>
      <c r="AP38" s="60">
        <v>-2.1798491862761962E-2</v>
      </c>
      <c r="AQ38" s="60"/>
      <c r="AR38" s="60"/>
      <c r="AS38" s="60"/>
      <c r="AT38" s="60"/>
      <c r="AU38" s="60">
        <v>1</v>
      </c>
      <c r="AV38" s="60">
        <f>'Information Technology'!S580</f>
        <v>1.6019372727272732</v>
      </c>
      <c r="AW38" s="60" t="e">
        <v>#DIV/0!</v>
      </c>
      <c r="AX38" s="60"/>
      <c r="AY38" s="60"/>
      <c r="AZ38" s="60"/>
      <c r="BA38" s="60"/>
      <c r="BB38" s="60">
        <v>1</v>
      </c>
      <c r="BC38" s="60">
        <f>'Information Technology'!S581</f>
        <v>-6.9739253848439056E-3</v>
      </c>
      <c r="BD38" s="60">
        <v>0.77502287470775655</v>
      </c>
      <c r="BE38" s="60">
        <v>1.4</v>
      </c>
      <c r="BF38" s="60">
        <f>'Information Technology'!S582</f>
        <v>24.810970000000001</v>
      </c>
      <c r="BG38" s="63">
        <v>10.876239999999999</v>
      </c>
      <c r="BH38" s="63">
        <f t="shared" si="51"/>
        <v>0.74102051289017112</v>
      </c>
      <c r="BI38" s="63">
        <f t="shared" si="52"/>
        <v>0.74102051289017112</v>
      </c>
      <c r="BJ38" s="63">
        <f t="shared" si="53"/>
        <v>5.741020512890171</v>
      </c>
      <c r="BK38" s="63">
        <v>4.6032978632545012</v>
      </c>
      <c r="BL38" s="63">
        <v>4.6032978632545012</v>
      </c>
      <c r="BM38" s="63">
        <f t="shared" si="54"/>
        <v>1.5657120615697873</v>
      </c>
    </row>
    <row r="39" spans="1:65">
      <c r="A39" s="50" t="s">
        <v>73</v>
      </c>
      <c r="B39" s="50" t="s">
        <v>74</v>
      </c>
      <c r="C39" s="51">
        <v>298674.2</v>
      </c>
      <c r="D39" s="52" t="s">
        <v>67</v>
      </c>
      <c r="E39" s="68" t="str" cm="1">
        <f t="array" ref="E39">_xll.ciqfunctions.udf.CIQ(B39,"iq_industry")</f>
        <v>Software</v>
      </c>
      <c r="F39" s="60">
        <f>'Information Technology'!S64</f>
        <v>29.822239746116413</v>
      </c>
      <c r="G39" s="62">
        <v>16.389587350019312</v>
      </c>
      <c r="H39" s="62">
        <f t="shared" ref="H39:H63" si="58">-(G39-$G$266)/$G$267</f>
        <v>0.22825195514540325</v>
      </c>
      <c r="I39" s="62">
        <f t="shared" ref="I39:I63" si="59">H39-$H$3</f>
        <v>0.11569028069277949</v>
      </c>
      <c r="J39" s="62">
        <f t="shared" ref="J39:J63" si="60">I39+5-$I$66</f>
        <v>4.8406483066179273</v>
      </c>
      <c r="K39" s="62">
        <v>4.4299804086362498</v>
      </c>
      <c r="L39" s="108">
        <v>4.4299804086362498</v>
      </c>
      <c r="M39" s="60">
        <f>'Information Technology'!S65</f>
        <v>54.024422217850002</v>
      </c>
      <c r="N39" s="63">
        <v>291.90791295359998</v>
      </c>
      <c r="R39">
        <v>4.91</v>
      </c>
      <c r="S39" s="49">
        <v>4.91</v>
      </c>
      <c r="T39" s="60">
        <f>'Information Technology'!S66</f>
        <v>47.240681660639545</v>
      </c>
      <c r="U39" s="63">
        <v>32.85032439592969</v>
      </c>
      <c r="V39" s="63" t="e">
        <f>-(U39-$U$266)/$U$267</f>
        <v>#DIV/0!</v>
      </c>
      <c r="W39" s="63" t="e">
        <f>V39-$V$42</f>
        <v>#DIV/0!</v>
      </c>
      <c r="X39" s="63" t="e">
        <f>W39+5-$W$70</f>
        <v>#DIV/0!</v>
      </c>
      <c r="Y39" s="63">
        <v>4.3804915157308217</v>
      </c>
      <c r="Z39" s="63">
        <v>4.3804915157308217</v>
      </c>
      <c r="AA39" s="60">
        <f>'Information Technology'!S67</f>
        <v>7.1548052162562215E-4</v>
      </c>
      <c r="AB39" s="63">
        <v>-3.863161601862386E-2</v>
      </c>
      <c r="AC39" s="60">
        <f t="shared" si="55"/>
        <v>0.6861488753276842</v>
      </c>
      <c r="AD39" s="60">
        <f t="shared" si="56"/>
        <v>0.82281710770798011</v>
      </c>
      <c r="AE39" s="60">
        <f t="shared" si="57"/>
        <v>5.3556684100974392</v>
      </c>
      <c r="AF39" s="60">
        <v>4.99</v>
      </c>
      <c r="AG39" s="60">
        <v>4.99</v>
      </c>
      <c r="AH39" s="60">
        <f>'Information Technology'!S68</f>
        <v>0.14134033044809072</v>
      </c>
      <c r="AI39" s="63">
        <v>0.21138319290582372</v>
      </c>
      <c r="AJ39" s="60">
        <f t="shared" ref="AJ39:AJ48" si="61">(AI39-$AI$266)/$AI$267</f>
        <v>0.41726223826527381</v>
      </c>
      <c r="AK39" s="60">
        <f t="shared" ref="AK39:AK48" si="62">AJ39-$AJ$58</f>
        <v>0.41726223826527381</v>
      </c>
      <c r="AL39" s="60">
        <f t="shared" ref="AL39:AL48" si="63">AK39+5-$AK$3</f>
        <v>5.3828815548338724</v>
      </c>
      <c r="AM39" s="60">
        <v>2.9065264031781552</v>
      </c>
      <c r="AN39" s="60">
        <v>2.9065264031781552</v>
      </c>
      <c r="AO39" s="60">
        <f>'Information Technology'!S69</f>
        <v>0.31857209444870693</v>
      </c>
      <c r="AP39" s="60">
        <v>5.2842146789337088E-2</v>
      </c>
      <c r="AQ39" s="60">
        <f t="shared" ref="AQ39:AQ44" si="64">(AP39-$AP$266)/$AP$267</f>
        <v>-0.30433618924800881</v>
      </c>
      <c r="AR39" s="60">
        <f t="shared" ref="AR39:AR44" si="65">AQ39-$AQ$66</f>
        <v>-2.1170262927998729E-2</v>
      </c>
      <c r="AS39" s="60">
        <f t="shared" ref="AS39:AS44" si="66">AR39+5-$AR$8</f>
        <v>4.9089221794444233</v>
      </c>
      <c r="AT39" s="60">
        <v>2.3858197920341011</v>
      </c>
      <c r="AU39" s="60">
        <v>2.3858197920341011</v>
      </c>
      <c r="AV39" s="60">
        <f>'Information Technology'!S70</f>
        <v>0.1050118181818181</v>
      </c>
      <c r="AW39" s="60">
        <v>-0.31408454545454528</v>
      </c>
      <c r="AX39" s="60" t="e">
        <f t="shared" ref="AX39:AX49" si="67">(AW39-$AW$266)/$AW$267</f>
        <v>#DIV/0!</v>
      </c>
      <c r="AY39" s="60" t="e">
        <f t="shared" ref="AY39:AY49" si="68">AX39-$AX$67</f>
        <v>#DIV/0!</v>
      </c>
      <c r="AZ39" s="60" t="e">
        <f t="shared" ref="AZ39:AZ49" si="69">AY39+5-$AY$14</f>
        <v>#DIV/0!</v>
      </c>
      <c r="BA39" s="60">
        <v>1.7317370894708901</v>
      </c>
      <c r="BB39" s="60">
        <v>1.7317370894708901</v>
      </c>
      <c r="BC39" s="60">
        <f>'Information Technology'!S71</f>
        <v>1.5572483824669485E-2</v>
      </c>
      <c r="BD39" s="60">
        <v>0.29343795237983483</v>
      </c>
      <c r="BE39" s="60">
        <v>4.75</v>
      </c>
      <c r="BF39" s="60">
        <f>'Information Technology'!S72</f>
        <v>18.391490000000001</v>
      </c>
      <c r="BG39" s="63">
        <v>17.665710000000001</v>
      </c>
      <c r="BH39" s="63">
        <f t="shared" si="51"/>
        <v>0.53131837486913092</v>
      </c>
      <c r="BI39" s="63">
        <f t="shared" si="52"/>
        <v>0.53131837486913092</v>
      </c>
      <c r="BJ39" s="63">
        <f t="shared" si="53"/>
        <v>5.531318374869131</v>
      </c>
      <c r="BK39" s="63">
        <v>4.0693005008541361</v>
      </c>
      <c r="BL39" s="63">
        <v>4.0693005008541361</v>
      </c>
      <c r="BM39" s="63">
        <f t="shared" si="54"/>
        <v>4.2605053644136923</v>
      </c>
    </row>
    <row r="40" spans="1:65">
      <c r="A40" s="50" t="s">
        <v>65</v>
      </c>
      <c r="B40" s="50" t="s">
        <v>66</v>
      </c>
      <c r="C40" s="51">
        <v>2355309.4</v>
      </c>
      <c r="D40" s="52" t="s">
        <v>67</v>
      </c>
      <c r="E40" s="68" t="str" cm="1">
        <f t="array" ref="E40">_xll.ciqfunctions.udf.CIQ(B40,"iq_industry")</f>
        <v>Software</v>
      </c>
      <c r="F40" s="60">
        <f>'Information Technology'!S19</f>
        <v>26.817542665019751</v>
      </c>
      <c r="G40" s="62">
        <v>36.318425426772855</v>
      </c>
      <c r="H40" s="62">
        <f t="shared" si="58"/>
        <v>-7.0962618010480844E-2</v>
      </c>
      <c r="I40" s="62">
        <f t="shared" si="59"/>
        <v>-0.18352429246310459</v>
      </c>
      <c r="J40" s="62">
        <f t="shared" si="60"/>
        <v>4.5414337334620436</v>
      </c>
      <c r="K40" s="62">
        <v>3.359654985037178</v>
      </c>
      <c r="L40" s="108">
        <v>3.359654985037178</v>
      </c>
      <c r="M40" s="60">
        <f>'Information Technology'!S20</f>
        <v>53.191241360100001</v>
      </c>
      <c r="N40" s="63">
        <v>2355.1608016027999</v>
      </c>
      <c r="R40">
        <v>4.9800000000000004</v>
      </c>
      <c r="S40" s="49">
        <v>4.9800000000000004</v>
      </c>
      <c r="T40" s="60">
        <f>'Information Technology'!S21</f>
        <v>41.313189565519757</v>
      </c>
      <c r="U40" s="63">
        <v>54.233807435689378</v>
      </c>
      <c r="V40" s="63" t="e">
        <f>-(U40-$U$266)/$U$267</f>
        <v>#DIV/0!</v>
      </c>
      <c r="W40" s="63" t="e">
        <f>V40-$V$42</f>
        <v>#DIV/0!</v>
      </c>
      <c r="X40" s="63" t="e">
        <f>W40+5-$W$70</f>
        <v>#DIV/0!</v>
      </c>
      <c r="Y40" s="63">
        <v>3.7890085933671926</v>
      </c>
      <c r="Z40" s="63">
        <v>3.7890085933671926</v>
      </c>
      <c r="AA40" s="60">
        <f>'Information Technology'!S22</f>
        <v>2.5465666947468435E-3</v>
      </c>
      <c r="AB40" s="63">
        <v>-6.2981049724025739E-3</v>
      </c>
      <c r="AC40" s="60">
        <f t="shared" si="55"/>
        <v>0.3985846955204993</v>
      </c>
      <c r="AD40" s="60">
        <f t="shared" si="56"/>
        <v>0.53525292790079526</v>
      </c>
      <c r="AE40" s="60">
        <f t="shared" si="57"/>
        <v>5.0681042302902544</v>
      </c>
      <c r="AF40" s="60">
        <v>3.7654994308083429</v>
      </c>
      <c r="AG40" s="60">
        <v>3.7654994308083429</v>
      </c>
      <c r="AH40" s="60">
        <f>'Information Technology'!S23</f>
        <v>0.13796803787869499</v>
      </c>
      <c r="AI40" s="63">
        <v>0.31694364949204895</v>
      </c>
      <c r="AJ40" s="60">
        <f t="shared" si="61"/>
        <v>0.94639807779726448</v>
      </c>
      <c r="AK40" s="60">
        <f t="shared" si="62"/>
        <v>0.94639807779726448</v>
      </c>
      <c r="AL40" s="60">
        <f t="shared" si="63"/>
        <v>5.9120173943658623</v>
      </c>
      <c r="AM40" s="60">
        <v>4.1660326431735593</v>
      </c>
      <c r="AN40" s="60">
        <v>4.1660326431735593</v>
      </c>
      <c r="AO40" s="60">
        <f>'Information Technology'!S24</f>
        <v>0.12834355282874829</v>
      </c>
      <c r="AP40" s="60">
        <v>7.3609244925716813E-2</v>
      </c>
      <c r="AQ40" s="60">
        <f t="shared" si="64"/>
        <v>-0.12819297116677483</v>
      </c>
      <c r="AR40" s="60">
        <f t="shared" si="65"/>
        <v>0.15497295515323525</v>
      </c>
      <c r="AS40" s="60">
        <f t="shared" si="66"/>
        <v>5.0850653975256579</v>
      </c>
      <c r="AT40" s="60">
        <v>2.8620287308779249</v>
      </c>
      <c r="AU40" s="60">
        <v>2.8620287308779249</v>
      </c>
      <c r="AV40" s="60">
        <f>'Information Technology'!S25</f>
        <v>0.91245999999999994</v>
      </c>
      <c r="AW40" s="60">
        <v>1.3869081818181821</v>
      </c>
      <c r="AX40" s="60" t="e">
        <f t="shared" si="67"/>
        <v>#DIV/0!</v>
      </c>
      <c r="AY40" s="60" t="e">
        <f t="shared" si="68"/>
        <v>#DIV/0!</v>
      </c>
      <c r="AZ40" s="60" t="e">
        <f t="shared" si="69"/>
        <v>#DIV/0!</v>
      </c>
      <c r="BA40" s="60">
        <v>3.4376886750525157</v>
      </c>
      <c r="BB40" s="60">
        <v>3.4376886750525157</v>
      </c>
      <c r="BC40" s="60">
        <f>'Information Technology'!S26</f>
        <v>0.13074389602560818</v>
      </c>
      <c r="BD40" s="60">
        <v>-0.13420686518238109</v>
      </c>
      <c r="BE40" s="60">
        <v>5</v>
      </c>
      <c r="BF40" s="60">
        <f>'Information Technology'!S27</f>
        <v>19.757079999999998</v>
      </c>
      <c r="BG40" s="63">
        <v>21.893640000000001</v>
      </c>
      <c r="BH40" s="63">
        <f t="shared" si="51"/>
        <v>0.4007329299959233</v>
      </c>
      <c r="BI40" s="63">
        <f t="shared" si="52"/>
        <v>0.4007329299959233</v>
      </c>
      <c r="BJ40" s="63">
        <f t="shared" si="53"/>
        <v>5.4007329299959235</v>
      </c>
      <c r="BK40" s="63">
        <v>3.7367703521954949</v>
      </c>
      <c r="BL40" s="63">
        <v>3.7367703521954949</v>
      </c>
      <c r="BM40" s="63">
        <f t="shared" si="54"/>
        <v>3.9562502886277029</v>
      </c>
    </row>
    <row r="41" spans="1:65">
      <c r="A41" s="50" t="s">
        <v>75</v>
      </c>
      <c r="B41" s="50" t="s">
        <v>76</v>
      </c>
      <c r="C41" s="51">
        <v>233779.8</v>
      </c>
      <c r="D41" s="52" t="s">
        <v>77</v>
      </c>
      <c r="E41" s="68" t="str" cm="1">
        <f t="array" ref="E41">_xll.ciqfunctions.udf.CIQ(B41,"iq_industry")</f>
        <v>Software</v>
      </c>
      <c r="F41" s="60">
        <f>'Information Technology'!S79</f>
        <v>18.360479518092134</v>
      </c>
      <c r="G41" s="62">
        <v>24.444255357099671</v>
      </c>
      <c r="H41" s="62">
        <f t="shared" si="58"/>
        <v>0.1073179578712625</v>
      </c>
      <c r="I41" s="62">
        <f t="shared" si="59"/>
        <v>-5.2437165813612602E-3</v>
      </c>
      <c r="J41" s="62">
        <f t="shared" si="60"/>
        <v>4.7197143093437868</v>
      </c>
      <c r="K41" s="62">
        <v>3.9973853966528621</v>
      </c>
      <c r="L41" s="108">
        <v>3.9973853966528621</v>
      </c>
      <c r="M41" s="60">
        <f>'Information Technology'!S80</f>
        <v>23.829174398400003</v>
      </c>
      <c r="N41" s="63">
        <v>235.19914718000001</v>
      </c>
      <c r="O41" s="63">
        <f t="shared" ref="O41:O64" si="70">(N41-$N$266)/$N$267</f>
        <v>0.17453186010995084</v>
      </c>
      <c r="P41" s="63">
        <f t="shared" ref="P41:P64" si="71">O41-$O$70</f>
        <v>0.48644226413268032</v>
      </c>
      <c r="Q41" s="63">
        <f t="shared" ref="Q41:Q64" si="72">P41+5-$P$7</f>
        <v>5.4622234172445836</v>
      </c>
      <c r="R41" s="62">
        <v>4.88</v>
      </c>
      <c r="S41" s="63">
        <v>4.88</v>
      </c>
      <c r="T41" s="60">
        <f>'Information Technology'!S81</f>
        <v>11.458799098594962</v>
      </c>
      <c r="U41" s="63" t="e">
        <v>#DIV/0!</v>
      </c>
      <c r="Z41" s="63">
        <v>1</v>
      </c>
      <c r="AA41" s="60">
        <f>'Information Technology'!S82</f>
        <v>1.6340049486306407E-2</v>
      </c>
      <c r="AB41" s="63">
        <v>-1.3665185220407605E-2</v>
      </c>
      <c r="AC41" s="60">
        <f t="shared" si="55"/>
        <v>0.46410521341485467</v>
      </c>
      <c r="AD41" s="60">
        <f t="shared" si="56"/>
        <v>0.60077344579515057</v>
      </c>
      <c r="AE41" s="60">
        <f t="shared" si="57"/>
        <v>5.1336247481846096</v>
      </c>
      <c r="AF41" s="60">
        <v>4.0467761763631902</v>
      </c>
      <c r="AG41" s="60">
        <v>4.0467761763631902</v>
      </c>
      <c r="AH41" s="60">
        <f>'Information Technology'!S83</f>
        <v>6.7272969106310407E-2</v>
      </c>
      <c r="AI41" s="63">
        <v>0.29272552700678395</v>
      </c>
      <c r="AJ41" s="60">
        <f t="shared" si="61"/>
        <v>0.82500151522497367</v>
      </c>
      <c r="AK41" s="60">
        <f t="shared" si="62"/>
        <v>0.82500151522497367</v>
      </c>
      <c r="AL41" s="60">
        <f t="shared" si="63"/>
        <v>5.7906208317935723</v>
      </c>
      <c r="AM41" s="60">
        <v>3.8770714414355902</v>
      </c>
      <c r="AN41" s="60">
        <v>3.8770714414355902</v>
      </c>
      <c r="AO41" s="60">
        <f>'Information Technology'!S84</f>
        <v>0.13244782601255151</v>
      </c>
      <c r="AP41" s="60">
        <v>0.14275436093251992</v>
      </c>
      <c r="AQ41" s="60">
        <f t="shared" si="64"/>
        <v>0.45828488761035679</v>
      </c>
      <c r="AR41" s="60">
        <f t="shared" si="65"/>
        <v>0.74145081393036683</v>
      </c>
      <c r="AS41" s="60">
        <f t="shared" si="66"/>
        <v>5.6715432563027894</v>
      </c>
      <c r="AT41" s="60">
        <v>4.4475907628765343</v>
      </c>
      <c r="AU41" s="60">
        <v>4.4475907628765343</v>
      </c>
      <c r="AV41" s="60">
        <f>'Information Technology'!S85</f>
        <v>-0.83563454545454552</v>
      </c>
      <c r="AW41" s="60">
        <v>2.0882509090909092</v>
      </c>
      <c r="AX41" s="60" t="e">
        <f t="shared" si="67"/>
        <v>#DIV/0!</v>
      </c>
      <c r="AY41" s="60" t="e">
        <f t="shared" si="68"/>
        <v>#DIV/0!</v>
      </c>
      <c r="AZ41" s="60" t="e">
        <f t="shared" si="69"/>
        <v>#DIV/0!</v>
      </c>
      <c r="BA41" s="60">
        <v>4.1410760078986586</v>
      </c>
      <c r="BB41" s="60">
        <v>4.1410760078986586</v>
      </c>
      <c r="BC41" s="60">
        <f>'Information Technology'!S86</f>
        <v>0.35893872554896761</v>
      </c>
      <c r="BD41" s="60">
        <v>4.476715975132986E-2</v>
      </c>
      <c r="BE41" s="60">
        <v>5</v>
      </c>
      <c r="BF41" s="60">
        <f>'Information Technology'!S87</f>
        <v>10.744590000000001</v>
      </c>
      <c r="BG41" s="63">
        <v>31.75742</v>
      </c>
      <c r="BH41" s="63">
        <f t="shared" si="51"/>
        <v>9.6076490690767527E-2</v>
      </c>
      <c r="BI41" s="63">
        <f t="shared" si="52"/>
        <v>9.6076490690767527E-2</v>
      </c>
      <c r="BJ41" s="63">
        <f t="shared" si="53"/>
        <v>5.0960764906907672</v>
      </c>
      <c r="BK41" s="63">
        <v>2.9609759966276128</v>
      </c>
      <c r="BL41" s="63">
        <v>2.9609759966276128</v>
      </c>
      <c r="BM41" s="63">
        <f t="shared" si="54"/>
        <v>3.9416037518883065</v>
      </c>
    </row>
    <row r="42" spans="1:65">
      <c r="A42" s="50" t="s">
        <v>81</v>
      </c>
      <c r="B42" s="50" t="s">
        <v>82</v>
      </c>
      <c r="C42" s="51">
        <v>200856.4</v>
      </c>
      <c r="D42" s="52" t="s">
        <v>77</v>
      </c>
      <c r="E42" s="68" t="str" cm="1">
        <f t="array" ref="E42">_xll.ciqfunctions.udf.CIQ(B42,"iq_industry")</f>
        <v>Software</v>
      </c>
      <c r="F42" s="60">
        <f>'Information Technology'!S109</f>
        <v>17.155646114863192</v>
      </c>
      <c r="G42" s="62">
        <v>21.932868926745957</v>
      </c>
      <c r="H42" s="62">
        <f t="shared" si="58"/>
        <v>0.14502429157188623</v>
      </c>
      <c r="I42" s="62">
        <f t="shared" si="59"/>
        <v>3.2462617119262474E-2</v>
      </c>
      <c r="J42" s="62">
        <f t="shared" si="60"/>
        <v>4.7574206430444104</v>
      </c>
      <c r="K42" s="62">
        <v>4.1322653497407833</v>
      </c>
      <c r="L42" s="108">
        <v>4.1322653497407833</v>
      </c>
      <c r="M42" s="60">
        <f>'Information Technology'!S110</f>
        <v>18.834244852000001</v>
      </c>
      <c r="N42" s="63">
        <v>196.25409999999997</v>
      </c>
      <c r="O42" s="63">
        <f t="shared" si="70"/>
        <v>8.8714564544764229E-2</v>
      </c>
      <c r="P42" s="63">
        <f t="shared" si="71"/>
        <v>0.40062496856749369</v>
      </c>
      <c r="Q42" s="63">
        <f t="shared" si="72"/>
        <v>5.3764061216793966</v>
      </c>
      <c r="R42" s="62">
        <f t="shared" ref="R42:R64" si="73">Q42+1-$Q$70</f>
        <v>1.4006249685674934</v>
      </c>
      <c r="S42" s="63">
        <v>4.4803606256623851</v>
      </c>
      <c r="T42" s="60" t="e">
        <f>'Information Technology'!S111</f>
        <v>#DIV/0!</v>
      </c>
      <c r="U42" s="63" t="e">
        <v>#DIV/0!</v>
      </c>
      <c r="Z42" s="63">
        <v>1</v>
      </c>
      <c r="AA42" s="60">
        <f>'Information Technology'!S112</f>
        <v>5.4377820739459848E-2</v>
      </c>
      <c r="AB42" s="63">
        <v>4.7639084666477816E-2</v>
      </c>
      <c r="AC42" s="60">
        <f t="shared" si="55"/>
        <v>-8.1115875117710998E-2</v>
      </c>
      <c r="AD42" s="60">
        <f t="shared" si="56"/>
        <v>5.5552357262584937E-2</v>
      </c>
      <c r="AE42" s="60">
        <f t="shared" si="57"/>
        <v>4.5884036596520446</v>
      </c>
      <c r="AF42" s="60">
        <v>1.706165657417289</v>
      </c>
      <c r="AG42" s="60">
        <v>1.706165657417289</v>
      </c>
      <c r="AH42" s="60">
        <f>'Information Technology'!S113</f>
        <v>0.125929406934259</v>
      </c>
      <c r="AI42" s="63">
        <v>6.1024210452230256E-2</v>
      </c>
      <c r="AJ42" s="60">
        <f t="shared" si="61"/>
        <v>-0.33643217519883017</v>
      </c>
      <c r="AK42" s="60">
        <f t="shared" si="62"/>
        <v>-0.33643217519883017</v>
      </c>
      <c r="AL42" s="60">
        <f t="shared" si="63"/>
        <v>4.6291871413697683</v>
      </c>
      <c r="AM42" s="60">
        <v>1.1125016067339475</v>
      </c>
      <c r="AN42" s="60">
        <v>1.1125016067339475</v>
      </c>
      <c r="AO42" s="60">
        <f>'Information Technology'!S114</f>
        <v>8.2802764692125452E-3</v>
      </c>
      <c r="AP42" s="60">
        <v>5.728652077761593E-2</v>
      </c>
      <c r="AQ42" s="60">
        <f t="shared" si="64"/>
        <v>-0.26663971709234557</v>
      </c>
      <c r="AR42" s="60">
        <f t="shared" si="65"/>
        <v>1.6526209227664512E-2</v>
      </c>
      <c r="AS42" s="60">
        <f t="shared" si="66"/>
        <v>4.9466186516000867</v>
      </c>
      <c r="AT42" s="60">
        <v>2.4877334348013482</v>
      </c>
      <c r="AU42" s="60">
        <v>2.4877334348013482</v>
      </c>
      <c r="AV42" s="60">
        <f>'Information Technology'!S115</f>
        <v>1.032369090909091</v>
      </c>
      <c r="AW42" s="60">
        <v>1.8961172727272728</v>
      </c>
      <c r="AX42" s="60" t="e">
        <f t="shared" si="67"/>
        <v>#DIV/0!</v>
      </c>
      <c r="AY42" s="60" t="e">
        <f t="shared" si="68"/>
        <v>#DIV/0!</v>
      </c>
      <c r="AZ42" s="60" t="e">
        <f t="shared" si="69"/>
        <v>#DIV/0!</v>
      </c>
      <c r="BA42" s="60">
        <v>3.9483822495169658</v>
      </c>
      <c r="BB42" s="60">
        <v>3.9483822495169658</v>
      </c>
      <c r="BC42" s="60">
        <f>'Information Technology'!S116</f>
        <v>0.30741356357957078</v>
      </c>
      <c r="BD42" s="60">
        <v>0.13850655418140628</v>
      </c>
      <c r="BE42" s="60">
        <v>5</v>
      </c>
      <c r="BF42" s="60">
        <f>'Information Technology'!S117</f>
        <v>15.69999</v>
      </c>
      <c r="BG42" s="63">
        <v>22.023</v>
      </c>
      <c r="BH42" s="63">
        <f t="shared" si="51"/>
        <v>0.39673746811533445</v>
      </c>
      <c r="BI42" s="63">
        <f t="shared" si="52"/>
        <v>0.39673746811533445</v>
      </c>
      <c r="BJ42" s="63">
        <f t="shared" si="53"/>
        <v>5.3967374681153348</v>
      </c>
      <c r="BK42" s="63">
        <v>3.7265960825102171</v>
      </c>
      <c r="BL42" s="63">
        <v>3.7265960825102171</v>
      </c>
      <c r="BM42" s="63">
        <f t="shared" si="54"/>
        <v>3.5324652094598186</v>
      </c>
    </row>
    <row r="43" spans="1:65">
      <c r="A43" s="50" t="s">
        <v>89</v>
      </c>
      <c r="B43" s="50" t="s">
        <v>90</v>
      </c>
      <c r="C43" s="51">
        <v>142531.6</v>
      </c>
      <c r="D43" s="52" t="s">
        <v>77</v>
      </c>
      <c r="E43" s="68" t="str" cm="1">
        <f t="array" ref="E43">_xll.ciqfunctions.udf.CIQ(B43,"iq_industry")</f>
        <v>Software</v>
      </c>
      <c r="F43" s="60">
        <f>'Information Technology'!S169</f>
        <v>34.801486262480985</v>
      </c>
      <c r="G43" s="62">
        <v>21.862796085182762</v>
      </c>
      <c r="H43" s="62">
        <f t="shared" si="58"/>
        <v>0.14607637575749707</v>
      </c>
      <c r="I43" s="62">
        <f t="shared" si="59"/>
        <v>3.3514701304873315E-2</v>
      </c>
      <c r="J43" s="62">
        <f t="shared" si="60"/>
        <v>4.7584727272300213</v>
      </c>
      <c r="K43" s="62">
        <v>4.1360287775703481</v>
      </c>
      <c r="L43" s="108">
        <v>4.1360287775703481</v>
      </c>
      <c r="M43" s="60">
        <f>'Information Technology'!S170</f>
        <v>21.814685999999998</v>
      </c>
      <c r="N43" s="63">
        <v>144.91097189940001</v>
      </c>
      <c r="O43" s="63">
        <f t="shared" si="70"/>
        <v>-2.4422502129869565E-2</v>
      </c>
      <c r="P43" s="63">
        <f t="shared" si="71"/>
        <v>0.28748790189285989</v>
      </c>
      <c r="Q43" s="63">
        <f t="shared" si="72"/>
        <v>5.2632690550047627</v>
      </c>
      <c r="R43" s="62">
        <f t="shared" si="73"/>
        <v>1.2874879018928596</v>
      </c>
      <c r="S43" s="63">
        <v>3.5000680701378863</v>
      </c>
      <c r="T43" s="60" t="e">
        <f>'Information Technology'!S171</f>
        <v>#DIV/0!</v>
      </c>
      <c r="U43" s="63">
        <v>67.665777568624904</v>
      </c>
      <c r="V43" s="63" t="e">
        <f>-(U43-$U$266)/$U$267</f>
        <v>#DIV/0!</v>
      </c>
      <c r="W43" s="63" t="e">
        <f>V43-$V$42</f>
        <v>#DIV/0!</v>
      </c>
      <c r="X43" s="63" t="e">
        <f>W43+5-$W$70</f>
        <v>#DIV/0!</v>
      </c>
      <c r="Y43" s="63">
        <v>3.417470386398878</v>
      </c>
      <c r="Z43" s="63">
        <v>3.417470386398878</v>
      </c>
      <c r="AA43" s="60">
        <f>'Information Technology'!S172</f>
        <v>-3.1330845322722234E-2</v>
      </c>
      <c r="AB43" s="63">
        <v>1.6160499508339088E-2</v>
      </c>
      <c r="AC43" s="60">
        <f t="shared" si="55"/>
        <v>0.19884486003259916</v>
      </c>
      <c r="AD43" s="60">
        <f t="shared" si="56"/>
        <v>0.33551309241289506</v>
      </c>
      <c r="AE43" s="60">
        <f t="shared" si="57"/>
        <v>4.8683643948023541</v>
      </c>
      <c r="AF43" s="60">
        <v>2.9080249680105252</v>
      </c>
      <c r="AG43" s="60">
        <v>2.9080249680105252</v>
      </c>
      <c r="AH43" s="60">
        <f>'Information Technology'!S173</f>
        <v>0.5165052472018663</v>
      </c>
      <c r="AI43" s="63">
        <v>0.19563030914908811</v>
      </c>
      <c r="AJ43" s="60">
        <f t="shared" si="61"/>
        <v>0.3382988116069065</v>
      </c>
      <c r="AK43" s="60">
        <f t="shared" si="62"/>
        <v>0.3382988116069065</v>
      </c>
      <c r="AL43" s="60">
        <f t="shared" si="63"/>
        <v>5.3039181281755043</v>
      </c>
      <c r="AM43" s="60">
        <v>2.7185691317606713</v>
      </c>
      <c r="AN43" s="60">
        <v>2.7185691317606713</v>
      </c>
      <c r="AO43" s="60">
        <f>'Information Technology'!S174</f>
        <v>6.877233814128747E-2</v>
      </c>
      <c r="AP43" s="60">
        <v>6.4466603329300751E-2</v>
      </c>
      <c r="AQ43" s="60">
        <f t="shared" si="64"/>
        <v>-0.20573940071510724</v>
      </c>
      <c r="AR43" s="60">
        <f t="shared" si="65"/>
        <v>7.7426525604902846E-2</v>
      </c>
      <c r="AS43" s="60">
        <f t="shared" si="66"/>
        <v>5.0075189679773251</v>
      </c>
      <c r="AT43" s="60">
        <v>2.6523794277221935</v>
      </c>
      <c r="AU43" s="60">
        <v>2.6523794277221935</v>
      </c>
      <c r="AV43" s="60">
        <f>'Information Technology'!S175</f>
        <v>0.93153000000000041</v>
      </c>
      <c r="AW43" s="60">
        <v>-0.6982754545454547</v>
      </c>
      <c r="AX43" s="60" t="e">
        <f t="shared" si="67"/>
        <v>#DIV/0!</v>
      </c>
      <c r="AY43" s="60" t="e">
        <f t="shared" si="68"/>
        <v>#DIV/0!</v>
      </c>
      <c r="AZ43" s="60" t="e">
        <f t="shared" si="69"/>
        <v>#DIV/0!</v>
      </c>
      <c r="BA43" s="60">
        <v>1.3464261589647197</v>
      </c>
      <c r="BB43" s="60">
        <v>1.3464261589647197</v>
      </c>
      <c r="BC43" s="60">
        <f>'Information Technology'!S176</f>
        <v>-0.35404712892598994</v>
      </c>
      <c r="BD43" s="60">
        <v>0.2322889258098626</v>
      </c>
      <c r="BE43" s="60">
        <v>5</v>
      </c>
      <c r="BF43" s="60">
        <f>'Information Technology'!S177</f>
        <v>21.85605</v>
      </c>
      <c r="BG43" s="63">
        <v>37.092210000000001</v>
      </c>
      <c r="BH43" s="63">
        <f t="shared" si="51"/>
        <v>-6.8695850728115765E-2</v>
      </c>
      <c r="BI43" s="63">
        <f t="shared" si="52"/>
        <v>-6.8695850728115765E-2</v>
      </c>
      <c r="BJ43" s="63">
        <f t="shared" si="53"/>
        <v>4.9313041492718845</v>
      </c>
      <c r="BK43" s="63">
        <v>2.5413904046801044</v>
      </c>
      <c r="BL43" s="63">
        <v>2.5413904046801044</v>
      </c>
      <c r="BM43" s="63">
        <f t="shared" si="54"/>
        <v>3.5280417722443875</v>
      </c>
    </row>
    <row r="44" spans="1:65">
      <c r="A44" s="50" t="s">
        <v>107</v>
      </c>
      <c r="B44" s="50" t="s">
        <v>108</v>
      </c>
      <c r="C44" s="51">
        <v>72208.2</v>
      </c>
      <c r="D44" s="52" t="s">
        <v>67</v>
      </c>
      <c r="E44" s="68" t="str" cm="1">
        <f t="array" ref="E44">_xll.ciqfunctions.udf.CIQ(B44,"iq_industry")</f>
        <v>(Invalid Identifier)</v>
      </c>
      <c r="F44" s="60">
        <f>'Information Technology'!S289</f>
        <v>19.114637024770058</v>
      </c>
      <c r="G44" s="62">
        <v>12.041878316888363</v>
      </c>
      <c r="H44" s="62">
        <f t="shared" si="58"/>
        <v>0.29352911267681603</v>
      </c>
      <c r="I44" s="62">
        <f t="shared" si="59"/>
        <v>0.18096743822419226</v>
      </c>
      <c r="J44" s="62">
        <f t="shared" si="60"/>
        <v>4.9059254641493402</v>
      </c>
      <c r="K44" s="62">
        <v>4.6634844139700844</v>
      </c>
      <c r="L44" s="108">
        <v>4.6634844139700844</v>
      </c>
      <c r="M44" s="60">
        <f>'Information Technology'!S290</f>
        <v>143.27649</v>
      </c>
      <c r="N44" s="63">
        <v>71.085503738699998</v>
      </c>
      <c r="O44" s="63">
        <f t="shared" si="70"/>
        <v>-0.18710049278945254</v>
      </c>
      <c r="P44" s="63">
        <f t="shared" si="71"/>
        <v>0.12480991123327692</v>
      </c>
      <c r="Q44" s="63">
        <f t="shared" si="72"/>
        <v>5.1005910643451804</v>
      </c>
      <c r="R44" s="62">
        <f t="shared" si="73"/>
        <v>1.1248099112332772</v>
      </c>
      <c r="S44" s="63">
        <v>2.0905209793520534</v>
      </c>
      <c r="T44" s="60">
        <f>'Information Technology'!S291</f>
        <v>22.008442868016029</v>
      </c>
      <c r="U44" s="63" t="e">
        <v>#DIV/0!</v>
      </c>
      <c r="Z44" s="63">
        <v>1</v>
      </c>
      <c r="AA44" s="60">
        <f>'Information Technology'!S292</f>
        <v>-1.6924534620723408E-2</v>
      </c>
      <c r="AB44" s="63">
        <v>1.019279349174651E-2</v>
      </c>
      <c r="AC44" s="60">
        <f t="shared" si="55"/>
        <v>0.25191977922521808</v>
      </c>
      <c r="AD44" s="60">
        <f t="shared" si="56"/>
        <v>0.38858801160551404</v>
      </c>
      <c r="AE44" s="60">
        <f t="shared" si="57"/>
        <v>4.9214393139949735</v>
      </c>
      <c r="AF44" s="60">
        <v>3.135873297371373</v>
      </c>
      <c r="AG44" s="60">
        <v>3.135873297371373</v>
      </c>
      <c r="AH44" s="60">
        <f>'Information Technology'!S293</f>
        <v>0.18802973738027343</v>
      </c>
      <c r="AI44" s="63">
        <v>0.20274151956739553</v>
      </c>
      <c r="AJ44" s="60">
        <f t="shared" si="61"/>
        <v>0.37394470038445421</v>
      </c>
      <c r="AK44" s="60">
        <f t="shared" si="62"/>
        <v>0.37394470038445421</v>
      </c>
      <c r="AL44" s="60">
        <f t="shared" si="63"/>
        <v>5.3395640169530525</v>
      </c>
      <c r="AM44" s="60">
        <v>2.8034173238340205</v>
      </c>
      <c r="AN44" s="60">
        <v>2.8034173238340205</v>
      </c>
      <c r="AO44" s="60">
        <f>'Information Technology'!S294</f>
        <v>3.9878408909954755E-2</v>
      </c>
      <c r="AP44" s="60">
        <v>2.9097422943799113E-2</v>
      </c>
      <c r="AQ44" s="60">
        <f t="shared" si="64"/>
        <v>-0.50573515424237325</v>
      </c>
      <c r="AR44" s="60">
        <f t="shared" si="65"/>
        <v>-0.22256922792236317</v>
      </c>
      <c r="AS44" s="60">
        <f t="shared" si="66"/>
        <v>4.7075232144500596</v>
      </c>
      <c r="AT44" s="60">
        <v>1.8413311171424027</v>
      </c>
      <c r="AU44" s="60">
        <v>1.8413311171424027</v>
      </c>
      <c r="AV44" s="60">
        <f>'Information Technology'!S295</f>
        <v>-0.1818490909090909</v>
      </c>
      <c r="AW44" s="60">
        <v>-0.10693272727272697</v>
      </c>
      <c r="AX44" s="60" t="e">
        <f t="shared" si="67"/>
        <v>#DIV/0!</v>
      </c>
      <c r="AY44" s="60" t="e">
        <f t="shared" si="68"/>
        <v>#DIV/0!</v>
      </c>
      <c r="AZ44" s="60" t="e">
        <f t="shared" si="69"/>
        <v>#DIV/0!</v>
      </c>
      <c r="BA44" s="60">
        <v>1.9394928117719461</v>
      </c>
      <c r="BB44" s="60">
        <v>1.9394928117719461</v>
      </c>
      <c r="BC44" s="60">
        <f>'Information Technology'!S296</f>
        <v>-0.19274133380353187</v>
      </c>
      <c r="BD44" s="60">
        <v>0.18656767257380372</v>
      </c>
      <c r="BE44" s="60">
        <v>5</v>
      </c>
      <c r="BF44" s="60">
        <f>'Information Technology'!S297</f>
        <v>13.779310000000001</v>
      </c>
      <c r="BG44" s="63">
        <v>25.17634</v>
      </c>
      <c r="BH44" s="63">
        <f t="shared" si="51"/>
        <v>0.2993422163641275</v>
      </c>
      <c r="BI44" s="63">
        <f t="shared" si="52"/>
        <v>0.2993422163641275</v>
      </c>
      <c r="BJ44" s="63">
        <f t="shared" si="53"/>
        <v>5.2993422163641277</v>
      </c>
      <c r="BK44" s="63">
        <v>3.478583315276313</v>
      </c>
      <c r="BL44" s="63">
        <v>3.478583315276313</v>
      </c>
      <c r="BM44" s="63">
        <f t="shared" si="54"/>
        <v>3.3438032690598267</v>
      </c>
    </row>
    <row r="45" spans="1:65">
      <c r="A45" s="50" t="s">
        <v>133</v>
      </c>
      <c r="B45" s="50" t="s">
        <v>134</v>
      </c>
      <c r="C45" s="51">
        <v>45738</v>
      </c>
      <c r="D45" s="52" t="s">
        <v>67</v>
      </c>
      <c r="E45" s="68" t="str" cm="1">
        <f t="array" ref="E45">_xll.ciqfunctions.udf.CIQ(B45,"iq_industry")</f>
        <v>Software</v>
      </c>
      <c r="F45" s="60">
        <f>'Information Technology'!S469</f>
        <v>65.870708013990054</v>
      </c>
      <c r="G45" s="62">
        <v>18.479705052887041</v>
      </c>
      <c r="H45" s="62">
        <f t="shared" si="58"/>
        <v>0.19687061349866522</v>
      </c>
      <c r="I45" s="62">
        <f t="shared" si="59"/>
        <v>8.4308939046041462E-2</v>
      </c>
      <c r="J45" s="62">
        <f t="shared" si="60"/>
        <v>4.8092669649711901</v>
      </c>
      <c r="K45" s="62">
        <v>4.3177256897671468</v>
      </c>
      <c r="L45" s="108">
        <v>4.3177256897671468</v>
      </c>
      <c r="M45" s="60">
        <f>'Information Technology'!S470</f>
        <v>1193.64726</v>
      </c>
      <c r="N45" s="63">
        <v>45.565877528352004</v>
      </c>
      <c r="O45" s="63">
        <f t="shared" si="70"/>
        <v>-0.24333422374590619</v>
      </c>
      <c r="P45" s="63">
        <f t="shared" si="71"/>
        <v>6.8576180276823273E-2</v>
      </c>
      <c r="Q45" s="63">
        <f t="shared" si="72"/>
        <v>5.0443573333887262</v>
      </c>
      <c r="R45" s="62">
        <f t="shared" si="73"/>
        <v>1.068576180276823</v>
      </c>
      <c r="S45" s="63">
        <v>1.6032756454729977</v>
      </c>
      <c r="T45" s="60">
        <f>'Information Technology'!S471</f>
        <v>1486.0159324800134</v>
      </c>
      <c r="U45" s="63" t="e">
        <v>#DIV/0!</v>
      </c>
      <c r="Z45" s="63">
        <v>1</v>
      </c>
      <c r="AA45" s="60">
        <f>'Information Technology'!S472</f>
        <v>3.7668934631680528E-3</v>
      </c>
      <c r="AB45" s="63">
        <v>-1.6432302893637729E-2</v>
      </c>
      <c r="AC45" s="60">
        <f t="shared" si="55"/>
        <v>0.48871509642430844</v>
      </c>
      <c r="AD45" s="60">
        <f t="shared" si="56"/>
        <v>0.62538332880460434</v>
      </c>
      <c r="AE45" s="60">
        <f t="shared" si="57"/>
        <v>5.1582346311940634</v>
      </c>
      <c r="AF45" s="60">
        <v>4.1524253382417013</v>
      </c>
      <c r="AG45" s="60">
        <v>4.1524253382417013</v>
      </c>
      <c r="AH45" s="60">
        <f>'Information Technology'!S473</f>
        <v>0.31693397701219267</v>
      </c>
      <c r="AI45" s="63">
        <v>0.18659604850269931</v>
      </c>
      <c r="AJ45" s="60">
        <f t="shared" si="61"/>
        <v>0.29301337758860052</v>
      </c>
      <c r="AK45" s="60">
        <f t="shared" si="62"/>
        <v>0.29301337758860052</v>
      </c>
      <c r="AL45" s="60">
        <f t="shared" si="63"/>
        <v>5.2586326941571988</v>
      </c>
      <c r="AM45" s="60">
        <v>2.6107758536160555</v>
      </c>
      <c r="AN45" s="60">
        <v>2.6107758536160555</v>
      </c>
      <c r="AO45" s="60">
        <f>'Information Technology'!S474</f>
        <v>8.6208374602471632E-2</v>
      </c>
      <c r="AP45" s="60">
        <v>0.22010193171968798</v>
      </c>
      <c r="AQ45" s="60"/>
      <c r="AR45" s="60"/>
      <c r="AS45" s="60"/>
      <c r="AT45" s="60">
        <v>4.95</v>
      </c>
      <c r="AU45" s="60">
        <v>4.95</v>
      </c>
      <c r="AV45" s="60">
        <f>'Information Technology'!S475</f>
        <v>2.2121818181818176</v>
      </c>
      <c r="AW45" s="60">
        <v>1.8033681818181817</v>
      </c>
      <c r="AX45" s="60" t="e">
        <f t="shared" si="67"/>
        <v>#DIV/0!</v>
      </c>
      <c r="AY45" s="60" t="e">
        <f t="shared" si="68"/>
        <v>#DIV/0!</v>
      </c>
      <c r="AZ45" s="60" t="e">
        <f t="shared" si="69"/>
        <v>#DIV/0!</v>
      </c>
      <c r="BA45" s="60">
        <v>3.8553627696798545</v>
      </c>
      <c r="BB45" s="60">
        <v>3.8553627696798545</v>
      </c>
      <c r="BC45" s="60">
        <f>'Information Technology'!S476</f>
        <v>0.15472968785833416</v>
      </c>
      <c r="BD45" s="60">
        <v>0.12167448135430574</v>
      </c>
      <c r="BE45" s="60">
        <v>5</v>
      </c>
      <c r="BF45" s="60">
        <f>'Information Technology'!S477</f>
        <v>52.33437</v>
      </c>
      <c r="BG45" s="63">
        <v>34.469700000000003</v>
      </c>
      <c r="BH45" s="63">
        <f t="shared" si="51"/>
        <v>1.2303984896985731E-2</v>
      </c>
      <c r="BI45" s="63">
        <f t="shared" si="52"/>
        <v>1.2303984896985731E-2</v>
      </c>
      <c r="BJ45" s="63">
        <f t="shared" si="53"/>
        <v>5.0123039848969855</v>
      </c>
      <c r="BK45" s="63">
        <v>2.7476529587334513</v>
      </c>
      <c r="BL45" s="63">
        <v>2.7476529587334513</v>
      </c>
      <c r="BM45" s="63">
        <f t="shared" si="54"/>
        <v>3.2842330728683065</v>
      </c>
    </row>
    <row r="46" spans="1:65">
      <c r="A46" s="50" t="s">
        <v>137</v>
      </c>
      <c r="B46" s="50" t="s">
        <v>138</v>
      </c>
      <c r="C46" s="51">
        <v>43616.3</v>
      </c>
      <c r="D46" s="52" t="s">
        <v>77</v>
      </c>
      <c r="E46" s="68" t="str" cm="1">
        <f t="array" ref="E46">_xll.ciqfunctions.udf.CIQ(B46,"iq_industry")</f>
        <v>Software</v>
      </c>
      <c r="F46" s="60">
        <f>'Information Technology'!S499</f>
        <v>76.363132687557254</v>
      </c>
      <c r="G46" s="62">
        <v>19.030155589172892</v>
      </c>
      <c r="H46" s="62">
        <f t="shared" si="58"/>
        <v>0.18860606633219895</v>
      </c>
      <c r="I46" s="62">
        <f t="shared" si="59"/>
        <v>7.6044391879575193E-2</v>
      </c>
      <c r="J46" s="62">
        <f t="shared" si="60"/>
        <v>4.8010024178047237</v>
      </c>
      <c r="K46" s="62">
        <v>4.2881624407131183</v>
      </c>
      <c r="L46" s="108">
        <v>4.2881624407131183</v>
      </c>
      <c r="M46" s="60">
        <f>'Information Technology'!S500</f>
        <v>199.13624772462902</v>
      </c>
      <c r="N46" s="63">
        <v>44.067372324499999</v>
      </c>
      <c r="O46" s="63">
        <f t="shared" si="70"/>
        <v>-0.24663625245807008</v>
      </c>
      <c r="P46" s="63">
        <f t="shared" si="71"/>
        <v>6.5274151564659377E-2</v>
      </c>
      <c r="Q46" s="63">
        <f t="shared" si="72"/>
        <v>5.0410553046765623</v>
      </c>
      <c r="R46" s="62">
        <f t="shared" si="73"/>
        <v>1.0652741515646591</v>
      </c>
      <c r="S46" s="63">
        <v>1.574664737838531</v>
      </c>
      <c r="T46" s="60" t="e">
        <f>'Information Technology'!S501</f>
        <v>#DIV/0!</v>
      </c>
      <c r="U46" s="63" t="e">
        <v>#DIV/0!</v>
      </c>
      <c r="Z46" s="63">
        <v>1</v>
      </c>
      <c r="AA46" s="60">
        <f>'Information Technology'!S502</f>
        <v>9.951787225204578E-2</v>
      </c>
      <c r="AB46" s="63">
        <v>-5.3141901377598E-3</v>
      </c>
      <c r="AC46" s="60">
        <f t="shared" si="55"/>
        <v>0.38983406333521931</v>
      </c>
      <c r="AD46" s="60">
        <f t="shared" si="56"/>
        <v>0.52650229571551521</v>
      </c>
      <c r="AE46" s="60">
        <f t="shared" si="57"/>
        <v>5.0593535981049742</v>
      </c>
      <c r="AF46" s="60">
        <v>3.7279333458364308</v>
      </c>
      <c r="AG46" s="60">
        <v>3.7279333458364308</v>
      </c>
      <c r="AH46" s="60">
        <f>'Information Technology'!S503</f>
        <v>9.972705713807932E-2</v>
      </c>
      <c r="AI46" s="63">
        <v>0.14391470251913757</v>
      </c>
      <c r="AJ46" s="60">
        <f t="shared" si="61"/>
        <v>7.9067449636690185E-2</v>
      </c>
      <c r="AK46" s="60">
        <f t="shared" si="62"/>
        <v>7.9067449636690185E-2</v>
      </c>
      <c r="AL46" s="60">
        <f t="shared" si="63"/>
        <v>5.0446867662052881</v>
      </c>
      <c r="AM46" s="60">
        <v>2.101518662654704</v>
      </c>
      <c r="AN46" s="60">
        <v>2.101518662654704</v>
      </c>
      <c r="AO46" s="60">
        <f>'Information Technology'!S504</f>
        <v>6.8762615580529624E-2</v>
      </c>
      <c r="AP46" s="60">
        <v>0.11037375002503877</v>
      </c>
      <c r="AQ46" s="60">
        <f t="shared" ref="AQ46:AQ58" si="74">(AP46-$AP$266)/$AP$267</f>
        <v>0.18363770430030893</v>
      </c>
      <c r="AR46" s="60">
        <f t="shared" ref="AR46:AR58" si="75">AQ46-$AQ$66</f>
        <v>0.46680363062031904</v>
      </c>
      <c r="AS46" s="60">
        <f t="shared" ref="AS46:AS58" si="76">AR46+5-$AR$8</f>
        <v>5.3968960729927415</v>
      </c>
      <c r="AT46" s="60">
        <v>3.7050731391766805</v>
      </c>
      <c r="AU46" s="60">
        <v>3.7050731391766805</v>
      </c>
      <c r="AV46" s="60">
        <f>'Information Technology'!S505</f>
        <v>2.138968181818182</v>
      </c>
      <c r="AW46" s="60">
        <v>1.810909090909091</v>
      </c>
      <c r="AX46" s="60" t="e">
        <f t="shared" si="67"/>
        <v>#DIV/0!</v>
      </c>
      <c r="AY46" s="60" t="e">
        <f t="shared" si="68"/>
        <v>#DIV/0!</v>
      </c>
      <c r="AZ46" s="60" t="e">
        <f t="shared" si="69"/>
        <v>#DIV/0!</v>
      </c>
      <c r="BA46" s="60">
        <v>3.8629256625800439</v>
      </c>
      <c r="BB46" s="60">
        <v>3.8629256625800439</v>
      </c>
      <c r="BC46" s="60">
        <f>'Information Technology'!S506</f>
        <v>-3.8623723050704266E-3</v>
      </c>
      <c r="BD46" s="60">
        <v>3.6902943719283779E-2</v>
      </c>
      <c r="BE46" s="60">
        <v>5</v>
      </c>
      <c r="BF46" s="60">
        <f>'Information Technology'!S507</f>
        <v>59.053139999999999</v>
      </c>
      <c r="BG46" s="63">
        <v>36.431310000000003</v>
      </c>
      <c r="BH46" s="63">
        <f t="shared" si="51"/>
        <v>-4.8283043392918015E-2</v>
      </c>
      <c r="BI46" s="63">
        <f t="shared" si="52"/>
        <v>-4.8283043392918015E-2</v>
      </c>
      <c r="BJ46" s="63">
        <f t="shared" si="53"/>
        <v>4.9517169566070818</v>
      </c>
      <c r="BK46" s="63">
        <v>2.593370729625998</v>
      </c>
      <c r="BL46" s="63">
        <v>2.593370729625998</v>
      </c>
      <c r="BM46" s="63">
        <f t="shared" si="54"/>
        <v>3.1616171796727097</v>
      </c>
    </row>
    <row r="47" spans="1:65">
      <c r="A47" s="50" t="s">
        <v>121</v>
      </c>
      <c r="B47" s="50" t="s">
        <v>122</v>
      </c>
      <c r="C47" s="51">
        <v>52818.7</v>
      </c>
      <c r="D47" s="52" t="s">
        <v>77</v>
      </c>
      <c r="E47" s="68" t="str" cm="1">
        <f t="array" ref="E47">_xll.ciqfunctions.udf.CIQ(B47,"iq_industry")</f>
        <v>Software</v>
      </c>
      <c r="F47" s="60">
        <f>'Information Technology'!S394</f>
        <v>29.933687978083125</v>
      </c>
      <c r="G47" s="62">
        <v>33.322748237865603</v>
      </c>
      <c r="H47" s="62">
        <f t="shared" si="58"/>
        <v>-2.5985069999928712E-2</v>
      </c>
      <c r="I47" s="62">
        <f t="shared" si="59"/>
        <v>-0.13854674445255247</v>
      </c>
      <c r="J47" s="62">
        <f t="shared" si="60"/>
        <v>4.5864112814725955</v>
      </c>
      <c r="K47" s="62">
        <v>3.520544919705439</v>
      </c>
      <c r="L47" s="108">
        <v>3.520544919705439</v>
      </c>
      <c r="M47" s="60">
        <f>'Information Technology'!S395</f>
        <v>91.23274725120001</v>
      </c>
      <c r="N47" s="63">
        <v>51.852426973499995</v>
      </c>
      <c r="O47" s="63">
        <f t="shared" si="70"/>
        <v>-0.22948150790951405</v>
      </c>
      <c r="P47" s="63">
        <f t="shared" si="71"/>
        <v>8.2428896113215411E-2</v>
      </c>
      <c r="Q47" s="63">
        <f t="shared" si="72"/>
        <v>5.058210049225119</v>
      </c>
      <c r="R47" s="62">
        <f t="shared" si="73"/>
        <v>1.0824288961132158</v>
      </c>
      <c r="S47" s="63">
        <v>1.7233045149439095</v>
      </c>
      <c r="T47" s="60">
        <f>'Information Technology'!S396</f>
        <v>24.848762574448479</v>
      </c>
      <c r="U47" s="63">
        <v>84.199287755874479</v>
      </c>
      <c r="V47" s="63" t="e">
        <f>-(U47-$U$266)/$U$267</f>
        <v>#DIV/0!</v>
      </c>
      <c r="W47" s="63" t="e">
        <f>V47-$V$42</f>
        <v>#DIV/0!</v>
      </c>
      <c r="X47" s="63" t="e">
        <f>W47+5-$W$70</f>
        <v>#DIV/0!</v>
      </c>
      <c r="Y47" s="63">
        <v>2.9601412925230131</v>
      </c>
      <c r="Z47" s="63">
        <v>2.9601412925230131</v>
      </c>
      <c r="AA47" s="60">
        <f>'Information Technology'!S397</f>
        <v>6.0386906723373546E-2</v>
      </c>
      <c r="AB47" s="63">
        <v>5.9196291923291344E-3</v>
      </c>
      <c r="AC47" s="60">
        <f t="shared" si="55"/>
        <v>0.28992397200176806</v>
      </c>
      <c r="AD47" s="60">
        <f t="shared" si="56"/>
        <v>0.42659220438206402</v>
      </c>
      <c r="AE47" s="60">
        <f t="shared" si="57"/>
        <v>4.9594435067715237</v>
      </c>
      <c r="AF47" s="60">
        <v>3.2990236509577562</v>
      </c>
      <c r="AG47" s="60">
        <v>3.2990236509577562</v>
      </c>
      <c r="AH47" s="60">
        <f>'Information Technology'!S398</f>
        <v>0.23687623584358389</v>
      </c>
      <c r="AI47" s="63">
        <v>0.20719631592831617</v>
      </c>
      <c r="AJ47" s="60">
        <f t="shared" si="61"/>
        <v>0.3962749601105891</v>
      </c>
      <c r="AK47" s="60">
        <f t="shared" si="62"/>
        <v>0.3962749601105891</v>
      </c>
      <c r="AL47" s="60">
        <f t="shared" si="63"/>
        <v>5.3618942766791875</v>
      </c>
      <c r="AM47" s="60">
        <v>2.8565702183547561</v>
      </c>
      <c r="AN47" s="60">
        <v>2.8565702183547561</v>
      </c>
      <c r="AO47" s="60">
        <f>'Information Technology'!S399</f>
        <v>0.10427391907605775</v>
      </c>
      <c r="AP47" s="60">
        <v>2.0012569113970029E-2</v>
      </c>
      <c r="AQ47" s="60">
        <f t="shared" si="74"/>
        <v>-0.58279143716042014</v>
      </c>
      <c r="AR47" s="60">
        <f t="shared" si="75"/>
        <v>-0.29962551084041006</v>
      </c>
      <c r="AS47" s="60">
        <f t="shared" si="76"/>
        <v>4.6304669315320126</v>
      </c>
      <c r="AT47" s="60">
        <v>1.6330069413984942</v>
      </c>
      <c r="AU47" s="60">
        <v>1.6330069413984942</v>
      </c>
      <c r="AV47" s="60">
        <f>'Information Technology'!S400</f>
        <v>1.8562818181818181</v>
      </c>
      <c r="AW47" s="60">
        <v>0.89710181818181811</v>
      </c>
      <c r="AX47" s="60" t="e">
        <f t="shared" si="67"/>
        <v>#DIV/0!</v>
      </c>
      <c r="AY47" s="60" t="e">
        <f t="shared" si="68"/>
        <v>#DIV/0!</v>
      </c>
      <c r="AZ47" s="60" t="e">
        <f t="shared" si="69"/>
        <v>#DIV/0!</v>
      </c>
      <c r="BA47" s="60">
        <v>2.9464543921093105</v>
      </c>
      <c r="BB47" s="60">
        <v>2.9464543921093105</v>
      </c>
      <c r="BC47" s="60">
        <f>'Information Technology'!S401</f>
        <v>-0.21272018166466403</v>
      </c>
      <c r="BD47" s="60">
        <v>8.7087625663239368E-2</v>
      </c>
      <c r="BE47" s="60">
        <v>5</v>
      </c>
      <c r="BF47" s="60">
        <f>'Information Technology'!S402</f>
        <v>15.35577</v>
      </c>
      <c r="BG47" s="63">
        <v>23.523849999999999</v>
      </c>
      <c r="BH47" s="63">
        <f t="shared" si="51"/>
        <v>0.3503816474328838</v>
      </c>
      <c r="BI47" s="63">
        <f t="shared" si="52"/>
        <v>0.3503816474328838</v>
      </c>
      <c r="BJ47" s="63">
        <f t="shared" si="53"/>
        <v>5.3503816474328838</v>
      </c>
      <c r="BK47" s="63">
        <v>3.6085530038371258</v>
      </c>
      <c r="BL47" s="63">
        <v>3.6085530038371258</v>
      </c>
      <c r="BM47" s="63">
        <f t="shared" si="54"/>
        <v>3.0987445350441698</v>
      </c>
    </row>
    <row r="48" spans="1:65">
      <c r="A48" s="50" t="s">
        <v>175</v>
      </c>
      <c r="B48" s="50" t="s">
        <v>176</v>
      </c>
      <c r="C48" s="51">
        <v>22110.7</v>
      </c>
      <c r="D48" s="52" t="s">
        <v>77</v>
      </c>
      <c r="E48" s="68" t="str" cm="1">
        <f t="array" ref="E48">_xll.ciqfunctions.udf.CIQ(B48,"iq_industry")</f>
        <v>Software</v>
      </c>
      <c r="F48" s="60">
        <f>'Information Technology'!S769</f>
        <v>50.463575065757269</v>
      </c>
      <c r="G48" s="62">
        <v>29.418613530525935</v>
      </c>
      <c r="H48" s="62">
        <f t="shared" si="58"/>
        <v>3.2632195868790202E-2</v>
      </c>
      <c r="I48" s="62">
        <f t="shared" si="59"/>
        <v>-7.9929478583833563E-2</v>
      </c>
      <c r="J48" s="62">
        <f t="shared" si="60"/>
        <v>4.6450285473413144</v>
      </c>
      <c r="K48" s="62">
        <v>3.7302257158626171</v>
      </c>
      <c r="L48" s="108">
        <v>3.7302257158626171</v>
      </c>
      <c r="M48" s="60">
        <f>'Information Technology'!S770</f>
        <v>138.38759414999998</v>
      </c>
      <c r="N48" s="63">
        <v>21.246203103299997</v>
      </c>
      <c r="O48" s="63">
        <f t="shared" si="70"/>
        <v>-0.29692380289155906</v>
      </c>
      <c r="P48" s="63">
        <f t="shared" si="71"/>
        <v>1.4986601131170396E-2</v>
      </c>
      <c r="Q48" s="63">
        <f t="shared" si="72"/>
        <v>4.9907677542430733</v>
      </c>
      <c r="R48" s="62">
        <f t="shared" si="73"/>
        <v>1.0149866011311701</v>
      </c>
      <c r="S48" s="63">
        <v>1.1389409492124587</v>
      </c>
      <c r="T48" s="60" t="e">
        <f>'Information Technology'!S771</f>
        <v>#DIV/0!</v>
      </c>
      <c r="U48" s="63" t="e">
        <v>#DIV/0!</v>
      </c>
      <c r="Z48" s="63">
        <v>1</v>
      </c>
      <c r="AA48" s="60">
        <f>'Information Technology'!S772</f>
        <v>2.533688003483836E-2</v>
      </c>
      <c r="AB48" s="63">
        <v>-3.0058207573073981E-2</v>
      </c>
      <c r="AC48" s="60">
        <f t="shared" si="55"/>
        <v>0.60989965004954461</v>
      </c>
      <c r="AD48" s="60">
        <f t="shared" si="56"/>
        <v>0.74656788242984051</v>
      </c>
      <c r="AE48" s="60">
        <f t="shared" si="57"/>
        <v>5.2794191848192993</v>
      </c>
      <c r="AF48" s="60">
        <v>4.6726653783186718</v>
      </c>
      <c r="AG48" s="60">
        <v>4.6726653783186718</v>
      </c>
      <c r="AH48" s="60">
        <f>'Information Technology'!S773</f>
        <v>8.6833133568031629E-2</v>
      </c>
      <c r="AI48" s="63">
        <v>0.2213699403567998</v>
      </c>
      <c r="AJ48" s="60">
        <f t="shared" si="61"/>
        <v>0.46732213917475657</v>
      </c>
      <c r="AK48" s="60">
        <f t="shared" si="62"/>
        <v>0.46732213917475657</v>
      </c>
      <c r="AL48" s="60">
        <f t="shared" si="63"/>
        <v>5.4329414557433546</v>
      </c>
      <c r="AM48" s="60">
        <v>3.0256843827714714</v>
      </c>
      <c r="AN48" s="60">
        <v>3.0256843827714714</v>
      </c>
      <c r="AO48" s="60">
        <f>'Information Technology'!S774</f>
        <v>2.9932571874109543E-2</v>
      </c>
      <c r="AP48" s="60">
        <v>5.2265813947292607E-2</v>
      </c>
      <c r="AQ48" s="60">
        <f t="shared" si="74"/>
        <v>-0.30922455260127774</v>
      </c>
      <c r="AR48" s="60">
        <f t="shared" si="75"/>
        <v>-2.6058626281267649E-2</v>
      </c>
      <c r="AS48" s="60">
        <f t="shared" si="76"/>
        <v>4.9040338160911547</v>
      </c>
      <c r="AT48" s="60">
        <v>2.3726039421677179</v>
      </c>
      <c r="AU48" s="60">
        <v>2.3726039421677179</v>
      </c>
      <c r="AV48" s="60">
        <f>'Information Technology'!S775</f>
        <v>2.9844481818181814</v>
      </c>
      <c r="AW48" s="60">
        <v>1.7317045454545452</v>
      </c>
      <c r="AX48" s="60" t="e">
        <f t="shared" si="67"/>
        <v>#DIV/0!</v>
      </c>
      <c r="AY48" s="60" t="e">
        <f t="shared" si="68"/>
        <v>#DIV/0!</v>
      </c>
      <c r="AZ48" s="60" t="e">
        <f t="shared" si="69"/>
        <v>#DIV/0!</v>
      </c>
      <c r="BA48" s="60">
        <v>3.7834902142462363</v>
      </c>
      <c r="BB48" s="60">
        <v>3.7834902142462363</v>
      </c>
      <c r="BC48" s="60">
        <f>'Information Technology'!S776</f>
        <v>-9.1153622349631341E-2</v>
      </c>
      <c r="BD48" s="60">
        <v>0.36865955932455824</v>
      </c>
      <c r="BE48" s="60">
        <v>3.9</v>
      </c>
      <c r="BF48" s="60">
        <f>'Information Technology'!S777</f>
        <v>102.62421999999999</v>
      </c>
      <c r="BG48" s="63">
        <v>35.001609999999999</v>
      </c>
      <c r="BH48" s="63">
        <f t="shared" si="51"/>
        <v>-4.1247885175474709E-3</v>
      </c>
      <c r="BI48" s="63">
        <f t="shared" si="52"/>
        <v>-4.1247885175474709E-3</v>
      </c>
      <c r="BJ48" s="63">
        <f t="shared" si="53"/>
        <v>4.9958752114824527</v>
      </c>
      <c r="BK48" s="63">
        <v>2.7058178026705519</v>
      </c>
      <c r="BL48" s="63">
        <v>2.7058178026705519</v>
      </c>
      <c r="BM48" s="63">
        <f t="shared" si="54"/>
        <v>2.91457144225439</v>
      </c>
    </row>
    <row r="49" spans="1:65">
      <c r="A49" s="50" t="s">
        <v>109</v>
      </c>
      <c r="B49" s="50" t="s">
        <v>110</v>
      </c>
      <c r="C49" s="51">
        <v>70517</v>
      </c>
      <c r="D49" s="52" t="s">
        <v>67</v>
      </c>
      <c r="E49" s="68" t="str" cm="1">
        <f t="array" ref="E49">_xll.ciqfunctions.udf.CIQ(B49,"iq_industry")</f>
        <v>Software</v>
      </c>
      <c r="F49" s="60">
        <f>'Information Technology'!S304</f>
        <v>20.949971622552578</v>
      </c>
      <c r="G49" s="62">
        <v>22.344788838110528</v>
      </c>
      <c r="H49" s="62">
        <f t="shared" si="58"/>
        <v>0.13883966404976641</v>
      </c>
      <c r="I49" s="62">
        <f t="shared" si="59"/>
        <v>2.6277989597142656E-2</v>
      </c>
      <c r="J49" s="62">
        <f t="shared" si="60"/>
        <v>4.7512360155222906</v>
      </c>
      <c r="K49" s="62">
        <v>4.1101422158218801</v>
      </c>
      <c r="L49" s="108">
        <v>4.1101422158218801</v>
      </c>
      <c r="M49" s="60">
        <f>'Information Technology'!S305</f>
        <v>126.24435999999999</v>
      </c>
      <c r="N49" s="63">
        <v>72.488871540000005</v>
      </c>
      <c r="O49" s="63">
        <f t="shared" si="70"/>
        <v>-0.18400810394641948</v>
      </c>
      <c r="P49" s="63">
        <f t="shared" si="71"/>
        <v>0.12790230007630998</v>
      </c>
      <c r="Q49" s="63">
        <f t="shared" si="72"/>
        <v>5.1036834531882134</v>
      </c>
      <c r="R49" s="62">
        <f t="shared" si="73"/>
        <v>1.1279023000763102</v>
      </c>
      <c r="S49" s="63">
        <v>2.1173154318751184</v>
      </c>
      <c r="T49" s="60">
        <f>'Information Technology'!S306</f>
        <v>54.028941826638629</v>
      </c>
      <c r="U49" s="63" t="e">
        <v>#DIV/0!</v>
      </c>
      <c r="Z49" s="63">
        <v>1</v>
      </c>
      <c r="AA49" s="60">
        <f>'Information Technology'!S307</f>
        <v>-2.6999152060255049E-2</v>
      </c>
      <c r="AB49" s="63">
        <v>1.8571599583802501E-2</v>
      </c>
      <c r="AC49" s="60">
        <f t="shared" si="55"/>
        <v>0.17740128668720748</v>
      </c>
      <c r="AD49" s="60">
        <f t="shared" si="56"/>
        <v>0.31406951906750341</v>
      </c>
      <c r="AE49" s="60">
        <f t="shared" si="57"/>
        <v>4.8469208214569628</v>
      </c>
      <c r="AF49" s="60">
        <v>2.8159686363834817</v>
      </c>
      <c r="AG49" s="60">
        <v>2.8159686363834817</v>
      </c>
      <c r="AH49" s="60">
        <f>'Information Technology'!S308</f>
        <v>0.22567819524636851</v>
      </c>
      <c r="AI49" s="63">
        <v>-3.5319328824215887E-2</v>
      </c>
      <c r="AJ49" s="60"/>
      <c r="AK49" s="60"/>
      <c r="AL49" s="60"/>
      <c r="AM49" s="60"/>
      <c r="AN49" s="60">
        <v>1</v>
      </c>
      <c r="AO49" s="60">
        <f>'Information Technology'!S309</f>
        <v>7.581335787986955E-2</v>
      </c>
      <c r="AP49" s="60">
        <v>5.2790041955133933E-2</v>
      </c>
      <c r="AQ49" s="60">
        <f t="shared" si="74"/>
        <v>-0.30477813415113686</v>
      </c>
      <c r="AR49" s="60">
        <f t="shared" si="75"/>
        <v>-2.1612207831126773E-2</v>
      </c>
      <c r="AS49" s="60">
        <f t="shared" si="76"/>
        <v>4.9084802345412957</v>
      </c>
      <c r="AT49" s="60">
        <v>2.3846249795648014</v>
      </c>
      <c r="AU49" s="60">
        <v>2.3846249795648014</v>
      </c>
      <c r="AV49" s="60">
        <f>'Information Technology'!S310</f>
        <v>1.4351454545454547</v>
      </c>
      <c r="AW49" s="60">
        <v>1.2007063636363635</v>
      </c>
      <c r="AX49" s="60" t="e">
        <f t="shared" si="67"/>
        <v>#DIV/0!</v>
      </c>
      <c r="AY49" s="60" t="e">
        <f t="shared" si="68"/>
        <v>#DIV/0!</v>
      </c>
      <c r="AZ49" s="60" t="e">
        <f t="shared" si="69"/>
        <v>#DIV/0!</v>
      </c>
      <c r="BA49" s="60">
        <v>3.2509440277225075</v>
      </c>
      <c r="BB49" s="60">
        <v>3.2509440277225075</v>
      </c>
      <c r="BC49" s="60">
        <f>'Information Technology'!S311</f>
        <v>6.8414982381858683E-3</v>
      </c>
      <c r="BD49" s="60">
        <v>0.16617707748296584</v>
      </c>
      <c r="BE49" s="60">
        <v>5</v>
      </c>
      <c r="BF49" s="60">
        <f>'Information Technology'!S312</f>
        <v>15.23522</v>
      </c>
      <c r="BG49" s="63">
        <v>104.86622</v>
      </c>
      <c r="BK49" s="63">
        <v>1.0900000000000001</v>
      </c>
      <c r="BL49" s="63">
        <v>1.0900000000000001</v>
      </c>
      <c r="BM49" s="63">
        <f t="shared" si="54"/>
        <v>2.8861203674369471</v>
      </c>
    </row>
    <row r="50" spans="1:65">
      <c r="A50" s="50" t="s">
        <v>162</v>
      </c>
      <c r="B50" s="50" t="s">
        <v>163</v>
      </c>
      <c r="C50" s="51">
        <v>26289.9</v>
      </c>
      <c r="D50" s="52" t="s">
        <v>77</v>
      </c>
      <c r="E50" s="68" t="str" cm="1">
        <f t="array" ref="E50">_xll.ciqfunctions.udf.CIQ(B50,"iq_industry")</f>
        <v>Software</v>
      </c>
      <c r="F50" s="60">
        <f>'Information Technology'!S679</f>
        <v>30.542647849758175</v>
      </c>
      <c r="G50" s="62">
        <v>28.557096182875522</v>
      </c>
      <c r="H50" s="62">
        <f t="shared" si="58"/>
        <v>4.5567146940739524E-2</v>
      </c>
      <c r="I50" s="62">
        <f t="shared" si="59"/>
        <v>-6.6994527511884228E-2</v>
      </c>
      <c r="J50" s="62">
        <f t="shared" si="60"/>
        <v>4.6579634984132641</v>
      </c>
      <c r="K50" s="62">
        <v>3.7764955443649368</v>
      </c>
      <c r="L50" s="108">
        <v>3.7764955443649368</v>
      </c>
      <c r="M50" s="60">
        <f>'Information Technology'!S680</f>
        <v>56.171343580799999</v>
      </c>
      <c r="N50" s="63">
        <v>25.0513744448</v>
      </c>
      <c r="O50" s="63">
        <f t="shared" si="70"/>
        <v>-0.28853892375197543</v>
      </c>
      <c r="P50" s="63">
        <f t="shared" si="71"/>
        <v>2.337148027075403E-2</v>
      </c>
      <c r="Q50" s="63">
        <f t="shared" si="72"/>
        <v>4.999152633382657</v>
      </c>
      <c r="R50" s="62">
        <f t="shared" si="73"/>
        <v>1.0233714802707539</v>
      </c>
      <c r="S50" s="63">
        <v>1.2115929530260718</v>
      </c>
      <c r="T50" s="60">
        <f>'Information Technology'!S681</f>
        <v>89.003865035078917</v>
      </c>
      <c r="U50" s="63" t="e">
        <v>#DIV/0!</v>
      </c>
      <c r="Z50" s="63">
        <v>1</v>
      </c>
      <c r="AA50" s="60">
        <f>'Information Technology'!S682</f>
        <v>6.1292268397517002E-3</v>
      </c>
      <c r="AB50" s="63">
        <v>7.1065208673408709E-3</v>
      </c>
      <c r="AC50" s="60">
        <f t="shared" si="55"/>
        <v>0.279368126997592</v>
      </c>
      <c r="AD50" s="60">
        <f t="shared" si="56"/>
        <v>0.41603635937788797</v>
      </c>
      <c r="AE50" s="60">
        <f t="shared" si="57"/>
        <v>4.9488876617673467</v>
      </c>
      <c r="AF50" s="60">
        <v>3.2537078655400729</v>
      </c>
      <c r="AG50" s="60">
        <v>3.2537078655400729</v>
      </c>
      <c r="AH50" s="60">
        <f>'Information Technology'!S683</f>
        <v>0.20796329376792697</v>
      </c>
      <c r="AI50" s="63">
        <v>0.2620516778305772</v>
      </c>
      <c r="AJ50" s="60">
        <f>(AI50-$AI$266)/$AI$267</f>
        <v>0.67124476330838734</v>
      </c>
      <c r="AK50" s="60">
        <f>AJ50-$AJ$58</f>
        <v>0.67124476330838734</v>
      </c>
      <c r="AL50" s="60">
        <f>AK50+5-$AK$3</f>
        <v>5.6368640798769851</v>
      </c>
      <c r="AM50" s="60">
        <v>3.5110830240725717</v>
      </c>
      <c r="AN50" s="60">
        <v>3.5110830240725717</v>
      </c>
      <c r="AO50" s="60">
        <f>'Information Technology'!S684</f>
        <v>3.2057600257936136E-2</v>
      </c>
      <c r="AP50" s="60">
        <v>0.16684449428162954</v>
      </c>
      <c r="AQ50" s="60">
        <f t="shared" si="74"/>
        <v>0.66261356098840585</v>
      </c>
      <c r="AR50" s="60">
        <f t="shared" si="75"/>
        <v>0.94577948730841599</v>
      </c>
      <c r="AS50" s="60">
        <f t="shared" si="76"/>
        <v>5.8758719296808382</v>
      </c>
      <c r="AT50" s="60">
        <v>4.93</v>
      </c>
      <c r="AU50" s="60">
        <v>4.93</v>
      </c>
      <c r="AV50" s="60">
        <f>'Information Technology'!S685</f>
        <v>0.8979290909090909</v>
      </c>
      <c r="AW50" s="60">
        <v>-1.5762799999999999</v>
      </c>
      <c r="AX50" s="60"/>
      <c r="AY50" s="60"/>
      <c r="AZ50" s="60"/>
      <c r="BA50" s="60"/>
      <c r="BB50" s="60">
        <v>1</v>
      </c>
      <c r="BC50" s="60">
        <f>'Information Technology'!S686</f>
        <v>0.17339100461384363</v>
      </c>
      <c r="BD50" s="60">
        <v>0.19306039561043298</v>
      </c>
      <c r="BE50" s="60">
        <v>5</v>
      </c>
      <c r="BF50" s="60">
        <f>'Information Technology'!S687</f>
        <v>25.226610000000001</v>
      </c>
      <c r="BG50" s="63">
        <v>34.08325</v>
      </c>
      <c r="BH50" s="63">
        <f>-(BG50-$BG$266)/$BG$267</f>
        <v>2.4240025742328846E-2</v>
      </c>
      <c r="BI50" s="63">
        <f>BH50-$BH$16</f>
        <v>2.4240025742328846E-2</v>
      </c>
      <c r="BJ50" s="63">
        <f>BI50+5-$BI$70</f>
        <v>5.024240025742329</v>
      </c>
      <c r="BK50" s="63">
        <v>2.7780475669576026</v>
      </c>
      <c r="BL50" s="63">
        <v>2.7780475669576026</v>
      </c>
      <c r="BM50" s="63">
        <f t="shared" si="54"/>
        <v>2.8846917911683727</v>
      </c>
    </row>
    <row r="51" spans="1:65">
      <c r="A51" s="50" t="s">
        <v>191</v>
      </c>
      <c r="B51" s="50" t="s">
        <v>192</v>
      </c>
      <c r="C51" s="51">
        <v>16713.900000000001</v>
      </c>
      <c r="D51" s="52" t="s">
        <v>77</v>
      </c>
      <c r="E51" s="68" t="str" cm="1">
        <f t="array" ref="E51">_xll.ciqfunctions.udf.CIQ(B51,"iq_industry")</f>
        <v>Software</v>
      </c>
      <c r="F51" s="60">
        <f>'Information Technology'!S889</f>
        <v>57.897346698801151</v>
      </c>
      <c r="G51" s="62">
        <v>24.675710172163019</v>
      </c>
      <c r="H51" s="62">
        <f t="shared" si="58"/>
        <v>0.1038428604557821</v>
      </c>
      <c r="I51" s="62">
        <f t="shared" si="59"/>
        <v>-8.7188139968416567E-3</v>
      </c>
      <c r="J51" s="62">
        <f t="shared" si="60"/>
        <v>4.7162392119283068</v>
      </c>
      <c r="K51" s="62">
        <v>3.9849545679200178</v>
      </c>
      <c r="L51" s="108">
        <v>3.9849545679200178</v>
      </c>
      <c r="M51" s="60">
        <f>'Information Technology'!S890</f>
        <v>36.957360694800002</v>
      </c>
      <c r="N51" s="63">
        <v>16.453646256600003</v>
      </c>
      <c r="O51" s="63">
        <f t="shared" si="70"/>
        <v>-0.30748443376010826</v>
      </c>
      <c r="P51" s="63">
        <f t="shared" si="71"/>
        <v>4.4259702626212039E-3</v>
      </c>
      <c r="Q51" s="63">
        <f t="shared" si="72"/>
        <v>4.980207123374524</v>
      </c>
      <c r="R51" s="62">
        <f t="shared" si="73"/>
        <v>1.0044259702626208</v>
      </c>
      <c r="S51" s="63">
        <v>1.0474368283582978</v>
      </c>
      <c r="T51" s="60" t="e">
        <f>'Information Technology'!S891</f>
        <v>#DIV/0!</v>
      </c>
      <c r="U51" s="63" t="e">
        <v>#DIV/0!</v>
      </c>
      <c r="Z51" s="63">
        <v>1</v>
      </c>
      <c r="AA51" s="60">
        <f>'Information Technology'!S892</f>
        <v>0.304950624314547</v>
      </c>
      <c r="AB51" s="63">
        <v>2.6608070365430336E-4</v>
      </c>
      <c r="AC51" s="60">
        <f t="shared" si="55"/>
        <v>0.34020487195791199</v>
      </c>
      <c r="AD51" s="60">
        <f t="shared" si="56"/>
        <v>0.47687310433820795</v>
      </c>
      <c r="AE51" s="60">
        <f t="shared" si="57"/>
        <v>5.0097244067276669</v>
      </c>
      <c r="AF51" s="60">
        <v>3.5148773767484585</v>
      </c>
      <c r="AG51" s="60">
        <v>3.5148773767484585</v>
      </c>
      <c r="AH51" s="60">
        <f>'Information Technology'!S893</f>
        <v>-3.4434082913242625E-2</v>
      </c>
      <c r="AI51" s="63">
        <v>0.12760678425750827</v>
      </c>
      <c r="AJ51" s="60">
        <f>(AI51-$AI$266)/$AI$267</f>
        <v>-2.6781613567386942E-3</v>
      </c>
      <c r="AK51" s="60">
        <f>AJ51-$AJ$58</f>
        <v>-2.6781613567386942E-3</v>
      </c>
      <c r="AL51" s="60">
        <f>AK51+5-$AK$3</f>
        <v>4.9629411552118592</v>
      </c>
      <c r="AM51" s="60">
        <v>1.9069389357748809</v>
      </c>
      <c r="AN51" s="60">
        <v>1.9069389357748809</v>
      </c>
      <c r="AO51" s="60">
        <f>'Information Technology'!S894</f>
        <v>0.11868526704113028</v>
      </c>
      <c r="AP51" s="60">
        <v>0.11436171940481886</v>
      </c>
      <c r="AQ51" s="60">
        <f t="shared" si="74"/>
        <v>0.21746302527441905</v>
      </c>
      <c r="AR51" s="60">
        <f t="shared" si="75"/>
        <v>0.50062895159442911</v>
      </c>
      <c r="AS51" s="60">
        <f t="shared" si="76"/>
        <v>5.4307213939668513</v>
      </c>
      <c r="AT51" s="60">
        <v>3.7965209983823867</v>
      </c>
      <c r="AU51" s="60">
        <v>3.7965209983823867</v>
      </c>
      <c r="AV51" s="60" t="e">
        <f>'Information Technology'!S895</f>
        <v>#DIV/0!</v>
      </c>
      <c r="AW51" s="60">
        <v>1.0447590909090909</v>
      </c>
      <c r="AX51" s="60" t="e">
        <f>(AW51-$AW$266)/$AW$267</f>
        <v>#DIV/0!</v>
      </c>
      <c r="AY51" s="60" t="e">
        <f>AX51-$AX$67</f>
        <v>#DIV/0!</v>
      </c>
      <c r="AZ51" s="60" t="e">
        <f>AY51+5-$AY$14</f>
        <v>#DIV/0!</v>
      </c>
      <c r="BA51" s="60">
        <v>3.0945421261089878</v>
      </c>
      <c r="BB51" s="60">
        <v>3.0945421261089878</v>
      </c>
      <c r="BC51" s="60">
        <f>'Information Technology'!S896</f>
        <v>0.36917131682480669</v>
      </c>
      <c r="BD51" s="60">
        <v>0.32483613941578027</v>
      </c>
      <c r="BE51" s="60">
        <v>4.4000000000000004</v>
      </c>
      <c r="BF51" s="60" t="str">
        <f>'Information Technology'!S897</f>
        <v>NM</v>
      </c>
      <c r="BG51" s="63">
        <v>28.90588</v>
      </c>
      <c r="BH51" s="63">
        <f>-(BG51-$BG$266)/$BG$267</f>
        <v>0.18415023350906071</v>
      </c>
      <c r="BI51" s="63">
        <f>BH51-$BH$16</f>
        <v>0.18415023350906071</v>
      </c>
      <c r="BJ51" s="63">
        <f>BI51+5-$BI$70</f>
        <v>5.1841502335090608</v>
      </c>
      <c r="BK51" s="63">
        <v>3.1852519472952103</v>
      </c>
      <c r="BL51" s="63">
        <v>3.1852519472952103</v>
      </c>
      <c r="BM51" s="63">
        <f t="shared" si="54"/>
        <v>2.8823694179982868</v>
      </c>
    </row>
    <row r="52" spans="1:65" ht="22.5">
      <c r="A52" s="50" t="s">
        <v>181</v>
      </c>
      <c r="B52" s="50" t="s">
        <v>182</v>
      </c>
      <c r="C52" s="51">
        <v>20720.900000000001</v>
      </c>
      <c r="D52" s="52" t="s">
        <v>77</v>
      </c>
      <c r="E52" s="68" t="str" cm="1">
        <f t="array" ref="E52">_xll.ciqfunctions.udf.CIQ(B52,"iq_industry")</f>
        <v>Software</v>
      </c>
      <c r="F52" s="60">
        <f>'Information Technology'!S814</f>
        <v>57.36988139467163</v>
      </c>
      <c r="G52" s="62">
        <v>9.3377453711102394</v>
      </c>
      <c r="H52" s="62">
        <f t="shared" si="58"/>
        <v>0.33412937155852052</v>
      </c>
      <c r="I52" s="62">
        <f t="shared" si="59"/>
        <v>0.22156769710589674</v>
      </c>
      <c r="J52" s="62">
        <f t="shared" si="60"/>
        <v>4.9465257230310451</v>
      </c>
      <c r="K52" s="62">
        <v>4.8087162749301227</v>
      </c>
      <c r="L52" s="108">
        <v>4.8087162749301227</v>
      </c>
      <c r="M52" s="60">
        <f>'Information Technology'!S815</f>
        <v>83.137380622099997</v>
      </c>
      <c r="N52" s="63">
        <v>19.869177838999999</v>
      </c>
      <c r="O52" s="63">
        <f t="shared" si="70"/>
        <v>-0.29995814467989945</v>
      </c>
      <c r="P52" s="63">
        <f t="shared" si="71"/>
        <v>1.1952259342830007E-2</v>
      </c>
      <c r="Q52" s="63">
        <f t="shared" si="72"/>
        <v>4.987733412454733</v>
      </c>
      <c r="R52" s="62">
        <f t="shared" si="73"/>
        <v>1.0119522593428298</v>
      </c>
      <c r="S52" s="63">
        <v>1.1126494538303016</v>
      </c>
      <c r="T52" s="60" t="e">
        <f>'Information Technology'!S816</f>
        <v>#DIV/0!</v>
      </c>
      <c r="U52" s="63" t="e">
        <v>#DIV/0!</v>
      </c>
      <c r="Z52" s="63">
        <v>1</v>
      </c>
      <c r="AA52" s="60">
        <f>'Information Technology'!S817</f>
        <v>3.4128158587847235E-3</v>
      </c>
      <c r="AB52" s="63">
        <v>0.27214593639425044</v>
      </c>
      <c r="AC52" s="60"/>
      <c r="AD52" s="60"/>
      <c r="AE52" s="60"/>
      <c r="AF52" s="60">
        <v>1.1299999999999999</v>
      </c>
      <c r="AG52" s="60">
        <v>1.1299999999999999</v>
      </c>
      <c r="AH52" s="60">
        <f>'Information Technology'!S818</f>
        <v>0.17213750753572046</v>
      </c>
      <c r="AI52" s="63">
        <v>0.13084838457640727</v>
      </c>
      <c r="AJ52" s="60">
        <f>(AI52-$AI$266)/$AI$267</f>
        <v>1.3570791723212435E-2</v>
      </c>
      <c r="AK52" s="60">
        <f>AJ52-$AJ$58</f>
        <v>1.3570791723212435E-2</v>
      </c>
      <c r="AL52" s="60">
        <f>AK52+5-$AK$3</f>
        <v>4.9791901082918111</v>
      </c>
      <c r="AM52" s="60">
        <v>1.9456164478022124</v>
      </c>
      <c r="AN52" s="60">
        <v>1.9456164478022124</v>
      </c>
      <c r="AO52" s="60">
        <f>'Information Technology'!S819</f>
        <v>5.6920008638989078E-2</v>
      </c>
      <c r="AP52" s="60">
        <v>5.648233304228939E-2</v>
      </c>
      <c r="AQ52" s="60">
        <f t="shared" si="74"/>
        <v>-0.27346070935191075</v>
      </c>
      <c r="AR52" s="60">
        <f t="shared" si="75"/>
        <v>9.7052169680993394E-3</v>
      </c>
      <c r="AS52" s="60">
        <f t="shared" si="76"/>
        <v>4.9397976593405213</v>
      </c>
      <c r="AT52" s="60">
        <v>2.469292659611857</v>
      </c>
      <c r="AU52" s="60">
        <v>2.469292659611857</v>
      </c>
      <c r="AV52" s="60">
        <f>'Information Technology'!S820</f>
        <v>0.72047090909090916</v>
      </c>
      <c r="AW52" s="60" t="e">
        <v>#DIV/0!</v>
      </c>
      <c r="AX52" s="60"/>
      <c r="AY52" s="60"/>
      <c r="AZ52" s="60"/>
      <c r="BA52" s="60"/>
      <c r="BB52" s="60">
        <v>1</v>
      </c>
      <c r="BC52" s="60">
        <f>'Information Technology'!S821</f>
        <v>-1.9741019845964106E-2</v>
      </c>
      <c r="BD52" s="60">
        <v>9.0096372063476309E-3</v>
      </c>
      <c r="BE52" s="60">
        <v>5</v>
      </c>
      <c r="BF52" s="60">
        <f>'Information Technology'!S822</f>
        <v>57.632669999999997</v>
      </c>
      <c r="BG52" s="63">
        <v>37.899850000000001</v>
      </c>
      <c r="BH52" s="63">
        <f>-(BG52-$BG$266)/$BG$267</f>
        <v>-9.3640925196566582E-2</v>
      </c>
      <c r="BI52" s="63">
        <f>BH52-$BH$16</f>
        <v>-9.3640925196566582E-2</v>
      </c>
      <c r="BJ52" s="63">
        <f>BI52+5-$BI$70</f>
        <v>4.9063590748034338</v>
      </c>
      <c r="BK52" s="63">
        <v>2.4778688588497184</v>
      </c>
      <c r="BL52" s="63">
        <v>2.4778688588497184</v>
      </c>
      <c r="BM52" s="63">
        <f t="shared" si="54"/>
        <v>2.8805559204217466</v>
      </c>
    </row>
    <row r="53" spans="1:65">
      <c r="A53" s="50" t="s">
        <v>99</v>
      </c>
      <c r="B53" s="50" t="s">
        <v>100</v>
      </c>
      <c r="C53" s="51">
        <v>113182.3</v>
      </c>
      <c r="D53" s="52" t="s">
        <v>67</v>
      </c>
      <c r="E53" s="68" t="str" cm="1">
        <f t="array" ref="E53">_xll.ciqfunctions.udf.CIQ(B53,"iq_industry")</f>
        <v>Software</v>
      </c>
      <c r="F53" s="60">
        <f>'Information Technology'!S229</f>
        <v>-144.09174003069515</v>
      </c>
      <c r="G53" s="62">
        <v>42.38751643666636</v>
      </c>
      <c r="H53" s="62">
        <f t="shared" si="58"/>
        <v>-0.16208486352100904</v>
      </c>
      <c r="I53" s="62">
        <f t="shared" si="59"/>
        <v>-0.27464653797363281</v>
      </c>
      <c r="J53" s="62">
        <f t="shared" si="60"/>
        <v>4.4503114879515158</v>
      </c>
      <c r="K53" s="62">
        <v>3.0337000858600467</v>
      </c>
      <c r="L53" s="108">
        <v>3.0337000858600467</v>
      </c>
      <c r="M53" s="60">
        <f>'Information Technology'!S230</f>
        <v>56.384700539999997</v>
      </c>
      <c r="N53" s="63">
        <v>111.49097126999997</v>
      </c>
      <c r="O53" s="63">
        <f t="shared" si="70"/>
        <v>-9.8065090327189644E-2</v>
      </c>
      <c r="P53" s="63">
        <f t="shared" si="71"/>
        <v>0.21384531369553983</v>
      </c>
      <c r="Q53" s="63">
        <f t="shared" si="72"/>
        <v>5.189626466807443</v>
      </c>
      <c r="R53" s="62">
        <f t="shared" si="73"/>
        <v>1.2138453136955398</v>
      </c>
      <c r="S53" s="63">
        <v>2.8619811628027243</v>
      </c>
      <c r="T53" s="60" t="e">
        <f>'Information Technology'!S231</f>
        <v>#DIV/0!</v>
      </c>
      <c r="U53" s="63" t="e">
        <v>#DIV/0!</v>
      </c>
      <c r="Z53" s="63">
        <v>1</v>
      </c>
      <c r="AA53" s="60">
        <f>'Information Technology'!S232</f>
        <v>0.53920703797834735</v>
      </c>
      <c r="AB53" s="63">
        <v>2.5047995905291831E-2</v>
      </c>
      <c r="AC53" s="60">
        <f t="shared" ref="AC53:AC60" si="77">-(AB53-$AB$266)/$AB$267</f>
        <v>0.11980223430984438</v>
      </c>
      <c r="AD53" s="60">
        <f t="shared" ref="AD53:AD60" si="78">AC53-$AC$9</f>
        <v>0.25647046669014029</v>
      </c>
      <c r="AE53" s="60">
        <f t="shared" ref="AE53:AE60" si="79">AD53+5-$AD$69</f>
        <v>4.7893217690795993</v>
      </c>
      <c r="AF53" s="60">
        <v>2.5686983992057071</v>
      </c>
      <c r="AG53" s="60">
        <v>2.5686983992057071</v>
      </c>
      <c r="AH53" s="60">
        <f>'Information Technology'!S233</f>
        <v>-0.87655956743995245</v>
      </c>
      <c r="AI53" s="63">
        <v>8.3166119215811934E-2</v>
      </c>
      <c r="AJ53" s="60">
        <f>(AI53-$AI$266)/$AI$267</f>
        <v>-0.22544291026619453</v>
      </c>
      <c r="AK53" s="60">
        <f>AJ53-$AJ$58</f>
        <v>-0.22544291026619453</v>
      </c>
      <c r="AL53" s="60">
        <f>AK53+5-$AK$3</f>
        <v>4.7401764063024041</v>
      </c>
      <c r="AM53" s="60">
        <v>1.376690235269864</v>
      </c>
      <c r="AN53" s="60">
        <v>1.376690235269864</v>
      </c>
      <c r="AO53" s="60">
        <f>'Information Technology'!S234</f>
        <v>-1.4151094251101082E-2</v>
      </c>
      <c r="AP53" s="60">
        <v>2.9662282164734592E-2</v>
      </c>
      <c r="AQ53" s="60">
        <f t="shared" si="74"/>
        <v>-0.5009441083155407</v>
      </c>
      <c r="AR53" s="60">
        <f t="shared" si="75"/>
        <v>-0.21777818199553062</v>
      </c>
      <c r="AS53" s="60">
        <f t="shared" si="76"/>
        <v>4.7123142603768917</v>
      </c>
      <c r="AT53" s="60">
        <v>1.8542838661702801</v>
      </c>
      <c r="AU53" s="60">
        <v>1.8542838661702801</v>
      </c>
      <c r="AV53" s="60" t="e">
        <f>'Information Technology'!S235</f>
        <v>#DIV/0!</v>
      </c>
      <c r="AW53" s="60">
        <v>2.9199572727272729</v>
      </c>
      <c r="AX53" s="60" t="e">
        <f t="shared" ref="AX53:AX58" si="80">(AW53-$AW$266)/$AW$267</f>
        <v>#DIV/0!</v>
      </c>
      <c r="AY53" s="60" t="e">
        <f t="shared" ref="AY53:AY58" si="81">AX53-$AX$67</f>
        <v>#DIV/0!</v>
      </c>
      <c r="AZ53" s="60" t="e">
        <f t="shared" ref="AZ53:AZ58" si="82">AY53+5-$AY$14</f>
        <v>#DIV/0!</v>
      </c>
      <c r="BA53" s="60">
        <v>4.95</v>
      </c>
      <c r="BB53" s="60">
        <v>4.95</v>
      </c>
      <c r="BC53" s="60">
        <f>'Information Technology'!S236</f>
        <v>-1.9360375859943952E-3</v>
      </c>
      <c r="BD53" s="60">
        <v>-9.1875697129899986E-2</v>
      </c>
      <c r="BE53" s="60">
        <v>5</v>
      </c>
      <c r="BF53" s="60" t="str">
        <f>'Information Technology'!S237</f>
        <v>NM</v>
      </c>
      <c r="BG53" s="63">
        <v>96.881140000000002</v>
      </c>
      <c r="BK53" s="63">
        <v>1.1200000000000001</v>
      </c>
      <c r="BL53" s="63">
        <v>1.1200000000000001</v>
      </c>
      <c r="BM53" s="63">
        <f t="shared" si="54"/>
        <v>2.7477210467009554</v>
      </c>
    </row>
    <row r="54" spans="1:65" ht="22.5">
      <c r="A54" s="50" t="s">
        <v>113</v>
      </c>
      <c r="B54" s="50" t="s">
        <v>114</v>
      </c>
      <c r="C54" s="51">
        <v>62691.1</v>
      </c>
      <c r="D54" s="52" t="s">
        <v>77</v>
      </c>
      <c r="E54" s="68" t="str" cm="1">
        <f t="array" ref="E54">_xll.ciqfunctions.udf.CIQ(B54,"iq_industry")</f>
        <v>Software</v>
      </c>
      <c r="F54" s="60">
        <f>'Information Technology'!S334</f>
        <v>15.782787001444587</v>
      </c>
      <c r="G54" s="62">
        <v>47.891158931006153</v>
      </c>
      <c r="H54" s="62">
        <f t="shared" si="58"/>
        <v>-0.24471737994791401</v>
      </c>
      <c r="I54" s="62">
        <f t="shared" si="59"/>
        <v>-0.35727905440053775</v>
      </c>
      <c r="J54" s="62">
        <f t="shared" si="60"/>
        <v>4.3676789715246107</v>
      </c>
      <c r="K54" s="62">
        <v>2.7381139377160952</v>
      </c>
      <c r="L54" s="108">
        <v>2.7381139377160952</v>
      </c>
      <c r="M54" s="60">
        <f>'Information Technology'!S335</f>
        <v>76.347326516999999</v>
      </c>
      <c r="N54" s="63">
        <v>63.577116800000006</v>
      </c>
      <c r="O54" s="63">
        <f t="shared" si="70"/>
        <v>-0.20364558665358595</v>
      </c>
      <c r="P54" s="63">
        <f t="shared" si="71"/>
        <v>0.10826481736914351</v>
      </c>
      <c r="Q54" s="63">
        <f t="shared" si="72"/>
        <v>5.0840459704810463</v>
      </c>
      <c r="R54" s="62">
        <f t="shared" si="73"/>
        <v>1.1082648173691432</v>
      </c>
      <c r="S54" s="63">
        <v>1.947163609197605</v>
      </c>
      <c r="T54" s="60">
        <f>'Information Technology'!S336</f>
        <v>44.422568608014622</v>
      </c>
      <c r="U54" s="63" t="e">
        <v>#DIV/0!</v>
      </c>
      <c r="Z54" s="63">
        <v>1</v>
      </c>
      <c r="AA54" s="60">
        <f>'Information Technology'!S337</f>
        <v>-3.0619513847059521E-2</v>
      </c>
      <c r="AB54" s="63">
        <v>-6.2074436079120332E-3</v>
      </c>
      <c r="AC54" s="60">
        <f t="shared" si="77"/>
        <v>0.39777838157325573</v>
      </c>
      <c r="AD54" s="60">
        <f t="shared" si="78"/>
        <v>0.53444661395355164</v>
      </c>
      <c r="AE54" s="60">
        <f t="shared" si="79"/>
        <v>5.0672979163430112</v>
      </c>
      <c r="AF54" s="60">
        <v>3.762037959955169</v>
      </c>
      <c r="AG54" s="60">
        <v>3.762037959955169</v>
      </c>
      <c r="AH54" s="60">
        <f>'Information Technology'!S338</f>
        <v>0.29593644810522013</v>
      </c>
      <c r="AI54" s="63">
        <v>0.24798893797757163</v>
      </c>
      <c r="AJ54" s="60">
        <f>(AI54-$AI$266)/$AI$267</f>
        <v>0.60075340793837761</v>
      </c>
      <c r="AK54" s="60">
        <f>AJ54-$AJ$58</f>
        <v>0.60075340793837761</v>
      </c>
      <c r="AL54" s="60">
        <f>AK54+5-$AK$3</f>
        <v>5.5663727245069756</v>
      </c>
      <c r="AM54" s="60">
        <v>3.3432918912081098</v>
      </c>
      <c r="AN54" s="60">
        <v>3.3432918912081098</v>
      </c>
      <c r="AO54" s="60">
        <f>'Information Technology'!S339</f>
        <v>2.2116012404013573E-2</v>
      </c>
      <c r="AP54" s="60">
        <v>0.16289523389170266</v>
      </c>
      <c r="AQ54" s="60">
        <f t="shared" si="74"/>
        <v>0.62911656349967826</v>
      </c>
      <c r="AR54" s="60">
        <f t="shared" si="75"/>
        <v>0.9122824898196884</v>
      </c>
      <c r="AS54" s="60">
        <f t="shared" si="76"/>
        <v>5.8423749321921106</v>
      </c>
      <c r="AT54" s="60">
        <v>4.9094397740524718</v>
      </c>
      <c r="AU54" s="60">
        <v>4.9094397740524718</v>
      </c>
      <c r="AV54" s="60">
        <f>'Information Technology'!S340</f>
        <v>1.3316881818181814</v>
      </c>
      <c r="AW54" s="60">
        <v>1.3636536363636367</v>
      </c>
      <c r="AX54" s="60" t="e">
        <f t="shared" si="80"/>
        <v>#DIV/0!</v>
      </c>
      <c r="AY54" s="60" t="e">
        <f t="shared" si="81"/>
        <v>#DIV/0!</v>
      </c>
      <c r="AZ54" s="60" t="e">
        <f t="shared" si="82"/>
        <v>#DIV/0!</v>
      </c>
      <c r="BA54" s="60">
        <v>3.4143663362475953</v>
      </c>
      <c r="BB54" s="60">
        <v>3.4143663362475953</v>
      </c>
      <c r="BC54" s="60">
        <f>'Information Technology'!S341</f>
        <v>0.17670580180370324</v>
      </c>
      <c r="BD54" s="60">
        <v>5.804010288530357E-2</v>
      </c>
      <c r="BE54" s="60">
        <v>5</v>
      </c>
      <c r="BF54" s="60">
        <f>'Information Technology'!S342</f>
        <v>18.50245</v>
      </c>
      <c r="BG54" s="63">
        <v>50.019730000000003</v>
      </c>
      <c r="BH54" s="63">
        <f>-(BG54-$BG$266)/$BG$267</f>
        <v>-0.46798012230008795</v>
      </c>
      <c r="BI54" s="63">
        <f>BH54-$BH$16</f>
        <v>-0.46798012230008795</v>
      </c>
      <c r="BJ54" s="63">
        <f>BI54+5-$BI$70</f>
        <v>4.5320198776999119</v>
      </c>
      <c r="BK54" s="63">
        <v>1.5246303950802425</v>
      </c>
      <c r="BL54" s="63">
        <v>1.5246303950802425</v>
      </c>
      <c r="BM54" s="63">
        <f t="shared" si="54"/>
        <v>2.7168330004581125</v>
      </c>
    </row>
    <row r="55" spans="1:65">
      <c r="A55" s="50" t="s">
        <v>117</v>
      </c>
      <c r="B55" s="50" t="s">
        <v>118</v>
      </c>
      <c r="C55" s="51">
        <v>60474.8</v>
      </c>
      <c r="D55" s="52" t="s">
        <v>77</v>
      </c>
      <c r="E55" s="68" t="str" cm="1">
        <f t="array" ref="E55">_xll.ciqfunctions.udf.CIQ(B55,"iq_industry")</f>
        <v>Software</v>
      </c>
      <c r="F55" s="60">
        <f>'Information Technology'!S364</f>
        <v>10.284767674179447</v>
      </c>
      <c r="G55" s="62">
        <v>32.404061963810037</v>
      </c>
      <c r="H55" s="62">
        <f t="shared" si="58"/>
        <v>-1.2191776065931066E-2</v>
      </c>
      <c r="I55" s="62">
        <f t="shared" si="59"/>
        <v>-0.12475345051855483</v>
      </c>
      <c r="J55" s="62">
        <f t="shared" si="60"/>
        <v>4.6002045754065932</v>
      </c>
      <c r="K55" s="62">
        <v>3.5698851407281671</v>
      </c>
      <c r="L55" s="108">
        <v>3.5698851407281671</v>
      </c>
      <c r="M55" s="60">
        <f>'Information Technology'!S365</f>
        <v>15.197312198700001</v>
      </c>
      <c r="N55" s="63">
        <v>54.66892</v>
      </c>
      <c r="O55" s="63">
        <f t="shared" si="70"/>
        <v>-0.2232752292678345</v>
      </c>
      <c r="P55" s="63">
        <f t="shared" si="71"/>
        <v>8.8635174754894963E-2</v>
      </c>
      <c r="Q55" s="63">
        <f t="shared" si="72"/>
        <v>5.0644163278667982</v>
      </c>
      <c r="R55" s="62">
        <f t="shared" si="73"/>
        <v>1.088635174754895</v>
      </c>
      <c r="S55" s="63">
        <v>1.7770797181445177</v>
      </c>
      <c r="T55" s="60">
        <f>'Information Technology'!S366</f>
        <v>15.840941158053726</v>
      </c>
      <c r="U55" s="63" t="e">
        <v>#DIV/0!</v>
      </c>
      <c r="Z55" s="63">
        <v>1</v>
      </c>
      <c r="AA55" s="60">
        <f>'Information Technology'!S367</f>
        <v>-2.0635936041900615E-2</v>
      </c>
      <c r="AB55" s="63">
        <v>3.3688449278966637E-2</v>
      </c>
      <c r="AC55" s="60">
        <f t="shared" si="77"/>
        <v>4.2956732316227889E-2</v>
      </c>
      <c r="AD55" s="60">
        <f t="shared" si="78"/>
        <v>0.17962496469652384</v>
      </c>
      <c r="AE55" s="60">
        <f t="shared" si="79"/>
        <v>4.7124762670859832</v>
      </c>
      <c r="AF55" s="60">
        <v>2.238803987410237</v>
      </c>
      <c r="AG55" s="60">
        <v>2.238803987410237</v>
      </c>
      <c r="AH55" s="60">
        <f>'Information Technology'!S368</f>
        <v>0.23987489851538801</v>
      </c>
      <c r="AI55" s="63">
        <v>-6.0558008797203099E-2</v>
      </c>
      <c r="AJ55" s="60"/>
      <c r="AK55" s="60"/>
      <c r="AL55" s="60"/>
      <c r="AM55" s="60"/>
      <c r="AN55" s="60">
        <v>1</v>
      </c>
      <c r="AO55" s="60">
        <f>'Information Technology'!S369</f>
        <v>4.2613938535929437E-2</v>
      </c>
      <c r="AP55" s="60">
        <v>3.382563618005037E-2</v>
      </c>
      <c r="AQ55" s="60">
        <f t="shared" si="74"/>
        <v>-0.46563120280254205</v>
      </c>
      <c r="AR55" s="60">
        <f t="shared" si="75"/>
        <v>-0.18246527648253197</v>
      </c>
      <c r="AS55" s="60">
        <f t="shared" si="76"/>
        <v>4.7476271658898908</v>
      </c>
      <c r="AT55" s="60">
        <v>1.9497534587269572</v>
      </c>
      <c r="AU55" s="60">
        <v>1.9497534587269572</v>
      </c>
      <c r="AV55" s="60">
        <f>'Information Technology'!S370</f>
        <v>0.5372163636363636</v>
      </c>
      <c r="AW55" s="60">
        <v>2.9446781818181815</v>
      </c>
      <c r="AX55" s="60" t="e">
        <f t="shared" si="80"/>
        <v>#DIV/0!</v>
      </c>
      <c r="AY55" s="60" t="e">
        <f t="shared" si="81"/>
        <v>#DIV/0!</v>
      </c>
      <c r="AZ55" s="60" t="e">
        <f t="shared" si="82"/>
        <v>#DIV/0!</v>
      </c>
      <c r="BA55" s="60">
        <v>4.9800000000000004</v>
      </c>
      <c r="BB55" s="60">
        <v>4.9800000000000004</v>
      </c>
      <c r="BC55" s="60">
        <f>'Information Technology'!S371</f>
        <v>0.16545511355647594</v>
      </c>
      <c r="BD55" s="60">
        <v>9.3422549947234333E-3</v>
      </c>
      <c r="BE55" s="60">
        <v>5</v>
      </c>
      <c r="BF55" s="60">
        <f>'Information Technology'!S372</f>
        <v>9.7658199999999997</v>
      </c>
      <c r="BG55" s="63">
        <v>133.79161999999999</v>
      </c>
      <c r="BK55" s="63">
        <v>1.04</v>
      </c>
      <c r="BL55" s="63">
        <v>1.04</v>
      </c>
      <c r="BM55" s="63">
        <f t="shared" si="54"/>
        <v>2.6625870911770178</v>
      </c>
    </row>
    <row r="56" spans="1:65">
      <c r="A56" s="50" t="s">
        <v>111</v>
      </c>
      <c r="B56" s="50" t="s">
        <v>112</v>
      </c>
      <c r="C56" s="51">
        <v>67958.7</v>
      </c>
      <c r="D56" s="52" t="s">
        <v>77</v>
      </c>
      <c r="E56" s="68" t="str" cm="1">
        <f t="array" ref="E56">_xll.ciqfunctions.udf.CIQ(B56,"iq_industry")</f>
        <v>Software</v>
      </c>
      <c r="F56" s="60">
        <f>'Information Technology'!S319</f>
        <v>19.37823784589191</v>
      </c>
      <c r="G56" s="62">
        <v>48.279884455103748</v>
      </c>
      <c r="H56" s="62">
        <f t="shared" si="58"/>
        <v>-0.25055376345003771</v>
      </c>
      <c r="I56" s="62">
        <f t="shared" si="59"/>
        <v>-0.36311543790266149</v>
      </c>
      <c r="J56" s="62">
        <f t="shared" si="60"/>
        <v>4.3618425880224869</v>
      </c>
      <c r="K56" s="62">
        <v>2.7172365132701186</v>
      </c>
      <c r="L56" s="108">
        <v>2.7172365132701186</v>
      </c>
      <c r="M56" s="60">
        <f>'Information Technology'!S320</f>
        <v>95.889223360000003</v>
      </c>
      <c r="N56" s="63">
        <v>69.964640552800006</v>
      </c>
      <c r="O56" s="63">
        <f t="shared" si="70"/>
        <v>-0.18957036904529423</v>
      </c>
      <c r="P56" s="63">
        <f t="shared" si="71"/>
        <v>0.12234003497743523</v>
      </c>
      <c r="Q56" s="63">
        <f t="shared" si="72"/>
        <v>5.0981211880893387</v>
      </c>
      <c r="R56" s="62">
        <f t="shared" si="73"/>
        <v>1.1223400349774355</v>
      </c>
      <c r="S56" s="63">
        <v>2.0691203776055778</v>
      </c>
      <c r="T56" s="60">
        <f>'Information Technology'!S321</f>
        <v>48.720088096013264</v>
      </c>
      <c r="U56" s="63" t="e">
        <v>#DIV/0!</v>
      </c>
      <c r="Z56" s="63">
        <v>1</v>
      </c>
      <c r="AA56" s="60">
        <f>'Information Technology'!S322</f>
        <v>-1.8287306844096185E-2</v>
      </c>
      <c r="AB56" s="63">
        <v>3.4128158587847235E-3</v>
      </c>
      <c r="AC56" s="60">
        <f t="shared" si="77"/>
        <v>0.31221878926302737</v>
      </c>
      <c r="AD56" s="60">
        <f t="shared" si="78"/>
        <v>0.44888702164332328</v>
      </c>
      <c r="AE56" s="60">
        <f t="shared" si="79"/>
        <v>4.9817383240327828</v>
      </c>
      <c r="AF56" s="60">
        <v>3.3947343358473097</v>
      </c>
      <c r="AG56" s="60">
        <v>3.3947343358473097</v>
      </c>
      <c r="AH56" s="60">
        <f>'Information Technology'!S323</f>
        <v>0.24523222992534988</v>
      </c>
      <c r="AI56" s="63">
        <v>0.17213750753572046</v>
      </c>
      <c r="AJ56" s="60">
        <f>(AI56-$AI$266)/$AI$267</f>
        <v>0.22053801645068397</v>
      </c>
      <c r="AK56" s="60">
        <f>AJ56-$AJ$58</f>
        <v>0.22053801645068397</v>
      </c>
      <c r="AL56" s="60">
        <f>AK56+5-$AK$3</f>
        <v>5.1861573330192821</v>
      </c>
      <c r="AM56" s="60">
        <v>2.4382621760699186</v>
      </c>
      <c r="AN56" s="60">
        <v>2.4382621760699186</v>
      </c>
      <c r="AO56" s="60">
        <f>'Information Technology'!S324</f>
        <v>2.78260043165891E-2</v>
      </c>
      <c r="AP56" s="60">
        <v>5.6920008638989078E-2</v>
      </c>
      <c r="AQ56" s="60">
        <f t="shared" si="74"/>
        <v>-0.26974841466480398</v>
      </c>
      <c r="AR56" s="60">
        <f t="shared" si="75"/>
        <v>1.3417511655206105E-2</v>
      </c>
      <c r="AS56" s="60">
        <f t="shared" si="76"/>
        <v>4.9435099540276282</v>
      </c>
      <c r="AT56" s="60">
        <v>2.4793289694560849</v>
      </c>
      <c r="AU56" s="60">
        <v>2.4793289694560849</v>
      </c>
      <c r="AV56" s="60">
        <f>'Information Technology'!S325</f>
        <v>1.1841990909090909</v>
      </c>
      <c r="AW56" s="60">
        <v>0.72047090909090916</v>
      </c>
      <c r="AX56" s="60" t="e">
        <f t="shared" si="80"/>
        <v>#DIV/0!</v>
      </c>
      <c r="AY56" s="60" t="e">
        <f t="shared" si="81"/>
        <v>#DIV/0!</v>
      </c>
      <c r="AZ56" s="60" t="e">
        <f t="shared" si="82"/>
        <v>#DIV/0!</v>
      </c>
      <c r="BA56" s="60">
        <v>2.7693085556838453</v>
      </c>
      <c r="BB56" s="60">
        <v>2.7693085556838453</v>
      </c>
      <c r="BC56" s="60">
        <f>'Information Technology'!S326</f>
        <v>9.0782128775264079E-2</v>
      </c>
      <c r="BD56" s="60">
        <v>-1.9741019845964106E-2</v>
      </c>
      <c r="BE56" s="60">
        <v>5</v>
      </c>
      <c r="BF56" s="60">
        <f>'Information Technology'!S327</f>
        <v>17.839849999999998</v>
      </c>
      <c r="BG56" s="63">
        <v>47.733199999999997</v>
      </c>
      <c r="BH56" s="63">
        <f>-(BG56-$BG$266)/$BG$267</f>
        <v>-0.39735749201388737</v>
      </c>
      <c r="BI56" s="63">
        <f>BH56-$BH$16</f>
        <v>-0.39735749201388737</v>
      </c>
      <c r="BJ56" s="63">
        <f>BI56+5-$BI$70</f>
        <v>4.6026425079861131</v>
      </c>
      <c r="BK56" s="63">
        <v>1.7044678476427118</v>
      </c>
      <c r="BL56" s="63">
        <v>1.7044678476427118</v>
      </c>
      <c r="BM56" s="63">
        <f t="shared" si="54"/>
        <v>2.5684363285070799</v>
      </c>
    </row>
    <row r="57" spans="1:65">
      <c r="A57" s="50" t="s">
        <v>193</v>
      </c>
      <c r="B57" s="50" t="s">
        <v>194</v>
      </c>
      <c r="C57" s="51">
        <v>16350.8</v>
      </c>
      <c r="D57" s="52" t="s">
        <v>77</v>
      </c>
      <c r="E57" s="68" t="str" cm="1">
        <f t="array" ref="E57">_xll.ciqfunctions.udf.CIQ(B57,"iq_industry")</f>
        <v>Software</v>
      </c>
      <c r="F57" s="60">
        <f>'Information Technology'!S904</f>
        <v>69.429130715437267</v>
      </c>
      <c r="G57" s="62">
        <v>27.577777984534901</v>
      </c>
      <c r="H57" s="62">
        <f t="shared" si="58"/>
        <v>6.0270777707958495E-2</v>
      </c>
      <c r="I57" s="62">
        <f t="shared" si="59"/>
        <v>-5.2290896744665263E-2</v>
      </c>
      <c r="J57" s="62">
        <f t="shared" si="60"/>
        <v>4.6726671291804829</v>
      </c>
      <c r="K57" s="62">
        <v>3.8290921464066718</v>
      </c>
      <c r="L57" s="108">
        <v>3.8290921464066718</v>
      </c>
      <c r="M57" s="60">
        <f>'Information Technology'!S905</f>
        <v>50.3980405215</v>
      </c>
      <c r="N57" s="63">
        <v>16.183356486000001</v>
      </c>
      <c r="O57" s="63">
        <f t="shared" si="70"/>
        <v>-0.30808003034584658</v>
      </c>
      <c r="P57" s="63">
        <f t="shared" si="71"/>
        <v>3.8303736768828811E-3</v>
      </c>
      <c r="Q57" s="63">
        <f t="shared" si="72"/>
        <v>4.9796115267887862</v>
      </c>
      <c r="R57" s="62">
        <f t="shared" si="73"/>
        <v>1.003830373676883</v>
      </c>
      <c r="S57" s="63">
        <v>1.0422761951877897</v>
      </c>
      <c r="T57" s="60" t="e">
        <f>'Information Technology'!S906</f>
        <v>#DIV/0!</v>
      </c>
      <c r="U57" s="63" t="e">
        <v>#DIV/0!</v>
      </c>
      <c r="Z57" s="63">
        <v>1</v>
      </c>
      <c r="AA57" s="60">
        <f>'Information Technology'!S907</f>
        <v>0.38168078025164975</v>
      </c>
      <c r="AB57" s="63">
        <v>1.9032384229215049E-2</v>
      </c>
      <c r="AC57" s="60">
        <f t="shared" si="77"/>
        <v>0.17330321152189723</v>
      </c>
      <c r="AD57" s="60">
        <f t="shared" si="78"/>
        <v>0.30997144390219317</v>
      </c>
      <c r="AE57" s="60">
        <f t="shared" si="79"/>
        <v>4.8428227462916524</v>
      </c>
      <c r="AF57" s="60">
        <v>2.7983757771909437</v>
      </c>
      <c r="AG57" s="60">
        <v>2.7983757771909437</v>
      </c>
      <c r="AH57" s="60">
        <f>'Information Technology'!S908</f>
        <v>-0.17553660951781411</v>
      </c>
      <c r="AI57" s="63">
        <v>0.11360870651036126</v>
      </c>
      <c r="AJ57" s="60">
        <f>(AI57-$AI$266)/$AI$267</f>
        <v>-7.284538931411802E-2</v>
      </c>
      <c r="AK57" s="60">
        <f>AJ57-$AJ$58</f>
        <v>-7.284538931411802E-2</v>
      </c>
      <c r="AL57" s="60">
        <f>AK57+5-$AK$3</f>
        <v>4.8927739272544803</v>
      </c>
      <c r="AM57" s="60">
        <v>1.7399193259641637</v>
      </c>
      <c r="AN57" s="60">
        <v>1.7399193259641637</v>
      </c>
      <c r="AO57" s="60">
        <f>'Information Technology'!S909</f>
        <v>4.4713927782927605E-2</v>
      </c>
      <c r="AP57" s="60">
        <v>2.4670458299756795E-2</v>
      </c>
      <c r="AQ57" s="60">
        <f t="shared" si="74"/>
        <v>-0.54328396311362537</v>
      </c>
      <c r="AR57" s="60">
        <f t="shared" si="75"/>
        <v>-0.26011803679361528</v>
      </c>
      <c r="AS57" s="60">
        <f t="shared" si="76"/>
        <v>4.6699744055788068</v>
      </c>
      <c r="AT57" s="60">
        <v>1.7398166868838265</v>
      </c>
      <c r="AU57" s="60">
        <v>1.7398166868838265</v>
      </c>
      <c r="AV57" s="60" t="e">
        <f>'Information Technology'!S910</f>
        <v>#DIV/0!</v>
      </c>
      <c r="AW57" s="60">
        <v>-0.44280636363636383</v>
      </c>
      <c r="AX57" s="60" t="e">
        <f t="shared" si="80"/>
        <v>#DIV/0!</v>
      </c>
      <c r="AY57" s="60" t="e">
        <f t="shared" si="81"/>
        <v>#DIV/0!</v>
      </c>
      <c r="AZ57" s="60" t="e">
        <f t="shared" si="82"/>
        <v>#DIV/0!</v>
      </c>
      <c r="BA57" s="60">
        <v>1.6026400120375808</v>
      </c>
      <c r="BB57" s="60">
        <v>1.6026400120375808</v>
      </c>
      <c r="BC57" s="60">
        <f>'Information Technology'!S911</f>
        <v>0.25241448977483893</v>
      </c>
      <c r="BD57" s="60">
        <v>0.25335527048196849</v>
      </c>
      <c r="BE57" s="60">
        <v>4.75</v>
      </c>
      <c r="BF57" s="60" t="str">
        <f>'Information Technology'!S912</f>
        <v>NM</v>
      </c>
      <c r="BG57" s="63">
        <v>49.979239999999997</v>
      </c>
      <c r="BH57" s="63">
        <f>-(BG57-$BG$266)/$BG$267</f>
        <v>-0.46672953284782248</v>
      </c>
      <c r="BI57" s="63">
        <f>BH57-$BH$16</f>
        <v>-0.46672953284782248</v>
      </c>
      <c r="BJ57" s="63">
        <f>BI57+5-$BI$70</f>
        <v>4.5332704671521773</v>
      </c>
      <c r="BK57" s="63">
        <v>1.5278149666599967</v>
      </c>
      <c r="BL57" s="63">
        <v>1.5278149666599967</v>
      </c>
      <c r="BM57" s="63">
        <f t="shared" si="54"/>
        <v>2.5494817975994479</v>
      </c>
    </row>
    <row r="58" spans="1:65">
      <c r="A58" s="50" t="s">
        <v>164</v>
      </c>
      <c r="B58" s="50" t="s">
        <v>165</v>
      </c>
      <c r="C58" s="51">
        <v>24447.3</v>
      </c>
      <c r="D58" s="52" t="s">
        <v>77</v>
      </c>
      <c r="E58" s="68" t="str" cm="1">
        <f t="array" ref="E58">_xll.ciqfunctions.udf.CIQ(B58,"iq_industry")</f>
        <v>Software</v>
      </c>
      <c r="F58" s="60">
        <f>'Information Technology'!S694</f>
        <v>35.79119715744919</v>
      </c>
      <c r="G58" s="62">
        <v>20.045722873406906</v>
      </c>
      <c r="H58" s="62">
        <f t="shared" si="58"/>
        <v>0.17335818633574196</v>
      </c>
      <c r="I58" s="62">
        <f t="shared" si="59"/>
        <v>6.0796511883118201E-2</v>
      </c>
      <c r="J58" s="62">
        <f t="shared" si="60"/>
        <v>4.7857545378082662</v>
      </c>
      <c r="K58" s="62">
        <v>4.2336189957062027</v>
      </c>
      <c r="L58" s="108">
        <v>4.2336189957062027</v>
      </c>
      <c r="M58" s="60">
        <f>'Information Technology'!S695</f>
        <v>26.690644800000001</v>
      </c>
      <c r="N58" s="63">
        <v>24.6613675302</v>
      </c>
      <c r="O58" s="63">
        <f t="shared" si="70"/>
        <v>-0.28939832285625694</v>
      </c>
      <c r="P58" s="63">
        <f t="shared" si="71"/>
        <v>2.251208116647252E-2</v>
      </c>
      <c r="Q58" s="63">
        <f t="shared" si="72"/>
        <v>4.9982932342783757</v>
      </c>
      <c r="R58" s="62">
        <f t="shared" si="73"/>
        <v>1.0225120811664725</v>
      </c>
      <c r="S58" s="63">
        <v>1.2041465645972966</v>
      </c>
      <c r="T58" s="60" t="e">
        <f>'Information Technology'!S696</f>
        <v>#DIV/0!</v>
      </c>
      <c r="U58" s="63" t="e">
        <v>#DIV/0!</v>
      </c>
      <c r="Z58" s="63">
        <v>1</v>
      </c>
      <c r="AA58" s="60">
        <f>'Information Technology'!S697</f>
        <v>-3.1181868196176632E-2</v>
      </c>
      <c r="AB58" s="63">
        <v>2.3456621113379539E-2</v>
      </c>
      <c r="AC58" s="60">
        <f t="shared" si="77"/>
        <v>0.1339554262149211</v>
      </c>
      <c r="AD58" s="60">
        <f t="shared" si="78"/>
        <v>0.27062365859521703</v>
      </c>
      <c r="AE58" s="60">
        <f t="shared" si="79"/>
        <v>4.8034749609846763</v>
      </c>
      <c r="AF58" s="60">
        <v>2.6294574390639092</v>
      </c>
      <c r="AG58" s="60">
        <v>2.6294574390639092</v>
      </c>
      <c r="AH58" s="60">
        <f>'Information Technology'!S698</f>
        <v>0.2214761193059098</v>
      </c>
      <c r="AI58" s="63">
        <v>-0.19536930526110069</v>
      </c>
      <c r="AJ58" s="60"/>
      <c r="AK58" s="60"/>
      <c r="AL58" s="60"/>
      <c r="AM58" s="60"/>
      <c r="AN58" s="60">
        <v>1</v>
      </c>
      <c r="AO58" s="60">
        <f>'Information Technology'!S699</f>
        <v>5.3760326202112789E-2</v>
      </c>
      <c r="AP58" s="60">
        <v>3.2572675959101065E-2</v>
      </c>
      <c r="AQ58" s="60">
        <f t="shared" si="74"/>
        <v>-0.47625861179326484</v>
      </c>
      <c r="AR58" s="60">
        <f t="shared" si="75"/>
        <v>-0.19309268547325475</v>
      </c>
      <c r="AS58" s="60">
        <f t="shared" si="76"/>
        <v>4.7369997568991673</v>
      </c>
      <c r="AT58" s="60">
        <v>1.9210219116752993</v>
      </c>
      <c r="AU58" s="60">
        <v>1.9210219116752993</v>
      </c>
      <c r="AV58" s="60">
        <f>'Information Technology'!S700</f>
        <v>1.7692272727272726</v>
      </c>
      <c r="AW58" s="60">
        <v>2.7312700000000003</v>
      </c>
      <c r="AX58" s="60" t="e">
        <f t="shared" si="80"/>
        <v>#DIV/0!</v>
      </c>
      <c r="AY58" s="60" t="e">
        <f t="shared" si="81"/>
        <v>#DIV/0!</v>
      </c>
      <c r="AZ58" s="60" t="e">
        <f t="shared" si="82"/>
        <v>#DIV/0!</v>
      </c>
      <c r="BA58" s="60">
        <v>4.7859696750540861</v>
      </c>
      <c r="BB58" s="60">
        <v>4.7859696750540861</v>
      </c>
      <c r="BC58" s="60">
        <f>'Information Technology'!S701</f>
        <v>0.37309167549361277</v>
      </c>
      <c r="BD58" s="60">
        <v>0.79301578561325736</v>
      </c>
      <c r="BE58" s="60">
        <v>1.3</v>
      </c>
      <c r="BF58" s="60">
        <f>'Information Technology'!S702</f>
        <v>41.834699999999998</v>
      </c>
      <c r="BG58" s="63">
        <v>156.00542999999999</v>
      </c>
      <c r="BK58" s="63">
        <v>1.02</v>
      </c>
      <c r="BL58" s="63">
        <v>1.02</v>
      </c>
      <c r="BM58" s="63">
        <f t="shared" si="54"/>
        <v>2.5183769041373139</v>
      </c>
    </row>
    <row r="59" spans="1:65" ht="22.5">
      <c r="A59" s="50" t="s">
        <v>203</v>
      </c>
      <c r="B59" s="50" t="s">
        <v>204</v>
      </c>
      <c r="C59" s="51">
        <v>15278.8</v>
      </c>
      <c r="D59" s="52" t="s">
        <v>77</v>
      </c>
      <c r="E59" s="68" t="str" cm="1">
        <f t="array" ref="E59">_xll.ciqfunctions.udf.CIQ(B59,"iq_industry")</f>
        <v>Software</v>
      </c>
      <c r="F59" s="60">
        <f>'Information Technology'!S979</f>
        <v>14.953116628141233</v>
      </c>
      <c r="G59" s="62">
        <v>28.904815192104355</v>
      </c>
      <c r="H59" s="62">
        <f t="shared" si="58"/>
        <v>4.0346441422239927E-2</v>
      </c>
      <c r="I59" s="62">
        <f t="shared" si="59"/>
        <v>-7.2215233030383824E-2</v>
      </c>
      <c r="J59" s="62">
        <f t="shared" si="60"/>
        <v>4.652742792894764</v>
      </c>
      <c r="K59" s="62">
        <v>3.7578204718688424</v>
      </c>
      <c r="L59" s="108">
        <v>3.7578204718688424</v>
      </c>
      <c r="M59" s="60">
        <f>'Information Technology'!S980</f>
        <v>16.3420840932</v>
      </c>
      <c r="N59" s="63">
        <v>15.832717226000003</v>
      </c>
      <c r="O59" s="63">
        <f t="shared" si="70"/>
        <v>-0.30885268091866785</v>
      </c>
      <c r="P59" s="63">
        <f t="shared" si="71"/>
        <v>3.0577231040616049E-3</v>
      </c>
      <c r="Q59" s="63">
        <f t="shared" si="72"/>
        <v>4.9788388762159652</v>
      </c>
      <c r="R59" s="62">
        <f t="shared" si="73"/>
        <v>1.003057723104062</v>
      </c>
      <c r="S59" s="63">
        <v>1.0355814520163351</v>
      </c>
      <c r="T59" s="60">
        <f>'Information Technology'!S981</f>
        <v>17.757407629609048</v>
      </c>
      <c r="U59" s="63">
        <v>155.90101037717548</v>
      </c>
      <c r="V59" s="63" t="e">
        <f>-(U59-$U$266)/$U$267</f>
        <v>#DIV/0!</v>
      </c>
      <c r="W59" s="63" t="e">
        <f>V59-$V$42</f>
        <v>#DIV/0!</v>
      </c>
      <c r="X59" s="63" t="e">
        <f>W59+5-$W$70</f>
        <v>#DIV/0!</v>
      </c>
      <c r="Y59" s="63">
        <v>1.6</v>
      </c>
      <c r="Z59" s="63">
        <v>1.6</v>
      </c>
      <c r="AA59" s="60">
        <f>'Information Technology'!S982</f>
        <v>-2.7494328753659647E-2</v>
      </c>
      <c r="AB59" s="63">
        <v>4.5711075446927429E-2</v>
      </c>
      <c r="AC59" s="60">
        <f t="shared" si="77"/>
        <v>-6.3968761428506771E-2</v>
      </c>
      <c r="AD59" s="60">
        <f t="shared" si="78"/>
        <v>7.2699470951789164E-2</v>
      </c>
      <c r="AE59" s="60">
        <f t="shared" si="79"/>
        <v>4.605550773341248</v>
      </c>
      <c r="AF59" s="60">
        <v>1.7797774738247085</v>
      </c>
      <c r="AG59" s="60">
        <v>1.7797774738247085</v>
      </c>
      <c r="AH59" s="60">
        <f>'Information Technology'!S983</f>
        <v>0.16273101678527446</v>
      </c>
      <c r="AI59" s="63">
        <v>0.14183502220692623</v>
      </c>
      <c r="AJ59" s="60">
        <f>(AI59-$AI$266)/$AI$267</f>
        <v>6.8642775250583959E-2</v>
      </c>
      <c r="AK59" s="60">
        <f>AJ59-$AJ$58</f>
        <v>6.8642775250583959E-2</v>
      </c>
      <c r="AL59" s="60">
        <f>AK59+5-$AK$3</f>
        <v>5.0342620918191825</v>
      </c>
      <c r="AM59" s="60">
        <v>2.0767047274451089</v>
      </c>
      <c r="AN59" s="60">
        <v>2.0767047274451089</v>
      </c>
      <c r="AO59" s="60">
        <f>'Information Technology'!S984</f>
        <v>7.2860319956797176E-2</v>
      </c>
      <c r="AP59" s="60">
        <v>0.46612909095388361</v>
      </c>
      <c r="AQ59" s="60"/>
      <c r="AR59" s="60"/>
      <c r="AT59" s="60">
        <v>4.99</v>
      </c>
      <c r="AU59" s="60">
        <v>4.99</v>
      </c>
      <c r="AV59" s="60">
        <f>'Information Technology'!S985</f>
        <v>0.72935545454545458</v>
      </c>
      <c r="AW59" s="60" t="e">
        <v>#DIV/0!</v>
      </c>
      <c r="AX59" s="60"/>
      <c r="AY59" s="60"/>
      <c r="AZ59" s="60"/>
      <c r="BA59" s="60"/>
      <c r="BB59" s="60">
        <v>1</v>
      </c>
      <c r="BC59" s="60">
        <f>'Information Technology'!S986</f>
        <v>2.5534700684133757E-2</v>
      </c>
      <c r="BD59" s="60">
        <v>0.46653907855421944</v>
      </c>
      <c r="BE59" s="60">
        <v>2.4</v>
      </c>
      <c r="BF59" s="60">
        <f>'Information Technology'!S987</f>
        <v>11.61327</v>
      </c>
      <c r="BG59" s="63">
        <v>54.216940000000001</v>
      </c>
      <c r="BH59" s="63">
        <f>-(BG59-$BG$266)/$BG$267</f>
        <v>-0.59761673763579015</v>
      </c>
      <c r="BI59" s="63">
        <f>BH59-$BH$16</f>
        <v>-0.59761673763579015</v>
      </c>
      <c r="BJ59" s="63">
        <f>BI59+5-$BI$70</f>
        <v>4.4023832623642098</v>
      </c>
      <c r="BK59" s="63">
        <v>1.1945163995194052</v>
      </c>
      <c r="BL59" s="63">
        <v>1.1945163995194052</v>
      </c>
      <c r="BM59" s="63">
        <f t="shared" si="54"/>
        <v>2.3604629868846558</v>
      </c>
    </row>
    <row r="60" spans="1:65">
      <c r="A60" s="50" t="s">
        <v>173</v>
      </c>
      <c r="B60" s="50" t="s">
        <v>174</v>
      </c>
      <c r="C60" s="51">
        <v>22327</v>
      </c>
      <c r="D60" s="52" t="s">
        <v>67</v>
      </c>
      <c r="E60" s="68" t="str" cm="1">
        <f t="array" ref="E60">_xll.ciqfunctions.udf.CIQ(B60,"iq_industry")</f>
        <v>Software</v>
      </c>
      <c r="F60" s="60">
        <f>'Information Technology'!S754</f>
        <v>8.9879492444395268</v>
      </c>
      <c r="G60" s="62">
        <v>20.030841159099854</v>
      </c>
      <c r="H60" s="62">
        <f t="shared" si="58"/>
        <v>0.17358162263328539</v>
      </c>
      <c r="I60" s="62">
        <f t="shared" si="59"/>
        <v>6.1019948180661629E-2</v>
      </c>
      <c r="J60" s="62">
        <f t="shared" si="60"/>
        <v>4.7859779741058102</v>
      </c>
      <c r="K60" s="62">
        <v>4.234418253400416</v>
      </c>
      <c r="L60" s="108">
        <v>4.234418253400416</v>
      </c>
      <c r="M60" s="60">
        <f>'Information Technology'!S755</f>
        <v>19.881898785000001</v>
      </c>
      <c r="N60" s="63">
        <v>22.6021796966</v>
      </c>
      <c r="O60" s="63">
        <f t="shared" si="70"/>
        <v>-0.2939358428680709</v>
      </c>
      <c r="P60" s="63">
        <f t="shared" si="71"/>
        <v>1.7974561154658564E-2</v>
      </c>
      <c r="Q60" s="63">
        <f t="shared" si="72"/>
        <v>4.9937557142665616</v>
      </c>
      <c r="R60" s="62">
        <f t="shared" si="73"/>
        <v>1.0179745611546585</v>
      </c>
      <c r="S60" s="63">
        <v>1.1648305630527567</v>
      </c>
      <c r="T60" s="60" t="e">
        <f>'Information Technology'!S756</f>
        <v>#DIV/0!</v>
      </c>
      <c r="U60" s="63" t="e">
        <v>#DIV/0!</v>
      </c>
      <c r="Z60" s="63">
        <v>1</v>
      </c>
      <c r="AA60" s="60">
        <f>'Information Technology'!S757</f>
        <v>0.27506314996171843</v>
      </c>
      <c r="AB60" s="63">
        <v>4.2056464751293765E-2</v>
      </c>
      <c r="AC60" s="60">
        <f t="shared" si="77"/>
        <v>-3.1465791809706913E-2</v>
      </c>
      <c r="AD60" s="60">
        <f t="shared" si="78"/>
        <v>0.10520244057058903</v>
      </c>
      <c r="AE60" s="60">
        <f t="shared" si="79"/>
        <v>4.6380537429600484</v>
      </c>
      <c r="AF60" s="60">
        <v>1.9193113146588896</v>
      </c>
      <c r="AG60" s="60">
        <v>1.9193113146588896</v>
      </c>
      <c r="AH60" s="60">
        <f>'Information Technology'!S758</f>
        <v>0.1361256774116987</v>
      </c>
      <c r="AI60" s="63">
        <v>-0.25615176179831195</v>
      </c>
      <c r="AJ60" s="60"/>
      <c r="AK60" s="60"/>
      <c r="AL60" s="60"/>
      <c r="AM60" s="60"/>
      <c r="AN60" s="60">
        <v>1</v>
      </c>
      <c r="AO60" s="60">
        <f>'Information Technology'!S759</f>
        <v>5.4898858313336178E-2</v>
      </c>
      <c r="AP60" s="60">
        <v>3.4118192239798596E-2</v>
      </c>
      <c r="AQ60" s="60">
        <f t="shared" ref="AQ60:AQ69" si="83">(AP60-$AP$266)/$AP$267</f>
        <v>-0.46314978890952707</v>
      </c>
      <c r="AR60" s="60">
        <f t="shared" ref="AR60:AR69" si="84">AQ60-$AQ$66</f>
        <v>-0.17998386258951699</v>
      </c>
      <c r="AS60" s="60">
        <f t="shared" ref="AS60:AS69" si="85">AR60+5-$AR$8</f>
        <v>4.7501085797829052</v>
      </c>
      <c r="AT60" s="60">
        <v>1.9564620421722765</v>
      </c>
      <c r="AU60" s="60">
        <v>1.9564620421722765</v>
      </c>
      <c r="AV60" s="60" t="e">
        <f>'Information Technology'!S760</f>
        <v>#DIV/0!</v>
      </c>
      <c r="AW60" s="60" t="e">
        <v>#DIV/0!</v>
      </c>
      <c r="AX60" s="60"/>
      <c r="AY60" s="60"/>
      <c r="AZ60" s="60"/>
      <c r="BA60" s="60"/>
      <c r="BB60" s="60">
        <v>1</v>
      </c>
      <c r="BC60" s="60">
        <f>'Information Technology'!S761</f>
        <v>8.7470716481784314E-3</v>
      </c>
      <c r="BD60" s="60">
        <v>0.59020170674332317</v>
      </c>
      <c r="BE60" s="60">
        <v>1.8</v>
      </c>
      <c r="BF60" s="60">
        <f>'Information Technology'!S762</f>
        <v>26.77685</v>
      </c>
      <c r="BG60" s="63" t="s">
        <v>612</v>
      </c>
      <c r="BL60" s="63">
        <v>1</v>
      </c>
      <c r="BM60" s="63">
        <f t="shared" si="54"/>
        <v>2.3084935341702648</v>
      </c>
    </row>
    <row r="61" spans="1:65">
      <c r="A61" s="50" t="s">
        <v>151</v>
      </c>
      <c r="B61" s="50" t="s">
        <v>152</v>
      </c>
      <c r="C61" s="51">
        <v>28847</v>
      </c>
      <c r="D61" s="52" t="s">
        <v>77</v>
      </c>
      <c r="E61" s="68" t="str" cm="1">
        <f t="array" ref="E61">_xll.ciqfunctions.udf.CIQ(B61,"iq_industry")</f>
        <v>Software</v>
      </c>
      <c r="F61" s="60">
        <f>'Information Technology'!S604</f>
        <v>24.552895288018082</v>
      </c>
      <c r="G61" s="62">
        <v>47.924749781456669</v>
      </c>
      <c r="H61" s="62">
        <f t="shared" si="58"/>
        <v>-0.24522171803028411</v>
      </c>
      <c r="I61" s="62">
        <f t="shared" si="59"/>
        <v>-0.35778339248290786</v>
      </c>
      <c r="J61" s="62">
        <f t="shared" si="60"/>
        <v>4.3671746334422403</v>
      </c>
      <c r="K61" s="62">
        <v>2.7363098615778361</v>
      </c>
      <c r="L61" s="108">
        <v>2.7363098615778361</v>
      </c>
      <c r="M61" s="60">
        <f>'Information Technology'!S605</f>
        <v>219.69795120000001</v>
      </c>
      <c r="N61" s="63">
        <v>28.495952652800003</v>
      </c>
      <c r="O61" s="63">
        <f t="shared" si="70"/>
        <v>-0.28094862902702405</v>
      </c>
      <c r="P61" s="63">
        <f t="shared" si="71"/>
        <v>3.0961774995705404E-2</v>
      </c>
      <c r="Q61" s="63">
        <f t="shared" si="72"/>
        <v>5.0067429281076086</v>
      </c>
      <c r="R61" s="62">
        <f t="shared" si="73"/>
        <v>1.0309617749957054</v>
      </c>
      <c r="S61" s="63">
        <v>1.2773601647083863</v>
      </c>
      <c r="T61" s="60" t="e">
        <f>'Information Technology'!S606</f>
        <v>#DIV/0!</v>
      </c>
      <c r="U61" s="63" t="e">
        <v>#DIV/0!</v>
      </c>
      <c r="Z61" s="63">
        <v>1</v>
      </c>
      <c r="AA61" s="60">
        <f>'Information Technology'!S607</f>
        <v>4.7639084666477816E-2</v>
      </c>
      <c r="AB61" s="63">
        <v>0.30211499492368721</v>
      </c>
      <c r="AC61" s="60"/>
      <c r="AD61" s="60"/>
      <c r="AE61" s="60"/>
      <c r="AF61" s="60">
        <v>1.1200000000000001</v>
      </c>
      <c r="AG61" s="60">
        <v>1.1200000000000001</v>
      </c>
      <c r="AH61" s="60">
        <f>'Information Technology'!S608</f>
        <v>6.1024210452230256E-2</v>
      </c>
      <c r="AI61" s="63">
        <v>-4.2579828138956007E-2</v>
      </c>
      <c r="AJ61" s="60"/>
      <c r="AK61" s="60"/>
      <c r="AL61" s="60"/>
      <c r="AM61" s="60"/>
      <c r="AN61" s="60">
        <v>1</v>
      </c>
      <c r="AO61" s="60">
        <f>'Information Technology'!S609</f>
        <v>5.728652077761593E-2</v>
      </c>
      <c r="AP61" s="60">
        <v>0.12488277336834951</v>
      </c>
      <c r="AQ61" s="60">
        <f t="shared" si="83"/>
        <v>0.30670092893203982</v>
      </c>
      <c r="AR61" s="60">
        <f t="shared" si="84"/>
        <v>0.58986685525204985</v>
      </c>
      <c r="AS61" s="60">
        <f t="shared" si="85"/>
        <v>5.5199592976244718</v>
      </c>
      <c r="AT61" s="60">
        <v>4.0377785833655597</v>
      </c>
      <c r="AU61" s="60">
        <v>4.0377785833655597</v>
      </c>
      <c r="AV61" s="60">
        <f>'Information Technology'!S610</f>
        <v>1.8961172727272728</v>
      </c>
      <c r="AW61" s="60" t="e">
        <v>#DIV/0!</v>
      </c>
      <c r="AX61" s="60"/>
      <c r="AY61" s="60"/>
      <c r="AZ61" s="60"/>
      <c r="BA61" s="60"/>
      <c r="BB61" s="60">
        <v>1</v>
      </c>
      <c r="BC61" s="60">
        <f>'Information Technology'!S611</f>
        <v>0.13850655418140628</v>
      </c>
      <c r="BD61" s="60">
        <v>0.38136428767113739</v>
      </c>
      <c r="BE61" s="60">
        <v>3.9</v>
      </c>
      <c r="BF61" s="60">
        <f>'Information Technology'!S612</f>
        <v>24.707850000000001</v>
      </c>
      <c r="BG61" s="63" t="s">
        <v>612</v>
      </c>
      <c r="BL61" s="63">
        <v>1</v>
      </c>
      <c r="BM61" s="63">
        <f t="shared" si="54"/>
        <v>1.9498360561612311</v>
      </c>
    </row>
    <row r="62" spans="1:65">
      <c r="A62" s="50" t="s">
        <v>143</v>
      </c>
      <c r="B62" s="50" t="s">
        <v>144</v>
      </c>
      <c r="C62" s="51">
        <v>38819.800000000003</v>
      </c>
      <c r="D62" s="52" t="s">
        <v>67</v>
      </c>
      <c r="E62" s="68" t="str" cm="1">
        <f t="array" ref="E62">_xll.ciqfunctions.udf.CIQ(B62,"iq_industry")</f>
        <v>Software</v>
      </c>
      <c r="F62" s="60">
        <f>'Information Technology'!S544</f>
        <v>-74.345054680850524</v>
      </c>
      <c r="G62" s="62">
        <v>53.761666052255492</v>
      </c>
      <c r="H62" s="62">
        <f t="shared" si="58"/>
        <v>-0.33285805707761368</v>
      </c>
      <c r="I62" s="62">
        <f t="shared" si="59"/>
        <v>-0.44541973153023745</v>
      </c>
      <c r="J62" s="62">
        <f t="shared" si="60"/>
        <v>4.2795382943949107</v>
      </c>
      <c r="K62" s="62">
        <v>2.4228244563578256</v>
      </c>
      <c r="L62" s="108">
        <v>2.4228244563578256</v>
      </c>
      <c r="M62" s="60">
        <f>'Information Technology'!S545</f>
        <v>30.818716289999998</v>
      </c>
      <c r="N62" s="63">
        <v>39.025155525999999</v>
      </c>
      <c r="O62" s="63">
        <f t="shared" si="70"/>
        <v>-0.25774702110859155</v>
      </c>
      <c r="P62" s="63">
        <f t="shared" si="71"/>
        <v>5.4163382914137914E-2</v>
      </c>
      <c r="Q62" s="63">
        <f t="shared" si="72"/>
        <v>5.0299445360260409</v>
      </c>
      <c r="R62" s="62">
        <f t="shared" si="73"/>
        <v>1.0541633829141377</v>
      </c>
      <c r="S62" s="63">
        <v>1.4783938682252638</v>
      </c>
      <c r="T62" s="60" t="e">
        <f>'Information Technology'!S546</f>
        <v>#DIV/0!</v>
      </c>
      <c r="U62" s="63" t="e">
        <v>#DIV/0!</v>
      </c>
      <c r="Z62" s="63">
        <v>1</v>
      </c>
      <c r="AA62" s="60">
        <f>'Information Technology'!S547</f>
        <v>-8.3558692168549387E-3</v>
      </c>
      <c r="AB62" s="63">
        <v>0.38168078025164975</v>
      </c>
      <c r="AC62" s="60"/>
      <c r="AD62" s="60"/>
      <c r="AE62" s="60"/>
      <c r="AF62" s="60">
        <v>1.05</v>
      </c>
      <c r="AG62" s="60">
        <v>1.05</v>
      </c>
      <c r="AH62" s="60">
        <f>'Information Technology'!S548</f>
        <v>-7.1071985168345647E-2</v>
      </c>
      <c r="AI62" s="63">
        <v>-0.17553660951781411</v>
      </c>
      <c r="AJ62" s="60"/>
      <c r="AK62" s="60"/>
      <c r="AL62" s="60"/>
      <c r="AM62" s="60"/>
      <c r="AN62" s="60">
        <v>1</v>
      </c>
      <c r="AO62" s="60">
        <f>'Information Technology'!S549</f>
        <v>-2.2792591406829897E-2</v>
      </c>
      <c r="AP62" s="60">
        <v>4.4713927782927605E-2</v>
      </c>
      <c r="AQ62" s="60">
        <f t="shared" si="83"/>
        <v>-0.37327844799093429</v>
      </c>
      <c r="AR62" s="60">
        <f t="shared" si="84"/>
        <v>-9.0112521670924206E-2</v>
      </c>
      <c r="AS62" s="60">
        <f t="shared" si="85"/>
        <v>4.8399799207014977</v>
      </c>
      <c r="AT62" s="60">
        <v>2.1994321454638888</v>
      </c>
      <c r="AU62" s="60">
        <v>2.1994321454638888</v>
      </c>
      <c r="AV62" s="60" t="e">
        <f>'Information Technology'!S550</f>
        <v>#DIV/0!</v>
      </c>
      <c r="AW62" s="60" t="e">
        <v>#DIV/0!</v>
      </c>
      <c r="AX62" s="60"/>
      <c r="AY62" s="60"/>
      <c r="AZ62" s="60"/>
      <c r="BA62" s="60"/>
      <c r="BB62" s="60">
        <v>1</v>
      </c>
      <c r="BC62" s="60">
        <f>'Information Technology'!S551</f>
        <v>0.80336558024952953</v>
      </c>
      <c r="BD62" s="60">
        <v>0.25241448977483893</v>
      </c>
      <c r="BE62" s="60">
        <v>4.75</v>
      </c>
      <c r="BF62" s="60">
        <f>'Information Technology'!S552</f>
        <v>11.26113</v>
      </c>
      <c r="BG62" s="63" t="s">
        <v>612</v>
      </c>
      <c r="BL62" s="63">
        <v>1</v>
      </c>
      <c r="BM62" s="63">
        <f t="shared" si="54"/>
        <v>1.9024059762795695</v>
      </c>
    </row>
    <row r="63" spans="1:65">
      <c r="A63" s="50" t="s">
        <v>166</v>
      </c>
      <c r="B63" s="50" t="s">
        <v>167</v>
      </c>
      <c r="C63" s="51">
        <v>24126.9</v>
      </c>
      <c r="D63" s="52" t="s">
        <v>77</v>
      </c>
      <c r="E63" s="68" t="str" cm="1">
        <f t="array" ref="E63">_xll.ciqfunctions.udf.CIQ(B63,"iq_industry")</f>
        <v>Software</v>
      </c>
      <c r="F63" s="60">
        <f>'Information Technology'!S709</f>
        <v>34.106693397372716</v>
      </c>
      <c r="G63" s="62">
        <v>71.581600521185237</v>
      </c>
      <c r="H63" s="62">
        <f t="shared" si="58"/>
        <v>-0.60040923418343073</v>
      </c>
      <c r="I63" s="62">
        <f t="shared" si="59"/>
        <v>-0.7129709086360545</v>
      </c>
      <c r="J63" s="62">
        <f t="shared" si="60"/>
        <v>4.0119871172890935</v>
      </c>
      <c r="K63" s="62">
        <v>1.4657626931227066</v>
      </c>
      <c r="L63" s="108">
        <v>1.4657626931227066</v>
      </c>
      <c r="M63" s="60">
        <f>'Information Technology'!S710</f>
        <v>84.813650549999991</v>
      </c>
      <c r="N63" s="63">
        <v>23.601233920399999</v>
      </c>
      <c r="O63" s="63">
        <f t="shared" si="70"/>
        <v>-0.29173437855315482</v>
      </c>
      <c r="P63" s="63">
        <f t="shared" si="71"/>
        <v>2.0176025469574643E-2</v>
      </c>
      <c r="Q63" s="63">
        <f t="shared" si="72"/>
        <v>4.9959571785814774</v>
      </c>
      <c r="R63" s="62">
        <f t="shared" si="73"/>
        <v>1.0201760254695742</v>
      </c>
      <c r="S63" s="63">
        <v>1.1839054705308811</v>
      </c>
      <c r="T63" s="60" t="e">
        <f>'Information Technology'!S711</f>
        <v>#DIV/0!</v>
      </c>
      <c r="U63" s="63" t="e">
        <v>#DIV/0!</v>
      </c>
      <c r="Z63" s="63">
        <v>1</v>
      </c>
      <c r="AA63" s="60">
        <f>'Information Technology'!S712</f>
        <v>1.6189542875836294E-2</v>
      </c>
      <c r="AB63" s="63">
        <v>4.773882417564268E-2</v>
      </c>
      <c r="AC63" s="60">
        <f>-(AB63-$AB$266)/$AB$267</f>
        <v>-8.2002927257095584E-2</v>
      </c>
      <c r="AD63" s="60">
        <f>AC63-$AC$9</f>
        <v>5.466530512320035E-2</v>
      </c>
      <c r="AE63" s="60">
        <f>AD63+5-$AD$69</f>
        <v>4.5875166075126597</v>
      </c>
      <c r="AF63" s="60">
        <v>1.7023575810021141</v>
      </c>
      <c r="AG63" s="60">
        <v>1.7023575810021141</v>
      </c>
      <c r="AH63" s="60">
        <f>'Information Technology'!S713</f>
        <v>-7.8477419644147339E-3</v>
      </c>
      <c r="AI63" s="63">
        <v>-8.7461784286431282E-2</v>
      </c>
      <c r="AJ63" s="60"/>
      <c r="AK63" s="60"/>
      <c r="AL63" s="60"/>
      <c r="AM63" s="60"/>
      <c r="AN63" s="60">
        <v>1</v>
      </c>
      <c r="AO63" s="60">
        <f>'Information Technology'!S714</f>
        <v>5.0424088693226038E-2</v>
      </c>
      <c r="AP63" s="60">
        <v>3.8568884583937847E-2</v>
      </c>
      <c r="AQ63" s="60">
        <f t="shared" si="83"/>
        <v>-0.4253997254660043</v>
      </c>
      <c r="AR63" s="60">
        <f t="shared" si="84"/>
        <v>-0.14223379914599421</v>
      </c>
      <c r="AS63" s="60">
        <f t="shared" si="85"/>
        <v>4.7878586432264285</v>
      </c>
      <c r="AT63" s="60">
        <v>2.0585205707353023</v>
      </c>
      <c r="AU63" s="60">
        <v>2.0585205707353023</v>
      </c>
      <c r="AV63" s="60">
        <f>'Information Technology'!S715</f>
        <v>1.7534936363636364</v>
      </c>
      <c r="AW63" s="60">
        <v>3.8192609090909091</v>
      </c>
      <c r="AX63" s="60"/>
      <c r="AY63" s="60"/>
      <c r="AZ63" s="60"/>
      <c r="BA63" s="60">
        <v>5</v>
      </c>
      <c r="BB63" s="60">
        <v>5</v>
      </c>
      <c r="BC63" s="60">
        <f>'Information Technology'!S716</f>
        <v>-0.20155354710534851</v>
      </c>
      <c r="BD63" s="60">
        <v>6.2136203807066713E-2</v>
      </c>
      <c r="BE63" s="60">
        <v>5</v>
      </c>
      <c r="BF63" s="60">
        <f>'Information Technology'!S717</f>
        <v>93.937759999999997</v>
      </c>
      <c r="BG63" s="63" t="s">
        <v>612</v>
      </c>
      <c r="BL63" s="63">
        <v>1</v>
      </c>
      <c r="BM63" s="63">
        <f t="shared" si="54"/>
        <v>1.7701334787839775</v>
      </c>
    </row>
    <row r="64" spans="1:65">
      <c r="A64" s="50" t="s">
        <v>149</v>
      </c>
      <c r="B64" s="50" t="s">
        <v>150</v>
      </c>
      <c r="C64" s="51">
        <v>30405.3</v>
      </c>
      <c r="D64" s="52" t="s">
        <v>77</v>
      </c>
      <c r="E64" s="68" t="str" cm="1">
        <f t="array" ref="E64">_xll.ciqfunctions.udf.CIQ(B64,"iq_industry")</f>
        <v>Software</v>
      </c>
      <c r="F64" s="60">
        <f>'Information Technology'!S589</f>
        <v>29.464809413591649</v>
      </c>
      <c r="G64" s="62">
        <v>494.58432003092338</v>
      </c>
      <c r="K64">
        <v>1.01</v>
      </c>
      <c r="L64" s="109">
        <v>1.01</v>
      </c>
      <c r="M64" s="60">
        <f>'Information Technology'!S590</f>
        <v>283.50620399999997</v>
      </c>
      <c r="N64" s="63">
        <v>33.515110658576006</v>
      </c>
      <c r="O64" s="63">
        <f t="shared" si="70"/>
        <v>-0.26988867154182039</v>
      </c>
      <c r="P64" s="63">
        <f t="shared" si="71"/>
        <v>4.2021732480909069E-2</v>
      </c>
      <c r="Q64" s="63">
        <f t="shared" si="72"/>
        <v>5.0178028855928121</v>
      </c>
      <c r="R64" s="62">
        <f t="shared" si="73"/>
        <v>1.0420217324809089</v>
      </c>
      <c r="S64" s="63">
        <v>1.3731907735957689</v>
      </c>
      <c r="T64" s="60" t="e">
        <f>'Information Technology'!S591</f>
        <v>#DIV/0!</v>
      </c>
      <c r="U64" s="63" t="e">
        <v>#DIV/0!</v>
      </c>
      <c r="Z64" s="63">
        <v>1</v>
      </c>
      <c r="AA64" s="60">
        <f>'Information Technology'!S592</f>
        <v>-1.3665185220407605E-2</v>
      </c>
      <c r="AB64" s="63">
        <v>0.31983975964340061</v>
      </c>
      <c r="AC64" s="60"/>
      <c r="AD64" s="60"/>
      <c r="AE64" s="60"/>
      <c r="AF64" s="60">
        <v>1.1100000000000001</v>
      </c>
      <c r="AG64" s="60">
        <v>1.1100000000000001</v>
      </c>
      <c r="AH64" s="60">
        <f>'Information Technology'!S593</f>
        <v>0.29272552700678395</v>
      </c>
      <c r="AI64" s="63">
        <v>-0.68947334355307199</v>
      </c>
      <c r="AJ64" s="60"/>
      <c r="AK64" s="60"/>
      <c r="AL64" s="60"/>
      <c r="AM64" s="60"/>
      <c r="AN64" s="60">
        <v>1</v>
      </c>
      <c r="AO64" s="60">
        <f>'Information Technology'!S594</f>
        <v>0.14275436093251992</v>
      </c>
      <c r="AP64" s="60">
        <v>8.4429497745816692E-2</v>
      </c>
      <c r="AQ64" s="60">
        <f t="shared" si="83"/>
        <v>-3.6417310471736908E-2</v>
      </c>
      <c r="AR64" s="60">
        <f t="shared" si="84"/>
        <v>0.24674861584827318</v>
      </c>
      <c r="AS64" s="60">
        <f t="shared" si="85"/>
        <v>5.1768410582206954</v>
      </c>
      <c r="AT64" s="60">
        <v>3.1101472248361715</v>
      </c>
      <c r="AU64" s="60">
        <v>3.1101472248361715</v>
      </c>
      <c r="AV64" s="60">
        <f>'Information Technology'!S595</f>
        <v>2.0882509090909092</v>
      </c>
      <c r="AW64" s="60" t="e">
        <v>#DIV/0!</v>
      </c>
      <c r="AX64" s="60"/>
      <c r="AY64" s="60"/>
      <c r="AZ64" s="60"/>
      <c r="BA64" s="60"/>
      <c r="BB64" s="60">
        <v>1</v>
      </c>
      <c r="BC64" s="60">
        <f>'Information Technology'!S596</f>
        <v>4.476715975132986E-2</v>
      </c>
      <c r="BD64" s="60">
        <v>1.7592703822754108</v>
      </c>
      <c r="BE64" s="60">
        <v>1</v>
      </c>
      <c r="BF64" s="60">
        <f>'Information Technology'!S597</f>
        <v>38.903370000000002</v>
      </c>
      <c r="BG64" s="63" t="s">
        <v>612</v>
      </c>
      <c r="BL64" s="63">
        <v>1</v>
      </c>
      <c r="BM64" s="63">
        <f t="shared" si="54"/>
        <v>1.1280410992158771</v>
      </c>
    </row>
    <row r="65" spans="1:65">
      <c r="A65" s="50" t="s">
        <v>62</v>
      </c>
      <c r="B65" s="50" t="s">
        <v>63</v>
      </c>
      <c r="C65" s="51">
        <v>2732707.4</v>
      </c>
      <c r="D65" s="52" t="s">
        <v>64</v>
      </c>
      <c r="E65" s="68" t="str" cm="1">
        <f t="array" ref="E65">_xll.ciqfunctions.udf.CIQ(B65,"iq_industry")</f>
        <v>Technology Hardware, Storage and Peripherals</v>
      </c>
      <c r="F65" s="60">
        <f>'Information Technology'!S4</f>
        <v>14.46442372718764</v>
      </c>
      <c r="G65" s="62">
        <v>24.682390809149492</v>
      </c>
      <c r="H65" s="62">
        <f>-(G65-$G$266)/$G$267</f>
        <v>0.10374255636697279</v>
      </c>
      <c r="I65" s="62">
        <f>H65-$H$3</f>
        <v>-8.8191180856509732E-3</v>
      </c>
      <c r="J65" s="62">
        <f>I65+5-$I$66</f>
        <v>4.7161389078394969</v>
      </c>
      <c r="K65" s="62">
        <v>3.9845957684965425</v>
      </c>
      <c r="L65" s="108">
        <v>3.9845957684965425</v>
      </c>
      <c r="M65" s="60">
        <f>'Information Technology'!S5</f>
        <v>195.3109585592</v>
      </c>
      <c r="N65" s="63">
        <v>2701.9079742399999</v>
      </c>
      <c r="R65">
        <v>5</v>
      </c>
      <c r="S65" s="49">
        <v>5</v>
      </c>
      <c r="T65" s="60">
        <f>'Information Technology'!S6</f>
        <v>15.217087419984505</v>
      </c>
      <c r="U65" s="63">
        <v>84.660847531467368</v>
      </c>
      <c r="V65" s="63" t="e">
        <f>-(U65-$U$266)/$U$267</f>
        <v>#DIV/0!</v>
      </c>
      <c r="W65" s="63" t="e">
        <f>V65-$V$42</f>
        <v>#DIV/0!</v>
      </c>
      <c r="X65" s="63" t="e">
        <f>W65+5-$W$70</f>
        <v>#DIV/0!</v>
      </c>
      <c r="Y65" s="63">
        <v>2.9473742084887817</v>
      </c>
      <c r="Z65" s="63">
        <v>2.9473742084887817</v>
      </c>
      <c r="AA65" s="60">
        <f>'Information Technology'!S7</f>
        <v>-8.7160929015692723E-3</v>
      </c>
      <c r="AB65" s="63">
        <v>-3.8058229388181597E-2</v>
      </c>
      <c r="AC65" s="60">
        <f>-(AB65-$AB$266)/$AB$267</f>
        <v>0.68104935316753812</v>
      </c>
      <c r="AD65" s="60">
        <f>AC65-$AC$9</f>
        <v>0.81771758554783402</v>
      </c>
      <c r="AE65" s="60">
        <f>AD65+5-$AD$69</f>
        <v>5.3505688879372935</v>
      </c>
      <c r="AF65" s="60">
        <v>4.9781079722324</v>
      </c>
      <c r="AG65" s="60">
        <v>4.9781079722324</v>
      </c>
      <c r="AH65" s="60">
        <f>'Information Technology'!S8</f>
        <v>0.22136911373782567</v>
      </c>
      <c r="AI65" s="63">
        <v>0.23108363216266375</v>
      </c>
      <c r="AJ65" s="60">
        <f t="shared" ref="AJ65:AJ70" si="86">(AI65-$AI$266)/$AI$267</f>
        <v>0.51601331231734748</v>
      </c>
      <c r="AK65" s="60">
        <f t="shared" ref="AK65:AK70" si="87">AJ65-$AJ$58</f>
        <v>0.51601331231734748</v>
      </c>
      <c r="AL65" s="60">
        <f t="shared" ref="AL65:AL70" si="88">AK65+5-$AK$3</f>
        <v>5.4816326288859454</v>
      </c>
      <c r="AM65" s="60">
        <v>3.1415843687940255</v>
      </c>
      <c r="AN65" s="60">
        <v>3.1415843687940255</v>
      </c>
      <c r="AO65" s="60">
        <f>'Information Technology'!S9</f>
        <v>0.19593762488720273</v>
      </c>
      <c r="AP65" s="60">
        <v>0.15223440980326378</v>
      </c>
      <c r="AQ65" s="60">
        <f t="shared" si="83"/>
        <v>0.53869315190872602</v>
      </c>
      <c r="AR65" s="60">
        <f t="shared" si="84"/>
        <v>0.82185907822873605</v>
      </c>
      <c r="AS65" s="60">
        <f t="shared" si="85"/>
        <v>5.7519515206011587</v>
      </c>
      <c r="AT65" s="60">
        <v>4.6649771296802838</v>
      </c>
      <c r="AU65" s="60">
        <v>4.6649771296802838</v>
      </c>
      <c r="AV65" s="60">
        <f>'Information Technology'!S10</f>
        <v>0.34658454545454548</v>
      </c>
      <c r="AW65" s="60">
        <v>-0.17895181818181816</v>
      </c>
      <c r="AX65" s="60" t="e">
        <f>(AW65-$AW$266)/$AW$267</f>
        <v>#DIV/0!</v>
      </c>
      <c r="AY65" s="60" t="e">
        <f>AX65-$AX$67</f>
        <v>#DIV/0!</v>
      </c>
      <c r="AZ65" s="60" t="e">
        <f>AY65+5-$AY$14</f>
        <v>#DIV/0!</v>
      </c>
      <c r="BA65" s="60">
        <v>1.8672637655458058</v>
      </c>
      <c r="BB65" s="60">
        <v>1.8672637655458058</v>
      </c>
      <c r="BC65" s="60">
        <f>'Information Technology'!S11</f>
        <v>-0.24310242308779662</v>
      </c>
      <c r="BD65" s="60">
        <v>-5.3625152054014025E-3</v>
      </c>
      <c r="BE65" s="60">
        <v>5</v>
      </c>
      <c r="BF65" s="60">
        <f>'Information Technology'!S12</f>
        <v>9.6337799999999998</v>
      </c>
      <c r="BG65" s="63">
        <v>18.742080000000001</v>
      </c>
      <c r="BH65" s="63">
        <f>-(BG65-$BG$266)/$BG$267</f>
        <v>0.49807320399398047</v>
      </c>
      <c r="BI65" s="63">
        <f>BH65-$BH$16</f>
        <v>0.49807320399398047</v>
      </c>
      <c r="BJ65" s="63">
        <f>BI65+5-$BI$70</f>
        <v>5.4980732039939806</v>
      </c>
      <c r="BK65" s="63">
        <v>3.9846431209751634</v>
      </c>
      <c r="BL65" s="63">
        <v>3.9846431209751634</v>
      </c>
      <c r="BM65" s="63">
        <f t="shared" si="54"/>
        <v>4.0907037281567158</v>
      </c>
    </row>
    <row r="66" spans="1:65">
      <c r="A66" s="50" t="s">
        <v>160</v>
      </c>
      <c r="B66" s="50" t="s">
        <v>161</v>
      </c>
      <c r="C66" s="51">
        <v>26456</v>
      </c>
      <c r="D66" s="52" t="s">
        <v>64</v>
      </c>
      <c r="E66" s="68" t="str" cm="1">
        <f t="array" ref="E66">_xll.ciqfunctions.udf.CIQ(B66,"iq_industry")</f>
        <v>Technology Hardware, Storage and Peripherals</v>
      </c>
      <c r="F66" s="60">
        <f>'Information Technology'!S664</f>
        <v>19.35026486052567</v>
      </c>
      <c r="G66" s="62">
        <v>5.7761534481440187</v>
      </c>
      <c r="H66" s="62">
        <f>-(G66-$G$266)/$G$267</f>
        <v>0.38760364852747592</v>
      </c>
      <c r="I66" s="62">
        <f>H66-$H$3</f>
        <v>0.27504197407485215</v>
      </c>
      <c r="J66" s="62">
        <f>I66+5-$I$66</f>
        <v>5</v>
      </c>
      <c r="K66" s="62">
        <v>4.9999999999999991</v>
      </c>
      <c r="L66" s="108">
        <v>4.9999999999999991</v>
      </c>
      <c r="M66" s="60">
        <f>'Information Technology'!S665</f>
        <v>43.223005985999997</v>
      </c>
      <c r="N66" s="63">
        <v>25.630750549950001</v>
      </c>
      <c r="O66" s="63">
        <f>(N66-$N$266)/$N$267</f>
        <v>-0.28726224047491428</v>
      </c>
      <c r="P66" s="63">
        <f>O66-$O$70</f>
        <v>2.4648163547815183E-2</v>
      </c>
      <c r="Q66" s="63">
        <f>P66+5-$P$7</f>
        <v>5.0004293166597185</v>
      </c>
      <c r="R66" s="62">
        <f>Q66+1-$Q$70</f>
        <v>1.0246481635478153</v>
      </c>
      <c r="S66" s="63">
        <v>1.222654960810531</v>
      </c>
      <c r="T66" s="60" t="e">
        <f>'Information Technology'!S666</f>
        <v>#DIV/0!</v>
      </c>
      <c r="U66" s="63">
        <v>10.453652124446711</v>
      </c>
      <c r="V66" s="63" t="e">
        <f>-(U66-$U$266)/$U$267</f>
        <v>#DIV/0!</v>
      </c>
      <c r="W66" s="63" t="e">
        <f>V66-$V$42</f>
        <v>#DIV/0!</v>
      </c>
      <c r="X66" s="63" t="e">
        <f>W66+5-$W$70</f>
        <v>#DIV/0!</v>
      </c>
      <c r="Y66" s="63">
        <v>4.9999999999999991</v>
      </c>
      <c r="Z66" s="63">
        <v>4.9999999999999991</v>
      </c>
      <c r="AA66" s="60">
        <f>'Information Technology'!S667</f>
        <v>-5.3141901377598E-3</v>
      </c>
      <c r="AB66" s="63">
        <v>-8.6490496606306144E-2</v>
      </c>
      <c r="AC66" s="60"/>
      <c r="AD66" s="60"/>
      <c r="AE66" s="60"/>
      <c r="AF66" s="60">
        <v>5</v>
      </c>
      <c r="AG66" s="60">
        <v>5</v>
      </c>
      <c r="AH66" s="60">
        <f>'Information Technology'!S668</f>
        <v>0.14498438080390791</v>
      </c>
      <c r="AI66" s="63">
        <v>6.0093543851209914E-2</v>
      </c>
      <c r="AJ66" s="60">
        <f t="shared" si="86"/>
        <v>-0.34109726541519386</v>
      </c>
      <c r="AK66" s="60">
        <f t="shared" si="87"/>
        <v>-0.34109726541519386</v>
      </c>
      <c r="AL66" s="60">
        <f t="shared" si="88"/>
        <v>4.624522051153404</v>
      </c>
      <c r="AM66" s="60">
        <v>1.101397255452718</v>
      </c>
      <c r="AN66" s="60">
        <v>1.101397255452718</v>
      </c>
      <c r="AO66" s="60">
        <f>'Information Technology'!S669</f>
        <v>0.10623208677108308</v>
      </c>
      <c r="AP66" s="60">
        <v>5.533809828033321E-2</v>
      </c>
      <c r="AQ66" s="60">
        <f t="shared" si="83"/>
        <v>-0.28316592632001009</v>
      </c>
      <c r="AR66" s="60">
        <f t="shared" si="84"/>
        <v>0</v>
      </c>
      <c r="AS66" s="60">
        <f t="shared" si="85"/>
        <v>4.9300924423724224</v>
      </c>
      <c r="AT66" s="60">
        <v>2.4430542887908127</v>
      </c>
      <c r="AU66" s="60">
        <v>2.4430542887908127</v>
      </c>
      <c r="AV66" s="60">
        <f>'Information Technology'!S670</f>
        <v>1.8554500000000003</v>
      </c>
      <c r="AW66" s="60">
        <v>-2.3022727272727327E-2</v>
      </c>
      <c r="AX66" s="60" t="e">
        <f>(AW66-$AW$266)/$AW$267</f>
        <v>#DIV/0!</v>
      </c>
      <c r="AY66" s="60" t="e">
        <f>AX66-$AX$67</f>
        <v>#DIV/0!</v>
      </c>
      <c r="AZ66" s="60" t="e">
        <f>AY66+5-$AY$14</f>
        <v>#DIV/0!</v>
      </c>
      <c r="BA66" s="60">
        <v>2.0236474323361779</v>
      </c>
      <c r="BB66" s="60">
        <v>2.0236474323361779</v>
      </c>
      <c r="BC66" s="60">
        <f>'Information Technology'!S671</f>
        <v>3.8843870896641458E-2</v>
      </c>
      <c r="BD66" s="60">
        <v>5.2009954504796382E-2</v>
      </c>
      <c r="BE66" s="60">
        <v>5</v>
      </c>
      <c r="BF66" s="60">
        <f>'Information Technology'!S672</f>
        <v>34.316000000000003</v>
      </c>
      <c r="BG66" s="63">
        <v>6.5636400000000004</v>
      </c>
      <c r="BH66" s="63">
        <f>-(BG66-$BG$266)/$BG$267</f>
        <v>0.87422110740337144</v>
      </c>
      <c r="BI66" s="63">
        <f>BH66-$BH$16</f>
        <v>0.87422110740337144</v>
      </c>
      <c r="BJ66" s="63">
        <f>BI66+5-$BI$70</f>
        <v>5.8742211074033719</v>
      </c>
      <c r="BK66" s="63">
        <v>4.9424873765873274</v>
      </c>
      <c r="BL66" s="63">
        <v>4.9424873765873274</v>
      </c>
      <c r="BM66" s="63">
        <f t="shared" ref="BM66:BM70" si="89">0.35*(L66)+0.2*(S66)+0.08*(Z66)+0.07*(AG66)+0.08*(AN66)+0.02*(AU66)+0.05*(BB66)+0.075*(BE66)+0.075*(BL66)</f>
        <v>3.728372783234998</v>
      </c>
    </row>
    <row r="67" spans="1:65">
      <c r="A67" s="50" t="s">
        <v>199</v>
      </c>
      <c r="B67" s="50" t="s">
        <v>200</v>
      </c>
      <c r="C67" s="51">
        <v>15872.3</v>
      </c>
      <c r="D67" s="52" t="s">
        <v>64</v>
      </c>
      <c r="E67" s="68" t="str" cm="1">
        <f t="array" ref="E67">_xll.ciqfunctions.udf.CIQ(B67,"iq_industry")</f>
        <v>Technology Hardware, Storage and Peripherals</v>
      </c>
      <c r="F67" s="60">
        <f>'Information Technology'!S949</f>
        <v>27.127367283127388</v>
      </c>
      <c r="G67" s="62">
        <v>14.296875978880148</v>
      </c>
      <c r="H67" s="62">
        <f>-(G67-$G$266)/$G$267</f>
        <v>0.25967223851778309</v>
      </c>
      <c r="I67" s="62">
        <f>H67-$H$3</f>
        <v>0.14711056406515932</v>
      </c>
      <c r="J67" s="62">
        <f>I67+5-$I$66</f>
        <v>4.8720685899903078</v>
      </c>
      <c r="K67" s="62">
        <v>4.5423744265994879</v>
      </c>
      <c r="L67" s="108">
        <v>4.5423744265994879</v>
      </c>
      <c r="M67" s="60">
        <f>'Information Technology'!S950</f>
        <v>2956.5781551999999</v>
      </c>
      <c r="N67" s="63">
        <v>15.624886458599999</v>
      </c>
      <c r="O67" s="63">
        <f>(N67-$N$266)/$N$267</f>
        <v>-0.30931064606918035</v>
      </c>
      <c r="P67" s="63">
        <f>O67-$O$70</f>
        <v>2.5997579535491089E-3</v>
      </c>
      <c r="Q67" s="63">
        <f>P67+5-$P$7</f>
        <v>4.978380911065452</v>
      </c>
      <c r="R67" s="62">
        <f>Q67+1-$Q$70</f>
        <v>1.0025997579535488</v>
      </c>
      <c r="S67" s="63">
        <v>1.0316133464172381</v>
      </c>
      <c r="T67" s="60">
        <f>'Information Technology'!S951</f>
        <v>92.40995617256273</v>
      </c>
      <c r="U67" s="63">
        <v>16.978096332717428</v>
      </c>
      <c r="V67" s="63" t="e">
        <f>-(U67-$U$266)/$U$267</f>
        <v>#DIV/0!</v>
      </c>
      <c r="W67" s="63" t="e">
        <f>V67-$V$42</f>
        <v>#DIV/0!</v>
      </c>
      <c r="X67" s="63" t="e">
        <f>W67+5-$W$70</f>
        <v>#DIV/0!</v>
      </c>
      <c r="Y67" s="63">
        <v>4.8195290580149672</v>
      </c>
      <c r="Z67" s="63">
        <v>4.8195290580149672</v>
      </c>
      <c r="AA67" s="60">
        <f>'Information Technology'!S952</f>
        <v>-3.9062985126440353E-2</v>
      </c>
      <c r="AB67" s="63">
        <v>-2.7494328753659647E-2</v>
      </c>
      <c r="AC67" s="60">
        <f>-(AB67-$AB$266)/$AB$267</f>
        <v>0.58709731012500177</v>
      </c>
      <c r="AD67" s="60">
        <f>AC67-$AC$9</f>
        <v>0.72376554250529768</v>
      </c>
      <c r="AE67" s="60">
        <f>AD67+5-$AD$69</f>
        <v>5.256616844894757</v>
      </c>
      <c r="AF67" s="60">
        <v>4.5747759206170047</v>
      </c>
      <c r="AG67" s="60">
        <v>4.5747759206170047</v>
      </c>
      <c r="AH67" s="60">
        <f>'Information Technology'!S953</f>
        <v>0.23243358573126305</v>
      </c>
      <c r="AI67" s="63">
        <v>0.16273101678527446</v>
      </c>
      <c r="AJ67" s="60">
        <f t="shared" si="86"/>
        <v>0.17338672948915479</v>
      </c>
      <c r="AK67" s="60">
        <f t="shared" si="87"/>
        <v>0.17338672948915479</v>
      </c>
      <c r="AL67" s="60">
        <f t="shared" si="88"/>
        <v>5.1390060460577534</v>
      </c>
      <c r="AM67" s="60">
        <v>2.3260275933503154</v>
      </c>
      <c r="AN67" s="60">
        <v>2.3260275933503154</v>
      </c>
      <c r="AO67" s="60">
        <f>'Information Technology'!S954</f>
        <v>0.14403192859800773</v>
      </c>
      <c r="AP67" s="60">
        <v>7.2860319956797176E-2</v>
      </c>
      <c r="AQ67" s="60">
        <f t="shared" si="83"/>
        <v>-0.13454523344533553</v>
      </c>
      <c r="AR67" s="60">
        <f t="shared" si="84"/>
        <v>0.14862069287467455</v>
      </c>
      <c r="AS67" s="60">
        <f t="shared" si="85"/>
        <v>5.0787131352470967</v>
      </c>
      <c r="AT67" s="60">
        <v>2.8448551824899537</v>
      </c>
      <c r="AU67" s="60">
        <v>2.8448551824899537</v>
      </c>
      <c r="AV67" s="60">
        <f>'Information Technology'!S955</f>
        <v>-0.15437909090909066</v>
      </c>
      <c r="AW67" s="60">
        <v>0.72935545454545458</v>
      </c>
      <c r="AX67" s="60" t="e">
        <f>(AW67-$AW$266)/$AW$267</f>
        <v>#DIV/0!</v>
      </c>
      <c r="AY67" s="60" t="e">
        <f>AX67-$AX$67</f>
        <v>#DIV/0!</v>
      </c>
      <c r="AZ67" s="60" t="e">
        <f>AY67+5-$AY$14</f>
        <v>#DIV/0!</v>
      </c>
      <c r="BA67" s="60">
        <v>2.778219002014592</v>
      </c>
      <c r="BB67" s="60">
        <v>2.778219002014592</v>
      </c>
      <c r="BC67" s="60">
        <f>'Information Technology'!S956</f>
        <v>-4.7623268964628396E-3</v>
      </c>
      <c r="BD67" s="60">
        <v>2.5534700684133757E-2</v>
      </c>
      <c r="BE67" s="60">
        <v>5</v>
      </c>
      <c r="BF67" s="60">
        <f>'Information Technology'!S957</f>
        <v>20.578520000000001</v>
      </c>
      <c r="BG67" s="63">
        <v>11.086370000000001</v>
      </c>
      <c r="BH67" s="63">
        <f>-(BG67-$BG$266)/$BG$267</f>
        <v>0.734530358244468</v>
      </c>
      <c r="BI67" s="63">
        <f>BH67-$BH$16</f>
        <v>0.734530358244468</v>
      </c>
      <c r="BJ67" s="63">
        <f>BI67+5-$BI$70</f>
        <v>5.7345303582444682</v>
      </c>
      <c r="BK67" s="63">
        <v>4.5867709670812813</v>
      </c>
      <c r="BL67" s="63">
        <v>4.5867709670812813</v>
      </c>
      <c r="BM67" s="63">
        <f t="shared" si="89"/>
        <v>3.6028484414273061</v>
      </c>
    </row>
    <row r="68" spans="1:65" ht="22.5">
      <c r="A68" s="50" t="s">
        <v>177</v>
      </c>
      <c r="B68" s="50" t="s">
        <v>178</v>
      </c>
      <c r="C68" s="51">
        <v>21834.400000000001</v>
      </c>
      <c r="D68" s="52" t="s">
        <v>64</v>
      </c>
      <c r="E68" s="68" t="str" cm="1">
        <f t="array" ref="E68">_xll.ciqfunctions.udf.CIQ(B68,"iq_industry")</f>
        <v>Technology Hardware, Storage and Peripherals</v>
      </c>
      <c r="F68" s="60">
        <f>'Information Technology'!S784</f>
        <v>58.463255931736953</v>
      </c>
      <c r="G68" s="62">
        <v>23.791574565615218</v>
      </c>
      <c r="H68" s="62">
        <f>-(G68-$G$266)/$G$267</f>
        <v>0.11711740546970868</v>
      </c>
      <c r="I68" s="62">
        <f>H68-$H$3</f>
        <v>4.5557310170849241E-3</v>
      </c>
      <c r="J68" s="62">
        <f>I68+5-$I$66</f>
        <v>4.7295137569422332</v>
      </c>
      <c r="K68" s="62">
        <v>4.0324391635573891</v>
      </c>
      <c r="L68" s="108">
        <v>4.0324391635573891</v>
      </c>
      <c r="M68" s="60">
        <f>'Information Technology'!S785</f>
        <v>74.106968179999996</v>
      </c>
      <c r="N68" s="63">
        <v>21.6739994444</v>
      </c>
      <c r="O68" s="63">
        <f>(N68-$N$266)/$N$267</f>
        <v>-0.29598113295778794</v>
      </c>
      <c r="P68" s="63">
        <f>O68-$O$70</f>
        <v>1.5929271064941519E-2</v>
      </c>
      <c r="Q68" s="63">
        <f>P68+5-$P$7</f>
        <v>4.9917104241768451</v>
      </c>
      <c r="R68" s="62">
        <f>Q68+1-$Q$70</f>
        <v>1.0159292710649419</v>
      </c>
      <c r="S68" s="63">
        <v>1.1471088498444431</v>
      </c>
      <c r="T68" s="60" t="e">
        <f>'Information Technology'!S786</f>
        <v>#DIV/0!</v>
      </c>
      <c r="U68" s="63">
        <v>16.264620657097595</v>
      </c>
      <c r="V68" s="63" t="e">
        <f>-(U68-$U$266)/$U$267</f>
        <v>#DIV/0!</v>
      </c>
      <c r="W68" s="63" t="e">
        <f>V68-$V$42</f>
        <v>#DIV/0!</v>
      </c>
      <c r="X68" s="63" t="e">
        <f>W68+5-$W$70</f>
        <v>#DIV/0!</v>
      </c>
      <c r="Y68" s="63">
        <v>4.8392643217634541</v>
      </c>
      <c r="Z68" s="63">
        <v>4.8392643217634541</v>
      </c>
      <c r="AA68" s="60">
        <f>'Information Technology'!S787</f>
        <v>-6.0086111033349487E-3</v>
      </c>
      <c r="AB68" s="63">
        <v>-1.7137881311983572E-2</v>
      </c>
      <c r="AC68" s="60">
        <f>-(AB68-$AB$266)/$AB$267</f>
        <v>0.49499029118652355</v>
      </c>
      <c r="AD68" s="60">
        <f>AC68-$AC$9</f>
        <v>0.63165852356681951</v>
      </c>
      <c r="AE68" s="60">
        <f>AD68+5-$AD$69</f>
        <v>5.1645098259562792</v>
      </c>
      <c r="AF68" s="60">
        <v>4.1793644775703109</v>
      </c>
      <c r="AG68" s="60">
        <v>4.1793644775703109</v>
      </c>
      <c r="AH68" s="60">
        <f>'Information Technology'!S788</f>
        <v>0.25025713100863833</v>
      </c>
      <c r="AI68" s="63">
        <v>4.450864529632987E-2</v>
      </c>
      <c r="AJ68" s="60">
        <f t="shared" si="86"/>
        <v>-0.4192186438891618</v>
      </c>
      <c r="AK68" s="60">
        <f t="shared" si="87"/>
        <v>-0.4192186438891618</v>
      </c>
      <c r="AL68" s="60">
        <f t="shared" si="88"/>
        <v>4.5464006726794368</v>
      </c>
      <c r="AM68" s="60">
        <v>1.8</v>
      </c>
      <c r="AN68" s="60">
        <v>1.8</v>
      </c>
      <c r="AO68" s="60">
        <f>'Information Technology'!S789</f>
        <v>0.16200868178257397</v>
      </c>
      <c r="AP68" s="60">
        <v>2.4867164789503161E-2</v>
      </c>
      <c r="AQ68" s="60">
        <f t="shared" si="83"/>
        <v>-0.54161553000400897</v>
      </c>
      <c r="AR68" s="60">
        <f t="shared" si="84"/>
        <v>-0.25844960368399889</v>
      </c>
      <c r="AS68" s="60">
        <f t="shared" si="85"/>
        <v>4.6716428386884239</v>
      </c>
      <c r="AT68" s="60">
        <v>1.7443273502480894</v>
      </c>
      <c r="AU68" s="60">
        <v>1.7443273502480894</v>
      </c>
      <c r="AV68" s="60">
        <f>'Information Technology'!S790</f>
        <v>1.3764263636363636</v>
      </c>
      <c r="AW68" s="60">
        <v>0.23887272727272729</v>
      </c>
      <c r="AX68" s="60" t="e">
        <f>(AW68-$AW$266)/$AW$267</f>
        <v>#DIV/0!</v>
      </c>
      <c r="AY68" s="60" t="e">
        <f>AX68-$AX$67</f>
        <v>#DIV/0!</v>
      </c>
      <c r="AZ68" s="60" t="e">
        <f>AY68+5-$AY$14</f>
        <v>#DIV/0!</v>
      </c>
      <c r="BA68" s="60">
        <v>2.286306383650321</v>
      </c>
      <c r="BB68" s="60">
        <v>2.286306383650321</v>
      </c>
      <c r="BC68" s="60">
        <f>'Information Technology'!S791</f>
        <v>-2.4791444097254346E-2</v>
      </c>
      <c r="BD68" s="60">
        <v>-0.3697237471368397</v>
      </c>
      <c r="BE68" s="60">
        <v>5</v>
      </c>
      <c r="BF68" s="60">
        <f>'Information Technology'!S792</f>
        <v>54.808109999999999</v>
      </c>
      <c r="BG68" s="63">
        <v>5.8323999999999998</v>
      </c>
      <c r="BH68" s="63">
        <f>-(BG68-$BG$266)/$BG$267</f>
        <v>0.8968064625793285</v>
      </c>
      <c r="BI68" s="63">
        <f>BH68-$BH$16</f>
        <v>0.8968064625793285</v>
      </c>
      <c r="BJ68" s="63">
        <f>BI68+5-$BI$70</f>
        <v>5.8968064625793284</v>
      </c>
      <c r="BK68" s="63">
        <v>5.0000000000000009</v>
      </c>
      <c r="BL68" s="63">
        <v>5.0000000000000009</v>
      </c>
      <c r="BM68" s="63">
        <f t="shared" si="89"/>
        <v>3.3636740025724507</v>
      </c>
    </row>
    <row r="69" spans="1:65">
      <c r="A69" s="50" t="s">
        <v>123</v>
      </c>
      <c r="B69" s="50" t="s">
        <v>124</v>
      </c>
      <c r="C69" s="51">
        <v>50676</v>
      </c>
      <c r="D69" s="52" t="s">
        <v>64</v>
      </c>
      <c r="E69" s="68" t="str" cm="1">
        <f t="array" ref="E69">_xll.ciqfunctions.udf.CIQ(B69,"iq_industry")</f>
        <v>Technology Hardware, Storage and Peripherals</v>
      </c>
      <c r="F69" s="60">
        <f>'Information Technology'!S409</f>
        <v>25.603058804714649</v>
      </c>
      <c r="G69" s="62">
        <v>10.958150680336322</v>
      </c>
      <c r="H69" s="62">
        <f>-(G69-$G$266)/$G$267</f>
        <v>0.30980036245762504</v>
      </c>
      <c r="I69" s="62">
        <f>H69-$H$3</f>
        <v>0.19723868800500127</v>
      </c>
      <c r="J69" s="62">
        <f>I69+5-$I$66</f>
        <v>4.9221967139301492</v>
      </c>
      <c r="K69" s="62">
        <v>4.7216885720444877</v>
      </c>
      <c r="L69" s="108">
        <v>4.7216885720444877</v>
      </c>
      <c r="M69" s="60">
        <f>'Information Technology'!S410</f>
        <v>14.086246182199998</v>
      </c>
      <c r="N69" s="63">
        <v>48.715549937600002</v>
      </c>
      <c r="O69" s="63">
        <f>(N69-$N$266)/$N$267</f>
        <v>-0.23639376821561331</v>
      </c>
      <c r="P69" s="63">
        <f>O69-$O$70</f>
        <v>7.551663580711615E-2</v>
      </c>
      <c r="Q69" s="63">
        <f>P69+5-$P$7</f>
        <v>5.0512977889190189</v>
      </c>
      <c r="R69" s="62">
        <f>Q69+1-$Q$70</f>
        <v>1.0755166358071158</v>
      </c>
      <c r="S69" s="63">
        <v>1.663412231017162</v>
      </c>
      <c r="T69" s="60">
        <f>'Information Technology'!S411</f>
        <v>103.31165993703792</v>
      </c>
      <c r="U69" s="63" t="e">
        <v>#DIV/0!</v>
      </c>
      <c r="Z69" s="63">
        <v>1</v>
      </c>
      <c r="AA69" s="60">
        <f>'Information Technology'!S412</f>
        <v>-2.5134232453962957E-2</v>
      </c>
      <c r="AB69" s="63">
        <v>1.3594860525325547E-3</v>
      </c>
      <c r="AC69" s="60">
        <f>-(AB69-$AB$266)/$AB$267</f>
        <v>0.33048046523024516</v>
      </c>
      <c r="AD69" s="60">
        <f>AC69-$AC$9</f>
        <v>0.46714869761054112</v>
      </c>
      <c r="AE69" s="60">
        <f>AD69+5-$AD$69</f>
        <v>5</v>
      </c>
      <c r="AF69" s="60">
        <v>3.4731309198413252</v>
      </c>
      <c r="AG69" s="60">
        <v>3.4731309198413252</v>
      </c>
      <c r="AH69" s="60">
        <f>'Information Technology'!S413</f>
        <v>0.20889814646032573</v>
      </c>
      <c r="AI69" s="63">
        <v>1.6612808102259305E-2</v>
      </c>
      <c r="AJ69" s="60">
        <f t="shared" si="86"/>
        <v>-0.55905024097092737</v>
      </c>
      <c r="AK69" s="60">
        <f t="shared" si="87"/>
        <v>-0.55905024097092737</v>
      </c>
      <c r="AL69" s="60">
        <f t="shared" si="88"/>
        <v>4.4065690755976705</v>
      </c>
      <c r="AM69" s="60">
        <v>1.5</v>
      </c>
      <c r="AN69" s="60">
        <v>1.5</v>
      </c>
      <c r="AO69" s="60">
        <f>'Information Technology'!S414</f>
        <v>0.18099549661469347</v>
      </c>
      <c r="AP69" s="60">
        <v>2.8494557351204486E-2</v>
      </c>
      <c r="AQ69" s="60">
        <f t="shared" si="83"/>
        <v>-0.51084856415899726</v>
      </c>
      <c r="AR69" s="60">
        <f t="shared" si="84"/>
        <v>-0.22768263783898718</v>
      </c>
      <c r="AS69" s="60">
        <f t="shared" si="85"/>
        <v>4.7024098045334348</v>
      </c>
      <c r="AT69" s="60">
        <v>1.827506846547176</v>
      </c>
      <c r="AU69" s="60">
        <v>1.827506846547176</v>
      </c>
      <c r="AV69" s="60">
        <f>'Information Technology'!S415</f>
        <v>0.87555909090909123</v>
      </c>
      <c r="AW69" s="60">
        <v>0.67794818181818184</v>
      </c>
      <c r="AX69" s="60" t="e">
        <f>(AW69-$AW$266)/$AW$267</f>
        <v>#DIV/0!</v>
      </c>
      <c r="AY69" s="60" t="e">
        <f>AX69-$AX$67</f>
        <v>#DIV/0!</v>
      </c>
      <c r="AZ69" s="60" t="e">
        <f>AY69+5-$AY$14</f>
        <v>#DIV/0!</v>
      </c>
      <c r="BA69" s="60">
        <v>2.7266618630489665</v>
      </c>
      <c r="BB69" s="60">
        <v>2.7266618630489665</v>
      </c>
      <c r="BC69" s="60">
        <f>'Information Technology'!S416</f>
        <v>-0.16470269084979625</v>
      </c>
      <c r="BD69" s="60">
        <v>-0.29136287747618694</v>
      </c>
      <c r="BE69" s="60">
        <v>5</v>
      </c>
      <c r="BF69" s="60">
        <f>'Information Technology'!S417</f>
        <v>18.390699999999999</v>
      </c>
      <c r="BG69" s="63">
        <v>7.9636899999999997</v>
      </c>
      <c r="BH69" s="63">
        <f>-(BG69-$BG$266)/$BG$267</f>
        <v>0.83097863364086011</v>
      </c>
      <c r="BI69" s="63">
        <f>BH69-$BH$16</f>
        <v>0.83097863364086011</v>
      </c>
      <c r="BJ69" s="63">
        <f>BI69+5-$BI$70</f>
        <v>5.8309786336408598</v>
      </c>
      <c r="BK69" s="63">
        <v>4.8323723002664005</v>
      </c>
      <c r="BL69" s="63">
        <v>4.8323723002664005</v>
      </c>
      <c r="BM69" s="63">
        <f t="shared" si="89"/>
        <v>3.3387037634112682</v>
      </c>
    </row>
    <row r="70" spans="1:65">
      <c r="A70" s="50" t="s">
        <v>209</v>
      </c>
      <c r="B70" s="50" t="s">
        <v>210</v>
      </c>
      <c r="C70" s="51">
        <v>14530.4</v>
      </c>
      <c r="D70" s="52" t="s">
        <v>64</v>
      </c>
      <c r="E70" s="68" t="str" cm="1">
        <f t="array" ref="E70">_xll.ciqfunctions.udf.CIQ(B70,"iq_industry")</f>
        <v>Technology Hardware, Storage and Peripherals</v>
      </c>
      <c r="F70" s="60">
        <f>'Information Technology'!S1024</f>
        <v>-28.295777645829556</v>
      </c>
      <c r="G70" s="62">
        <v>-49.673811064857986</v>
      </c>
      <c r="K70" s="62">
        <v>1</v>
      </c>
      <c r="L70" s="108">
        <v>1</v>
      </c>
      <c r="M70" s="60">
        <f>'Information Technology'!S1025</f>
        <v>15.344807547</v>
      </c>
      <c r="N70" s="63">
        <v>14.445081205000001</v>
      </c>
      <c r="O70" s="63">
        <f>(N70-$N$266)/$N$267</f>
        <v>-0.31191040402272946</v>
      </c>
      <c r="P70" s="63">
        <f>O70-$O$70</f>
        <v>0</v>
      </c>
      <c r="Q70" s="63">
        <f>P70+5-$P$7</f>
        <v>4.9757811531119032</v>
      </c>
      <c r="R70" s="62">
        <f>Q70+1-$Q$70</f>
        <v>1</v>
      </c>
      <c r="S70" s="63">
        <v>1.0090873658262876</v>
      </c>
      <c r="T70" s="60" t="e">
        <f>'Information Technology'!S1026</f>
        <v>#DIV/0!</v>
      </c>
      <c r="U70" s="63" t="e">
        <v>#DIV/0!</v>
      </c>
      <c r="Z70" s="63">
        <v>1</v>
      </c>
      <c r="AA70" s="60">
        <f>'Information Technology'!S1027</f>
        <v>1.8391307888863784E-2</v>
      </c>
      <c r="AB70" s="63">
        <v>2.0135992200579267E-2</v>
      </c>
      <c r="AC70" s="60">
        <f>-(AB70-$AB$266)/$AB$267</f>
        <v>0.16348806584655273</v>
      </c>
      <c r="AD70" s="60">
        <f>AC70-$AC$9</f>
        <v>0.30015629822684864</v>
      </c>
      <c r="AE70" s="60">
        <f>AD70+5-$AD$69</f>
        <v>4.8330076006163081</v>
      </c>
      <c r="AF70" s="60">
        <v>2.7562397819114333</v>
      </c>
      <c r="AG70" s="60">
        <v>2.7562397819114333</v>
      </c>
      <c r="AH70" s="60">
        <f>'Information Technology'!S1028</f>
        <v>-3.0549156619330397E-2</v>
      </c>
      <c r="AI70" s="63">
        <v>2.2315652194545123E-3</v>
      </c>
      <c r="AJ70" s="60">
        <f t="shared" si="86"/>
        <v>-0.63113813517296313</v>
      </c>
      <c r="AK70" s="60">
        <f t="shared" si="87"/>
        <v>-0.63113813517296313</v>
      </c>
      <c r="AL70" s="60">
        <f t="shared" si="88"/>
        <v>4.3344811813956348</v>
      </c>
      <c r="AM70" s="60">
        <v>1.2</v>
      </c>
      <c r="AN70" s="60">
        <v>1.2</v>
      </c>
      <c r="AO70" s="60">
        <f>'Information Technology'!S1029</f>
        <v>-3.5762255443547691E-2</v>
      </c>
      <c r="AP70" s="60">
        <v>-1.416821421747934E-2</v>
      </c>
      <c r="AQ70" s="60"/>
      <c r="AR70" s="60"/>
      <c r="AS70" s="60"/>
      <c r="AT70" s="60"/>
      <c r="AU70" s="60">
        <v>1</v>
      </c>
      <c r="AV70" s="60">
        <f>'Information Technology'!S1030</f>
        <v>-2.3626145454545457</v>
      </c>
      <c r="AW70" s="60">
        <v>-1.4591427272727275</v>
      </c>
      <c r="AX70" s="60"/>
      <c r="AY70" s="60"/>
      <c r="AZ70" s="60"/>
      <c r="BA70" s="60"/>
      <c r="BB70" s="60">
        <v>1</v>
      </c>
      <c r="BC70" s="60">
        <f>'Information Technology'!S1031</f>
        <v>0.90571027517118863</v>
      </c>
      <c r="BD70" s="60">
        <v>2.9689480051766153</v>
      </c>
      <c r="BE70" s="60">
        <v>1</v>
      </c>
      <c r="BF70" s="60" t="str">
        <f>'Information Technology'!S1032</f>
        <v>NM</v>
      </c>
      <c r="BG70" s="63" t="s">
        <v>612</v>
      </c>
      <c r="BL70" s="63">
        <v>1</v>
      </c>
      <c r="BM70" s="63">
        <f t="shared" si="89"/>
        <v>1.1407542578990579</v>
      </c>
    </row>
    <row r="71" spans="1:65" ht="15.95" customHeight="1">
      <c r="A71" s="53" t="s">
        <v>274</v>
      </c>
      <c r="B71" s="53" t="s">
        <v>275</v>
      </c>
      <c r="C71" s="54">
        <v>7912.1</v>
      </c>
      <c r="D71" s="55" t="s">
        <v>172</v>
      </c>
      <c r="E71" s="67" t="str" cm="1">
        <f t="array" ref="E71">_xll.ciqfunctions.udf.CIQ(B71,"iq_industry")</f>
        <v>(Invalid Identifier)</v>
      </c>
      <c r="F71" s="60" t="e">
        <f>'Information Technology'!W1504</f>
        <v>#DIV/0!</v>
      </c>
      <c r="G71" s="62">
        <v>29.329214287796539</v>
      </c>
      <c r="H71" s="62" t="e">
        <f t="shared" ref="H71:H82" si="90">-(G71-$G$263)/$G$264</f>
        <v>#DIV/0!</v>
      </c>
      <c r="I71" s="62" t="e">
        <f t="shared" ref="I71:I82" si="91">H71-$H$83</f>
        <v>#DIV/0!</v>
      </c>
      <c r="J71" s="62" t="e">
        <f t="shared" ref="J71:J82" si="92">I71+(5-$I$124)</f>
        <v>#DIV/0!</v>
      </c>
      <c r="K71" s="62">
        <v>1</v>
      </c>
      <c r="L71" s="108">
        <v>3.5451890777725801</v>
      </c>
      <c r="M71" s="60">
        <f>'Information Technology'!W1505</f>
        <v>0</v>
      </c>
      <c r="N71" s="63">
        <v>0</v>
      </c>
      <c r="O71" s="63">
        <v>1</v>
      </c>
      <c r="P71" s="63">
        <v>1</v>
      </c>
      <c r="Q71" s="63">
        <v>1</v>
      </c>
      <c r="S71" s="63">
        <v>1</v>
      </c>
      <c r="T71" s="60" t="e">
        <f>'Information Technology'!W1506</f>
        <v>#DIV/0!</v>
      </c>
      <c r="U71" s="63" t="e">
        <v>#DIV/0!</v>
      </c>
      <c r="W71" s="63"/>
      <c r="X71" s="63"/>
      <c r="Z71" s="63">
        <v>1</v>
      </c>
      <c r="AA71" s="60">
        <f>'Information Technology'!W1507</f>
        <v>-1</v>
      </c>
      <c r="AB71" s="63">
        <v>-1</v>
      </c>
      <c r="AC71" s="60"/>
      <c r="AD71" s="60"/>
      <c r="AE71" s="60"/>
      <c r="AF71" s="60">
        <v>5</v>
      </c>
      <c r="AG71" s="60">
        <v>5</v>
      </c>
      <c r="AH71" s="60" t="e">
        <f>'Information Technology'!W1508</f>
        <v>#DIV/0!</v>
      </c>
      <c r="AI71" s="63" t="e">
        <v>#DIV/0!</v>
      </c>
      <c r="AJ71" s="60"/>
      <c r="AK71" s="60"/>
      <c r="AL71" s="60"/>
      <c r="AM71" s="60"/>
      <c r="AN71" s="60">
        <v>1</v>
      </c>
      <c r="AO71" s="60" t="e">
        <f>'Information Technology'!W1509</f>
        <v>#DIV/0!</v>
      </c>
      <c r="AP71" s="60" t="e">
        <v>#DIV/0!</v>
      </c>
      <c r="AQ71" s="60"/>
      <c r="AR71" s="60"/>
      <c r="AS71" s="60"/>
      <c r="AT71" s="60"/>
      <c r="AU71" s="60">
        <v>1</v>
      </c>
      <c r="AV71" s="60">
        <f>'Information Technology'!W1510</f>
        <v>0.47121181818181812</v>
      </c>
      <c r="AW71" s="60">
        <v>0.47121181818181812</v>
      </c>
      <c r="AX71" s="60" t="e">
        <f>(AW71-$AW$263)/$AW$264</f>
        <v>#DIV/0!</v>
      </c>
      <c r="AY71" s="60" t="e">
        <f>AX71-$AX$118</f>
        <v>#DIV/0!</v>
      </c>
      <c r="AZ71" s="60" t="e">
        <f>AY71+5-$AY$93</f>
        <v>#DIV/0!</v>
      </c>
      <c r="BA71" s="60">
        <v>2.735204326573383</v>
      </c>
      <c r="BB71" s="60">
        <v>2.9863866744491245</v>
      </c>
      <c r="BC71" s="60" t="e">
        <f>'Information Technology'!W1511</f>
        <v>#DIV/0!</v>
      </c>
      <c r="BD71" s="60" t="e">
        <v>#DIV/0!</v>
      </c>
      <c r="BE71" s="60">
        <v>1</v>
      </c>
      <c r="BF71" s="60" t="e">
        <f>'Information Technology'!W1512</f>
        <v>#DIV/0!</v>
      </c>
      <c r="BG71" s="63" t="e">
        <v>#DIV/0!</v>
      </c>
      <c r="BI71" s="63"/>
      <c r="BJ71" s="63"/>
      <c r="BK71" s="63">
        <v>1</v>
      </c>
      <c r="BL71" s="63">
        <v>1</v>
      </c>
      <c r="BM71" s="63">
        <f t="shared" ref="BM71:BM102" si="93">0.2*(L71)+0.075*(S71)+0.04*(Z71)+0.06*(AG71)+0.1*(AN71)+0.025*(AU71)+0.1*(BB71)+0.2*(BE71)+0.2*(BL71)</f>
        <v>1.9476764829994284</v>
      </c>
    </row>
    <row r="72" spans="1:65">
      <c r="A72" s="53" t="s">
        <v>262</v>
      </c>
      <c r="B72" s="53" t="s">
        <v>263</v>
      </c>
      <c r="C72" s="54">
        <v>8975.6</v>
      </c>
      <c r="D72" s="55" t="s">
        <v>80</v>
      </c>
      <c r="E72" s="67" t="str" cm="1">
        <f t="array" ref="E72">_xll.ciqfunctions.udf.CIQ(B72,"iq_industry")</f>
        <v>Communications Equipment</v>
      </c>
      <c r="F72" s="60">
        <f>'Information Technology'!W1414</f>
        <v>57.909983597205937</v>
      </c>
      <c r="G72" s="62">
        <v>20.357997962735073</v>
      </c>
      <c r="H72" s="62" t="e">
        <f t="shared" si="90"/>
        <v>#DIV/0!</v>
      </c>
      <c r="I72" s="62" t="e">
        <f t="shared" si="91"/>
        <v>#DIV/0!</v>
      </c>
      <c r="J72" s="62" t="e">
        <f t="shared" si="92"/>
        <v>#DIV/0!</v>
      </c>
      <c r="K72" s="62">
        <v>1</v>
      </c>
      <c r="L72" s="108">
        <v>4.0147812087159895</v>
      </c>
      <c r="M72" s="60">
        <f>'Information Technology'!W1415</f>
        <v>7.3521268866399998</v>
      </c>
      <c r="N72" s="63">
        <v>8.4983683734</v>
      </c>
      <c r="O72" s="63">
        <f t="shared" ref="O72:O102" si="94">(N72-$N$263)/$N$264</f>
        <v>-0.11560476286880526</v>
      </c>
      <c r="P72" s="63">
        <f t="shared" ref="P72:P102" si="95">O72-$O$126</f>
        <v>-2.0427530479345317</v>
      </c>
      <c r="Q72" s="63">
        <f t="shared" ref="Q72:Q102" si="96">P72+5-$P$71</f>
        <v>1.9572469520654683</v>
      </c>
      <c r="S72" s="63">
        <v>2.0972350768586248</v>
      </c>
      <c r="T72" s="60" t="e">
        <f>'Information Technology'!W1416</f>
        <v>#DIV/0!</v>
      </c>
      <c r="U72" s="63">
        <v>14.745446230720102</v>
      </c>
      <c r="V72" s="63" t="e">
        <f>-(U72-$U$263)/$U$264</f>
        <v>#DIV/0!</v>
      </c>
      <c r="W72" s="63" t="e">
        <f>V72-$V$120</f>
        <v>#DIV/0!</v>
      </c>
      <c r="X72" s="63" t="e">
        <f>W72+(5-$W$126)</f>
        <v>#DIV/0!</v>
      </c>
      <c r="Y72" s="63">
        <v>4.972715371703381</v>
      </c>
      <c r="Z72" s="63">
        <v>4.972715371703381</v>
      </c>
      <c r="AA72" s="60">
        <f>'Information Technology'!W1417</f>
        <v>-2.8289996079106094E-3</v>
      </c>
      <c r="AB72" s="63">
        <v>-1.5757978219409718E-2</v>
      </c>
      <c r="AC72" s="60" t="e">
        <f t="shared" ref="AC72:AC103" si="97">-(AB72-$AB$263)/$AB$264</f>
        <v>#DIV/0!</v>
      </c>
      <c r="AD72" s="60" t="e">
        <f t="shared" ref="AD72:AD103" si="98">AC72-$AC$83</f>
        <v>#DIV/0!</v>
      </c>
      <c r="AE72" s="60" t="e">
        <f t="shared" ref="AE72:AE103" si="99">AD72+5-$AD$123</f>
        <v>#DIV/0!</v>
      </c>
      <c r="AF72" s="60">
        <v>3.5111002856395235</v>
      </c>
      <c r="AG72" s="60">
        <v>3.5111002856395235</v>
      </c>
      <c r="AH72" s="60">
        <f>'Information Technology'!W1418</f>
        <v>4.2111251583821516E-3</v>
      </c>
      <c r="AI72" s="63">
        <v>7.6520341786359525E-2</v>
      </c>
      <c r="AJ72" s="60">
        <f t="shared" ref="AJ72:AJ85" si="100">(AI72-$AI$263)/$AI$264</f>
        <v>0.29575109282000217</v>
      </c>
      <c r="AK72" s="60">
        <f t="shared" ref="AK72:AK85" si="101">AJ72-$AJ$110</f>
        <v>0.29575109282000217</v>
      </c>
      <c r="AL72" s="60">
        <f t="shared" ref="AL72:AL85" si="102">AK72+5-$AK$80</f>
        <v>5.2802687094922343</v>
      </c>
      <c r="AM72" s="60"/>
      <c r="AN72" s="60">
        <v>2.055584861045233</v>
      </c>
      <c r="AO72" s="60">
        <f>'Information Technology'!W1419</f>
        <v>0.12000659789177991</v>
      </c>
      <c r="AP72" s="60">
        <v>6.152971196050231E-2</v>
      </c>
      <c r="AQ72" s="60" t="e">
        <f t="shared" ref="AQ72:AQ81" si="103">(AP72-$AP$263)/$AP$264</f>
        <v>#DIV/0!</v>
      </c>
      <c r="AR72" s="60" t="e">
        <f t="shared" ref="AR72:AR81" si="104">AQ72-$AQ$124</f>
        <v>#DIV/0!</v>
      </c>
      <c r="AS72" s="60" t="e">
        <f t="shared" ref="AS72:AS81" si="105">AR72+5-$AR$85</f>
        <v>#DIV/0!</v>
      </c>
      <c r="AT72" s="60">
        <v>2.2055382534975414</v>
      </c>
      <c r="AU72" s="60">
        <v>2.2055382534975414</v>
      </c>
      <c r="AV72" s="60">
        <f>'Information Technology'!W1420</f>
        <v>-1.7149745454545455</v>
      </c>
      <c r="AW72" s="60">
        <v>-0.64981636363636375</v>
      </c>
      <c r="AX72" s="60"/>
      <c r="AY72" s="60"/>
      <c r="AZ72" s="60"/>
      <c r="BA72" s="60">
        <v>1.45</v>
      </c>
      <c r="BB72" s="60">
        <v>1.5</v>
      </c>
      <c r="BC72" s="60">
        <f>'Information Technology'!W1421</f>
        <v>-0.82414984686767701</v>
      </c>
      <c r="BD72" s="60">
        <v>-0.2105709801777855</v>
      </c>
      <c r="BE72" s="60">
        <v>5</v>
      </c>
      <c r="BF72" s="60">
        <f>'Information Technology'!W1422</f>
        <v>6.2316637824681127</v>
      </c>
      <c r="BG72" s="63">
        <v>0.11938202285063</v>
      </c>
      <c r="BH72" s="63" t="e">
        <f t="shared" ref="BH72:BH89" si="106">-(BG72-$BG$263)/$BG$264</f>
        <v>#DIV/0!</v>
      </c>
      <c r="BI72" s="63" t="e">
        <f t="shared" ref="BI72:BI89" si="107">BH72-$BH$90</f>
        <v>#DIV/0!</v>
      </c>
      <c r="BJ72" s="63" t="e">
        <f t="shared" ref="BJ72:BJ89" si="108">BI72+(5-$BI$126)</f>
        <v>#DIV/0!</v>
      </c>
      <c r="BK72" s="63">
        <v>4.8326353397470214</v>
      </c>
      <c r="BL72" s="63">
        <v>4.8326353397470214</v>
      </c>
      <c r="BM72" s="63">
        <f t="shared" si="93"/>
        <v>3.7470475149054678</v>
      </c>
    </row>
    <row r="73" spans="1:65">
      <c r="A73" s="53" t="s">
        <v>252</v>
      </c>
      <c r="B73" s="53" t="s">
        <v>253</v>
      </c>
      <c r="C73" s="54">
        <v>9409.6</v>
      </c>
      <c r="D73" s="55" t="s">
        <v>80</v>
      </c>
      <c r="E73" s="67" t="str" cm="1">
        <f t="array" ref="E73">_xll.ciqfunctions.udf.CIQ(B73,"iq_industry")</f>
        <v>Communications Equipment</v>
      </c>
      <c r="F73" s="60">
        <f>'Information Technology'!W1339</f>
        <v>10.411215830309661</v>
      </c>
      <c r="G73" s="62">
        <v>13.817328944726697</v>
      </c>
      <c r="H73" s="62" t="e">
        <f t="shared" si="90"/>
        <v>#DIV/0!</v>
      </c>
      <c r="I73" s="62" t="e">
        <f t="shared" si="91"/>
        <v>#DIV/0!</v>
      </c>
      <c r="J73" s="62" t="e">
        <f t="shared" si="92"/>
        <v>#DIV/0!</v>
      </c>
      <c r="K73" s="62">
        <v>1</v>
      </c>
      <c r="L73" s="108">
        <v>4.3571480172592061</v>
      </c>
      <c r="M73" s="60">
        <f>'Information Technology'!W1340</f>
        <v>15.795212587200002</v>
      </c>
      <c r="N73" s="63">
        <v>9.1397123862000011</v>
      </c>
      <c r="O73" s="63">
        <f t="shared" si="94"/>
        <v>7.8624236717595511E-2</v>
      </c>
      <c r="P73" s="63">
        <f t="shared" si="95"/>
        <v>-1.8485240483481311</v>
      </c>
      <c r="Q73" s="63">
        <f t="shared" si="96"/>
        <v>2.1514759516518689</v>
      </c>
      <c r="S73" s="63">
        <v>2.2914640764450258</v>
      </c>
      <c r="T73" s="60">
        <f>'Information Technology'!W1341</f>
        <v>127.97580223822342</v>
      </c>
      <c r="U73" s="63" t="e">
        <v>#DIV/0!</v>
      </c>
      <c r="W73" s="63"/>
      <c r="X73" s="63"/>
      <c r="Z73" s="63">
        <v>1</v>
      </c>
      <c r="AA73" s="60">
        <f>'Information Technology'!W1342</f>
        <v>2.1599078049813203E-2</v>
      </c>
      <c r="AB73" s="63">
        <v>-4.3955589261712724E-3</v>
      </c>
      <c r="AC73" s="60" t="e">
        <f t="shared" si="97"/>
        <v>#DIV/0!</v>
      </c>
      <c r="AD73" s="60" t="e">
        <f t="shared" si="98"/>
        <v>#DIV/0!</v>
      </c>
      <c r="AE73" s="60" t="e">
        <f t="shared" si="99"/>
        <v>#DIV/0!</v>
      </c>
      <c r="AF73" s="60">
        <v>3.2518140374165156</v>
      </c>
      <c r="AG73" s="60">
        <v>3.2518140374165156</v>
      </c>
      <c r="AH73" s="60">
        <f>'Information Technology'!W1343</f>
        <v>0.11465085944021548</v>
      </c>
      <c r="AI73" s="63">
        <v>0.14483565914506419</v>
      </c>
      <c r="AJ73" s="60">
        <f t="shared" si="100"/>
        <v>0.6617507401257352</v>
      </c>
      <c r="AK73" s="60">
        <f t="shared" si="101"/>
        <v>0.6617507401257352</v>
      </c>
      <c r="AL73" s="60">
        <f t="shared" si="102"/>
        <v>5.6462683567979672</v>
      </c>
      <c r="AM73" s="60"/>
      <c r="AN73" s="60">
        <v>2.8646382088793478</v>
      </c>
      <c r="AO73" s="60">
        <f>'Information Technology'!W1344</f>
        <v>1.8287195321336876E-2</v>
      </c>
      <c r="AP73" s="60">
        <v>5.4792664915657242E-2</v>
      </c>
      <c r="AQ73" s="60" t="e">
        <f t="shared" si="103"/>
        <v>#DIV/0!</v>
      </c>
      <c r="AR73" s="60" t="e">
        <f t="shared" si="104"/>
        <v>#DIV/0!</v>
      </c>
      <c r="AS73" s="60" t="e">
        <f t="shared" si="105"/>
        <v>#DIV/0!</v>
      </c>
      <c r="AT73" s="60">
        <v>2.0993756394894274</v>
      </c>
      <c r="AU73" s="60">
        <v>2.0993756394894274</v>
      </c>
      <c r="AV73" s="60">
        <f>'Information Technology'!W1345</f>
        <v>0.72953181818181823</v>
      </c>
      <c r="AW73" s="60">
        <v>-1.3255727272727271</v>
      </c>
      <c r="AX73" s="60"/>
      <c r="AY73" s="60"/>
      <c r="AZ73" s="60"/>
      <c r="BA73" s="60">
        <v>1.05</v>
      </c>
      <c r="BB73" s="60">
        <v>1.1000000000000001</v>
      </c>
      <c r="BC73" s="60">
        <f>'Information Technology'!W1346</f>
        <v>0.82617611191262719</v>
      </c>
      <c r="BD73" s="60">
        <v>-5.3821433284381706E-3</v>
      </c>
      <c r="BE73" s="60">
        <v>5</v>
      </c>
      <c r="BF73" s="60">
        <f>'Information Technology'!W1347</f>
        <v>0.54187185604187382</v>
      </c>
      <c r="BG73" s="63">
        <v>0.10191858818057124</v>
      </c>
      <c r="BH73" s="63" t="e">
        <f t="shared" si="106"/>
        <v>#DIV/0!</v>
      </c>
      <c r="BI73" s="63" t="e">
        <f t="shared" si="107"/>
        <v>#DIV/0!</v>
      </c>
      <c r="BJ73" s="63" t="e">
        <f t="shared" si="108"/>
        <v>#DIV/0!</v>
      </c>
      <c r="BK73" s="63">
        <v>4.8646365668900176</v>
      </c>
      <c r="BL73" s="63">
        <v>4.8646365668900176</v>
      </c>
      <c r="BM73" s="63">
        <f t="shared" si="93"/>
        <v>3.7002737766833831</v>
      </c>
    </row>
    <row r="74" spans="1:65">
      <c r="A74" s="53" t="s">
        <v>266</v>
      </c>
      <c r="B74" s="53" t="s">
        <v>267</v>
      </c>
      <c r="C74" s="54">
        <v>8710.4</v>
      </c>
      <c r="D74" s="55" t="s">
        <v>80</v>
      </c>
      <c r="E74" s="67" t="str" cm="1">
        <f t="array" ref="E74">_xll.ciqfunctions.udf.CIQ(B74,"iq_industry")</f>
        <v>Communications Equipment</v>
      </c>
      <c r="F74" s="60">
        <f>'Information Technology'!W1444</f>
        <v>27.325352798967881</v>
      </c>
      <c r="G74" s="62">
        <v>12.961048704013585</v>
      </c>
      <c r="H74" s="62" t="e">
        <f t="shared" si="90"/>
        <v>#DIV/0!</v>
      </c>
      <c r="I74" s="62" t="e">
        <f t="shared" si="91"/>
        <v>#DIV/0!</v>
      </c>
      <c r="J74" s="62" t="e">
        <f t="shared" si="92"/>
        <v>#DIV/0!</v>
      </c>
      <c r="K74" s="62">
        <v>1</v>
      </c>
      <c r="L74" s="108">
        <v>4.4019694158691038</v>
      </c>
      <c r="M74" s="60">
        <f>'Information Technology'!W1445</f>
        <v>6.6861252096000001</v>
      </c>
      <c r="N74" s="63">
        <v>7.2929124524999995</v>
      </c>
      <c r="O74" s="63">
        <f t="shared" si="94"/>
        <v>-0.48067326415521833</v>
      </c>
      <c r="P74" s="63">
        <f t="shared" si="95"/>
        <v>-2.4078215492209449</v>
      </c>
      <c r="Q74" s="63">
        <f t="shared" si="96"/>
        <v>1.5921784507790551</v>
      </c>
      <c r="S74" s="63">
        <v>1.7321665755722115</v>
      </c>
      <c r="T74" s="60" t="e">
        <f>'Information Technology'!W1446</f>
        <v>#DIV/0!</v>
      </c>
      <c r="U74" s="63" t="e">
        <v>#DIV/0!</v>
      </c>
      <c r="W74" s="63"/>
      <c r="X74" s="63"/>
      <c r="Z74" s="63">
        <v>1</v>
      </c>
      <c r="AA74" s="60">
        <f>'Information Technology'!W1447</f>
        <v>-1.1817524509066146E-2</v>
      </c>
      <c r="AB74" s="63">
        <v>-3.9678677610495927E-2</v>
      </c>
      <c r="AC74" s="60" t="e">
        <f t="shared" si="97"/>
        <v>#DIV/0!</v>
      </c>
      <c r="AD74" s="60" t="e">
        <f t="shared" si="98"/>
        <v>#DIV/0!</v>
      </c>
      <c r="AE74" s="60" t="e">
        <f t="shared" si="99"/>
        <v>#DIV/0!</v>
      </c>
      <c r="AF74" s="60">
        <v>4.0569618878139835</v>
      </c>
      <c r="AG74" s="60">
        <v>4.0569618878139835</v>
      </c>
      <c r="AH74" s="60">
        <f>'Information Technology'!W1448</f>
        <v>0.21390659333483766</v>
      </c>
      <c r="AI74" s="63">
        <v>0.25102842193429303</v>
      </c>
      <c r="AJ74" s="60">
        <f t="shared" si="100"/>
        <v>1.2306789868204249</v>
      </c>
      <c r="AK74" s="60">
        <f t="shared" si="101"/>
        <v>1.2306789868204249</v>
      </c>
      <c r="AL74" s="60">
        <f t="shared" si="102"/>
        <v>6.2151966034926565</v>
      </c>
      <c r="AM74" s="60"/>
      <c r="AN74" s="60">
        <v>4.1222713952884922</v>
      </c>
      <c r="AO74" s="60">
        <f>'Information Technology'!W1449</f>
        <v>0.16744426778448704</v>
      </c>
      <c r="AP74" s="60">
        <v>9.2127023015105891E-2</v>
      </c>
      <c r="AQ74" s="60" t="e">
        <f t="shared" si="103"/>
        <v>#DIV/0!</v>
      </c>
      <c r="AR74" s="60" t="e">
        <f t="shared" si="104"/>
        <v>#DIV/0!</v>
      </c>
      <c r="AS74" s="60" t="e">
        <f t="shared" si="105"/>
        <v>#DIV/0!</v>
      </c>
      <c r="AT74" s="60">
        <v>2.6876917105765652</v>
      </c>
      <c r="AU74" s="60">
        <v>2.6876917105765652</v>
      </c>
      <c r="AV74" s="60">
        <f>'Information Technology'!W1450</f>
        <v>2.3121272727272726</v>
      </c>
      <c r="AW74" s="60">
        <v>-1.189090909090925E-2</v>
      </c>
      <c r="AX74" s="60" t="e">
        <f t="shared" ref="AX74:AX81" si="109">(AW74-$AW$263)/$AW$264</f>
        <v>#DIV/0!</v>
      </c>
      <c r="AY74" s="60" t="e">
        <f t="shared" ref="AY74:AY81" si="110">AX74-$AX$118</f>
        <v>#DIV/0!</v>
      </c>
      <c r="AZ74" s="60" t="e">
        <f t="shared" ref="AZ74:AZ81" si="111">AY74+5-$AY$93</f>
        <v>#DIV/0!</v>
      </c>
      <c r="BA74" s="60">
        <v>2.1318214576376917</v>
      </c>
      <c r="BB74" s="60">
        <v>2.1988504996158689</v>
      </c>
      <c r="BC74" s="60">
        <f>'Information Technology'!W1451</f>
        <v>-3.4903757270507429E-3</v>
      </c>
      <c r="BD74" s="60">
        <v>0.32438216081786786</v>
      </c>
      <c r="BE74" s="60">
        <v>4.4000000000000004</v>
      </c>
      <c r="BF74" s="60">
        <f>'Information Technology'!W1452</f>
        <v>0.85290752152758031</v>
      </c>
      <c r="BG74" s="63">
        <v>0.8868496846955416</v>
      </c>
      <c r="BH74" s="63" t="e">
        <f t="shared" si="106"/>
        <v>#DIV/0!</v>
      </c>
      <c r="BI74" s="63" t="e">
        <f t="shared" si="107"/>
        <v>#DIV/0!</v>
      </c>
      <c r="BJ74" s="63" t="e">
        <f t="shared" si="108"/>
        <v>#DIV/0!</v>
      </c>
      <c r="BK74" s="63">
        <v>3.4262735652381444</v>
      </c>
      <c r="BL74" s="63">
        <v>3.4262735652381444</v>
      </c>
      <c r="BM74" s="63">
        <f t="shared" si="93"/>
        <v>3.5582832849130557</v>
      </c>
    </row>
    <row r="75" spans="1:65">
      <c r="A75" s="53" t="s">
        <v>288</v>
      </c>
      <c r="B75" s="53" t="s">
        <v>289</v>
      </c>
      <c r="C75" s="54">
        <v>6969.3</v>
      </c>
      <c r="D75" s="55" t="s">
        <v>80</v>
      </c>
      <c r="E75" s="67" t="str" cm="1">
        <f t="array" ref="E75">_xll.ciqfunctions.udf.CIQ(B75,"iq_industry")</f>
        <v>Communications Equipment</v>
      </c>
      <c r="F75" s="60">
        <f>'Information Technology'!W1609</f>
        <v>9.0292040180249842</v>
      </c>
      <c r="G75" s="62">
        <v>18.956702625287399</v>
      </c>
      <c r="H75" s="62" t="e">
        <f t="shared" si="90"/>
        <v>#DIV/0!</v>
      </c>
      <c r="I75" s="62" t="e">
        <f t="shared" si="91"/>
        <v>#DIV/0!</v>
      </c>
      <c r="J75" s="62" t="e">
        <f t="shared" si="92"/>
        <v>#DIV/0!</v>
      </c>
      <c r="K75" s="62">
        <v>1</v>
      </c>
      <c r="L75" s="108">
        <v>4.0881310466587966</v>
      </c>
      <c r="M75" s="60">
        <f>'Information Technology'!W1610</f>
        <v>13.315371754425003</v>
      </c>
      <c r="N75" s="63">
        <v>6.4754953679999998</v>
      </c>
      <c r="O75" s="63">
        <f t="shared" si="94"/>
        <v>-0.72822543490695113</v>
      </c>
      <c r="P75" s="63">
        <f t="shared" si="95"/>
        <v>-2.6553737199726779</v>
      </c>
      <c r="Q75" s="63">
        <f t="shared" si="96"/>
        <v>1.3446262800273221</v>
      </c>
      <c r="S75" s="63">
        <v>1.4846144048204781</v>
      </c>
      <c r="T75" s="60" t="e">
        <f>'Information Technology'!W1611</f>
        <v>#DIV/0!</v>
      </c>
      <c r="U75" s="63" t="e">
        <v>#DIV/0!</v>
      </c>
      <c r="W75" s="63"/>
      <c r="X75" s="63"/>
      <c r="Z75" s="63">
        <v>1</v>
      </c>
      <c r="AA75" s="60">
        <f>'Information Technology'!W1612</f>
        <v>0.12119018790520109</v>
      </c>
      <c r="AB75" s="63">
        <v>-1.1294387279218721E-2</v>
      </c>
      <c r="AC75" s="60" t="e">
        <f t="shared" si="97"/>
        <v>#DIV/0!</v>
      </c>
      <c r="AD75" s="60" t="e">
        <f t="shared" si="98"/>
        <v>#DIV/0!</v>
      </c>
      <c r="AE75" s="60" t="e">
        <f t="shared" si="99"/>
        <v>#DIV/0!</v>
      </c>
      <c r="AF75" s="60">
        <v>3.4092427746098917</v>
      </c>
      <c r="AG75" s="60">
        <v>3.4092427746098917</v>
      </c>
      <c r="AH75" s="60">
        <f>'Information Technology'!W1613</f>
        <v>-4.6620579194142593E-2</v>
      </c>
      <c r="AI75" s="63">
        <v>4.9946795247767836E-2</v>
      </c>
      <c r="AJ75" s="60">
        <f t="shared" si="100"/>
        <v>0.15338318710247462</v>
      </c>
      <c r="AK75" s="60">
        <f t="shared" si="101"/>
        <v>0.15338318710247462</v>
      </c>
      <c r="AL75" s="60">
        <f t="shared" si="102"/>
        <v>5.1379008037747065</v>
      </c>
      <c r="AM75" s="60"/>
      <c r="AN75" s="60">
        <v>1.740876277053947</v>
      </c>
      <c r="AO75" s="60">
        <f>'Information Technology'!W1614</f>
        <v>0.19349996773472178</v>
      </c>
      <c r="AP75" s="60">
        <v>7.7791519319930405E-2</v>
      </c>
      <c r="AQ75" s="60" t="e">
        <f t="shared" si="103"/>
        <v>#DIV/0!</v>
      </c>
      <c r="AR75" s="60" t="e">
        <f t="shared" si="104"/>
        <v>#DIV/0!</v>
      </c>
      <c r="AS75" s="60" t="e">
        <f t="shared" si="105"/>
        <v>#DIV/0!</v>
      </c>
      <c r="AT75" s="60">
        <v>2.4617923610140147</v>
      </c>
      <c r="AU75" s="60">
        <v>2.4617923610140147</v>
      </c>
      <c r="AV75" s="60" t="e">
        <f>'Information Technology'!W1615</f>
        <v>#DIV/0!</v>
      </c>
      <c r="AW75" s="60">
        <v>0.70924454545454552</v>
      </c>
      <c r="AX75" s="60" t="e">
        <f t="shared" si="109"/>
        <v>#DIV/0!</v>
      </c>
      <c r="AY75" s="60" t="e">
        <f t="shared" si="110"/>
        <v>#DIV/0!</v>
      </c>
      <c r="AZ75" s="60" t="e">
        <f t="shared" si="111"/>
        <v>#DIV/0!</v>
      </c>
      <c r="BA75" s="60">
        <v>3.0325010748099626</v>
      </c>
      <c r="BB75" s="60">
        <v>3.0937212510707512</v>
      </c>
      <c r="BC75" s="60">
        <f>'Information Technology'!W1616</f>
        <v>0.41270881770064516</v>
      </c>
      <c r="BD75" s="60">
        <v>0.48307107974337182</v>
      </c>
      <c r="BE75" s="60">
        <v>2.4</v>
      </c>
      <c r="BF75" s="60" t="e">
        <f>'Information Technology'!W1617</f>
        <v>#DIV/0!</v>
      </c>
      <c r="BG75" s="63">
        <v>0.13741425315887845</v>
      </c>
      <c r="BH75" s="63" t="e">
        <f t="shared" si="106"/>
        <v>#DIV/0!</v>
      </c>
      <c r="BI75" s="63" t="e">
        <f t="shared" si="107"/>
        <v>#DIV/0!</v>
      </c>
      <c r="BJ75" s="63" t="e">
        <f t="shared" si="108"/>
        <v>#DIV/0!</v>
      </c>
      <c r="BK75" s="63">
        <v>4.7995918114324878</v>
      </c>
      <c r="BL75" s="63">
        <v>4.7995918114324878</v>
      </c>
      <c r="BM75" s="63">
        <f t="shared" si="93"/>
        <v>3.1584497802942062</v>
      </c>
    </row>
    <row r="76" spans="1:65" ht="22.5">
      <c r="A76" s="53" t="s">
        <v>236</v>
      </c>
      <c r="B76" s="53" t="s">
        <v>237</v>
      </c>
      <c r="C76" s="54">
        <v>11661.5</v>
      </c>
      <c r="D76" s="55" t="s">
        <v>172</v>
      </c>
      <c r="E76" s="67" t="str" cm="1">
        <f t="array" ref="E76">_xll.ciqfunctions.udf.CIQ(B76,"iq_industry")</f>
        <v>Electronic Equipment, Instruments and Components</v>
      </c>
      <c r="F76" s="60">
        <f>'Information Technology'!W1219</f>
        <v>244.06022632021802</v>
      </c>
      <c r="G76" s="62">
        <v>16.361114333498865</v>
      </c>
      <c r="H76" s="62" t="e">
        <f t="shared" si="90"/>
        <v>#DIV/0!</v>
      </c>
      <c r="I76" s="62" t="e">
        <f t="shared" si="91"/>
        <v>#DIV/0!</v>
      </c>
      <c r="J76" s="62" t="e">
        <f t="shared" si="92"/>
        <v>#DIV/0!</v>
      </c>
      <c r="K76" s="62">
        <v>1</v>
      </c>
      <c r="L76" s="108">
        <v>4.2239953255735498</v>
      </c>
      <c r="M76" s="60">
        <f>'Information Technology'!W1220</f>
        <v>16.8753136887</v>
      </c>
      <c r="N76" s="63">
        <v>11.0269663444</v>
      </c>
      <c r="O76" s="63">
        <f t="shared" si="94"/>
        <v>0.65017311056818816</v>
      </c>
      <c r="P76" s="63">
        <f t="shared" si="95"/>
        <v>-1.2769751744975384</v>
      </c>
      <c r="Q76" s="63">
        <f t="shared" si="96"/>
        <v>2.7230248255024616</v>
      </c>
      <c r="S76" s="63">
        <v>2.8630129502956203</v>
      </c>
      <c r="T76" s="60">
        <f>'Information Technology'!W1221</f>
        <v>191.16861094839538</v>
      </c>
      <c r="U76" s="63" t="e">
        <v>#DIV/0!</v>
      </c>
      <c r="W76" s="63"/>
      <c r="X76" s="63"/>
      <c r="Z76" s="63">
        <v>1</v>
      </c>
      <c r="AA76" s="60">
        <f>'Information Technology'!W1222</f>
        <v>-4.5959877627988477E-2</v>
      </c>
      <c r="AB76" s="63">
        <v>-9.5827474709248017E-3</v>
      </c>
      <c r="AC76" s="60" t="e">
        <f t="shared" si="97"/>
        <v>#DIV/0!</v>
      </c>
      <c r="AD76" s="60" t="e">
        <f t="shared" si="98"/>
        <v>#DIV/0!</v>
      </c>
      <c r="AE76" s="60" t="e">
        <f t="shared" si="99"/>
        <v>#DIV/0!</v>
      </c>
      <c r="AF76" s="60">
        <v>3.3701837808561788</v>
      </c>
      <c r="AG76" s="60">
        <v>3.3701837808561788</v>
      </c>
      <c r="AH76" s="60">
        <f>'Information Technology'!W1223</f>
        <v>1.6671971380277126E-2</v>
      </c>
      <c r="AI76" s="63">
        <v>0.11209161963988665</v>
      </c>
      <c r="AJ76" s="60">
        <f t="shared" si="100"/>
        <v>0.48632438812134188</v>
      </c>
      <c r="AK76" s="60">
        <f t="shared" si="101"/>
        <v>0.48632438812134188</v>
      </c>
      <c r="AL76" s="60">
        <f t="shared" si="102"/>
        <v>5.4708420047935737</v>
      </c>
      <c r="AM76" s="60"/>
      <c r="AN76" s="60">
        <v>2.4768529242970336</v>
      </c>
      <c r="AO76" s="60">
        <f>'Information Technology'!W1224</f>
        <v>4.9925330203916078E-4</v>
      </c>
      <c r="AP76" s="60">
        <v>2.1595997786904297E-2</v>
      </c>
      <c r="AQ76" s="60" t="e">
        <f t="shared" si="103"/>
        <v>#DIV/0!</v>
      </c>
      <c r="AR76" s="60" t="e">
        <f t="shared" si="104"/>
        <v>#DIV/0!</v>
      </c>
      <c r="AS76" s="60" t="e">
        <f t="shared" si="105"/>
        <v>#DIV/0!</v>
      </c>
      <c r="AT76" s="60">
        <v>1.5762614419357299</v>
      </c>
      <c r="AU76" s="60">
        <v>1.5762614419357299</v>
      </c>
      <c r="AV76" s="60">
        <f>'Information Technology'!W1225</f>
        <v>0.13056272727272722</v>
      </c>
      <c r="AW76" s="60">
        <v>0.36476909090909093</v>
      </c>
      <c r="AX76" s="60" t="e">
        <f t="shared" si="109"/>
        <v>#DIV/0!</v>
      </c>
      <c r="AY76" s="60" t="e">
        <f t="shared" si="110"/>
        <v>#DIV/0!</v>
      </c>
      <c r="AZ76" s="60" t="e">
        <f t="shared" si="111"/>
        <v>#DIV/0!</v>
      </c>
      <c r="BA76" s="60">
        <v>2.6022601005663537</v>
      </c>
      <c r="BB76" s="60">
        <v>2.735204326573383</v>
      </c>
      <c r="BC76" s="60">
        <f>'Information Technology'!W1226</f>
        <v>1.3629247528665265</v>
      </c>
      <c r="BD76" s="60">
        <v>-3.5797440129988443E-2</v>
      </c>
      <c r="BE76" s="60">
        <v>5</v>
      </c>
      <c r="BF76" s="60">
        <f>'Information Technology'!W1227</f>
        <v>4.3545384321832623E-2</v>
      </c>
      <c r="BG76" s="63">
        <v>0.23059259513484745</v>
      </c>
      <c r="BH76" s="63" t="e">
        <f t="shared" si="106"/>
        <v>#DIV/0!</v>
      </c>
      <c r="BI76" s="63" t="e">
        <f t="shared" si="107"/>
        <v>#DIV/0!</v>
      </c>
      <c r="BJ76" s="63" t="e">
        <f t="shared" si="108"/>
        <v>#DIV/0!</v>
      </c>
      <c r="BK76" s="63">
        <v>4.6288452576922214</v>
      </c>
      <c r="BL76" s="63">
        <v>4.6288452576922214</v>
      </c>
      <c r="BM76" s="63">
        <f t="shared" si="93"/>
        <v>3.7881173759121318</v>
      </c>
    </row>
    <row r="77" spans="1:65">
      <c r="A77" s="53" t="s">
        <v>250</v>
      </c>
      <c r="B77" s="53" t="s">
        <v>251</v>
      </c>
      <c r="C77" s="54">
        <v>9567.6</v>
      </c>
      <c r="D77" s="55" t="s">
        <v>157</v>
      </c>
      <c r="E77" s="67" t="str" cm="1">
        <f t="array" ref="E77">_xll.ciqfunctions.udf.CIQ(B77,"iq_industry")</f>
        <v>Electronic Equipment, Instruments and Components</v>
      </c>
      <c r="F77" s="60">
        <f>'Information Technology'!W1324</f>
        <v>42.615930307017813</v>
      </c>
      <c r="G77" s="62">
        <v>7.7938759695117064</v>
      </c>
      <c r="H77" s="62" t="e">
        <f t="shared" si="90"/>
        <v>#DIV/0!</v>
      </c>
      <c r="I77" s="62" t="e">
        <f t="shared" si="91"/>
        <v>#DIV/0!</v>
      </c>
      <c r="J77" s="62" t="e">
        <f t="shared" si="92"/>
        <v>#DIV/0!</v>
      </c>
      <c r="K77" s="62">
        <v>1</v>
      </c>
      <c r="L77" s="108">
        <v>4.672441508774611</v>
      </c>
      <c r="M77" s="60">
        <f>'Information Technology'!W1325</f>
        <v>7.950000889600001</v>
      </c>
      <c r="N77" s="63">
        <v>8.5488237771999991</v>
      </c>
      <c r="O77" s="63">
        <f t="shared" si="94"/>
        <v>-0.1003245038998052</v>
      </c>
      <c r="P77" s="63">
        <f t="shared" si="95"/>
        <v>-2.027472788965532</v>
      </c>
      <c r="Q77" s="63">
        <f t="shared" si="96"/>
        <v>1.972527211034468</v>
      </c>
      <c r="S77" s="63">
        <v>2.1125153358276254</v>
      </c>
      <c r="T77" s="60">
        <f>'Information Technology'!W1326</f>
        <v>13.309491964442669</v>
      </c>
      <c r="U77" s="63">
        <v>40.646505583955374</v>
      </c>
      <c r="V77" s="63" t="e">
        <f>-(U77-$U$263)/$U$264</f>
        <v>#DIV/0!</v>
      </c>
      <c r="W77" s="63" t="e">
        <f>V77-$V$120</f>
        <v>#DIV/0!</v>
      </c>
      <c r="X77" s="63" t="e">
        <f>W77+(5-$W$126)</f>
        <v>#DIV/0!</v>
      </c>
      <c r="Y77" s="63">
        <v>3.1396830817320334</v>
      </c>
      <c r="Z77" s="63">
        <v>3.1396830817320334</v>
      </c>
      <c r="AA77" s="60">
        <f>'Information Technology'!W1327</f>
        <v>1.0493682632048973E-3</v>
      </c>
      <c r="AB77" s="63">
        <v>0.1183130795680345</v>
      </c>
      <c r="AC77" s="60" t="e">
        <f t="shared" si="97"/>
        <v>#DIV/0!</v>
      </c>
      <c r="AD77" s="60" t="e">
        <f t="shared" si="98"/>
        <v>#DIV/0!</v>
      </c>
      <c r="AE77" s="60" t="e">
        <f t="shared" si="99"/>
        <v>#DIV/0!</v>
      </c>
      <c r="AF77" s="60">
        <v>1.25</v>
      </c>
      <c r="AG77" s="60">
        <v>1.25</v>
      </c>
      <c r="AH77" s="60">
        <f>'Information Technology'!W1328</f>
        <v>0.32672716182346095</v>
      </c>
      <c r="AI77" s="63">
        <v>1.455635078133634E-2</v>
      </c>
      <c r="AJ77" s="60">
        <f t="shared" si="100"/>
        <v>-3.6221292441915805E-2</v>
      </c>
      <c r="AK77" s="60">
        <f t="shared" si="101"/>
        <v>-3.6221292441915805E-2</v>
      </c>
      <c r="AL77" s="60">
        <f t="shared" si="102"/>
        <v>4.9482963242303164</v>
      </c>
      <c r="AM77" s="60"/>
      <c r="AN77" s="60">
        <v>1.3217498104877281</v>
      </c>
      <c r="AO77" s="60">
        <f>'Information Technology'!W1329</f>
        <v>9.6421051556419043E-2</v>
      </c>
      <c r="AP77" s="60">
        <v>4.2905864851338254E-3</v>
      </c>
      <c r="AQ77" s="60" t="e">
        <f t="shared" si="103"/>
        <v>#DIV/0!</v>
      </c>
      <c r="AR77" s="60" t="e">
        <f t="shared" si="104"/>
        <v>#DIV/0!</v>
      </c>
      <c r="AS77" s="60" t="e">
        <f t="shared" si="105"/>
        <v>#DIV/0!</v>
      </c>
      <c r="AT77" s="60">
        <v>1.303562188382609</v>
      </c>
      <c r="AU77" s="60">
        <v>1.303562188382609</v>
      </c>
      <c r="AV77" s="60">
        <f>'Information Technology'!W1330</f>
        <v>1.6509399999999999</v>
      </c>
      <c r="AW77" s="60">
        <v>-2.4797272727272716E-2</v>
      </c>
      <c r="AX77" s="60" t="e">
        <f t="shared" si="109"/>
        <v>#DIV/0!</v>
      </c>
      <c r="AY77" s="60" t="e">
        <f t="shared" si="110"/>
        <v>#DIV/0!</v>
      </c>
      <c r="AZ77" s="60" t="e">
        <f t="shared" si="111"/>
        <v>#DIV/0!</v>
      </c>
      <c r="BA77" s="60">
        <v>2.115701741728822</v>
      </c>
      <c r="BB77" s="60">
        <v>2.1318214576376917</v>
      </c>
      <c r="BC77" s="60">
        <f>'Information Technology'!W1331</f>
        <v>0</v>
      </c>
      <c r="BD77" s="60">
        <v>6.8526241372677127E-2</v>
      </c>
      <c r="BE77" s="60">
        <v>5</v>
      </c>
      <c r="BF77" s="60">
        <f>'Information Technology'!W1332</f>
        <v>4.6774344905540088</v>
      </c>
      <c r="BG77" s="63">
        <v>8.0331184469756955E-2</v>
      </c>
      <c r="BH77" s="63" t="e">
        <f t="shared" si="106"/>
        <v>#DIV/0!</v>
      </c>
      <c r="BI77" s="63" t="e">
        <f t="shared" si="107"/>
        <v>#DIV/0!</v>
      </c>
      <c r="BJ77" s="63" t="e">
        <f t="shared" si="108"/>
        <v>#DIV/0!</v>
      </c>
      <c r="BK77" s="63">
        <v>4.9041948452372761</v>
      </c>
      <c r="BL77" s="63">
        <v>4.9041948452372761</v>
      </c>
      <c r="BM77" s="63">
        <f t="shared" si="93"/>
        <v>3.6522994257808383</v>
      </c>
    </row>
    <row r="78" spans="1:65">
      <c r="A78" s="53" t="s">
        <v>320</v>
      </c>
      <c r="B78" s="53" t="s">
        <v>321</v>
      </c>
      <c r="C78" s="54">
        <v>5293.3</v>
      </c>
      <c r="D78" s="55" t="s">
        <v>157</v>
      </c>
      <c r="E78" s="67" t="str" cm="1">
        <f t="array" ref="E78">_xll.ciqfunctions.udf.CIQ(B78,"iq_industry")</f>
        <v>Electronic Equipment, Instruments and Components</v>
      </c>
      <c r="F78" s="60">
        <f>'Information Technology'!W1849</f>
        <v>26.791317462197473</v>
      </c>
      <c r="G78" s="62">
        <v>16.970497439587771</v>
      </c>
      <c r="H78" s="62" t="e">
        <f t="shared" si="90"/>
        <v>#DIV/0!</v>
      </c>
      <c r="I78" s="62" t="e">
        <f t="shared" si="91"/>
        <v>#DIV/0!</v>
      </c>
      <c r="J78" s="62" t="e">
        <f t="shared" si="92"/>
        <v>#DIV/0!</v>
      </c>
      <c r="K78" s="62">
        <v>1</v>
      </c>
      <c r="L78" s="108">
        <v>4.1920975871866384</v>
      </c>
      <c r="M78" s="60">
        <f>'Information Technology'!W1850</f>
        <v>11.394193995749999</v>
      </c>
      <c r="N78" s="63">
        <v>5.3458169991749998</v>
      </c>
      <c r="O78" s="63">
        <f t="shared" si="94"/>
        <v>-1.0703449449548297</v>
      </c>
      <c r="P78" s="63">
        <f t="shared" si="95"/>
        <v>-2.9974932300205563</v>
      </c>
      <c r="Q78" s="63">
        <f t="shared" si="96"/>
        <v>1.0025067699794437</v>
      </c>
      <c r="S78" s="63">
        <v>1.1424948947725984</v>
      </c>
      <c r="T78" s="60" t="e">
        <f>'Information Technology'!W1851</f>
        <v>#DIV/0!</v>
      </c>
      <c r="U78" s="63" t="e">
        <v>#DIV/0!</v>
      </c>
      <c r="W78" s="63"/>
      <c r="X78" s="63"/>
      <c r="Z78" s="63">
        <v>1</v>
      </c>
      <c r="AA78" s="60">
        <f>'Information Technology'!W1852</f>
        <v>4.9566793396485842E-2</v>
      </c>
      <c r="AB78" s="63">
        <v>3.957132504628369E-4</v>
      </c>
      <c r="AC78" s="60" t="e">
        <f t="shared" si="97"/>
        <v>#DIV/0!</v>
      </c>
      <c r="AD78" s="60" t="e">
        <f t="shared" si="98"/>
        <v>#DIV/0!</v>
      </c>
      <c r="AE78" s="60" t="e">
        <f t="shared" si="99"/>
        <v>#DIV/0!</v>
      </c>
      <c r="AF78" s="60">
        <v>3.1424789605430528</v>
      </c>
      <c r="AG78" s="60">
        <v>3.1424789605430528</v>
      </c>
      <c r="AH78" s="60">
        <f>'Information Technology'!W1853</f>
        <v>-6.7620721372101095E-2</v>
      </c>
      <c r="AI78" s="63">
        <v>2.2991885114272734E-2</v>
      </c>
      <c r="AJ78" s="60">
        <f t="shared" si="100"/>
        <v>8.9721240576231317E-3</v>
      </c>
      <c r="AK78" s="60">
        <f t="shared" si="101"/>
        <v>8.9721240576231317E-3</v>
      </c>
      <c r="AL78" s="60">
        <f t="shared" si="102"/>
        <v>4.9934897407298546</v>
      </c>
      <c r="AM78" s="60"/>
      <c r="AN78" s="60">
        <v>1.4216512316726249</v>
      </c>
      <c r="AO78" s="60">
        <f>'Information Technology'!W1854</f>
        <v>0.14346005237937801</v>
      </c>
      <c r="AP78" s="60">
        <v>7.6564362144262545E-3</v>
      </c>
      <c r="AQ78" s="60" t="e">
        <f t="shared" si="103"/>
        <v>#DIV/0!</v>
      </c>
      <c r="AR78" s="60" t="e">
        <f t="shared" si="104"/>
        <v>#DIV/0!</v>
      </c>
      <c r="AS78" s="60" t="e">
        <f t="shared" si="105"/>
        <v>#DIV/0!</v>
      </c>
      <c r="AT78" s="60">
        <v>1.3566013616645587</v>
      </c>
      <c r="AU78" s="60">
        <v>1.3566013616645587</v>
      </c>
      <c r="AV78" s="60">
        <f>'Information Technology'!W1855</f>
        <v>12.983323636363634</v>
      </c>
      <c r="AW78" s="60">
        <v>0.14501818181818185</v>
      </c>
      <c r="AX78" s="60" t="e">
        <f t="shared" si="109"/>
        <v>#DIV/0!</v>
      </c>
      <c r="AY78" s="60" t="e">
        <f t="shared" si="110"/>
        <v>#DIV/0!</v>
      </c>
      <c r="AZ78" s="60" t="e">
        <f t="shared" si="111"/>
        <v>#DIV/0!</v>
      </c>
      <c r="BA78" s="60">
        <v>2.3277968725754148</v>
      </c>
      <c r="BB78" s="60">
        <v>2.4452969642024733</v>
      </c>
      <c r="BC78" s="60">
        <f>'Information Technology'!W1856</f>
        <v>0.11902710349566982</v>
      </c>
      <c r="BD78" s="60">
        <v>2.7138785024319451E-2</v>
      </c>
      <c r="BE78" s="60">
        <v>5</v>
      </c>
      <c r="BF78" s="60">
        <f>'Information Technology'!W1857</f>
        <v>0.56045483103613802</v>
      </c>
      <c r="BG78" s="63">
        <v>5.1814838975998062E-2</v>
      </c>
      <c r="BH78" s="63" t="e">
        <f t="shared" si="106"/>
        <v>#DIV/0!</v>
      </c>
      <c r="BI78" s="63" t="e">
        <f t="shared" si="107"/>
        <v>#DIV/0!</v>
      </c>
      <c r="BJ78" s="63" t="e">
        <f t="shared" si="108"/>
        <v>#DIV/0!</v>
      </c>
      <c r="BK78" s="63">
        <v>4.956450204316126</v>
      </c>
      <c r="BL78" s="63">
        <v>4.956450204316126</v>
      </c>
      <c r="BM78" s="63">
        <f t="shared" si="93"/>
        <v>3.5645552666702045</v>
      </c>
    </row>
    <row r="79" spans="1:65">
      <c r="A79" s="53" t="s">
        <v>296</v>
      </c>
      <c r="B79" s="53" t="s">
        <v>297</v>
      </c>
      <c r="C79" s="54">
        <v>6150.4</v>
      </c>
      <c r="D79" s="55" t="s">
        <v>127</v>
      </c>
      <c r="E79" s="67" t="str" cm="1">
        <f t="array" ref="E79">_xll.ciqfunctions.udf.CIQ(B79,"iq_industry")</f>
        <v>Electronic Equipment, Instruments and Components</v>
      </c>
      <c r="F79" s="60">
        <f>'Information Technology'!W1669</f>
        <v>22.848621029751701</v>
      </c>
      <c r="G79" s="62">
        <v>13.768791500205088</v>
      </c>
      <c r="H79" s="62" t="e">
        <f t="shared" si="90"/>
        <v>#DIV/0!</v>
      </c>
      <c r="I79" s="62" t="e">
        <f t="shared" si="91"/>
        <v>#DIV/0!</v>
      </c>
      <c r="J79" s="62" t="e">
        <f t="shared" si="92"/>
        <v>#DIV/0!</v>
      </c>
      <c r="K79" s="62">
        <v>1</v>
      </c>
      <c r="L79" s="108">
        <v>4.3596886763156348</v>
      </c>
      <c r="M79" s="60">
        <f>'Information Technology'!W1670</f>
        <v>4.8025175750999995</v>
      </c>
      <c r="N79" s="63">
        <v>5.8232443069499995</v>
      </c>
      <c r="O79" s="63">
        <f t="shared" si="94"/>
        <v>-0.925757599452808</v>
      </c>
      <c r="P79" s="63">
        <f t="shared" si="95"/>
        <v>-2.8529058845185347</v>
      </c>
      <c r="Q79" s="63">
        <f t="shared" si="96"/>
        <v>1.1470941154814653</v>
      </c>
      <c r="S79" s="63">
        <v>1.2870822402746205</v>
      </c>
      <c r="T79" s="60" t="e">
        <f>'Information Technology'!W1671</f>
        <v>#DIV/0!</v>
      </c>
      <c r="U79" s="63">
        <v>45.25669273267328</v>
      </c>
      <c r="V79" s="63" t="e">
        <f>-(U79-$U$263)/$U$264</f>
        <v>#DIV/0!</v>
      </c>
      <c r="W79" s="63" t="e">
        <f>V79-$V$120</f>
        <v>#DIV/0!</v>
      </c>
      <c r="X79" s="63" t="e">
        <f>W79+(5-$W$126)</f>
        <v>#DIV/0!</v>
      </c>
      <c r="Y79" s="63">
        <v>2.8134175884499877</v>
      </c>
      <c r="Z79" s="63">
        <v>2.8134175884499877</v>
      </c>
      <c r="AA79" s="60">
        <f>'Information Technology'!W1672</f>
        <v>4.2521738851026392E-2</v>
      </c>
      <c r="AB79" s="63">
        <v>1.494493767337568E-3</v>
      </c>
      <c r="AC79" s="60" t="e">
        <f t="shared" si="97"/>
        <v>#DIV/0!</v>
      </c>
      <c r="AD79" s="60" t="e">
        <f t="shared" si="98"/>
        <v>#DIV/0!</v>
      </c>
      <c r="AE79" s="60" t="e">
        <f t="shared" si="99"/>
        <v>#DIV/0!</v>
      </c>
      <c r="AF79" s="60">
        <v>3.1174051914373369</v>
      </c>
      <c r="AG79" s="60">
        <v>3.1174051914373369</v>
      </c>
      <c r="AH79" s="60">
        <f>'Information Technology'!W1673</f>
        <v>-0.17011711681319891</v>
      </c>
      <c r="AI79" s="63">
        <v>0.11935952217123741</v>
      </c>
      <c r="AJ79" s="60">
        <f t="shared" si="100"/>
        <v>0.52526221152571317</v>
      </c>
      <c r="AK79" s="60">
        <f t="shared" si="101"/>
        <v>0.52526221152571317</v>
      </c>
      <c r="AL79" s="60">
        <f t="shared" si="102"/>
        <v>5.5097798281979449</v>
      </c>
      <c r="AM79" s="60"/>
      <c r="AN79" s="60">
        <v>2.5629261667566494</v>
      </c>
      <c r="AO79" s="60">
        <f>'Information Technology'!W1674</f>
        <v>7.2757953546286752E-2</v>
      </c>
      <c r="AP79" s="60">
        <v>2.4334778433514347E-2</v>
      </c>
      <c r="AQ79" s="60" t="e">
        <f t="shared" si="103"/>
        <v>#DIV/0!</v>
      </c>
      <c r="AR79" s="60" t="e">
        <f t="shared" si="104"/>
        <v>#DIV/0!</v>
      </c>
      <c r="AS79" s="60" t="e">
        <f t="shared" si="105"/>
        <v>#DIV/0!</v>
      </c>
      <c r="AT79" s="60">
        <v>1.6194192395143339</v>
      </c>
      <c r="AU79" s="60">
        <v>1.6194192395143339</v>
      </c>
      <c r="AV79" s="60" t="e">
        <f>'Information Technology'!W1675</f>
        <v>#DIV/0!</v>
      </c>
      <c r="AW79" s="60">
        <v>0.26737909090909101</v>
      </c>
      <c r="AX79" s="60" t="e">
        <f t="shared" si="109"/>
        <v>#DIV/0!</v>
      </c>
      <c r="AY79" s="60" t="e">
        <f t="shared" si="110"/>
        <v>#DIV/0!</v>
      </c>
      <c r="AZ79" s="60" t="e">
        <f t="shared" si="111"/>
        <v>#DIV/0!</v>
      </c>
      <c r="BA79" s="60">
        <v>2.4806224978614679</v>
      </c>
      <c r="BB79" s="60">
        <v>2.4811027852341141</v>
      </c>
      <c r="BC79" s="60">
        <f>'Information Technology'!W1676</f>
        <v>0.51709199269524075</v>
      </c>
      <c r="BD79" s="60">
        <v>0.28054607853831293</v>
      </c>
      <c r="BE79" s="60">
        <v>4.75</v>
      </c>
      <c r="BF79" s="60">
        <f>'Information Technology'!W1677</f>
        <v>2.6978223490967279</v>
      </c>
      <c r="BG79" s="63">
        <v>0.64240196863681409</v>
      </c>
      <c r="BH79" s="63" t="e">
        <f t="shared" si="106"/>
        <v>#DIV/0!</v>
      </c>
      <c r="BI79" s="63" t="e">
        <f t="shared" si="107"/>
        <v>#DIV/0!</v>
      </c>
      <c r="BJ79" s="63" t="e">
        <f t="shared" si="108"/>
        <v>#DIV/0!</v>
      </c>
      <c r="BK79" s="63">
        <v>3.8742167696522283</v>
      </c>
      <c r="BL79" s="63">
        <v>3.8742167696522283</v>
      </c>
      <c r="BM79" s="63">
        <f t="shared" si="93"/>
        <v>3.5377816484253435</v>
      </c>
    </row>
    <row r="80" spans="1:65">
      <c r="A80" s="53" t="s">
        <v>286</v>
      </c>
      <c r="B80" s="53" t="s">
        <v>287</v>
      </c>
      <c r="C80" s="54">
        <v>7060.2</v>
      </c>
      <c r="D80" s="55" t="s">
        <v>157</v>
      </c>
      <c r="E80" s="67" t="str" cm="1">
        <f t="array" ref="E80">_xll.ciqfunctions.udf.CIQ(B80,"iq_industry")</f>
        <v>Electronic Equipment, Instruments and Components</v>
      </c>
      <c r="F80" s="60">
        <f>'Information Technology'!W1594</f>
        <v>128.08993054723493</v>
      </c>
      <c r="G80" s="62">
        <v>9.1460139010239256</v>
      </c>
      <c r="H80" s="62" t="e">
        <f t="shared" si="90"/>
        <v>#DIV/0!</v>
      </c>
      <c r="I80" s="62" t="e">
        <f t="shared" si="91"/>
        <v>#DIV/0!</v>
      </c>
      <c r="J80" s="62" t="e">
        <f t="shared" si="92"/>
        <v>#DIV/0!</v>
      </c>
      <c r="K80" s="62">
        <v>1</v>
      </c>
      <c r="L80" s="108">
        <v>4.601664781340844</v>
      </c>
      <c r="M80" s="60">
        <f>'Information Technology'!W1595</f>
        <v>7.0158107398</v>
      </c>
      <c r="N80" s="63">
        <v>6.4549145686500005</v>
      </c>
      <c r="O80" s="63">
        <f t="shared" si="94"/>
        <v>-0.73445826469667175</v>
      </c>
      <c r="P80" s="63">
        <f t="shared" si="95"/>
        <v>-2.6616065497623982</v>
      </c>
      <c r="Q80" s="63">
        <f t="shared" si="96"/>
        <v>1.3383934502376018</v>
      </c>
      <c r="S80" s="63">
        <v>1.478381575030757</v>
      </c>
      <c r="T80" s="60" t="e">
        <f>'Information Technology'!W1596</f>
        <v>#DIV/0!</v>
      </c>
      <c r="U80" s="63" t="e">
        <v>#DIV/0!</v>
      </c>
      <c r="W80" s="63"/>
      <c r="X80" s="63"/>
      <c r="Z80" s="63">
        <v>1</v>
      </c>
      <c r="AA80" s="60">
        <f>'Information Technology'!W1597</f>
        <v>1.0720698958997632E-2</v>
      </c>
      <c r="AB80" s="63">
        <v>-8.1004411287453504E-2</v>
      </c>
      <c r="AC80" s="60" t="e">
        <f t="shared" si="97"/>
        <v>#DIV/0!</v>
      </c>
      <c r="AD80" s="60" t="e">
        <f t="shared" si="98"/>
        <v>#DIV/0!</v>
      </c>
      <c r="AE80" s="60" t="e">
        <f t="shared" si="99"/>
        <v>#DIV/0!</v>
      </c>
      <c r="AF80" s="63">
        <v>4.2</v>
      </c>
      <c r="AG80" s="60">
        <v>4.2</v>
      </c>
      <c r="AH80" s="60">
        <f>'Information Technology'!W1598</f>
        <v>4.4718476973671088E-2</v>
      </c>
      <c r="AI80" s="63">
        <v>2.4207051389435612E-2</v>
      </c>
      <c r="AJ80" s="60">
        <f t="shared" si="100"/>
        <v>1.5482383327768575E-2</v>
      </c>
      <c r="AK80" s="60">
        <f t="shared" si="101"/>
        <v>1.5482383327768575E-2</v>
      </c>
      <c r="AL80" s="60">
        <f t="shared" si="102"/>
        <v>5</v>
      </c>
      <c r="AM80" s="60"/>
      <c r="AN80" s="60">
        <v>1.4360423577202939</v>
      </c>
      <c r="AO80" s="60">
        <f>'Information Technology'!W1599</f>
        <v>0.11063656176993671</v>
      </c>
      <c r="AP80" s="60">
        <v>5.0076917834810664E-3</v>
      </c>
      <c r="AQ80" s="60" t="e">
        <f t="shared" si="103"/>
        <v>#DIV/0!</v>
      </c>
      <c r="AR80" s="60" t="e">
        <f t="shared" si="104"/>
        <v>#DIV/0!</v>
      </c>
      <c r="AS80" s="60" t="e">
        <f t="shared" si="105"/>
        <v>#DIV/0!</v>
      </c>
      <c r="AT80" s="60">
        <v>1.3148623578017706</v>
      </c>
      <c r="AU80" s="60">
        <v>1.3148623578017706</v>
      </c>
      <c r="AV80" s="60">
        <f>'Information Technology'!W1600</f>
        <v>1.567674545454546</v>
      </c>
      <c r="AW80" s="60">
        <v>0.11913636363636368</v>
      </c>
      <c r="AX80" s="60" t="e">
        <f t="shared" si="109"/>
        <v>#DIV/0!</v>
      </c>
      <c r="AY80" s="60" t="e">
        <f t="shared" si="110"/>
        <v>#DIV/0!</v>
      </c>
      <c r="AZ80" s="60" t="e">
        <f t="shared" si="111"/>
        <v>#DIV/0!</v>
      </c>
      <c r="BA80" s="60">
        <v>2.2954711479909591</v>
      </c>
      <c r="BB80" s="60">
        <v>2.3103350770578759</v>
      </c>
      <c r="BC80" s="60">
        <f>'Information Technology'!W1601</f>
        <v>3.886784465682845E-3</v>
      </c>
      <c r="BD80" s="60">
        <v>0.40271697477339163</v>
      </c>
      <c r="BE80" s="60">
        <v>3.9</v>
      </c>
      <c r="BF80" s="60">
        <f>'Information Technology'!W1602</f>
        <v>1.375189847483731</v>
      </c>
      <c r="BG80" s="63">
        <v>2.8049218725832614E-2</v>
      </c>
      <c r="BH80" s="63" t="e">
        <f t="shared" si="106"/>
        <v>#DIV/0!</v>
      </c>
      <c r="BI80" s="63" t="e">
        <f t="shared" si="107"/>
        <v>#DIV/0!</v>
      </c>
      <c r="BJ80" s="63" t="e">
        <f t="shared" si="108"/>
        <v>#DIV/0!</v>
      </c>
      <c r="BK80" s="63">
        <v>5</v>
      </c>
      <c r="BL80" s="63">
        <v>5</v>
      </c>
      <c r="BM80" s="63">
        <f t="shared" si="93"/>
        <v>3.5107208768183371</v>
      </c>
    </row>
    <row r="81" spans="1:65">
      <c r="A81" s="53" t="s">
        <v>226</v>
      </c>
      <c r="B81" s="53" t="s">
        <v>227</v>
      </c>
      <c r="C81" s="54">
        <v>12470.7</v>
      </c>
      <c r="D81" s="55" t="s">
        <v>172</v>
      </c>
      <c r="E81" s="67" t="str" cm="1">
        <f t="array" ref="E81">_xll.ciqfunctions.udf.CIQ(B81,"iq_industry")</f>
        <v>Electronic Equipment, Instruments and Components</v>
      </c>
      <c r="F81" s="60">
        <f>'Information Technology'!W1144</f>
        <v>15.091190880506018</v>
      </c>
      <c r="G81" s="62">
        <v>12.116025589786451</v>
      </c>
      <c r="H81" s="62" t="e">
        <f t="shared" si="90"/>
        <v>#DIV/0!</v>
      </c>
      <c r="I81" s="62" t="e">
        <f t="shared" si="91"/>
        <v>#DIV/0!</v>
      </c>
      <c r="J81" s="62" t="e">
        <f t="shared" si="92"/>
        <v>#DIV/0!</v>
      </c>
      <c r="K81" s="62">
        <v>1</v>
      </c>
      <c r="L81" s="108">
        <v>4.4462015679573152</v>
      </c>
      <c r="M81" s="60">
        <f>'Information Technology'!W1145</f>
        <v>4.8842441219000001</v>
      </c>
      <c r="N81" s="63">
        <v>12.5700429354</v>
      </c>
      <c r="O81" s="63">
        <f t="shared" si="94"/>
        <v>1.1174889606790184</v>
      </c>
      <c r="P81" s="63">
        <f t="shared" si="95"/>
        <v>-0.80965932438670829</v>
      </c>
      <c r="Q81" s="63">
        <f t="shared" si="96"/>
        <v>3.1903406756132915</v>
      </c>
      <c r="S81" s="63">
        <v>3.330328800406452</v>
      </c>
      <c r="T81" s="60" t="e">
        <f>'Information Technology'!W1146</f>
        <v>#DIV/0!</v>
      </c>
      <c r="U81" s="63" t="e">
        <v>#DIV/0!</v>
      </c>
      <c r="W81" s="63"/>
      <c r="X81" s="63"/>
      <c r="Z81" s="63">
        <v>1</v>
      </c>
      <c r="AA81" s="60">
        <f>'Information Technology'!W1147</f>
        <v>-1.7054222998616031E-2</v>
      </c>
      <c r="AB81" s="63">
        <v>-2.5516522930626451E-3</v>
      </c>
      <c r="AC81" s="60" t="e">
        <f t="shared" si="97"/>
        <v>#DIV/0!</v>
      </c>
      <c r="AD81" s="60" t="e">
        <f t="shared" si="98"/>
        <v>#DIV/0!</v>
      </c>
      <c r="AE81" s="60" t="e">
        <f t="shared" si="99"/>
        <v>#DIV/0!</v>
      </c>
      <c r="AF81" s="60">
        <v>3.2097367631465215</v>
      </c>
      <c r="AG81" s="60">
        <v>3.2097367631465215</v>
      </c>
      <c r="AH81" s="60">
        <f>'Information Technology'!W1148</f>
        <v>2.2763176136087849E-2</v>
      </c>
      <c r="AI81" s="63">
        <v>0.11969865170113315</v>
      </c>
      <c r="AJ81" s="60">
        <f t="shared" si="100"/>
        <v>0.5270790996429281</v>
      </c>
      <c r="AK81" s="60">
        <f t="shared" si="101"/>
        <v>0.5270790996429281</v>
      </c>
      <c r="AL81" s="60">
        <f t="shared" si="102"/>
        <v>5.51159671631516</v>
      </c>
      <c r="AM81" s="60"/>
      <c r="AN81" s="60">
        <v>2.5669424531784912</v>
      </c>
      <c r="AO81" s="60">
        <f>'Information Technology'!W1149</f>
        <v>8.0468406073856049E-3</v>
      </c>
      <c r="AP81" s="60">
        <v>0.11621139255819535</v>
      </c>
      <c r="AQ81" s="60" t="e">
        <f t="shared" si="103"/>
        <v>#DIV/0!</v>
      </c>
      <c r="AR81" s="60" t="e">
        <f t="shared" si="104"/>
        <v>#DIV/0!</v>
      </c>
      <c r="AS81" s="60" t="e">
        <f t="shared" si="105"/>
        <v>#DIV/0!</v>
      </c>
      <c r="AT81" s="60">
        <v>3.067214016181985</v>
      </c>
      <c r="AU81" s="60">
        <v>3.067214016181985</v>
      </c>
      <c r="AV81" s="60">
        <f>'Information Technology'!W1150</f>
        <v>0.15510000000000004</v>
      </c>
      <c r="AW81" s="60">
        <v>0.23909545454545472</v>
      </c>
      <c r="AX81" s="60" t="e">
        <f t="shared" si="109"/>
        <v>#DIV/0!</v>
      </c>
      <c r="AY81" s="60" t="e">
        <f t="shared" si="110"/>
        <v>#DIV/0!</v>
      </c>
      <c r="AZ81" s="60" t="e">
        <f t="shared" si="111"/>
        <v>#DIV/0!</v>
      </c>
      <c r="BA81" s="60">
        <v>2.4452969642024733</v>
      </c>
      <c r="BB81" s="60">
        <v>2.4806224978614679</v>
      </c>
      <c r="BC81" s="60">
        <f>'Information Technology'!W1151</f>
        <v>8.3582256283561793E-2</v>
      </c>
      <c r="BD81" s="60">
        <v>0.44571918967733631</v>
      </c>
      <c r="BE81" s="60">
        <v>3.2</v>
      </c>
      <c r="BF81" s="60">
        <f>'Information Technology'!W1152</f>
        <v>3.987552783326722E-2</v>
      </c>
      <c r="BG81" s="63">
        <v>0.28893685623679305</v>
      </c>
      <c r="BH81" s="63" t="e">
        <f t="shared" si="106"/>
        <v>#DIV/0!</v>
      </c>
      <c r="BI81" s="63" t="e">
        <f t="shared" si="107"/>
        <v>#DIV/0!</v>
      </c>
      <c r="BJ81" s="63" t="e">
        <f t="shared" si="108"/>
        <v>#DIV/0!</v>
      </c>
      <c r="BK81" s="63">
        <v>4.5219311261202222</v>
      </c>
      <c r="BL81" s="63">
        <v>4.5219311261202222</v>
      </c>
      <c r="BM81" s="63">
        <f t="shared" si="93"/>
        <v>3.4974222501433285</v>
      </c>
    </row>
    <row r="82" spans="1:65">
      <c r="A82" s="53" t="s">
        <v>282</v>
      </c>
      <c r="B82" s="53" t="s">
        <v>283</v>
      </c>
      <c r="C82" s="54">
        <v>7307</v>
      </c>
      <c r="D82" s="55" t="s">
        <v>172</v>
      </c>
      <c r="E82" s="67" t="str" cm="1">
        <f t="array" ref="E82">_xll.ciqfunctions.udf.CIQ(B82,"iq_industry")</f>
        <v>Electronic Equipment, Instruments and Components</v>
      </c>
      <c r="F82" s="60">
        <f>'Information Technology'!W1564</f>
        <v>23.596586357704084</v>
      </c>
      <c r="G82" s="62">
        <v>30.900108720085715</v>
      </c>
      <c r="H82" s="62" t="e">
        <f t="shared" si="90"/>
        <v>#DIV/0!</v>
      </c>
      <c r="I82" s="62" t="e">
        <f t="shared" si="91"/>
        <v>#DIV/0!</v>
      </c>
      <c r="J82" s="62" t="e">
        <f t="shared" si="92"/>
        <v>#DIV/0!</v>
      </c>
      <c r="K82" s="62">
        <v>1</v>
      </c>
      <c r="L82" s="108">
        <v>3.4629616921855138</v>
      </c>
      <c r="M82" s="60">
        <f>'Information Technology'!W1565</f>
        <v>5.0840288825999993</v>
      </c>
      <c r="N82" s="63">
        <v>6.7745654783999996</v>
      </c>
      <c r="O82" s="63">
        <f t="shared" si="94"/>
        <v>-0.63765300078445342</v>
      </c>
      <c r="P82" s="63">
        <f t="shared" si="95"/>
        <v>-2.5648012858501801</v>
      </c>
      <c r="Q82" s="63">
        <f t="shared" si="96"/>
        <v>1.4351987141498199</v>
      </c>
      <c r="S82" s="63">
        <v>1.575186838942976</v>
      </c>
      <c r="T82" s="60" t="e">
        <f>'Information Technology'!W1566</f>
        <v>#DIV/0!</v>
      </c>
      <c r="U82" s="63">
        <v>65.125171804921294</v>
      </c>
      <c r="W82" s="63"/>
      <c r="X82" s="63"/>
      <c r="Y82" s="63">
        <v>2.2999999999999998</v>
      </c>
      <c r="Z82" s="63">
        <v>2.2999999999999998</v>
      </c>
      <c r="AA82" s="60">
        <f>'Information Technology'!W1567</f>
        <v>4.0557417607870905E-2</v>
      </c>
      <c r="AB82" s="63">
        <v>1.7054506497777844E-3</v>
      </c>
      <c r="AC82" s="60" t="e">
        <f t="shared" si="97"/>
        <v>#DIV/0!</v>
      </c>
      <c r="AD82" s="60" t="e">
        <f t="shared" si="98"/>
        <v>#DIV/0!</v>
      </c>
      <c r="AE82" s="60" t="e">
        <f t="shared" si="99"/>
        <v>#DIV/0!</v>
      </c>
      <c r="AF82" s="60">
        <v>3.1125912326163228</v>
      </c>
      <c r="AG82" s="60">
        <v>3.1125912326163228</v>
      </c>
      <c r="AH82" s="60">
        <f>'Information Technology'!W1568</f>
        <v>-0.16739265321813582</v>
      </c>
      <c r="AI82" s="63">
        <v>0.23531731021024457</v>
      </c>
      <c r="AJ82" s="60">
        <f t="shared" si="100"/>
        <v>1.1465066288177577</v>
      </c>
      <c r="AK82" s="60">
        <f t="shared" si="101"/>
        <v>1.1465066288177577</v>
      </c>
      <c r="AL82" s="60">
        <f t="shared" si="102"/>
        <v>6.1310242454899893</v>
      </c>
      <c r="AM82" s="60"/>
      <c r="AN82" s="60">
        <v>3.9362058388365675</v>
      </c>
      <c r="AO82" s="60">
        <f>'Information Technology'!W1569</f>
        <v>4.417652109649723E-2</v>
      </c>
      <c r="AP82" s="60">
        <v>0.61808600185211415</v>
      </c>
      <c r="AQ82" s="60"/>
      <c r="AR82" s="60"/>
      <c r="AS82" s="60"/>
      <c r="AT82" s="60">
        <v>4.9800000000000004</v>
      </c>
      <c r="AU82" s="60">
        <v>4.9800000000000004</v>
      </c>
      <c r="AV82" s="60">
        <f>'Information Technology'!W1570</f>
        <v>2.3306827272727269</v>
      </c>
      <c r="AW82" s="60">
        <v>-0.56333636363636386</v>
      </c>
      <c r="AX82" s="60"/>
      <c r="AY82" s="60"/>
      <c r="AZ82" s="60"/>
      <c r="BA82" s="60">
        <v>1.6</v>
      </c>
      <c r="BB82" s="60">
        <v>1.9</v>
      </c>
      <c r="BC82" s="60">
        <f>'Information Technology'!W1571</f>
        <v>0.79708750206804624</v>
      </c>
      <c r="BD82" s="60">
        <v>0</v>
      </c>
      <c r="BE82" s="60">
        <v>5</v>
      </c>
      <c r="BF82" s="60">
        <f>'Information Technology'!W1572</f>
        <v>0.40971644797782231</v>
      </c>
      <c r="BG82" s="63">
        <v>1.0830369089627689</v>
      </c>
      <c r="BH82" s="63" t="e">
        <f t="shared" si="106"/>
        <v>#DIV/0!</v>
      </c>
      <c r="BI82" s="63" t="e">
        <f t="shared" si="107"/>
        <v>#DIV/0!</v>
      </c>
      <c r="BJ82" s="63" t="e">
        <f t="shared" si="108"/>
        <v>#DIV/0!</v>
      </c>
      <c r="BK82" s="63">
        <v>3.0667662835981995</v>
      </c>
      <c r="BL82" s="63">
        <v>3.0667662835981995</v>
      </c>
      <c r="BM82" s="63">
        <f t="shared" si="93"/>
        <v>3.4109606659181018</v>
      </c>
    </row>
    <row r="83" spans="1:65">
      <c r="A83" s="53" t="s">
        <v>211</v>
      </c>
      <c r="B83" s="53" t="s">
        <v>212</v>
      </c>
      <c r="C83" s="54">
        <v>14082.8</v>
      </c>
      <c r="D83" s="55" t="s">
        <v>213</v>
      </c>
      <c r="E83" s="67" t="str" cm="1">
        <f t="array" ref="E83">_xll.ciqfunctions.udf.CIQ(B83,"iq_industry")</f>
        <v>Electronic Equipment, Instruments and Components</v>
      </c>
      <c r="F83" s="60" t="e">
        <f>'Information Technology'!W1039</f>
        <v>#VALUE!</v>
      </c>
      <c r="G83" s="62">
        <v>87.597547528461888</v>
      </c>
      <c r="K83" s="62">
        <v>1</v>
      </c>
      <c r="L83" s="108">
        <v>1.1499999999999999</v>
      </c>
      <c r="M83" s="60" t="e">
        <f>'Information Technology'!W1040</f>
        <v>#VALUE!</v>
      </c>
      <c r="N83" s="63">
        <v>18.083295999999997</v>
      </c>
      <c r="O83" s="63">
        <f t="shared" si="94"/>
        <v>2.7871601602725633</v>
      </c>
      <c r="P83" s="63">
        <f t="shared" si="95"/>
        <v>0.86001187520683664</v>
      </c>
      <c r="Q83" s="63">
        <f t="shared" si="96"/>
        <v>4.8600118752068369</v>
      </c>
      <c r="S83" s="63">
        <v>5</v>
      </c>
      <c r="T83" s="60" t="e">
        <f>'Information Technology'!W1041</f>
        <v>#VALUE!</v>
      </c>
      <c r="U83" s="63">
        <v>203.62120291463921</v>
      </c>
      <c r="W83" s="63"/>
      <c r="X83" s="63"/>
      <c r="Y83" s="63">
        <v>1.05</v>
      </c>
      <c r="Z83" s="63">
        <v>1.05</v>
      </c>
      <c r="AA83" s="60" t="e">
        <f>'Information Technology'!W1042</f>
        <v>#VALUE!</v>
      </c>
      <c r="AB83" s="63">
        <v>-4.1154350739082024E-2</v>
      </c>
      <c r="AC83" s="60" t="e">
        <f t="shared" si="97"/>
        <v>#DIV/0!</v>
      </c>
      <c r="AD83" s="60" t="e">
        <f t="shared" si="98"/>
        <v>#DIV/0!</v>
      </c>
      <c r="AE83" s="60" t="e">
        <f t="shared" si="99"/>
        <v>#DIV/0!</v>
      </c>
      <c r="AF83" s="60">
        <v>4.0906362083297108</v>
      </c>
      <c r="AG83" s="60">
        <v>4.0906362083297108</v>
      </c>
      <c r="AH83" s="60" t="e">
        <f>'Information Technology'!W1043</f>
        <v>#DIV/0!</v>
      </c>
      <c r="AI83" s="63">
        <v>1.6765310487360643E-2</v>
      </c>
      <c r="AJ83" s="60">
        <f t="shared" si="100"/>
        <v>-2.4386779999085804E-2</v>
      </c>
      <c r="AK83" s="60">
        <f t="shared" si="101"/>
        <v>-2.4386779999085804E-2</v>
      </c>
      <c r="AL83" s="60">
        <f t="shared" si="102"/>
        <v>4.9601308366731462</v>
      </c>
      <c r="AM83" s="60"/>
      <c r="AN83" s="60">
        <v>1.3479103600465585</v>
      </c>
      <c r="AO83" s="60" t="e">
        <f>'Information Technology'!W1044</f>
        <v>#VALUE!</v>
      </c>
      <c r="AP83" s="60">
        <v>4.8805490403207243E-4</v>
      </c>
      <c r="AQ83" s="60" t="e">
        <f t="shared" ref="AQ83:AQ92" si="112">(AP83-$AP$263)/$AP$264</f>
        <v>#DIV/0!</v>
      </c>
      <c r="AR83" s="60" t="e">
        <f t="shared" ref="AR83:AR92" si="113">AQ83-$AQ$124</f>
        <v>#DIV/0!</v>
      </c>
      <c r="AS83" s="60" t="e">
        <f t="shared" ref="AS83:AS92" si="114">AR83+5-$AR$85</f>
        <v>#DIV/0!</v>
      </c>
      <c r="AT83" s="60">
        <v>1.2436417677872007</v>
      </c>
      <c r="AU83" s="60">
        <v>1.2436417677872007</v>
      </c>
      <c r="AV83" s="60" t="e">
        <f>'Information Technology'!W1045</f>
        <v>#VALUE!</v>
      </c>
      <c r="AW83" s="60">
        <v>0.1310372727272727</v>
      </c>
      <c r="AX83" s="60" t="e">
        <f>(AW83-$AW$263)/$AW$264</f>
        <v>#DIV/0!</v>
      </c>
      <c r="AY83" s="60" t="e">
        <f>AX83-$AX$118</f>
        <v>#DIV/0!</v>
      </c>
      <c r="AZ83" s="60" t="e">
        <f>AY83+5-$AY$93</f>
        <v>#DIV/0!</v>
      </c>
      <c r="BA83" s="60">
        <v>2.3103350770578759</v>
      </c>
      <c r="BB83" s="60">
        <v>2.3277968725754148</v>
      </c>
      <c r="BC83" s="60" t="e">
        <f>'Information Technology'!W1046</f>
        <v>#VALUE!</v>
      </c>
      <c r="BD83" s="60">
        <v>1.4486459089705541</v>
      </c>
      <c r="BE83" s="60">
        <v>1</v>
      </c>
      <c r="BF83" s="60" t="e">
        <f>'Information Technology'!W1047</f>
        <v>#VALUE!</v>
      </c>
      <c r="BG83" s="63">
        <v>4.9713422582729448E-2</v>
      </c>
      <c r="BH83" s="63" t="e">
        <f t="shared" si="106"/>
        <v>#DIV/0!</v>
      </c>
      <c r="BI83" s="63" t="e">
        <f t="shared" si="107"/>
        <v>#DIV/0!</v>
      </c>
      <c r="BJ83" s="63" t="e">
        <f t="shared" si="108"/>
        <v>#DIV/0!</v>
      </c>
      <c r="BK83" s="63">
        <v>4.9603009876582078</v>
      </c>
      <c r="BL83" s="63">
        <v>4.9603009876582078</v>
      </c>
      <c r="BM83" s="63">
        <f t="shared" si="93"/>
        <v>2.4831601374883014</v>
      </c>
    </row>
    <row r="84" spans="1:65">
      <c r="A84" s="53" t="s">
        <v>248</v>
      </c>
      <c r="B84" s="53" t="s">
        <v>249</v>
      </c>
      <c r="C84" s="54">
        <v>10200.5</v>
      </c>
      <c r="D84" s="55" t="s">
        <v>93</v>
      </c>
      <c r="E84" s="67" t="str" cm="1">
        <f t="array" ref="E84">_xll.ciqfunctions.udf.CIQ(B84,"iq_industry")</f>
        <v>IT Services</v>
      </c>
      <c r="F84" s="60">
        <f>'Information Technology'!W1309</f>
        <v>28.676506634333641</v>
      </c>
      <c r="G84" s="62">
        <v>14.24747191663219</v>
      </c>
      <c r="H84" s="62" t="e">
        <f t="shared" ref="H84:H92" si="115">-(G84-$G$263)/$G$264</f>
        <v>#DIV/0!</v>
      </c>
      <c r="I84" s="62" t="e">
        <f t="shared" ref="I84:I92" si="116">H84-$H$83</f>
        <v>#DIV/0!</v>
      </c>
      <c r="J84" s="62" t="e">
        <f t="shared" ref="J84:J92" si="117">I84+(5-$I$124)</f>
        <v>#DIV/0!</v>
      </c>
      <c r="K84" s="62">
        <v>1</v>
      </c>
      <c r="L84" s="108">
        <v>4.3346324800713267</v>
      </c>
      <c r="M84" s="60">
        <f>'Information Technology'!W1310</f>
        <v>6.8888801233000008</v>
      </c>
      <c r="N84" s="63">
        <v>9.7696540800000005</v>
      </c>
      <c r="O84" s="63">
        <f t="shared" si="94"/>
        <v>0.26940008016916855</v>
      </c>
      <c r="P84" s="63">
        <f t="shared" si="95"/>
        <v>-1.6577482048965582</v>
      </c>
      <c r="Q84" s="63">
        <f t="shared" si="96"/>
        <v>2.3422517951034418</v>
      </c>
      <c r="S84" s="63">
        <v>2.4822399198965996</v>
      </c>
      <c r="T84" s="60" t="e">
        <f>'Information Technology'!W1311</f>
        <v>#DIV/0!</v>
      </c>
      <c r="U84" s="63">
        <v>21.60953368680131</v>
      </c>
      <c r="V84" s="63" t="e">
        <f>-(U84-$U$263)/$U$264</f>
        <v>#DIV/0!</v>
      </c>
      <c r="W84" s="63" t="e">
        <f>V84-$V$120</f>
        <v>#DIV/0!</v>
      </c>
      <c r="X84" s="63" t="e">
        <f>W84+(5-$W$126)</f>
        <v>#DIV/0!</v>
      </c>
      <c r="Y84" s="63">
        <v>4.4869401075880724</v>
      </c>
      <c r="Z84" s="63">
        <v>4.4869401075880724</v>
      </c>
      <c r="AA84" s="60">
        <f>'Information Technology'!W1312</f>
        <v>5.1195078925103665E-3</v>
      </c>
      <c r="AB84" s="63">
        <v>-3.1350913323773155E-2</v>
      </c>
      <c r="AC84" s="60" t="e">
        <f t="shared" si="97"/>
        <v>#DIV/0!</v>
      </c>
      <c r="AD84" s="60" t="e">
        <f t="shared" si="98"/>
        <v>#DIV/0!</v>
      </c>
      <c r="AE84" s="60" t="e">
        <f t="shared" si="99"/>
        <v>#DIV/0!</v>
      </c>
      <c r="AF84" s="60">
        <v>3.8669253557811576</v>
      </c>
      <c r="AG84" s="60">
        <v>3.8669253557811576</v>
      </c>
      <c r="AH84" s="60">
        <f>'Information Technology'!W1313</f>
        <v>7.1701390052295921E-2</v>
      </c>
      <c r="AI84" s="63">
        <v>0.1185325732259296</v>
      </c>
      <c r="AJ84" s="60">
        <f t="shared" si="100"/>
        <v>0.52083182850145948</v>
      </c>
      <c r="AK84" s="60">
        <f t="shared" si="101"/>
        <v>0.52083182850145948</v>
      </c>
      <c r="AL84" s="60">
        <f t="shared" si="102"/>
        <v>5.5053494451736915</v>
      </c>
      <c r="AM84" s="60"/>
      <c r="AN84" s="60">
        <v>2.5531326703848736</v>
      </c>
      <c r="AO84" s="60">
        <f>'Information Technology'!W1314</f>
        <v>4.0274478210900029E-2</v>
      </c>
      <c r="AP84" s="60">
        <v>7.7579039208532138E-2</v>
      </c>
      <c r="AQ84" s="60" t="e">
        <f t="shared" si="112"/>
        <v>#DIV/0!</v>
      </c>
      <c r="AR84" s="60" t="e">
        <f t="shared" si="113"/>
        <v>#DIV/0!</v>
      </c>
      <c r="AS84" s="60" t="e">
        <f t="shared" si="114"/>
        <v>#DIV/0!</v>
      </c>
      <c r="AT84" s="60">
        <v>2.4584440922694708</v>
      </c>
      <c r="AU84" s="60">
        <v>2.4584440922694708</v>
      </c>
      <c r="AV84" s="60">
        <f>'Information Technology'!W1315</f>
        <v>-0.41391363636363626</v>
      </c>
      <c r="AW84" s="60">
        <v>4.1776363636363389E-2</v>
      </c>
      <c r="AX84" s="60" t="e">
        <f>(AW84-$AW$263)/$AW$264</f>
        <v>#DIV/0!</v>
      </c>
      <c r="AY84" s="60" t="e">
        <f>AX84-$AX$118</f>
        <v>#DIV/0!</v>
      </c>
      <c r="AZ84" s="60" t="e">
        <f>AY84+5-$AY$93</f>
        <v>#DIV/0!</v>
      </c>
      <c r="BA84" s="60">
        <v>2.1988504996158689</v>
      </c>
      <c r="BB84" s="60">
        <v>2.2954711479909591</v>
      </c>
      <c r="BC84" s="60">
        <f>'Information Technology'!W1316</f>
        <v>-0.21428506185916027</v>
      </c>
      <c r="BD84" s="60">
        <v>0.16495105280157255</v>
      </c>
      <c r="BE84" s="60">
        <v>5</v>
      </c>
      <c r="BF84" s="60">
        <f>'Information Technology'!W1317</f>
        <v>0.15134804314440603</v>
      </c>
      <c r="BG84" s="63">
        <v>4.1848369284175756E-2</v>
      </c>
      <c r="BH84" s="63" t="e">
        <f t="shared" si="106"/>
        <v>#DIV/0!</v>
      </c>
      <c r="BI84" s="63" t="e">
        <f t="shared" si="107"/>
        <v>#DIV/0!</v>
      </c>
      <c r="BJ84" s="63" t="e">
        <f t="shared" si="108"/>
        <v>#DIV/0!</v>
      </c>
      <c r="BK84" s="63">
        <v>4.9747134650347418</v>
      </c>
      <c r="BL84" s="63">
        <v>4.9747134650347418</v>
      </c>
      <c r="BM84" s="63">
        <f t="shared" si="93"/>
        <v>4.0058517928081718</v>
      </c>
    </row>
    <row r="85" spans="1:65">
      <c r="A85" s="53" t="s">
        <v>242</v>
      </c>
      <c r="B85" s="53" t="s">
        <v>243</v>
      </c>
      <c r="C85" s="54">
        <v>10751.1</v>
      </c>
      <c r="D85" s="55" t="s">
        <v>130</v>
      </c>
      <c r="E85" s="67" t="str" cm="1">
        <f t="array" ref="E85">_xll.ciqfunctions.udf.CIQ(B85,"iq_industry")</f>
        <v>IT Services</v>
      </c>
      <c r="F85" s="60">
        <f>'Information Technology'!W1264</f>
        <v>20.090601681954048</v>
      </c>
      <c r="G85" s="62">
        <v>8.8830227916976359</v>
      </c>
      <c r="H85" s="62" t="e">
        <f t="shared" si="115"/>
        <v>#DIV/0!</v>
      </c>
      <c r="I85" s="62" t="e">
        <f t="shared" si="116"/>
        <v>#DIV/0!</v>
      </c>
      <c r="J85" s="62" t="e">
        <f t="shared" si="117"/>
        <v>#DIV/0!</v>
      </c>
      <c r="K85" s="62">
        <v>1</v>
      </c>
      <c r="L85" s="108">
        <v>4.6154308695693382</v>
      </c>
      <c r="M85" s="60">
        <f>'Information Technology'!W1265</f>
        <v>11.498937252899999</v>
      </c>
      <c r="N85" s="63">
        <v>11.1151683182</v>
      </c>
      <c r="O85" s="63">
        <f t="shared" si="94"/>
        <v>0.6768847985091534</v>
      </c>
      <c r="P85" s="63">
        <f t="shared" si="95"/>
        <v>-1.2502634865565732</v>
      </c>
      <c r="Q85" s="63">
        <f t="shared" si="96"/>
        <v>2.7497365134434268</v>
      </c>
      <c r="S85" s="63">
        <v>2.8897246382365855</v>
      </c>
      <c r="T85" s="60" t="e">
        <f>'Information Technology'!W1266</f>
        <v>#DIV/0!</v>
      </c>
      <c r="U85" s="63" t="e">
        <v>#DIV/0!</v>
      </c>
      <c r="W85" s="63"/>
      <c r="X85" s="63"/>
      <c r="Z85" s="63">
        <v>1</v>
      </c>
      <c r="AA85" s="60">
        <f>'Information Technology'!W1267</f>
        <v>7.9358828008472493E-2</v>
      </c>
      <c r="AB85" s="63">
        <v>-2.7956128039293038E-2</v>
      </c>
      <c r="AC85" s="60" t="e">
        <f t="shared" si="97"/>
        <v>#DIV/0!</v>
      </c>
      <c r="AD85" s="60" t="e">
        <f t="shared" si="98"/>
        <v>#DIV/0!</v>
      </c>
      <c r="AE85" s="60" t="e">
        <f t="shared" si="99"/>
        <v>#DIV/0!</v>
      </c>
      <c r="AF85" s="60">
        <v>3.7894575984999843</v>
      </c>
      <c r="AG85" s="60">
        <v>3.7894575984999843</v>
      </c>
      <c r="AH85" s="60">
        <f>'Information Technology'!W1268</f>
        <v>-0.29172626092086862</v>
      </c>
      <c r="AI85" s="63">
        <v>3.0256768772550874E-2</v>
      </c>
      <c r="AJ85" s="60">
        <f t="shared" si="100"/>
        <v>4.7893773834723714E-2</v>
      </c>
      <c r="AK85" s="60">
        <f t="shared" si="101"/>
        <v>4.7893773834723714E-2</v>
      </c>
      <c r="AL85" s="60">
        <f t="shared" si="102"/>
        <v>5.0324113905069554</v>
      </c>
      <c r="AM85" s="60"/>
      <c r="AN85" s="60">
        <v>1.5076887218374324</v>
      </c>
      <c r="AO85" s="60">
        <f>'Information Technology'!W1269</f>
        <v>1.6454163794899865E-2</v>
      </c>
      <c r="AP85" s="60">
        <v>0.17832444988573112</v>
      </c>
      <c r="AQ85" s="60" t="e">
        <f t="shared" si="112"/>
        <v>#DIV/0!</v>
      </c>
      <c r="AR85" s="60" t="e">
        <f t="shared" si="113"/>
        <v>#DIV/0!</v>
      </c>
      <c r="AS85" s="60" t="e">
        <f t="shared" si="114"/>
        <v>#DIV/0!</v>
      </c>
      <c r="AT85" s="60">
        <v>4.0459936634122293</v>
      </c>
      <c r="AU85" s="60">
        <v>4.0459936634122293</v>
      </c>
      <c r="AV85" s="60">
        <f>'Information Technology'!W1270</f>
        <v>2.1993509090909087</v>
      </c>
      <c r="AW85" s="60">
        <v>1.4136836363636365</v>
      </c>
      <c r="AX85" s="60" t="e">
        <f>(AW85-$AW$263)/$AW$264</f>
        <v>#DIV/0!</v>
      </c>
      <c r="AY85" s="60" t="e">
        <f>AX85-$AX$118</f>
        <v>#DIV/0!</v>
      </c>
      <c r="AZ85" s="60" t="e">
        <f>AY85+5-$AY$93</f>
        <v>#DIV/0!</v>
      </c>
      <c r="BA85" s="60">
        <v>3.9123273636465079</v>
      </c>
      <c r="BB85" s="60">
        <v>4.1108881552923027</v>
      </c>
      <c r="BC85" s="60">
        <f>'Information Technology'!W1271</f>
        <v>1.2051425143065737</v>
      </c>
      <c r="BD85" s="60">
        <v>0.21528894160088491</v>
      </c>
      <c r="BE85" s="60">
        <v>5</v>
      </c>
      <c r="BF85" s="60">
        <f>'Information Technology'!W1272</f>
        <v>0.70652780735755694</v>
      </c>
      <c r="BG85" s="63">
        <v>0.27043831483198705</v>
      </c>
      <c r="BH85" s="63" t="e">
        <f t="shared" si="106"/>
        <v>#DIV/0!</v>
      </c>
      <c r="BI85" s="63" t="e">
        <f t="shared" si="107"/>
        <v>#DIV/0!</v>
      </c>
      <c r="BJ85" s="63" t="e">
        <f t="shared" si="108"/>
        <v>#DIV/0!</v>
      </c>
      <c r="BK85" s="63">
        <v>4.5558291557171309</v>
      </c>
      <c r="BL85" s="63">
        <v>4.5558291557171309</v>
      </c>
      <c r="BM85" s="63">
        <f t="shared" si="93"/>
        <v>3.9813563381333164</v>
      </c>
    </row>
    <row r="86" spans="1:65">
      <c r="A86" s="53" t="s">
        <v>244</v>
      </c>
      <c r="B86" s="53" t="s">
        <v>245</v>
      </c>
      <c r="C86" s="54">
        <v>10738.4</v>
      </c>
      <c r="D86" s="55" t="s">
        <v>130</v>
      </c>
      <c r="E86" s="67" t="str" cm="1">
        <f t="array" ref="E86">_xll.ciqfunctions.udf.CIQ(B86,"iq_industry")</f>
        <v>IT Services</v>
      </c>
      <c r="F86" s="60">
        <f>'Information Technology'!W1279</f>
        <v>11.065846822986721</v>
      </c>
      <c r="G86" s="62">
        <v>24.542404170481973</v>
      </c>
      <c r="H86" s="62" t="e">
        <f t="shared" si="115"/>
        <v>#DIV/0!</v>
      </c>
      <c r="I86" s="62" t="e">
        <f t="shared" si="116"/>
        <v>#DIV/0!</v>
      </c>
      <c r="J86" s="62" t="e">
        <f t="shared" si="117"/>
        <v>#DIV/0!</v>
      </c>
      <c r="K86" s="62">
        <v>1</v>
      </c>
      <c r="L86" s="108">
        <v>3.7957513518236206</v>
      </c>
      <c r="M86" s="60">
        <f>'Information Technology'!W1280</f>
        <v>11.614876644000001</v>
      </c>
      <c r="N86" s="63">
        <v>10.417821655200001</v>
      </c>
      <c r="O86" s="63">
        <f t="shared" si="94"/>
        <v>0.46569557398037864</v>
      </c>
      <c r="P86" s="63">
        <f t="shared" si="95"/>
        <v>-1.4614527110853479</v>
      </c>
      <c r="Q86" s="63">
        <f t="shared" si="96"/>
        <v>2.5385472889146521</v>
      </c>
      <c r="S86" s="63">
        <v>2.6785354137078103</v>
      </c>
      <c r="T86" s="60" t="e">
        <f>'Information Technology'!W1281</f>
        <v>#DIV/0!</v>
      </c>
      <c r="U86" s="63" t="e">
        <v>#DIV/0!</v>
      </c>
      <c r="W86" s="63"/>
      <c r="X86" s="63"/>
      <c r="Z86" s="63">
        <v>1</v>
      </c>
      <c r="AA86" s="60">
        <f>'Information Technology'!W1282</f>
        <v>7.8892311805305981E-2</v>
      </c>
      <c r="AB86" s="63">
        <v>7.9446632460014266E-2</v>
      </c>
      <c r="AC86" s="60" t="e">
        <f t="shared" si="97"/>
        <v>#DIV/0!</v>
      </c>
      <c r="AD86" s="60" t="e">
        <f t="shared" si="98"/>
        <v>#DIV/0!</v>
      </c>
      <c r="AE86" s="60" t="e">
        <f t="shared" si="99"/>
        <v>#DIV/0!</v>
      </c>
      <c r="AF86" s="60">
        <v>1.3385659265801211</v>
      </c>
      <c r="AG86" s="60">
        <v>1.3385659265801211</v>
      </c>
      <c r="AH86" s="60">
        <f>'Information Technology'!W1283</f>
        <v>-0.41635653012135698</v>
      </c>
      <c r="AI86" s="63">
        <v>-0.31504325731442573</v>
      </c>
      <c r="AJ86" s="60"/>
      <c r="AL86" s="60"/>
      <c r="AM86" s="60"/>
      <c r="AN86" s="60">
        <v>1</v>
      </c>
      <c r="AO86" s="60">
        <f>'Information Technology'!W1284</f>
        <v>3.8723354113426742E-2</v>
      </c>
      <c r="AP86" s="60">
        <v>1.1665896955659364E-2</v>
      </c>
      <c r="AQ86" s="60" t="e">
        <f t="shared" si="112"/>
        <v>#DIV/0!</v>
      </c>
      <c r="AR86" s="60" t="e">
        <f t="shared" si="113"/>
        <v>#DIV/0!</v>
      </c>
      <c r="AS86" s="60" t="e">
        <f t="shared" si="114"/>
        <v>#DIV/0!</v>
      </c>
      <c r="AT86" s="60">
        <v>1.4197825789276783</v>
      </c>
      <c r="AU86" s="60">
        <v>1.4197825789276783</v>
      </c>
      <c r="AV86" s="60" t="e">
        <f>'Information Technology'!W1285</f>
        <v>#DIV/0!</v>
      </c>
      <c r="AW86" s="60">
        <v>1.9859872727272723</v>
      </c>
      <c r="AX86" s="60" t="e">
        <f>(AW86-$AW$263)/$AW$264</f>
        <v>#DIV/0!</v>
      </c>
      <c r="AY86" s="60" t="e">
        <f>AX86-$AX$118</f>
        <v>#DIV/0!</v>
      </c>
      <c r="AZ86" s="60" t="e">
        <f>AY86+5-$AY$93</f>
        <v>#DIV/0!</v>
      </c>
      <c r="BA86" s="60">
        <v>4.6271198715688984</v>
      </c>
      <c r="BB86" s="60">
        <v>4.7581474898099083</v>
      </c>
      <c r="BC86" s="60">
        <f>'Information Technology'!W1286</f>
        <v>0.78912760747756761</v>
      </c>
      <c r="BD86" s="60">
        <v>1.5795801871562585</v>
      </c>
      <c r="BE86" s="60">
        <v>1</v>
      </c>
      <c r="BF86" s="60">
        <f>'Information Technology'!W1287</f>
        <v>1.0051166644747116</v>
      </c>
      <c r="BG86" s="63">
        <v>0.65668421175849212</v>
      </c>
      <c r="BH86" s="63" t="e">
        <f t="shared" si="106"/>
        <v>#DIV/0!</v>
      </c>
      <c r="BI86" s="63" t="e">
        <f t="shared" si="107"/>
        <v>#DIV/0!</v>
      </c>
      <c r="BJ86" s="63" t="e">
        <f t="shared" si="108"/>
        <v>#DIV/0!</v>
      </c>
      <c r="BK86" s="63">
        <v>3.8480449818634299</v>
      </c>
      <c r="BL86" s="63">
        <v>3.8480449818634299</v>
      </c>
      <c r="BM86" s="63">
        <f t="shared" si="93"/>
        <v>2.661272691814486</v>
      </c>
    </row>
    <row r="87" spans="1:65">
      <c r="A87" s="53" t="s">
        <v>218</v>
      </c>
      <c r="B87" s="53" t="s">
        <v>219</v>
      </c>
      <c r="C87" s="54">
        <v>13235.7</v>
      </c>
      <c r="D87" s="55" t="s">
        <v>130</v>
      </c>
      <c r="E87" s="67" t="str" cm="1">
        <f t="array" ref="E87">_xll.ciqfunctions.udf.CIQ(B87,"iq_industry")</f>
        <v>IT Services</v>
      </c>
      <c r="F87" s="60">
        <f>'Information Technology'!W1084</f>
        <v>13.809758002999223</v>
      </c>
      <c r="G87" s="62">
        <v>12.547544956912061</v>
      </c>
      <c r="H87" s="62" t="e">
        <f t="shared" si="115"/>
        <v>#DIV/0!</v>
      </c>
      <c r="I87" s="62" t="e">
        <f t="shared" si="116"/>
        <v>#DIV/0!</v>
      </c>
      <c r="J87" s="62" t="e">
        <f t="shared" si="117"/>
        <v>#DIV/0!</v>
      </c>
      <c r="K87" s="62">
        <v>1</v>
      </c>
      <c r="L87" s="108">
        <v>4.4236139843109603</v>
      </c>
      <c r="M87" s="60">
        <f>'Information Technology'!W1085</f>
        <v>6.8971247870000001</v>
      </c>
      <c r="N87" s="63">
        <v>14.242283139301</v>
      </c>
      <c r="O87" s="63">
        <f t="shared" si="94"/>
        <v>1.6239216011800781</v>
      </c>
      <c r="P87" s="63">
        <f t="shared" si="95"/>
        <v>-0.30322668388564855</v>
      </c>
      <c r="Q87" s="63">
        <f t="shared" si="96"/>
        <v>3.696773316114351</v>
      </c>
      <c r="S87" s="63">
        <v>3.8367614409075124</v>
      </c>
      <c r="T87" s="60">
        <f>'Information Technology'!W1086</f>
        <v>16.530250132235683</v>
      </c>
      <c r="U87" s="63" t="e">
        <v>#DIV/0!</v>
      </c>
      <c r="Z87" s="63">
        <v>1</v>
      </c>
      <c r="AA87" s="60">
        <f>'Information Technology'!W1087</f>
        <v>-2.5099799463757733E-2</v>
      </c>
      <c r="AB87" s="63">
        <v>7.8892311805305981E-2</v>
      </c>
      <c r="AC87" s="60" t="e">
        <f t="shared" si="97"/>
        <v>#DIV/0!</v>
      </c>
      <c r="AD87" s="60" t="e">
        <f t="shared" si="98"/>
        <v>#DIV/0!</v>
      </c>
      <c r="AE87" s="60" t="e">
        <f t="shared" si="99"/>
        <v>#DIV/0!</v>
      </c>
      <c r="AF87" s="60">
        <v>1.3512153209707476</v>
      </c>
      <c r="AG87" s="60">
        <v>1.3512153209707476</v>
      </c>
      <c r="AH87" s="60">
        <f>'Information Technology'!W1088</f>
        <v>0.24899057413001649</v>
      </c>
      <c r="AI87" s="63">
        <v>-0.41635653012135698</v>
      </c>
      <c r="AJ87" s="60"/>
      <c r="AL87" s="60"/>
      <c r="AM87" s="60"/>
      <c r="AN87" s="60">
        <v>1</v>
      </c>
      <c r="AO87" s="60">
        <f>'Information Technology'!W1089</f>
        <v>7.1187724600251093E-2</v>
      </c>
      <c r="AP87" s="60">
        <v>3.8723354113426742E-2</v>
      </c>
      <c r="AQ87" s="60" t="e">
        <f t="shared" si="112"/>
        <v>#DIV/0!</v>
      </c>
      <c r="AR87" s="60" t="e">
        <f t="shared" si="113"/>
        <v>#DIV/0!</v>
      </c>
      <c r="AS87" s="60" t="e">
        <f t="shared" si="114"/>
        <v>#DIV/0!</v>
      </c>
      <c r="AT87" s="60">
        <v>1.8461548991980341</v>
      </c>
      <c r="AU87" s="60">
        <v>1.8461548991980341</v>
      </c>
      <c r="AV87" s="60">
        <f>'Information Technology'!W1090</f>
        <v>-0.4156618181818183</v>
      </c>
      <c r="AW87" s="60" t="e">
        <v>#DIV/0!</v>
      </c>
      <c r="AX87" s="60"/>
      <c r="AY87" s="60"/>
      <c r="AZ87" s="60"/>
      <c r="BA87" s="60">
        <v>1</v>
      </c>
      <c r="BB87" s="60">
        <v>1</v>
      </c>
      <c r="BC87" s="60">
        <f>'Information Technology'!W1091</f>
        <v>0.40858585206605263</v>
      </c>
      <c r="BD87" s="60">
        <v>0.78912760747756761</v>
      </c>
      <c r="BE87" s="60">
        <v>1.3</v>
      </c>
      <c r="BF87" s="60">
        <f>'Information Technology'!W1092</f>
        <v>0.81349738505355373</v>
      </c>
      <c r="BG87" s="63">
        <v>1.2324845594355542</v>
      </c>
      <c r="BH87" s="63" t="e">
        <f t="shared" si="106"/>
        <v>#DIV/0!</v>
      </c>
      <c r="BI87" s="63" t="e">
        <f t="shared" si="107"/>
        <v>#DIV/0!</v>
      </c>
      <c r="BJ87" s="63" t="e">
        <f t="shared" si="108"/>
        <v>#DIV/0!</v>
      </c>
      <c r="BK87" s="63">
        <v>2.7929078875195374</v>
      </c>
      <c r="BL87" s="63">
        <v>2.7929078875195374</v>
      </c>
      <c r="BM87" s="63">
        <f t="shared" si="93"/>
        <v>2.358288274172359</v>
      </c>
    </row>
    <row r="88" spans="1:65">
      <c r="A88" s="53" t="s">
        <v>258</v>
      </c>
      <c r="B88" s="53" t="s">
        <v>259</v>
      </c>
      <c r="C88" s="54">
        <v>9216.2999999999993</v>
      </c>
      <c r="D88" s="55" t="s">
        <v>70</v>
      </c>
      <c r="E88" s="67" t="str" cm="1">
        <f t="array" ref="E88">_xll.ciqfunctions.udf.CIQ(B88,"iq_industry")</f>
        <v>Semiconductors and Semiconductor Equipment</v>
      </c>
      <c r="F88" s="60">
        <f>'Information Technology'!W1384</f>
        <v>47.837070171639297</v>
      </c>
      <c r="G88" s="62">
        <v>10.170209810143538</v>
      </c>
      <c r="H88" s="62" t="e">
        <f t="shared" si="115"/>
        <v>#DIV/0!</v>
      </c>
      <c r="I88" s="62" t="e">
        <f t="shared" si="116"/>
        <v>#DIV/0!</v>
      </c>
      <c r="J88" s="62" t="e">
        <f t="shared" si="117"/>
        <v>#DIV/0!</v>
      </c>
      <c r="K88" s="62">
        <v>1</v>
      </c>
      <c r="L88" s="108">
        <v>4.5480539528823396</v>
      </c>
      <c r="M88" s="60">
        <f>'Information Technology'!W1385</f>
        <v>6.7957538754000009</v>
      </c>
      <c r="N88" s="63">
        <v>9.0055584148750008</v>
      </c>
      <c r="O88" s="63">
        <f t="shared" si="94"/>
        <v>3.7996132110773378E-2</v>
      </c>
      <c r="P88" s="63">
        <f t="shared" si="95"/>
        <v>-1.8891521529549533</v>
      </c>
      <c r="Q88" s="63">
        <f t="shared" si="96"/>
        <v>2.1108478470450467</v>
      </c>
      <c r="S88" s="63">
        <v>2.2508359718382041</v>
      </c>
      <c r="T88" s="60" t="e">
        <f>'Information Technology'!W1386</f>
        <v>#DIV/0!</v>
      </c>
      <c r="U88" s="63" t="e">
        <v>#DIV/0!</v>
      </c>
      <c r="W88" s="63"/>
      <c r="X88" s="63"/>
      <c r="Z88" s="63">
        <v>1</v>
      </c>
      <c r="AA88" s="60">
        <f>'Information Technology'!W1387</f>
        <v>9.6908051993810806E-2</v>
      </c>
      <c r="AB88" s="63">
        <v>-3.8504308231434248E-2</v>
      </c>
      <c r="AC88" s="60" t="e">
        <f t="shared" si="97"/>
        <v>#DIV/0!</v>
      </c>
      <c r="AD88" s="60" t="e">
        <f t="shared" si="98"/>
        <v>#DIV/0!</v>
      </c>
      <c r="AE88" s="60" t="e">
        <f t="shared" si="99"/>
        <v>#DIV/0!</v>
      </c>
      <c r="AF88" s="60">
        <v>4.0301632085480215</v>
      </c>
      <c r="AG88" s="60">
        <v>4.0301632085480215</v>
      </c>
      <c r="AH88" s="60">
        <f>'Information Technology'!W1388</f>
        <v>0.16153351678619449</v>
      </c>
      <c r="AI88" s="63">
        <v>0.10051531219567518</v>
      </c>
      <c r="AJ88" s="60">
        <f t="shared" ref="AJ88:AJ95" si="118">(AI88-$AI$263)/$AI$264</f>
        <v>0.42430426429702844</v>
      </c>
      <c r="AK88" s="60">
        <f t="shared" ref="AK88:AK95" si="119">AJ88-$AJ$110</f>
        <v>0.42430426429702844</v>
      </c>
      <c r="AL88" s="60">
        <f t="shared" ref="AL88:AL95" si="120">AK88+5-$AK$80</f>
        <v>5.4088218809692599</v>
      </c>
      <c r="AM88" s="60"/>
      <c r="AN88" s="60">
        <v>2.3397555549893738</v>
      </c>
      <c r="AO88" s="60">
        <f>'Information Technology'!W1389</f>
        <v>6.5810930306216056E-2</v>
      </c>
      <c r="AP88" s="60">
        <v>7.0954327561892183E-2</v>
      </c>
      <c r="AQ88" s="60" t="e">
        <f t="shared" si="112"/>
        <v>#DIV/0!</v>
      </c>
      <c r="AR88" s="60" t="e">
        <f t="shared" si="113"/>
        <v>#DIV/0!</v>
      </c>
      <c r="AS88" s="60" t="e">
        <f t="shared" si="114"/>
        <v>#DIV/0!</v>
      </c>
      <c r="AT88" s="60">
        <v>2.3540516632459227</v>
      </c>
      <c r="AU88" s="60">
        <v>2.3540516632459227</v>
      </c>
      <c r="AV88" s="60">
        <f>'Information Technology'!W1390</f>
        <v>2.0292954545454545</v>
      </c>
      <c r="AW88" s="60">
        <v>0.26776363636363665</v>
      </c>
      <c r="AX88" s="60" t="e">
        <f>(AW88-$AW$263)/$AW$264</f>
        <v>#DIV/0!</v>
      </c>
      <c r="AY88" s="60" t="e">
        <f>AX88-$AX$118</f>
        <v>#DIV/0!</v>
      </c>
      <c r="AZ88" s="60" t="e">
        <f>AY88+5-$AY$93</f>
        <v>#DIV/0!</v>
      </c>
      <c r="BA88" s="60">
        <v>2.4811027852341141</v>
      </c>
      <c r="BB88" s="60">
        <v>2.5066942677212589</v>
      </c>
      <c r="BC88" s="60">
        <f>'Information Technology'!W1391</f>
        <v>0</v>
      </c>
      <c r="BD88" s="60">
        <v>0.16982990509890267</v>
      </c>
      <c r="BE88" s="60">
        <v>5</v>
      </c>
      <c r="BF88" s="60">
        <f>'Information Technology'!W1392</f>
        <v>4.0173918510614701</v>
      </c>
      <c r="BG88" s="63">
        <v>0.43535616903358404</v>
      </c>
      <c r="BH88" s="63" t="e">
        <f t="shared" si="106"/>
        <v>#DIV/0!</v>
      </c>
      <c r="BI88" s="63" t="e">
        <f t="shared" si="107"/>
        <v>#DIV/0!</v>
      </c>
      <c r="BJ88" s="63" t="e">
        <f t="shared" si="108"/>
        <v>#DIV/0!</v>
      </c>
      <c r="BK88" s="63">
        <v>4.2536220691988422</v>
      </c>
      <c r="BL88" s="63">
        <v>4.2536220691988422</v>
      </c>
      <c r="BM88" s="63">
        <f t="shared" si="93"/>
        <v>3.7544539686691945</v>
      </c>
    </row>
    <row r="89" spans="1:65">
      <c r="A89" s="53" t="s">
        <v>314</v>
      </c>
      <c r="B89" s="53" t="s">
        <v>315</v>
      </c>
      <c r="C89" s="54">
        <v>5502.6</v>
      </c>
      <c r="D89" s="55" t="s">
        <v>98</v>
      </c>
      <c r="E89" s="67" t="str" cm="1">
        <f t="array" ref="E89">_xll.ciqfunctions.udf.CIQ(B89,"iq_industry")</f>
        <v>Semiconductors and Semiconductor Equipment</v>
      </c>
      <c r="F89" s="60" t="e">
        <f>'Information Technology'!W1804</f>
        <v>#DIV/0!</v>
      </c>
      <c r="G89" s="62">
        <v>25.255319292653834</v>
      </c>
      <c r="H89" s="62" t="e">
        <f t="shared" si="115"/>
        <v>#DIV/0!</v>
      </c>
      <c r="I89" s="62" t="e">
        <f t="shared" si="116"/>
        <v>#DIV/0!</v>
      </c>
      <c r="J89" s="62" t="e">
        <f t="shared" si="117"/>
        <v>#DIV/0!</v>
      </c>
      <c r="K89" s="62">
        <v>1</v>
      </c>
      <c r="L89" s="108">
        <v>3.7584343014625401</v>
      </c>
      <c r="M89" s="60">
        <f>'Information Technology'!W1805</f>
        <v>7.7969482470000004</v>
      </c>
      <c r="N89" s="63">
        <v>5.7090677532999994</v>
      </c>
      <c r="O89" s="63">
        <f t="shared" si="94"/>
        <v>-0.96033560649592997</v>
      </c>
      <c r="P89" s="63">
        <f t="shared" si="95"/>
        <v>-2.8874838915616565</v>
      </c>
      <c r="Q89" s="63">
        <f t="shared" si="96"/>
        <v>1.1125161084383435</v>
      </c>
      <c r="S89" s="63">
        <v>1.2525042332314982</v>
      </c>
      <c r="T89" s="60" t="e">
        <f>'Information Technology'!W1806</f>
        <v>#DIV/0!</v>
      </c>
      <c r="U89" s="63" t="e">
        <v>#DIV/0!</v>
      </c>
      <c r="W89" s="63"/>
      <c r="X89" s="63"/>
      <c r="Z89" s="63">
        <v>1</v>
      </c>
      <c r="AA89" s="60" t="e">
        <f>'Information Technology'!W1807</f>
        <v>#DIV/0!</v>
      </c>
      <c r="AB89" s="63">
        <v>5.1150909703590042E-3</v>
      </c>
      <c r="AC89" s="60" t="e">
        <f t="shared" si="97"/>
        <v>#DIV/0!</v>
      </c>
      <c r="AD89" s="60" t="e">
        <f t="shared" si="98"/>
        <v>#DIV/0!</v>
      </c>
      <c r="AE89" s="60" t="e">
        <f t="shared" si="99"/>
        <v>#DIV/0!</v>
      </c>
      <c r="AF89" s="60">
        <v>3.0347844888501001</v>
      </c>
      <c r="AG89" s="60">
        <v>3.0347844888501001</v>
      </c>
      <c r="AH89" s="60" t="e">
        <f>'Information Technology'!W1808</f>
        <v>#DIV/0!</v>
      </c>
      <c r="AI89" s="63">
        <v>7.6282455538702609E-2</v>
      </c>
      <c r="AJ89" s="60">
        <f t="shared" si="118"/>
        <v>0.29447661608319431</v>
      </c>
      <c r="AK89" s="60">
        <f t="shared" si="119"/>
        <v>0.29447661608319431</v>
      </c>
      <c r="AL89" s="60">
        <f t="shared" si="120"/>
        <v>5.2789942327554265</v>
      </c>
      <c r="AM89" s="60"/>
      <c r="AN89" s="60">
        <v>2.0527675914706816</v>
      </c>
      <c r="AO89" s="60" t="e">
        <f>'Information Technology'!W1809</f>
        <v>#DIV/0!</v>
      </c>
      <c r="AP89" s="60">
        <v>3.858816262785953E-2</v>
      </c>
      <c r="AQ89" s="60" t="e">
        <f t="shared" si="112"/>
        <v>#DIV/0!</v>
      </c>
      <c r="AR89" s="60" t="e">
        <f t="shared" si="113"/>
        <v>#DIV/0!</v>
      </c>
      <c r="AS89" s="60" t="e">
        <f t="shared" si="114"/>
        <v>#DIV/0!</v>
      </c>
      <c r="AT89" s="60">
        <v>1.844024547219798</v>
      </c>
      <c r="AU89" s="60">
        <v>1.844024547219798</v>
      </c>
      <c r="AV89" s="60" t="e">
        <f>'Information Technology'!W1810</f>
        <v>#DIV/0!</v>
      </c>
      <c r="AW89" s="60">
        <v>-0.34441818181818173</v>
      </c>
      <c r="AX89" s="60"/>
      <c r="AY89" s="60"/>
      <c r="AZ89" s="60"/>
      <c r="BA89" s="60">
        <v>1.9</v>
      </c>
      <c r="BB89" s="60">
        <v>2.115701741728822</v>
      </c>
      <c r="BC89" s="60" t="e">
        <f>'Information Technology'!W1811</f>
        <v>#DIV/0!</v>
      </c>
      <c r="BD89" s="60">
        <v>-0.17519560028922596</v>
      </c>
      <c r="BE89" s="60">
        <v>5</v>
      </c>
      <c r="BF89" s="60" t="e">
        <f>'Information Technology'!W1812</f>
        <v>#DIV/0!</v>
      </c>
      <c r="BG89" s="63">
        <v>0.11772828622921068</v>
      </c>
      <c r="BH89" s="63" t="e">
        <f t="shared" si="106"/>
        <v>#DIV/0!</v>
      </c>
      <c r="BI89" s="63" t="e">
        <f t="shared" si="107"/>
        <v>#DIV/0!</v>
      </c>
      <c r="BJ89" s="63" t="e">
        <f t="shared" si="108"/>
        <v>#DIV/0!</v>
      </c>
      <c r="BK89" s="63">
        <v>4.8356657631577988</v>
      </c>
      <c r="BL89" s="63">
        <v>4.8356657631577988</v>
      </c>
      <c r="BM89" s="63">
        <f t="shared" si="93"/>
        <v>3.4977924467478814</v>
      </c>
    </row>
    <row r="90" spans="1:65">
      <c r="A90" s="53" t="s">
        <v>278</v>
      </c>
      <c r="B90" s="53" t="s">
        <v>279</v>
      </c>
      <c r="C90" s="54">
        <v>7502.5</v>
      </c>
      <c r="D90" s="55" t="s">
        <v>70</v>
      </c>
      <c r="E90" s="67" t="str" cm="1">
        <f t="array" ref="E90">_xll.ciqfunctions.udf.CIQ(B90,"iq_industry")</f>
        <v>Semiconductors and Semiconductor Equipment</v>
      </c>
      <c r="F90" s="60">
        <f>'Information Technology'!W1534</f>
        <v>1.6577562861667572</v>
      </c>
      <c r="G90" s="62">
        <v>39.592941806606603</v>
      </c>
      <c r="H90" s="62" t="e">
        <f t="shared" si="115"/>
        <v>#DIV/0!</v>
      </c>
      <c r="I90" s="62" t="e">
        <f t="shared" si="116"/>
        <v>#DIV/0!</v>
      </c>
      <c r="J90" s="62" t="e">
        <f t="shared" si="117"/>
        <v>#DIV/0!</v>
      </c>
      <c r="K90" s="62">
        <v>1</v>
      </c>
      <c r="L90" s="108">
        <v>3.0079413398581214</v>
      </c>
      <c r="M90" s="60">
        <f>'Information Technology'!W1535</f>
        <v>15.355616076799999</v>
      </c>
      <c r="N90" s="63">
        <v>7.6847958071000004</v>
      </c>
      <c r="O90" s="63">
        <f t="shared" si="94"/>
        <v>-0.36199263348055899</v>
      </c>
      <c r="P90" s="63">
        <f t="shared" si="95"/>
        <v>-2.2891409185462859</v>
      </c>
      <c r="Q90" s="63">
        <f t="shared" si="96"/>
        <v>1.7108590814537141</v>
      </c>
      <c r="S90" s="63">
        <v>1.850847206246871</v>
      </c>
      <c r="T90" s="60" t="e">
        <f>'Information Technology'!W1536</f>
        <v>#DIV/0!</v>
      </c>
      <c r="U90" s="63" t="e">
        <v>#DIV/0!</v>
      </c>
      <c r="W90" s="63"/>
      <c r="X90" s="63"/>
      <c r="Z90" s="63">
        <v>1</v>
      </c>
      <c r="AA90" s="60">
        <f>'Information Technology'!W1537</f>
        <v>3.9406709703525404</v>
      </c>
      <c r="AB90" s="63">
        <v>1.0000275897834587E-3</v>
      </c>
      <c r="AC90" s="60" t="e">
        <f t="shared" si="97"/>
        <v>#DIV/0!</v>
      </c>
      <c r="AD90" s="60" t="e">
        <f t="shared" si="98"/>
        <v>#DIV/0!</v>
      </c>
      <c r="AE90" s="60" t="e">
        <f t="shared" si="99"/>
        <v>#DIV/0!</v>
      </c>
      <c r="AF90" s="60">
        <v>3.1286887285734357</v>
      </c>
      <c r="AG90" s="60">
        <v>3.1286887285734357</v>
      </c>
      <c r="AH90" s="60">
        <f>'Information Technology'!W1538</f>
        <v>-1.5401867404687199E-4</v>
      </c>
      <c r="AI90" s="63">
        <v>0.32514258059416684</v>
      </c>
      <c r="AJ90" s="60">
        <f t="shared" si="118"/>
        <v>1.6277459547954864</v>
      </c>
      <c r="AK90" s="60">
        <f t="shared" si="119"/>
        <v>1.6277459547954864</v>
      </c>
      <c r="AL90" s="60">
        <f t="shared" si="120"/>
        <v>6.612263571467718</v>
      </c>
      <c r="AM90" s="60"/>
      <c r="AN90" s="60">
        <v>5</v>
      </c>
      <c r="AO90" s="60">
        <f>'Information Technology'!W1539</f>
        <v>9.267485660322565E-2</v>
      </c>
      <c r="AP90" s="60">
        <v>9.6309747225969716E-2</v>
      </c>
      <c r="AQ90" s="60" t="e">
        <f t="shared" si="112"/>
        <v>#DIV/0!</v>
      </c>
      <c r="AR90" s="60" t="e">
        <f t="shared" si="113"/>
        <v>#DIV/0!</v>
      </c>
      <c r="AS90" s="60" t="e">
        <f t="shared" si="114"/>
        <v>#DIV/0!</v>
      </c>
      <c r="AT90" s="60">
        <v>2.7536032194237676</v>
      </c>
      <c r="AU90" s="60">
        <v>2.7536032194237676</v>
      </c>
      <c r="AV90" s="60" t="e">
        <f>'Information Technology'!W1540</f>
        <v>#DIV/0!</v>
      </c>
      <c r="AW90" s="60">
        <v>1.7212263636363636</v>
      </c>
      <c r="AX90" s="60" t="e">
        <f t="shared" ref="AX90:AX95" si="121">(AW90-$AW$263)/$AW$264</f>
        <v>#DIV/0!</v>
      </c>
      <c r="AY90" s="60" t="e">
        <f t="shared" ref="AY90:AY95" si="122">AX90-$AX$118</f>
        <v>#DIV/0!</v>
      </c>
      <c r="AZ90" s="60" t="e">
        <f t="shared" ref="AZ90:AZ95" si="123">AY90+5-$AY$93</f>
        <v>#DIV/0!</v>
      </c>
      <c r="BA90" s="60">
        <v>4.2964403123555872</v>
      </c>
      <c r="BB90" s="60">
        <v>4.6271198715688984</v>
      </c>
      <c r="BC90" s="60">
        <f>'Information Technology'!W1541</f>
        <v>0.88085583823373281</v>
      </c>
      <c r="BD90" s="60">
        <v>0</v>
      </c>
      <c r="BE90" s="60">
        <v>5</v>
      </c>
      <c r="BF90" s="60">
        <f>'Information Technology'!W1542</f>
        <v>3.2887472836880927E-2</v>
      </c>
      <c r="BG90" s="63">
        <v>4.4397868423682008</v>
      </c>
      <c r="BI90" s="63"/>
      <c r="BJ90" s="63"/>
      <c r="BK90" s="63">
        <v>1.2</v>
      </c>
      <c r="BL90" s="63">
        <v>1.2</v>
      </c>
      <c r="BM90" s="63">
        <f t="shared" si="93"/>
        <v>3.2396751997970297</v>
      </c>
    </row>
    <row r="91" spans="1:65">
      <c r="A91" s="53" t="s">
        <v>216</v>
      </c>
      <c r="B91" s="53" t="s">
        <v>217</v>
      </c>
      <c r="C91" s="54">
        <v>13665.9</v>
      </c>
      <c r="D91" s="55" t="s">
        <v>98</v>
      </c>
      <c r="E91" s="67" t="str" cm="1">
        <f t="array" ref="E91">_xll.ciqfunctions.udf.CIQ(B91,"iq_industry")</f>
        <v>Semiconductors and Semiconductor Equipment</v>
      </c>
      <c r="F91" s="60">
        <f>'Information Technology'!W1069</f>
        <v>14.559113190160149</v>
      </c>
      <c r="G91" s="62">
        <v>6.1585975164210831</v>
      </c>
      <c r="H91" s="62" t="e">
        <f t="shared" si="115"/>
        <v>#DIV/0!</v>
      </c>
      <c r="I91" s="62" t="e">
        <f t="shared" si="116"/>
        <v>#DIV/0!</v>
      </c>
      <c r="J91" s="62" t="e">
        <f t="shared" si="117"/>
        <v>#DIV/0!</v>
      </c>
      <c r="K91" s="62">
        <v>1</v>
      </c>
      <c r="L91" s="108">
        <v>4.7580390315238361</v>
      </c>
      <c r="M91" s="60">
        <f>'Information Technology'!W1070</f>
        <v>10.050514659300001</v>
      </c>
      <c r="N91" s="63">
        <v>14.646816396750003</v>
      </c>
      <c r="O91" s="63">
        <f t="shared" si="94"/>
        <v>1.7464332148002242</v>
      </c>
      <c r="P91" s="63">
        <f t="shared" si="95"/>
        <v>-0.18071507026550249</v>
      </c>
      <c r="Q91" s="63">
        <f t="shared" si="96"/>
        <v>3.8192849297344971</v>
      </c>
      <c r="S91" s="63">
        <v>3.9592730545276584</v>
      </c>
      <c r="T91" s="60" t="e">
        <f>'Information Technology'!W1071</f>
        <v>#DIV/0!</v>
      </c>
      <c r="U91" s="63">
        <v>118.89142527775532</v>
      </c>
      <c r="W91" s="63"/>
      <c r="X91" s="63"/>
      <c r="Y91" s="63">
        <v>1.6</v>
      </c>
      <c r="Z91" s="63">
        <v>1.6</v>
      </c>
      <c r="AA91" s="60">
        <f>'Information Technology'!W1072</f>
        <v>-3.0535321735730703E-3</v>
      </c>
      <c r="AB91" s="63">
        <v>2.1530231420523016E-2</v>
      </c>
      <c r="AC91" s="60" t="e">
        <f t="shared" si="97"/>
        <v>#DIV/0!</v>
      </c>
      <c r="AD91" s="60" t="e">
        <f t="shared" si="98"/>
        <v>#DIV/0!</v>
      </c>
      <c r="AE91" s="60" t="e">
        <f t="shared" si="99"/>
        <v>#DIV/0!</v>
      </c>
      <c r="AF91" s="60">
        <v>2.6601969937459931</v>
      </c>
      <c r="AG91" s="60">
        <v>2.6601969937459931</v>
      </c>
      <c r="AH91" s="60">
        <f>'Information Technology'!W1073</f>
        <v>0.14927192036202755</v>
      </c>
      <c r="AI91" s="63">
        <v>0.10687071481297596</v>
      </c>
      <c r="AJ91" s="60">
        <f t="shared" si="118"/>
        <v>0.45835336494314632</v>
      </c>
      <c r="AK91" s="60">
        <f t="shared" si="119"/>
        <v>0.45835336494314632</v>
      </c>
      <c r="AL91" s="60">
        <f t="shared" si="120"/>
        <v>5.4428709816153784</v>
      </c>
      <c r="AM91" s="60"/>
      <c r="AN91" s="60">
        <v>2.4150221271603325</v>
      </c>
      <c r="AO91" s="60">
        <f>'Information Technology'!W1074</f>
        <v>5.4735564729350997E-2</v>
      </c>
      <c r="AP91" s="60">
        <v>2.7480119439453551E-2</v>
      </c>
      <c r="AQ91" s="60" t="e">
        <f t="shared" si="112"/>
        <v>#DIV/0!</v>
      </c>
      <c r="AR91" s="60" t="e">
        <f t="shared" si="113"/>
        <v>#DIV/0!</v>
      </c>
      <c r="AS91" s="60" t="e">
        <f t="shared" si="114"/>
        <v>#DIV/0!</v>
      </c>
      <c r="AT91" s="60">
        <v>1.6689836289144222</v>
      </c>
      <c r="AU91" s="60">
        <v>1.6689836289144222</v>
      </c>
      <c r="AV91" s="60">
        <f>'Information Technology'!W1075</f>
        <v>-1.220409090909091</v>
      </c>
      <c r="AW91" s="60">
        <v>0.67232272727272757</v>
      </c>
      <c r="AX91" s="60" t="e">
        <f t="shared" si="121"/>
        <v>#DIV/0!</v>
      </c>
      <c r="AY91" s="60" t="e">
        <f t="shared" si="122"/>
        <v>#DIV/0!</v>
      </c>
      <c r="AZ91" s="60" t="e">
        <f t="shared" si="123"/>
        <v>#DIV/0!</v>
      </c>
      <c r="BA91" s="60">
        <v>2.9863866744491245</v>
      </c>
      <c r="BB91" s="60">
        <v>3.0325010748099626</v>
      </c>
      <c r="BC91" s="60">
        <f>'Information Technology'!W1076</f>
        <v>-3.2211120377150871E-3</v>
      </c>
      <c r="BD91" s="60">
        <v>0.89174519979974243</v>
      </c>
      <c r="BE91" s="60">
        <v>1.1000000000000001</v>
      </c>
      <c r="BF91" s="60">
        <f>'Information Technology'!W1077</f>
        <v>0.11169478356549989</v>
      </c>
      <c r="BG91" s="63">
        <v>0.48035730660082754</v>
      </c>
      <c r="BH91" s="63" t="e">
        <f>-(BG91-$BG$263)/$BG$264</f>
        <v>#DIV/0!</v>
      </c>
      <c r="BI91" s="63" t="e">
        <f>BH91-$BH$90</f>
        <v>#DIV/0!</v>
      </c>
      <c r="BJ91" s="63" t="e">
        <f>BI91+(5-$BI$126)</f>
        <v>#DIV/0!</v>
      </c>
      <c r="BK91" s="63">
        <v>4.171158816568953</v>
      </c>
      <c r="BL91" s="63">
        <v>4.171158816568953</v>
      </c>
      <c r="BM91" s="63">
        <f t="shared" si="93"/>
        <v>3.1128737792527823</v>
      </c>
    </row>
    <row r="92" spans="1:65">
      <c r="A92" s="53" t="s">
        <v>308</v>
      </c>
      <c r="B92" s="53" t="s">
        <v>309</v>
      </c>
      <c r="C92" s="54">
        <v>5649.2</v>
      </c>
      <c r="D92" s="55" t="s">
        <v>98</v>
      </c>
      <c r="E92" s="67" t="str" cm="1">
        <f t="array" ref="E92">_xll.ciqfunctions.udf.CIQ(B92,"iq_industry")</f>
        <v>Semiconductors and Semiconductor Equipment</v>
      </c>
      <c r="F92" s="60" t="e">
        <f>'Information Technology'!W1759</f>
        <v>#DIV/0!</v>
      </c>
      <c r="G92" s="62">
        <v>2.433281370746184</v>
      </c>
      <c r="H92" s="62" t="e">
        <f t="shared" si="115"/>
        <v>#DIV/0!</v>
      </c>
      <c r="I92" s="62" t="e">
        <f t="shared" si="116"/>
        <v>#DIV/0!</v>
      </c>
      <c r="J92" s="62" t="e">
        <f t="shared" si="117"/>
        <v>#DIV/0!</v>
      </c>
      <c r="K92" s="62">
        <v>1</v>
      </c>
      <c r="L92" s="108">
        <v>4.9530381357588329</v>
      </c>
      <c r="M92" s="60">
        <f>'Information Technology'!W1760</f>
        <v>11.794571646</v>
      </c>
      <c r="N92" s="63">
        <v>5.4005075483000002</v>
      </c>
      <c r="O92" s="63">
        <f t="shared" si="94"/>
        <v>-1.0537820856603246</v>
      </c>
      <c r="P92" s="63">
        <f t="shared" si="95"/>
        <v>-2.9809303707260515</v>
      </c>
      <c r="Q92" s="63">
        <f t="shared" si="96"/>
        <v>1.0190696292739485</v>
      </c>
      <c r="S92" s="63">
        <v>1.1590577540671037</v>
      </c>
      <c r="T92" s="60" t="e">
        <f>'Information Technology'!W1761</f>
        <v>#DIV/0!</v>
      </c>
      <c r="U92" s="63">
        <v>47.398252262348215</v>
      </c>
      <c r="V92" s="63" t="e">
        <f>-(U92-$U$263)/$U$264</f>
        <v>#DIV/0!</v>
      </c>
      <c r="W92" s="63" t="e">
        <f>V92-$V$120</f>
        <v>#DIV/0!</v>
      </c>
      <c r="X92" s="63" t="e">
        <f>W92+(5-$W$126)</f>
        <v>#DIV/0!</v>
      </c>
      <c r="Y92" s="63">
        <v>2.661858236561947</v>
      </c>
      <c r="Z92" s="63">
        <v>2.661858236561947</v>
      </c>
      <c r="AA92" s="60" t="e">
        <f>'Information Technology'!W1762</f>
        <v>#DIV/0!</v>
      </c>
      <c r="AB92" s="63">
        <v>4.2895226184650692E-2</v>
      </c>
      <c r="AC92" s="60" t="e">
        <f t="shared" si="97"/>
        <v>#DIV/0!</v>
      </c>
      <c r="AD92" s="60" t="e">
        <f t="shared" si="98"/>
        <v>#DIV/0!</v>
      </c>
      <c r="AE92" s="60" t="e">
        <f t="shared" si="99"/>
        <v>#DIV/0!</v>
      </c>
      <c r="AF92" s="60">
        <v>2.1726556354552091</v>
      </c>
      <c r="AG92" s="60">
        <v>2.1726556354552091</v>
      </c>
      <c r="AH92" s="60" t="e">
        <f>'Information Technology'!W1763</f>
        <v>#DIV/0!</v>
      </c>
      <c r="AI92" s="63">
        <v>1.6634323573403619E-2</v>
      </c>
      <c r="AJ92" s="60">
        <f t="shared" si="118"/>
        <v>-2.5088543032084853E-2</v>
      </c>
      <c r="AK92" s="60">
        <f t="shared" si="119"/>
        <v>-2.5088543032084853E-2</v>
      </c>
      <c r="AL92" s="60">
        <f t="shared" si="120"/>
        <v>4.9594290736401465</v>
      </c>
      <c r="AM92" s="60"/>
      <c r="AN92" s="60">
        <v>1.3463590915264563</v>
      </c>
      <c r="AO92" s="60" t="e">
        <f>'Information Technology'!W1764</f>
        <v>#DIV/0!</v>
      </c>
      <c r="AP92" s="60">
        <v>1.7619701647712597E-2</v>
      </c>
      <c r="AQ92" s="60" t="e">
        <f t="shared" si="112"/>
        <v>#DIV/0!</v>
      </c>
      <c r="AR92" s="60" t="e">
        <f t="shared" si="113"/>
        <v>#DIV/0!</v>
      </c>
      <c r="AS92" s="60" t="e">
        <f t="shared" si="114"/>
        <v>#DIV/0!</v>
      </c>
      <c r="AT92" s="60">
        <v>1.5136028335874383</v>
      </c>
      <c r="AU92" s="60">
        <v>1.5136028335874383</v>
      </c>
      <c r="AV92" s="60" t="e">
        <f>'Information Technology'!W1765</f>
        <v>#DIV/0!</v>
      </c>
      <c r="AW92" s="60">
        <v>0.75826090909090904</v>
      </c>
      <c r="AX92" s="60" t="e">
        <f t="shared" si="121"/>
        <v>#DIV/0!</v>
      </c>
      <c r="AY92" s="60" t="e">
        <f t="shared" si="122"/>
        <v>#DIV/0!</v>
      </c>
      <c r="AZ92" s="60" t="e">
        <f t="shared" si="123"/>
        <v>#DIV/0!</v>
      </c>
      <c r="BA92" s="60">
        <v>3.0937212510707512</v>
      </c>
      <c r="BB92" s="60">
        <v>3.484412887810822</v>
      </c>
      <c r="BC92" s="60" t="e">
        <f>'Information Technology'!W1766</f>
        <v>#DIV/0!</v>
      </c>
      <c r="BD92" s="60">
        <v>0.77673400986490448</v>
      </c>
      <c r="BE92" s="60">
        <v>1.4</v>
      </c>
      <c r="BF92" s="60" t="e">
        <f>'Information Technology'!W1767</f>
        <v>#DIV/0!</v>
      </c>
      <c r="BG92" s="63">
        <v>0.21007667009243741</v>
      </c>
      <c r="BH92" s="63" t="e">
        <f>-(BG92-$BG$263)/$BG$264</f>
        <v>#DIV/0!</v>
      </c>
      <c r="BI92" s="63" t="e">
        <f>BH92-$BH$90</f>
        <v>#DIV/0!</v>
      </c>
      <c r="BJ92" s="63" t="e">
        <f>BI92+(5-$BI$126)</f>
        <v>#DIV/0!</v>
      </c>
      <c r="BK92" s="63">
        <v>4.6664400830936925</v>
      </c>
      <c r="BL92" s="63">
        <v>4.6664400830936925</v>
      </c>
      <c r="BM92" s="63">
        <f t="shared" si="93"/>
        <v>3.0485759116887419</v>
      </c>
    </row>
    <row r="93" spans="1:65" ht="22.5">
      <c r="A93" s="53" t="s">
        <v>238</v>
      </c>
      <c r="B93" s="53" t="s">
        <v>239</v>
      </c>
      <c r="C93" s="54">
        <v>11401.9</v>
      </c>
      <c r="D93" s="55" t="s">
        <v>70</v>
      </c>
      <c r="E93" s="67" t="str" cm="1">
        <f t="array" ref="E93">_xll.ciqfunctions.udf.CIQ(B93,"iq_industry")</f>
        <v>Semiconductors and Semiconductor Equipment</v>
      </c>
      <c r="F93" s="60">
        <f>'Information Technology'!W1234</f>
        <v>13.01713675128784</v>
      </c>
      <c r="G93" s="62">
        <v>89.458563899043028</v>
      </c>
      <c r="K93" s="62">
        <v>1</v>
      </c>
      <c r="L93" s="108">
        <v>1.1299999999999999</v>
      </c>
      <c r="M93" s="60">
        <f>'Information Technology'!W1235</f>
        <v>9.7849581199999989</v>
      </c>
      <c r="N93" s="63">
        <v>10.599657610000001</v>
      </c>
      <c r="O93" s="63">
        <f t="shared" si="94"/>
        <v>0.52076401600956412</v>
      </c>
      <c r="P93" s="63">
        <f t="shared" si="95"/>
        <v>-1.4063842690561625</v>
      </c>
      <c r="Q93" s="63">
        <f t="shared" si="96"/>
        <v>2.5936157309438377</v>
      </c>
      <c r="S93" s="63">
        <v>2.7336038557369964</v>
      </c>
      <c r="T93" s="60">
        <f>'Information Technology'!W1236</f>
        <v>21.257230859793381</v>
      </c>
      <c r="U93" s="63" t="e">
        <v>#DIV/0!</v>
      </c>
      <c r="W93" s="63"/>
      <c r="X93" s="63"/>
      <c r="Z93" s="63">
        <v>1</v>
      </c>
      <c r="AA93" s="60">
        <f>'Information Technology'!W1237</f>
        <v>-3.290211834702117E-2</v>
      </c>
      <c r="AB93" s="63">
        <v>9.3063923146048388E-3</v>
      </c>
      <c r="AC93" s="60" t="e">
        <f t="shared" si="97"/>
        <v>#DIV/0!</v>
      </c>
      <c r="AD93" s="60" t="e">
        <f t="shared" si="98"/>
        <v>#DIV/0!</v>
      </c>
      <c r="AE93" s="60" t="e">
        <f t="shared" si="99"/>
        <v>#DIV/0!</v>
      </c>
      <c r="AF93" s="60">
        <v>2.9391405267083179</v>
      </c>
      <c r="AG93" s="60">
        <v>2.9391405267083179</v>
      </c>
      <c r="AH93" s="60">
        <f>'Information Technology'!W1238</f>
        <v>0.11705482984271057</v>
      </c>
      <c r="AI93" s="63">
        <v>0.16869184428533668</v>
      </c>
      <c r="AJ93" s="60">
        <f t="shared" si="118"/>
        <v>0.78956036884419811</v>
      </c>
      <c r="AK93" s="60">
        <f t="shared" si="119"/>
        <v>0.78956036884419811</v>
      </c>
      <c r="AL93" s="60">
        <f t="shared" si="120"/>
        <v>5.7740779855164295</v>
      </c>
      <c r="AM93" s="60"/>
      <c r="AN93" s="60">
        <v>3.1471652789498004</v>
      </c>
      <c r="AO93" s="60">
        <f>'Information Technology'!W1239</f>
        <v>8.1571641709007547E-2</v>
      </c>
      <c r="AP93" s="60">
        <v>0.41974325567071125</v>
      </c>
      <c r="AQ93" s="60"/>
      <c r="AR93" s="60"/>
      <c r="AS93" s="60"/>
      <c r="AT93" s="60">
        <v>4.95</v>
      </c>
      <c r="AU93" s="60">
        <v>4.95</v>
      </c>
      <c r="AV93" s="60">
        <f>'Information Technology'!W1240</f>
        <v>3.5776363636363488E-2</v>
      </c>
      <c r="AW93" s="60">
        <v>2.2273236363636366</v>
      </c>
      <c r="AX93" s="60" t="e">
        <f t="shared" si="121"/>
        <v>#DIV/0!</v>
      </c>
      <c r="AY93" s="60" t="e">
        <f t="shared" si="122"/>
        <v>#DIV/0!</v>
      </c>
      <c r="AZ93" s="60" t="e">
        <f t="shared" si="123"/>
        <v>#DIV/0!</v>
      </c>
      <c r="BA93" s="60">
        <v>4.9285427765718968</v>
      </c>
      <c r="BB93" s="60">
        <v>4.9400000000000004</v>
      </c>
      <c r="BC93" s="60">
        <f>'Information Technology'!W1241</f>
        <v>0.15967162964871151</v>
      </c>
      <c r="BD93" s="60">
        <v>-0.52035823454506303</v>
      </c>
      <c r="BE93" s="60">
        <v>5</v>
      </c>
      <c r="BF93" s="60">
        <f>'Information Technology'!W1242</f>
        <v>4.6183153289184313E-2</v>
      </c>
      <c r="BG93" s="63">
        <v>2.5511972640827398</v>
      </c>
      <c r="BH93" s="63" t="e">
        <f>-(BG93-$BG$263)/$BG$264</f>
        <v>#DIV/0!</v>
      </c>
      <c r="BI93" s="63" t="e">
        <f>BH93-$BH$90</f>
        <v>#DIV/0!</v>
      </c>
      <c r="BJ93" s="63" t="e">
        <f>BI93+(5-$BI$126)</f>
        <v>#DIV/0!</v>
      </c>
      <c r="BK93" s="63">
        <v>1.9</v>
      </c>
      <c r="BL93" s="63">
        <v>1.9</v>
      </c>
      <c r="BM93" s="63">
        <f t="shared" si="93"/>
        <v>2.9598352486777539</v>
      </c>
    </row>
    <row r="94" spans="1:65">
      <c r="A94" s="53" t="s">
        <v>298</v>
      </c>
      <c r="B94" s="53" t="s">
        <v>299</v>
      </c>
      <c r="C94" s="54">
        <v>6045.9</v>
      </c>
      <c r="D94" s="55" t="s">
        <v>98</v>
      </c>
      <c r="E94" s="67" t="str" cm="1">
        <f t="array" ref="E94">_xll.ciqfunctions.udf.CIQ(B94,"iq_industry")</f>
        <v>Semiconductors and Semiconductor Equipment</v>
      </c>
      <c r="F94" s="60">
        <f>'Information Technology'!W1684</f>
        <v>15.586073579927861</v>
      </c>
      <c r="G94" s="62">
        <v>41.70519110905289</v>
      </c>
      <c r="H94" s="62" t="e">
        <f t="shared" ref="H94:H107" si="124">-(G94-$G$263)/$G$264</f>
        <v>#DIV/0!</v>
      </c>
      <c r="I94" s="62" t="e">
        <f t="shared" ref="I94:I107" si="125">H94-$H$83</f>
        <v>#DIV/0!</v>
      </c>
      <c r="J94" s="62" t="e">
        <f t="shared" ref="J94:J107" si="126">I94+(5-$I$124)</f>
        <v>#DIV/0!</v>
      </c>
      <c r="K94" s="62">
        <v>1</v>
      </c>
      <c r="L94" s="108">
        <v>2.8973771069738268</v>
      </c>
      <c r="M94" s="60">
        <f>'Information Technology'!W1685</f>
        <v>10.6538332257</v>
      </c>
      <c r="N94" s="63">
        <v>6.268646608000001</v>
      </c>
      <c r="O94" s="63">
        <f t="shared" si="94"/>
        <v>-0.79086892563680988</v>
      </c>
      <c r="P94" s="63">
        <f t="shared" si="95"/>
        <v>-2.7180172107025364</v>
      </c>
      <c r="Q94" s="63">
        <f t="shared" si="96"/>
        <v>1.2819827892974636</v>
      </c>
      <c r="S94" s="63">
        <v>1.4219709140906192</v>
      </c>
      <c r="T94" s="60" t="e">
        <f>'Information Technology'!W1686</f>
        <v>#DIV/0!</v>
      </c>
      <c r="U94" s="63" t="e">
        <v>#DIV/0!</v>
      </c>
      <c r="W94" s="63"/>
      <c r="X94" s="63"/>
      <c r="Z94" s="63">
        <v>1</v>
      </c>
      <c r="AA94" s="60">
        <f>'Information Technology'!W1687</f>
        <v>0.29094116407023107</v>
      </c>
      <c r="AB94" s="63">
        <v>9.6840147510320662E-2</v>
      </c>
      <c r="AC94" s="60" t="e">
        <f t="shared" si="97"/>
        <v>#DIV/0!</v>
      </c>
      <c r="AD94" s="60" t="e">
        <f t="shared" si="98"/>
        <v>#DIV/0!</v>
      </c>
      <c r="AE94" s="60" t="e">
        <f t="shared" si="99"/>
        <v>#DIV/0!</v>
      </c>
      <c r="AF94" s="60">
        <v>1.3</v>
      </c>
      <c r="AG94" s="60">
        <v>1.3</v>
      </c>
      <c r="AH94" s="60">
        <f>'Information Technology'!W1688</f>
        <v>-0.52700258122149612</v>
      </c>
      <c r="AI94" s="63">
        <v>0.16372151612086505</v>
      </c>
      <c r="AJ94" s="60">
        <f t="shared" si="118"/>
        <v>0.76293181136215382</v>
      </c>
      <c r="AK94" s="60">
        <f t="shared" si="119"/>
        <v>0.76293181136215382</v>
      </c>
      <c r="AL94" s="60">
        <f t="shared" si="120"/>
        <v>5.7474494280343853</v>
      </c>
      <c r="AM94" s="60"/>
      <c r="AN94" s="60">
        <v>3.0883020430493442</v>
      </c>
      <c r="AO94" s="60">
        <f>'Information Technology'!W1689</f>
        <v>9.0406862032617885E-2</v>
      </c>
      <c r="AP94" s="60">
        <v>6.8200237616893894E-2</v>
      </c>
      <c r="AQ94" s="60" t="e">
        <f t="shared" ref="AQ94:AQ100" si="127">(AP94-$AP$263)/$AP$264</f>
        <v>#DIV/0!</v>
      </c>
      <c r="AR94" s="60" t="e">
        <f t="shared" ref="AR94:AR100" si="128">AQ94-$AQ$124</f>
        <v>#DIV/0!</v>
      </c>
      <c r="AS94" s="60" t="e">
        <f t="shared" ref="AS94:AS100" si="129">AR94+5-$AR$85</f>
        <v>#DIV/0!</v>
      </c>
      <c r="AT94" s="60">
        <v>2.3106526212282188</v>
      </c>
      <c r="AU94" s="60">
        <v>2.3106526212282188</v>
      </c>
      <c r="AV94" s="60" t="e">
        <f>'Information Technology'!W1690</f>
        <v>#DIV/0!</v>
      </c>
      <c r="AW94" s="60">
        <v>2.0908954545454543</v>
      </c>
      <c r="AX94" s="60" t="e">
        <f t="shared" si="121"/>
        <v>#DIV/0!</v>
      </c>
      <c r="AY94" s="60" t="e">
        <f t="shared" si="122"/>
        <v>#DIV/0!</v>
      </c>
      <c r="AZ94" s="60" t="e">
        <f t="shared" si="123"/>
        <v>#DIV/0!</v>
      </c>
      <c r="BA94" s="60">
        <v>4.7581474898099083</v>
      </c>
      <c r="BB94" s="60">
        <v>4.8821036429047302</v>
      </c>
      <c r="BC94" s="60">
        <f>'Information Technology'!W1691</f>
        <v>1.3122568540491244</v>
      </c>
      <c r="BD94" s="60">
        <v>0</v>
      </c>
      <c r="BE94" s="60">
        <v>5</v>
      </c>
      <c r="BF94" s="60" t="e">
        <f>'Information Technology'!W1692</f>
        <v>#DIV/0!</v>
      </c>
      <c r="BG94" s="63">
        <v>3.5981219218025657</v>
      </c>
      <c r="BI94" s="63"/>
      <c r="BJ94" s="63"/>
      <c r="BK94" s="63">
        <v>1.4</v>
      </c>
      <c r="BL94" s="63">
        <v>1.4</v>
      </c>
      <c r="BM94" s="63">
        <f t="shared" si="93"/>
        <v>2.9389301240776744</v>
      </c>
    </row>
    <row r="95" spans="1:65" ht="22.5">
      <c r="A95" s="53" t="s">
        <v>312</v>
      </c>
      <c r="B95" s="53" t="s">
        <v>313</v>
      </c>
      <c r="C95" s="54">
        <v>5529.3</v>
      </c>
      <c r="D95" s="55" t="s">
        <v>70</v>
      </c>
      <c r="E95" s="67" t="str" cm="1">
        <f t="array" ref="E95">_xll.ciqfunctions.udf.CIQ(B95,"iq_industry")</f>
        <v>Semiconductors and Semiconductor Equipment</v>
      </c>
      <c r="F95" s="60" t="e">
        <f>'Information Technology'!W1789</f>
        <v>#DIV/0!</v>
      </c>
      <c r="G95" s="62">
        <v>73.523439200643296</v>
      </c>
      <c r="H95" s="62" t="e">
        <f t="shared" si="124"/>
        <v>#DIV/0!</v>
      </c>
      <c r="I95" s="62" t="e">
        <f t="shared" si="125"/>
        <v>#DIV/0!</v>
      </c>
      <c r="J95" s="62" t="e">
        <f t="shared" si="126"/>
        <v>#DIV/0!</v>
      </c>
      <c r="K95" s="62">
        <v>1</v>
      </c>
      <c r="L95" s="108">
        <v>1.2318728561760786</v>
      </c>
      <c r="M95" s="60">
        <f>'Information Technology'!W1790</f>
        <v>10.501656807700002</v>
      </c>
      <c r="N95" s="63">
        <v>5.7035927256500001</v>
      </c>
      <c r="O95" s="63">
        <f t="shared" si="94"/>
        <v>-0.96199370124998329</v>
      </c>
      <c r="P95" s="63">
        <f t="shared" si="95"/>
        <v>-2.88914198631571</v>
      </c>
      <c r="Q95" s="63">
        <f t="shared" si="96"/>
        <v>1.11085801368429</v>
      </c>
      <c r="S95" s="63">
        <v>1.2508461384774447</v>
      </c>
      <c r="T95" s="60" t="e">
        <f>'Information Technology'!W1791</f>
        <v>#DIV/0!</v>
      </c>
      <c r="U95" s="63" t="e">
        <v>#DIV/0!</v>
      </c>
      <c r="W95" s="63"/>
      <c r="X95" s="63"/>
      <c r="Z95" s="63">
        <v>1</v>
      </c>
      <c r="AA95" s="60" t="e">
        <f>'Information Technology'!W1792</f>
        <v>#DIV/0!</v>
      </c>
      <c r="AB95" s="63">
        <v>1.7223516211839041E-2</v>
      </c>
      <c r="AC95" s="60" t="e">
        <f t="shared" si="97"/>
        <v>#DIV/0!</v>
      </c>
      <c r="AD95" s="60" t="e">
        <f t="shared" si="98"/>
        <v>#DIV/0!</v>
      </c>
      <c r="AE95" s="60" t="e">
        <f t="shared" si="99"/>
        <v>#DIV/0!</v>
      </c>
      <c r="AF95" s="60">
        <v>2.7584746580185247</v>
      </c>
      <c r="AG95" s="60">
        <v>2.7584746580185247</v>
      </c>
      <c r="AH95" s="60" t="e">
        <f>'Information Technology'!W1793</f>
        <v>#DIV/0!</v>
      </c>
      <c r="AI95" s="63">
        <v>3.8657423120923837E-2</v>
      </c>
      <c r="AJ95" s="60">
        <f t="shared" si="118"/>
        <v>9.2900320646148435E-2</v>
      </c>
      <c r="AK95" s="60">
        <f t="shared" si="119"/>
        <v>9.2900320646148435E-2</v>
      </c>
      <c r="AL95" s="60">
        <f t="shared" si="120"/>
        <v>5.0774179373183799</v>
      </c>
      <c r="AM95" s="60"/>
      <c r="AN95" s="60">
        <v>1.6071770618953645</v>
      </c>
      <c r="AO95" s="60" t="e">
        <f>'Information Technology'!W1794</f>
        <v>#DIV/0!</v>
      </c>
      <c r="AP95" s="60">
        <v>5.1335008639719931E-2</v>
      </c>
      <c r="AQ95" s="60" t="e">
        <f t="shared" si="127"/>
        <v>#DIV/0!</v>
      </c>
      <c r="AR95" s="60" t="e">
        <f t="shared" si="128"/>
        <v>#DIV/0!</v>
      </c>
      <c r="AS95" s="60" t="e">
        <f t="shared" si="129"/>
        <v>#DIV/0!</v>
      </c>
      <c r="AT95" s="60">
        <v>2.0448897755565141</v>
      </c>
      <c r="AU95" s="60">
        <v>2.0448897755565141</v>
      </c>
      <c r="AV95" s="60" t="e">
        <f>'Information Technology'!W1795</f>
        <v>#DIV/0!</v>
      </c>
      <c r="AW95" s="60">
        <v>1.0710709090909092</v>
      </c>
      <c r="AX95" s="60" t="e">
        <f t="shared" si="121"/>
        <v>#DIV/0!</v>
      </c>
      <c r="AY95" s="60" t="e">
        <f t="shared" si="122"/>
        <v>#DIV/0!</v>
      </c>
      <c r="AZ95" s="60" t="e">
        <f t="shared" si="123"/>
        <v>#DIV/0!</v>
      </c>
      <c r="BA95" s="60">
        <v>3.484412887810822</v>
      </c>
      <c r="BB95" s="60">
        <v>3.6961980459559189</v>
      </c>
      <c r="BC95" s="60" t="e">
        <f>'Information Technology'!W1796</f>
        <v>#DIV/0!</v>
      </c>
      <c r="BD95" s="60">
        <v>-0.28121346343666492</v>
      </c>
      <c r="BE95" s="60">
        <v>5</v>
      </c>
      <c r="BF95" s="60" t="e">
        <f>'Information Technology'!W1797</f>
        <v>#DIV/0!</v>
      </c>
      <c r="BG95" s="63">
        <v>1.0706393802280656</v>
      </c>
      <c r="BH95" s="63" t="e">
        <f>-(BG95-$BG$263)/$BG$264</f>
        <v>#DIV/0!</v>
      </c>
      <c r="BI95" s="63" t="e">
        <f>BH95-$BH$90</f>
        <v>#DIV/0!</v>
      </c>
      <c r="BJ95" s="63" t="e">
        <f>BI95+(5-$BI$126)</f>
        <v>#DIV/0!</v>
      </c>
      <c r="BK95" s="63">
        <v>3.0894843880574143</v>
      </c>
      <c r="BL95" s="63">
        <v>3.0894843880574143</v>
      </c>
      <c r="BM95" s="63">
        <f t="shared" si="93"/>
        <v>2.7450531438876595</v>
      </c>
    </row>
    <row r="96" spans="1:65">
      <c r="A96" s="53" t="s">
        <v>304</v>
      </c>
      <c r="B96" s="53" t="s">
        <v>305</v>
      </c>
      <c r="C96" s="54">
        <v>5856</v>
      </c>
      <c r="D96" s="55" t="s">
        <v>70</v>
      </c>
      <c r="E96" s="67" t="str" cm="1">
        <f t="array" ref="E96">_xll.ciqfunctions.udf.CIQ(B96,"iq_industry")</f>
        <v>Semiconductors and Semiconductor Equipment</v>
      </c>
      <c r="F96" s="60">
        <f>'Information Technology'!W1729</f>
        <v>-9.9071104152502336</v>
      </c>
      <c r="G96" s="62">
        <v>48.536814593838884</v>
      </c>
      <c r="H96" s="62" t="e">
        <f t="shared" si="124"/>
        <v>#DIV/0!</v>
      </c>
      <c r="I96" s="62" t="e">
        <f t="shared" si="125"/>
        <v>#DIV/0!</v>
      </c>
      <c r="J96" s="62" t="e">
        <f t="shared" si="126"/>
        <v>#DIV/0!</v>
      </c>
      <c r="K96" s="62">
        <v>1</v>
      </c>
      <c r="L96" s="108">
        <v>2.5397804875431031</v>
      </c>
      <c r="M96" s="60">
        <f>'Information Technology'!W1730</f>
        <v>7.2053907749999997</v>
      </c>
      <c r="N96" s="63">
        <v>6.3683675153999992</v>
      </c>
      <c r="O96" s="63">
        <f t="shared" si="94"/>
        <v>-0.76066876519937265</v>
      </c>
      <c r="P96" s="63">
        <f t="shared" si="95"/>
        <v>-2.6878170502650995</v>
      </c>
      <c r="Q96" s="63">
        <f t="shared" si="96"/>
        <v>1.3121829497349005</v>
      </c>
      <c r="S96" s="63">
        <v>1.4521710745280565</v>
      </c>
      <c r="T96" s="60" t="e">
        <f>'Information Technology'!W1731</f>
        <v>#DIV/0!</v>
      </c>
      <c r="U96" s="63" t="e">
        <v>#DIV/0!</v>
      </c>
      <c r="W96" s="63"/>
      <c r="X96" s="63"/>
      <c r="Z96" s="63">
        <v>1</v>
      </c>
      <c r="AA96" s="60">
        <f>'Information Technology'!W1732</f>
        <v>-0.58739142186402349</v>
      </c>
      <c r="AB96" s="63">
        <v>1.6232367821022997E-4</v>
      </c>
      <c r="AC96" s="60" t="e">
        <f t="shared" si="97"/>
        <v>#DIV/0!</v>
      </c>
      <c r="AD96" s="60" t="e">
        <f t="shared" si="98"/>
        <v>#DIV/0!</v>
      </c>
      <c r="AE96" s="60" t="e">
        <f t="shared" si="99"/>
        <v>#DIV/0!</v>
      </c>
      <c r="AF96" s="60">
        <v>3.1478048251324502</v>
      </c>
      <c r="AG96" s="60">
        <v>3.1478048251324502</v>
      </c>
      <c r="AH96" s="60">
        <f>'Information Technology'!W1733</f>
        <v>-0.12768049391903311</v>
      </c>
      <c r="AI96" s="63">
        <v>-4.7384878899190637E-2</v>
      </c>
      <c r="AJ96" s="60"/>
      <c r="AL96" s="60"/>
      <c r="AM96" s="60"/>
      <c r="AN96" s="60">
        <v>1</v>
      </c>
      <c r="AO96" s="60">
        <f>'Information Technology'!W1734</f>
        <v>-2.3142451155289085E-2</v>
      </c>
      <c r="AP96" s="60">
        <v>0.12893066504321626</v>
      </c>
      <c r="AQ96" s="60" t="e">
        <f t="shared" si="127"/>
        <v>#DIV/0!</v>
      </c>
      <c r="AR96" s="60" t="e">
        <f t="shared" si="128"/>
        <v>#DIV/0!</v>
      </c>
      <c r="AS96" s="60" t="e">
        <f t="shared" si="129"/>
        <v>#DIV/0!</v>
      </c>
      <c r="AT96" s="60">
        <v>3.2676447399550219</v>
      </c>
      <c r="AU96" s="60">
        <v>3.2676447399550219</v>
      </c>
      <c r="AV96" s="60" t="e">
        <f>'Information Technology'!W1735</f>
        <v>#DIV/0!</v>
      </c>
      <c r="AW96" s="60">
        <v>-1.7170109090909089</v>
      </c>
      <c r="AX96" s="60"/>
      <c r="AY96" s="60"/>
      <c r="AZ96" s="60"/>
      <c r="BA96" s="60">
        <v>1</v>
      </c>
      <c r="BB96" s="60">
        <v>1.05</v>
      </c>
      <c r="BC96" s="60">
        <f>'Information Technology'!W1736</f>
        <v>3.3150108292468095</v>
      </c>
      <c r="BD96" s="60">
        <v>-0.99968955945067284</v>
      </c>
      <c r="BE96" s="60">
        <v>5</v>
      </c>
      <c r="BF96" s="60" t="e">
        <f>'Information Technology'!W1737</f>
        <v>#DIV/0!</v>
      </c>
      <c r="BG96" s="63">
        <v>5.317648233633502</v>
      </c>
      <c r="BI96" s="63"/>
      <c r="BJ96" s="63"/>
      <c r="BK96" s="63">
        <v>1.1000000000000001</v>
      </c>
      <c r="BL96" s="63">
        <v>1.1000000000000001</v>
      </c>
      <c r="BM96" s="63">
        <f t="shared" si="93"/>
        <v>2.3524283361050475</v>
      </c>
    </row>
    <row r="97" spans="1:65">
      <c r="A97" s="53" t="s">
        <v>232</v>
      </c>
      <c r="B97" s="53" t="s">
        <v>233</v>
      </c>
      <c r="C97" s="54">
        <v>12059.8</v>
      </c>
      <c r="D97" s="55" t="s">
        <v>67</v>
      </c>
      <c r="E97" s="67" t="str" cm="1">
        <f t="array" ref="E97">_xll.ciqfunctions.udf.CIQ(B97,"iq_industry")</f>
        <v>Software</v>
      </c>
      <c r="F97" s="60">
        <f>'Information Technology'!W1189</f>
        <v>11.301072988217332</v>
      </c>
      <c r="G97" s="62">
        <v>4.4570376106531917</v>
      </c>
      <c r="H97" s="62" t="e">
        <f t="shared" si="124"/>
        <v>#DIV/0!</v>
      </c>
      <c r="I97" s="62" t="e">
        <f t="shared" si="125"/>
        <v>#DIV/0!</v>
      </c>
      <c r="J97" s="62" t="e">
        <f t="shared" si="126"/>
        <v>#DIV/0!</v>
      </c>
      <c r="K97" s="62">
        <v>1</v>
      </c>
      <c r="L97" s="108">
        <v>4.8471060111980711</v>
      </c>
      <c r="M97" s="60">
        <f>'Information Technology'!W1190</f>
        <v>10.997442104289</v>
      </c>
      <c r="N97" s="63">
        <v>11.183789859000001</v>
      </c>
      <c r="O97" s="63">
        <f t="shared" si="94"/>
        <v>0.69766661443579214</v>
      </c>
      <c r="P97" s="63">
        <f t="shared" si="95"/>
        <v>-1.2294816706299345</v>
      </c>
      <c r="Q97" s="63">
        <f t="shared" si="96"/>
        <v>2.7705183293700655</v>
      </c>
      <c r="S97" s="63">
        <v>2.9105064541632242</v>
      </c>
      <c r="T97" s="60" t="e">
        <f>'Information Technology'!W1191</f>
        <v>#DIV/0!</v>
      </c>
      <c r="U97" s="63">
        <v>14.359909772465601</v>
      </c>
      <c r="V97" s="63" t="e">
        <f>-(U97-$U$263)/$U$264</f>
        <v>#DIV/0!</v>
      </c>
      <c r="W97" s="63" t="e">
        <f>V97-$V$120</f>
        <v>#DIV/0!</v>
      </c>
      <c r="X97" s="63" t="e">
        <f>W97+(5-$W$126)</f>
        <v>#DIV/0!</v>
      </c>
      <c r="Y97" s="63">
        <v>5</v>
      </c>
      <c r="Z97" s="63">
        <v>5</v>
      </c>
      <c r="AA97" s="60">
        <f>'Information Technology'!W1192</f>
        <v>-2.1936947243784699E-3</v>
      </c>
      <c r="AB97" s="63">
        <v>6.7807369791863525E-3</v>
      </c>
      <c r="AC97" s="60" t="e">
        <f t="shared" si="97"/>
        <v>#DIV/0!</v>
      </c>
      <c r="AD97" s="60" t="e">
        <f t="shared" si="98"/>
        <v>#DIV/0!</v>
      </c>
      <c r="AE97" s="60" t="e">
        <f t="shared" si="99"/>
        <v>#DIV/0!</v>
      </c>
      <c r="AF97" s="60">
        <v>2.9967750567608018</v>
      </c>
      <c r="AG97" s="60">
        <v>2.9967750567608018</v>
      </c>
      <c r="AH97" s="60">
        <f>'Information Technology'!W1193</f>
        <v>0.11882982114786329</v>
      </c>
      <c r="AI97" s="63">
        <v>0.2679594513013045</v>
      </c>
      <c r="AJ97" s="60">
        <f>(AI97-$AI$263)/$AI$264</f>
        <v>1.321387059569495</v>
      </c>
      <c r="AK97" s="60">
        <f>AJ97-$AJ$110</f>
        <v>1.321387059569495</v>
      </c>
      <c r="AL97" s="60">
        <f>AK97+5-$AK$80</f>
        <v>6.3059046762417266</v>
      </c>
      <c r="AM97" s="60"/>
      <c r="AN97" s="60">
        <v>4.3227843478922754</v>
      </c>
      <c r="AO97" s="60">
        <f>'Information Technology'!W1194</f>
        <v>0.11909346643060141</v>
      </c>
      <c r="AP97" s="60">
        <v>0.16204669208800618</v>
      </c>
      <c r="AQ97" s="60" t="e">
        <f t="shared" si="127"/>
        <v>#DIV/0!</v>
      </c>
      <c r="AR97" s="60" t="e">
        <f t="shared" si="128"/>
        <v>#DIV/0!</v>
      </c>
      <c r="AS97" s="60" t="e">
        <f t="shared" si="129"/>
        <v>#DIV/0!</v>
      </c>
      <c r="AT97" s="60">
        <v>3.7894882083524046</v>
      </c>
      <c r="AU97" s="60">
        <v>3.7894882083524046</v>
      </c>
      <c r="AV97" s="60">
        <f>'Information Technology'!W1195</f>
        <v>0.25849090909090927</v>
      </c>
      <c r="AW97" s="60">
        <v>3.8642699999999994</v>
      </c>
      <c r="AX97" s="60"/>
      <c r="AY97" s="60"/>
      <c r="AZ97" s="60"/>
      <c r="BA97" s="60">
        <v>4.97</v>
      </c>
      <c r="BB97" s="60">
        <v>4.99</v>
      </c>
      <c r="BC97" s="60">
        <f>'Information Technology'!W1196</f>
        <v>0.39467403653966071</v>
      </c>
      <c r="BD97" s="60">
        <v>0.72080217025199689</v>
      </c>
      <c r="BE97" s="60">
        <v>1.5</v>
      </c>
      <c r="BF97" s="60">
        <f>'Information Technology'!W1197</f>
        <v>0.2437077125277862</v>
      </c>
      <c r="BG97" s="63">
        <v>0.12635997924620196</v>
      </c>
      <c r="BH97" s="63" t="e">
        <f t="shared" ref="BH97:BH108" si="130">-(BG97-$BG$263)/$BG$264</f>
        <v>#DIV/0!</v>
      </c>
      <c r="BI97" s="63" t="e">
        <f t="shared" ref="BI97:BI108" si="131">BH97-$BH$90</f>
        <v>#DIV/0!</v>
      </c>
      <c r="BJ97" s="63" t="e">
        <f t="shared" ref="BJ97:BJ108" si="132">BI97+(5-$BI$126)</f>
        <v>#DIV/0!</v>
      </c>
      <c r="BK97" s="63">
        <v>4.8198484411885447</v>
      </c>
      <c r="BL97" s="63">
        <v>4.8198484411885447</v>
      </c>
      <c r="BM97" s="63">
        <f t="shared" si="93"/>
        <v>3.8575010179432514</v>
      </c>
    </row>
    <row r="98" spans="1:65">
      <c r="A98" s="53" t="s">
        <v>310</v>
      </c>
      <c r="B98" s="53" t="s">
        <v>311</v>
      </c>
      <c r="C98" s="54">
        <v>5621.4</v>
      </c>
      <c r="D98" s="55" t="s">
        <v>67</v>
      </c>
      <c r="E98" s="67" t="str" cm="1">
        <f t="array" ref="E98">_xll.ciqfunctions.udf.CIQ(B98,"iq_industry")</f>
        <v>Software</v>
      </c>
      <c r="F98" s="60" t="e">
        <f>'Information Technology'!W1774</f>
        <v>#DIV/0!</v>
      </c>
      <c r="G98" s="62">
        <v>24.925590269150998</v>
      </c>
      <c r="H98" s="62" t="e">
        <f t="shared" si="124"/>
        <v>#DIV/0!</v>
      </c>
      <c r="I98" s="62" t="e">
        <f t="shared" si="125"/>
        <v>#DIV/0!</v>
      </c>
      <c r="J98" s="62" t="e">
        <f t="shared" si="126"/>
        <v>#DIV/0!</v>
      </c>
      <c r="K98" s="62">
        <v>1</v>
      </c>
      <c r="L98" s="108">
        <v>3.775693739778395</v>
      </c>
      <c r="M98" s="60">
        <f>'Information Technology'!W1775</f>
        <v>5.8927290312</v>
      </c>
      <c r="N98" s="63">
        <v>5.9770937448000003</v>
      </c>
      <c r="O98" s="63">
        <f t="shared" si="94"/>
        <v>-0.87916478529356157</v>
      </c>
      <c r="P98" s="63">
        <f t="shared" si="95"/>
        <v>-2.8063130703592885</v>
      </c>
      <c r="Q98" s="63">
        <f t="shared" si="96"/>
        <v>1.1936869296407115</v>
      </c>
      <c r="S98" s="63">
        <v>1.3336750544338667</v>
      </c>
      <c r="T98" s="60" t="e">
        <f>'Information Technology'!W1776</f>
        <v>#DIV/0!</v>
      </c>
      <c r="U98" s="63" t="e">
        <v>#DIV/0!</v>
      </c>
      <c r="W98" s="63"/>
      <c r="X98" s="63"/>
      <c r="Z98" s="63">
        <v>1</v>
      </c>
      <c r="AA98" s="60" t="e">
        <f>'Information Technology'!W1777</f>
        <v>#DIV/0!</v>
      </c>
      <c r="AB98" s="63">
        <v>-1.221208670361007E-2</v>
      </c>
      <c r="AC98" s="60" t="e">
        <f t="shared" si="97"/>
        <v>#DIV/0!</v>
      </c>
      <c r="AD98" s="60" t="e">
        <f t="shared" si="98"/>
        <v>#DIV/0!</v>
      </c>
      <c r="AE98" s="60" t="e">
        <f t="shared" si="99"/>
        <v>#DIV/0!</v>
      </c>
      <c r="AF98" s="60">
        <v>3.4301843394831799</v>
      </c>
      <c r="AG98" s="60">
        <v>3.4301843394831799</v>
      </c>
      <c r="AH98" s="60" t="e">
        <f>'Information Technology'!W1778</f>
        <v>#DIV/0!</v>
      </c>
      <c r="AI98" s="63">
        <v>0.20672110653269588</v>
      </c>
      <c r="AJ98" s="60">
        <f>(AI98-$AI$263)/$AI$264</f>
        <v>0.99330232757283143</v>
      </c>
      <c r="AK98" s="60">
        <f>AJ98-$AJ$110</f>
        <v>0.99330232757283143</v>
      </c>
      <c r="AL98" s="60">
        <f>AK98+5-$AK$80</f>
        <v>5.9778199442450628</v>
      </c>
      <c r="AM98" s="60"/>
      <c r="AN98" s="60">
        <v>3.597543073073699</v>
      </c>
      <c r="AO98" s="60" t="e">
        <f>'Information Technology'!W1779</f>
        <v>#DIV/0!</v>
      </c>
      <c r="AP98" s="60">
        <v>0.23218906342226001</v>
      </c>
      <c r="AQ98" s="60" t="e">
        <f t="shared" si="127"/>
        <v>#DIV/0!</v>
      </c>
      <c r="AR98" s="60" t="e">
        <f t="shared" si="128"/>
        <v>#DIV/0!</v>
      </c>
      <c r="AS98" s="60" t="e">
        <f t="shared" si="129"/>
        <v>#DIV/0!</v>
      </c>
      <c r="AT98" s="60">
        <v>4.8947940558557193</v>
      </c>
      <c r="AU98" s="60">
        <v>4.8947940558557193</v>
      </c>
      <c r="AV98" s="60" t="e">
        <f>'Information Technology'!W1780</f>
        <v>#DIV/0!</v>
      </c>
      <c r="AW98" s="60">
        <v>2.2845363636363638</v>
      </c>
      <c r="AX98" s="60" t="e">
        <f>(AW98-$AW$263)/$AW$264</f>
        <v>#DIV/0!</v>
      </c>
      <c r="AY98" s="60" t="e">
        <f>AX98-$AX$118</f>
        <v>#DIV/0!</v>
      </c>
      <c r="AZ98" s="60" t="e">
        <f>AY98+5-$AY$93</f>
        <v>#DIV/0!</v>
      </c>
      <c r="BA98" s="60">
        <v>4.9400000000000004</v>
      </c>
      <c r="BB98" s="60">
        <v>4.96</v>
      </c>
      <c r="BC98" s="60" t="e">
        <f>'Information Technology'!W1781</f>
        <v>#DIV/0!</v>
      </c>
      <c r="BD98" s="60">
        <v>-3.6810452112919609E-3</v>
      </c>
      <c r="BE98" s="60">
        <v>5</v>
      </c>
      <c r="BF98" s="60" t="e">
        <f>'Information Technology'!W1782</f>
        <v>#DIV/0!</v>
      </c>
      <c r="BG98" s="63">
        <v>0.87079245179279696</v>
      </c>
      <c r="BH98" s="63" t="e">
        <f t="shared" si="130"/>
        <v>#DIV/0!</v>
      </c>
      <c r="BI98" s="63" t="e">
        <f t="shared" si="131"/>
        <v>#DIV/0!</v>
      </c>
      <c r="BJ98" s="63" t="e">
        <f t="shared" si="132"/>
        <v>#DIV/0!</v>
      </c>
      <c r="BK98" s="63">
        <v>3.4556979692638734</v>
      </c>
      <c r="BL98" s="63">
        <v>3.4556979692638734</v>
      </c>
      <c r="BM98" s="63">
        <f t="shared" si="93"/>
        <v>3.7702391899637471</v>
      </c>
    </row>
    <row r="99" spans="1:65">
      <c r="A99" s="53" t="s">
        <v>276</v>
      </c>
      <c r="B99" s="53" t="s">
        <v>277</v>
      </c>
      <c r="C99" s="54">
        <v>7769.9</v>
      </c>
      <c r="D99" s="55" t="s">
        <v>67</v>
      </c>
      <c r="E99" s="67" t="str" cm="1">
        <f t="array" ref="E99">_xll.ciqfunctions.udf.CIQ(B99,"iq_industry")</f>
        <v>Software</v>
      </c>
      <c r="F99" s="60" t="e">
        <f>'Information Technology'!W1519</f>
        <v>#VALUE!</v>
      </c>
      <c r="G99" s="62">
        <v>23.270348655107739</v>
      </c>
      <c r="H99" s="62" t="e">
        <f t="shared" si="124"/>
        <v>#DIV/0!</v>
      </c>
      <c r="I99" s="62" t="e">
        <f t="shared" si="125"/>
        <v>#DIV/0!</v>
      </c>
      <c r="J99" s="62" t="e">
        <f t="shared" si="126"/>
        <v>#DIV/0!</v>
      </c>
      <c r="K99" s="62">
        <v>1</v>
      </c>
      <c r="L99" s="108">
        <v>3.862336220418773</v>
      </c>
      <c r="M99" s="60" t="e">
        <f>'Information Technology'!W1520</f>
        <v>#VALUE!</v>
      </c>
      <c r="N99" s="63">
        <v>7.7985867096000003</v>
      </c>
      <c r="O99" s="63">
        <f t="shared" si="94"/>
        <v>-0.3275314196647206</v>
      </c>
      <c r="P99" s="63">
        <f t="shared" si="95"/>
        <v>-2.2546797047304472</v>
      </c>
      <c r="Q99" s="63">
        <f t="shared" si="96"/>
        <v>1.7453202952695528</v>
      </c>
      <c r="S99" s="63">
        <v>1.8853084200627093</v>
      </c>
      <c r="T99" s="60" t="e">
        <f>'Information Technology'!W1521</f>
        <v>#VALUE!</v>
      </c>
      <c r="U99" s="63">
        <v>32.864770241032303</v>
      </c>
      <c r="V99" s="63" t="e">
        <f>-(U99-$U$263)/$U$264</f>
        <v>#DIV/0!</v>
      </c>
      <c r="W99" s="63" t="e">
        <f>V99-$V$120</f>
        <v>#DIV/0!</v>
      </c>
      <c r="X99" s="63" t="e">
        <f>W99+(5-$W$126)</f>
        <v>#DIV/0!</v>
      </c>
      <c r="Y99" s="63">
        <v>3.6904007941258135</v>
      </c>
      <c r="Z99" s="63">
        <v>3.6904007941258135</v>
      </c>
      <c r="AA99" s="60" t="e">
        <f>'Information Technology'!W1522</f>
        <v>#VALUE!</v>
      </c>
      <c r="AB99" s="63">
        <v>-1.521819403443736E-2</v>
      </c>
      <c r="AC99" s="60" t="e">
        <f t="shared" si="97"/>
        <v>#DIV/0!</v>
      </c>
      <c r="AD99" s="60" t="e">
        <f t="shared" si="98"/>
        <v>#DIV/0!</v>
      </c>
      <c r="AE99" s="60" t="e">
        <f t="shared" si="99"/>
        <v>#DIV/0!</v>
      </c>
      <c r="AF99" s="60">
        <v>3.4987826081661275</v>
      </c>
      <c r="AG99" s="60">
        <v>3.4987826081661275</v>
      </c>
      <c r="AH99" s="60" t="e">
        <f>'Information Technology'!W1523</f>
        <v>#DIV/0!</v>
      </c>
      <c r="AI99" s="63">
        <v>0.1649020709790085</v>
      </c>
      <c r="AJ99" s="60">
        <f>(AI99-$AI$263)/$AI$264</f>
        <v>0.76925663979611725</v>
      </c>
      <c r="AK99" s="60">
        <f>AJ99-$AJ$110</f>
        <v>0.76925663979611725</v>
      </c>
      <c r="AL99" s="60">
        <f>AK99+5-$AK$80</f>
        <v>5.7537742564683487</v>
      </c>
      <c r="AM99" s="60"/>
      <c r="AN99" s="60">
        <v>3.1022832685959907</v>
      </c>
      <c r="AO99" s="60" t="e">
        <f>'Information Technology'!W1524</f>
        <v>#VALUE!</v>
      </c>
      <c r="AP99" s="60">
        <v>0.2388654004898759</v>
      </c>
      <c r="AQ99" s="60" t="e">
        <f t="shared" si="127"/>
        <v>#DIV/0!</v>
      </c>
      <c r="AR99" s="60" t="e">
        <f t="shared" si="128"/>
        <v>#DIV/0!</v>
      </c>
      <c r="AS99" s="60" t="e">
        <f t="shared" si="129"/>
        <v>#DIV/0!</v>
      </c>
      <c r="AT99" s="60">
        <v>4.92</v>
      </c>
      <c r="AU99" s="60">
        <v>4.92</v>
      </c>
      <c r="AV99" s="60" t="e">
        <f>'Information Technology'!W1525</f>
        <v>#VALUE!</v>
      </c>
      <c r="AW99" s="60">
        <v>-0.61631272727272723</v>
      </c>
      <c r="AX99" s="60"/>
      <c r="AY99" s="60"/>
      <c r="AZ99" s="60"/>
      <c r="BA99" s="60">
        <v>1.5</v>
      </c>
      <c r="BB99" s="60">
        <v>1.6</v>
      </c>
      <c r="BC99" s="60" t="e">
        <f>'Information Technology'!W1526</f>
        <v>#VALUE!</v>
      </c>
      <c r="BD99" s="60">
        <v>0</v>
      </c>
      <c r="BE99" s="60">
        <v>5</v>
      </c>
      <c r="BF99" s="60" t="e">
        <f>'Information Technology'!W1527</f>
        <v>#VALUE!</v>
      </c>
      <c r="BG99" s="63">
        <v>0.60526454760110338</v>
      </c>
      <c r="BH99" s="63" t="e">
        <f t="shared" si="130"/>
        <v>#DIV/0!</v>
      </c>
      <c r="BI99" s="63" t="e">
        <f t="shared" si="131"/>
        <v>#DIV/0!</v>
      </c>
      <c r="BJ99" s="63" t="e">
        <f t="shared" si="132"/>
        <v>#DIV/0!</v>
      </c>
      <c r="BK99" s="63">
        <v>3.9422699944915829</v>
      </c>
      <c r="BL99" s="63">
        <v>3.9422699944915829</v>
      </c>
      <c r="BM99" s="63">
        <f t="shared" si="93"/>
        <v>3.653090689601374</v>
      </c>
    </row>
    <row r="100" spans="1:65">
      <c r="A100" s="53" t="s">
        <v>254</v>
      </c>
      <c r="B100" s="53" t="s">
        <v>255</v>
      </c>
      <c r="C100" s="54">
        <v>9352.2999999999993</v>
      </c>
      <c r="D100" s="55" t="s">
        <v>77</v>
      </c>
      <c r="E100" s="67" t="str" cm="1">
        <f t="array" ref="E100">_xll.ciqfunctions.udf.CIQ(B100,"iq_industry")</f>
        <v>Software</v>
      </c>
      <c r="F100" s="60">
        <f>'Information Technology'!W1354</f>
        <v>3.7178835550893585</v>
      </c>
      <c r="G100" s="62">
        <v>9.577123781203122</v>
      </c>
      <c r="H100" s="62" t="e">
        <f t="shared" si="124"/>
        <v>#DIV/0!</v>
      </c>
      <c r="I100" s="62" t="e">
        <f t="shared" si="125"/>
        <v>#DIV/0!</v>
      </c>
      <c r="J100" s="62" t="e">
        <f t="shared" si="126"/>
        <v>#DIV/0!</v>
      </c>
      <c r="K100" s="62">
        <v>1</v>
      </c>
      <c r="L100" s="108">
        <v>4.5790986320062697</v>
      </c>
      <c r="M100" s="60">
        <f>'Information Technology'!W1355</f>
        <v>5.3235285999999995</v>
      </c>
      <c r="N100" s="63">
        <v>9.7452982787999982</v>
      </c>
      <c r="O100" s="63">
        <f t="shared" si="94"/>
        <v>0.26202400304552209</v>
      </c>
      <c r="P100" s="63">
        <f t="shared" si="95"/>
        <v>-1.6651242820202046</v>
      </c>
      <c r="Q100" s="63">
        <f t="shared" si="96"/>
        <v>2.3348757179797954</v>
      </c>
      <c r="S100" s="63">
        <v>2.4748638427729528</v>
      </c>
      <c r="T100" s="60">
        <f>'Information Technology'!W1356</f>
        <v>45.442372856833309</v>
      </c>
      <c r="U100" s="63" t="e">
        <v>#DIV/0!</v>
      </c>
      <c r="W100" s="63"/>
      <c r="X100" s="63"/>
      <c r="Z100" s="63">
        <v>1</v>
      </c>
      <c r="AA100" s="60">
        <f>'Information Technology'!W1357</f>
        <v>4.2944229058761607E-2</v>
      </c>
      <c r="AB100" s="63">
        <v>-3.2971700021774741E-2</v>
      </c>
      <c r="AC100" s="60" t="e">
        <f t="shared" si="97"/>
        <v>#DIV/0!</v>
      </c>
      <c r="AD100" s="60" t="e">
        <f t="shared" si="98"/>
        <v>#DIV/0!</v>
      </c>
      <c r="AE100" s="60" t="e">
        <f t="shared" si="99"/>
        <v>#DIV/0!</v>
      </c>
      <c r="AF100" s="60">
        <v>3.9039111148214598</v>
      </c>
      <c r="AG100" s="60">
        <v>3.9039111148214598</v>
      </c>
      <c r="AH100" s="60">
        <f>'Information Technology'!W1358</f>
        <v>2.0617833335687268E-2</v>
      </c>
      <c r="AI100" s="63">
        <v>5.7677121206237018E-2</v>
      </c>
      <c r="AJ100" s="60">
        <f>(AI100-$AI$263)/$AI$264</f>
        <v>0.19479844628223117</v>
      </c>
      <c r="AK100" s="60">
        <f>AJ100-$AJ$110</f>
        <v>0.19479844628223117</v>
      </c>
      <c r="AL100" s="60">
        <f>AK100+5-$AK$80</f>
        <v>5.179316062954463</v>
      </c>
      <c r="AM100" s="60"/>
      <c r="AN100" s="60">
        <v>1.8324259666163787</v>
      </c>
      <c r="AO100" s="60">
        <f>'Information Technology'!W1359</f>
        <v>1.2712227775369348E-2</v>
      </c>
      <c r="AP100" s="60">
        <v>0.1655897680410115</v>
      </c>
      <c r="AQ100" s="60" t="e">
        <f t="shared" si="127"/>
        <v>#DIV/0!</v>
      </c>
      <c r="AR100" s="60" t="e">
        <f t="shared" si="128"/>
        <v>#DIV/0!</v>
      </c>
      <c r="AS100" s="60" t="e">
        <f t="shared" si="129"/>
        <v>#DIV/0!</v>
      </c>
      <c r="AT100" s="60">
        <v>3.8453201184305956</v>
      </c>
      <c r="AU100" s="60">
        <v>3.8453201184305956</v>
      </c>
      <c r="AV100" s="60">
        <f>'Information Technology'!W1360</f>
        <v>0.7577790909090909</v>
      </c>
      <c r="AW100" s="60" t="e">
        <v>#DIV/0!</v>
      </c>
      <c r="AX100" s="60"/>
      <c r="AY100" s="60"/>
      <c r="AZ100" s="60"/>
      <c r="BA100" s="60">
        <v>1</v>
      </c>
      <c r="BB100" s="60">
        <v>1</v>
      </c>
      <c r="BC100" s="60">
        <f>'Information Technology'!W1361</f>
        <v>0.64246121820648672</v>
      </c>
      <c r="BD100" s="60">
        <v>0.17398995728590488</v>
      </c>
      <c r="BE100" s="60">
        <v>5</v>
      </c>
      <c r="BF100" s="60">
        <f>'Information Technology'!W1362</f>
        <v>0.20750643664047586</v>
      </c>
      <c r="BG100" s="63">
        <v>1.144378064791767</v>
      </c>
      <c r="BH100" s="63" t="e">
        <f t="shared" si="130"/>
        <v>#DIV/0!</v>
      </c>
      <c r="BI100" s="63" t="e">
        <f t="shared" si="131"/>
        <v>#DIV/0!</v>
      </c>
      <c r="BJ100" s="63" t="e">
        <f t="shared" si="132"/>
        <v>#DIV/0!</v>
      </c>
      <c r="BK100" s="63">
        <v>2.9543604311421934</v>
      </c>
      <c r="BL100" s="63">
        <v>2.9543604311421934</v>
      </c>
      <c r="BM100" s="63">
        <f t="shared" si="93"/>
        <v>3.3459168673493549</v>
      </c>
    </row>
    <row r="101" spans="1:65">
      <c r="A101" s="53" t="s">
        <v>294</v>
      </c>
      <c r="B101" s="53" t="s">
        <v>295</v>
      </c>
      <c r="C101" s="54">
        <v>6229.6</v>
      </c>
      <c r="D101" s="55" t="s">
        <v>77</v>
      </c>
      <c r="E101" s="67" t="str" cm="1">
        <f t="array" ref="E101">_xll.ciqfunctions.udf.CIQ(B101,"iq_industry")</f>
        <v>Software</v>
      </c>
      <c r="F101" s="60">
        <f>'Information Technology'!W1654</f>
        <v>69.721400351985409</v>
      </c>
      <c r="G101" s="62">
        <v>56.38827575219441</v>
      </c>
      <c r="H101" s="62" t="e">
        <f t="shared" si="124"/>
        <v>#DIV/0!</v>
      </c>
      <c r="I101" s="62" t="e">
        <f t="shared" si="125"/>
        <v>#DIV/0!</v>
      </c>
      <c r="J101" s="62" t="e">
        <f t="shared" si="126"/>
        <v>#DIV/0!</v>
      </c>
      <c r="K101" s="62">
        <v>1</v>
      </c>
      <c r="L101" s="108">
        <v>2.1288011684877999</v>
      </c>
      <c r="M101" s="60">
        <f>'Information Technology'!W1655</f>
        <v>6.9635079448000008</v>
      </c>
      <c r="N101" s="63">
        <v>6.3190264955999993</v>
      </c>
      <c r="O101" s="63">
        <f t="shared" si="94"/>
        <v>-0.77561153650940173</v>
      </c>
      <c r="P101" s="63">
        <f t="shared" si="95"/>
        <v>-2.7027598215751283</v>
      </c>
      <c r="Q101" s="63">
        <f t="shared" si="96"/>
        <v>1.2972401784248717</v>
      </c>
      <c r="S101" s="63">
        <v>1.4372283032180269</v>
      </c>
      <c r="T101" s="60" t="e">
        <f>'Information Technology'!W1656</f>
        <v>#DIV/0!</v>
      </c>
      <c r="U101" s="63" t="e">
        <v>#DIV/0!</v>
      </c>
      <c r="W101" s="63"/>
      <c r="X101" s="63"/>
      <c r="Z101" s="63">
        <v>1</v>
      </c>
      <c r="AA101" s="60">
        <f>'Information Technology'!W1657</f>
        <v>2.326728969330111</v>
      </c>
      <c r="AB101" s="63">
        <v>6.2894719715733682E-3</v>
      </c>
      <c r="AC101" s="60" t="e">
        <f t="shared" si="97"/>
        <v>#DIV/0!</v>
      </c>
      <c r="AD101" s="60" t="e">
        <f t="shared" si="98"/>
        <v>#DIV/0!</v>
      </c>
      <c r="AE101" s="60" t="e">
        <f t="shared" si="99"/>
        <v>#DIV/0!</v>
      </c>
      <c r="AF101" s="60">
        <v>3.0079855443708672</v>
      </c>
      <c r="AG101" s="60">
        <v>3.0079855443708672</v>
      </c>
      <c r="AH101" s="60">
        <f>'Information Technology'!W1658</f>
        <v>-9.6207570801349479E-2</v>
      </c>
      <c r="AI101" s="63">
        <v>0.11996985631463065</v>
      </c>
      <c r="AJ101" s="60">
        <f>(AI101-$AI$263)/$AI$264</f>
        <v>0.52853207968789495</v>
      </c>
      <c r="AK101" s="60">
        <f>AJ101-$AJ$110</f>
        <v>0.52853207968789495</v>
      </c>
      <c r="AL101" s="60">
        <f>AK101+5-$AK$80</f>
        <v>5.5130496963601265</v>
      </c>
      <c r="AM101" s="60"/>
      <c r="AN101" s="60">
        <v>2.5701543097427528</v>
      </c>
      <c r="AO101" s="60">
        <f>'Information Technology'!W1659</f>
        <v>0.31070602404085135</v>
      </c>
      <c r="AP101" s="60">
        <v>0.31775247861076017</v>
      </c>
      <c r="AQ101" s="60"/>
      <c r="AR101" s="60"/>
      <c r="AS101" s="60"/>
      <c r="AT101" s="60">
        <v>4.93</v>
      </c>
      <c r="AU101" s="60">
        <v>4.93</v>
      </c>
      <c r="AV101" s="60" t="e">
        <f>'Information Technology'!W1660</f>
        <v>#DIV/0!</v>
      </c>
      <c r="AW101" s="60">
        <v>1.5726627272727272</v>
      </c>
      <c r="AX101" s="60" t="e">
        <f>(AW101-$AW$263)/$AW$264</f>
        <v>#DIV/0!</v>
      </c>
      <c r="AY101" s="60" t="e">
        <f>AX101-$AX$118</f>
        <v>#DIV/0!</v>
      </c>
      <c r="AZ101" s="60" t="e">
        <f>AY101+5-$AY$93</f>
        <v>#DIV/0!</v>
      </c>
      <c r="BA101" s="60">
        <v>4.1108881552923027</v>
      </c>
      <c r="BB101" s="60">
        <v>4.2964403123555872</v>
      </c>
      <c r="BC101" s="60">
        <f>'Information Technology'!W1661</f>
        <v>-0.2734298517664504</v>
      </c>
      <c r="BD101" s="60">
        <v>0</v>
      </c>
      <c r="BE101" s="60">
        <v>5</v>
      </c>
      <c r="BF101" s="60" t="e">
        <f>'Information Technology'!W1662</f>
        <v>#DIV/0!</v>
      </c>
      <c r="BG101" s="63">
        <v>0.80752214877136086</v>
      </c>
      <c r="BH101" s="63" t="e">
        <f t="shared" si="130"/>
        <v>#DIV/0!</v>
      </c>
      <c r="BI101" s="63" t="e">
        <f t="shared" si="131"/>
        <v>#DIV/0!</v>
      </c>
      <c r="BJ101" s="63" t="e">
        <f t="shared" si="132"/>
        <v>#DIV/0!</v>
      </c>
      <c r="BK101" s="63">
        <v>3.5716389268503344</v>
      </c>
      <c r="BL101" s="63">
        <v>3.5716389268503344</v>
      </c>
      <c r="BM101" s="63">
        <f t="shared" si="93"/>
        <v>3.2782687366810652</v>
      </c>
    </row>
    <row r="102" spans="1:65">
      <c r="A102" s="53" t="s">
        <v>268</v>
      </c>
      <c r="B102" s="53" t="s">
        <v>269</v>
      </c>
      <c r="C102" s="54">
        <v>8432.4</v>
      </c>
      <c r="D102" s="55" t="s">
        <v>77</v>
      </c>
      <c r="E102" s="67" t="str" cm="1">
        <f t="array" ref="E102">_xll.ciqfunctions.udf.CIQ(B102,"iq_industry")</f>
        <v>Software</v>
      </c>
      <c r="F102" s="60">
        <f>'Information Technology'!W1459</f>
        <v>24.218149727463334</v>
      </c>
      <c r="G102" s="62">
        <v>9.5106963801486515</v>
      </c>
      <c r="H102" s="62" t="e">
        <f t="shared" si="124"/>
        <v>#DIV/0!</v>
      </c>
      <c r="I102" s="62" t="e">
        <f t="shared" si="125"/>
        <v>#DIV/0!</v>
      </c>
      <c r="J102" s="62" t="e">
        <f t="shared" si="126"/>
        <v>#DIV/0!</v>
      </c>
      <c r="K102" s="62">
        <v>1</v>
      </c>
      <c r="L102" s="108">
        <v>4.582575728498421</v>
      </c>
      <c r="M102" s="60">
        <f>'Information Technology'!W1460</f>
        <v>8.2459281927999992</v>
      </c>
      <c r="N102" s="63">
        <v>8.5106165007999994</v>
      </c>
      <c r="O102" s="63">
        <f t="shared" si="94"/>
        <v>-0.11189545634339994</v>
      </c>
      <c r="P102" s="63">
        <f t="shared" si="95"/>
        <v>-2.0390437414091265</v>
      </c>
      <c r="Q102" s="63">
        <f t="shared" si="96"/>
        <v>1.9609562585908735</v>
      </c>
      <c r="S102" s="63">
        <v>2.1009443833840304</v>
      </c>
      <c r="T102" s="60">
        <f>'Information Technology'!W1461</f>
        <v>34.241090275509244</v>
      </c>
      <c r="U102" s="63" t="e">
        <v>#DIV/0!</v>
      </c>
      <c r="W102" s="63"/>
      <c r="X102" s="63"/>
      <c r="Z102" s="63">
        <v>1</v>
      </c>
      <c r="AA102" s="60">
        <f>'Information Technology'!W1462</f>
        <v>-1.5971493339155041E-2</v>
      </c>
      <c r="AB102" s="63">
        <v>3.6434412866930721E-2</v>
      </c>
      <c r="AC102" s="60" t="e">
        <f t="shared" si="97"/>
        <v>#DIV/0!</v>
      </c>
      <c r="AD102" s="60" t="e">
        <f t="shared" si="98"/>
        <v>#DIV/0!</v>
      </c>
      <c r="AE102" s="60" t="e">
        <f t="shared" si="99"/>
        <v>#DIV/0!</v>
      </c>
      <c r="AF102" s="60">
        <v>2.320089029910009</v>
      </c>
      <c r="AG102" s="60">
        <v>2.320089029910009</v>
      </c>
      <c r="AH102" s="60">
        <f>'Information Technology'!W1463</f>
        <v>0.16191930085343983</v>
      </c>
      <c r="AI102" s="63">
        <v>-0.12367024907470185</v>
      </c>
      <c r="AJ102" s="60"/>
      <c r="AL102" s="60"/>
      <c r="AM102" s="60"/>
      <c r="AN102" s="60">
        <v>1</v>
      </c>
      <c r="AO102" s="60">
        <f>'Information Technology'!W1464</f>
        <v>0.22204504964084551</v>
      </c>
      <c r="AP102" s="60">
        <v>0.15210410966642951</v>
      </c>
      <c r="AQ102" s="60" t="e">
        <f>(AP102-$AP$263)/$AP$264</f>
        <v>#DIV/0!</v>
      </c>
      <c r="AR102" s="60" t="e">
        <f>AQ102-$AQ$124</f>
        <v>#DIV/0!</v>
      </c>
      <c r="AS102" s="60" t="e">
        <f>AR102+5-$AR$85</f>
        <v>#DIV/0!</v>
      </c>
      <c r="AT102" s="60">
        <v>3.6328126600239492</v>
      </c>
      <c r="AU102" s="60">
        <v>3.6328126600239492</v>
      </c>
      <c r="AV102" s="60">
        <f>'Information Technology'!W1465</f>
        <v>-0.65027181818181812</v>
      </c>
      <c r="AW102" s="60" t="e">
        <v>#DIV/0!</v>
      </c>
      <c r="AX102" s="60"/>
      <c r="AY102" s="60"/>
      <c r="AZ102" s="60"/>
      <c r="BA102" s="60">
        <v>1</v>
      </c>
      <c r="BB102" s="60">
        <v>1</v>
      </c>
      <c r="BC102" s="60">
        <f>'Information Technology'!W1466</f>
        <v>0</v>
      </c>
      <c r="BD102" s="60">
        <v>0.33782448552976618</v>
      </c>
      <c r="BE102" s="60">
        <v>4.4000000000000004</v>
      </c>
      <c r="BF102" s="60">
        <f>'Information Technology'!W1467</f>
        <v>0.63921078002816323</v>
      </c>
      <c r="BG102" s="63">
        <v>0.59745382539719882</v>
      </c>
      <c r="BH102" s="63" t="e">
        <f t="shared" si="130"/>
        <v>#DIV/0!</v>
      </c>
      <c r="BI102" s="63" t="e">
        <f t="shared" si="131"/>
        <v>#DIV/0!</v>
      </c>
      <c r="BJ102" s="63" t="e">
        <f t="shared" si="132"/>
        <v>#DIV/0!</v>
      </c>
      <c r="BK102" s="63">
        <v>3.9565829117452855</v>
      </c>
      <c r="BL102" s="63">
        <v>3.9565829117452855</v>
      </c>
      <c r="BM102" s="63">
        <f t="shared" si="93"/>
        <v>3.2154282150977433</v>
      </c>
    </row>
    <row r="103" spans="1:65">
      <c r="A103" s="53" t="s">
        <v>300</v>
      </c>
      <c r="B103" s="53" t="s">
        <v>301</v>
      </c>
      <c r="C103" s="54">
        <v>6004.6</v>
      </c>
      <c r="D103" s="55" t="s">
        <v>77</v>
      </c>
      <c r="E103" s="67" t="str" cm="1">
        <f t="array" ref="E103">_xll.ciqfunctions.udf.CIQ(B103,"iq_industry")</f>
        <v>(Invalid Identifier)</v>
      </c>
      <c r="F103" s="60">
        <f>'Information Technology'!W1699</f>
        <v>22.642707082784849</v>
      </c>
      <c r="G103" s="62">
        <v>62.904601744172659</v>
      </c>
      <c r="H103" s="62" t="e">
        <f t="shared" si="124"/>
        <v>#DIV/0!</v>
      </c>
      <c r="I103" s="62" t="e">
        <f t="shared" si="125"/>
        <v>#DIV/0!</v>
      </c>
      <c r="J103" s="62" t="e">
        <f t="shared" si="126"/>
        <v>#DIV/0!</v>
      </c>
      <c r="K103" s="62">
        <v>1</v>
      </c>
      <c r="L103" s="108">
        <v>1.7877085788523548</v>
      </c>
      <c r="M103" s="60">
        <f>'Information Technology'!W1700</f>
        <v>6.8750664360000009</v>
      </c>
      <c r="N103" s="63">
        <v>6.0928624214000013</v>
      </c>
      <c r="O103" s="63">
        <f t="shared" ref="O103:O126" si="133">(N103-$N$263)/$N$264</f>
        <v>-0.84410460886610694</v>
      </c>
      <c r="P103" s="63">
        <f t="shared" ref="P103:P126" si="134">O103-$O$126</f>
        <v>-2.7712528939318335</v>
      </c>
      <c r="Q103" s="63">
        <f t="shared" ref="Q103:Q134" si="135">P103+5-$P$71</f>
        <v>1.2287471060681665</v>
      </c>
      <c r="S103" s="63">
        <v>1.3687352308613221</v>
      </c>
      <c r="T103" s="60" t="e">
        <f>'Information Technology'!W1701</f>
        <v>#DIV/0!</v>
      </c>
      <c r="U103" s="63" t="e">
        <v>#DIV/0!</v>
      </c>
      <c r="W103" s="63"/>
      <c r="X103" s="63"/>
      <c r="Z103" s="63">
        <v>1</v>
      </c>
      <c r="AA103" s="60">
        <f>'Information Technology'!W1702</f>
        <v>0.67266662434691482</v>
      </c>
      <c r="AB103" s="63">
        <v>4.0922068913811893E-2</v>
      </c>
      <c r="AC103" s="60" t="e">
        <f t="shared" si="97"/>
        <v>#DIV/0!</v>
      </c>
      <c r="AD103" s="60" t="e">
        <f t="shared" si="98"/>
        <v>#DIV/0!</v>
      </c>
      <c r="AE103" s="60" t="e">
        <f t="shared" si="99"/>
        <v>#DIV/0!</v>
      </c>
      <c r="AF103" s="60">
        <v>2.2176823619565091</v>
      </c>
      <c r="AG103" s="60">
        <v>2.2176823619565091</v>
      </c>
      <c r="AH103" s="60">
        <f>'Information Technology'!W1703</f>
        <v>-0.21941973545083784</v>
      </c>
      <c r="AI103" s="63">
        <v>-0.21447131485284693</v>
      </c>
      <c r="AJ103" s="60"/>
      <c r="AL103" s="60"/>
      <c r="AM103" s="60"/>
      <c r="AN103" s="60">
        <v>1</v>
      </c>
      <c r="AO103" s="60">
        <f>'Information Technology'!W1704</f>
        <v>1.1477884309750778E-2</v>
      </c>
      <c r="AP103" s="60">
        <v>2.2233168504440248E-2</v>
      </c>
      <c r="AQ103" s="60" t="e">
        <f>(AP103-$AP$263)/$AP$264</f>
        <v>#DIV/0!</v>
      </c>
      <c r="AR103" s="60" t="e">
        <f>AQ103-$AQ$124</f>
        <v>#DIV/0!</v>
      </c>
      <c r="AS103" s="60" t="e">
        <f>AR103+5-$AR$85</f>
        <v>#DIV/0!</v>
      </c>
      <c r="AT103" s="60">
        <v>1.5863019995409791</v>
      </c>
      <c r="AU103" s="60">
        <v>1.5863019995409791</v>
      </c>
      <c r="AV103" s="60" t="e">
        <f>'Information Technology'!W1705</f>
        <v>#DIV/0!</v>
      </c>
      <c r="AW103" s="60">
        <v>3.3978681818181817</v>
      </c>
      <c r="AX103" s="60"/>
      <c r="AY103" s="60"/>
      <c r="AZ103" s="60"/>
      <c r="BA103" s="60">
        <v>4.96</v>
      </c>
      <c r="BB103" s="60">
        <v>4.97</v>
      </c>
      <c r="BC103" s="60">
        <f>'Information Technology'!W1706</f>
        <v>0.88084164799685993</v>
      </c>
      <c r="BD103" s="60">
        <v>0.25611988619943926</v>
      </c>
      <c r="BE103" s="60">
        <v>4.75</v>
      </c>
      <c r="BF103" s="60">
        <f>'Information Technology'!W1707</f>
        <v>5.9455060329059242</v>
      </c>
      <c r="BG103" s="63">
        <v>0.74233130282284909</v>
      </c>
      <c r="BH103" s="63" t="e">
        <f t="shared" si="130"/>
        <v>#DIV/0!</v>
      </c>
      <c r="BI103" s="63" t="e">
        <f t="shared" si="131"/>
        <v>#DIV/0!</v>
      </c>
      <c r="BJ103" s="63" t="e">
        <f t="shared" si="132"/>
        <v>#DIV/0!</v>
      </c>
      <c r="BK103" s="63">
        <v>3.6910992225056463</v>
      </c>
      <c r="BL103" s="63">
        <v>3.6910992225056463</v>
      </c>
      <c r="BM103" s="63">
        <f t="shared" ref="BM103:BM126" si="136">0.2*(L103)+0.075*(S103)+0.04*(Z103)+0.06*(AG103)+0.1*(AN103)+0.025*(AU103)+0.1*(BB103)+0.2*(BE103)+0.2*(BL103)</f>
        <v>2.9581351942921148</v>
      </c>
    </row>
    <row r="104" spans="1:65">
      <c r="A104" s="53" t="s">
        <v>214</v>
      </c>
      <c r="B104" s="53" t="s">
        <v>215</v>
      </c>
      <c r="C104" s="54">
        <v>13684.9</v>
      </c>
      <c r="D104" s="55" t="s">
        <v>77</v>
      </c>
      <c r="E104" s="67" t="str" cm="1">
        <f t="array" ref="E104">_xll.ciqfunctions.udf.CIQ(B104,"iq_industry")</f>
        <v>Software</v>
      </c>
      <c r="F104" s="60">
        <f>'Information Technology'!W1054</f>
        <v>17.711625434800339</v>
      </c>
      <c r="G104" s="62">
        <v>1.5361090900069885</v>
      </c>
      <c r="H104" s="62" t="e">
        <f t="shared" si="124"/>
        <v>#DIV/0!</v>
      </c>
      <c r="I104" s="62" t="e">
        <f t="shared" si="125"/>
        <v>#DIV/0!</v>
      </c>
      <c r="J104" s="62" t="e">
        <f t="shared" si="126"/>
        <v>#DIV/0!</v>
      </c>
      <c r="K104" s="62">
        <v>1</v>
      </c>
      <c r="L104" s="108">
        <v>5</v>
      </c>
      <c r="M104" s="60">
        <f>'Information Technology'!W1055</f>
        <v>8.7067038463999999</v>
      </c>
      <c r="N104" s="63">
        <v>14.2861583355</v>
      </c>
      <c r="O104" s="63">
        <f t="shared" si="133"/>
        <v>1.6372090651530931</v>
      </c>
      <c r="P104" s="63">
        <f t="shared" si="134"/>
        <v>-0.28993921991263361</v>
      </c>
      <c r="Q104" s="63">
        <f t="shared" si="135"/>
        <v>3.7100607800873666</v>
      </c>
      <c r="S104" s="63">
        <v>3.8500489048805271</v>
      </c>
      <c r="T104" s="60">
        <f>'Information Technology'!W1056</f>
        <v>15.036577923757692</v>
      </c>
      <c r="U104" s="63" t="e">
        <v>#DIV/0!</v>
      </c>
      <c r="Z104" s="63">
        <v>1</v>
      </c>
      <c r="AA104" s="60">
        <f>'Information Technology'!W1057</f>
        <v>-1.7288982184369805E-2</v>
      </c>
      <c r="AB104" s="63">
        <v>3.9369583790031104</v>
      </c>
      <c r="AC104" s="60"/>
      <c r="AD104" s="60"/>
      <c r="AE104" s="60"/>
      <c r="AF104" s="60">
        <v>1.1000000000000001</v>
      </c>
      <c r="AG104" s="60">
        <v>1.1000000000000001</v>
      </c>
      <c r="AH104" s="60">
        <f>'Information Technology'!W1058</f>
        <v>7.488794802139094E-2</v>
      </c>
      <c r="AI104" s="63">
        <v>-1.745309575009095E-4</v>
      </c>
      <c r="AJ104" s="60">
        <f>(AI104-$AI$263)/$AI$264</f>
        <v>-0.11514206349839277</v>
      </c>
      <c r="AK104" s="60">
        <f>AJ104-$AJ$110</f>
        <v>-0.11514206349839277</v>
      </c>
      <c r="AL104" s="60">
        <f>AK104+5-$AK$80</f>
        <v>4.869375553173839</v>
      </c>
      <c r="AM104" s="60"/>
      <c r="AN104" s="60">
        <v>1.1472930466440321</v>
      </c>
      <c r="AO104" s="60">
        <f>'Information Technology'!W1059</f>
        <v>6.1428502207672098E-2</v>
      </c>
      <c r="AP104" s="60">
        <v>9.4263956013012309E-2</v>
      </c>
      <c r="AQ104" s="60" t="e">
        <f>(AP104-$AP$263)/$AP$264</f>
        <v>#DIV/0!</v>
      </c>
      <c r="AR104" s="60" t="e">
        <f>AQ104-$AQ$124</f>
        <v>#DIV/0!</v>
      </c>
      <c r="AS104" s="60" t="e">
        <f>AR104+5-$AR$85</f>
        <v>#DIV/0!</v>
      </c>
      <c r="AT104" s="60">
        <v>2.7213655726570631</v>
      </c>
      <c r="AU104" s="60">
        <v>2.7213655726570631</v>
      </c>
      <c r="AV104" s="60">
        <f>'Information Technology'!W1060</f>
        <v>-0.66164818181818197</v>
      </c>
      <c r="AW104" s="60" t="e">
        <v>#DIV/0!</v>
      </c>
      <c r="AX104" s="60"/>
      <c r="AY104" s="60"/>
      <c r="AZ104" s="60"/>
      <c r="BA104" s="60">
        <v>1</v>
      </c>
      <c r="BB104" s="60">
        <v>1</v>
      </c>
      <c r="BC104" s="60">
        <f>'Information Technology'!W1061</f>
        <v>-0.18816934801220933</v>
      </c>
      <c r="BD104" s="60">
        <v>0.88085677124313133</v>
      </c>
      <c r="BE104" s="60">
        <v>1.2</v>
      </c>
      <c r="BF104" s="60">
        <f>'Information Technology'!W1062</f>
        <v>0.12422722614447881</v>
      </c>
      <c r="BG104" s="63">
        <v>3.0596337731394502E-2</v>
      </c>
      <c r="BH104" s="63" t="e">
        <f t="shared" si="130"/>
        <v>#DIV/0!</v>
      </c>
      <c r="BI104" s="63" t="e">
        <f t="shared" si="131"/>
        <v>#DIV/0!</v>
      </c>
      <c r="BJ104" s="63" t="e">
        <f t="shared" si="132"/>
        <v>#DIV/0!</v>
      </c>
      <c r="BK104" s="63">
        <v>4.995332479812979</v>
      </c>
      <c r="BL104" s="63">
        <v>4.995332479812979</v>
      </c>
      <c r="BM104" s="63">
        <f t="shared" si="136"/>
        <v>2.9165836078094651</v>
      </c>
    </row>
    <row r="105" spans="1:65">
      <c r="A105" s="53" t="s">
        <v>234</v>
      </c>
      <c r="B105" s="53" t="s">
        <v>235</v>
      </c>
      <c r="C105" s="54">
        <v>11991.5</v>
      </c>
      <c r="D105" s="55" t="s">
        <v>77</v>
      </c>
      <c r="E105" s="67" t="str" cm="1">
        <f t="array" ref="E105">_xll.ciqfunctions.udf.CIQ(B105,"iq_industry")</f>
        <v>Software</v>
      </c>
      <c r="F105" s="60">
        <f>'Information Technology'!W1204</f>
        <v>27.697128605533425</v>
      </c>
      <c r="G105" s="62">
        <v>59.0446358890959</v>
      </c>
      <c r="H105" s="62" t="e">
        <f t="shared" si="124"/>
        <v>#DIV/0!</v>
      </c>
      <c r="I105" s="62" t="e">
        <f t="shared" si="125"/>
        <v>#DIV/0!</v>
      </c>
      <c r="J105" s="62" t="e">
        <f t="shared" si="126"/>
        <v>#DIV/0!</v>
      </c>
      <c r="K105" s="62">
        <v>1</v>
      </c>
      <c r="L105" s="108">
        <v>1.9897558292559254</v>
      </c>
      <c r="M105" s="60">
        <f>'Information Technology'!W1205</f>
        <v>6.3262218074999996</v>
      </c>
      <c r="N105" s="63">
        <v>12.664921456</v>
      </c>
      <c r="O105" s="63">
        <f t="shared" si="133"/>
        <v>1.146222619636746</v>
      </c>
      <c r="P105" s="63">
        <f t="shared" si="134"/>
        <v>-0.78092566542898068</v>
      </c>
      <c r="Q105" s="63">
        <f t="shared" si="135"/>
        <v>3.2190743345710189</v>
      </c>
      <c r="S105" s="63">
        <v>3.3590624593641794</v>
      </c>
      <c r="T105" s="60">
        <f>'Information Technology'!W1206</f>
        <v>59.911695177716553</v>
      </c>
      <c r="U105" s="63" t="e">
        <v>#DIV/0!</v>
      </c>
      <c r="W105" s="63"/>
      <c r="X105" s="63"/>
      <c r="Z105" s="63">
        <v>1</v>
      </c>
      <c r="AA105" s="60">
        <f>'Information Technology'!W1207</f>
        <v>1.5297725393006445E-3</v>
      </c>
      <c r="AB105" s="63">
        <v>-1.0520488930244265E-2</v>
      </c>
      <c r="AC105" s="60" t="e">
        <f t="shared" ref="AC105:AC110" si="137">-(AB105-$AB$263)/$AB$264</f>
        <v>#DIV/0!</v>
      </c>
      <c r="AD105" s="60" t="e">
        <f t="shared" ref="AD105:AD110" si="138">AC105-$AC$83</f>
        <v>#DIV/0!</v>
      </c>
      <c r="AE105" s="60" t="e">
        <f t="shared" ref="AE105:AE110" si="139">AD105+5-$AD$123</f>
        <v>#DIV/0!</v>
      </c>
      <c r="AF105" s="60">
        <v>3.3915826976286656</v>
      </c>
      <c r="AG105" s="60">
        <v>3.3915826976286656</v>
      </c>
      <c r="AH105" s="60">
        <f>'Information Technology'!W1208</f>
        <v>0.23325535130378841</v>
      </c>
      <c r="AI105" s="63">
        <v>0.16119591316660642</v>
      </c>
      <c r="AJ105" s="60">
        <f>(AI105-$AI$263)/$AI$264</f>
        <v>0.7494008811662306</v>
      </c>
      <c r="AK105" s="60">
        <f>AJ105-$AJ$110</f>
        <v>0.7494008811662306</v>
      </c>
      <c r="AL105" s="60">
        <f>AK105+5-$AK$80</f>
        <v>5.7339184978384621</v>
      </c>
      <c r="AM105" s="60"/>
      <c r="AN105" s="60">
        <v>3.0583915104712158</v>
      </c>
      <c r="AO105" s="60">
        <f>'Information Technology'!W1209</f>
        <v>0.471137465083865</v>
      </c>
      <c r="AP105" s="60">
        <v>0.78294989397017623</v>
      </c>
      <c r="AQ105" s="60"/>
      <c r="AR105" s="60"/>
      <c r="AS105" s="60"/>
      <c r="AT105" s="60">
        <v>5</v>
      </c>
      <c r="AU105" s="60">
        <v>5</v>
      </c>
      <c r="AV105" s="60">
        <f>'Information Technology'!W1210</f>
        <v>-0.62500454545454576</v>
      </c>
      <c r="AW105" s="60">
        <v>-1.0091518181818182</v>
      </c>
      <c r="AX105" s="60"/>
      <c r="AY105" s="60"/>
      <c r="AZ105" s="60"/>
      <c r="BA105" s="60">
        <v>1.1000000000000001</v>
      </c>
      <c r="BB105" s="60">
        <v>1.45</v>
      </c>
      <c r="BC105" s="60">
        <f>'Information Technology'!W1211</f>
        <v>0</v>
      </c>
      <c r="BD105" s="60">
        <v>0</v>
      </c>
      <c r="BE105" s="60">
        <v>5</v>
      </c>
      <c r="BF105" s="60">
        <f>'Information Technology'!W1212</f>
        <v>1.0295551602701023</v>
      </c>
      <c r="BG105" s="63">
        <v>1.616258505813706</v>
      </c>
      <c r="BH105" s="63" t="e">
        <f t="shared" si="130"/>
        <v>#DIV/0!</v>
      </c>
      <c r="BI105" s="63" t="e">
        <f t="shared" si="131"/>
        <v>#DIV/0!</v>
      </c>
      <c r="BJ105" s="63" t="e">
        <f t="shared" si="132"/>
        <v>#DIV/0!</v>
      </c>
      <c r="BK105" s="63">
        <v>2.0896534898798897</v>
      </c>
      <c r="BL105" s="63">
        <v>2.0896534898798897</v>
      </c>
      <c r="BM105" s="63">
        <f t="shared" si="136"/>
        <v>2.8871456611843183</v>
      </c>
    </row>
    <row r="106" spans="1:65">
      <c r="A106" s="53" t="s">
        <v>316</v>
      </c>
      <c r="B106" s="53" t="s">
        <v>317</v>
      </c>
      <c r="C106" s="54">
        <v>5496.3</v>
      </c>
      <c r="D106" s="55" t="s">
        <v>77</v>
      </c>
      <c r="E106" s="67" t="str" cm="1">
        <f t="array" ref="E106">_xll.ciqfunctions.udf.CIQ(B106,"iq_industry")</f>
        <v>Software</v>
      </c>
      <c r="F106" s="60" t="e">
        <f>'Information Technology'!W1819</f>
        <v>#DIV/0!</v>
      </c>
      <c r="G106" s="62">
        <v>40.958966653072842</v>
      </c>
      <c r="H106" s="62" t="e">
        <f t="shared" si="124"/>
        <v>#DIV/0!</v>
      </c>
      <c r="I106" s="62" t="e">
        <f t="shared" si="125"/>
        <v>#DIV/0!</v>
      </c>
      <c r="J106" s="62" t="e">
        <f t="shared" si="126"/>
        <v>#DIV/0!</v>
      </c>
      <c r="K106" s="62">
        <v>1</v>
      </c>
      <c r="L106" s="108">
        <v>2.9364377114391145</v>
      </c>
      <c r="M106" s="60">
        <f>'Information Technology'!W1820</f>
        <v>7.2840494999999992</v>
      </c>
      <c r="N106" s="63">
        <v>5.2929404842999999</v>
      </c>
      <c r="O106" s="63">
        <f t="shared" si="133"/>
        <v>-1.0863584297318201</v>
      </c>
      <c r="P106" s="63">
        <f t="shared" si="134"/>
        <v>-3.0135067147975469</v>
      </c>
      <c r="Q106" s="63">
        <f t="shared" si="135"/>
        <v>0.98649328520245305</v>
      </c>
      <c r="S106" s="63">
        <v>1.1264814099956082</v>
      </c>
      <c r="T106" s="60" t="e">
        <f>'Information Technology'!W1821</f>
        <v>#DIV/0!</v>
      </c>
      <c r="U106" s="63" t="e">
        <v>#DIV/0!</v>
      </c>
      <c r="W106" s="63"/>
      <c r="X106" s="63"/>
      <c r="Z106" s="63">
        <v>1</v>
      </c>
      <c r="AA106" s="60" t="e">
        <f>'Information Technology'!W1822</f>
        <v>#DIV/0!</v>
      </c>
      <c r="AB106" s="63">
        <v>3.907681641981231E-2</v>
      </c>
      <c r="AC106" s="60" t="e">
        <f t="shared" si="137"/>
        <v>#DIV/0!</v>
      </c>
      <c r="AD106" s="60" t="e">
        <f t="shared" si="138"/>
        <v>#DIV/0!</v>
      </c>
      <c r="AE106" s="60" t="e">
        <f t="shared" si="139"/>
        <v>#DIV/0!</v>
      </c>
      <c r="AF106" s="60">
        <v>2.2597903482792825</v>
      </c>
      <c r="AG106" s="60">
        <v>2.2597903482792825</v>
      </c>
      <c r="AH106" s="60" t="e">
        <f>'Information Technology'!W1823</f>
        <v>#DIV/0!</v>
      </c>
      <c r="AI106" s="63">
        <v>-0.15878638051227403</v>
      </c>
      <c r="AJ106" s="60"/>
      <c r="AL106" s="60"/>
      <c r="AM106" s="60"/>
      <c r="AN106" s="60">
        <v>1</v>
      </c>
      <c r="AO106" s="60" t="e">
        <f>'Information Technology'!W1824</f>
        <v>#DIV/0!</v>
      </c>
      <c r="AP106" s="60">
        <v>4.7176944051602707E-2</v>
      </c>
      <c r="AQ106" s="60" t="e">
        <f>(AP106-$AP$263)/$AP$264</f>
        <v>#DIV/0!</v>
      </c>
      <c r="AR106" s="60" t="e">
        <f>AQ106-$AQ$124</f>
        <v>#DIV/0!</v>
      </c>
      <c r="AS106" s="60" t="e">
        <f>AR106+5-$AR$85</f>
        <v>#DIV/0!</v>
      </c>
      <c r="AT106" s="60">
        <v>1.9793668538742524</v>
      </c>
      <c r="AU106" s="60">
        <v>1.9793668538742524</v>
      </c>
      <c r="AV106" s="60" t="e">
        <f>'Information Technology'!W1825</f>
        <v>#DIV/0!</v>
      </c>
      <c r="AW106" s="60">
        <v>2.190141818181818</v>
      </c>
      <c r="AX106" s="60" t="e">
        <f>(AW106-$AW$263)/$AW$264</f>
        <v>#DIV/0!</v>
      </c>
      <c r="AY106" s="60" t="e">
        <f>AX106-$AX$118</f>
        <v>#DIV/0!</v>
      </c>
      <c r="AZ106" s="60" t="e">
        <f>AY106+5-$AY$93</f>
        <v>#DIV/0!</v>
      </c>
      <c r="BA106" s="60">
        <v>4.8821036429047302</v>
      </c>
      <c r="BB106" s="60">
        <v>4.9285427765718968</v>
      </c>
      <c r="BC106" s="60" t="e">
        <f>'Information Technology'!W1826</f>
        <v>#DIV/0!</v>
      </c>
      <c r="BD106" s="60">
        <v>0.70102086804523256</v>
      </c>
      <c r="BE106" s="60">
        <v>1.6</v>
      </c>
      <c r="BF106" s="60" t="e">
        <f>'Information Technology'!W1827</f>
        <v>#DIV/0!</v>
      </c>
      <c r="BG106" s="63">
        <v>0.54435309819979971</v>
      </c>
      <c r="BH106" s="63" t="e">
        <f t="shared" si="130"/>
        <v>#DIV/0!</v>
      </c>
      <c r="BI106" s="63" t="e">
        <f t="shared" si="131"/>
        <v>#DIV/0!</v>
      </c>
      <c r="BJ106" s="63" t="e">
        <f t="shared" si="132"/>
        <v>#DIV/0!</v>
      </c>
      <c r="BK106" s="63">
        <v>4.0538884226374652</v>
      </c>
      <c r="BL106" s="63">
        <v>4.0538884226374652</v>
      </c>
      <c r="BM106" s="63">
        <f t="shared" si="136"/>
        <v>2.6204772024657896</v>
      </c>
    </row>
    <row r="107" spans="1:65">
      <c r="A107" s="53" t="s">
        <v>272</v>
      </c>
      <c r="B107" s="53" t="s">
        <v>273</v>
      </c>
      <c r="C107" s="54">
        <v>8408.1</v>
      </c>
      <c r="D107" s="55" t="s">
        <v>77</v>
      </c>
      <c r="E107" s="67" t="str" cm="1">
        <f t="array" ref="E107">_xll.ciqfunctions.udf.CIQ(B107,"iq_industry")</f>
        <v>Software</v>
      </c>
      <c r="F107" s="60">
        <f>'Information Technology'!W1489</f>
        <v>56.367971199082973</v>
      </c>
      <c r="G107" s="62">
        <v>38.142124251572504</v>
      </c>
      <c r="H107" s="62" t="e">
        <f t="shared" si="124"/>
        <v>#DIV/0!</v>
      </c>
      <c r="I107" s="62" t="e">
        <f t="shared" si="125"/>
        <v>#DIV/0!</v>
      </c>
      <c r="J107" s="62" t="e">
        <f t="shared" si="126"/>
        <v>#DIV/0!</v>
      </c>
      <c r="K107" s="62">
        <v>1</v>
      </c>
      <c r="L107" s="108">
        <v>3.0838833841242206</v>
      </c>
      <c r="M107" s="60">
        <f>'Information Technology'!W1490</f>
        <v>6.5011650995499997</v>
      </c>
      <c r="N107" s="63">
        <v>9.2922293687999993</v>
      </c>
      <c r="O107" s="63">
        <f t="shared" si="133"/>
        <v>0.12481352103164731</v>
      </c>
      <c r="P107" s="63">
        <f t="shared" si="134"/>
        <v>-1.8023347640340794</v>
      </c>
      <c r="Q107" s="63">
        <f t="shared" si="135"/>
        <v>2.1976652359659203</v>
      </c>
      <c r="S107" s="63">
        <v>2.3376533607590781</v>
      </c>
      <c r="T107" s="60" t="e">
        <f>'Information Technology'!W1491</f>
        <v>#DIV/0!</v>
      </c>
      <c r="U107" s="63" t="e">
        <v>#DIV/0!</v>
      </c>
      <c r="W107" s="63"/>
      <c r="X107" s="63"/>
      <c r="Z107" s="63">
        <v>1</v>
      </c>
      <c r="AA107" s="60">
        <f>'Information Technology'!W1492</f>
        <v>6.5444077958927149E-3</v>
      </c>
      <c r="AB107" s="63">
        <v>6.7453488612002621E-2</v>
      </c>
      <c r="AC107" s="60" t="e">
        <f t="shared" si="137"/>
        <v>#DIV/0!</v>
      </c>
      <c r="AD107" s="60" t="e">
        <f t="shared" si="138"/>
        <v>#DIV/0!</v>
      </c>
      <c r="AE107" s="60" t="e">
        <f t="shared" si="139"/>
        <v>#DIV/0!</v>
      </c>
      <c r="AF107" s="60">
        <v>1.6122450782199733</v>
      </c>
      <c r="AG107" s="60">
        <v>1.6122450782199733</v>
      </c>
      <c r="AH107" s="60">
        <f>'Information Technology'!W1493</f>
        <v>0.11920204360675461</v>
      </c>
      <c r="AI107" s="63">
        <v>-0.47509861887350779</v>
      </c>
      <c r="AJ107" s="60"/>
      <c r="AL107" s="60"/>
      <c r="AM107" s="60"/>
      <c r="AN107" s="60">
        <v>1</v>
      </c>
      <c r="AO107" s="60">
        <f>'Information Technology'!W1494</f>
        <v>0.3243537036782041</v>
      </c>
      <c r="AP107" s="60">
        <v>5.3195782706516738E-2</v>
      </c>
      <c r="AQ107" s="60" t="e">
        <f>(AP107-$AP$263)/$AP$264</f>
        <v>#DIV/0!</v>
      </c>
      <c r="AR107" s="60" t="e">
        <f>AQ107-$AQ$124</f>
        <v>#DIV/0!</v>
      </c>
      <c r="AS107" s="60" t="e">
        <f>AR107+5-$AR$85</f>
        <v>#DIV/0!</v>
      </c>
      <c r="AT107" s="60">
        <v>2.0742119159089119</v>
      </c>
      <c r="AU107" s="60">
        <v>2.0742119159089119</v>
      </c>
      <c r="AV107" s="60">
        <f>'Information Technology'!W1495</f>
        <v>1.55244</v>
      </c>
      <c r="AW107" s="60">
        <v>6.1262363636363641</v>
      </c>
      <c r="AX107" s="60"/>
      <c r="AY107" s="60"/>
      <c r="AZ107" s="60"/>
      <c r="BA107" s="60">
        <v>4.99</v>
      </c>
      <c r="BB107" s="60">
        <v>5</v>
      </c>
      <c r="BC107" s="60">
        <f>'Information Technology'!W1496</f>
        <v>0</v>
      </c>
      <c r="BD107" s="60">
        <v>1.2455075459207114</v>
      </c>
      <c r="BE107" s="60">
        <v>1</v>
      </c>
      <c r="BF107" s="60">
        <f>'Information Technology'!W1497</f>
        <v>0.72869274706133846</v>
      </c>
      <c r="BG107" s="63">
        <v>0.49019714033902489</v>
      </c>
      <c r="BH107" s="63" t="e">
        <f t="shared" si="130"/>
        <v>#DIV/0!</v>
      </c>
      <c r="BI107" s="63" t="e">
        <f t="shared" si="131"/>
        <v>#DIV/0!</v>
      </c>
      <c r="BJ107" s="63" t="e">
        <f t="shared" si="132"/>
        <v>#DIV/0!</v>
      </c>
      <c r="BK107" s="63">
        <v>4.1531276124871326</v>
      </c>
      <c r="BL107" s="63">
        <v>4.1531276124871326</v>
      </c>
      <c r="BM107" s="63">
        <f t="shared" si="136"/>
        <v>2.611316203970123</v>
      </c>
    </row>
    <row r="108" spans="1:65">
      <c r="A108" s="53" t="s">
        <v>292</v>
      </c>
      <c r="B108" s="53" t="s">
        <v>293</v>
      </c>
      <c r="C108" s="54">
        <v>6374.7</v>
      </c>
      <c r="D108" s="55" t="s">
        <v>77</v>
      </c>
      <c r="E108" s="67" t="str" cm="1">
        <f t="array" ref="E108">_xll.ciqfunctions.udf.CIQ(B108,"iq_industry")</f>
        <v>Software</v>
      </c>
      <c r="F108" s="60">
        <f>'Information Technology'!W1639</f>
        <v>-311.64676808068737</v>
      </c>
      <c r="G108" s="62">
        <v>136.21472672199525</v>
      </c>
      <c r="K108" s="62">
        <v>1</v>
      </c>
      <c r="L108" s="108">
        <v>1.05</v>
      </c>
      <c r="M108" s="60">
        <f>'Information Technology'!W1640</f>
        <v>8.1905479044000007</v>
      </c>
      <c r="N108" s="63">
        <v>6.6052841481</v>
      </c>
      <c r="O108" s="63">
        <f t="shared" si="133"/>
        <v>-0.68891931461387279</v>
      </c>
      <c r="P108" s="63">
        <f t="shared" si="134"/>
        <v>-2.6160675996795995</v>
      </c>
      <c r="Q108" s="63">
        <f t="shared" si="135"/>
        <v>1.3839324003204005</v>
      </c>
      <c r="S108" s="63">
        <v>1.5239205251135566</v>
      </c>
      <c r="T108" s="60" t="e">
        <f>'Information Technology'!W1641</f>
        <v>#DIV/0!</v>
      </c>
      <c r="U108" s="63" t="e">
        <v>#DIV/0!</v>
      </c>
      <c r="W108" s="63"/>
      <c r="X108" s="63"/>
      <c r="Z108" s="63">
        <v>1</v>
      </c>
      <c r="AA108" s="60">
        <f>'Information Technology'!W1642</f>
        <v>0.41708297178985054</v>
      </c>
      <c r="AB108" s="63">
        <v>1.0055092774676755E-2</v>
      </c>
      <c r="AC108" s="60" t="e">
        <f t="shared" si="137"/>
        <v>#DIV/0!</v>
      </c>
      <c r="AD108" s="60" t="e">
        <f t="shared" si="138"/>
        <v>#DIV/0!</v>
      </c>
      <c r="AE108" s="60" t="e">
        <f t="shared" si="139"/>
        <v>#DIV/0!</v>
      </c>
      <c r="AF108" s="60">
        <v>2.9220554563263068</v>
      </c>
      <c r="AG108" s="60">
        <v>2.9220554563263068</v>
      </c>
      <c r="AH108" s="60">
        <f>'Information Technology'!W1643</f>
        <v>-0.34550140343596453</v>
      </c>
      <c r="AI108" s="63">
        <v>3.1152660233203591E-2</v>
      </c>
      <c r="AJ108" s="60">
        <f>(AI108-$AI$263)/$AI$264</f>
        <v>5.2693516722565718E-2</v>
      </c>
      <c r="AK108" s="60">
        <f>AJ108-$AJ$110</f>
        <v>5.2693516722565718E-2</v>
      </c>
      <c r="AL108" s="60">
        <f>AK108+5-$AK$80</f>
        <v>5.0372111333947975</v>
      </c>
      <c r="AM108" s="60"/>
      <c r="AN108" s="60">
        <v>1.5182986994172953</v>
      </c>
      <c r="AO108" s="60">
        <f>'Information Technology'!W1644</f>
        <v>-4.2017918482556912E-2</v>
      </c>
      <c r="AP108" s="60">
        <v>0.10806788647990667</v>
      </c>
      <c r="AQ108" s="60" t="e">
        <f>(AP108-$AP$263)/$AP$264</f>
        <v>#DIV/0!</v>
      </c>
      <c r="AR108" s="60" t="e">
        <f>AQ108-$AQ$124</f>
        <v>#DIV/0!</v>
      </c>
      <c r="AS108" s="60" t="e">
        <f>AR108+5-$AR$85</f>
        <v>#DIV/0!</v>
      </c>
      <c r="AT108" s="60">
        <v>2.9388883734029867</v>
      </c>
      <c r="AU108" s="60">
        <v>2.9388883734029867</v>
      </c>
      <c r="AV108" s="60" t="e">
        <f>'Information Technology'!W1645</f>
        <v>#DIV/0!</v>
      </c>
      <c r="AW108" s="60">
        <v>1.2406381818181813</v>
      </c>
      <c r="AX108" s="60" t="e">
        <f>(AW108-$AW$263)/$AW$264</f>
        <v>#DIV/0!</v>
      </c>
      <c r="AY108" s="60" t="e">
        <f>AX108-$AX$118</f>
        <v>#DIV/0!</v>
      </c>
      <c r="AZ108" s="60" t="e">
        <f>AY108+5-$AY$93</f>
        <v>#DIV/0!</v>
      </c>
      <c r="BA108" s="60">
        <v>3.6961980459559189</v>
      </c>
      <c r="BB108" s="60">
        <v>3.9123273636465079</v>
      </c>
      <c r="BC108" s="60">
        <f>'Information Technology'!W1646</f>
        <v>0.10146338150652823</v>
      </c>
      <c r="BD108" s="60">
        <v>4.3267299545612231E-3</v>
      </c>
      <c r="BE108" s="60">
        <v>5</v>
      </c>
      <c r="BF108" s="60">
        <f>'Information Technology'!W1647</f>
        <v>2.8513610708201673</v>
      </c>
      <c r="BG108" s="63">
        <v>1.5825344591163686</v>
      </c>
      <c r="BH108" s="63" t="e">
        <f t="shared" si="130"/>
        <v>#DIV/0!</v>
      </c>
      <c r="BI108" s="63" t="e">
        <f t="shared" si="131"/>
        <v>#DIV/0!</v>
      </c>
      <c r="BJ108" s="63" t="e">
        <f t="shared" si="132"/>
        <v>#DIV/0!</v>
      </c>
      <c r="BK108" s="63">
        <v>2.1514518072746256</v>
      </c>
      <c r="BL108" s="63">
        <v>2.1514518072746256</v>
      </c>
      <c r="BM108" s="63">
        <f t="shared" si="136"/>
        <v>2.5864425438594756</v>
      </c>
    </row>
    <row r="109" spans="1:65">
      <c r="A109" s="53" t="s">
        <v>220</v>
      </c>
      <c r="B109" s="53" t="s">
        <v>221</v>
      </c>
      <c r="C109" s="54">
        <v>13132.8</v>
      </c>
      <c r="D109" s="55" t="s">
        <v>77</v>
      </c>
      <c r="E109" s="67" t="str" cm="1">
        <f t="array" ref="E109">_xll.ciqfunctions.udf.CIQ(B109,"iq_industry")</f>
        <v>Software</v>
      </c>
      <c r="F109" s="60">
        <f>'Information Technology'!W1099</f>
        <v>18.277856617240083</v>
      </c>
      <c r="G109" s="62">
        <v>9.1405887190659048</v>
      </c>
      <c r="H109" s="62" t="e">
        <f>-(G109-$G$263)/$G$264</f>
        <v>#DIV/0!</v>
      </c>
      <c r="I109" s="62" t="e">
        <f>H109-$H$83</f>
        <v>#DIV/0!</v>
      </c>
      <c r="J109" s="62" t="e">
        <f>I109+(5-$I$124)</f>
        <v>#DIV/0!</v>
      </c>
      <c r="K109" s="62">
        <v>1</v>
      </c>
      <c r="L109" s="108">
        <v>4.6019487587486019</v>
      </c>
      <c r="M109" s="60">
        <f>'Information Technology'!W1100</f>
        <v>6.741611616000001</v>
      </c>
      <c r="N109" s="63">
        <v>13.612720958200001</v>
      </c>
      <c r="O109" s="63">
        <f t="shared" si="133"/>
        <v>1.4332606919453779</v>
      </c>
      <c r="P109" s="63">
        <f t="shared" si="134"/>
        <v>-0.4938875931203488</v>
      </c>
      <c r="Q109" s="63">
        <f t="shared" si="135"/>
        <v>3.5061124068796516</v>
      </c>
      <c r="S109" s="63">
        <v>3.6461005316728112</v>
      </c>
      <c r="T109" s="60" t="e">
        <f>'Information Technology'!W1101</f>
        <v>#DIV/0!</v>
      </c>
      <c r="U109" s="63" t="e">
        <v>#DIV/0!</v>
      </c>
      <c r="W109" s="63"/>
      <c r="X109" s="63"/>
      <c r="Z109" s="63">
        <v>1</v>
      </c>
      <c r="AA109" s="60">
        <f>'Information Technology'!W1102</f>
        <v>-1.1294387279218721E-2</v>
      </c>
      <c r="AB109" s="63">
        <v>0.12908741858369144</v>
      </c>
      <c r="AC109" s="60" t="e">
        <f t="shared" si="137"/>
        <v>#DIV/0!</v>
      </c>
      <c r="AD109" s="60" t="e">
        <f t="shared" si="138"/>
        <v>#DIV/0!</v>
      </c>
      <c r="AE109" s="60" t="e">
        <f t="shared" si="139"/>
        <v>#DIV/0!</v>
      </c>
      <c r="AF109" s="60">
        <v>1.2</v>
      </c>
      <c r="AG109" s="60">
        <v>1.2</v>
      </c>
      <c r="AH109" s="60">
        <f>'Information Technology'!W1103</f>
        <v>4.9946795247767836E-2</v>
      </c>
      <c r="AI109" s="63">
        <v>-5.3627112216480755E-2</v>
      </c>
      <c r="AJ109" s="60"/>
      <c r="AL109" s="60"/>
      <c r="AM109" s="60"/>
      <c r="AN109" s="60">
        <v>1</v>
      </c>
      <c r="AO109" s="60">
        <f>'Information Technology'!W1104</f>
        <v>7.7791519319930405E-2</v>
      </c>
      <c r="AP109" s="60">
        <v>0.16831910833730737</v>
      </c>
      <c r="AQ109" s="60" t="e">
        <f>(AP109-$AP$263)/$AP$264</f>
        <v>#DIV/0!</v>
      </c>
      <c r="AR109" s="60" t="e">
        <f>AQ109-$AQ$124</f>
        <v>#DIV/0!</v>
      </c>
      <c r="AS109" s="60" t="e">
        <f>AR109+5-$AR$85</f>
        <v>#DIV/0!</v>
      </c>
      <c r="AT109" s="60">
        <v>3.8883291546513177</v>
      </c>
      <c r="AU109" s="60">
        <v>3.8883291546513177</v>
      </c>
      <c r="AV109" s="60">
        <f>'Information Technology'!W1105</f>
        <v>0.70924454545454552</v>
      </c>
      <c r="AW109" s="60" t="e">
        <v>#DIV/0!</v>
      </c>
      <c r="AX109" s="60"/>
      <c r="AY109" s="60"/>
      <c r="AZ109" s="60"/>
      <c r="BA109" s="60">
        <v>1</v>
      </c>
      <c r="BB109" s="60">
        <v>1</v>
      </c>
      <c r="BC109" s="60">
        <f>'Information Technology'!W1106</f>
        <v>0.48307107974337182</v>
      </c>
      <c r="BD109" s="60">
        <v>0.42817810482132995</v>
      </c>
      <c r="BE109" s="60">
        <v>3.2</v>
      </c>
      <c r="BF109" s="60">
        <f>'Information Technology'!W1107</f>
        <v>0.14306141424759952</v>
      </c>
      <c r="BG109" s="63" t="e">
        <v>#DIV/0!</v>
      </c>
      <c r="BI109" s="63"/>
      <c r="BJ109" s="63"/>
      <c r="BK109" s="63">
        <v>1</v>
      </c>
      <c r="BL109" s="63">
        <v>1</v>
      </c>
      <c r="BM109" s="63">
        <f t="shared" si="136"/>
        <v>2.4430555204914648</v>
      </c>
    </row>
    <row r="110" spans="1:65">
      <c r="A110" s="53" t="s">
        <v>284</v>
      </c>
      <c r="B110" s="53" t="s">
        <v>285</v>
      </c>
      <c r="C110" s="54">
        <v>7119.5</v>
      </c>
      <c r="D110" s="55" t="s">
        <v>77</v>
      </c>
      <c r="E110" s="67" t="str" cm="1">
        <f t="array" ref="E110">_xll.ciqfunctions.udf.CIQ(B110,"iq_industry")</f>
        <v>Software</v>
      </c>
      <c r="F110" s="60">
        <f>'Information Technology'!W1579</f>
        <v>43.733024190914541</v>
      </c>
      <c r="G110" s="62">
        <v>46.520671229362293</v>
      </c>
      <c r="H110" s="62" t="e">
        <f>-(G110-$G$263)/$G$264</f>
        <v>#DIV/0!</v>
      </c>
      <c r="I110" s="62" t="e">
        <f>H110-$H$83</f>
        <v>#DIV/0!</v>
      </c>
      <c r="J110" s="62" t="e">
        <f>I110+(5-$I$124)</f>
        <v>#DIV/0!</v>
      </c>
      <c r="K110" s="62">
        <v>1</v>
      </c>
      <c r="L110" s="108">
        <v>2.6453141213901827</v>
      </c>
      <c r="M110" s="60">
        <f>'Information Technology'!W1580</f>
        <v>9.8026071035999998</v>
      </c>
      <c r="N110" s="63">
        <v>7.3777148248</v>
      </c>
      <c r="O110" s="63">
        <f t="shared" si="133"/>
        <v>-0.4549911347431535</v>
      </c>
      <c r="P110" s="63">
        <f t="shared" si="134"/>
        <v>-2.3821394198088801</v>
      </c>
      <c r="Q110" s="63">
        <f t="shared" si="135"/>
        <v>1.6178605801911199</v>
      </c>
      <c r="S110" s="63">
        <v>1.7578487049842764</v>
      </c>
      <c r="T110" s="60" t="e">
        <f>'Information Technology'!W1581</f>
        <v>#DIV/0!</v>
      </c>
      <c r="U110" s="63" t="e">
        <v>#DIV/0!</v>
      </c>
      <c r="W110" s="63"/>
      <c r="X110" s="63"/>
      <c r="Z110" s="63">
        <v>1</v>
      </c>
      <c r="AA110" s="60">
        <f>'Information Technology'!W1582</f>
        <v>6.7453488612002621E-2</v>
      </c>
      <c r="AB110" s="63">
        <v>2.0568170794545981E-3</v>
      </c>
      <c r="AC110" s="60" t="e">
        <f t="shared" si="137"/>
        <v>#DIV/0!</v>
      </c>
      <c r="AD110" s="60" t="e">
        <f t="shared" si="138"/>
        <v>#DIV/0!</v>
      </c>
      <c r="AE110" s="60" t="e">
        <f t="shared" si="139"/>
        <v>#DIV/0!</v>
      </c>
      <c r="AF110" s="60">
        <v>3.1045731793346043</v>
      </c>
      <c r="AG110" s="60">
        <v>3.1045731793346043</v>
      </c>
      <c r="AH110" s="60">
        <f>'Information Technology'!W1583</f>
        <v>-0.47509861887350779</v>
      </c>
      <c r="AI110" s="63">
        <v>-8.5425887140577417E-2</v>
      </c>
      <c r="AJ110" s="60"/>
      <c r="AL110" s="60"/>
      <c r="AM110" s="60"/>
      <c r="AN110" s="60">
        <v>1</v>
      </c>
      <c r="AO110" s="60">
        <f>'Information Technology'!W1584</f>
        <v>5.3195782706516738E-2</v>
      </c>
      <c r="AP110" s="60">
        <v>3.4299092005132203E-2</v>
      </c>
      <c r="AQ110" s="60" t="e">
        <f>(AP110-$AP$263)/$AP$264</f>
        <v>#DIV/0!</v>
      </c>
      <c r="AR110" s="60" t="e">
        <f>AQ110-$AQ$124</f>
        <v>#DIV/0!</v>
      </c>
      <c r="AS110" s="60" t="e">
        <f>AR110+5-$AR$85</f>
        <v>#DIV/0!</v>
      </c>
      <c r="AT110" s="60">
        <v>1.7764372280363063</v>
      </c>
      <c r="AU110" s="60">
        <v>1.7764372280363063</v>
      </c>
      <c r="AV110" s="60">
        <f>'Information Technology'!W1585</f>
        <v>6.1262363636363641</v>
      </c>
      <c r="AW110" s="60">
        <v>-2.7254109090909093</v>
      </c>
      <c r="AX110" s="60"/>
      <c r="AY110" s="60"/>
      <c r="AZ110" s="60"/>
      <c r="BA110" s="60">
        <v>1</v>
      </c>
      <c r="BB110" s="60">
        <v>1</v>
      </c>
      <c r="BC110" s="60">
        <f>'Information Technology'!W1586</f>
        <v>1.2455075459207114</v>
      </c>
      <c r="BD110" s="60">
        <v>0.51405941736883054</v>
      </c>
      <c r="BE110" s="60">
        <v>2</v>
      </c>
      <c r="BF110" s="60">
        <f>'Information Technology'!W1587</f>
        <v>0.51712132571607805</v>
      </c>
      <c r="BG110" s="63">
        <v>0.65550933755891549</v>
      </c>
      <c r="BH110" s="63" t="e">
        <f>-(BG110-$BG$263)/$BG$264</f>
        <v>#DIV/0!</v>
      </c>
      <c r="BI110" s="63" t="e">
        <f>BH110-$BH$90</f>
        <v>#DIV/0!</v>
      </c>
      <c r="BJ110" s="63" t="e">
        <f>BI110+(5-$BI$126)</f>
        <v>#DIV/0!</v>
      </c>
      <c r="BK110" s="63">
        <v>3.8501979040597467</v>
      </c>
      <c r="BL110" s="63">
        <v>3.8501979040597467</v>
      </c>
      <c r="BM110" s="63">
        <f t="shared" si="136"/>
        <v>2.3016263794247904</v>
      </c>
    </row>
    <row r="111" spans="1:65">
      <c r="A111" s="53" t="s">
        <v>260</v>
      </c>
      <c r="B111" s="53" t="s">
        <v>261</v>
      </c>
      <c r="C111" s="54">
        <v>9141.1</v>
      </c>
      <c r="D111" s="55" t="s">
        <v>77</v>
      </c>
      <c r="E111" s="67" t="str" cm="1">
        <f t="array" ref="E111">_xll.ciqfunctions.udf.CIQ(B111,"iq_industry")</f>
        <v>Software</v>
      </c>
      <c r="F111" s="60">
        <f>'Information Technology'!W1399</f>
        <v>113.81077679467666</v>
      </c>
      <c r="G111" s="62">
        <v>-314.97516384162742</v>
      </c>
      <c r="K111" s="62">
        <v>1</v>
      </c>
      <c r="L111" s="108">
        <v>1</v>
      </c>
      <c r="M111" s="60">
        <f>'Information Technology'!W1400</f>
        <v>5.9804156378999993</v>
      </c>
      <c r="N111" s="63">
        <v>9.8786164897999988</v>
      </c>
      <c r="O111" s="63">
        <f t="shared" si="133"/>
        <v>0.30239900028940181</v>
      </c>
      <c r="P111" s="63">
        <f t="shared" si="134"/>
        <v>-1.6247492847763247</v>
      </c>
      <c r="Q111" s="63">
        <f t="shared" si="135"/>
        <v>2.3752507152236753</v>
      </c>
      <c r="S111" s="63">
        <v>2.5152388400168331</v>
      </c>
      <c r="T111" s="60" t="e">
        <f>'Information Technology'!W1401</f>
        <v>#DIV/0!</v>
      </c>
      <c r="U111" s="63" t="e">
        <v>#DIV/0!</v>
      </c>
      <c r="W111" s="63"/>
      <c r="X111" s="63"/>
      <c r="Z111" s="63">
        <v>1</v>
      </c>
      <c r="AA111" s="60">
        <f>'Information Technology'!W1402</f>
        <v>1.7851426804625259E-2</v>
      </c>
      <c r="AB111" s="63">
        <v>0.41488729663189639</v>
      </c>
      <c r="AC111" s="60"/>
      <c r="AD111" s="60"/>
      <c r="AE111" s="60"/>
      <c r="AF111" s="60">
        <v>1.1499999999999999</v>
      </c>
      <c r="AG111" s="60">
        <v>1.1499999999999999</v>
      </c>
      <c r="AH111" s="60">
        <f>'Information Technology'!W1403</f>
        <v>-1.9542855778686613E-2</v>
      </c>
      <c r="AI111" s="63">
        <v>-0.35291814066790234</v>
      </c>
      <c r="AJ111" s="60"/>
      <c r="AL111" s="60"/>
      <c r="AM111" s="60"/>
      <c r="AN111" s="60">
        <v>1</v>
      </c>
      <c r="AO111" s="60">
        <f>'Information Technology'!W1404</f>
        <v>4.2424221772331107E-2</v>
      </c>
      <c r="AP111" s="60">
        <v>-5.28789760136118E-2</v>
      </c>
      <c r="AQ111" s="60"/>
      <c r="AR111" s="60"/>
      <c r="AS111" s="60"/>
      <c r="AT111" s="60">
        <v>1</v>
      </c>
      <c r="AU111" s="60">
        <v>1</v>
      </c>
      <c r="AV111" s="60">
        <f>'Information Technology'!W1405</f>
        <v>1.0056245454545456</v>
      </c>
      <c r="AW111" s="60" t="e">
        <v>#DIV/0!</v>
      </c>
      <c r="AX111" s="60"/>
      <c r="AY111" s="60"/>
      <c r="AZ111" s="60"/>
      <c r="BA111" s="60">
        <v>1</v>
      </c>
      <c r="BB111" s="60">
        <v>1</v>
      </c>
      <c r="BC111" s="60">
        <f>'Information Technology'!W1406</f>
        <v>-0.79166262568343981</v>
      </c>
      <c r="BD111" s="60">
        <v>8.7549535077122681E-2</v>
      </c>
      <c r="BE111" s="60">
        <v>5</v>
      </c>
      <c r="BF111" s="60">
        <f>'Information Technology'!W1407</f>
        <v>1.1322877128848092</v>
      </c>
      <c r="BG111" s="63">
        <v>3.4761281707572218</v>
      </c>
      <c r="BI111" s="63"/>
      <c r="BJ111" s="63"/>
      <c r="BK111" s="63">
        <v>1.5</v>
      </c>
      <c r="BL111" s="63">
        <v>1.5</v>
      </c>
      <c r="BM111" s="63">
        <f t="shared" si="136"/>
        <v>2.0226429130012624</v>
      </c>
    </row>
    <row r="112" spans="1:65" ht="22.5">
      <c r="A112" s="53" t="s">
        <v>280</v>
      </c>
      <c r="B112" s="53" t="s">
        <v>281</v>
      </c>
      <c r="C112" s="54">
        <v>7427.5</v>
      </c>
      <c r="D112" s="55" t="s">
        <v>77</v>
      </c>
      <c r="E112" s="67" t="str" cm="1">
        <f t="array" ref="E112">_xll.ciqfunctions.udf.CIQ(B112,"iq_industry")</f>
        <v>Software</v>
      </c>
      <c r="F112" s="60">
        <f>'Information Technology'!W1549</f>
        <v>64.85408051653188</v>
      </c>
      <c r="G112" s="62">
        <v>73.15416157329426</v>
      </c>
      <c r="H112" s="62" t="e">
        <f>-(G112-$G$263)/$G$264</f>
        <v>#DIV/0!</v>
      </c>
      <c r="I112" s="62" t="e">
        <f>H112-$H$83</f>
        <v>#DIV/0!</v>
      </c>
      <c r="J112" s="62" t="e">
        <f>I112+(5-$I$124)</f>
        <v>#DIV/0!</v>
      </c>
      <c r="K112" s="62">
        <v>1</v>
      </c>
      <c r="L112" s="108">
        <v>1.2512024388829555</v>
      </c>
      <c r="M112" s="60">
        <f>'Information Technology'!W1550</f>
        <v>13.841079271199998</v>
      </c>
      <c r="N112" s="63">
        <v>7.8478723478999992</v>
      </c>
      <c r="O112" s="63">
        <f t="shared" si="133"/>
        <v>-0.31260542046626677</v>
      </c>
      <c r="P112" s="63">
        <f t="shared" si="134"/>
        <v>-2.2397537055319936</v>
      </c>
      <c r="Q112" s="63">
        <f t="shared" si="135"/>
        <v>1.7602462944680064</v>
      </c>
      <c r="S112" s="63">
        <v>1.9002344192611629</v>
      </c>
      <c r="T112" s="60" t="e">
        <f>'Information Technology'!W1551</f>
        <v>#DIV/0!</v>
      </c>
      <c r="U112" s="63" t="e">
        <v>#DIV/0!</v>
      </c>
      <c r="W112" s="63"/>
      <c r="X112" s="63"/>
      <c r="Z112" s="63">
        <v>1</v>
      </c>
      <c r="AA112" s="60">
        <f>'Information Technology'!W1552</f>
        <v>-1.0853294704686101E-2</v>
      </c>
      <c r="AB112" s="63">
        <v>2.35895675916748</v>
      </c>
      <c r="AC112" s="60"/>
      <c r="AD112" s="60"/>
      <c r="AE112" s="60"/>
      <c r="AF112" s="60">
        <v>1.06</v>
      </c>
      <c r="AG112" s="60">
        <v>1.06</v>
      </c>
      <c r="AH112" s="60">
        <f>'Information Technology'!W1553</f>
        <v>0.16476542794681706</v>
      </c>
      <c r="AI112" s="63">
        <v>-9.6098827511638812E-2</v>
      </c>
      <c r="AJ112" s="60"/>
      <c r="AL112" s="60"/>
      <c r="AM112" s="60"/>
      <c r="AN112" s="60">
        <v>1</v>
      </c>
      <c r="AO112" s="60">
        <f>'Information Technology'!W1554</f>
        <v>0.60899463996412617</v>
      </c>
      <c r="AP112" s="60">
        <v>0.35056602509572199</v>
      </c>
      <c r="AQ112" s="60"/>
      <c r="AR112" s="60"/>
      <c r="AS112" s="60"/>
      <c r="AT112" s="60">
        <v>4.9400000000000004</v>
      </c>
      <c r="AU112" s="60">
        <v>4.9400000000000004</v>
      </c>
      <c r="AV112" s="60">
        <f>'Information Technology'!W1555</f>
        <v>-0.96999727272727276</v>
      </c>
      <c r="AW112" s="60" t="e">
        <v>#DIV/0!</v>
      </c>
      <c r="AX112" s="60"/>
      <c r="AY112" s="60"/>
      <c r="AZ112" s="60"/>
      <c r="BA112" s="60">
        <v>1</v>
      </c>
      <c r="BB112" s="60">
        <v>1</v>
      </c>
      <c r="BC112" s="60">
        <f>'Information Technology'!W1556</f>
        <v>0</v>
      </c>
      <c r="BD112" s="60">
        <v>-0.27397855677756872</v>
      </c>
      <c r="BE112" s="60">
        <v>5</v>
      </c>
      <c r="BF112" s="60">
        <f>'Information Technology'!W1557</f>
        <v>1.8871096275565638</v>
      </c>
      <c r="BG112" s="63" t="e">
        <v>#DIV/0!</v>
      </c>
      <c r="BI112" s="63"/>
      <c r="BJ112" s="63"/>
      <c r="BK112" s="63">
        <v>1</v>
      </c>
      <c r="BL112" s="63">
        <v>1</v>
      </c>
      <c r="BM112" s="63">
        <f t="shared" si="136"/>
        <v>2.0198580692211783</v>
      </c>
    </row>
    <row r="113" spans="1:65">
      <c r="A113" s="53" t="s">
        <v>322</v>
      </c>
      <c r="B113" s="53" t="s">
        <v>323</v>
      </c>
      <c r="C113" s="54">
        <v>5280.1</v>
      </c>
      <c r="D113" s="55" t="s">
        <v>67</v>
      </c>
      <c r="E113" s="67" t="str" cm="1">
        <f t="array" ref="E113">_xll.ciqfunctions.udf.CIQ(B113,"iq_industry")</f>
        <v>Software</v>
      </c>
      <c r="F113" s="60">
        <f>'Information Technology'!W1864</f>
        <v>58.986016099851319</v>
      </c>
      <c r="G113" s="62">
        <v>25.477734972074902</v>
      </c>
      <c r="H113" s="62" t="e">
        <f>-(G113-$G$263)/$G$264</f>
        <v>#DIV/0!</v>
      </c>
      <c r="I113" s="62" t="e">
        <f>H113-$H$83</f>
        <v>#DIV/0!</v>
      </c>
      <c r="J113" s="62" t="e">
        <f>I113+(5-$I$124)</f>
        <v>#DIV/0!</v>
      </c>
      <c r="K113" s="62">
        <v>1</v>
      </c>
      <c r="L113" s="108">
        <v>3.7467921061269096</v>
      </c>
      <c r="M113" s="60">
        <f>'Information Technology'!W1865</f>
        <v>15.800000714400001</v>
      </c>
      <c r="N113" s="63">
        <v>5.28</v>
      </c>
      <c r="O113" s="63">
        <f t="shared" si="133"/>
        <v>-1.09027741434786</v>
      </c>
      <c r="P113" s="63">
        <f t="shared" si="134"/>
        <v>-3.0174256994135868</v>
      </c>
      <c r="Q113" s="63">
        <f t="shared" si="135"/>
        <v>0.98257430058641315</v>
      </c>
      <c r="S113" s="63">
        <v>1.1225624253795683</v>
      </c>
      <c r="T113" s="60" t="e">
        <f>'Information Technology'!W1866</f>
        <v>#DIV/0!</v>
      </c>
      <c r="U113" s="63" t="e">
        <v>#DIV/0!</v>
      </c>
      <c r="W113" s="63"/>
      <c r="X113" s="63"/>
      <c r="Z113" s="63">
        <v>1</v>
      </c>
      <c r="AA113" s="60">
        <f>'Information Technology'!W1867</f>
        <v>1.2570994968224891E-2</v>
      </c>
      <c r="AB113" s="63">
        <v>4.0200715647985774E-2</v>
      </c>
      <c r="AC113" s="60" t="e">
        <f>-(AB113-$AB$263)/$AB$264</f>
        <v>#DIV/0!</v>
      </c>
      <c r="AD113" s="60" t="e">
        <f>AC113-$AC$83</f>
        <v>#DIV/0!</v>
      </c>
      <c r="AE113" s="60" t="e">
        <f>AD113+5-$AD$123</f>
        <v>#DIV/0!</v>
      </c>
      <c r="AF113" s="60">
        <v>2.2341433793782803</v>
      </c>
      <c r="AG113" s="60">
        <v>2.2341433793782803</v>
      </c>
      <c r="AH113" s="60">
        <f>'Information Technology'!W1868</f>
        <v>5.6679646350886209E-2</v>
      </c>
      <c r="AI113" s="63">
        <v>-0.17243573580351629</v>
      </c>
      <c r="AJ113" s="60"/>
      <c r="AL113" s="60"/>
      <c r="AM113" s="60"/>
      <c r="AN113" s="60">
        <v>1</v>
      </c>
      <c r="AO113" s="60">
        <f>'Information Technology'!W1869</f>
        <v>1.2479221597064213E-2</v>
      </c>
      <c r="AP113" s="60">
        <v>7.5384855074222892E-2</v>
      </c>
      <c r="AQ113" s="60" t="e">
        <f>(AP113-$AP$263)/$AP$264</f>
        <v>#DIV/0!</v>
      </c>
      <c r="AR113" s="60" t="e">
        <f>AQ113-$AQ$124</f>
        <v>#DIV/0!</v>
      </c>
      <c r="AS113" s="60" t="e">
        <f>AR113+5-$AR$85</f>
        <v>#DIV/0!</v>
      </c>
      <c r="AT113" s="60">
        <v>2.4238680648552591</v>
      </c>
      <c r="AU113" s="60">
        <v>2.4238680648552591</v>
      </c>
      <c r="AV113" s="60">
        <f>'Information Technology'!W1870</f>
        <v>0.37762090909090901</v>
      </c>
      <c r="AW113" s="60" t="e">
        <v>#DIV/0!</v>
      </c>
      <c r="AX113" s="60"/>
      <c r="AY113" s="60"/>
      <c r="AZ113" s="60"/>
      <c r="BA113" s="60">
        <v>1</v>
      </c>
      <c r="BB113" s="60">
        <v>1</v>
      </c>
      <c r="BC113" s="60">
        <f>'Information Technology'!W1871</f>
        <v>8.5951274983222317E-2</v>
      </c>
      <c r="BD113" s="60">
        <v>0.52174956669402317</v>
      </c>
      <c r="BE113" s="60">
        <v>1.8</v>
      </c>
      <c r="BF113" s="60">
        <f>'Information Technology'!W1872</f>
        <v>0.56114936372817659</v>
      </c>
      <c r="BG113" s="63">
        <v>2.9171660573872624</v>
      </c>
      <c r="BI113" s="63"/>
      <c r="BJ113" s="63"/>
      <c r="BK113" s="63">
        <v>1.7</v>
      </c>
      <c r="BL113" s="63">
        <v>1.7</v>
      </c>
      <c r="BM113" s="63">
        <f t="shared" si="136"/>
        <v>1.9681959075129283</v>
      </c>
    </row>
    <row r="114" spans="1:65">
      <c r="A114" s="53" t="s">
        <v>230</v>
      </c>
      <c r="B114" s="53" t="s">
        <v>231</v>
      </c>
      <c r="C114" s="54">
        <v>12121.1</v>
      </c>
      <c r="D114" s="55" t="s">
        <v>77</v>
      </c>
      <c r="E114" s="67" t="str" cm="1">
        <f t="array" ref="E114">_xll.ciqfunctions.udf.CIQ(B114,"iq_industry")</f>
        <v>Software</v>
      </c>
      <c r="F114" s="60">
        <f>'Information Technology'!W1174</f>
        <v>8.691232333872934</v>
      </c>
      <c r="G114" s="62">
        <v>19.858695948274686</v>
      </c>
      <c r="H114" s="62" t="e">
        <f>-(G114-$G$263)/$G$264</f>
        <v>#DIV/0!</v>
      </c>
      <c r="I114" s="62" t="e">
        <f>H114-$H$83</f>
        <v>#DIV/0!</v>
      </c>
      <c r="J114" s="62" t="e">
        <f>I114+(5-$I$124)</f>
        <v>#DIV/0!</v>
      </c>
      <c r="K114" s="62">
        <v>1</v>
      </c>
      <c r="L114" s="108">
        <v>4.0409168282863028</v>
      </c>
      <c r="M114" s="60">
        <f>'Information Technology'!W1175</f>
        <v>6.4579668559999988</v>
      </c>
      <c r="N114" s="63">
        <v>10.853759725649999</v>
      </c>
      <c r="O114" s="63">
        <f t="shared" si="133"/>
        <v>0.59771803558482395</v>
      </c>
      <c r="P114" s="63">
        <f t="shared" si="134"/>
        <v>-1.3294302494809027</v>
      </c>
      <c r="Q114" s="63">
        <f t="shared" si="135"/>
        <v>2.6705697505190971</v>
      </c>
      <c r="S114" s="63">
        <v>2.8105578753122558</v>
      </c>
      <c r="T114" s="60" t="e">
        <f>'Information Technology'!W1176</f>
        <v>#DIV/0!</v>
      </c>
      <c r="U114" s="63" t="e">
        <v>#DIV/0!</v>
      </c>
      <c r="W114" s="63"/>
      <c r="X114" s="63"/>
      <c r="Z114" s="63">
        <v>1</v>
      </c>
      <c r="AA114" s="60">
        <f>'Information Technology'!W1177</f>
        <v>-8.602254675125065E-2</v>
      </c>
      <c r="AB114" s="63">
        <v>0.29326877317987154</v>
      </c>
      <c r="AC114" s="60"/>
      <c r="AD114" s="60"/>
      <c r="AE114" s="60"/>
      <c r="AF114" s="60">
        <v>1.17</v>
      </c>
      <c r="AG114" s="60">
        <v>1.17</v>
      </c>
      <c r="AH114" s="60">
        <f>'Information Technology'!W1178</f>
        <v>2.3648860925481636E-2</v>
      </c>
      <c r="AI114" s="63">
        <v>-0.56354766292119152</v>
      </c>
      <c r="AJ114" s="60"/>
      <c r="AL114" s="60"/>
      <c r="AM114" s="60"/>
      <c r="AN114" s="60">
        <v>1</v>
      </c>
      <c r="AO114" s="60">
        <f>'Information Technology'!W1179</f>
        <v>4.920926476224983E-3</v>
      </c>
      <c r="AP114" s="60">
        <v>8.2241468132247336E-2</v>
      </c>
      <c r="AQ114" s="60" t="e">
        <f>(AP114-$AP$263)/$AP$264</f>
        <v>#DIV/0!</v>
      </c>
      <c r="AR114" s="60" t="e">
        <f>AQ114-$AQ$124</f>
        <v>#DIV/0!</v>
      </c>
      <c r="AS114" s="60" t="e">
        <f>AR114+5-$AR$85</f>
        <v>#DIV/0!</v>
      </c>
      <c r="AT114" s="60">
        <v>2.531914804121985</v>
      </c>
      <c r="AU114" s="60">
        <v>2.531914804121985</v>
      </c>
      <c r="AV114" s="60">
        <f>'Information Technology'!W1180</f>
        <v>9.8422727272727301E-2</v>
      </c>
      <c r="AW114" s="60" t="e">
        <v>#DIV/0!</v>
      </c>
      <c r="AX114" s="60"/>
      <c r="AY114" s="60"/>
      <c r="AZ114" s="60"/>
      <c r="BA114" s="60">
        <v>1</v>
      </c>
      <c r="BB114" s="60">
        <v>1</v>
      </c>
      <c r="BC114" s="60">
        <f>'Information Technology'!W1181</f>
        <v>0.33165445557235534</v>
      </c>
      <c r="BD114" s="60">
        <v>1.3923997711496274</v>
      </c>
      <c r="BE114" s="60">
        <v>1</v>
      </c>
      <c r="BF114" s="60">
        <f>'Information Technology'!W1182</f>
        <v>2.9291774300636085E-2</v>
      </c>
      <c r="BG114" s="63" t="e">
        <v>#DIV/0!</v>
      </c>
      <c r="BI114" s="63"/>
      <c r="BJ114" s="63"/>
      <c r="BK114" s="63">
        <v>1</v>
      </c>
      <c r="BL114" s="63">
        <v>1</v>
      </c>
      <c r="BM114" s="63">
        <f t="shared" si="136"/>
        <v>1.7924730764087295</v>
      </c>
    </row>
    <row r="115" spans="1:65">
      <c r="A115" s="53" t="s">
        <v>246</v>
      </c>
      <c r="B115" s="53" t="s">
        <v>247</v>
      </c>
      <c r="C115" s="54">
        <v>10682.9</v>
      </c>
      <c r="D115" s="55" t="s">
        <v>77</v>
      </c>
      <c r="E115" s="67" t="str" cm="1">
        <f t="array" ref="E115">_xll.ciqfunctions.udf.CIQ(B115,"iq_industry")</f>
        <v>Software</v>
      </c>
      <c r="F115" s="60">
        <f>'Information Technology'!W1294</f>
        <v>10.280044576811672</v>
      </c>
      <c r="G115" s="62">
        <v>33.933038804018658</v>
      </c>
      <c r="H115" s="62" t="e">
        <f>-(G115-$G$263)/$G$264</f>
        <v>#DIV/0!</v>
      </c>
      <c r="I115" s="62" t="e">
        <f>H115-$H$83</f>
        <v>#DIV/0!</v>
      </c>
      <c r="J115" s="62" t="e">
        <f>I115+(5-$I$124)</f>
        <v>#DIV/0!</v>
      </c>
      <c r="K115" s="62">
        <v>1</v>
      </c>
      <c r="L115" s="108">
        <v>3.3042050588026166</v>
      </c>
      <c r="M115" s="60">
        <f>'Information Technology'!W1295</f>
        <v>9.1125365935999998</v>
      </c>
      <c r="N115" s="63">
        <v>12.0027256299</v>
      </c>
      <c r="O115" s="63">
        <f t="shared" si="133"/>
        <v>0.94567871454567021</v>
      </c>
      <c r="P115" s="63">
        <f t="shared" si="134"/>
        <v>-0.98146957052005646</v>
      </c>
      <c r="Q115" s="63">
        <f t="shared" si="135"/>
        <v>3.0185304294799433</v>
      </c>
      <c r="S115" s="63">
        <v>3.1585185542731029</v>
      </c>
      <c r="T115" s="60" t="e">
        <f>'Information Technology'!W1296</f>
        <v>#DIV/0!</v>
      </c>
      <c r="U115" s="63" t="e">
        <v>#DIV/0!</v>
      </c>
      <c r="W115" s="63"/>
      <c r="X115" s="63"/>
      <c r="Z115" s="63">
        <v>1</v>
      </c>
      <c r="AA115" s="60">
        <f>'Information Technology'!W1297</f>
        <v>-3.9615944249884349E-2</v>
      </c>
      <c r="AB115" s="63">
        <v>0.70748796730655594</v>
      </c>
      <c r="AC115" s="60"/>
      <c r="AD115" s="60"/>
      <c r="AE115" s="60"/>
      <c r="AF115" s="60">
        <v>1.1200000000000001</v>
      </c>
      <c r="AG115" s="60">
        <v>1.1200000000000001</v>
      </c>
      <c r="AH115" s="60">
        <f>'Information Technology'!W1298</f>
        <v>9.6101018416947515E-2</v>
      </c>
      <c r="AI115" s="63">
        <v>-0.2147431800624679</v>
      </c>
      <c r="AJ115" s="60"/>
      <c r="AL115" s="60"/>
      <c r="AM115" s="60"/>
      <c r="AN115" s="60">
        <v>1</v>
      </c>
      <c r="AO115" s="60">
        <f>'Information Technology'!W1299</f>
        <v>6.0283542907412821E-2</v>
      </c>
      <c r="AP115" s="60">
        <v>9.200116348842444E-3</v>
      </c>
      <c r="AQ115" s="60" t="e">
        <f>(AP115-$AP$263)/$AP$264</f>
        <v>#DIV/0!</v>
      </c>
      <c r="AR115" s="60" t="e">
        <f>AQ115-$AQ$124</f>
        <v>#DIV/0!</v>
      </c>
      <c r="AS115" s="60" t="e">
        <f>AR115+5-$AR$85</f>
        <v>#DIV/0!</v>
      </c>
      <c r="AT115" s="60">
        <v>1.3809267251615256</v>
      </c>
      <c r="AU115" s="60">
        <v>1.3809267251615256</v>
      </c>
      <c r="AV115" s="60">
        <f>'Information Technology'!W1300</f>
        <v>0.12389090909090936</v>
      </c>
      <c r="AW115" s="60" t="e">
        <v>#DIV/0!</v>
      </c>
      <c r="AX115" s="60"/>
      <c r="AY115" s="60"/>
      <c r="AZ115" s="60"/>
      <c r="BA115" s="60">
        <v>1</v>
      </c>
      <c r="BB115" s="60">
        <v>1</v>
      </c>
      <c r="BC115" s="60">
        <f>'Information Technology'!W1301</f>
        <v>0.1754014267787353</v>
      </c>
      <c r="BD115" s="60">
        <v>1.0619755055865585</v>
      </c>
      <c r="BE115" s="60">
        <v>1</v>
      </c>
      <c r="BF115" s="60">
        <f>'Information Technology'!W1302</f>
        <v>0.44902113817430134</v>
      </c>
      <c r="BG115" s="63" t="e">
        <v>#DIV/0!</v>
      </c>
      <c r="BI115" s="63"/>
      <c r="BJ115" s="63"/>
      <c r="BK115" s="63">
        <v>1</v>
      </c>
      <c r="BL115" s="63">
        <v>1</v>
      </c>
      <c r="BM115" s="63">
        <f t="shared" si="136"/>
        <v>1.6394530714600442</v>
      </c>
    </row>
    <row r="116" spans="1:65">
      <c r="A116" s="53" t="s">
        <v>318</v>
      </c>
      <c r="B116" s="53" t="s">
        <v>319</v>
      </c>
      <c r="C116" s="54">
        <v>5325.6</v>
      </c>
      <c r="D116" s="55" t="s">
        <v>77</v>
      </c>
      <c r="E116" s="67" t="str" cm="1">
        <f t="array" ref="E116">_xll.ciqfunctions.udf.CIQ(B116,"iq_industry")</f>
        <v>Software</v>
      </c>
      <c r="F116" s="60" t="e">
        <f>'Information Technology'!W1834</f>
        <v>#DIV/0!</v>
      </c>
      <c r="G116" s="62">
        <v>404.34400414036173</v>
      </c>
      <c r="K116" s="62">
        <v>1</v>
      </c>
      <c r="L116" s="108">
        <v>1.01</v>
      </c>
      <c r="M116" s="60">
        <f>'Information Technology'!W1835</f>
        <v>0</v>
      </c>
      <c r="N116" s="63">
        <v>5.8296272664000002</v>
      </c>
      <c r="O116" s="63">
        <f t="shared" si="133"/>
        <v>-0.92382454043357487</v>
      </c>
      <c r="P116" s="63">
        <f t="shared" si="134"/>
        <v>-2.8509728254993014</v>
      </c>
      <c r="Q116" s="63">
        <f t="shared" si="135"/>
        <v>1.1490271745006986</v>
      </c>
      <c r="S116" s="63">
        <v>1.2890152992938537</v>
      </c>
      <c r="T116" s="60" t="e">
        <f>'Information Technology'!W1836</f>
        <v>#DIV/0!</v>
      </c>
      <c r="U116" s="63" t="e">
        <v>#DIV/0!</v>
      </c>
      <c r="W116" s="63"/>
      <c r="X116" s="63"/>
      <c r="Z116" s="63">
        <v>1</v>
      </c>
      <c r="AA116" s="60">
        <f>'Information Technology'!W1837</f>
        <v>-1</v>
      </c>
      <c r="AB116" s="63">
        <v>-1</v>
      </c>
      <c r="AC116" s="60"/>
      <c r="AD116" s="60"/>
      <c r="AE116" s="60"/>
      <c r="AF116" s="60">
        <v>5</v>
      </c>
      <c r="AG116" s="60">
        <v>5</v>
      </c>
      <c r="AH116" s="60" t="e">
        <f>'Information Technology'!W1838</f>
        <v>#DIV/0!</v>
      </c>
      <c r="AI116" s="63" t="e">
        <v>#DIV/0!</v>
      </c>
      <c r="AJ116" s="60"/>
      <c r="AK116" s="60"/>
      <c r="AL116" s="60"/>
      <c r="AM116" s="60"/>
      <c r="AN116" s="60">
        <v>1</v>
      </c>
      <c r="AO116" s="60" t="e">
        <f>'Information Technology'!W1839</f>
        <v>#DIV/0!</v>
      </c>
      <c r="AP116" s="60" t="e">
        <v>#DIV/0!</v>
      </c>
      <c r="AQ116" s="60"/>
      <c r="AR116" s="60"/>
      <c r="AS116" s="60"/>
      <c r="AT116" s="60"/>
      <c r="AU116" s="60">
        <v>1</v>
      </c>
      <c r="AV116" s="60">
        <f>'Information Technology'!W1840</f>
        <v>0.47121181818181812</v>
      </c>
      <c r="AW116" s="60">
        <v>0.47121181818181812</v>
      </c>
      <c r="AX116" s="60" t="e">
        <f>(AW116-$AW$263)/$AW$264</f>
        <v>#DIV/0!</v>
      </c>
      <c r="AY116" s="60" t="e">
        <f>AX116-$AX$118</f>
        <v>#DIV/0!</v>
      </c>
      <c r="AZ116" s="60" t="e">
        <f>AY116+5-$AY$93</f>
        <v>#DIV/0!</v>
      </c>
      <c r="BA116" s="60">
        <v>2.735204326573383</v>
      </c>
      <c r="BB116" s="60">
        <v>2.735204326573383</v>
      </c>
      <c r="BC116" s="60" t="e">
        <f>'Information Technology'!W1841</f>
        <v>#DIV/0!</v>
      </c>
      <c r="BD116" s="60" t="e">
        <v>#DIV/0!</v>
      </c>
      <c r="BE116" s="60">
        <v>1</v>
      </c>
      <c r="BF116" s="60" t="e">
        <f>'Information Technology'!W1842</f>
        <v>#DIV/0!</v>
      </c>
      <c r="BG116" s="63" t="e">
        <v>#DIV/0!</v>
      </c>
      <c r="BI116" s="63"/>
      <c r="BJ116" s="63"/>
      <c r="BK116" s="63">
        <v>1</v>
      </c>
      <c r="BL116" s="63">
        <v>1</v>
      </c>
      <c r="BM116" s="63">
        <f t="shared" si="136"/>
        <v>1.4371965801043773</v>
      </c>
    </row>
    <row r="117" spans="1:65">
      <c r="A117" s="53" t="s">
        <v>302</v>
      </c>
      <c r="B117" s="53" t="s">
        <v>303</v>
      </c>
      <c r="C117" s="54">
        <v>5912.6</v>
      </c>
      <c r="D117" s="55" t="s">
        <v>77</v>
      </c>
      <c r="E117" s="67" t="str" cm="1">
        <f t="array" ref="E117">_xll.ciqfunctions.udf.CIQ(B117,"iq_industry")</f>
        <v>Software</v>
      </c>
      <c r="F117" s="60">
        <f>'Information Technology'!W1714</f>
        <v>429.08106179547451</v>
      </c>
      <c r="G117" s="62">
        <v>-8.261610553577329</v>
      </c>
      <c r="K117" s="62">
        <v>1</v>
      </c>
      <c r="L117" s="108">
        <v>1</v>
      </c>
      <c r="M117" s="60">
        <f>'Information Technology'!W1715</f>
        <v>5.695845834</v>
      </c>
      <c r="N117" s="63">
        <v>6.1343859420000006</v>
      </c>
      <c r="O117" s="63">
        <f t="shared" si="133"/>
        <v>-0.83152934238746246</v>
      </c>
      <c r="P117" s="63">
        <f t="shared" si="134"/>
        <v>-2.758677627453189</v>
      </c>
      <c r="Q117" s="63">
        <f t="shared" si="135"/>
        <v>1.241322372546811</v>
      </c>
      <c r="S117" s="63">
        <v>1.3813104973399666</v>
      </c>
      <c r="T117" s="60" t="e">
        <f>'Information Technology'!W1716</f>
        <v>#DIV/0!</v>
      </c>
      <c r="U117" s="63" t="e">
        <v>#DIV/0!</v>
      </c>
      <c r="W117" s="63"/>
      <c r="X117" s="63"/>
      <c r="Z117" s="63">
        <v>1</v>
      </c>
      <c r="AA117" s="60">
        <f>'Information Technology'!W1717</f>
        <v>5.0669285869466618E-2</v>
      </c>
      <c r="AB117" s="63">
        <v>-0.58828178234059592</v>
      </c>
      <c r="AC117" s="60"/>
      <c r="AD117" s="60"/>
      <c r="AE117" s="60"/>
      <c r="AF117" s="60">
        <v>4.4000000000000004</v>
      </c>
      <c r="AG117" s="60">
        <v>4.4000000000000004</v>
      </c>
      <c r="AH117" s="60">
        <f>'Information Technology'!W1718</f>
        <v>-0.27912632783566893</v>
      </c>
      <c r="AI117" s="63">
        <v>-0.14429266053330705</v>
      </c>
      <c r="AJ117" s="60"/>
      <c r="AL117" s="60"/>
      <c r="AM117" s="60"/>
      <c r="AN117" s="60">
        <v>1</v>
      </c>
      <c r="AO117" s="60">
        <f>'Information Technology'!W1719</f>
        <v>1.8872559080626274E-2</v>
      </c>
      <c r="AP117" s="60">
        <v>-2.3296828002339596E-2</v>
      </c>
      <c r="AQ117" s="60"/>
      <c r="AR117" s="60"/>
      <c r="AS117" s="60"/>
      <c r="AT117" s="60">
        <v>1</v>
      </c>
      <c r="AU117" s="60">
        <v>1</v>
      </c>
      <c r="AV117" s="60" t="e">
        <f>'Information Technology'!W1720</f>
        <v>#DIV/0!</v>
      </c>
      <c r="AW117" s="60" t="e">
        <v>#DIV/0!</v>
      </c>
      <c r="AX117" s="60"/>
      <c r="AY117" s="60"/>
      <c r="AZ117" s="60"/>
      <c r="BA117" s="60">
        <v>1</v>
      </c>
      <c r="BB117" s="60">
        <v>1</v>
      </c>
      <c r="BC117" s="60">
        <f>'Information Technology'!W1721</f>
        <v>-0.37551327592723832</v>
      </c>
      <c r="BD117" s="60">
        <v>3.2896432483769331</v>
      </c>
      <c r="BE117" s="60">
        <v>1</v>
      </c>
      <c r="BF117" s="60">
        <f>'Information Technology'!W1722</f>
        <v>4.1384859845254098</v>
      </c>
      <c r="BG117" s="63" t="e">
        <v>#DIV/0!</v>
      </c>
      <c r="BI117" s="63"/>
      <c r="BJ117" s="63"/>
      <c r="BK117" s="63">
        <v>1</v>
      </c>
      <c r="BL117" s="63">
        <v>1</v>
      </c>
      <c r="BM117" s="63">
        <f t="shared" si="136"/>
        <v>1.2325982873004975</v>
      </c>
    </row>
    <row r="118" spans="1:65">
      <c r="A118" s="53" t="s">
        <v>228</v>
      </c>
      <c r="B118" s="53" t="s">
        <v>229</v>
      </c>
      <c r="C118" s="54">
        <v>12373.4</v>
      </c>
      <c r="D118" s="55" t="s">
        <v>77</v>
      </c>
      <c r="E118" s="67" t="str" cm="1">
        <f t="array" ref="E118">_xll.ciqfunctions.udf.CIQ(B118,"iq_industry")</f>
        <v>Software</v>
      </c>
      <c r="F118" s="60">
        <f>'Information Technology'!W1159</f>
        <v>13.638487314099999</v>
      </c>
      <c r="G118" s="62" t="e">
        <v>#DIV/0!</v>
      </c>
      <c r="K118" s="62">
        <v>1</v>
      </c>
      <c r="L118" s="108">
        <v>1</v>
      </c>
      <c r="M118" s="60">
        <f>'Information Technology'!W1160</f>
        <v>5.8667544082000003</v>
      </c>
      <c r="N118" s="63">
        <v>13.170519717199999</v>
      </c>
      <c r="O118" s="63">
        <f t="shared" si="133"/>
        <v>1.2993414490100286</v>
      </c>
      <c r="P118" s="63">
        <f t="shared" si="134"/>
        <v>-0.62780683605569809</v>
      </c>
      <c r="Q118" s="63">
        <f t="shared" si="135"/>
        <v>3.3721931639443019</v>
      </c>
      <c r="S118" s="63">
        <v>3.5121812887374624</v>
      </c>
      <c r="T118" s="60">
        <f>'Information Technology'!W1161</f>
        <v>44.675171834586436</v>
      </c>
      <c r="U118" s="63" t="e">
        <v>#DIV/0!</v>
      </c>
      <c r="W118" s="63"/>
      <c r="X118" s="63"/>
      <c r="Z118" s="63">
        <v>1</v>
      </c>
      <c r="AA118" s="60">
        <f>'Information Technology'!W1162</f>
        <v>1.5862917943350041E-3</v>
      </c>
      <c r="AB118" s="63" t="e">
        <v>#DIV/0!</v>
      </c>
      <c r="AC118" s="60"/>
      <c r="AD118" s="60"/>
      <c r="AE118" s="60"/>
      <c r="AF118" s="60"/>
      <c r="AG118" s="60">
        <v>1</v>
      </c>
      <c r="AH118" s="60">
        <f>'Information Technology'!W1163</f>
        <v>0.11837109532624422</v>
      </c>
      <c r="AI118" s="63" t="e">
        <v>#DIV/0!</v>
      </c>
      <c r="AJ118" s="60"/>
      <c r="AK118" s="60"/>
      <c r="AL118" s="60"/>
      <c r="AM118" s="60"/>
      <c r="AN118" s="60">
        <v>1</v>
      </c>
      <c r="AO118" s="60">
        <f>'Information Technology'!W1164</f>
        <v>2.2983275372908996E-2</v>
      </c>
      <c r="AP118" s="60" t="e">
        <v>#DIV/0!</v>
      </c>
      <c r="AQ118" s="60"/>
      <c r="AR118" s="60"/>
      <c r="AS118" s="60"/>
      <c r="AT118" s="60"/>
      <c r="AU118" s="60">
        <v>1</v>
      </c>
      <c r="AV118" s="60">
        <f>'Information Technology'!W1165</f>
        <v>0.22892454545454555</v>
      </c>
      <c r="AW118" s="60" t="e">
        <v>#DIV/0!</v>
      </c>
      <c r="AX118" s="60"/>
      <c r="AY118" s="60"/>
      <c r="AZ118" s="60"/>
      <c r="BA118" s="60">
        <v>1</v>
      </c>
      <c r="BB118" s="60">
        <v>1</v>
      </c>
      <c r="BC118" s="60">
        <f>'Information Technology'!W1166</f>
        <v>0.24632839088276567</v>
      </c>
      <c r="BD118" s="60" t="e">
        <v>#DIV/0!</v>
      </c>
      <c r="BE118" s="60">
        <v>1</v>
      </c>
      <c r="BF118" s="60">
        <f>'Information Technology'!W1167</f>
        <v>0.65777866806044638</v>
      </c>
      <c r="BG118" s="63" t="e">
        <v>#DIV/0!</v>
      </c>
      <c r="BI118" s="63"/>
      <c r="BJ118" s="63"/>
      <c r="BK118" s="63">
        <v>1</v>
      </c>
      <c r="BL118" s="63">
        <v>1</v>
      </c>
      <c r="BM118" s="63">
        <f t="shared" si="136"/>
        <v>1.1884135966553098</v>
      </c>
    </row>
    <row r="119" spans="1:65">
      <c r="A119" s="53" t="s">
        <v>222</v>
      </c>
      <c r="B119" s="53" t="s">
        <v>223</v>
      </c>
      <c r="C119" s="54">
        <v>12805.4</v>
      </c>
      <c r="D119" s="55" t="s">
        <v>77</v>
      </c>
      <c r="E119" s="67" t="str" cm="1">
        <f t="array" ref="E119">_xll.ciqfunctions.udf.CIQ(B119,"iq_industry")</f>
        <v>Software</v>
      </c>
      <c r="F119" s="60">
        <f>'Information Technology'!W1114</f>
        <v>17.751333171594357</v>
      </c>
      <c r="G119" s="62" t="e">
        <v>#DIV/0!</v>
      </c>
      <c r="K119" s="62">
        <v>1</v>
      </c>
      <c r="L119" s="108">
        <v>1</v>
      </c>
      <c r="M119" s="60">
        <f>'Information Technology'!W1115</f>
        <v>11.966273204</v>
      </c>
      <c r="N119" s="63">
        <v>12.906908026599998</v>
      </c>
      <c r="O119" s="63">
        <f t="shared" si="133"/>
        <v>1.2195074848306751</v>
      </c>
      <c r="P119" s="63">
        <f t="shared" si="134"/>
        <v>-0.7076408002350516</v>
      </c>
      <c r="Q119" s="63">
        <f t="shared" si="135"/>
        <v>3.2923591997649488</v>
      </c>
      <c r="S119" s="63">
        <v>3.4323473245581084</v>
      </c>
      <c r="T119" s="60" t="e">
        <f>'Information Technology'!W1116</f>
        <v>#DIV/0!</v>
      </c>
      <c r="U119" s="63" t="e">
        <v>#DIV/0!</v>
      </c>
      <c r="W119" s="63"/>
      <c r="X119" s="63"/>
      <c r="Z119" s="63">
        <v>1</v>
      </c>
      <c r="AA119" s="60">
        <f>'Information Technology'!W1117</f>
        <v>-9.500808811499728E-3</v>
      </c>
      <c r="AB119" s="63" t="e">
        <v>#DIV/0!</v>
      </c>
      <c r="AC119" s="60"/>
      <c r="AD119" s="60"/>
      <c r="AE119" s="60"/>
      <c r="AF119" s="60"/>
      <c r="AG119" s="60">
        <v>1</v>
      </c>
      <c r="AH119" s="60">
        <f>'Information Technology'!W1118</f>
        <v>0.10745626824444328</v>
      </c>
      <c r="AI119" s="63" t="e">
        <v>#DIV/0!</v>
      </c>
      <c r="AJ119" s="60"/>
      <c r="AK119" s="60"/>
      <c r="AL119" s="60"/>
      <c r="AM119" s="60"/>
      <c r="AN119" s="60">
        <v>1</v>
      </c>
      <c r="AO119" s="60">
        <f>'Information Technology'!W1119</f>
        <v>2.1900122171976476E-2</v>
      </c>
      <c r="AP119" s="60" t="e">
        <v>#DIV/0!</v>
      </c>
      <c r="AQ119" s="60"/>
      <c r="AR119" s="60"/>
      <c r="AS119" s="60"/>
      <c r="AT119" s="60"/>
      <c r="AU119" s="60">
        <v>1</v>
      </c>
      <c r="AV119" s="60">
        <f>'Information Technology'!W1120</f>
        <v>0.29069181818181822</v>
      </c>
      <c r="AW119" s="60" t="e">
        <v>#DIV/0!</v>
      </c>
      <c r="AX119" s="60"/>
      <c r="AY119" s="60"/>
      <c r="AZ119" s="60"/>
      <c r="BA119" s="60">
        <v>1</v>
      </c>
      <c r="BB119" s="60">
        <v>1</v>
      </c>
      <c r="BC119" s="60">
        <f>'Information Technology'!W1121</f>
        <v>-1.8223337847174181E-2</v>
      </c>
      <c r="BD119" s="60" t="e">
        <v>#DIV/0!</v>
      </c>
      <c r="BE119" s="60">
        <v>1</v>
      </c>
      <c r="BF119" s="60">
        <f>'Information Technology'!W1122</f>
        <v>0.29685078610907556</v>
      </c>
      <c r="BG119" s="63" t="e">
        <v>#DIV/0!</v>
      </c>
      <c r="BI119" s="63"/>
      <c r="BJ119" s="63"/>
      <c r="BK119" s="63">
        <v>1</v>
      </c>
      <c r="BL119" s="63">
        <v>1</v>
      </c>
      <c r="BM119" s="63">
        <f t="shared" si="136"/>
        <v>1.1824260493418581</v>
      </c>
    </row>
    <row r="120" spans="1:65">
      <c r="A120" s="53" t="s">
        <v>264</v>
      </c>
      <c r="B120" s="53" t="s">
        <v>265</v>
      </c>
      <c r="C120" s="54">
        <v>8894.2000000000007</v>
      </c>
      <c r="D120" s="55" t="s">
        <v>77</v>
      </c>
      <c r="E120" s="67" t="str" cm="1">
        <f t="array" ref="E120">_xll.ciqfunctions.udf.CIQ(B120,"iq_industry")</f>
        <v>Software</v>
      </c>
      <c r="F120" s="60">
        <f>'Information Technology'!W1429</f>
        <v>9.8212045350448243</v>
      </c>
      <c r="G120" s="62" t="e">
        <v>#DIV/0!</v>
      </c>
      <c r="K120" s="62">
        <v>1</v>
      </c>
      <c r="L120" s="108">
        <v>1</v>
      </c>
      <c r="M120" s="60">
        <f>'Information Technology'!W1430</f>
        <v>13.708103201650001</v>
      </c>
      <c r="N120" s="63">
        <v>9.2480531396000014</v>
      </c>
      <c r="O120" s="63">
        <f t="shared" si="133"/>
        <v>0.11143489016931971</v>
      </c>
      <c r="P120" s="63">
        <f t="shared" si="134"/>
        <v>-1.815713394896407</v>
      </c>
      <c r="Q120" s="63">
        <f t="shared" si="135"/>
        <v>2.1842866051035932</v>
      </c>
      <c r="S120" s="63">
        <v>2.3242747298967501</v>
      </c>
      <c r="T120" s="60">
        <f>'Information Technology'!W1431</f>
        <v>17.169983507062156</v>
      </c>
      <c r="U120" s="63" t="e">
        <v>#DIV/0!</v>
      </c>
      <c r="W120" s="63"/>
      <c r="X120" s="63"/>
      <c r="Z120" s="63">
        <v>1</v>
      </c>
      <c r="AA120" s="60">
        <f>'Information Technology'!W1432</f>
        <v>7.182276052271952E-3</v>
      </c>
      <c r="AB120" s="63" t="e">
        <v>#DIV/0!</v>
      </c>
      <c r="AC120" s="60"/>
      <c r="AD120" s="60"/>
      <c r="AE120" s="60"/>
      <c r="AF120" s="60"/>
      <c r="AG120" s="60">
        <v>1</v>
      </c>
      <c r="AH120" s="60">
        <f>'Information Technology'!W1433</f>
        <v>0.26791498796511864</v>
      </c>
      <c r="AI120" s="63" t="e">
        <v>#DIV/0!</v>
      </c>
      <c r="AJ120" s="60"/>
      <c r="AK120" s="60"/>
      <c r="AL120" s="60"/>
      <c r="AM120" s="60"/>
      <c r="AN120" s="60">
        <v>1</v>
      </c>
      <c r="AO120" s="60">
        <f>'Information Technology'!W1434</f>
        <v>7.9742928784054659E-2</v>
      </c>
      <c r="AP120" s="60" t="e">
        <v>#DIV/0!</v>
      </c>
      <c r="AQ120" s="60"/>
      <c r="AR120" s="60"/>
      <c r="AS120" s="60"/>
      <c r="AT120" s="60"/>
      <c r="AU120" s="60">
        <v>1</v>
      </c>
      <c r="AV120" s="60">
        <f>'Information Technology'!W1435</f>
        <v>3.8672700000000004</v>
      </c>
      <c r="AW120" s="60" t="e">
        <v>#DIV/0!</v>
      </c>
      <c r="AX120" s="60"/>
      <c r="AY120" s="60"/>
      <c r="AZ120" s="60"/>
      <c r="BA120" s="60">
        <v>1</v>
      </c>
      <c r="BB120" s="60">
        <v>1</v>
      </c>
      <c r="BC120" s="60">
        <f>'Information Technology'!W1436</f>
        <v>0.41518375944989588</v>
      </c>
      <c r="BD120" s="60" t="e">
        <v>#DIV/0!</v>
      </c>
      <c r="BE120" s="60">
        <v>1</v>
      </c>
      <c r="BF120" s="60">
        <f>'Information Technology'!W1437</f>
        <v>0.19759301742033902</v>
      </c>
      <c r="BG120" s="63" t="e">
        <v>#DIV/0!</v>
      </c>
      <c r="BI120" s="63"/>
      <c r="BJ120" s="63"/>
      <c r="BK120" s="63">
        <v>1</v>
      </c>
      <c r="BL120" s="63">
        <v>1</v>
      </c>
      <c r="BM120" s="63">
        <f t="shared" si="136"/>
        <v>1.0993206047422561</v>
      </c>
    </row>
    <row r="121" spans="1:65">
      <c r="A121" s="53" t="s">
        <v>256</v>
      </c>
      <c r="B121" s="53" t="s">
        <v>257</v>
      </c>
      <c r="C121" s="54">
        <v>9232.2000000000007</v>
      </c>
      <c r="D121" s="55" t="s">
        <v>67</v>
      </c>
      <c r="E121" s="67" t="str" cm="1">
        <f t="array" ref="E121">_xll.ciqfunctions.udf.CIQ(B121,"iq_industry")</f>
        <v>Software</v>
      </c>
      <c r="F121" s="60">
        <f>'Information Technology'!W1369</f>
        <v>64.168023385546306</v>
      </c>
      <c r="G121" s="62" t="e">
        <v>#DIV/0!</v>
      </c>
      <c r="K121" s="62">
        <v>1</v>
      </c>
      <c r="L121" s="108">
        <v>1</v>
      </c>
      <c r="M121" s="60">
        <f>'Information Technology'!W1370</f>
        <v>8.0201390199000002</v>
      </c>
      <c r="N121" s="63">
        <v>9.2463319383500018</v>
      </c>
      <c r="O121" s="63">
        <f t="shared" si="133"/>
        <v>0.11091362983133858</v>
      </c>
      <c r="P121" s="63">
        <f t="shared" si="134"/>
        <v>-1.816234655234388</v>
      </c>
      <c r="Q121" s="63">
        <f t="shared" si="135"/>
        <v>2.1837653447656118</v>
      </c>
      <c r="S121" s="63">
        <v>2.3237534695587696</v>
      </c>
      <c r="T121" s="60" t="e">
        <f>'Information Technology'!W1371</f>
        <v>#DIV/0!</v>
      </c>
      <c r="U121" s="63" t="e">
        <v>#DIV/0!</v>
      </c>
      <c r="W121" s="63"/>
      <c r="X121" s="63"/>
      <c r="Z121" s="63">
        <v>1</v>
      </c>
      <c r="AA121" s="60">
        <f>'Information Technology'!W1372</f>
        <v>9.5866578854308937E-3</v>
      </c>
      <c r="AB121" s="63" t="e">
        <v>#DIV/0!</v>
      </c>
      <c r="AC121" s="60"/>
      <c r="AD121" s="60"/>
      <c r="AE121" s="60"/>
      <c r="AF121" s="60"/>
      <c r="AG121" s="60">
        <v>1</v>
      </c>
      <c r="AH121" s="60">
        <f>'Information Technology'!W1373</f>
        <v>0.17033578316553599</v>
      </c>
      <c r="AI121" s="63" t="e">
        <v>#DIV/0!</v>
      </c>
      <c r="AJ121" s="60"/>
      <c r="AK121" s="60"/>
      <c r="AL121" s="60"/>
      <c r="AM121" s="60"/>
      <c r="AN121" s="60">
        <v>1</v>
      </c>
      <c r="AO121" s="60">
        <f>'Information Technology'!W1374</f>
        <v>0.38958889693508608</v>
      </c>
      <c r="AP121" s="60" t="e">
        <v>#DIV/0!</v>
      </c>
      <c r="AQ121" s="60"/>
      <c r="AR121" s="60"/>
      <c r="AS121" s="60"/>
      <c r="AT121" s="60"/>
      <c r="AU121" s="60">
        <v>1</v>
      </c>
      <c r="AV121" s="60">
        <f>'Information Technology'!W1375</f>
        <v>2.2396509090909094</v>
      </c>
      <c r="AW121" s="60" t="e">
        <v>#DIV/0!</v>
      </c>
      <c r="AX121" s="60"/>
      <c r="AY121" s="60"/>
      <c r="AZ121" s="60"/>
      <c r="BA121" s="60">
        <v>1</v>
      </c>
      <c r="BB121" s="60">
        <v>1</v>
      </c>
      <c r="BC121" s="60">
        <f>'Information Technology'!W1376</f>
        <v>-0.62737129563554594</v>
      </c>
      <c r="BD121" s="60" t="e">
        <v>#DIV/0!</v>
      </c>
      <c r="BE121" s="60">
        <v>1</v>
      </c>
      <c r="BF121" s="60">
        <f>'Information Technology'!W1377</f>
        <v>1.9188997025715038</v>
      </c>
      <c r="BG121" s="63" t="e">
        <v>#DIV/0!</v>
      </c>
      <c r="BI121" s="63"/>
      <c r="BJ121" s="63"/>
      <c r="BK121" s="63">
        <v>1</v>
      </c>
      <c r="BL121" s="63">
        <v>1</v>
      </c>
      <c r="BM121" s="63">
        <f t="shared" si="136"/>
        <v>1.0992815102169076</v>
      </c>
    </row>
    <row r="122" spans="1:65">
      <c r="A122" s="53" t="s">
        <v>270</v>
      </c>
      <c r="B122" s="53" t="s">
        <v>271</v>
      </c>
      <c r="C122" s="54">
        <v>8409.2000000000007</v>
      </c>
      <c r="D122" s="55" t="s">
        <v>77</v>
      </c>
      <c r="E122" s="67" t="str" cm="1">
        <f t="array" ref="E122">_xll.ciqfunctions.udf.CIQ(B122,"iq_industry")</f>
        <v>Software</v>
      </c>
      <c r="F122" s="60">
        <f>'Information Technology'!W1474</f>
        <v>9.8720941171177419</v>
      </c>
      <c r="G122" s="62" t="e">
        <v>#DIV/0!</v>
      </c>
      <c r="K122" s="62">
        <v>1</v>
      </c>
      <c r="L122" s="108">
        <v>1</v>
      </c>
      <c r="M122" s="60">
        <f>'Information Technology'!W1475</f>
        <v>9.8627577894999998</v>
      </c>
      <c r="N122" s="63">
        <v>8.0049537164999993</v>
      </c>
      <c r="O122" s="63">
        <f t="shared" si="133"/>
        <v>-0.26503382633281541</v>
      </c>
      <c r="P122" s="63">
        <f t="shared" si="134"/>
        <v>-2.1921821113985422</v>
      </c>
      <c r="Q122" s="63">
        <f t="shared" si="135"/>
        <v>1.8078178886014578</v>
      </c>
      <c r="S122" s="63">
        <v>1.9478060133946151</v>
      </c>
      <c r="T122" s="60" t="e">
        <f>'Information Technology'!W1476</f>
        <v>#DIV/0!</v>
      </c>
      <c r="U122" s="63" t="e">
        <v>#DIV/0!</v>
      </c>
      <c r="W122" s="63"/>
      <c r="X122" s="63"/>
      <c r="Z122" s="63">
        <v>1</v>
      </c>
      <c r="AA122" s="60">
        <f>'Information Technology'!W1477</f>
        <v>-3.4108541146084081E-2</v>
      </c>
      <c r="AB122" s="63" t="e">
        <v>#DIV/0!</v>
      </c>
      <c r="AC122" s="60"/>
      <c r="AD122" s="60"/>
      <c r="AE122" s="60"/>
      <c r="AF122" s="60"/>
      <c r="AG122" s="60">
        <v>1</v>
      </c>
      <c r="AH122" s="60">
        <f>'Information Technology'!W1478</f>
        <v>6.0893924151912235E-2</v>
      </c>
      <c r="AI122" s="63" t="e">
        <v>#DIV/0!</v>
      </c>
      <c r="AJ122" s="60"/>
      <c r="AK122" s="60"/>
      <c r="AL122" s="60"/>
      <c r="AM122" s="60"/>
      <c r="AN122" s="60">
        <v>1</v>
      </c>
      <c r="AO122" s="60">
        <f>'Information Technology'!W1479</f>
        <v>0.15958509616284353</v>
      </c>
      <c r="AP122" s="60" t="e">
        <v>#DIV/0!</v>
      </c>
      <c r="AQ122" s="60"/>
      <c r="AR122" s="60"/>
      <c r="AS122" s="60"/>
      <c r="AT122" s="60"/>
      <c r="AU122" s="60">
        <v>1</v>
      </c>
      <c r="AV122" s="60" t="e">
        <f>'Information Technology'!W1480</f>
        <v>#DIV/0!</v>
      </c>
      <c r="AW122" s="60" t="e">
        <v>#DIV/0!</v>
      </c>
      <c r="AX122" s="60"/>
      <c r="AY122" s="60"/>
      <c r="AZ122" s="60"/>
      <c r="BA122" s="60">
        <v>1</v>
      </c>
      <c r="BB122" s="60">
        <v>1</v>
      </c>
      <c r="BC122" s="60">
        <f>'Information Technology'!W1481</f>
        <v>0.17363557643031077</v>
      </c>
      <c r="BD122" s="60" t="e">
        <v>#DIV/0!</v>
      </c>
      <c r="BE122" s="60">
        <v>1</v>
      </c>
      <c r="BF122" s="60">
        <f>'Information Technology'!W1482</f>
        <v>1.1609842077173398</v>
      </c>
      <c r="BG122" s="63" t="e">
        <v>#DIV/0!</v>
      </c>
      <c r="BI122" s="63"/>
      <c r="BJ122" s="63"/>
      <c r="BK122" s="63">
        <v>1</v>
      </c>
      <c r="BL122" s="63">
        <v>1</v>
      </c>
      <c r="BM122" s="63">
        <f t="shared" si="136"/>
        <v>1.0710854510045962</v>
      </c>
    </row>
    <row r="123" spans="1:65">
      <c r="A123" s="53" t="s">
        <v>290</v>
      </c>
      <c r="B123" s="53" t="s">
        <v>291</v>
      </c>
      <c r="C123" s="54">
        <v>6961.5</v>
      </c>
      <c r="D123" s="55" t="s">
        <v>67</v>
      </c>
      <c r="E123" s="67" t="str" cm="1">
        <f t="array" ref="E123">_xll.ciqfunctions.udf.CIQ(B123,"iq_industry")</f>
        <v>Software</v>
      </c>
      <c r="F123" s="60">
        <f>'Information Technology'!W1624</f>
        <v>52.029139204763268</v>
      </c>
      <c r="G123" s="62" t="e">
        <v>#DIV/0!</v>
      </c>
      <c r="K123" s="62">
        <v>1</v>
      </c>
      <c r="L123" s="108">
        <v>1</v>
      </c>
      <c r="M123" s="60">
        <f>'Information Technology'!W1625</f>
        <v>7.9807833563999999</v>
      </c>
      <c r="N123" s="63">
        <v>7.3273655</v>
      </c>
      <c r="O123" s="63">
        <f t="shared" si="133"/>
        <v>-0.47023926802354382</v>
      </c>
      <c r="P123" s="63">
        <f t="shared" si="134"/>
        <v>-2.3973875530892705</v>
      </c>
      <c r="Q123" s="63">
        <f t="shared" si="135"/>
        <v>1.6026124469107295</v>
      </c>
      <c r="S123" s="63">
        <v>1.7426005717038855</v>
      </c>
      <c r="T123" s="60" t="e">
        <f>'Information Technology'!W1626</f>
        <v>#DIV/0!</v>
      </c>
      <c r="U123" s="63" t="e">
        <v>#DIV/0!</v>
      </c>
      <c r="W123" s="63"/>
      <c r="X123" s="63"/>
      <c r="Z123" s="63">
        <v>1</v>
      </c>
      <c r="AA123" s="60">
        <f>'Information Technology'!W1627</f>
        <v>2.0568170794545981E-3</v>
      </c>
      <c r="AB123" s="63" t="e">
        <v>#DIV/0!</v>
      </c>
      <c r="AC123" s="60"/>
      <c r="AD123" s="60"/>
      <c r="AE123" s="60"/>
      <c r="AF123" s="60"/>
      <c r="AG123" s="60">
        <v>1</v>
      </c>
      <c r="AH123" s="60">
        <f>'Information Technology'!W1628</f>
        <v>-8.5425887140577417E-2</v>
      </c>
      <c r="AI123" s="63" t="e">
        <v>#DIV/0!</v>
      </c>
      <c r="AJ123" s="60"/>
      <c r="AK123" s="60"/>
      <c r="AL123" s="60"/>
      <c r="AM123" s="60"/>
      <c r="AN123" s="60">
        <v>1</v>
      </c>
      <c r="AO123" s="60">
        <f>'Information Technology'!W1629</f>
        <v>3.4299092005132203E-2</v>
      </c>
      <c r="AP123" s="60" t="e">
        <v>#DIV/0!</v>
      </c>
      <c r="AQ123" s="60"/>
      <c r="AR123" s="60"/>
      <c r="AS123" s="60"/>
      <c r="AT123" s="60"/>
      <c r="AU123" s="60">
        <v>1</v>
      </c>
      <c r="AV123" s="60">
        <f>'Information Technology'!W1630</f>
        <v>-2.7254109090909093</v>
      </c>
      <c r="AW123" s="60" t="e">
        <v>#DIV/0!</v>
      </c>
      <c r="AX123" s="60"/>
      <c r="AY123" s="60"/>
      <c r="AZ123" s="60"/>
      <c r="BA123" s="60">
        <v>1</v>
      </c>
      <c r="BB123" s="60">
        <v>1</v>
      </c>
      <c r="BC123" s="60">
        <f>'Information Technology'!W1631</f>
        <v>0.51405941736883054</v>
      </c>
      <c r="BD123" s="60" t="e">
        <v>#DIV/0!</v>
      </c>
      <c r="BE123" s="60">
        <v>1</v>
      </c>
      <c r="BF123" s="60">
        <f>'Information Technology'!W1632</f>
        <v>0.70909192553356803</v>
      </c>
      <c r="BG123" s="63" t="e">
        <v>#DIV/0!</v>
      </c>
      <c r="BI123" s="63"/>
      <c r="BJ123" s="63"/>
      <c r="BK123" s="63">
        <v>1</v>
      </c>
      <c r="BL123" s="63">
        <v>1</v>
      </c>
      <c r="BM123" s="63">
        <f t="shared" si="136"/>
        <v>1.0556950428777914</v>
      </c>
    </row>
    <row r="124" spans="1:65">
      <c r="A124" s="53" t="s">
        <v>306</v>
      </c>
      <c r="B124" s="53" t="s">
        <v>307</v>
      </c>
      <c r="C124" s="54">
        <v>5689.3</v>
      </c>
      <c r="D124" s="55" t="s">
        <v>77</v>
      </c>
      <c r="E124" s="67" t="str" cm="1">
        <f t="array" ref="E124">_xll.ciqfunctions.udf.CIQ(B124,"iq_industry")</f>
        <v>Software</v>
      </c>
      <c r="F124" s="60" t="e">
        <f>'Information Technology'!W1744</f>
        <v>#DIV/0!</v>
      </c>
      <c r="G124" s="62" t="e">
        <v>#DIV/0!</v>
      </c>
      <c r="K124" s="62">
        <v>1</v>
      </c>
      <c r="L124" s="108">
        <v>1</v>
      </c>
      <c r="M124" s="60">
        <f>'Information Technology'!W1745</f>
        <v>14.561395073199998</v>
      </c>
      <c r="N124" s="63">
        <v>5.4750210064999996</v>
      </c>
      <c r="O124" s="63">
        <f t="shared" si="133"/>
        <v>-1.0312159212414449</v>
      </c>
      <c r="P124" s="63">
        <f t="shared" si="134"/>
        <v>-2.9583642063071718</v>
      </c>
      <c r="Q124" s="63">
        <f t="shared" si="135"/>
        <v>1.0416357936928282</v>
      </c>
      <c r="S124" s="63">
        <v>1.1816239184859834</v>
      </c>
      <c r="T124" s="60" t="e">
        <f>'Information Technology'!W1746</f>
        <v>#DIV/0!</v>
      </c>
      <c r="U124" s="63" t="e">
        <v>#DIV/0!</v>
      </c>
      <c r="W124" s="63"/>
      <c r="X124" s="63"/>
      <c r="Z124" s="63">
        <v>1</v>
      </c>
      <c r="AA124" s="60" t="e">
        <f>'Information Technology'!W1747</f>
        <v>#DIV/0!</v>
      </c>
      <c r="AB124" s="63" t="e">
        <v>#DIV/0!</v>
      </c>
      <c r="AC124" s="60"/>
      <c r="AD124" s="60"/>
      <c r="AE124" s="60"/>
      <c r="AF124" s="60"/>
      <c r="AG124" s="60">
        <v>1</v>
      </c>
      <c r="AH124" s="60" t="e">
        <f>'Information Technology'!W1748</f>
        <v>#DIV/0!</v>
      </c>
      <c r="AI124" s="63" t="e">
        <v>#DIV/0!</v>
      </c>
      <c r="AJ124" s="60"/>
      <c r="AK124" s="60"/>
      <c r="AL124" s="60"/>
      <c r="AM124" s="60"/>
      <c r="AN124" s="60">
        <v>1</v>
      </c>
      <c r="AO124" s="60" t="e">
        <f>'Information Technology'!W1749</f>
        <v>#DIV/0!</v>
      </c>
      <c r="AP124" s="60" t="e">
        <v>#DIV/0!</v>
      </c>
      <c r="AQ124" s="60"/>
      <c r="AR124" s="60"/>
      <c r="AS124" s="60"/>
      <c r="AT124" s="60"/>
      <c r="AU124" s="60">
        <v>1</v>
      </c>
      <c r="AV124" s="60" t="e">
        <f>'Information Technology'!W1750</f>
        <v>#DIV/0!</v>
      </c>
      <c r="AW124" s="60" t="e">
        <v>#DIV/0!</v>
      </c>
      <c r="AX124" s="60"/>
      <c r="AY124" s="60"/>
      <c r="AZ124" s="60"/>
      <c r="BA124" s="60">
        <v>1</v>
      </c>
      <c r="BB124" s="60">
        <v>1</v>
      </c>
      <c r="BC124" s="60" t="e">
        <f>'Information Technology'!W1751</f>
        <v>#DIV/0!</v>
      </c>
      <c r="BD124" s="60" t="e">
        <v>#DIV/0!</v>
      </c>
      <c r="BE124" s="60">
        <v>1</v>
      </c>
      <c r="BF124" s="60" t="e">
        <f>'Information Technology'!W1752</f>
        <v>#DIV/0!</v>
      </c>
      <c r="BG124" s="63" t="e">
        <v>#DIV/0!</v>
      </c>
      <c r="BI124" s="63"/>
      <c r="BJ124" s="63"/>
      <c r="BK124" s="63">
        <v>1</v>
      </c>
      <c r="BL124" s="63">
        <v>1</v>
      </c>
      <c r="BM124" s="63">
        <f t="shared" si="136"/>
        <v>1.0136217938864487</v>
      </c>
    </row>
    <row r="125" spans="1:65">
      <c r="A125" s="53" t="s">
        <v>240</v>
      </c>
      <c r="B125" s="53" t="s">
        <v>241</v>
      </c>
      <c r="C125" s="54">
        <v>10803</v>
      </c>
      <c r="D125" s="55" t="s">
        <v>64</v>
      </c>
      <c r="E125" s="67" t="str" cm="1">
        <f t="array" ref="E125">_xll.ciqfunctions.udf.CIQ(B125,"iq_industry")</f>
        <v>Technology Hardware, Storage and Peripherals</v>
      </c>
      <c r="F125" s="60">
        <f>'Information Technology'!W1249</f>
        <v>11.223820273363993</v>
      </c>
      <c r="G125" s="62">
        <v>24.921683264267422</v>
      </c>
      <c r="H125" s="62" t="e">
        <f>-(G125-$G$263)/$G$264</f>
        <v>#DIV/0!</v>
      </c>
      <c r="I125" s="62" t="e">
        <f>H125-$H$83</f>
        <v>#DIV/0!</v>
      </c>
      <c r="J125" s="62" t="e">
        <f>I125+(5-$I$124)</f>
        <v>#DIV/0!</v>
      </c>
      <c r="K125" s="62">
        <v>1</v>
      </c>
      <c r="L125" s="108">
        <v>3.7758982492543018</v>
      </c>
      <c r="M125" s="60">
        <f>'Information Technology'!W1250</f>
        <v>13.562833598700001</v>
      </c>
      <c r="N125" s="63">
        <v>11.110314008450001</v>
      </c>
      <c r="O125" s="63">
        <f t="shared" si="133"/>
        <v>0.67541468620186196</v>
      </c>
      <c r="P125" s="63">
        <f t="shared" si="134"/>
        <v>-1.2517335988638647</v>
      </c>
      <c r="Q125" s="63">
        <f t="shared" si="135"/>
        <v>2.7482664011361351</v>
      </c>
      <c r="S125" s="63">
        <v>2.8882545259292947</v>
      </c>
      <c r="T125" s="60" t="e">
        <f>'Information Technology'!W1251</f>
        <v>#DIV/0!</v>
      </c>
      <c r="U125" s="63" t="e">
        <v>#DIV/0!</v>
      </c>
      <c r="W125" s="63"/>
      <c r="X125" s="63"/>
      <c r="Z125" s="63">
        <v>1</v>
      </c>
      <c r="AA125" s="60">
        <f>'Information Technology'!W1252</f>
        <v>-3.6017572208852378E-2</v>
      </c>
      <c r="AB125" s="63">
        <v>4.9566793396485842E-2</v>
      </c>
      <c r="AC125" s="60" t="e">
        <f>-(AB125-$AB$263)/$AB$264</f>
        <v>#DIV/0!</v>
      </c>
      <c r="AD125" s="60" t="e">
        <f>AC125-$AC$83</f>
        <v>#DIV/0!</v>
      </c>
      <c r="AE125" s="60" t="e">
        <f>AD125+5-$AD$123</f>
        <v>#DIV/0!</v>
      </c>
      <c r="AF125" s="60">
        <v>2.0204129142986531</v>
      </c>
      <c r="AG125" s="60">
        <v>2.0204129142986531</v>
      </c>
      <c r="AH125" s="60">
        <f>'Information Technology'!W1253</f>
        <v>3.1773994819657002E-2</v>
      </c>
      <c r="AI125" s="63">
        <v>-6.7620721372101095E-2</v>
      </c>
      <c r="AJ125" s="60"/>
      <c r="AL125" s="60"/>
      <c r="AM125" s="60"/>
      <c r="AN125" s="60">
        <v>1</v>
      </c>
      <c r="AO125" s="60">
        <f>'Information Technology'!W1254</f>
        <v>0.19455339511375194</v>
      </c>
      <c r="AP125" s="60">
        <v>0.14346005237937801</v>
      </c>
      <c r="AQ125" s="60" t="e">
        <f>(AP125-$AP$263)/$AP$264</f>
        <v>#DIV/0!</v>
      </c>
      <c r="AR125" s="60" t="e">
        <f>AQ125-$AQ$124</f>
        <v>#DIV/0!</v>
      </c>
      <c r="AS125" s="60" t="e">
        <f>AR125+5-$AR$85</f>
        <v>#DIV/0!</v>
      </c>
      <c r="AT125" s="60">
        <v>3.4965993144556644</v>
      </c>
      <c r="AU125" s="60">
        <v>3.4965993144556644</v>
      </c>
      <c r="AV125" s="60">
        <f>'Information Technology'!W1255</f>
        <v>1.4331336363636364</v>
      </c>
      <c r="AW125" s="60">
        <v>12.983323636363634</v>
      </c>
      <c r="AX125" s="60"/>
      <c r="AY125" s="60"/>
      <c r="AZ125" s="60"/>
      <c r="BA125" s="60">
        <v>5</v>
      </c>
      <c r="BB125" s="60">
        <v>1</v>
      </c>
      <c r="BC125" s="60">
        <f>'Information Technology'!W1256</f>
        <v>0.21277771344182037</v>
      </c>
      <c r="BD125" s="60">
        <v>0.11902710349566982</v>
      </c>
      <c r="BE125" s="60">
        <v>5</v>
      </c>
      <c r="BF125" s="60">
        <f>'Information Technology'!W1257</f>
        <v>0.33507913360790204</v>
      </c>
      <c r="BG125" s="63">
        <v>0.54649141156336922</v>
      </c>
      <c r="BH125" s="63" t="e">
        <f>-(BG125-$BG$263)/$BG$264</f>
        <v>#DIV/0!</v>
      </c>
      <c r="BI125" s="63" t="e">
        <f>BH125-$BH$90</f>
        <v>#DIV/0!</v>
      </c>
      <c r="BJ125" s="63" t="e">
        <f>BI125+(5-$BI$126)</f>
        <v>#DIV/0!</v>
      </c>
      <c r="BK125" s="63">
        <v>4.0499700266893983</v>
      </c>
      <c r="BL125" s="63">
        <v>4.0499700266893983</v>
      </c>
      <c r="BM125" s="63">
        <f t="shared" si="136"/>
        <v>3.2304325023527478</v>
      </c>
    </row>
    <row r="126" spans="1:65">
      <c r="A126" s="53" t="s">
        <v>224</v>
      </c>
      <c r="B126" s="53" t="s">
        <v>225</v>
      </c>
      <c r="C126" s="54">
        <v>12472.6</v>
      </c>
      <c r="D126" s="55" t="s">
        <v>64</v>
      </c>
      <c r="E126" s="67" t="str" cm="1">
        <f t="array" ref="E126">_xll.ciqfunctions.udf.CIQ(B126,"iq_industry")</f>
        <v>Technology Hardware, Storage and Peripherals</v>
      </c>
      <c r="F126" s="60">
        <f>'Information Technology'!W1129</f>
        <v>6.5846822317979727</v>
      </c>
      <c r="G126" s="62">
        <v>89.654161389905155</v>
      </c>
      <c r="K126" s="62">
        <v>1</v>
      </c>
      <c r="L126" s="108">
        <v>1.1200000000000001</v>
      </c>
      <c r="M126" s="60">
        <f>'Information Technology'!W1130</f>
        <v>8.8270346338000003</v>
      </c>
      <c r="N126" s="63">
        <v>15.24353742494</v>
      </c>
      <c r="O126" s="63">
        <f t="shared" si="133"/>
        <v>1.9271482850657267</v>
      </c>
      <c r="P126" s="63">
        <f t="shared" si="134"/>
        <v>0</v>
      </c>
      <c r="Q126" s="63">
        <f t="shared" si="135"/>
        <v>4</v>
      </c>
      <c r="S126" s="63">
        <v>4.1399881247931614</v>
      </c>
      <c r="T126" s="60">
        <f>'Information Technology'!W1131</f>
        <v>41.969295646193942</v>
      </c>
      <c r="U126" s="63" t="e">
        <v>#DIV/0!</v>
      </c>
      <c r="W126" s="63"/>
      <c r="X126" s="63"/>
      <c r="Z126" s="63">
        <v>1</v>
      </c>
      <c r="AA126" s="60">
        <f>'Information Technology'!W1132</f>
        <v>0.1183130795680345</v>
      </c>
      <c r="AB126" s="63">
        <v>1.3295249450877789E-2</v>
      </c>
      <c r="AC126" s="60" t="e">
        <f>-(AB126-$AB$263)/$AB$264</f>
        <v>#DIV/0!</v>
      </c>
      <c r="AD126" s="60" t="e">
        <f>AC126-$AC$83</f>
        <v>#DIV/0!</v>
      </c>
      <c r="AE126" s="60" t="e">
        <f>AD126+5-$AD$123</f>
        <v>#DIV/0!</v>
      </c>
      <c r="AF126" s="60">
        <v>2.8481162672728946</v>
      </c>
      <c r="AG126" s="60">
        <v>2.8481162672728946</v>
      </c>
      <c r="AH126" s="60">
        <f>'Information Technology'!W1133</f>
        <v>1.455635078133634E-2</v>
      </c>
      <c r="AI126" s="63">
        <v>4.4932303747169021E-2</v>
      </c>
      <c r="AJ126" s="60">
        <f>(AI126-$AI$263)/$AI$264</f>
        <v>0.12651802433085046</v>
      </c>
      <c r="AK126" s="60">
        <f>AJ126-$AJ$110</f>
        <v>0.12651802433085046</v>
      </c>
      <c r="AL126" s="60">
        <f>AK126+5-$AK$80</f>
        <v>5.1110356410030819</v>
      </c>
      <c r="AM126" s="60"/>
      <c r="AN126" s="60">
        <v>1.681490017967378</v>
      </c>
      <c r="AO126" s="60">
        <f>'Information Technology'!W1134</f>
        <v>4.2905864851338254E-3</v>
      </c>
      <c r="AP126" s="60">
        <v>1.0987022162220743E-2</v>
      </c>
      <c r="AQ126" s="60" t="e">
        <f>(AP126-$AP$263)/$AP$264</f>
        <v>#DIV/0!</v>
      </c>
      <c r="AR126" s="60" t="e">
        <f>AQ126-$AQ$124</f>
        <v>#DIV/0!</v>
      </c>
      <c r="AS126" s="60" t="e">
        <f>AR126+5-$AR$85</f>
        <v>#DIV/0!</v>
      </c>
      <c r="AT126" s="60">
        <v>1.4090848470911754</v>
      </c>
      <c r="AU126" s="60">
        <v>1.4090848470911754</v>
      </c>
      <c r="AV126" s="60">
        <f>'Information Technology'!W1135</f>
        <v>-2.4797272727272716E-2</v>
      </c>
      <c r="AW126" s="60">
        <v>0.28825363636363632</v>
      </c>
      <c r="AX126" s="60" t="e">
        <f>(AW126-$AW$263)/$AW$264</f>
        <v>#DIV/0!</v>
      </c>
      <c r="AY126" s="60" t="e">
        <f>AX126-$AX$118</f>
        <v>#DIV/0!</v>
      </c>
      <c r="AZ126" s="60" t="e">
        <f>AY126+5-$AY$93</f>
        <v>#DIV/0!</v>
      </c>
      <c r="BA126" s="60">
        <v>2.5066942677212589</v>
      </c>
      <c r="BB126" s="60">
        <v>2.6022601005663537</v>
      </c>
      <c r="BC126" s="60">
        <f>'Information Technology'!W1136</f>
        <v>6.8526241372677127E-2</v>
      </c>
      <c r="BD126" s="60">
        <v>0.24235723527871814</v>
      </c>
      <c r="BE126" s="60">
        <v>5</v>
      </c>
      <c r="BF126" s="60">
        <f>'Information Technology'!W1137</f>
        <v>8.2945463138435246E-2</v>
      </c>
      <c r="BG126" s="63">
        <v>0.65007300066621732</v>
      </c>
      <c r="BH126" s="63" t="e">
        <f>-(BG126-$BG$263)/$BG$264</f>
        <v>#DIV/0!</v>
      </c>
      <c r="BI126" s="63" t="e">
        <f>BH126-$BH$90</f>
        <v>#DIV/0!</v>
      </c>
      <c r="BJ126" s="63" t="e">
        <f>BI126+(5-$BI$126)</f>
        <v>#DIV/0!</v>
      </c>
      <c r="BK126" s="63">
        <v>3.8601598305086919</v>
      </c>
      <c r="BL126" s="63">
        <v>3.8601598305086919</v>
      </c>
      <c r="BM126" s="63">
        <f t="shared" si="136"/>
        <v>2.9810201845282518</v>
      </c>
    </row>
    <row r="127" spans="1:65">
      <c r="A127" s="56" t="s">
        <v>372</v>
      </c>
      <c r="B127" s="56" t="s">
        <v>373</v>
      </c>
      <c r="C127" s="57">
        <v>3807.1</v>
      </c>
      <c r="D127" s="58" t="s">
        <v>77</v>
      </c>
      <c r="E127" s="69" t="str" cm="1">
        <f t="array" ref="E127">_xll.ciqfunctions.udf.CIQ(B127,"iq_industry")</f>
        <v>(Invalid Identifier)</v>
      </c>
      <c r="F127" s="60">
        <f>'Information Technology'!AA2239</f>
        <v>41.096499416547474</v>
      </c>
      <c r="G127" s="62">
        <v>3.6835041820959153</v>
      </c>
      <c r="H127" s="62" t="e">
        <f>-(G127-$G$260)/$G$261</f>
        <v>#DIV/0!</v>
      </c>
      <c r="I127" s="62" t="e">
        <f>H127-$H$181</f>
        <v>#DIV/0!</v>
      </c>
      <c r="J127" s="62" t="e">
        <f>I127+(5-$I$242)</f>
        <v>#DIV/0!</v>
      </c>
      <c r="K127" s="62">
        <v>1</v>
      </c>
      <c r="L127" s="108">
        <v>4.916060292733528</v>
      </c>
      <c r="M127" s="60">
        <f>'Information Technology'!AA2240</f>
        <v>5.20772305725</v>
      </c>
      <c r="N127" s="63">
        <v>3.8268439999999999</v>
      </c>
      <c r="O127" s="63">
        <f t="shared" ref="O127:O158" si="140">(N127-$N$260)/$N$261</f>
        <v>1.0538079910585672</v>
      </c>
      <c r="P127" s="63">
        <f t="shared" ref="P127:P158" si="141">O127-$O$259</f>
        <v>0.6883994068220628</v>
      </c>
      <c r="Q127" s="63">
        <f t="shared" si="135"/>
        <v>4.6883994068220627</v>
      </c>
      <c r="R127" s="62"/>
      <c r="S127" s="63">
        <v>3.9603442231097423</v>
      </c>
      <c r="T127" s="60" t="e">
        <f>'Information Technology'!AA2241</f>
        <v>#DIV/0!</v>
      </c>
      <c r="U127" s="63" t="e">
        <v>#DIV/0!</v>
      </c>
      <c r="V127" s="63" t="e">
        <f t="shared" ref="V127:V158" si="142">-(U127-$U$263)/$U$264</f>
        <v>#DIV/0!</v>
      </c>
      <c r="W127" s="63"/>
      <c r="X127" s="63"/>
      <c r="Z127" s="63">
        <v>1</v>
      </c>
      <c r="AA127" s="60">
        <f>'Information Technology'!AA2242</f>
        <v>5.1599660519372481E-3</v>
      </c>
      <c r="AB127" s="63">
        <v>3.4536523499758331E-2</v>
      </c>
      <c r="AC127" s="60" t="e">
        <f t="shared" ref="AC127:AC153" si="143">-(AB127-$AB$260)/$AB$261</f>
        <v>#DIV/0!</v>
      </c>
      <c r="AD127" s="60" t="e">
        <f t="shared" ref="AD127:AD153" si="144">AC127-$AC$160</f>
        <v>#DIV/0!</v>
      </c>
      <c r="AE127" s="60" t="e">
        <f t="shared" ref="AE127:AE153" si="145">AD127+5-$AD$254</f>
        <v>#DIV/0!</v>
      </c>
      <c r="AF127" s="60">
        <v>4.0882961166371432</v>
      </c>
      <c r="AG127" s="60">
        <v>4.0882961166371432</v>
      </c>
      <c r="AH127" s="60">
        <f>'Information Technology'!AA2243</f>
        <v>7.7749323762819775E-2</v>
      </c>
      <c r="AI127" s="63">
        <v>1.2885743675295169E-2</v>
      </c>
      <c r="AJ127" s="60" t="e">
        <f>(AI127-$AI$260)/$AI$261</f>
        <v>#DIV/0!</v>
      </c>
      <c r="AK127" s="63" t="e">
        <f>AJ127-$AJ$203</f>
        <v>#DIV/0!</v>
      </c>
      <c r="AL127" s="60" t="e">
        <f>AK127+5-$AK$155</f>
        <v>#DIV/0!</v>
      </c>
      <c r="AM127" s="60">
        <v>1.82315680700406</v>
      </c>
      <c r="AN127" s="60">
        <v>1.82315680700406</v>
      </c>
      <c r="AO127" s="60">
        <f>'Information Technology'!AA2244</f>
        <v>6.5656690582496291E-2</v>
      </c>
      <c r="AP127" s="60">
        <v>2.7879062675865564E-2</v>
      </c>
      <c r="AQ127" s="60" t="e">
        <f>(AP127-$AP$260)/$AP$261</f>
        <v>#DIV/0!</v>
      </c>
      <c r="AR127" s="60" t="e">
        <f>AQ127-$AQ$245</f>
        <v>#DIV/0!</v>
      </c>
      <c r="AS127" s="60" t="e">
        <f>(5-$AR$162)+AR127</f>
        <v>#DIV/0!</v>
      </c>
      <c r="AT127" s="60">
        <v>1.6623288421327658</v>
      </c>
      <c r="AU127" s="60">
        <v>1.6623288421327658</v>
      </c>
      <c r="AV127" s="60">
        <f>'Information Technology'!AA2245</f>
        <v>-1.3607422093485101E-2</v>
      </c>
      <c r="AW127" s="60">
        <v>3.0233289654685272E-3</v>
      </c>
      <c r="AX127" s="60" t="e">
        <f t="shared" ref="AX127:AX133" si="146">(AW127-$AW$260)/$AW$261</f>
        <v>#DIV/0!</v>
      </c>
      <c r="AY127" s="60" t="e">
        <f t="shared" ref="AY127:AY133" si="147">AX127-$AX$253</f>
        <v>#DIV/0!</v>
      </c>
      <c r="AZ127" s="60" t="e">
        <f t="shared" ref="AZ127:AZ133" si="148">AY127+5-$AY$205</f>
        <v>#DIV/0!</v>
      </c>
      <c r="BA127" s="60">
        <v>2.0792700564628657</v>
      </c>
      <c r="BB127" s="60">
        <v>2.0792700564628657</v>
      </c>
      <c r="BC127" s="60">
        <f>'Information Technology'!AA2246</f>
        <v>0.17513805389615661</v>
      </c>
      <c r="BD127" s="60">
        <v>0.4113124606760355</v>
      </c>
      <c r="BE127" s="60">
        <v>3.2</v>
      </c>
      <c r="BF127" s="60">
        <f>'Information Technology'!AA2247</f>
        <v>0.74211403900136685</v>
      </c>
      <c r="BG127" s="63">
        <v>3.5116891170266527E-2</v>
      </c>
      <c r="BH127" s="63" t="e">
        <f t="shared" ref="BH127:BH155" si="149">-(BG127-$BG$260)/$BG$261</f>
        <v>#DIV/0!</v>
      </c>
      <c r="BI127" s="63" t="e">
        <f t="shared" ref="BI127:BI155" si="150">BH127-$BH$181</f>
        <v>#DIV/0!</v>
      </c>
      <c r="BJ127" s="63" t="e">
        <f t="shared" ref="BJ127:BJ155" si="151">BI127+5-$BI$259</f>
        <v>#DIV/0!</v>
      </c>
      <c r="BK127" s="63">
        <v>4.9198147110362305</v>
      </c>
      <c r="BL127" s="63">
        <v>4.9198147110362305</v>
      </c>
      <c r="BM127" s="63">
        <f t="shared" ref="BM127:BM158" si="152">0.1*(L127)+0.01*(Z127)+0.04*(AG127)+0.13*(AN127)+0.04*(AU127)+0.13*(BB127)+0.3*(BE127)+0.25*(BL127)</f>
        <v>3.4289001976339071</v>
      </c>
    </row>
    <row r="128" spans="1:65">
      <c r="A128" s="56" t="s">
        <v>480</v>
      </c>
      <c r="B128" s="56" t="s">
        <v>481</v>
      </c>
      <c r="C128" s="57">
        <v>2015.1</v>
      </c>
      <c r="D128" s="58" t="s">
        <v>80</v>
      </c>
      <c r="E128" s="69" t="str" cm="1">
        <f t="array" ref="E128">_xll.ciqfunctions.udf.CIQ(B128,"iq_industry")</f>
        <v>Communications Equipment</v>
      </c>
      <c r="F128" s="60">
        <f>'Information Technology'!AA3049</f>
        <v>6.6198676220147084</v>
      </c>
      <c r="G128" s="62">
        <v>23.734424963488046</v>
      </c>
      <c r="H128" s="62" t="e">
        <f>-(G128-$G$260)/$G$261</f>
        <v>#DIV/0!</v>
      </c>
      <c r="I128" s="62" t="e">
        <f>H128-$H$181</f>
        <v>#DIV/0!</v>
      </c>
      <c r="J128" s="62" t="e">
        <f>I128+(5-$I$242)</f>
        <v>#DIV/0!</v>
      </c>
      <c r="K128" s="62">
        <v>1</v>
      </c>
      <c r="L128" s="108">
        <v>2.6827383962903095</v>
      </c>
      <c r="M128" s="60">
        <f>'Information Technology'!AA3050</f>
        <v>2.0359486649999998</v>
      </c>
      <c r="N128" s="63">
        <v>1.9977889191000002</v>
      </c>
      <c r="O128" s="63">
        <f t="shared" si="140"/>
        <v>-0.40540923320941624</v>
      </c>
      <c r="P128" s="63">
        <f t="shared" si="141"/>
        <v>-0.77081781744592059</v>
      </c>
      <c r="Q128" s="63">
        <f t="shared" si="135"/>
        <v>3.2291821825540792</v>
      </c>
      <c r="R128" s="62"/>
      <c r="S128" s="63">
        <v>2.5011269988417624</v>
      </c>
      <c r="T128" s="60" t="e">
        <f>'Information Technology'!AA3051</f>
        <v>#DIV/0!</v>
      </c>
      <c r="U128" s="63" t="e">
        <v>#DIV/0!</v>
      </c>
      <c r="V128" s="63" t="e">
        <f t="shared" si="142"/>
        <v>#DIV/0!</v>
      </c>
      <c r="X128" s="63"/>
      <c r="Z128" s="63">
        <v>1</v>
      </c>
      <c r="AA128" s="60">
        <f>'Information Technology'!AA3052</f>
        <v>2.5675087342343472E-2</v>
      </c>
      <c r="AB128" s="63">
        <v>-1.4113587415312323E-2</v>
      </c>
      <c r="AC128" s="60" t="e">
        <f t="shared" si="143"/>
        <v>#DIV/0!</v>
      </c>
      <c r="AD128" s="60" t="e">
        <f t="shared" si="144"/>
        <v>#DIV/0!</v>
      </c>
      <c r="AE128" s="60" t="e">
        <f t="shared" si="145"/>
        <v>#DIV/0!</v>
      </c>
      <c r="AF128" s="60">
        <v>4.7293001405362949</v>
      </c>
      <c r="AG128" s="60">
        <v>4.7293001405362949</v>
      </c>
      <c r="AH128" s="60">
        <f>'Information Technology'!AA3053</f>
        <v>-2.91360541094089E-2</v>
      </c>
      <c r="AI128" s="63">
        <v>2.0019243860306752E-2</v>
      </c>
      <c r="AJ128" s="60" t="e">
        <f>(AI128-$AI$260)/$AI$261</f>
        <v>#DIV/0!</v>
      </c>
      <c r="AK128" s="63" t="e">
        <f>AJ128-$AJ$203</f>
        <v>#DIV/0!</v>
      </c>
      <c r="AL128" s="60" t="e">
        <f>AK128+5-$AK$155</f>
        <v>#DIV/0!</v>
      </c>
      <c r="AM128" s="60">
        <v>1.985543261982702</v>
      </c>
      <c r="AN128" s="60">
        <v>1.985543261982702</v>
      </c>
      <c r="AO128" s="60">
        <f>'Information Technology'!AA3054</f>
        <v>0.27239139775262022</v>
      </c>
      <c r="AP128" s="60">
        <v>7.8980271782757794E-2</v>
      </c>
      <c r="AQ128" s="60" t="e">
        <f>(AP128-$AP$260)/$AP$261</f>
        <v>#DIV/0!</v>
      </c>
      <c r="AR128" s="60" t="e">
        <f>AQ128-$AQ$245</f>
        <v>#DIV/0!</v>
      </c>
      <c r="AS128" s="60" t="e">
        <f>(5-$AR$162)+AR128</f>
        <v>#DIV/0!</v>
      </c>
      <c r="AT128" s="60">
        <v>2.4220406175345262</v>
      </c>
      <c r="AU128" s="60">
        <v>2.4220406175345262</v>
      </c>
      <c r="AV128" s="60">
        <f>'Information Technology'!AA3055</f>
        <v>-3.5578697906102413E-3</v>
      </c>
      <c r="AW128" s="60">
        <v>-1.7200104294827873E-3</v>
      </c>
      <c r="AX128" s="60" t="e">
        <f t="shared" si="146"/>
        <v>#DIV/0!</v>
      </c>
      <c r="AY128" s="60" t="e">
        <f t="shared" si="147"/>
        <v>#DIV/0!</v>
      </c>
      <c r="AZ128" s="60" t="e">
        <f t="shared" si="148"/>
        <v>#DIV/0!</v>
      </c>
      <c r="BA128" s="60">
        <v>1.7604839610945335</v>
      </c>
      <c r="BB128" s="60">
        <v>1.7604839610945335</v>
      </c>
      <c r="BC128" s="60">
        <f>'Information Technology'!AA3056</f>
        <v>0.50103982902209176</v>
      </c>
      <c r="BD128" s="60">
        <v>-1.2308041597816084</v>
      </c>
      <c r="BE128" s="60">
        <v>5</v>
      </c>
      <c r="BF128" s="60">
        <f>'Information Technology'!AA3057</f>
        <v>0.12149029404222707</v>
      </c>
      <c r="BG128" s="63">
        <v>0.1482097609685962</v>
      </c>
      <c r="BH128" s="63" t="e">
        <f t="shared" si="149"/>
        <v>#DIV/0!</v>
      </c>
      <c r="BI128" s="63" t="e">
        <f t="shared" si="150"/>
        <v>#DIV/0!</v>
      </c>
      <c r="BJ128" s="63" t="e">
        <f t="shared" si="151"/>
        <v>#DIV/0!</v>
      </c>
      <c r="BK128" s="63">
        <v>4.5202489908779215</v>
      </c>
      <c r="BL128" s="63">
        <v>4.5202489908779215</v>
      </c>
      <c r="BM128" s="63">
        <f t="shared" si="152"/>
        <v>3.6813732566713844</v>
      </c>
    </row>
    <row r="129" spans="1:65">
      <c r="A129" s="56" t="s">
        <v>478</v>
      </c>
      <c r="B129" s="56" t="s">
        <v>479</v>
      </c>
      <c r="C129" s="57">
        <v>2042.2</v>
      </c>
      <c r="D129" s="58" t="s">
        <v>80</v>
      </c>
      <c r="E129" s="69" t="str" cm="1">
        <f t="array" ref="E129">_xll.ciqfunctions.udf.CIQ(B129,"iq_industry")</f>
        <v>Communications Equipment</v>
      </c>
      <c r="F129" s="60">
        <f>'Information Technology'!AA3034</f>
        <v>13.317622431057041</v>
      </c>
      <c r="G129" s="62">
        <v>39.938820861214388</v>
      </c>
      <c r="K129" s="62">
        <v>1</v>
      </c>
      <c r="L129" s="108">
        <v>1.36</v>
      </c>
      <c r="M129" s="60">
        <f>'Information Technology'!AA3035</f>
        <v>2.7913176352</v>
      </c>
      <c r="N129" s="63">
        <v>1.8040807660499998</v>
      </c>
      <c r="O129" s="63">
        <f t="shared" si="140"/>
        <v>-0.55994928854367843</v>
      </c>
      <c r="P129" s="63">
        <f t="shared" si="141"/>
        <v>-0.92535787278018278</v>
      </c>
      <c r="Q129" s="63">
        <f t="shared" si="135"/>
        <v>3.0746421272198177</v>
      </c>
      <c r="R129" s="62"/>
      <c r="S129" s="63">
        <v>2.3465869435075009</v>
      </c>
      <c r="T129" s="60" t="e">
        <f>'Information Technology'!AA3036</f>
        <v>#DIV/0!</v>
      </c>
      <c r="U129" s="63" t="e">
        <v>#DIV/0!</v>
      </c>
      <c r="V129" s="63" t="e">
        <f t="shared" si="142"/>
        <v>#DIV/0!</v>
      </c>
      <c r="X129" s="63"/>
      <c r="Z129" s="63">
        <v>1</v>
      </c>
      <c r="AA129" s="60">
        <f>'Information Technology'!AA3037</f>
        <v>7.3844584901641142E-3</v>
      </c>
      <c r="AB129" s="63">
        <v>-4.6436197767419918E-3</v>
      </c>
      <c r="AC129" s="60" t="e">
        <f t="shared" si="143"/>
        <v>#DIV/0!</v>
      </c>
      <c r="AD129" s="60" t="e">
        <f t="shared" si="144"/>
        <v>#DIV/0!</v>
      </c>
      <c r="AE129" s="60" t="e">
        <f t="shared" si="145"/>
        <v>#DIV/0!</v>
      </c>
      <c r="AF129" s="60">
        <v>4.6045257618485413</v>
      </c>
      <c r="AG129" s="60">
        <v>4.6045257618485413</v>
      </c>
      <c r="AH129" s="60">
        <f>'Information Technology'!AA3038</f>
        <v>7.9163259654468771E-2</v>
      </c>
      <c r="AI129" s="63">
        <v>1.6585993987683956E-2</v>
      </c>
      <c r="AJ129" s="60" t="e">
        <f>(AI129-$AI$260)/$AI$261</f>
        <v>#DIV/0!</v>
      </c>
      <c r="AK129" s="63" t="e">
        <f>AJ129-$AJ$203</f>
        <v>#DIV/0!</v>
      </c>
      <c r="AL129" s="60" t="e">
        <f>AK129+5-$AK$155</f>
        <v>#DIV/0!</v>
      </c>
      <c r="AM129" s="60">
        <v>1.9073890233324384</v>
      </c>
      <c r="AN129" s="60">
        <v>1.9073890233324384</v>
      </c>
      <c r="AO129" s="60">
        <f>'Information Technology'!AA3039</f>
        <v>3.7479781712529366E-2</v>
      </c>
      <c r="AP129" s="60">
        <v>5.3632320826434543E-2</v>
      </c>
      <c r="AQ129" s="60" t="e">
        <f>(AP129-$AP$260)/$AP$261</f>
        <v>#DIV/0!</v>
      </c>
      <c r="AR129" s="60" t="e">
        <f>AQ129-$AQ$245</f>
        <v>#DIV/0!</v>
      </c>
      <c r="AS129" s="60" t="e">
        <f>(5-$AR$162)+AR129</f>
        <v>#DIV/0!</v>
      </c>
      <c r="AT129" s="60">
        <v>2.0451975415997965</v>
      </c>
      <c r="AU129" s="60">
        <v>2.0451975415997965</v>
      </c>
      <c r="AV129" s="60">
        <f>'Information Technology'!AA3040</f>
        <v>2.8107766664116914E-2</v>
      </c>
      <c r="AW129" s="60">
        <v>5.676942352390665E-4</v>
      </c>
      <c r="AX129" s="60" t="e">
        <f t="shared" si="146"/>
        <v>#DIV/0!</v>
      </c>
      <c r="AY129" s="60" t="e">
        <f t="shared" si="147"/>
        <v>#DIV/0!</v>
      </c>
      <c r="AZ129" s="60" t="e">
        <f t="shared" si="148"/>
        <v>#DIV/0!</v>
      </c>
      <c r="BA129" s="60">
        <v>1.9142339622432676</v>
      </c>
      <c r="BB129" s="60">
        <v>1.9142339622432676</v>
      </c>
      <c r="BC129" s="60">
        <f>'Information Technology'!AA3041</f>
        <v>0.50735059153531625</v>
      </c>
      <c r="BD129" s="60">
        <v>-1.1513956937046934</v>
      </c>
      <c r="BE129" s="60">
        <v>5</v>
      </c>
      <c r="BF129" s="60">
        <f>'Information Technology'!AA3042</f>
        <v>0.28268351755026772</v>
      </c>
      <c r="BG129" s="63">
        <v>0.1975861074845626</v>
      </c>
      <c r="BH129" s="63" t="e">
        <f t="shared" si="149"/>
        <v>#DIV/0!</v>
      </c>
      <c r="BI129" s="63" t="e">
        <f t="shared" si="150"/>
        <v>#DIV/0!</v>
      </c>
      <c r="BJ129" s="63" t="e">
        <f t="shared" si="151"/>
        <v>#DIV/0!</v>
      </c>
      <c r="BK129" s="63">
        <v>4.345798599004234</v>
      </c>
      <c r="BL129" s="63">
        <v>4.345798599004234</v>
      </c>
      <c r="BM129" s="63">
        <f t="shared" si="152"/>
        <v>3.4952495700138337</v>
      </c>
    </row>
    <row r="130" spans="1:65">
      <c r="A130" s="56" t="s">
        <v>578</v>
      </c>
      <c r="B130" s="56" t="s">
        <v>579</v>
      </c>
      <c r="C130" s="57">
        <v>939.5</v>
      </c>
      <c r="D130" s="58" t="s">
        <v>80</v>
      </c>
      <c r="E130" s="69" t="str" cm="1">
        <f t="array" ref="E130">_xll.ciqfunctions.udf.CIQ(B130,"iq_industry")</f>
        <v>Communications Equipment</v>
      </c>
      <c r="F130" s="60" t="e">
        <f>'Information Technology'!AA3784</f>
        <v>#DIV/0!</v>
      </c>
      <c r="G130" s="62">
        <v>-197.73616044137486</v>
      </c>
      <c r="J130" s="62">
        <v>1</v>
      </c>
      <c r="K130" s="62">
        <v>1</v>
      </c>
      <c r="L130" s="108">
        <v>1</v>
      </c>
      <c r="M130" s="60">
        <f>'Information Technology'!AA3785</f>
        <v>1.4813927452499998</v>
      </c>
      <c r="N130" s="63">
        <v>0.81465633429999995</v>
      </c>
      <c r="O130" s="63">
        <f t="shared" si="140"/>
        <v>-1.3493105210171896</v>
      </c>
      <c r="P130" s="63">
        <f t="shared" si="141"/>
        <v>-1.7147191052536939</v>
      </c>
      <c r="Q130" s="63">
        <f t="shared" si="135"/>
        <v>2.2852808947463061</v>
      </c>
      <c r="R130" s="62"/>
      <c r="S130" s="63">
        <v>1.5572257110339907</v>
      </c>
      <c r="T130" s="60" t="e">
        <f>'Information Technology'!AA3786</f>
        <v>#DIV/0!</v>
      </c>
      <c r="U130" s="63" t="e">
        <v>#DIV/0!</v>
      </c>
      <c r="V130" s="63" t="e">
        <f t="shared" si="142"/>
        <v>#DIV/0!</v>
      </c>
      <c r="X130" s="63"/>
      <c r="Z130" s="63">
        <v>1</v>
      </c>
      <c r="AA130" s="60" t="e">
        <f>'Information Technology'!AA3787</f>
        <v>#DIV/0!</v>
      </c>
      <c r="AB130" s="63">
        <v>5.0455564866224378E-2</v>
      </c>
      <c r="AC130" s="60" t="e">
        <f t="shared" si="143"/>
        <v>#DIV/0!</v>
      </c>
      <c r="AD130" s="60" t="e">
        <f t="shared" si="144"/>
        <v>#DIV/0!</v>
      </c>
      <c r="AE130" s="60" t="e">
        <f t="shared" si="145"/>
        <v>#DIV/0!</v>
      </c>
      <c r="AF130" s="60">
        <v>3.8785500465750351</v>
      </c>
      <c r="AG130" s="60">
        <v>3.8785500465750351</v>
      </c>
      <c r="AH130" s="60" t="e">
        <f>'Information Technology'!AA3788</f>
        <v>#DIV/0!</v>
      </c>
      <c r="AI130" s="63">
        <v>-0.14531484684473076</v>
      </c>
      <c r="AJ130" s="60"/>
      <c r="AL130" s="60"/>
      <c r="AM130" s="60"/>
      <c r="AN130" s="60">
        <v>1</v>
      </c>
      <c r="AO130" s="60" t="e">
        <f>'Information Technology'!AA3789</f>
        <v>#DIV/0!</v>
      </c>
      <c r="AP130" s="60">
        <v>-6.1189252493158526E-3</v>
      </c>
      <c r="AQ130" s="60"/>
      <c r="AR130" s="60"/>
      <c r="AS130" s="60"/>
      <c r="AT130" s="60"/>
      <c r="AU130" s="60">
        <v>1</v>
      </c>
      <c r="AV130" s="60" t="e">
        <f>'Information Technology'!AA3790</f>
        <v>#DIV/0!</v>
      </c>
      <c r="AW130" s="60">
        <v>-3.3330310334972139E-3</v>
      </c>
      <c r="AX130" s="60" t="e">
        <f t="shared" si="146"/>
        <v>#DIV/0!</v>
      </c>
      <c r="AY130" s="60" t="e">
        <f t="shared" si="147"/>
        <v>#DIV/0!</v>
      </c>
      <c r="AZ130" s="60" t="e">
        <f t="shared" si="148"/>
        <v>#DIV/0!</v>
      </c>
      <c r="BA130" s="60">
        <v>1.6520775205497689</v>
      </c>
      <c r="BB130" s="60">
        <v>1.6520775205497689</v>
      </c>
      <c r="BC130" s="60" t="e">
        <f>'Information Technology'!AA3791</f>
        <v>#DIV/0!</v>
      </c>
      <c r="BD130" s="60">
        <v>-29.526216608319292</v>
      </c>
      <c r="BE130" s="60">
        <v>5</v>
      </c>
      <c r="BF130" s="60" t="e">
        <f>'Information Technology'!AA3792</f>
        <v>#DIV/0!</v>
      </c>
      <c r="BG130" s="63">
        <v>6.7001957467937079E-2</v>
      </c>
      <c r="BH130" s="63" t="e">
        <f t="shared" si="149"/>
        <v>#DIV/0!</v>
      </c>
      <c r="BI130" s="63" t="e">
        <f t="shared" si="150"/>
        <v>#DIV/0!</v>
      </c>
      <c r="BJ130" s="63" t="e">
        <f t="shared" si="151"/>
        <v>#DIV/0!</v>
      </c>
      <c r="BK130" s="63">
        <v>4.8071623440015747</v>
      </c>
      <c r="BL130" s="63">
        <v>4.8071623440015747</v>
      </c>
      <c r="BM130" s="63">
        <f t="shared" si="152"/>
        <v>3.351702665534865</v>
      </c>
    </row>
    <row r="131" spans="1:65">
      <c r="A131" s="56" t="s">
        <v>412</v>
      </c>
      <c r="B131" s="56" t="s">
        <v>413</v>
      </c>
      <c r="C131" s="57">
        <v>3109.5</v>
      </c>
      <c r="D131" s="58" t="s">
        <v>80</v>
      </c>
      <c r="E131" s="69" t="str" cm="1">
        <f t="array" ref="E131">_xll.ciqfunctions.udf.CIQ(B131,"iq_industry")</f>
        <v>Communications Equipment</v>
      </c>
      <c r="F131" s="60">
        <f>'Information Technology'!AA2539</f>
        <v>29.751690420360443</v>
      </c>
      <c r="G131" s="62">
        <v>3.9863359754597756</v>
      </c>
      <c r="H131" s="62" t="e">
        <f>-(G131-$G$260)/$G$261</f>
        <v>#DIV/0!</v>
      </c>
      <c r="I131" s="62" t="e">
        <f>H131-$H$181</f>
        <v>#DIV/0!</v>
      </c>
      <c r="J131" s="62" t="e">
        <f>I131+(5-$I$242)</f>
        <v>#DIV/0!</v>
      </c>
      <c r="K131" s="62">
        <v>1</v>
      </c>
      <c r="L131" s="108">
        <v>4.8823301272996131</v>
      </c>
      <c r="M131" s="60">
        <f>'Information Technology'!AA2540</f>
        <v>3.12862315415</v>
      </c>
      <c r="N131" s="63">
        <v>2.8257455000000005</v>
      </c>
      <c r="O131" s="63">
        <f t="shared" si="140"/>
        <v>0.25513320556767094</v>
      </c>
      <c r="P131" s="63">
        <f t="shared" si="141"/>
        <v>-0.11027537866883341</v>
      </c>
      <c r="Q131" s="63">
        <f t="shared" si="135"/>
        <v>3.8897246213311663</v>
      </c>
      <c r="R131" s="62"/>
      <c r="S131" s="63">
        <v>3.1616694376188477</v>
      </c>
      <c r="T131" s="60" t="e">
        <f>'Information Technology'!AA2541</f>
        <v>#DIV/0!</v>
      </c>
      <c r="U131" s="63" t="e">
        <v>#DIV/0!</v>
      </c>
      <c r="V131" s="63" t="e">
        <f t="shared" si="142"/>
        <v>#DIV/0!</v>
      </c>
      <c r="X131" s="63"/>
      <c r="Z131" s="63">
        <v>1</v>
      </c>
      <c r="AA131" s="60">
        <f>'Information Technology'!AA2542</f>
        <v>-2.3506103491772068E-2</v>
      </c>
      <c r="AB131" s="63">
        <v>1.0518863071181661E-2</v>
      </c>
      <c r="AC131" s="60" t="e">
        <f t="shared" si="143"/>
        <v>#DIV/0!</v>
      </c>
      <c r="AD131" s="60" t="e">
        <f t="shared" si="144"/>
        <v>#DIV/0!</v>
      </c>
      <c r="AE131" s="60" t="e">
        <f t="shared" si="145"/>
        <v>#DIV/0!</v>
      </c>
      <c r="AF131" s="60">
        <v>4.4047479538433754</v>
      </c>
      <c r="AG131" s="60">
        <v>4.4047479538433754</v>
      </c>
      <c r="AH131" s="60">
        <f>'Information Technology'!AA2543</f>
        <v>0.12737117705449708</v>
      </c>
      <c r="AI131" s="63">
        <v>7.8623034236285555E-2</v>
      </c>
      <c r="AJ131" s="60" t="e">
        <f>(AI131-$AI$260)/$AI$261</f>
        <v>#DIV/0!</v>
      </c>
      <c r="AK131" s="63" t="e">
        <f>AJ131-$AJ$203</f>
        <v>#DIV/0!</v>
      </c>
      <c r="AL131" s="60" t="e">
        <f>AK131+5-$AK$155</f>
        <v>#DIV/0!</v>
      </c>
      <c r="AM131" s="60">
        <v>3.3195954832838188</v>
      </c>
      <c r="AN131" s="60">
        <v>3.3195954832838188</v>
      </c>
      <c r="AO131" s="60">
        <f>'Information Technology'!AA2544</f>
        <v>1.1635299609423132E-2</v>
      </c>
      <c r="AP131" s="60">
        <v>3.8598577338485013E-2</v>
      </c>
      <c r="AQ131" s="60" t="e">
        <f>(AP131-$AP$260)/$AP$261</f>
        <v>#DIV/0!</v>
      </c>
      <c r="AR131" s="60" t="e">
        <f>AQ131-$AQ$245</f>
        <v>#DIV/0!</v>
      </c>
      <c r="AS131" s="60" t="e">
        <f>(5-$AR$162)+AR131</f>
        <v>#DIV/0!</v>
      </c>
      <c r="AT131" s="60">
        <v>1.8216937898143157</v>
      </c>
      <c r="AU131" s="60">
        <v>1.8216937898143157</v>
      </c>
      <c r="AV131" s="60">
        <f>'Information Technology'!AA2545</f>
        <v>-2.3315656466789816E-2</v>
      </c>
      <c r="AW131" s="60">
        <v>5.9367656065805602E-3</v>
      </c>
      <c r="AX131" s="60" t="e">
        <f t="shared" si="146"/>
        <v>#DIV/0!</v>
      </c>
      <c r="AY131" s="60" t="e">
        <f t="shared" si="147"/>
        <v>#DIV/0!</v>
      </c>
      <c r="AZ131" s="60" t="e">
        <f t="shared" si="148"/>
        <v>#DIV/0!</v>
      </c>
      <c r="BA131" s="60">
        <v>2.2750736904831692</v>
      </c>
      <c r="BB131" s="60">
        <v>2.2750736904831692</v>
      </c>
      <c r="BC131" s="60">
        <f>'Information Technology'!AA2546</f>
        <v>-0.88127381494211632</v>
      </c>
      <c r="BD131" s="60">
        <v>0.56264833535944359</v>
      </c>
      <c r="BE131" s="60">
        <v>2.2999999999999998</v>
      </c>
      <c r="BF131" s="60">
        <f>'Information Technology'!AA2547</f>
        <v>0.33222661998516639</v>
      </c>
      <c r="BG131" s="63">
        <v>0.10910291547126981</v>
      </c>
      <c r="BH131" s="63" t="e">
        <f t="shared" si="149"/>
        <v>#DIV/0!</v>
      </c>
      <c r="BI131" s="63" t="e">
        <f t="shared" si="150"/>
        <v>#DIV/0!</v>
      </c>
      <c r="BJ131" s="63" t="e">
        <f t="shared" si="151"/>
        <v>#DIV/0!</v>
      </c>
      <c r="BK131" s="63">
        <v>4.6584164537084538</v>
      </c>
      <c r="BL131" s="63">
        <v>4.6584164537084538</v>
      </c>
      <c r="BM131" s="63">
        <f t="shared" si="152"/>
        <v>3.3292017884930916</v>
      </c>
    </row>
    <row r="132" spans="1:65">
      <c r="A132" s="56" t="s">
        <v>410</v>
      </c>
      <c r="B132" s="56" t="s">
        <v>411</v>
      </c>
      <c r="C132" s="57">
        <v>3132</v>
      </c>
      <c r="D132" s="58" t="s">
        <v>80</v>
      </c>
      <c r="E132" s="69" t="str" cm="1">
        <f t="array" ref="E132">_xll.ciqfunctions.udf.CIQ(B132,"iq_industry")</f>
        <v>Communications Equipment</v>
      </c>
      <c r="F132" s="60">
        <f>'Information Technology'!AA2524</f>
        <v>14.899035696491239</v>
      </c>
      <c r="G132" s="62">
        <v>24.171769183619645</v>
      </c>
      <c r="H132" s="62" t="e">
        <f>-(G132-$G$260)/$G$261</f>
        <v>#DIV/0!</v>
      </c>
      <c r="I132" s="62" t="e">
        <f>H132-$H$181</f>
        <v>#DIV/0!</v>
      </c>
      <c r="J132" s="62" t="e">
        <f>I132+(5-$I$242)</f>
        <v>#DIV/0!</v>
      </c>
      <c r="K132" s="62">
        <v>1</v>
      </c>
      <c r="L132" s="108">
        <v>2.6340258990563061</v>
      </c>
      <c r="M132" s="60">
        <f>'Information Technology'!AA2525</f>
        <v>4.13476128835</v>
      </c>
      <c r="N132" s="63">
        <v>3.0064471168000004</v>
      </c>
      <c r="O132" s="63">
        <f t="shared" si="140"/>
        <v>0.39929666704084082</v>
      </c>
      <c r="P132" s="63">
        <f t="shared" si="141"/>
        <v>3.3888082804336472E-2</v>
      </c>
      <c r="Q132" s="63">
        <f t="shared" si="135"/>
        <v>4.0338880828043369</v>
      </c>
      <c r="R132" s="62"/>
      <c r="S132" s="63">
        <v>3.3058328990920174</v>
      </c>
      <c r="T132" s="60" t="e">
        <f>'Information Technology'!AA2526</f>
        <v>#DIV/0!</v>
      </c>
      <c r="U132" s="63" t="e">
        <v>#DIV/0!</v>
      </c>
      <c r="V132" s="63" t="e">
        <f t="shared" si="142"/>
        <v>#DIV/0!</v>
      </c>
      <c r="X132" s="63"/>
      <c r="Z132" s="63">
        <v>1</v>
      </c>
      <c r="AA132" s="60">
        <f>'Information Technology'!AA2527</f>
        <v>-1.5665530015346318E-2</v>
      </c>
      <c r="AB132" s="63">
        <v>1.9063786701395635E-2</v>
      </c>
      <c r="AC132" s="60" t="e">
        <f t="shared" si="143"/>
        <v>#DIV/0!</v>
      </c>
      <c r="AD132" s="60" t="e">
        <f t="shared" si="144"/>
        <v>#DIV/0!</v>
      </c>
      <c r="AE132" s="60" t="e">
        <f t="shared" si="145"/>
        <v>#DIV/0!</v>
      </c>
      <c r="AF132" s="60">
        <v>4.2921617679569755</v>
      </c>
      <c r="AG132" s="60">
        <v>4.2921617679569755</v>
      </c>
      <c r="AH132" s="60">
        <f>'Information Technology'!AA2528</f>
        <v>0.1139615160798868</v>
      </c>
      <c r="AI132" s="63">
        <v>-1.5082535891500807E-2</v>
      </c>
      <c r="AJ132" s="60"/>
      <c r="AL132" s="60"/>
      <c r="AM132" s="60"/>
      <c r="AN132" s="60">
        <v>1</v>
      </c>
      <c r="AO132" s="60">
        <f>'Information Technology'!AA2529</f>
        <v>8.1577169821857573E-2</v>
      </c>
      <c r="AP132" s="60">
        <v>0.295187530913816</v>
      </c>
      <c r="AQ132" s="60"/>
      <c r="AR132" s="60"/>
      <c r="AS132" s="60"/>
      <c r="AT132" s="60">
        <v>4.9413818072418501</v>
      </c>
      <c r="AU132" s="60">
        <v>4.9413818072418501</v>
      </c>
      <c r="AV132" s="60">
        <f>'Information Technology'!AA2530</f>
        <v>-5.7797918905923441E-3</v>
      </c>
      <c r="AW132" s="60">
        <v>-6.7005194769789809E-3</v>
      </c>
      <c r="AX132" s="60" t="e">
        <f t="shared" si="146"/>
        <v>#DIV/0!</v>
      </c>
      <c r="AY132" s="60" t="e">
        <f t="shared" si="147"/>
        <v>#DIV/0!</v>
      </c>
      <c r="AZ132" s="60" t="e">
        <f t="shared" si="148"/>
        <v>#DIV/0!</v>
      </c>
      <c r="BA132" s="60">
        <v>1.4257583806547522</v>
      </c>
      <c r="BB132" s="60">
        <v>1.4257583806547522</v>
      </c>
      <c r="BC132" s="60">
        <f>'Information Technology'!AA2531</f>
        <v>0</v>
      </c>
      <c r="BD132" s="60">
        <v>0.19151523581213925</v>
      </c>
      <c r="BE132" s="60">
        <v>5</v>
      </c>
      <c r="BF132" s="60">
        <f>'Information Technology'!AA2532</f>
        <v>0.44563736126767617</v>
      </c>
      <c r="BG132" s="63">
        <v>0.55939337310722148</v>
      </c>
      <c r="BH132" s="63" t="e">
        <f t="shared" si="149"/>
        <v>#DIV/0!</v>
      </c>
      <c r="BI132" s="63" t="e">
        <f t="shared" si="150"/>
        <v>#DIV/0!</v>
      </c>
      <c r="BJ132" s="63" t="e">
        <f t="shared" si="151"/>
        <v>#DIV/0!</v>
      </c>
      <c r="BK132" s="63">
        <v>3.0675059806913332</v>
      </c>
      <c r="BL132" s="63">
        <v>3.0675059806913332</v>
      </c>
      <c r="BM132" s="63">
        <f t="shared" si="152"/>
        <v>3.2249694175715349</v>
      </c>
    </row>
    <row r="133" spans="1:65">
      <c r="A133" s="56" t="s">
        <v>566</v>
      </c>
      <c r="B133" s="56" t="s">
        <v>567</v>
      </c>
      <c r="C133" s="57">
        <v>1028</v>
      </c>
      <c r="D133" s="58" t="s">
        <v>80</v>
      </c>
      <c r="E133" s="69" t="str" cm="1">
        <f t="array" ref="E133">_xll.ciqfunctions.udf.CIQ(B133,"iq_industry")</f>
        <v>Communications Equipment</v>
      </c>
      <c r="F133" s="60" t="e">
        <f>'Information Technology'!AA3694</f>
        <v>#DIV/0!</v>
      </c>
      <c r="G133" s="62">
        <v>12.051396632483332</v>
      </c>
      <c r="H133" s="62" t="e">
        <f>-(G133-$G$260)/$G$261</f>
        <v>#DIV/0!</v>
      </c>
      <c r="I133" s="62" t="e">
        <f>H133-$H$181</f>
        <v>#DIV/0!</v>
      </c>
      <c r="J133" s="62" t="e">
        <f>I133+(5-$I$242)</f>
        <v>#DIV/0!</v>
      </c>
      <c r="K133" s="62">
        <v>1</v>
      </c>
      <c r="L133" s="108">
        <v>3.9840234231910912</v>
      </c>
      <c r="M133" s="60">
        <f>'Information Technology'!AA3695</f>
        <v>1.7328294247</v>
      </c>
      <c r="N133" s="63">
        <v>0.90121431919999995</v>
      </c>
      <c r="O133" s="63">
        <f t="shared" si="140"/>
        <v>-1.2802546988153465</v>
      </c>
      <c r="P133" s="63">
        <f t="shared" si="141"/>
        <v>-1.6456632830518507</v>
      </c>
      <c r="Q133" s="63">
        <f t="shared" si="135"/>
        <v>2.3543367169481493</v>
      </c>
      <c r="R133" s="62"/>
      <c r="S133" s="63">
        <v>1.6262815332358338</v>
      </c>
      <c r="T133" s="60" t="e">
        <f>'Information Technology'!AA3696</f>
        <v>#DIV/0!</v>
      </c>
      <c r="U133" s="63" t="e">
        <v>#DIV/0!</v>
      </c>
      <c r="V133" s="63" t="e">
        <f t="shared" si="142"/>
        <v>#DIV/0!</v>
      </c>
      <c r="X133" s="63"/>
      <c r="Z133" s="63">
        <v>1</v>
      </c>
      <c r="AA133" s="60" t="e">
        <f>'Information Technology'!AA3697</f>
        <v>#DIV/0!</v>
      </c>
      <c r="AB133" s="63">
        <v>5.5407992914549897E-2</v>
      </c>
      <c r="AC133" s="60" t="e">
        <f t="shared" si="143"/>
        <v>#DIV/0!</v>
      </c>
      <c r="AD133" s="60" t="e">
        <f t="shared" si="144"/>
        <v>#DIV/0!</v>
      </c>
      <c r="AE133" s="60" t="e">
        <f t="shared" si="145"/>
        <v>#DIV/0!</v>
      </c>
      <c r="AF133" s="60">
        <v>3.8132978560386226</v>
      </c>
      <c r="AG133" s="60">
        <v>3.8132978560386226</v>
      </c>
      <c r="AH133" s="60" t="e">
        <f>'Information Technology'!AA3698</f>
        <v>#DIV/0!</v>
      </c>
      <c r="AI133" s="63">
        <v>3.9834652995571908E-2</v>
      </c>
      <c r="AJ133" s="60" t="e">
        <f>(AI133-$AI$260)/$AI$261</f>
        <v>#DIV/0!</v>
      </c>
      <c r="AK133" s="63" t="e">
        <f>AJ133-$AJ$203</f>
        <v>#DIV/0!</v>
      </c>
      <c r="AL133" s="60" t="e">
        <f>AK133+5-$AK$155</f>
        <v>#DIV/0!</v>
      </c>
      <c r="AM133" s="60">
        <v>2.4366197265474634</v>
      </c>
      <c r="AN133" s="60">
        <v>2.4366197265474634</v>
      </c>
      <c r="AO133" s="60" t="e">
        <f>'Information Technology'!AA3699</f>
        <v>#DIV/0!</v>
      </c>
      <c r="AP133" s="60">
        <v>0.12758036860990501</v>
      </c>
      <c r="AQ133" s="60" t="e">
        <f>(AP133-$AP$260)/$AP$261</f>
        <v>#DIV/0!</v>
      </c>
      <c r="AR133" s="60" t="e">
        <f>AQ133-$AQ$245</f>
        <v>#DIV/0!</v>
      </c>
      <c r="AS133" s="60" t="e">
        <f>(5-$AR$162)+AR133</f>
        <v>#DIV/0!</v>
      </c>
      <c r="AT133" s="60">
        <v>3.1445688412408739</v>
      </c>
      <c r="AU133" s="60">
        <v>3.1445688412408739</v>
      </c>
      <c r="AV133" s="60" t="e">
        <f>'Information Technology'!AA3700</f>
        <v>#DIV/0!</v>
      </c>
      <c r="AW133" s="60">
        <v>2.335047957170101E-2</v>
      </c>
      <c r="AX133" s="60" t="e">
        <f t="shared" si="146"/>
        <v>#DIV/0!</v>
      </c>
      <c r="AY133" s="60" t="e">
        <f t="shared" si="147"/>
        <v>#DIV/0!</v>
      </c>
      <c r="AZ133" s="60" t="e">
        <f t="shared" si="148"/>
        <v>#DIV/0!</v>
      </c>
      <c r="BA133" s="60">
        <v>3.4453989441874153</v>
      </c>
      <c r="BB133" s="60">
        <v>3.4453989441874153</v>
      </c>
      <c r="BC133" s="60" t="e">
        <f>'Information Technology'!AA3701</f>
        <v>#DIV/0!</v>
      </c>
      <c r="BD133" s="60">
        <v>0.53822287422589399</v>
      </c>
      <c r="BE133" s="60">
        <v>2.35</v>
      </c>
      <c r="BF133" s="60" t="e">
        <f>'Information Technology'!AA3702</f>
        <v>#DIV/0!</v>
      </c>
      <c r="BG133" s="63">
        <v>0.24271276563679828</v>
      </c>
      <c r="BH133" s="63" t="e">
        <f t="shared" si="149"/>
        <v>#DIV/0!</v>
      </c>
      <c r="BI133" s="63" t="e">
        <f t="shared" si="150"/>
        <v>#DIV/0!</v>
      </c>
      <c r="BJ133" s="63" t="e">
        <f t="shared" si="151"/>
        <v>#DIV/0!</v>
      </c>
      <c r="BK133" s="63">
        <v>4.1863626797010154</v>
      </c>
      <c r="BL133" s="63">
        <v>4.1863626797010154</v>
      </c>
      <c r="BM133" s="63">
        <f t="shared" si="152"/>
        <v>3.202970107331077</v>
      </c>
    </row>
    <row r="134" spans="1:65">
      <c r="A134" s="56" t="s">
        <v>452</v>
      </c>
      <c r="B134" s="56" t="s">
        <v>453</v>
      </c>
      <c r="C134" s="57">
        <v>2479.9</v>
      </c>
      <c r="D134" s="58" t="s">
        <v>80</v>
      </c>
      <c r="E134" s="69" t="str" cm="1">
        <f t="array" ref="E134">_xll.ciqfunctions.udf.CIQ(B134,"iq_industry")</f>
        <v>Communications Equipment</v>
      </c>
      <c r="F134" s="60">
        <f>'Information Technology'!AA2839</f>
        <v>-976.87433024459597</v>
      </c>
      <c r="G134" s="62">
        <v>-61.238206410423508</v>
      </c>
      <c r="J134" s="62">
        <v>1</v>
      </c>
      <c r="K134" s="62">
        <v>1</v>
      </c>
      <c r="L134" s="108">
        <v>1</v>
      </c>
      <c r="M134" s="60">
        <f>'Information Technology'!AA2840</f>
        <v>2.6092102779000004</v>
      </c>
      <c r="N134" s="63">
        <v>2.4699302716</v>
      </c>
      <c r="O134" s="63">
        <f t="shared" si="140"/>
        <v>-2.8735615748877542E-2</v>
      </c>
      <c r="P134" s="63">
        <f t="shared" si="141"/>
        <v>-0.39414419998538192</v>
      </c>
      <c r="Q134" s="63">
        <f t="shared" si="135"/>
        <v>3.6058558000146181</v>
      </c>
      <c r="R134" s="62"/>
      <c r="S134" s="63">
        <v>2.8778006163022996</v>
      </c>
      <c r="T134" s="60" t="e">
        <f>'Information Technology'!AA2841</f>
        <v>#DIV/0!</v>
      </c>
      <c r="U134" s="63" t="e">
        <v>#DIV/0!</v>
      </c>
      <c r="V134" s="63" t="e">
        <f t="shared" si="142"/>
        <v>#DIV/0!</v>
      </c>
      <c r="X134" s="63"/>
      <c r="Z134" s="63">
        <v>1</v>
      </c>
      <c r="AA134" s="60">
        <f>'Information Technology'!AA2842</f>
        <v>0.17562297756457301</v>
      </c>
      <c r="AB134" s="63">
        <v>0.15406808154379714</v>
      </c>
      <c r="AC134" s="60" t="e">
        <f t="shared" si="143"/>
        <v>#DIV/0!</v>
      </c>
      <c r="AD134" s="60" t="e">
        <f t="shared" si="144"/>
        <v>#DIV/0!</v>
      </c>
      <c r="AE134" s="60" t="e">
        <f t="shared" si="145"/>
        <v>#DIV/0!</v>
      </c>
      <c r="AF134" s="60">
        <v>2.5133724782733742</v>
      </c>
      <c r="AG134" s="60">
        <v>2.5133724782733742</v>
      </c>
      <c r="AH134" s="60">
        <f>'Information Technology'!AA2843</f>
        <v>-4.6762310425130592E-2</v>
      </c>
      <c r="AI134" s="63">
        <v>-5.3583195052953399E-2</v>
      </c>
      <c r="AJ134" s="60"/>
      <c r="AL134" s="60"/>
      <c r="AM134" s="60"/>
      <c r="AN134" s="60">
        <v>1</v>
      </c>
      <c r="AO134" s="60">
        <f>'Information Technology'!AA2844</f>
        <v>-4.1090171969092029E-3</v>
      </c>
      <c r="AP134" s="60">
        <v>-8.3293519612436895E-4</v>
      </c>
      <c r="AQ134" s="60" t="e">
        <f>(AP134-$AP$260)/$AP$261</f>
        <v>#DIV/0!</v>
      </c>
      <c r="AR134" s="60" t="e">
        <f>AQ134-$AQ$245</f>
        <v>#DIV/0!</v>
      </c>
      <c r="AS134" s="60" t="e">
        <f>(5-$AR$162)+AR134</f>
        <v>#DIV/0!</v>
      </c>
      <c r="AT134" s="60">
        <v>1.235473132456044</v>
      </c>
      <c r="AU134" s="60">
        <v>1.235473132456044</v>
      </c>
      <c r="AV134" s="60" t="e">
        <f>'Information Technology'!AA2845</f>
        <v>#DIV/0!</v>
      </c>
      <c r="AW134" s="60" t="b">
        <v>0</v>
      </c>
      <c r="AX134" s="60"/>
      <c r="AY134" s="60"/>
      <c r="AZ134" s="60"/>
      <c r="BA134" s="60"/>
      <c r="BB134" s="60">
        <v>1</v>
      </c>
      <c r="BC134" s="60">
        <f>'Information Technology'!AA2846</f>
        <v>3.0767503002170256</v>
      </c>
      <c r="BD134" s="60">
        <v>-12.136162501929665</v>
      </c>
      <c r="BE134" s="60">
        <v>5</v>
      </c>
      <c r="BF134" s="60">
        <f>'Information Technology'!AA2847</f>
        <v>4.7726908281113714</v>
      </c>
      <c r="BG134" s="63">
        <v>0.14834465490255744</v>
      </c>
      <c r="BH134" s="63" t="e">
        <f t="shared" si="149"/>
        <v>#DIV/0!</v>
      </c>
      <c r="BI134" s="63" t="e">
        <f t="shared" si="150"/>
        <v>#DIV/0!</v>
      </c>
      <c r="BJ134" s="63" t="e">
        <f t="shared" si="151"/>
        <v>#DIV/0!</v>
      </c>
      <c r="BK134" s="63">
        <v>4.5197724003380904</v>
      </c>
      <c r="BL134" s="63">
        <v>4.5197724003380904</v>
      </c>
      <c r="BM134" s="63">
        <f t="shared" si="152"/>
        <v>3.1498969245136994</v>
      </c>
    </row>
    <row r="135" spans="1:65">
      <c r="A135" s="56" t="s">
        <v>418</v>
      </c>
      <c r="B135" s="56" t="s">
        <v>419</v>
      </c>
      <c r="C135" s="57">
        <v>3006.9</v>
      </c>
      <c r="D135" s="58" t="s">
        <v>80</v>
      </c>
      <c r="E135" s="69" t="str" cm="1">
        <f t="array" ref="E135">_xll.ciqfunctions.udf.CIQ(B135,"iq_industry")</f>
        <v>Communications Equipment</v>
      </c>
      <c r="F135" s="60">
        <f>'Information Technology'!AA2584</f>
        <v>50.789864154117865</v>
      </c>
      <c r="G135" s="62">
        <v>219.2568749950365</v>
      </c>
      <c r="K135" s="62">
        <v>1</v>
      </c>
      <c r="L135" s="109">
        <v>1.05</v>
      </c>
      <c r="M135" s="60">
        <f>'Information Technology'!AA2585</f>
        <v>2.9603312599999998</v>
      </c>
      <c r="N135" s="63">
        <v>3.0314876571</v>
      </c>
      <c r="O135" s="63">
        <f t="shared" si="140"/>
        <v>0.41927397012608003</v>
      </c>
      <c r="P135" s="63">
        <f t="shared" si="141"/>
        <v>5.3865385889575679E-2</v>
      </c>
      <c r="Q135" s="63">
        <f t="shared" ref="Q135:Q166" si="153">P135+5-$P$71</f>
        <v>4.0538653858895755</v>
      </c>
      <c r="R135" s="62"/>
      <c r="S135" s="63">
        <v>3.325810202177256</v>
      </c>
      <c r="T135" s="60" t="e">
        <f>'Information Technology'!AA2586</f>
        <v>#DIV/0!</v>
      </c>
      <c r="U135" s="63" t="e">
        <v>#DIV/0!</v>
      </c>
      <c r="V135" s="63" t="e">
        <f t="shared" si="142"/>
        <v>#DIV/0!</v>
      </c>
      <c r="X135" s="63"/>
      <c r="Z135" s="63">
        <v>1</v>
      </c>
      <c r="AA135" s="60">
        <f>'Information Technology'!AA2587</f>
        <v>8.873399152742989E-3</v>
      </c>
      <c r="AB135" s="63">
        <v>4.1801042586766313E-2</v>
      </c>
      <c r="AC135" s="60" t="e">
        <f t="shared" si="143"/>
        <v>#DIV/0!</v>
      </c>
      <c r="AD135" s="60" t="e">
        <f t="shared" si="144"/>
        <v>#DIV/0!</v>
      </c>
      <c r="AE135" s="60" t="e">
        <f t="shared" si="145"/>
        <v>#DIV/0!</v>
      </c>
      <c r="AF135" s="60">
        <v>3.9925802821019785</v>
      </c>
      <c r="AG135" s="60">
        <v>3.9925802821019785</v>
      </c>
      <c r="AH135" s="60">
        <f>'Information Technology'!AA2588</f>
        <v>8.6806667724682707E-2</v>
      </c>
      <c r="AI135" s="63">
        <v>7.3019059323038524E-2</v>
      </c>
      <c r="AJ135" s="60" t="e">
        <f t="shared" ref="AJ135:AJ146" si="154">(AI135-$AI$260)/$AI$261</f>
        <v>#DIV/0!</v>
      </c>
      <c r="AK135" s="63" t="e">
        <f t="shared" ref="AK135:AK146" si="155">AJ135-$AJ$203</f>
        <v>#DIV/0!</v>
      </c>
      <c r="AL135" s="60" t="e">
        <f t="shared" ref="AL135:AL146" si="156">AK135+5-$AK$155</f>
        <v>#DIV/0!</v>
      </c>
      <c r="AM135" s="60">
        <v>3.1920270251146476</v>
      </c>
      <c r="AN135" s="60">
        <v>3.1920270251146476</v>
      </c>
      <c r="AO135" s="60">
        <f>'Information Technology'!AA2589</f>
        <v>0.13714843167566174</v>
      </c>
      <c r="AP135" s="60">
        <v>3.9945741064195905E-2</v>
      </c>
      <c r="AQ135" s="60" t="e">
        <f>(AP135-$AP$260)/$AP$261</f>
        <v>#DIV/0!</v>
      </c>
      <c r="AR135" s="60" t="e">
        <f>AQ135-$AQ$245</f>
        <v>#DIV/0!</v>
      </c>
      <c r="AS135" s="60" t="e">
        <f>(5-$AR$162)+AR135</f>
        <v>#DIV/0!</v>
      </c>
      <c r="AT135" s="60">
        <v>1.8417218119238479</v>
      </c>
      <c r="AU135" s="60">
        <v>1.8417218119238479</v>
      </c>
      <c r="AV135" s="60" t="b">
        <f>'Information Technology'!AA2590</f>
        <v>0</v>
      </c>
      <c r="AW135" s="60">
        <v>-5.9127885304313642E-3</v>
      </c>
      <c r="AX135" s="60" t="e">
        <f t="shared" ref="AX135:AX140" si="157">(AW135-$AW$260)/$AW$261</f>
        <v>#DIV/0!</v>
      </c>
      <c r="AY135" s="60" t="e">
        <f t="shared" ref="AY135:AY140" si="158">AX135-$AX$253</f>
        <v>#DIV/0!</v>
      </c>
      <c r="AZ135" s="60" t="e">
        <f t="shared" ref="AZ135:AZ140" si="159">AY135+5-$AY$205</f>
        <v>#DIV/0!</v>
      </c>
      <c r="BA135" s="60">
        <v>1.4786994948659755</v>
      </c>
      <c r="BB135" s="60">
        <v>1.4786994948659755</v>
      </c>
      <c r="BC135" s="60">
        <f>'Information Technology'!AA2591</f>
        <v>-0.30487357671815807</v>
      </c>
      <c r="BD135" s="60">
        <v>-0.88596672945586707</v>
      </c>
      <c r="BE135" s="60">
        <v>5</v>
      </c>
      <c r="BF135" s="60">
        <f>'Information Technology'!AA2592</f>
        <v>0.42606971949899819</v>
      </c>
      <c r="BG135" s="63">
        <v>0.67662238783770412</v>
      </c>
      <c r="BH135" s="63" t="e">
        <f t="shared" si="149"/>
        <v>#DIV/0!</v>
      </c>
      <c r="BI135" s="63" t="e">
        <f t="shared" si="150"/>
        <v>#DIV/0!</v>
      </c>
      <c r="BJ135" s="63" t="e">
        <f t="shared" si="151"/>
        <v>#DIV/0!</v>
      </c>
      <c r="BK135" s="63">
        <v>2.6533269455517869</v>
      </c>
      <c r="BL135" s="63">
        <v>2.6533269455517869</v>
      </c>
      <c r="BM135" s="63">
        <f t="shared" si="152"/>
        <v>3.1188982677464603</v>
      </c>
    </row>
    <row r="136" spans="1:65">
      <c r="A136" s="56" t="s">
        <v>564</v>
      </c>
      <c r="B136" s="56" t="s">
        <v>565</v>
      </c>
      <c r="C136" s="57">
        <v>1056.5</v>
      </c>
      <c r="D136" s="58" t="s">
        <v>80</v>
      </c>
      <c r="E136" s="69" t="str" cm="1">
        <f t="array" ref="E136">_xll.ciqfunctions.udf.CIQ(B136,"iq_industry")</f>
        <v>Communications Equipment</v>
      </c>
      <c r="F136" s="60">
        <f>'Information Technology'!AA3679</f>
        <v>49.739072137225065</v>
      </c>
      <c r="G136" s="62">
        <v>-217.93551401069246</v>
      </c>
      <c r="J136" s="62">
        <v>1</v>
      </c>
      <c r="K136" s="62">
        <v>1</v>
      </c>
      <c r="L136" s="108">
        <v>1</v>
      </c>
      <c r="M136" s="60">
        <f>'Information Technology'!AA3680</f>
        <v>2.6591120737500002</v>
      </c>
      <c r="N136" s="63">
        <v>1.1711902657</v>
      </c>
      <c r="O136" s="63">
        <f t="shared" si="140"/>
        <v>-1.0648683195943316</v>
      </c>
      <c r="P136" s="63">
        <f t="shared" si="141"/>
        <v>-1.4302769038308361</v>
      </c>
      <c r="Q136" s="63">
        <f t="shared" si="153"/>
        <v>2.5697230961691639</v>
      </c>
      <c r="R136" s="62"/>
      <c r="S136" s="63">
        <v>1.841667912456848</v>
      </c>
      <c r="T136" s="60" t="e">
        <f>'Information Technology'!AA3681</f>
        <v>#DIV/0!</v>
      </c>
      <c r="U136" s="63" t="e">
        <v>#DIV/0!</v>
      </c>
      <c r="V136" s="63" t="e">
        <f t="shared" si="142"/>
        <v>#DIV/0!</v>
      </c>
      <c r="X136" s="63"/>
      <c r="Z136" s="63">
        <v>1</v>
      </c>
      <c r="AA136" s="60">
        <f>'Information Technology'!AA3682</f>
        <v>0.24444317566454088</v>
      </c>
      <c r="AB136" s="63">
        <v>4.7644122161216718E-2</v>
      </c>
      <c r="AC136" s="60" t="e">
        <f t="shared" si="143"/>
        <v>#DIV/0!</v>
      </c>
      <c r="AD136" s="60" t="e">
        <f t="shared" si="144"/>
        <v>#DIV/0!</v>
      </c>
      <c r="AE136" s="60" t="e">
        <f t="shared" si="145"/>
        <v>#DIV/0!</v>
      </c>
      <c r="AF136" s="60">
        <v>3.915593047155606</v>
      </c>
      <c r="AG136" s="60">
        <v>3.915593047155606</v>
      </c>
      <c r="AH136" s="60">
        <f>'Information Technology'!AA3683</f>
        <v>-0.30091380988061883</v>
      </c>
      <c r="AI136" s="63">
        <v>-2.0504585670027328E-3</v>
      </c>
      <c r="AJ136" s="60" t="e">
        <f t="shared" si="154"/>
        <v>#DIV/0!</v>
      </c>
      <c r="AK136" s="63" t="e">
        <f t="shared" si="155"/>
        <v>#DIV/0!</v>
      </c>
      <c r="AL136" s="60" t="e">
        <f t="shared" si="156"/>
        <v>#DIV/0!</v>
      </c>
      <c r="AM136" s="60">
        <v>1.4831502365876252</v>
      </c>
      <c r="AN136" s="60">
        <v>1.4831502365876252</v>
      </c>
      <c r="AO136" s="60">
        <f>'Information Technology'!AA3684</f>
        <v>5.3893184757673698E-2</v>
      </c>
      <c r="AP136" s="60">
        <v>-3.5690645321815095E-2</v>
      </c>
      <c r="AQ136" s="60"/>
      <c r="AR136" s="60"/>
      <c r="AS136" s="60"/>
      <c r="AT136" s="60"/>
      <c r="AU136" s="60">
        <v>1</v>
      </c>
      <c r="AV136" s="60" t="e">
        <f>'Information Technology'!AA3685</f>
        <v>#DIV/0!</v>
      </c>
      <c r="AW136" s="60">
        <v>-2.959261072334048E-3</v>
      </c>
      <c r="AX136" s="60" t="e">
        <f t="shared" si="157"/>
        <v>#DIV/0!</v>
      </c>
      <c r="AY136" s="60" t="e">
        <f t="shared" si="158"/>
        <v>#DIV/0!</v>
      </c>
      <c r="AZ136" s="60" t="e">
        <f t="shared" si="159"/>
        <v>#DIV/0!</v>
      </c>
      <c r="BA136" s="60">
        <v>1.6771975165196977</v>
      </c>
      <c r="BB136" s="60">
        <v>1.6771975165196977</v>
      </c>
      <c r="BC136" s="60">
        <f>'Information Technology'!AA3686</f>
        <v>0.92259808154816025</v>
      </c>
      <c r="BD136" s="60">
        <v>3.2558106920671253</v>
      </c>
      <c r="BE136" s="60">
        <v>1</v>
      </c>
      <c r="BF136" s="60" t="e">
        <f>'Information Technology'!AA3687</f>
        <v>#DIV/0!</v>
      </c>
      <c r="BG136" s="63">
        <v>0.30394857178739515</v>
      </c>
      <c r="BH136" s="63" t="e">
        <f t="shared" si="149"/>
        <v>#DIV/0!</v>
      </c>
      <c r="BI136" s="63" t="e">
        <f t="shared" si="150"/>
        <v>#DIV/0!</v>
      </c>
      <c r="BJ136" s="63" t="e">
        <f t="shared" si="151"/>
        <v>#DIV/0!</v>
      </c>
      <c r="BK136" s="63">
        <v>3.97001191393064</v>
      </c>
      <c r="BL136" s="63">
        <v>3.97001191393064</v>
      </c>
      <c r="BM136" s="63">
        <f t="shared" si="152"/>
        <v>2.0099719082728362</v>
      </c>
    </row>
    <row r="137" spans="1:65">
      <c r="A137" s="56" t="s">
        <v>538</v>
      </c>
      <c r="B137" s="56" t="s">
        <v>539</v>
      </c>
      <c r="C137" s="57">
        <v>1280.5999999999999</v>
      </c>
      <c r="D137" s="58" t="s">
        <v>213</v>
      </c>
      <c r="E137" s="69" t="str" cm="1">
        <f t="array" ref="E137">_xll.ciqfunctions.udf.CIQ(B137,"iq_industry")</f>
        <v>Electronic Equipment, Instruments and Components</v>
      </c>
      <c r="F137" s="60">
        <f>'Information Technology'!AA3484</f>
        <v>74.97983134055508</v>
      </c>
      <c r="G137" s="62">
        <v>16.619420402918266</v>
      </c>
      <c r="H137" s="62" t="e">
        <f t="shared" ref="H137:H143" si="160">-(G137-$G$260)/$G$261</f>
        <v>#DIV/0!</v>
      </c>
      <c r="I137" s="62" t="e">
        <f t="shared" ref="I137:I143" si="161">H137-$H$181</f>
        <v>#DIV/0!</v>
      </c>
      <c r="J137" s="62" t="e">
        <f t="shared" ref="J137:J143" si="162">I137+(5-$I$242)</f>
        <v>#DIV/0!</v>
      </c>
      <c r="K137" s="62">
        <v>1</v>
      </c>
      <c r="L137" s="108">
        <v>3.4752254671663936</v>
      </c>
      <c r="M137" s="60">
        <f>'Information Technology'!AA3485</f>
        <v>4.3897187873999988</v>
      </c>
      <c r="N137" s="63">
        <v>1.2612701605000001</v>
      </c>
      <c r="O137" s="63">
        <f t="shared" si="140"/>
        <v>-0.99300272329543326</v>
      </c>
      <c r="P137" s="63">
        <f t="shared" si="141"/>
        <v>-1.3584113075319375</v>
      </c>
      <c r="Q137" s="63">
        <f t="shared" si="153"/>
        <v>2.6415886924680625</v>
      </c>
      <c r="R137" s="62"/>
      <c r="S137" s="63">
        <v>1.913533508755747</v>
      </c>
      <c r="T137" s="60" t="e">
        <f>'Information Technology'!AA3486</f>
        <v>#DIV/0!</v>
      </c>
      <c r="U137" s="63">
        <v>124.21900950884697</v>
      </c>
      <c r="V137" s="63" t="e">
        <f t="shared" si="142"/>
        <v>#DIV/0!</v>
      </c>
      <c r="X137" s="63"/>
      <c r="Y137" s="63">
        <v>1.3</v>
      </c>
      <c r="Z137" s="63">
        <v>1.3</v>
      </c>
      <c r="AA137" s="60">
        <f>'Information Technology'!AA3487</f>
        <v>4.1890840697506704E-2</v>
      </c>
      <c r="AB137" s="63">
        <v>-8.5701562720544855E-3</v>
      </c>
      <c r="AC137" s="60" t="e">
        <f t="shared" si="143"/>
        <v>#DIV/0!</v>
      </c>
      <c r="AD137" s="60" t="e">
        <f t="shared" si="144"/>
        <v>#DIV/0!</v>
      </c>
      <c r="AE137" s="60" t="e">
        <f t="shared" si="145"/>
        <v>#DIV/0!</v>
      </c>
      <c r="AF137" s="60">
        <v>4.6562610127275361</v>
      </c>
      <c r="AG137" s="60">
        <v>4.6562610127275361</v>
      </c>
      <c r="AH137" s="60">
        <f>'Information Technology'!AA3488</f>
        <v>-0.25513802529453938</v>
      </c>
      <c r="AI137" s="63">
        <v>6.2028341616054555E-2</v>
      </c>
      <c r="AJ137" s="60" t="e">
        <f t="shared" si="154"/>
        <v>#DIV/0!</v>
      </c>
      <c r="AK137" s="63" t="e">
        <f t="shared" si="155"/>
        <v>#DIV/0!</v>
      </c>
      <c r="AL137" s="60" t="e">
        <f t="shared" si="156"/>
        <v>#DIV/0!</v>
      </c>
      <c r="AM137" s="60">
        <v>2.9418351642020912</v>
      </c>
      <c r="AN137" s="60">
        <v>2.9418351642020912</v>
      </c>
      <c r="AO137" s="60">
        <f>'Information Technology'!AA3489</f>
        <v>5.0949707283576319E-2</v>
      </c>
      <c r="AP137" s="60">
        <v>9.2415877863019316E-2</v>
      </c>
      <c r="AQ137" s="60" t="e">
        <f t="shared" ref="AQ137:AQ149" si="163">(AP137-$AP$260)/$AP$261</f>
        <v>#DIV/0!</v>
      </c>
      <c r="AR137" s="60" t="e">
        <f t="shared" ref="AR137:AR149" si="164">AQ137-$AQ$245</f>
        <v>#DIV/0!</v>
      </c>
      <c r="AS137" s="60" t="e">
        <f t="shared" ref="AS137:AS149" si="165">(5-$AR$162)+AR137</f>
        <v>#DIV/0!</v>
      </c>
      <c r="AT137" s="60">
        <v>2.6217851701043688</v>
      </c>
      <c r="AU137" s="60">
        <v>2.6217851701043688</v>
      </c>
      <c r="AV137" s="60" t="b">
        <f>'Information Technology'!AA3490</f>
        <v>0</v>
      </c>
      <c r="AW137" s="60">
        <v>8.505469169735505E-3</v>
      </c>
      <c r="AX137" s="60" t="e">
        <f t="shared" si="157"/>
        <v>#DIV/0!</v>
      </c>
      <c r="AY137" s="60" t="e">
        <f t="shared" si="158"/>
        <v>#DIV/0!</v>
      </c>
      <c r="AZ137" s="60" t="e">
        <f t="shared" si="159"/>
        <v>#DIV/0!</v>
      </c>
      <c r="BA137" s="60">
        <v>2.447708813310026</v>
      </c>
      <c r="BB137" s="60">
        <v>2.447708813310026</v>
      </c>
      <c r="BC137" s="60">
        <f>'Information Technology'!AA3491</f>
        <v>1.0037589233108632</v>
      </c>
      <c r="BD137" s="60">
        <v>-1.5040853471685656E-2</v>
      </c>
      <c r="BE137" s="60">
        <v>5</v>
      </c>
      <c r="BF137" s="60">
        <f>'Information Technology'!AA3492</f>
        <v>1.2391540542593558</v>
      </c>
      <c r="BG137" s="63">
        <v>0.26843257802309073</v>
      </c>
      <c r="BH137" s="63" t="e">
        <f t="shared" si="149"/>
        <v>#DIV/0!</v>
      </c>
      <c r="BI137" s="63" t="e">
        <f t="shared" si="150"/>
        <v>#DIV/0!</v>
      </c>
      <c r="BJ137" s="63" t="e">
        <f t="shared" si="151"/>
        <v>#DIV/0!</v>
      </c>
      <c r="BK137" s="63">
        <v>4.095492624172393</v>
      </c>
      <c r="BL137" s="63">
        <v>4.095492624172393</v>
      </c>
      <c r="BM137" s="63">
        <f t="shared" si="152"/>
        <v>3.8761582671495889</v>
      </c>
    </row>
    <row r="138" spans="1:65">
      <c r="A138" s="56" t="s">
        <v>396</v>
      </c>
      <c r="B138" s="56" t="s">
        <v>397</v>
      </c>
      <c r="C138" s="57">
        <v>3401</v>
      </c>
      <c r="D138" s="58" t="s">
        <v>127</v>
      </c>
      <c r="E138" s="69" t="str" cm="1">
        <f t="array" ref="E138">_xll.ciqfunctions.udf.CIQ(B138,"iq_industry")</f>
        <v>Electronic Equipment, Instruments and Components</v>
      </c>
      <c r="F138" s="60">
        <f>'Information Technology'!AA2419</f>
        <v>57.457940568844379</v>
      </c>
      <c r="G138" s="62">
        <v>32.929028897843359</v>
      </c>
      <c r="H138" s="62" t="e">
        <f t="shared" si="160"/>
        <v>#DIV/0!</v>
      </c>
      <c r="I138" s="62" t="e">
        <f t="shared" si="161"/>
        <v>#DIV/0!</v>
      </c>
      <c r="J138" s="62" t="e">
        <f t="shared" si="162"/>
        <v>#DIV/0!</v>
      </c>
      <c r="K138" s="62">
        <v>1</v>
      </c>
      <c r="L138" s="108">
        <v>1.6586203261229115</v>
      </c>
      <c r="M138" s="60">
        <f>'Information Technology'!AA2420</f>
        <v>0.97133085750000003</v>
      </c>
      <c r="N138" s="63">
        <v>3.3189728803000005</v>
      </c>
      <c r="O138" s="63">
        <f t="shared" si="140"/>
        <v>0.64862922235257214</v>
      </c>
      <c r="P138" s="63">
        <f t="shared" si="141"/>
        <v>0.28322063811606779</v>
      </c>
      <c r="Q138" s="63">
        <f t="shared" si="153"/>
        <v>4.2832206381160676</v>
      </c>
      <c r="R138" s="62"/>
      <c r="S138" s="63">
        <v>3.5551654544037481</v>
      </c>
      <c r="T138" s="60" t="e">
        <f>'Information Technology'!AA2421</f>
        <v>#DIV/0!</v>
      </c>
      <c r="U138" s="63">
        <v>27.324713819302882</v>
      </c>
      <c r="V138" s="63" t="e">
        <f t="shared" si="142"/>
        <v>#DIV/0!</v>
      </c>
      <c r="W138" s="63" t="e">
        <f>V138-$V$252</f>
        <v>#DIV/0!</v>
      </c>
      <c r="X138" s="63" t="e">
        <f>W138+5-$W$259</f>
        <v>#DIV/0!</v>
      </c>
      <c r="Y138" s="63">
        <v>3.094015126283546</v>
      </c>
      <c r="Z138" s="63">
        <v>3.094015126283546</v>
      </c>
      <c r="AA138" s="60">
        <f>'Information Technology'!AA2422</f>
        <v>0.44496245367448473</v>
      </c>
      <c r="AB138" s="63">
        <v>-7.4196182289695267E-3</v>
      </c>
      <c r="AC138" s="60" t="e">
        <f t="shared" si="143"/>
        <v>#DIV/0!</v>
      </c>
      <c r="AD138" s="60" t="e">
        <f t="shared" si="144"/>
        <v>#DIV/0!</v>
      </c>
      <c r="AE138" s="60" t="e">
        <f t="shared" si="145"/>
        <v>#DIV/0!</v>
      </c>
      <c r="AF138" s="60">
        <v>4.6411017561216488</v>
      </c>
      <c r="AG138" s="60">
        <v>4.6411017561216488</v>
      </c>
      <c r="AH138" s="60">
        <f>'Information Technology'!AA2423</f>
        <v>-1.5653154369195822E-3</v>
      </c>
      <c r="AI138" s="63">
        <v>9.4262424259623015E-2</v>
      </c>
      <c r="AJ138" s="60" t="e">
        <f t="shared" si="154"/>
        <v>#DIV/0!</v>
      </c>
      <c r="AK138" s="63" t="e">
        <f t="shared" si="155"/>
        <v>#DIV/0!</v>
      </c>
      <c r="AL138" s="60" t="e">
        <f t="shared" si="156"/>
        <v>#DIV/0!</v>
      </c>
      <c r="AM138" s="60">
        <v>3.6756093667984207</v>
      </c>
      <c r="AN138" s="60">
        <v>3.6756093667984207</v>
      </c>
      <c r="AO138" s="60">
        <f>'Information Technology'!AA2424</f>
        <v>0.36102155478862463</v>
      </c>
      <c r="AP138" s="60">
        <v>1.1758691797005947E-2</v>
      </c>
      <c r="AQ138" s="60" t="e">
        <f t="shared" si="163"/>
        <v>#DIV/0!</v>
      </c>
      <c r="AR138" s="60" t="e">
        <f t="shared" si="164"/>
        <v>#DIV/0!</v>
      </c>
      <c r="AS138" s="60" t="e">
        <f t="shared" si="165"/>
        <v>#DIV/0!</v>
      </c>
      <c r="AT138" s="60">
        <v>1.4226704114507118</v>
      </c>
      <c r="AU138" s="60">
        <v>1.4226704114507118</v>
      </c>
      <c r="AV138" s="60" t="e">
        <f>'Information Technology'!AA2425</f>
        <v>#DIV/0!</v>
      </c>
      <c r="AW138" s="60">
        <v>5.8643895539180462E-3</v>
      </c>
      <c r="AX138" s="60" t="e">
        <f t="shared" si="157"/>
        <v>#DIV/0!</v>
      </c>
      <c r="AY138" s="60" t="e">
        <f t="shared" si="158"/>
        <v>#DIV/0!</v>
      </c>
      <c r="AZ138" s="60" t="e">
        <f t="shared" si="159"/>
        <v>#DIV/0!</v>
      </c>
      <c r="BA138" s="60">
        <v>2.2702095057168385</v>
      </c>
      <c r="BB138" s="60">
        <v>2.2702095057168385</v>
      </c>
      <c r="BC138" s="60">
        <f>'Information Technology'!AA2426</f>
        <v>0</v>
      </c>
      <c r="BD138" s="60">
        <v>-0.80278193567836409</v>
      </c>
      <c r="BE138" s="60">
        <v>5</v>
      </c>
      <c r="BF138" s="60">
        <f>'Information Technology'!AA2427</f>
        <v>1.2491604960175087</v>
      </c>
      <c r="BG138" s="63">
        <v>0.15506221525678257</v>
      </c>
      <c r="BH138" s="63" t="e">
        <f t="shared" si="149"/>
        <v>#DIV/0!</v>
      </c>
      <c r="BI138" s="63" t="e">
        <f t="shared" si="150"/>
        <v>#DIV/0!</v>
      </c>
      <c r="BJ138" s="63" t="e">
        <f t="shared" si="151"/>
        <v>#DIV/0!</v>
      </c>
      <c r="BK138" s="63">
        <v>4.4960387481155477</v>
      </c>
      <c r="BL138" s="63">
        <v>4.4960387481155477</v>
      </c>
      <c r="BM138" s="63">
        <f t="shared" si="152"/>
        <v>3.8363192110338913</v>
      </c>
    </row>
    <row r="139" spans="1:65">
      <c r="A139" s="56" t="s">
        <v>526</v>
      </c>
      <c r="B139" s="56" t="s">
        <v>527</v>
      </c>
      <c r="C139" s="57">
        <v>1414.2</v>
      </c>
      <c r="D139" s="58" t="s">
        <v>157</v>
      </c>
      <c r="E139" s="69" t="str" cm="1">
        <f t="array" ref="E139">_xll.ciqfunctions.udf.CIQ(B139,"iq_industry")</f>
        <v>Electronic Equipment, Instruments and Components</v>
      </c>
      <c r="F139" s="60">
        <f>'Information Technology'!AA3394</f>
        <v>-129.54893646034873</v>
      </c>
      <c r="G139" s="62">
        <v>23.222628024116037</v>
      </c>
      <c r="H139" s="62" t="e">
        <f t="shared" si="160"/>
        <v>#DIV/0!</v>
      </c>
      <c r="I139" s="62" t="e">
        <f t="shared" si="161"/>
        <v>#DIV/0!</v>
      </c>
      <c r="J139" s="62" t="e">
        <f t="shared" si="162"/>
        <v>#DIV/0!</v>
      </c>
      <c r="K139" s="62">
        <v>1</v>
      </c>
      <c r="L139" s="108">
        <v>2.7397436243141953</v>
      </c>
      <c r="M139" s="60">
        <f>'Information Technology'!AA3395</f>
        <v>1.9155166799999999</v>
      </c>
      <c r="N139" s="63">
        <v>1.4155030097999999</v>
      </c>
      <c r="O139" s="63">
        <f t="shared" si="140"/>
        <v>-0.86995600228813275</v>
      </c>
      <c r="P139" s="63">
        <f t="shared" si="141"/>
        <v>-1.235364586524637</v>
      </c>
      <c r="Q139" s="63">
        <f t="shared" si="153"/>
        <v>2.764635413475363</v>
      </c>
      <c r="R139" s="62"/>
      <c r="S139" s="63">
        <v>2.0365802297630466</v>
      </c>
      <c r="T139" s="60" t="e">
        <f>'Information Technology'!AA3396</f>
        <v>#DIV/0!</v>
      </c>
      <c r="U139" s="63" t="e">
        <v>#DIV/0!</v>
      </c>
      <c r="V139" s="63" t="e">
        <f t="shared" si="142"/>
        <v>#DIV/0!</v>
      </c>
      <c r="X139" s="63"/>
      <c r="Z139" s="63">
        <v>1</v>
      </c>
      <c r="AA139" s="60">
        <f>'Information Technology'!AA3397</f>
        <v>1.6958478440559865E-2</v>
      </c>
      <c r="AB139" s="63">
        <v>-1.0546672465140405E-3</v>
      </c>
      <c r="AC139" s="60" t="e">
        <f t="shared" si="143"/>
        <v>#DIV/0!</v>
      </c>
      <c r="AD139" s="60" t="e">
        <f t="shared" si="144"/>
        <v>#DIV/0!</v>
      </c>
      <c r="AE139" s="60" t="e">
        <f t="shared" si="145"/>
        <v>#DIV/0!</v>
      </c>
      <c r="AF139" s="60">
        <v>4.5572384490307902</v>
      </c>
      <c r="AG139" s="60">
        <v>4.5572384490307902</v>
      </c>
      <c r="AH139" s="60">
        <f>'Information Technology'!AA3398</f>
        <v>-2.250959589285239E-2</v>
      </c>
      <c r="AI139" s="63">
        <v>2.5390242972225613E-2</v>
      </c>
      <c r="AJ139" s="60" t="e">
        <f t="shared" si="154"/>
        <v>#DIV/0!</v>
      </c>
      <c r="AK139" s="63" t="e">
        <f t="shared" si="155"/>
        <v>#DIV/0!</v>
      </c>
      <c r="AL139" s="60" t="e">
        <f t="shared" si="156"/>
        <v>#DIV/0!</v>
      </c>
      <c r="AM139" s="60">
        <v>2.1078082767520989</v>
      </c>
      <c r="AN139" s="60">
        <v>2.1078082767520989</v>
      </c>
      <c r="AO139" s="60">
        <f>'Information Technology'!AA3399</f>
        <v>-1.4531537888283434E-2</v>
      </c>
      <c r="AP139" s="60">
        <v>2.6094929181389868E-2</v>
      </c>
      <c r="AQ139" s="60" t="e">
        <f t="shared" si="163"/>
        <v>#DIV/0!</v>
      </c>
      <c r="AR139" s="60" t="e">
        <f t="shared" si="164"/>
        <v>#DIV/0!</v>
      </c>
      <c r="AS139" s="60" t="e">
        <f t="shared" si="165"/>
        <v>#DIV/0!</v>
      </c>
      <c r="AT139" s="60">
        <v>1.6358044751298904</v>
      </c>
      <c r="AU139" s="60">
        <v>1.6358044751298904</v>
      </c>
      <c r="AV139" s="60">
        <f>'Information Technology'!AA3400</f>
        <v>-3.7086945705440265E-2</v>
      </c>
      <c r="AW139" s="60">
        <v>5.7049256438888884E-5</v>
      </c>
      <c r="AX139" s="60" t="e">
        <f t="shared" si="157"/>
        <v>#DIV/0!</v>
      </c>
      <c r="AY139" s="60" t="e">
        <f t="shared" si="158"/>
        <v>#DIV/0!</v>
      </c>
      <c r="AZ139" s="60" t="e">
        <f t="shared" si="159"/>
        <v>#DIV/0!</v>
      </c>
      <c r="BA139" s="60">
        <v>1.8799149929777705</v>
      </c>
      <c r="BB139" s="60">
        <v>1.8799149929777705</v>
      </c>
      <c r="BC139" s="60">
        <f>'Information Technology'!AA3401</f>
        <v>15.283010382490934</v>
      </c>
      <c r="BD139" s="60">
        <v>0</v>
      </c>
      <c r="BE139" s="60">
        <v>5</v>
      </c>
      <c r="BF139" s="60">
        <f>'Information Technology'!AA3402</f>
        <v>0.29046144365974502</v>
      </c>
      <c r="BG139" s="63">
        <v>3.6181280349471372E-2</v>
      </c>
      <c r="BH139" s="63" t="e">
        <f t="shared" si="149"/>
        <v>#DIV/0!</v>
      </c>
      <c r="BI139" s="63" t="e">
        <f t="shared" si="150"/>
        <v>#DIV/0!</v>
      </c>
      <c r="BJ139" s="63" t="e">
        <f t="shared" si="151"/>
        <v>#DIV/0!</v>
      </c>
      <c r="BK139" s="63">
        <v>4.916054143020971</v>
      </c>
      <c r="BL139" s="63">
        <v>4.916054143020971</v>
      </c>
      <c r="BM139" s="63">
        <f t="shared" si="152"/>
        <v>3.7791136402179726</v>
      </c>
    </row>
    <row r="140" spans="1:65">
      <c r="A140" s="56" t="s">
        <v>334</v>
      </c>
      <c r="B140" s="56" t="s">
        <v>335</v>
      </c>
      <c r="C140" s="57">
        <v>4743.8</v>
      </c>
      <c r="D140" s="58" t="s">
        <v>213</v>
      </c>
      <c r="E140" s="69" t="str" cm="1">
        <f t="array" ref="E140">_xll.ciqfunctions.udf.CIQ(B140,"iq_industry")</f>
        <v>Electronic Equipment, Instruments and Components</v>
      </c>
      <c r="F140" s="60">
        <f>'Information Technology'!AA1954</f>
        <v>14.168238241229167</v>
      </c>
      <c r="G140" s="62">
        <v>29.310231489658246</v>
      </c>
      <c r="H140" s="62" t="e">
        <f t="shared" si="160"/>
        <v>#DIV/0!</v>
      </c>
      <c r="I140" s="62" t="e">
        <f t="shared" si="161"/>
        <v>#DIV/0!</v>
      </c>
      <c r="J140" s="62" t="e">
        <f t="shared" si="162"/>
        <v>#DIV/0!</v>
      </c>
      <c r="K140" s="62">
        <v>1</v>
      </c>
      <c r="L140" s="108">
        <v>2.0616910667939368</v>
      </c>
      <c r="M140" s="60">
        <f>'Information Technology'!AA1955</f>
        <v>2.1522376471500002</v>
      </c>
      <c r="N140" s="63">
        <v>4.4671845992999994</v>
      </c>
      <c r="O140" s="63">
        <f t="shared" si="140"/>
        <v>1.5646706991607562</v>
      </c>
      <c r="P140" s="63">
        <f t="shared" si="141"/>
        <v>1.1992621149242519</v>
      </c>
      <c r="Q140" s="63">
        <f t="shared" si="153"/>
        <v>5.1992621149242524</v>
      </c>
      <c r="R140" s="62"/>
      <c r="S140" s="63">
        <v>4.4712069312119294</v>
      </c>
      <c r="T140" s="60" t="e">
        <f>'Information Technology'!AA1956</f>
        <v>#DIV/0!</v>
      </c>
      <c r="U140" s="63" t="e">
        <v>#DIV/0!</v>
      </c>
      <c r="V140" s="63" t="e">
        <f t="shared" si="142"/>
        <v>#DIV/0!</v>
      </c>
      <c r="X140" s="63"/>
      <c r="Z140" s="63">
        <v>1</v>
      </c>
      <c r="AA140" s="60">
        <f>'Information Technology'!AA1957</f>
        <v>1.4225675428511497E-2</v>
      </c>
      <c r="AB140" s="63">
        <v>-2.2082227229882068E-2</v>
      </c>
      <c r="AC140" s="60" t="e">
        <f t="shared" si="143"/>
        <v>#DIV/0!</v>
      </c>
      <c r="AD140" s="60" t="e">
        <f t="shared" si="144"/>
        <v>#DIV/0!</v>
      </c>
      <c r="AE140" s="60" t="e">
        <f t="shared" si="145"/>
        <v>#DIV/0!</v>
      </c>
      <c r="AF140" s="60">
        <v>4.8342933273978685</v>
      </c>
      <c r="AG140" s="60">
        <v>4.8342933273978685</v>
      </c>
      <c r="AH140" s="60">
        <f>'Information Technology'!AA1958</f>
        <v>6.5235181758875101E-3</v>
      </c>
      <c r="AI140" s="63">
        <v>0.1438688099563829</v>
      </c>
      <c r="AJ140" s="60" t="e">
        <f t="shared" si="154"/>
        <v>#DIV/0!</v>
      </c>
      <c r="AK140" s="63" t="e">
        <f t="shared" si="155"/>
        <v>#DIV/0!</v>
      </c>
      <c r="AL140" s="60" t="e">
        <f t="shared" si="156"/>
        <v>#DIV/0!</v>
      </c>
      <c r="AM140" s="60">
        <v>4.8048453531555086</v>
      </c>
      <c r="AN140" s="60">
        <v>4.8048453531555086</v>
      </c>
      <c r="AO140" s="60">
        <f>'Information Technology'!AA1959</f>
        <v>0.33170571438987845</v>
      </c>
      <c r="AP140" s="60">
        <v>4.8993782936798812E-2</v>
      </c>
      <c r="AQ140" s="60" t="e">
        <f t="shared" si="163"/>
        <v>#DIV/0!</v>
      </c>
      <c r="AR140" s="60" t="e">
        <f t="shared" si="164"/>
        <v>#DIV/0!</v>
      </c>
      <c r="AS140" s="60" t="e">
        <f t="shared" si="165"/>
        <v>#DIV/0!</v>
      </c>
      <c r="AT140" s="60">
        <v>1.9762372974687392</v>
      </c>
      <c r="AU140" s="60">
        <v>1.9762372974687392</v>
      </c>
      <c r="AV140" s="60" t="b">
        <f>'Information Technology'!AA1960</f>
        <v>0</v>
      </c>
      <c r="AW140" s="60">
        <v>1.0200439362604266E-3</v>
      </c>
      <c r="AX140" s="60" t="e">
        <f t="shared" si="157"/>
        <v>#DIV/0!</v>
      </c>
      <c r="AY140" s="60" t="e">
        <f t="shared" si="158"/>
        <v>#DIV/0!</v>
      </c>
      <c r="AZ140" s="60" t="e">
        <f t="shared" si="159"/>
        <v>#DIV/0!</v>
      </c>
      <c r="BA140" s="60">
        <v>1.9446350748187493</v>
      </c>
      <c r="BB140" s="60">
        <v>1.9446350748187493</v>
      </c>
      <c r="BC140" s="60">
        <f>'Information Technology'!AA1961</f>
        <v>-7.3468291082450482E-2</v>
      </c>
      <c r="BD140" s="60">
        <v>-6.7386375967315282E-2</v>
      </c>
      <c r="BE140" s="60">
        <v>5</v>
      </c>
      <c r="BF140" s="60">
        <f>'Information Technology'!AA1962</f>
        <v>0.15081828974624348</v>
      </c>
      <c r="BG140" s="63">
        <v>0.40807391450372965</v>
      </c>
      <c r="BH140" s="63" t="e">
        <f t="shared" si="149"/>
        <v>#DIV/0!</v>
      </c>
      <c r="BI140" s="63" t="e">
        <f t="shared" si="150"/>
        <v>#DIV/0!</v>
      </c>
      <c r="BJ140" s="63" t="e">
        <f t="shared" si="151"/>
        <v>#DIV/0!</v>
      </c>
      <c r="BK140" s="63">
        <v>3.6021291497619172</v>
      </c>
      <c r="BL140" s="63">
        <v>3.6021291497619172</v>
      </c>
      <c r="BM140" s="63">
        <f t="shared" si="152"/>
        <v>3.7665550747511913</v>
      </c>
    </row>
    <row r="141" spans="1:65">
      <c r="A141" s="56" t="s">
        <v>486</v>
      </c>
      <c r="B141" s="56" t="s">
        <v>487</v>
      </c>
      <c r="C141" s="57">
        <v>1907.1</v>
      </c>
      <c r="D141" s="58" t="s">
        <v>172</v>
      </c>
      <c r="E141" s="69" t="str" cm="1">
        <f t="array" ref="E141">_xll.ciqfunctions.udf.CIQ(B141,"iq_industry")</f>
        <v>Electronic Equipment, Instruments and Components</v>
      </c>
      <c r="F141" s="60">
        <f>'Information Technology'!AA3094</f>
        <v>5.6623865412332544</v>
      </c>
      <c r="G141" s="62">
        <v>20.760137228889679</v>
      </c>
      <c r="H141" s="62" t="e">
        <f t="shared" si="160"/>
        <v>#DIV/0!</v>
      </c>
      <c r="I141" s="62" t="e">
        <f t="shared" si="161"/>
        <v>#DIV/0!</v>
      </c>
      <c r="J141" s="62" t="e">
        <f t="shared" si="162"/>
        <v>#DIV/0!</v>
      </c>
      <c r="K141" s="62">
        <v>1</v>
      </c>
      <c r="L141" s="108">
        <v>3.0140220314122192</v>
      </c>
      <c r="M141" s="60">
        <f>'Information Technology'!AA3095</f>
        <v>2.6408549619000001</v>
      </c>
      <c r="N141" s="63">
        <v>1.9907134950000001</v>
      </c>
      <c r="O141" s="63">
        <f t="shared" si="140"/>
        <v>-0.41105399526362446</v>
      </c>
      <c r="P141" s="63">
        <f t="shared" si="141"/>
        <v>-0.77646257950012876</v>
      </c>
      <c r="Q141" s="63">
        <f t="shared" si="153"/>
        <v>3.2235374204998717</v>
      </c>
      <c r="R141" s="62"/>
      <c r="S141" s="63">
        <v>2.495482236787554</v>
      </c>
      <c r="T141" s="60" t="e">
        <f>'Information Technology'!AA3096</f>
        <v>#DIV/0!</v>
      </c>
      <c r="U141" s="63" t="e">
        <v>#DIV/0!</v>
      </c>
      <c r="V141" s="63" t="e">
        <f t="shared" si="142"/>
        <v>#DIV/0!</v>
      </c>
      <c r="W141" s="63"/>
      <c r="X141" s="63"/>
      <c r="Z141" s="63">
        <v>1</v>
      </c>
      <c r="AA141" s="60">
        <f>'Information Technology'!AA3097</f>
        <v>2.9038855663037433E-2</v>
      </c>
      <c r="AB141" s="63">
        <v>-1.4732427950206461E-2</v>
      </c>
      <c r="AC141" s="60" t="e">
        <f t="shared" si="143"/>
        <v>#DIV/0!</v>
      </c>
      <c r="AD141" s="60" t="e">
        <f t="shared" si="144"/>
        <v>#DIV/0!</v>
      </c>
      <c r="AE141" s="60" t="e">
        <f t="shared" si="145"/>
        <v>#DIV/0!</v>
      </c>
      <c r="AF141" s="60">
        <v>4.7374538582885846</v>
      </c>
      <c r="AG141" s="60">
        <v>4.7374538582885846</v>
      </c>
      <c r="AH141" s="60">
        <f>'Information Technology'!AA3098</f>
        <v>-0.21050859546690465</v>
      </c>
      <c r="AI141" s="63">
        <v>5.4435834847148437E-2</v>
      </c>
      <c r="AJ141" s="60" t="e">
        <f t="shared" si="154"/>
        <v>#DIV/0!</v>
      </c>
      <c r="AK141" s="63" t="e">
        <f t="shared" si="155"/>
        <v>#DIV/0!</v>
      </c>
      <c r="AL141" s="60" t="e">
        <f t="shared" si="156"/>
        <v>#DIV/0!</v>
      </c>
      <c r="AM141" s="60">
        <v>2.7689999183021143</v>
      </c>
      <c r="AN141" s="60">
        <v>2.7689999183021143</v>
      </c>
      <c r="AO141" s="60">
        <f>'Information Technology'!AA3099</f>
        <v>4.9674449020514044E-2</v>
      </c>
      <c r="AP141" s="60">
        <v>6.7687188387086289E-2</v>
      </c>
      <c r="AQ141" s="60" t="e">
        <f t="shared" si="163"/>
        <v>#DIV/0!</v>
      </c>
      <c r="AR141" s="60" t="e">
        <f t="shared" si="164"/>
        <v>#DIV/0!</v>
      </c>
      <c r="AS141" s="60" t="e">
        <f t="shared" si="165"/>
        <v>#DIV/0!</v>
      </c>
      <c r="AT141" s="60">
        <v>2.2541485346223706</v>
      </c>
      <c r="AU141" s="60">
        <v>2.2541485346223706</v>
      </c>
      <c r="AV141" s="60" t="b">
        <f>'Information Technology'!AA3100</f>
        <v>0</v>
      </c>
      <c r="AW141" s="60" t="b">
        <v>0</v>
      </c>
      <c r="AX141" s="60"/>
      <c r="AY141" s="60"/>
      <c r="AZ141" s="60"/>
      <c r="BA141" s="60"/>
      <c r="BB141" s="60">
        <v>1</v>
      </c>
      <c r="BC141" s="60">
        <f>'Information Technology'!AA3101</f>
        <v>0.61312636208074245</v>
      </c>
      <c r="BD141" s="60">
        <v>-6.1993639727199429E-2</v>
      </c>
      <c r="BE141" s="60">
        <v>5</v>
      </c>
      <c r="BF141" s="60">
        <f>'Information Technology'!AA3102</f>
        <v>0.11729990992191372</v>
      </c>
      <c r="BG141" s="63">
        <v>0.11181513135846934</v>
      </c>
      <c r="BH141" s="63" t="e">
        <f t="shared" si="149"/>
        <v>#DIV/0!</v>
      </c>
      <c r="BI141" s="63" t="e">
        <f t="shared" si="150"/>
        <v>#DIV/0!</v>
      </c>
      <c r="BJ141" s="63" t="e">
        <f t="shared" si="151"/>
        <v>#DIV/0!</v>
      </c>
      <c r="BK141" s="63">
        <v>4.6488339884643919</v>
      </c>
      <c r="BL141" s="63">
        <v>4.6488339884643919</v>
      </c>
      <c r="BM141" s="63">
        <f t="shared" si="152"/>
        <v>3.7432447853530331</v>
      </c>
    </row>
    <row r="142" spans="1:65">
      <c r="A142" s="56" t="s">
        <v>534</v>
      </c>
      <c r="B142" s="56" t="s">
        <v>535</v>
      </c>
      <c r="C142" s="57">
        <v>1304.5999999999999</v>
      </c>
      <c r="D142" s="58" t="s">
        <v>213</v>
      </c>
      <c r="E142" s="69" t="str" cm="1">
        <f t="array" ref="E142">_xll.ciqfunctions.udf.CIQ(B142,"iq_industry")</f>
        <v>Electronic Equipment, Instruments and Components</v>
      </c>
      <c r="F142" s="60">
        <f>'Information Technology'!AA3454</f>
        <v>32.530981841740221</v>
      </c>
      <c r="G142" s="62">
        <v>14.229846443574941</v>
      </c>
      <c r="H142" s="62" t="e">
        <f t="shared" si="160"/>
        <v>#DIV/0!</v>
      </c>
      <c r="I142" s="62" t="e">
        <f t="shared" si="161"/>
        <v>#DIV/0!</v>
      </c>
      <c r="J142" s="62" t="e">
        <f t="shared" si="162"/>
        <v>#DIV/0!</v>
      </c>
      <c r="K142" s="62">
        <v>1</v>
      </c>
      <c r="L142" s="108">
        <v>3.7413822140188659</v>
      </c>
      <c r="M142" s="60">
        <f>'Information Technology'!AA3455</f>
        <v>3.7027747344000002</v>
      </c>
      <c r="N142" s="63">
        <v>1.3092968541499999</v>
      </c>
      <c r="O142" s="63">
        <f t="shared" si="140"/>
        <v>-0.95468710375474819</v>
      </c>
      <c r="P142" s="63">
        <f t="shared" si="141"/>
        <v>-1.3200956879912527</v>
      </c>
      <c r="Q142" s="63">
        <f t="shared" si="153"/>
        <v>2.6799043120087473</v>
      </c>
      <c r="R142" s="62"/>
      <c r="S142" s="63">
        <v>1.9518491282964314</v>
      </c>
      <c r="T142" s="60" t="e">
        <f>'Information Technology'!AA3456</f>
        <v>#DIV/0!</v>
      </c>
      <c r="U142" s="63" t="e">
        <v>#DIV/0!</v>
      </c>
      <c r="V142" s="63" t="e">
        <f t="shared" si="142"/>
        <v>#DIV/0!</v>
      </c>
      <c r="X142" s="63"/>
      <c r="Z142" s="63">
        <v>1</v>
      </c>
      <c r="AA142" s="60">
        <f>'Information Technology'!AA3457</f>
        <v>0.325176264552415</v>
      </c>
      <c r="AB142" s="63">
        <v>-9.8321801979073253E-4</v>
      </c>
      <c r="AC142" s="60" t="e">
        <f t="shared" si="143"/>
        <v>#DIV/0!</v>
      </c>
      <c r="AD142" s="60" t="e">
        <f t="shared" si="144"/>
        <v>#DIV/0!</v>
      </c>
      <c r="AE142" s="60" t="e">
        <f t="shared" si="145"/>
        <v>#DIV/0!</v>
      </c>
      <c r="AF142" s="60">
        <v>4.5562970484672016</v>
      </c>
      <c r="AG142" s="60">
        <v>4.5562970484672016</v>
      </c>
      <c r="AH142" s="60">
        <f>'Information Technology'!AA3458</f>
        <v>-0.21157424545456924</v>
      </c>
      <c r="AI142" s="63">
        <v>2.4091123615976453E-2</v>
      </c>
      <c r="AJ142" s="60" t="e">
        <f t="shared" si="154"/>
        <v>#DIV/0!</v>
      </c>
      <c r="AK142" s="63" t="e">
        <f t="shared" si="155"/>
        <v>#DIV/0!</v>
      </c>
      <c r="AL142" s="60" t="e">
        <f t="shared" si="156"/>
        <v>#DIV/0!</v>
      </c>
      <c r="AM142" s="60">
        <v>2.0782352226574634</v>
      </c>
      <c r="AN142" s="60">
        <v>2.0782352226574634</v>
      </c>
      <c r="AO142" s="60">
        <f>'Information Technology'!AA3459</f>
        <v>0.1247915541116276</v>
      </c>
      <c r="AP142" s="60">
        <v>1.570263348028083E-2</v>
      </c>
      <c r="AQ142" s="60" t="e">
        <f t="shared" si="163"/>
        <v>#DIV/0!</v>
      </c>
      <c r="AR142" s="60" t="e">
        <f t="shared" si="164"/>
        <v>#DIV/0!</v>
      </c>
      <c r="AS142" s="60" t="e">
        <f t="shared" si="165"/>
        <v>#DIV/0!</v>
      </c>
      <c r="AT142" s="60">
        <v>1.4813042283534443</v>
      </c>
      <c r="AU142" s="60">
        <v>1.4813042283534443</v>
      </c>
      <c r="AV142" s="60" t="b">
        <f>'Information Technology'!AA3460</f>
        <v>0</v>
      </c>
      <c r="AW142" s="60" t="b">
        <v>0</v>
      </c>
      <c r="AX142" s="60"/>
      <c r="AY142" s="60"/>
      <c r="AZ142" s="60"/>
      <c r="BA142" s="60"/>
      <c r="BB142" s="60">
        <v>1</v>
      </c>
      <c r="BC142" s="60">
        <f>'Information Technology'!AA3461</f>
        <v>0.63025177918123643</v>
      </c>
      <c r="BD142" s="60">
        <v>-0.59705696532938191</v>
      </c>
      <c r="BE142" s="60">
        <v>5</v>
      </c>
      <c r="BF142" s="60">
        <f>'Information Technology'!AA3462</f>
        <v>1.831707630665488</v>
      </c>
      <c r="BG142" s="63">
        <v>5.8345472585441843E-2</v>
      </c>
      <c r="BH142" s="63" t="e">
        <f t="shared" si="149"/>
        <v>#DIV/0!</v>
      </c>
      <c r="BI142" s="63" t="e">
        <f t="shared" si="150"/>
        <v>#DIV/0!</v>
      </c>
      <c r="BJ142" s="63" t="e">
        <f t="shared" si="151"/>
        <v>#DIV/0!</v>
      </c>
      <c r="BK142" s="63">
        <v>4.8377463642168328</v>
      </c>
      <c r="BL142" s="63">
        <v>4.8377463642168328</v>
      </c>
      <c r="BM142" s="63">
        <f t="shared" si="152"/>
        <v>3.7352494424743909</v>
      </c>
    </row>
    <row r="143" spans="1:65">
      <c r="A143" s="56" t="s">
        <v>416</v>
      </c>
      <c r="B143" s="56" t="s">
        <v>417</v>
      </c>
      <c r="C143" s="57">
        <v>3013.6</v>
      </c>
      <c r="D143" s="58" t="s">
        <v>213</v>
      </c>
      <c r="E143" s="69" t="str" cm="1">
        <f t="array" ref="E143">_xll.ciqfunctions.udf.CIQ(B143,"iq_industry")</f>
        <v>Electronic Equipment, Instruments and Components</v>
      </c>
      <c r="F143" s="60">
        <f>'Information Technology'!AA2569</f>
        <v>17.596367399057101</v>
      </c>
      <c r="G143" s="62">
        <v>17.383257059640819</v>
      </c>
      <c r="H143" s="62" t="e">
        <f t="shared" si="160"/>
        <v>#DIV/0!</v>
      </c>
      <c r="I143" s="62" t="e">
        <f t="shared" si="161"/>
        <v>#DIV/0!</v>
      </c>
      <c r="J143" s="62" t="e">
        <f t="shared" si="162"/>
        <v>#DIV/0!</v>
      </c>
      <c r="K143" s="62">
        <v>1</v>
      </c>
      <c r="L143" s="108">
        <v>3.3901474226534662</v>
      </c>
      <c r="M143" s="60">
        <f>'Information Technology'!AA2570</f>
        <v>1.5477171353999999</v>
      </c>
      <c r="N143" s="63">
        <v>3.0622140945000003</v>
      </c>
      <c r="O143" s="63">
        <f t="shared" si="140"/>
        <v>0.44378747284269049</v>
      </c>
      <c r="P143" s="63">
        <f t="shared" si="141"/>
        <v>7.8378888606186137E-2</v>
      </c>
      <c r="Q143" s="63">
        <f t="shared" si="153"/>
        <v>4.0783788886061858</v>
      </c>
      <c r="R143" s="62"/>
      <c r="S143" s="63">
        <v>3.3503237048938663</v>
      </c>
      <c r="T143" s="60" t="e">
        <f>'Information Technology'!AA2571</f>
        <v>#DIV/0!</v>
      </c>
      <c r="U143" s="63" t="e">
        <v>#DIV/0!</v>
      </c>
      <c r="V143" s="63" t="e">
        <f t="shared" si="142"/>
        <v>#DIV/0!</v>
      </c>
      <c r="X143" s="63"/>
      <c r="Z143" s="63">
        <v>1</v>
      </c>
      <c r="AA143" s="60">
        <f>'Information Technology'!AA2572</f>
        <v>3.0836233138190172E-2</v>
      </c>
      <c r="AB143" s="63">
        <v>-3.4658822229119313E-2</v>
      </c>
      <c r="AC143" s="60" t="e">
        <f t="shared" si="143"/>
        <v>#DIV/0!</v>
      </c>
      <c r="AD143" s="60" t="e">
        <f t="shared" si="144"/>
        <v>#DIV/0!</v>
      </c>
      <c r="AE143" s="60" t="e">
        <f t="shared" si="145"/>
        <v>#DIV/0!</v>
      </c>
      <c r="AF143" s="60">
        <v>4.96</v>
      </c>
      <c r="AG143" s="60">
        <v>4.96</v>
      </c>
      <c r="AH143" s="60">
        <f>'Information Technology'!AA2573</f>
        <v>3.8570198844311156E-2</v>
      </c>
      <c r="AI143" s="63">
        <v>2.077123501499336E-2</v>
      </c>
      <c r="AJ143" s="60" t="e">
        <f t="shared" si="154"/>
        <v>#DIV/0!</v>
      </c>
      <c r="AK143" s="63" t="e">
        <f t="shared" si="155"/>
        <v>#DIV/0!</v>
      </c>
      <c r="AL143" s="60" t="e">
        <f t="shared" si="156"/>
        <v>#DIV/0!</v>
      </c>
      <c r="AM143" s="60">
        <v>2.0026615313620777</v>
      </c>
      <c r="AN143" s="60">
        <v>2.0026615313620777</v>
      </c>
      <c r="AO143" s="60">
        <f>'Information Technology'!AA2574</f>
        <v>2.4956720769818305E-2</v>
      </c>
      <c r="AP143" s="60">
        <v>2.1561277334209091E-2</v>
      </c>
      <c r="AQ143" s="60" t="e">
        <f t="shared" si="163"/>
        <v>#DIV/0!</v>
      </c>
      <c r="AR143" s="60" t="e">
        <f t="shared" si="164"/>
        <v>#DIV/0!</v>
      </c>
      <c r="AS143" s="60" t="e">
        <f t="shared" si="165"/>
        <v>#DIV/0!</v>
      </c>
      <c r="AT143" s="60">
        <v>1.5684035514713028</v>
      </c>
      <c r="AU143" s="60">
        <v>1.5684035514713028</v>
      </c>
      <c r="AV143" s="60" t="b">
        <f>'Information Technology'!AA2575</f>
        <v>0</v>
      </c>
      <c r="AW143" s="60">
        <v>-1.3446583275017649E-2</v>
      </c>
      <c r="AX143" s="60" t="e">
        <f>(AW143-$AW$260)/$AW$261</f>
        <v>#DIV/0!</v>
      </c>
      <c r="AY143" s="60" t="e">
        <f>AX143-$AX$253</f>
        <v>#DIV/0!</v>
      </c>
      <c r="AZ143" s="60" t="e">
        <f>AY143+5-$AY$205</f>
        <v>#DIV/0!</v>
      </c>
      <c r="BA143" s="60">
        <v>1.17</v>
      </c>
      <c r="BB143" s="60">
        <v>1.17</v>
      </c>
      <c r="BC143" s="60">
        <f>'Information Technology'!AA2576</f>
        <v>0.19403001737250508</v>
      </c>
      <c r="BD143" s="60">
        <v>-0.10846351485141138</v>
      </c>
      <c r="BE143" s="60">
        <v>5</v>
      </c>
      <c r="BF143" s="60">
        <f>'Information Technology'!AA2577</f>
        <v>0.34594602355510923</v>
      </c>
      <c r="BG143" s="63">
        <v>5.6109648009769024E-2</v>
      </c>
      <c r="BH143" s="63" t="e">
        <f t="shared" si="149"/>
        <v>#DIV/0!</v>
      </c>
      <c r="BI143" s="63" t="e">
        <f t="shared" si="150"/>
        <v>#DIV/0!</v>
      </c>
      <c r="BJ143" s="63" t="e">
        <f t="shared" si="151"/>
        <v>#DIV/0!</v>
      </c>
      <c r="BK143" s="63">
        <v>4.8456457026836999</v>
      </c>
      <c r="BL143" s="63">
        <v>4.8456457026836999</v>
      </c>
      <c r="BM143" s="63">
        <f t="shared" si="152"/>
        <v>3.7340083090721938</v>
      </c>
    </row>
    <row r="144" spans="1:65">
      <c r="A144" s="56" t="s">
        <v>448</v>
      </c>
      <c r="B144" s="56" t="s">
        <v>449</v>
      </c>
      <c r="C144" s="57">
        <v>2505.3000000000002</v>
      </c>
      <c r="D144" s="58" t="s">
        <v>127</v>
      </c>
      <c r="E144" s="69" t="str" cm="1">
        <f t="array" ref="E144">_xll.ciqfunctions.udf.CIQ(B144,"iq_industry")</f>
        <v>Electronic Equipment, Instruments and Components</v>
      </c>
      <c r="F144" s="60">
        <f>'Information Technology'!AA2809</f>
        <v>-962.91271698646085</v>
      </c>
      <c r="G144" s="62">
        <v>50.038425950937089</v>
      </c>
      <c r="K144" s="62">
        <v>1</v>
      </c>
      <c r="L144" s="108">
        <v>1.2933333333333299</v>
      </c>
      <c r="M144" s="60">
        <f>'Information Technology'!AA2810</f>
        <v>0.69492735029999997</v>
      </c>
      <c r="N144" s="63">
        <v>2.3549303250000002</v>
      </c>
      <c r="O144" s="63">
        <f t="shared" si="140"/>
        <v>-0.12048238960002146</v>
      </c>
      <c r="P144" s="63">
        <f t="shared" si="141"/>
        <v>-0.4858909738365258</v>
      </c>
      <c r="Q144" s="63">
        <f t="shared" si="153"/>
        <v>3.5141090261634744</v>
      </c>
      <c r="R144" s="62"/>
      <c r="S144" s="63">
        <v>2.7860538424511558</v>
      </c>
      <c r="T144" s="60" t="e">
        <f>'Information Technology'!AA2811</f>
        <v>#DIV/0!</v>
      </c>
      <c r="U144" s="63" t="e">
        <v>#DIV/0!</v>
      </c>
      <c r="V144" s="63" t="e">
        <f t="shared" si="142"/>
        <v>#DIV/0!</v>
      </c>
      <c r="X144" s="63"/>
      <c r="Z144" s="63">
        <v>1</v>
      </c>
      <c r="AA144" s="60">
        <f>'Information Technology'!AA2812</f>
        <v>4.8557167584415195E-2</v>
      </c>
      <c r="AB144" s="63">
        <v>1.9184863326899837E-3</v>
      </c>
      <c r="AC144" s="60" t="e">
        <f t="shared" si="143"/>
        <v>#DIV/0!</v>
      </c>
      <c r="AD144" s="60" t="e">
        <f t="shared" si="144"/>
        <v>#DIV/0!</v>
      </c>
      <c r="AE144" s="60" t="e">
        <f t="shared" si="145"/>
        <v>#DIV/0!</v>
      </c>
      <c r="AF144" s="60">
        <v>4.5180647786712944</v>
      </c>
      <c r="AG144" s="60">
        <v>4.5180647786712944</v>
      </c>
      <c r="AH144" s="60">
        <f>'Information Technology'!AA2813</f>
        <v>0.11105500834646569</v>
      </c>
      <c r="AI144" s="63">
        <v>9.2327637913674779E-2</v>
      </c>
      <c r="AJ144" s="60" t="e">
        <f t="shared" si="154"/>
        <v>#DIV/0!</v>
      </c>
      <c r="AK144" s="63" t="e">
        <f t="shared" si="155"/>
        <v>#DIV/0!</v>
      </c>
      <c r="AL144" s="60" t="e">
        <f t="shared" si="156"/>
        <v>#DIV/0!</v>
      </c>
      <c r="AM144" s="60">
        <v>3.6315660377578256</v>
      </c>
      <c r="AN144" s="60">
        <v>3.6315660377578256</v>
      </c>
      <c r="AO144" s="60">
        <f>'Information Technology'!AA2814</f>
        <v>-1.381788343038751E-2</v>
      </c>
      <c r="AP144" s="60">
        <v>9.9049431454440763E-3</v>
      </c>
      <c r="AQ144" s="60" t="e">
        <f t="shared" si="163"/>
        <v>#DIV/0!</v>
      </c>
      <c r="AR144" s="60" t="e">
        <f t="shared" si="164"/>
        <v>#DIV/0!</v>
      </c>
      <c r="AS144" s="60" t="e">
        <f t="shared" si="165"/>
        <v>#DIV/0!</v>
      </c>
      <c r="AT144" s="60">
        <v>1.3951110893947343</v>
      </c>
      <c r="AU144" s="60">
        <v>1.3951110893947343</v>
      </c>
      <c r="AV144" s="60" t="b">
        <f>'Information Technology'!AA2815</f>
        <v>0</v>
      </c>
      <c r="AW144" s="60">
        <v>-9.6955761670373578E-2</v>
      </c>
      <c r="AY144" s="60"/>
      <c r="AZ144" s="60"/>
      <c r="BA144" s="60">
        <v>1</v>
      </c>
      <c r="BB144" s="60">
        <v>1</v>
      </c>
      <c r="BC144" s="60">
        <f>'Information Technology'!AA2816</f>
        <v>2.3485642845585528</v>
      </c>
      <c r="BD144" s="60">
        <v>-0.1845707819559263</v>
      </c>
      <c r="BE144" s="60">
        <v>5</v>
      </c>
      <c r="BF144" s="60">
        <f>'Information Technology'!AA2817</f>
        <v>10.586444940467715</v>
      </c>
      <c r="BG144" s="63">
        <v>0.21425394787275559</v>
      </c>
      <c r="BH144" s="63" t="e">
        <f t="shared" si="149"/>
        <v>#DIV/0!</v>
      </c>
      <c r="BI144" s="63" t="e">
        <f t="shared" si="150"/>
        <v>#DIV/0!</v>
      </c>
      <c r="BJ144" s="63" t="e">
        <f t="shared" si="151"/>
        <v>#DIV/0!</v>
      </c>
      <c r="BK144" s="63">
        <v>4.2869098497836324</v>
      </c>
      <c r="BL144" s="63">
        <v>4.2869098497836324</v>
      </c>
      <c r="BM144" s="63">
        <f t="shared" si="152"/>
        <v>3.5496914154103996</v>
      </c>
    </row>
    <row r="145" spans="1:65">
      <c r="A145" s="56" t="s">
        <v>360</v>
      </c>
      <c r="B145" s="56" t="s">
        <v>361</v>
      </c>
      <c r="C145" s="57">
        <v>3978.9</v>
      </c>
      <c r="D145" s="58" t="s">
        <v>127</v>
      </c>
      <c r="E145" s="69" t="str" cm="1">
        <f t="array" ref="E145">_xll.ciqfunctions.udf.CIQ(B145,"iq_industry")</f>
        <v>Electronic Equipment, Instruments and Components</v>
      </c>
      <c r="F145" s="60">
        <f>'Information Technology'!AA2149</f>
        <v>21.709350252556916</v>
      </c>
      <c r="G145" s="62">
        <v>30.33694545657438</v>
      </c>
      <c r="H145" s="62" t="e">
        <f>-(G145-$G$260)/$G$261</f>
        <v>#DIV/0!</v>
      </c>
      <c r="I145" s="62" t="e">
        <f>H145-$H$181</f>
        <v>#DIV/0!</v>
      </c>
      <c r="J145" s="62" t="e">
        <f>I145+(5-$I$242)</f>
        <v>#DIV/0!</v>
      </c>
      <c r="K145" s="62">
        <v>1</v>
      </c>
      <c r="L145" s="108">
        <v>1.9473330874922661</v>
      </c>
      <c r="M145" s="60">
        <f>'Information Technology'!AA2150</f>
        <v>2.8597752620999999</v>
      </c>
      <c r="N145" s="63">
        <v>3.1959779432000004</v>
      </c>
      <c r="O145" s="63">
        <f t="shared" si="140"/>
        <v>0.55050405784097922</v>
      </c>
      <c r="P145" s="63">
        <f t="shared" si="141"/>
        <v>0.18509547360447487</v>
      </c>
      <c r="Q145" s="63">
        <f t="shared" si="153"/>
        <v>4.1850954736044752</v>
      </c>
      <c r="R145" s="62"/>
      <c r="S145" s="63">
        <v>3.4570402898921548</v>
      </c>
      <c r="T145" s="60">
        <f>'Information Technology'!AA2151</f>
        <v>168.71700281447247</v>
      </c>
      <c r="U145" s="63">
        <v>185.8854090303968</v>
      </c>
      <c r="V145" s="63" t="e">
        <f t="shared" si="142"/>
        <v>#DIV/0!</v>
      </c>
      <c r="X145" s="63"/>
      <c r="Y145" s="63">
        <v>1.1000000000000001</v>
      </c>
      <c r="Z145" s="63">
        <v>1.1000000000000001</v>
      </c>
      <c r="AA145" s="60">
        <f>'Information Technology'!AA2152</f>
        <v>1.1325489760680041E-2</v>
      </c>
      <c r="AB145" s="63">
        <v>1.4295318870400697E-2</v>
      </c>
      <c r="AC145" s="60" t="e">
        <f t="shared" si="143"/>
        <v>#DIV/0!</v>
      </c>
      <c r="AD145" s="60" t="e">
        <f t="shared" si="144"/>
        <v>#DIV/0!</v>
      </c>
      <c r="AE145" s="60" t="e">
        <f t="shared" si="145"/>
        <v>#DIV/0!</v>
      </c>
      <c r="AF145" s="60">
        <v>4.3549901358683547</v>
      </c>
      <c r="AG145" s="60">
        <v>4.3549901358683547</v>
      </c>
      <c r="AH145" s="60">
        <f>'Information Technology'!AA2153</f>
        <v>7.4325138803765303E-2</v>
      </c>
      <c r="AI145" s="63">
        <v>7.6385641755028891E-2</v>
      </c>
      <c r="AJ145" s="60" t="e">
        <f t="shared" si="154"/>
        <v>#DIV/0!</v>
      </c>
      <c r="AK145" s="63" t="e">
        <f t="shared" si="155"/>
        <v>#DIV/0!</v>
      </c>
      <c r="AL145" s="60" t="e">
        <f t="shared" si="156"/>
        <v>#DIV/0!</v>
      </c>
      <c r="AM145" s="60">
        <v>3.2686636512232372</v>
      </c>
      <c r="AN145" s="60">
        <v>3.2686636512232372</v>
      </c>
      <c r="AO145" s="60">
        <f>'Information Technology'!AA2154</f>
        <v>2.7992127652470521E-2</v>
      </c>
      <c r="AP145" s="60">
        <v>2.873430839299352E-2</v>
      </c>
      <c r="AQ145" s="60" t="e">
        <f t="shared" si="163"/>
        <v>#DIV/0!</v>
      </c>
      <c r="AR145" s="60" t="e">
        <f t="shared" si="164"/>
        <v>#DIV/0!</v>
      </c>
      <c r="AS145" s="60" t="e">
        <f t="shared" si="165"/>
        <v>#DIV/0!</v>
      </c>
      <c r="AT145" s="60">
        <v>1.6750436145132963</v>
      </c>
      <c r="AU145" s="60">
        <v>1.6750436145132963</v>
      </c>
      <c r="AV145" s="60">
        <f>'Information Technology'!AA2155</f>
        <v>-3.6904616933886164E-2</v>
      </c>
      <c r="AW145" s="60">
        <v>-4.0763520619152574E-2</v>
      </c>
      <c r="AY145" s="60"/>
      <c r="AZ145" s="60"/>
      <c r="BA145" s="60">
        <v>1</v>
      </c>
      <c r="BB145" s="60">
        <v>1</v>
      </c>
      <c r="BC145" s="60">
        <f>'Information Technology'!AA2156</f>
        <v>-0.39565651014208852</v>
      </c>
      <c r="BD145" s="60">
        <v>-0.40177260716968233</v>
      </c>
      <c r="BE145" s="60">
        <v>5</v>
      </c>
      <c r="BF145" s="60">
        <f>'Information Technology'!AA2157</f>
        <v>0.2198446575295902</v>
      </c>
      <c r="BG145" s="63">
        <v>0.24197405487943405</v>
      </c>
      <c r="BH145" s="63" t="e">
        <f t="shared" si="149"/>
        <v>#DIV/0!</v>
      </c>
      <c r="BI145" s="63" t="e">
        <f t="shared" si="150"/>
        <v>#DIV/0!</v>
      </c>
      <c r="BJ145" s="63" t="e">
        <f t="shared" si="151"/>
        <v>#DIV/0!</v>
      </c>
      <c r="BK145" s="63">
        <v>4.1889726010539823</v>
      </c>
      <c r="BL145" s="63">
        <v>4.1889726010539823</v>
      </c>
      <c r="BM145" s="63">
        <f t="shared" si="152"/>
        <v>3.5491040836870091</v>
      </c>
    </row>
    <row r="146" spans="1:65">
      <c r="A146" s="56" t="s">
        <v>346</v>
      </c>
      <c r="B146" s="56" t="s">
        <v>347</v>
      </c>
      <c r="C146" s="57">
        <v>4466.8999999999996</v>
      </c>
      <c r="D146" s="58" t="s">
        <v>172</v>
      </c>
      <c r="E146" s="69" t="str" cm="1">
        <f t="array" ref="E146">_xll.ciqfunctions.udf.CIQ(B146,"iq_industry")</f>
        <v>Electronic Equipment, Instruments and Components</v>
      </c>
      <c r="F146" s="60">
        <f>'Information Technology'!AA2044</f>
        <v>25.476258841638955</v>
      </c>
      <c r="G146" s="62">
        <v>52.630372945501271</v>
      </c>
      <c r="K146" s="62">
        <v>1</v>
      </c>
      <c r="L146" s="108">
        <v>1.2833333333333301</v>
      </c>
      <c r="M146" s="60">
        <f>'Information Technology'!AA2045</f>
        <v>3.1167182810750003</v>
      </c>
      <c r="N146" s="63">
        <v>4.0344362190000007</v>
      </c>
      <c r="O146" s="63">
        <f t="shared" si="140"/>
        <v>1.219424732047995</v>
      </c>
      <c r="P146" s="63">
        <f t="shared" si="141"/>
        <v>0.8540161478114906</v>
      </c>
      <c r="Q146" s="63">
        <f t="shared" si="153"/>
        <v>4.8540161478114907</v>
      </c>
      <c r="R146" s="62"/>
      <c r="S146" s="63">
        <v>4.1259609640991695</v>
      </c>
      <c r="T146" s="60">
        <f>'Information Technology'!AA2046</f>
        <v>25.825027422430384</v>
      </c>
      <c r="U146" s="63">
        <v>68.191635711497966</v>
      </c>
      <c r="V146" s="63" t="e">
        <f t="shared" si="142"/>
        <v>#DIV/0!</v>
      </c>
      <c r="X146" s="63"/>
      <c r="Y146" s="63">
        <v>2</v>
      </c>
      <c r="Z146" s="63">
        <v>2</v>
      </c>
      <c r="AA146" s="60">
        <f>'Information Technology'!AA2047</f>
        <v>-8.4324262666445327E-3</v>
      </c>
      <c r="AB146" s="63">
        <v>1.4081441486122337E-3</v>
      </c>
      <c r="AC146" s="60" t="e">
        <f t="shared" si="143"/>
        <v>#DIV/0!</v>
      </c>
      <c r="AD146" s="60" t="e">
        <f t="shared" si="144"/>
        <v>#DIV/0!</v>
      </c>
      <c r="AE146" s="60" t="e">
        <f t="shared" si="145"/>
        <v>#DIV/0!</v>
      </c>
      <c r="AF146" s="60">
        <v>4.5247889440926299</v>
      </c>
      <c r="AG146" s="60">
        <v>4.5247889440926299</v>
      </c>
      <c r="AH146" s="60">
        <f>'Information Technology'!AA2048</f>
        <v>9.0633497555120734E-2</v>
      </c>
      <c r="AI146" s="63">
        <v>0.10972748313715545</v>
      </c>
      <c r="AJ146" s="60" t="e">
        <f t="shared" si="154"/>
        <v>#DIV/0!</v>
      </c>
      <c r="AK146" s="63" t="e">
        <f t="shared" si="155"/>
        <v>#DIV/0!</v>
      </c>
      <c r="AL146" s="60" t="e">
        <f t="shared" si="156"/>
        <v>#DIV/0!</v>
      </c>
      <c r="AM146" s="60">
        <v>4.0276547893856476</v>
      </c>
      <c r="AN146" s="60">
        <v>4.0276547893856476</v>
      </c>
      <c r="AO146" s="60">
        <f>'Information Technology'!AA2049</f>
        <v>1.2670055608632763E-2</v>
      </c>
      <c r="AP146" s="60">
        <v>0.22375447830627115</v>
      </c>
      <c r="AQ146" s="60" t="e">
        <f t="shared" si="163"/>
        <v>#DIV/0!</v>
      </c>
      <c r="AR146" s="60" t="e">
        <f t="shared" si="164"/>
        <v>#DIV/0!</v>
      </c>
      <c r="AS146" s="60" t="e">
        <f t="shared" si="165"/>
        <v>#DIV/0!</v>
      </c>
      <c r="AT146" s="60">
        <v>4.5743706972454019</v>
      </c>
      <c r="AU146" s="60">
        <v>4.5743706972454019</v>
      </c>
      <c r="AV146" s="60">
        <f>'Information Technology'!AA2050</f>
        <v>9.3266052603136074E-3</v>
      </c>
      <c r="AW146" s="60">
        <v>-1.5924926783223567E-3</v>
      </c>
      <c r="AX146" s="60" t="e">
        <f>(AW146-$AW$260)/$AW$261</f>
        <v>#DIV/0!</v>
      </c>
      <c r="AY146" s="60" t="e">
        <f>AX146-$AX$253</f>
        <v>#DIV/0!</v>
      </c>
      <c r="AZ146" s="60" t="e">
        <f>AY146+5-$AY$205</f>
        <v>#DIV/0!</v>
      </c>
      <c r="BA146" s="60">
        <v>1.7690540596259297</v>
      </c>
      <c r="BB146" s="60">
        <v>1.7690540596259297</v>
      </c>
      <c r="BC146" s="60">
        <f>'Information Technology'!AA2051</f>
        <v>-0.38970355860614969</v>
      </c>
      <c r="BD146" s="60">
        <v>-9.623767599915968E-2</v>
      </c>
      <c r="BE146" s="60">
        <v>5</v>
      </c>
      <c r="BF146" s="60">
        <f>'Information Technology'!AA2052</f>
        <v>0.14777633631644368</v>
      </c>
      <c r="BG146" s="63">
        <v>0.56752078658188454</v>
      </c>
      <c r="BH146" s="63" t="e">
        <f t="shared" si="149"/>
        <v>#DIV/0!</v>
      </c>
      <c r="BI146" s="63" t="e">
        <f t="shared" si="150"/>
        <v>#DIV/0!</v>
      </c>
      <c r="BJ146" s="63" t="e">
        <f t="shared" si="151"/>
        <v>#DIV/0!</v>
      </c>
      <c r="BK146" s="63">
        <v>3.0387912100447041</v>
      </c>
      <c r="BL146" s="63">
        <v>3.0387912100447041</v>
      </c>
      <c r="BM146" s="63">
        <f t="shared" si="152"/>
        <v>3.5255696718695351</v>
      </c>
    </row>
    <row r="147" spans="1:65">
      <c r="A147" s="56" t="s">
        <v>530</v>
      </c>
      <c r="B147" s="56" t="s">
        <v>531</v>
      </c>
      <c r="C147" s="57">
        <v>1329.8</v>
      </c>
      <c r="D147" s="58" t="s">
        <v>127</v>
      </c>
      <c r="E147" s="69" t="str" cm="1">
        <f t="array" ref="E147">_xll.ciqfunctions.udf.CIQ(B147,"iq_industry")</f>
        <v>Electronic Equipment, Instruments and Components</v>
      </c>
      <c r="F147" s="60">
        <f>'Information Technology'!AA3424</f>
        <v>14.177130092139951</v>
      </c>
      <c r="G147" s="62">
        <v>40.194826314759169</v>
      </c>
      <c r="K147" s="62">
        <v>1</v>
      </c>
      <c r="L147" s="108">
        <v>1.35</v>
      </c>
      <c r="M147" s="60">
        <f>'Information Technology'!AA3425</f>
        <v>2.1070791474999999</v>
      </c>
      <c r="N147" s="63">
        <v>1.2805748860000001</v>
      </c>
      <c r="O147" s="63">
        <f t="shared" si="140"/>
        <v>-0.97760144410295302</v>
      </c>
      <c r="P147" s="63">
        <f t="shared" si="141"/>
        <v>-1.3430100283394575</v>
      </c>
      <c r="Q147" s="63">
        <f t="shared" si="153"/>
        <v>2.6569899716605425</v>
      </c>
      <c r="R147" s="62"/>
      <c r="S147" s="63">
        <v>1.9289347879482266</v>
      </c>
      <c r="T147" s="60" t="e">
        <f>'Information Technology'!AA3426</f>
        <v>#DIV/0!</v>
      </c>
      <c r="U147" s="63" t="e">
        <v>#DIV/0!</v>
      </c>
      <c r="V147" s="63" t="e">
        <f t="shared" si="142"/>
        <v>#DIV/0!</v>
      </c>
      <c r="X147" s="63"/>
      <c r="Z147" s="63">
        <v>1</v>
      </c>
      <c r="AA147" s="60">
        <f>'Information Technology'!AA3427</f>
        <v>4.1505767179674802E-2</v>
      </c>
      <c r="AB147" s="63">
        <v>2.0477805517264969E-3</v>
      </c>
      <c r="AC147" s="60" t="e">
        <f t="shared" si="143"/>
        <v>#DIV/0!</v>
      </c>
      <c r="AD147" s="60" t="e">
        <f t="shared" si="144"/>
        <v>#DIV/0!</v>
      </c>
      <c r="AE147" s="60" t="e">
        <f t="shared" si="145"/>
        <v>#DIV/0!</v>
      </c>
      <c r="AF147" s="60">
        <v>4.516361224185796</v>
      </c>
      <c r="AG147" s="60">
        <v>4.516361224185796</v>
      </c>
      <c r="AH147" s="60">
        <f>'Information Technology'!AA3428</f>
        <v>-0.2145834890192348</v>
      </c>
      <c r="AI147" s="63">
        <v>-7.610634974417195E-2</v>
      </c>
      <c r="AJ147" s="60"/>
      <c r="AL147" s="60"/>
      <c r="AM147" s="60"/>
      <c r="AN147" s="60">
        <v>1</v>
      </c>
      <c r="AO147" s="60">
        <f>'Information Technology'!AA3429</f>
        <v>0.1085216955896805</v>
      </c>
      <c r="AP147" s="60">
        <v>0.14458427791200185</v>
      </c>
      <c r="AQ147" s="60" t="e">
        <f t="shared" si="163"/>
        <v>#DIV/0!</v>
      </c>
      <c r="AR147" s="60" t="e">
        <f t="shared" si="164"/>
        <v>#DIV/0!</v>
      </c>
      <c r="AS147" s="60" t="e">
        <f t="shared" si="165"/>
        <v>#DIV/0!</v>
      </c>
      <c r="AT147" s="60">
        <v>3.3973626664837324</v>
      </c>
      <c r="AU147" s="60">
        <v>3.3973626664837324</v>
      </c>
      <c r="AV147" s="60" t="e">
        <f>'Information Technology'!AA3430</f>
        <v>#DIV/0!</v>
      </c>
      <c r="AW147" s="60">
        <v>-3.5559006416132279E-2</v>
      </c>
      <c r="AY147" s="60"/>
      <c r="AZ147" s="60"/>
      <c r="BA147" s="60">
        <v>1</v>
      </c>
      <c r="BB147" s="60">
        <v>1</v>
      </c>
      <c r="BC147" s="60">
        <f>'Information Technology'!AA3431</f>
        <v>0.45665159863521543</v>
      </c>
      <c r="BD147" s="60">
        <v>-0.9826611879792243</v>
      </c>
      <c r="BE147" s="60">
        <v>5</v>
      </c>
      <c r="BF147" s="60" t="e">
        <f>'Information Technology'!AA3432</f>
        <v>#DIV/0!</v>
      </c>
      <c r="BG147" s="63">
        <v>0.1628736516164675</v>
      </c>
      <c r="BH147" s="63" t="e">
        <f t="shared" si="149"/>
        <v>#DIV/0!</v>
      </c>
      <c r="BI147" s="63" t="e">
        <f t="shared" si="150"/>
        <v>#DIV/0!</v>
      </c>
      <c r="BJ147" s="63" t="e">
        <f t="shared" si="151"/>
        <v>#DIV/0!</v>
      </c>
      <c r="BK147" s="63">
        <v>4.4684403486753874</v>
      </c>
      <c r="BL147" s="63">
        <v>4.4684403486753874</v>
      </c>
      <c r="BM147" s="63">
        <f t="shared" si="152"/>
        <v>3.3386590427956282</v>
      </c>
    </row>
    <row r="148" spans="1:65">
      <c r="A148" s="56" t="s">
        <v>432</v>
      </c>
      <c r="B148" s="56" t="s">
        <v>433</v>
      </c>
      <c r="C148" s="57">
        <v>2723.5</v>
      </c>
      <c r="D148" s="58" t="s">
        <v>172</v>
      </c>
      <c r="E148" s="69" t="str" cm="1">
        <f t="array" ref="E148">_xll.ciqfunctions.udf.CIQ(B148,"iq_industry")</f>
        <v>Electronic Equipment, Instruments and Components</v>
      </c>
      <c r="F148" s="60">
        <f>'Information Technology'!AA2689</f>
        <v>5.2633609220851039</v>
      </c>
      <c r="G148" s="62">
        <v>74.427227200195986</v>
      </c>
      <c r="K148" s="62">
        <v>1</v>
      </c>
      <c r="L148" s="109">
        <v>1.19</v>
      </c>
      <c r="M148" s="60">
        <f>'Information Technology'!AA2690</f>
        <v>0.86081353819999995</v>
      </c>
      <c r="N148" s="63">
        <v>2.6601053584500001</v>
      </c>
      <c r="O148" s="63">
        <f t="shared" si="140"/>
        <v>0.12298576500999527</v>
      </c>
      <c r="P148" s="63">
        <f t="shared" si="141"/>
        <v>-0.2424228192265091</v>
      </c>
      <c r="Q148" s="63">
        <f t="shared" si="153"/>
        <v>3.7575771807734908</v>
      </c>
      <c r="R148" s="62"/>
      <c r="S148" s="63">
        <v>3.0295219970611722</v>
      </c>
      <c r="T148" s="60" t="e">
        <f>'Information Technology'!AA2691</f>
        <v>#DIV/0!</v>
      </c>
      <c r="U148" s="63" t="e">
        <v>#DIV/0!</v>
      </c>
      <c r="V148" s="63" t="e">
        <f t="shared" si="142"/>
        <v>#DIV/0!</v>
      </c>
      <c r="X148" s="63"/>
      <c r="Z148" s="63">
        <v>1</v>
      </c>
      <c r="AA148" s="60">
        <f>'Information Technology'!AA2692</f>
        <v>2.8053930287154305E-2</v>
      </c>
      <c r="AB148" s="63">
        <v>2.8322295640161643E-2</v>
      </c>
      <c r="AC148" s="60" t="e">
        <f t="shared" si="143"/>
        <v>#DIV/0!</v>
      </c>
      <c r="AD148" s="60" t="e">
        <f t="shared" si="144"/>
        <v>#DIV/0!</v>
      </c>
      <c r="AE148" s="60" t="e">
        <f t="shared" si="145"/>
        <v>#DIV/0!</v>
      </c>
      <c r="AF148" s="60">
        <v>4.1701735263388704</v>
      </c>
      <c r="AG148" s="60">
        <v>4.1701735263388704</v>
      </c>
      <c r="AH148" s="60">
        <f>'Information Technology'!AA2693</f>
        <v>2.1441798885273693E-2</v>
      </c>
      <c r="AI148" s="63">
        <v>-1.3052661996573983E-2</v>
      </c>
      <c r="AJ148" s="60"/>
      <c r="AL148" s="60"/>
      <c r="AM148" s="60"/>
      <c r="AN148" s="60">
        <v>1</v>
      </c>
      <c r="AO148" s="60">
        <f>'Information Technology'!AA2694</f>
        <v>8.209599504085853E-2</v>
      </c>
      <c r="AP148" s="60">
        <v>5.7091858114976038E-3</v>
      </c>
      <c r="AQ148" s="60" t="e">
        <f t="shared" si="163"/>
        <v>#DIV/0!</v>
      </c>
      <c r="AR148" s="60" t="e">
        <f t="shared" si="164"/>
        <v>#DIV/0!</v>
      </c>
      <c r="AS148" s="60" t="e">
        <f t="shared" si="165"/>
        <v>#DIV/0!</v>
      </c>
      <c r="AT148" s="60">
        <v>1.3327335780004392</v>
      </c>
      <c r="AU148" s="60">
        <v>1.3327335780004392</v>
      </c>
      <c r="AV148" s="60" t="b">
        <f>'Information Technology'!AA2695</f>
        <v>0</v>
      </c>
      <c r="AW148" s="60">
        <v>-2.8439185359188232E-3</v>
      </c>
      <c r="AX148" s="60" t="e">
        <f>(AW148-$AW$260)/$AW$261</f>
        <v>#DIV/0!</v>
      </c>
      <c r="AY148" s="60" t="e">
        <f>AX148-$AX$253</f>
        <v>#DIV/0!</v>
      </c>
      <c r="AZ148" s="60" t="e">
        <f>AY148+5-$AY$205</f>
        <v>#DIV/0!</v>
      </c>
      <c r="BA148" s="60">
        <v>1.6849493541497065</v>
      </c>
      <c r="BB148" s="60">
        <v>1.6849493541497065</v>
      </c>
      <c r="BC148" s="60">
        <f>'Information Technology'!AA2696</f>
        <v>0.44197253388048452</v>
      </c>
      <c r="BD148" s="60">
        <v>-0.46504578469556773</v>
      </c>
      <c r="BE148" s="60">
        <v>5</v>
      </c>
      <c r="BF148" s="60">
        <f>'Information Technology'!AA2697</f>
        <v>0.17691640841336997</v>
      </c>
      <c r="BG148" s="63">
        <v>0.14134121546929856</v>
      </c>
      <c r="BH148" s="63" t="e">
        <f t="shared" si="149"/>
        <v>#DIV/0!</v>
      </c>
      <c r="BI148" s="63" t="e">
        <f t="shared" si="150"/>
        <v>#DIV/0!</v>
      </c>
      <c r="BJ148" s="63" t="e">
        <f t="shared" si="151"/>
        <v>#DIV/0!</v>
      </c>
      <c r="BK148" s="63">
        <v>4.5445160851143731</v>
      </c>
      <c r="BL148" s="63">
        <v>4.5445160851143731</v>
      </c>
      <c r="BM148" s="63">
        <f t="shared" si="152"/>
        <v>3.3342887214916272</v>
      </c>
    </row>
    <row r="149" spans="1:65" ht="22.5">
      <c r="A149" s="56" t="s">
        <v>378</v>
      </c>
      <c r="B149" s="56" t="s">
        <v>379</v>
      </c>
      <c r="C149" s="57">
        <v>3750.8</v>
      </c>
      <c r="D149" s="58" t="s">
        <v>172</v>
      </c>
      <c r="E149" s="69" t="str" cm="1">
        <f t="array" ref="E149">_xll.ciqfunctions.udf.CIQ(B149,"iq_industry")</f>
        <v>Electronic Equipment, Instruments and Components</v>
      </c>
      <c r="F149" s="60">
        <f>'Information Technology'!AA2284</f>
        <v>12.472820237138791</v>
      </c>
      <c r="G149" s="62">
        <v>12.59900413177588</v>
      </c>
      <c r="H149" s="62" t="e">
        <f>-(G149-$G$260)/$G$261</f>
        <v>#DIV/0!</v>
      </c>
      <c r="I149" s="62" t="e">
        <f>H149-$H$181</f>
        <v>#DIV/0!</v>
      </c>
      <c r="J149" s="62" t="e">
        <f>I149+(5-$I$242)</f>
        <v>#DIV/0!</v>
      </c>
      <c r="K149" s="62">
        <v>1</v>
      </c>
      <c r="L149" s="108">
        <v>3.9230295250973173</v>
      </c>
      <c r="M149" s="60">
        <f>'Information Technology'!AA2285</f>
        <v>4.2405963964</v>
      </c>
      <c r="N149" s="63">
        <v>3.6669477387200002</v>
      </c>
      <c r="O149" s="63">
        <f t="shared" si="140"/>
        <v>0.92624300901274437</v>
      </c>
      <c r="P149" s="63">
        <f t="shared" si="141"/>
        <v>0.56083442477624001</v>
      </c>
      <c r="Q149" s="63">
        <f t="shared" si="153"/>
        <v>4.5608344247762398</v>
      </c>
      <c r="R149" s="62"/>
      <c r="S149" s="63">
        <v>3.8327792410639194</v>
      </c>
      <c r="T149" s="60">
        <f>'Information Technology'!AA2286</f>
        <v>18.942204456363051</v>
      </c>
      <c r="U149" s="63" t="e">
        <v>#DIV/0!</v>
      </c>
      <c r="V149" s="63" t="e">
        <f t="shared" si="142"/>
        <v>#DIV/0!</v>
      </c>
      <c r="W149" s="63"/>
      <c r="X149" s="63"/>
      <c r="Z149" s="63">
        <v>1</v>
      </c>
      <c r="AA149" s="60">
        <f>'Information Technology'!AA2287</f>
        <v>-2.6744077693386048E-2</v>
      </c>
      <c r="AB149" s="63">
        <v>-2.911473108584639E-3</v>
      </c>
      <c r="AC149" s="60" t="e">
        <f t="shared" si="143"/>
        <v>#DIV/0!</v>
      </c>
      <c r="AD149" s="60" t="e">
        <f t="shared" si="144"/>
        <v>#DIV/0!</v>
      </c>
      <c r="AE149" s="60" t="e">
        <f t="shared" si="145"/>
        <v>#DIV/0!</v>
      </c>
      <c r="AF149" s="60">
        <v>4.5817033476055249</v>
      </c>
      <c r="AG149" s="60">
        <v>4.5817033476055249</v>
      </c>
      <c r="AH149" s="60">
        <f>'Information Technology'!AA2288</f>
        <v>1.9299340441295085E-2</v>
      </c>
      <c r="AI149" s="63">
        <v>0.10467192227476625</v>
      </c>
      <c r="AJ149" s="60" t="e">
        <f>(AI149-$AI$260)/$AI$261</f>
        <v>#DIV/0!</v>
      </c>
      <c r="AK149" s="63" t="e">
        <f>AJ149-$AJ$203</f>
        <v>#DIV/0!</v>
      </c>
      <c r="AL149" s="60" t="e">
        <f>AK149+5-$AK$155</f>
        <v>#DIV/0!</v>
      </c>
      <c r="AM149" s="60">
        <v>3.9125703869071735</v>
      </c>
      <c r="AN149" s="60">
        <v>3.9125703869071735</v>
      </c>
      <c r="AO149" s="60">
        <f>'Information Technology'!AA2289</f>
        <v>9.0468102654974372E-3</v>
      </c>
      <c r="AP149" s="60">
        <v>4.9174204655515988E-2</v>
      </c>
      <c r="AQ149" s="60" t="e">
        <f t="shared" si="163"/>
        <v>#DIV/0!</v>
      </c>
      <c r="AR149" s="60" t="e">
        <f t="shared" si="164"/>
        <v>#DIV/0!</v>
      </c>
      <c r="AS149" s="60" t="e">
        <f t="shared" si="165"/>
        <v>#DIV/0!</v>
      </c>
      <c r="AT149" s="60">
        <v>1.9789195922058549</v>
      </c>
      <c r="AU149" s="60">
        <v>1.9789195922058549</v>
      </c>
      <c r="AV149" s="60">
        <f>'Information Technology'!AA2290</f>
        <v>-7.5109112691849412E-3</v>
      </c>
      <c r="AW149" s="60">
        <v>-2.34600554239754E-2</v>
      </c>
      <c r="AX149" s="60" t="e">
        <f>(AW149-$AW$260)/$AW$261</f>
        <v>#DIV/0!</v>
      </c>
      <c r="AY149" s="60" t="e">
        <f>AX149-$AX$253</f>
        <v>#DIV/0!</v>
      </c>
      <c r="AZ149" s="60" t="e">
        <f>AY149+5-$AY$205</f>
        <v>#DIV/0!</v>
      </c>
      <c r="BA149" s="60">
        <v>1.1100000000000001</v>
      </c>
      <c r="BB149" s="60">
        <v>1.1100000000000001</v>
      </c>
      <c r="BC149" s="60">
        <f>'Information Technology'!AA2291</f>
        <v>1.3627596210861248</v>
      </c>
      <c r="BD149" s="60">
        <v>0.33992064885206891</v>
      </c>
      <c r="BE149" s="60">
        <v>4.4000000000000004</v>
      </c>
      <c r="BF149" s="60">
        <f>'Information Technology'!AA2292</f>
        <v>2.3249194356383122E-2</v>
      </c>
      <c r="BG149" s="63">
        <v>0.74667901691576877</v>
      </c>
      <c r="BH149" s="63" t="e">
        <f t="shared" si="149"/>
        <v>#DIV/0!</v>
      </c>
      <c r="BI149" s="63" t="e">
        <f t="shared" si="150"/>
        <v>#DIV/0!</v>
      </c>
      <c r="BJ149" s="63" t="e">
        <f t="shared" si="151"/>
        <v>#DIV/0!</v>
      </c>
      <c r="BK149" s="63">
        <v>2.4058115407401752</v>
      </c>
      <c r="BL149" s="63">
        <v>2.4058115407401752</v>
      </c>
      <c r="BM149" s="63">
        <f t="shared" si="152"/>
        <v>3.2391149055851631</v>
      </c>
    </row>
    <row r="150" spans="1:65">
      <c r="A150" s="56" t="s">
        <v>574</v>
      </c>
      <c r="B150" s="56" t="s">
        <v>575</v>
      </c>
      <c r="C150" s="57">
        <v>955.6</v>
      </c>
      <c r="D150" s="58" t="s">
        <v>172</v>
      </c>
      <c r="E150" s="69" t="str" cm="1">
        <f t="array" ref="E150">_xll.ciqfunctions.udf.CIQ(B150,"iq_industry")</f>
        <v>Electronic Equipment, Instruments and Components</v>
      </c>
      <c r="F150" s="60" t="e">
        <f>'Information Technology'!AA3754</f>
        <v>#DIV/0!</v>
      </c>
      <c r="G150" s="62">
        <v>-37.536313125620183</v>
      </c>
      <c r="J150" s="62">
        <v>1</v>
      </c>
      <c r="K150" s="62">
        <v>1</v>
      </c>
      <c r="L150" s="108">
        <v>1</v>
      </c>
      <c r="M150" s="60">
        <f>'Information Technology'!AA3755</f>
        <v>1.02364927875</v>
      </c>
      <c r="N150" s="63">
        <v>0.85354858049999993</v>
      </c>
      <c r="O150" s="63">
        <f t="shared" si="140"/>
        <v>-1.318282349073026</v>
      </c>
      <c r="P150" s="63">
        <f t="shared" si="141"/>
        <v>-1.6836909333095305</v>
      </c>
      <c r="Q150" s="63">
        <f t="shared" si="153"/>
        <v>2.3163090666904695</v>
      </c>
      <c r="R150" s="62"/>
      <c r="S150" s="63">
        <v>1.5882538829781545</v>
      </c>
      <c r="T150" s="60" t="e">
        <f>'Information Technology'!AA3756</f>
        <v>#DIV/0!</v>
      </c>
      <c r="U150" s="63" t="e">
        <v>#DIV/0!</v>
      </c>
      <c r="V150" s="63" t="e">
        <f t="shared" si="142"/>
        <v>#DIV/0!</v>
      </c>
      <c r="X150" s="63"/>
      <c r="Z150" s="63">
        <v>1</v>
      </c>
      <c r="AA150" s="60" t="e">
        <f>'Information Technology'!AA3757</f>
        <v>#DIV/0!</v>
      </c>
      <c r="AB150" s="63">
        <v>4.8409528543010838E-2</v>
      </c>
      <c r="AC150" s="60" t="e">
        <f t="shared" si="143"/>
        <v>#DIV/0!</v>
      </c>
      <c r="AD150" s="60" t="e">
        <f t="shared" si="144"/>
        <v>#DIV/0!</v>
      </c>
      <c r="AE150" s="60" t="e">
        <f t="shared" si="145"/>
        <v>#DIV/0!</v>
      </c>
      <c r="AF150" s="60">
        <v>3.9055082074415788</v>
      </c>
      <c r="AG150" s="60">
        <v>3.9055082074415788</v>
      </c>
      <c r="AH150" s="60" t="e">
        <f>'Information Technology'!AA3758</f>
        <v>#DIV/0!</v>
      </c>
      <c r="AI150" s="63">
        <v>-0.17805116806492308</v>
      </c>
      <c r="AJ150" s="60"/>
      <c r="AL150" s="60"/>
      <c r="AM150" s="60"/>
      <c r="AN150" s="60">
        <v>1</v>
      </c>
      <c r="AO150" s="60" t="e">
        <f>'Information Technology'!AA3759</f>
        <v>#DIV/0!</v>
      </c>
      <c r="AP150" s="60">
        <v>-0.43715118678644993</v>
      </c>
      <c r="AQ150" s="60"/>
      <c r="AR150" s="60"/>
      <c r="AS150" s="60"/>
      <c r="AT150" s="60"/>
      <c r="AU150" s="60">
        <v>1</v>
      </c>
      <c r="AV150" s="60" t="e">
        <f>'Information Technology'!AA3760</f>
        <v>#DIV/0!</v>
      </c>
      <c r="AW150" s="60" t="e">
        <v>#DIV/0!</v>
      </c>
      <c r="AX150" s="60"/>
      <c r="AY150" s="60"/>
      <c r="AZ150" s="60"/>
      <c r="BA150" s="60"/>
      <c r="BB150" s="60">
        <v>1</v>
      </c>
      <c r="BC150" s="60" t="e">
        <f>'Information Technology'!AA3761</f>
        <v>#DIV/0!</v>
      </c>
      <c r="BD150" s="60">
        <v>0</v>
      </c>
      <c r="BE150" s="60">
        <v>5</v>
      </c>
      <c r="BF150" s="60" t="e">
        <f>'Information Technology'!AA3762</f>
        <v>#DIV/0!</v>
      </c>
      <c r="BG150" s="63">
        <v>0.22007062832579166</v>
      </c>
      <c r="BH150" s="63" t="e">
        <f t="shared" si="149"/>
        <v>#DIV/0!</v>
      </c>
      <c r="BI150" s="63" t="e">
        <f t="shared" si="150"/>
        <v>#DIV/0!</v>
      </c>
      <c r="BJ150" s="63" t="e">
        <f t="shared" si="151"/>
        <v>#DIV/0!</v>
      </c>
      <c r="BK150" s="63">
        <v>4.2663590748471334</v>
      </c>
      <c r="BL150" s="63">
        <v>4.2663590748471334</v>
      </c>
      <c r="BM150" s="63">
        <f t="shared" si="152"/>
        <v>3.1328100970094468</v>
      </c>
    </row>
    <row r="151" spans="1:65">
      <c r="A151" s="56" t="s">
        <v>328</v>
      </c>
      <c r="B151" s="56" t="s">
        <v>329</v>
      </c>
      <c r="C151" s="57">
        <v>5019.6000000000004</v>
      </c>
      <c r="D151" s="58" t="s">
        <v>172</v>
      </c>
      <c r="E151" s="69" t="str" cm="1">
        <f t="array" ref="E151">_xll.ciqfunctions.udf.CIQ(B151,"iq_industry")</f>
        <v>Electronic Equipment, Instruments and Components</v>
      </c>
      <c r="F151" s="60">
        <f>'Information Technology'!AA1909</f>
        <v>21.7422429203286</v>
      </c>
      <c r="G151" s="62">
        <v>35.301612915815511</v>
      </c>
      <c r="H151" s="62" t="e">
        <f>-(G151-$G$260)/$G$261</f>
        <v>#DIV/0!</v>
      </c>
      <c r="I151" s="62" t="e">
        <f>H151-$H$181</f>
        <v>#DIV/0!</v>
      </c>
      <c r="J151" s="62" t="e">
        <f>I151+(5-$I$242)</f>
        <v>#DIV/0!</v>
      </c>
      <c r="K151" s="62">
        <v>1</v>
      </c>
      <c r="L151" s="108">
        <v>1.3943559615952816</v>
      </c>
      <c r="M151" s="60">
        <f>'Information Technology'!AA1910</f>
        <v>1.80250798985</v>
      </c>
      <c r="N151" s="63">
        <v>5.01</v>
      </c>
      <c r="O151" s="63">
        <f t="shared" si="140"/>
        <v>1.9977279594755282</v>
      </c>
      <c r="P151" s="63">
        <f t="shared" si="141"/>
        <v>1.6323193752390237</v>
      </c>
      <c r="Q151" s="63">
        <f t="shared" si="153"/>
        <v>5.6323193752390237</v>
      </c>
      <c r="R151" s="62"/>
      <c r="S151" s="63">
        <v>4.9042641915267007</v>
      </c>
      <c r="T151" s="60" t="e">
        <f>'Information Technology'!AA1911</f>
        <v>#DIV/0!</v>
      </c>
      <c r="U151" s="63" t="e">
        <v>#DIV/0!</v>
      </c>
      <c r="V151" s="63" t="e">
        <f t="shared" si="142"/>
        <v>#DIV/0!</v>
      </c>
      <c r="W151" s="63"/>
      <c r="X151" s="63"/>
      <c r="Z151" s="63">
        <v>1</v>
      </c>
      <c r="AA151" s="60">
        <f>'Information Technology'!AA1912</f>
        <v>-5.7103602372552409E-3</v>
      </c>
      <c r="AB151" s="63">
        <v>5.1485136538911291E-3</v>
      </c>
      <c r="AC151" s="60" t="e">
        <f t="shared" si="143"/>
        <v>#DIV/0!</v>
      </c>
      <c r="AD151" s="60" t="e">
        <f t="shared" si="144"/>
        <v>#DIV/0!</v>
      </c>
      <c r="AE151" s="60" t="e">
        <f t="shared" si="145"/>
        <v>#DIV/0!</v>
      </c>
      <c r="AF151" s="60">
        <v>4.4755065918295704</v>
      </c>
      <c r="AG151" s="60">
        <v>4.4755065918295704</v>
      </c>
      <c r="AH151" s="60">
        <f>'Information Technology'!AA1913</f>
        <v>2.3375348657841053E-2</v>
      </c>
      <c r="AI151" s="63">
        <v>7.8049541926578786E-2</v>
      </c>
      <c r="AJ151" s="60" t="e">
        <f t="shared" ref="AJ151:AJ157" si="166">(AI151-$AI$260)/$AI$261</f>
        <v>#DIV/0!</v>
      </c>
      <c r="AK151" s="63" t="e">
        <f t="shared" ref="AK151:AK157" si="167">AJ151-$AJ$203</f>
        <v>#DIV/0!</v>
      </c>
      <c r="AL151" s="60" t="e">
        <f t="shared" ref="AL151:AL157" si="168">AK151+5-$AK$155</f>
        <v>#DIV/0!</v>
      </c>
      <c r="AM151" s="60">
        <v>3.3065405480184538</v>
      </c>
      <c r="AN151" s="60">
        <v>3.3065405480184538</v>
      </c>
      <c r="AO151" s="60">
        <f>'Information Technology'!AA1914</f>
        <v>0.120151555931997</v>
      </c>
      <c r="AP151" s="60">
        <v>7.7296977737475181E-2</v>
      </c>
      <c r="AQ151" s="60" t="e">
        <f t="shared" ref="AQ151:AQ158" si="169">(AP151-$AP$260)/$AP$261</f>
        <v>#DIV/0!</v>
      </c>
      <c r="AR151" s="60" t="e">
        <f t="shared" ref="AR151:AR158" si="170">AQ151-$AQ$245</f>
        <v>#DIV/0!</v>
      </c>
      <c r="AS151" s="60" t="e">
        <f t="shared" ref="AS151:AS158" si="171">(5-$AR$162)+AR151</f>
        <v>#DIV/0!</v>
      </c>
      <c r="AT151" s="60">
        <v>2.3970154110860866</v>
      </c>
      <c r="AU151" s="60">
        <v>2.3970154110860866</v>
      </c>
      <c r="AV151" s="60">
        <f>'Information Technology'!AA1915</f>
        <v>3.4861704261235434E-3</v>
      </c>
      <c r="AW151" s="60">
        <v>-1.3863354823696438E-4</v>
      </c>
      <c r="AX151" s="60" t="e">
        <f>(AW151-$AW$260)/$AW$261</f>
        <v>#DIV/0!</v>
      </c>
      <c r="AY151" s="60" t="e">
        <f>AX151-$AX$253</f>
        <v>#DIV/0!</v>
      </c>
      <c r="AZ151" s="60" t="e">
        <f>AY151+5-$AY$205</f>
        <v>#DIV/0!</v>
      </c>
      <c r="BA151" s="60">
        <v>1.8667637187299837</v>
      </c>
      <c r="BB151" s="60">
        <v>1.8667637187299837</v>
      </c>
      <c r="BC151" s="60">
        <f>'Information Technology'!AA1916</f>
        <v>-0.24812507544386314</v>
      </c>
      <c r="BD151" s="60">
        <v>0.29740968491574321</v>
      </c>
      <c r="BE151" s="60">
        <v>4.4000000000000004</v>
      </c>
      <c r="BF151" s="60">
        <f>'Information Technology'!AA1917</f>
        <v>0.20341568543313401</v>
      </c>
      <c r="BG151" s="63">
        <v>0.7630975640908384</v>
      </c>
      <c r="BH151" s="63" t="e">
        <f t="shared" si="149"/>
        <v>#DIV/0!</v>
      </c>
      <c r="BI151" s="63" t="e">
        <f t="shared" si="150"/>
        <v>#DIV/0!</v>
      </c>
      <c r="BJ151" s="63" t="e">
        <f t="shared" si="151"/>
        <v>#DIV/0!</v>
      </c>
      <c r="BK151" s="63">
        <v>2.3478035634233168</v>
      </c>
      <c r="BL151" s="63">
        <v>2.3478035634233168</v>
      </c>
      <c r="BM151" s="63">
        <f t="shared" si="152"/>
        <v>3.0038169218092809</v>
      </c>
    </row>
    <row r="152" spans="1:65">
      <c r="A152" s="56" t="s">
        <v>336</v>
      </c>
      <c r="B152" s="56" t="s">
        <v>337</v>
      </c>
      <c r="C152" s="57">
        <v>4702.8999999999996</v>
      </c>
      <c r="D152" s="58" t="s">
        <v>127</v>
      </c>
      <c r="E152" s="69" t="str" cm="1">
        <f t="array" ref="E152">_xll.ciqfunctions.udf.CIQ(B152,"iq_industry")</f>
        <v>Electronic Equipment, Instruments and Components</v>
      </c>
      <c r="F152" s="60">
        <f>'Information Technology'!AA1969</f>
        <v>10.001387917086969</v>
      </c>
      <c r="G152" s="62">
        <v>3.5521262049595892</v>
      </c>
      <c r="H152" s="62" t="e">
        <f>-(G152-$G$260)/$G$261</f>
        <v>#DIV/0!</v>
      </c>
      <c r="I152" s="62" t="e">
        <f>H152-$H$181</f>
        <v>#DIV/0!</v>
      </c>
      <c r="J152" s="62" t="e">
        <f>I152+(5-$I$242)</f>
        <v>#DIV/0!</v>
      </c>
      <c r="K152" s="62">
        <v>1</v>
      </c>
      <c r="L152" s="108">
        <v>4.9306935016643259</v>
      </c>
      <c r="M152" s="60">
        <f>'Information Technology'!AA1970</f>
        <v>0.88603314180000003</v>
      </c>
      <c r="N152" s="63">
        <v>5.1360688195000002</v>
      </c>
      <c r="O152" s="63">
        <f t="shared" si="140"/>
        <v>2.0983054624597535</v>
      </c>
      <c r="P152" s="63">
        <f t="shared" si="141"/>
        <v>1.732896878223249</v>
      </c>
      <c r="Q152" s="63">
        <f t="shared" si="153"/>
        <v>5.732896878223249</v>
      </c>
      <c r="R152" s="62"/>
      <c r="S152" s="63">
        <v>5.0048416945109269</v>
      </c>
      <c r="T152" s="60" t="e">
        <f>'Information Technology'!AA1971</f>
        <v>#DIV/0!</v>
      </c>
      <c r="U152" s="63" t="e">
        <v>#DIV/0!</v>
      </c>
      <c r="V152" s="63" t="e">
        <f t="shared" si="142"/>
        <v>#DIV/0!</v>
      </c>
      <c r="X152" s="63"/>
      <c r="Z152" s="63">
        <v>1</v>
      </c>
      <c r="AA152" s="60">
        <f>'Information Technology'!AA1972</f>
        <v>5.6206231126333828E-2</v>
      </c>
      <c r="AB152" s="63">
        <v>0.18785175228339313</v>
      </c>
      <c r="AC152" s="60" t="e">
        <f t="shared" si="143"/>
        <v>#DIV/0!</v>
      </c>
      <c r="AD152" s="60" t="e">
        <f t="shared" si="144"/>
        <v>#DIV/0!</v>
      </c>
      <c r="AE152" s="60" t="e">
        <f t="shared" si="145"/>
        <v>#DIV/0!</v>
      </c>
      <c r="AF152" s="60">
        <v>2.0682456639898579</v>
      </c>
      <c r="AG152" s="60">
        <v>2.0682456639898579</v>
      </c>
      <c r="AH152" s="60">
        <f>'Information Technology'!AA1973</f>
        <v>3.7458709761359094E-2</v>
      </c>
      <c r="AI152" s="63">
        <v>2.0271430463159979E-2</v>
      </c>
      <c r="AJ152" s="60" t="e">
        <f t="shared" si="166"/>
        <v>#DIV/0!</v>
      </c>
      <c r="AK152" s="63" t="e">
        <f t="shared" si="167"/>
        <v>#DIV/0!</v>
      </c>
      <c r="AL152" s="60" t="e">
        <f t="shared" si="168"/>
        <v>#DIV/0!</v>
      </c>
      <c r="AM152" s="60">
        <v>1.9912840186054446</v>
      </c>
      <c r="AN152" s="60">
        <v>1.9912840186054446</v>
      </c>
      <c r="AO152" s="60">
        <f>'Information Technology'!AA1974</f>
        <v>0.13277338582049625</v>
      </c>
      <c r="AP152" s="60">
        <v>2.30849325007428E-2</v>
      </c>
      <c r="AQ152" s="60" t="e">
        <f t="shared" si="169"/>
        <v>#DIV/0!</v>
      </c>
      <c r="AR152" s="60" t="e">
        <f t="shared" si="170"/>
        <v>#DIV/0!</v>
      </c>
      <c r="AS152" s="60" t="e">
        <f t="shared" si="171"/>
        <v>#DIV/0!</v>
      </c>
      <c r="AT152" s="60">
        <v>1.5910554376379504</v>
      </c>
      <c r="AU152" s="60">
        <v>1.5910554376379504</v>
      </c>
      <c r="AV152" s="60">
        <f>'Information Technology'!AA1975</f>
        <v>2.2952720300083843E-2</v>
      </c>
      <c r="AW152" s="60">
        <v>9.5931538385806373E-3</v>
      </c>
      <c r="AX152" s="60" t="e">
        <f>(AW152-$AW$260)/$AW$261</f>
        <v>#DIV/0!</v>
      </c>
      <c r="AY152" s="60" t="e">
        <f>AX152-$AX$253</f>
        <v>#DIV/0!</v>
      </c>
      <c r="AZ152" s="60" t="e">
        <f>AY152+5-$AY$205</f>
        <v>#DIV/0!</v>
      </c>
      <c r="BA152" s="60">
        <v>2.520808947983542</v>
      </c>
      <c r="BB152" s="60">
        <v>2.520808947983542</v>
      </c>
      <c r="BC152" s="60">
        <f>'Information Technology'!AA1976</f>
        <v>0.55197492826717143</v>
      </c>
      <c r="BD152" s="60">
        <v>0.77349116963077169</v>
      </c>
      <c r="BE152" s="60">
        <v>1.9</v>
      </c>
      <c r="BF152" s="60">
        <f>'Information Technology'!AA1977</f>
        <v>0.23798594030904827</v>
      </c>
      <c r="BG152" s="63">
        <v>0.21287532739732348</v>
      </c>
      <c r="BH152" s="63" t="e">
        <f t="shared" si="149"/>
        <v>#DIV/0!</v>
      </c>
      <c r="BI152" s="63" t="e">
        <f t="shared" si="150"/>
        <v>#DIV/0!</v>
      </c>
      <c r="BJ152" s="63" t="e">
        <f t="shared" si="151"/>
        <v>#DIV/0!</v>
      </c>
      <c r="BK152" s="63">
        <v>4.2917806208947846</v>
      </c>
      <c r="BL152" s="63">
        <v>4.2917806208947846</v>
      </c>
      <c r="BM152" s="63">
        <f t="shared" si="152"/>
        <v>2.8789586351118093</v>
      </c>
    </row>
    <row r="153" spans="1:65">
      <c r="A153" s="56" t="s">
        <v>450</v>
      </c>
      <c r="B153" s="56" t="s">
        <v>451</v>
      </c>
      <c r="C153" s="57">
        <v>2480.4</v>
      </c>
      <c r="D153" s="58" t="s">
        <v>213</v>
      </c>
      <c r="E153" s="69" t="str" cm="1">
        <f t="array" ref="E153">_xll.ciqfunctions.udf.CIQ(B153,"iq_industry")</f>
        <v>Electronic Equipment, Instruments and Components</v>
      </c>
      <c r="F153" s="60">
        <f>'Information Technology'!AA2824</f>
        <v>4.954128767113775</v>
      </c>
      <c r="G153" s="62">
        <v>38.737756885627086</v>
      </c>
      <c r="K153" s="62">
        <v>1</v>
      </c>
      <c r="L153" s="108">
        <v>1.37</v>
      </c>
      <c r="M153" s="60">
        <f>'Information Technology'!AA2825</f>
        <v>4.2209567776000005</v>
      </c>
      <c r="N153" s="63">
        <v>2.6156558570000001</v>
      </c>
      <c r="O153" s="63">
        <f t="shared" si="140"/>
        <v>8.7524023697071518E-2</v>
      </c>
      <c r="P153" s="63">
        <f t="shared" si="141"/>
        <v>-0.27788456053943283</v>
      </c>
      <c r="Q153" s="63">
        <f t="shared" si="153"/>
        <v>3.7221154394605671</v>
      </c>
      <c r="R153" s="62"/>
      <c r="S153" s="63">
        <v>2.9940602557482485</v>
      </c>
      <c r="T153" s="60" t="e">
        <f>'Information Technology'!AA2826</f>
        <v>#DIV/0!</v>
      </c>
      <c r="U153" s="63" t="e">
        <v>#DIV/0!</v>
      </c>
      <c r="V153" s="63" t="e">
        <f t="shared" si="142"/>
        <v>#DIV/0!</v>
      </c>
      <c r="X153" s="63"/>
      <c r="Z153" s="63">
        <v>1</v>
      </c>
      <c r="AA153" s="60">
        <f>'Information Technology'!AA2827</f>
        <v>3.2169132034724823E-2</v>
      </c>
      <c r="AB153" s="63">
        <v>-2.672101126035531E-2</v>
      </c>
      <c r="AC153" s="60" t="e">
        <f t="shared" si="143"/>
        <v>#DIV/0!</v>
      </c>
      <c r="AD153" s="60" t="e">
        <f t="shared" si="144"/>
        <v>#DIV/0!</v>
      </c>
      <c r="AE153" s="60" t="e">
        <f t="shared" si="145"/>
        <v>#DIV/0!</v>
      </c>
      <c r="AF153" s="60">
        <v>4.8954130077768765</v>
      </c>
      <c r="AG153" s="60">
        <v>4.8954130077768765</v>
      </c>
      <c r="AH153" s="60">
        <f>'Information Technology'!AA2828</f>
        <v>-0.42289168084490519</v>
      </c>
      <c r="AI153" s="63">
        <v>3.1009155417643486E-2</v>
      </c>
      <c r="AJ153" s="60" t="e">
        <f t="shared" si="166"/>
        <v>#DIV/0!</v>
      </c>
      <c r="AK153" s="63" t="e">
        <f t="shared" si="167"/>
        <v>#DIV/0!</v>
      </c>
      <c r="AL153" s="60" t="e">
        <f t="shared" si="168"/>
        <v>#DIV/0!</v>
      </c>
      <c r="AM153" s="60">
        <v>2.2357167717660786</v>
      </c>
      <c r="AN153" s="60">
        <v>2.2357167717660786</v>
      </c>
      <c r="AO153" s="60">
        <f>'Information Technology'!AA2829</f>
        <v>1.117403986203515E-2</v>
      </c>
      <c r="AP153" s="60">
        <v>3.9519428836082482E-3</v>
      </c>
      <c r="AQ153" s="60" t="e">
        <f t="shared" si="169"/>
        <v>#DIV/0!</v>
      </c>
      <c r="AR153" s="60" t="e">
        <f t="shared" si="170"/>
        <v>#DIV/0!</v>
      </c>
      <c r="AS153" s="60" t="e">
        <f t="shared" si="171"/>
        <v>#DIV/0!</v>
      </c>
      <c r="AT153" s="60">
        <v>1.3066089878412024</v>
      </c>
      <c r="AU153" s="60">
        <v>1.3066089878412024</v>
      </c>
      <c r="AV153" s="60">
        <f>'Information Technology'!AA2830</f>
        <v>-3.9094962283536608E-2</v>
      </c>
      <c r="AW153" s="60">
        <v>-1.6989965009410631E-2</v>
      </c>
      <c r="AX153" s="60" t="e">
        <f>(AW153-$AW$260)/$AW$261</f>
        <v>#DIV/0!</v>
      </c>
      <c r="AY153" s="60" t="e">
        <f>AX153-$AX$253</f>
        <v>#DIV/0!</v>
      </c>
      <c r="AZ153" s="60" t="e">
        <f>AY153+5-$AY$205</f>
        <v>#DIV/0!</v>
      </c>
      <c r="BA153" s="60">
        <v>1.1399999999999999</v>
      </c>
      <c r="BB153" s="60">
        <v>1.1399999999999999</v>
      </c>
      <c r="BC153" s="60">
        <f>'Information Technology'!AA2831</f>
        <v>2.0943487746536733</v>
      </c>
      <c r="BD153" s="60">
        <v>0.58978376565678836</v>
      </c>
      <c r="BE153" s="60">
        <v>2.27</v>
      </c>
      <c r="BF153" s="60">
        <f>'Information Technology'!AA2832</f>
        <v>1.4685994217956839</v>
      </c>
      <c r="BG153" s="63">
        <v>4.9370639712996163E-2</v>
      </c>
      <c r="BH153" s="63" t="e">
        <f t="shared" si="149"/>
        <v>#DIV/0!</v>
      </c>
      <c r="BI153" s="63" t="e">
        <f t="shared" si="150"/>
        <v>#DIV/0!</v>
      </c>
      <c r="BJ153" s="63" t="e">
        <f t="shared" si="151"/>
        <v>#DIV/0!</v>
      </c>
      <c r="BK153" s="63">
        <v>4.8694551321203603</v>
      </c>
      <c r="BL153" s="63">
        <v>4.8694551321203603</v>
      </c>
      <c r="BM153" s="63">
        <f t="shared" si="152"/>
        <v>2.7322878431844035</v>
      </c>
    </row>
    <row r="154" spans="1:65">
      <c r="A154" s="56" t="s">
        <v>356</v>
      </c>
      <c r="B154" s="56" t="s">
        <v>357</v>
      </c>
      <c r="C154" s="57">
        <v>4363.2</v>
      </c>
      <c r="D154" s="58" t="s">
        <v>157</v>
      </c>
      <c r="E154" s="69" t="str" cm="1">
        <f t="array" ref="E154">_xll.ciqfunctions.udf.CIQ(B154,"iq_industry")</f>
        <v>Electronic Equipment, Instruments and Components</v>
      </c>
      <c r="F154" s="60">
        <f>'Information Technology'!AA2119</f>
        <v>16.8021136224285</v>
      </c>
      <c r="G154" s="62">
        <v>16.440159691797493</v>
      </c>
      <c r="H154" s="62" t="e">
        <f>-(G154-$G$260)/$G$261</f>
        <v>#DIV/0!</v>
      </c>
      <c r="I154" s="62" t="e">
        <f>H154-$H$181</f>
        <v>#DIV/0!</v>
      </c>
      <c r="J154" s="62" t="e">
        <f>I154+(5-$I$242)</f>
        <v>#DIV/0!</v>
      </c>
      <c r="K154" s="62">
        <v>1</v>
      </c>
      <c r="L154" s="108">
        <v>3.4951919752226988</v>
      </c>
      <c r="M154" s="60">
        <f>'Information Technology'!AA2120</f>
        <v>2.836265601</v>
      </c>
      <c r="N154" s="63">
        <v>4.3687043225000002</v>
      </c>
      <c r="O154" s="63">
        <f t="shared" si="140"/>
        <v>1.4861032915097372</v>
      </c>
      <c r="P154" s="63">
        <f t="shared" si="141"/>
        <v>1.1206947072732327</v>
      </c>
      <c r="Q154" s="63">
        <f t="shared" si="153"/>
        <v>5.1206947072732323</v>
      </c>
      <c r="R154" s="62"/>
      <c r="S154" s="63">
        <v>4.392639523560911</v>
      </c>
      <c r="T154" s="60" t="e">
        <f>'Information Technology'!AA2121</f>
        <v>#DIV/0!</v>
      </c>
      <c r="U154" s="63">
        <v>19.715301589432798</v>
      </c>
      <c r="V154" s="63" t="e">
        <f t="shared" si="142"/>
        <v>#DIV/0!</v>
      </c>
      <c r="W154" s="63" t="e">
        <f>V154-$V$252</f>
        <v>#DIV/0!</v>
      </c>
      <c r="X154" s="63" t="e">
        <f>W154+5-$W$259</f>
        <v>#DIV/0!</v>
      </c>
      <c r="Y154" s="63">
        <v>3.672797445882364</v>
      </c>
      <c r="Z154" s="63">
        <v>3.672797445882364</v>
      </c>
      <c r="AA154" s="60">
        <f>'Information Technology'!AA2122</f>
        <v>-3.5971258044638521E-2</v>
      </c>
      <c r="AB154" s="63">
        <v>-4.5967584348983848E-2</v>
      </c>
      <c r="AD154" s="60"/>
      <c r="AE154" s="60"/>
      <c r="AF154" s="60">
        <v>4.9800000000000004</v>
      </c>
      <c r="AG154" s="60">
        <v>4.9800000000000004</v>
      </c>
      <c r="AH154" s="60">
        <f>'Information Technology'!AA2123</f>
        <v>2.0853638537116123E-2</v>
      </c>
      <c r="AI154" s="63">
        <v>1.3509758751691268E-2</v>
      </c>
      <c r="AJ154" s="60" t="e">
        <f t="shared" si="166"/>
        <v>#DIV/0!</v>
      </c>
      <c r="AK154" s="63" t="e">
        <f t="shared" si="167"/>
        <v>#DIV/0!</v>
      </c>
      <c r="AL154" s="60" t="e">
        <f t="shared" si="168"/>
        <v>#DIV/0!</v>
      </c>
      <c r="AM154" s="60">
        <v>1.8373618386829129</v>
      </c>
      <c r="AN154" s="60">
        <v>1.8373618386829129</v>
      </c>
      <c r="AO154" s="60">
        <f>'Information Technology'!AA2124</f>
        <v>1.9975502594037395E-2</v>
      </c>
      <c r="AP154" s="60">
        <v>6.4333079519603934E-3</v>
      </c>
      <c r="AQ154" s="60" t="e">
        <f t="shared" si="169"/>
        <v>#DIV/0!</v>
      </c>
      <c r="AR154" s="60" t="e">
        <f t="shared" si="170"/>
        <v>#DIV/0!</v>
      </c>
      <c r="AS154" s="60" t="e">
        <f t="shared" si="171"/>
        <v>#DIV/0!</v>
      </c>
      <c r="AT154" s="60">
        <v>1.3434989615706785</v>
      </c>
      <c r="AU154" s="60">
        <v>1.3434989615706785</v>
      </c>
      <c r="AV154" s="60">
        <f>'Information Technology'!AA2125</f>
        <v>-1.2973200217744179E-2</v>
      </c>
      <c r="AW154" s="60">
        <v>-6.4320183857911745E-3</v>
      </c>
      <c r="AX154" s="60" t="e">
        <f>(AW154-$AW$260)/$AW$261</f>
        <v>#DIV/0!</v>
      </c>
      <c r="AY154" s="60" t="e">
        <f>AX154-$AX$253</f>
        <v>#DIV/0!</v>
      </c>
      <c r="AZ154" s="60" t="e">
        <f>AY154+5-$AY$205</f>
        <v>#DIV/0!</v>
      </c>
      <c r="BA154" s="60">
        <v>1.4438035609243745</v>
      </c>
      <c r="BB154" s="60">
        <v>1.4438035609243745</v>
      </c>
      <c r="BC154" s="60">
        <f>'Information Technology'!AA2126</f>
        <v>-0.14500595406278857</v>
      </c>
      <c r="BD154" s="60">
        <v>1.12661106839938</v>
      </c>
      <c r="BE154" s="60">
        <v>1</v>
      </c>
      <c r="BF154" s="60">
        <f>'Information Technology'!AA2127</f>
        <v>5.3332601405360877E-2</v>
      </c>
      <c r="BG154" s="63">
        <v>2.375175233062268E-2</v>
      </c>
      <c r="BH154" s="63" t="e">
        <f t="shared" si="149"/>
        <v>#DIV/0!</v>
      </c>
      <c r="BI154" s="63" t="e">
        <f t="shared" si="150"/>
        <v>#DIV/0!</v>
      </c>
      <c r="BJ154" s="63" t="e">
        <f t="shared" si="151"/>
        <v>#DIV/0!</v>
      </c>
      <c r="BK154" s="63">
        <v>4.9599686119254676</v>
      </c>
      <c r="BL154" s="63">
        <v>4.9599686119254676</v>
      </c>
      <c r="BM154" s="63">
        <f t="shared" si="152"/>
        <v>2.6057307853742349</v>
      </c>
    </row>
    <row r="155" spans="1:65">
      <c r="A155" s="56" t="s">
        <v>496</v>
      </c>
      <c r="B155" s="56" t="s">
        <v>497</v>
      </c>
      <c r="C155" s="57">
        <v>1698.4</v>
      </c>
      <c r="D155" s="58" t="s">
        <v>157</v>
      </c>
      <c r="E155" s="69" t="str" cm="1">
        <f t="array" ref="E155">_xll.ciqfunctions.udf.CIQ(B155,"iq_industry")</f>
        <v>Electronic Equipment, Instruments and Components</v>
      </c>
      <c r="F155" s="60">
        <f>'Information Technology'!AA3169</f>
        <v>-15.807641910465206</v>
      </c>
      <c r="G155" s="62">
        <v>31.366403196500318</v>
      </c>
      <c r="H155" s="62" t="e">
        <f>-(G155-$G$260)/$G$261</f>
        <v>#DIV/0!</v>
      </c>
      <c r="I155" s="62" t="e">
        <f>H155-$H$181</f>
        <v>#DIV/0!</v>
      </c>
      <c r="J155" s="62" t="e">
        <f>I155+(5-$I$242)</f>
        <v>#DIV/0!</v>
      </c>
      <c r="K155" s="62">
        <v>1</v>
      </c>
      <c r="L155" s="108">
        <v>1.832669499864251</v>
      </c>
      <c r="M155" s="60">
        <f>'Information Technology'!AA3170</f>
        <v>2.2097842137999999</v>
      </c>
      <c r="N155" s="63">
        <v>1.8296221679999998</v>
      </c>
      <c r="O155" s="63">
        <f t="shared" si="140"/>
        <v>-0.53957239883347208</v>
      </c>
      <c r="P155" s="63">
        <f t="shared" si="141"/>
        <v>-0.90498098306997643</v>
      </c>
      <c r="Q155" s="63">
        <f t="shared" si="153"/>
        <v>3.0950190169300233</v>
      </c>
      <c r="R155" s="62"/>
      <c r="S155" s="63">
        <v>2.3669638332177065</v>
      </c>
      <c r="T155" s="60" t="e">
        <f>'Information Technology'!AA3171</f>
        <v>#DIV/0!</v>
      </c>
      <c r="U155" s="63" t="e">
        <v>#DIV/0!</v>
      </c>
      <c r="V155" s="63" t="e">
        <f t="shared" si="142"/>
        <v>#DIV/0!</v>
      </c>
      <c r="W155" s="63"/>
      <c r="X155" s="63"/>
      <c r="Z155" s="63">
        <v>1</v>
      </c>
      <c r="AA155" s="60">
        <f>'Information Technology'!AA3172</f>
        <v>-1.0118189210650108E-2</v>
      </c>
      <c r="AB155" s="63">
        <v>-2.0857862492719148E-3</v>
      </c>
      <c r="AC155" s="60" t="e">
        <f>-(AB155-$AB$260)/$AB$261</f>
        <v>#DIV/0!</v>
      </c>
      <c r="AD155" s="60" t="e">
        <f>AC155-$AC$160</f>
        <v>#DIV/0!</v>
      </c>
      <c r="AE155" s="60" t="e">
        <f>AD155+5-$AD$254</f>
        <v>#DIV/0!</v>
      </c>
      <c r="AF155" s="60">
        <v>4.5708242645090023</v>
      </c>
      <c r="AG155" s="60">
        <v>4.5708242645090023</v>
      </c>
      <c r="AH155" s="60">
        <f>'Information Technology'!AA3173</f>
        <v>-0.19571435628653228</v>
      </c>
      <c r="AI155" s="63">
        <v>5.3348174958093214E-2</v>
      </c>
      <c r="AJ155" s="60" t="e">
        <f t="shared" si="166"/>
        <v>#DIV/0!</v>
      </c>
      <c r="AK155" s="63" t="e">
        <f t="shared" si="167"/>
        <v>#DIV/0!</v>
      </c>
      <c r="AL155" s="60" t="e">
        <f t="shared" si="168"/>
        <v>#DIV/0!</v>
      </c>
      <c r="AM155" s="60">
        <v>2.7442405114155424</v>
      </c>
      <c r="AN155" s="60">
        <v>2.7442405114155424</v>
      </c>
      <c r="AO155" s="60">
        <f>'Information Technology'!AA3174</f>
        <v>-2.5804799065437783E-2</v>
      </c>
      <c r="AP155" s="60">
        <v>1.7499182749972444E-2</v>
      </c>
      <c r="AQ155" s="60" t="e">
        <f t="shared" si="169"/>
        <v>#DIV/0!</v>
      </c>
      <c r="AR155" s="60" t="e">
        <f t="shared" si="170"/>
        <v>#DIV/0!</v>
      </c>
      <c r="AS155" s="60" t="e">
        <f t="shared" si="171"/>
        <v>#DIV/0!</v>
      </c>
      <c r="AT155" s="60">
        <v>1.5080131782810122</v>
      </c>
      <c r="AU155" s="60">
        <v>1.5080131782810122</v>
      </c>
      <c r="AV155" s="60">
        <f>'Information Technology'!AA3175</f>
        <v>5.630395300971815E-3</v>
      </c>
      <c r="AW155" s="60" t="b">
        <v>0</v>
      </c>
      <c r="AX155" s="60"/>
      <c r="AY155" s="60"/>
      <c r="AZ155" s="60"/>
      <c r="BA155" s="60"/>
      <c r="BB155" s="60">
        <v>1</v>
      </c>
      <c r="BC155" s="60">
        <f>'Information Technology'!AA3176</f>
        <v>0.43440228150436483</v>
      </c>
      <c r="BD155" s="60">
        <v>0.83646462545527089</v>
      </c>
      <c r="BE155" s="60">
        <v>1.5</v>
      </c>
      <c r="BF155" s="60">
        <f>'Information Technology'!AA3177</f>
        <v>0.69844968248343331</v>
      </c>
      <c r="BG155" s="63">
        <v>8.3738860253086481E-2</v>
      </c>
      <c r="BH155" s="63" t="e">
        <f t="shared" si="149"/>
        <v>#DIV/0!</v>
      </c>
      <c r="BI155" s="63" t="e">
        <f t="shared" si="150"/>
        <v>#DIV/0!</v>
      </c>
      <c r="BJ155" s="63" t="e">
        <f t="shared" si="151"/>
        <v>#DIV/0!</v>
      </c>
      <c r="BK155" s="63">
        <v>4.7480295920739488</v>
      </c>
      <c r="BL155" s="63">
        <v>4.7480295920739488</v>
      </c>
      <c r="BM155" s="63">
        <f t="shared" si="152"/>
        <v>2.5601791122005331</v>
      </c>
    </row>
    <row r="156" spans="1:65">
      <c r="A156" s="56" t="s">
        <v>338</v>
      </c>
      <c r="B156" s="56" t="s">
        <v>339</v>
      </c>
      <c r="C156" s="57">
        <v>4694.8</v>
      </c>
      <c r="D156" s="58" t="s">
        <v>172</v>
      </c>
      <c r="E156" s="69" t="str" cm="1">
        <f t="array" ref="E156">_xll.ciqfunctions.udf.CIQ(B156,"iq_industry")</f>
        <v>Electronic Equipment, Instruments and Components</v>
      </c>
      <c r="F156" s="60">
        <f>'Information Technology'!AA1984</f>
        <v>-41.971309161236519</v>
      </c>
      <c r="G156" s="62">
        <v>5.3687141620297414</v>
      </c>
      <c r="H156" s="62" t="e">
        <f>-(G156-$G$260)/$G$261</f>
        <v>#DIV/0!</v>
      </c>
      <c r="I156" s="62" t="e">
        <f>H156-$H$181</f>
        <v>#DIV/0!</v>
      </c>
      <c r="J156" s="62" t="e">
        <f>I156+(5-$I$242)</f>
        <v>#DIV/0!</v>
      </c>
      <c r="K156" s="62">
        <v>1</v>
      </c>
      <c r="L156" s="108">
        <v>4.7283573742828402</v>
      </c>
      <c r="M156" s="60">
        <f>'Information Technology'!AA1985</f>
        <v>2.5200273472000001</v>
      </c>
      <c r="N156" s="63">
        <v>4.8170048354999997</v>
      </c>
      <c r="O156" s="63">
        <f t="shared" si="140"/>
        <v>1.8437567252684868</v>
      </c>
      <c r="P156" s="63">
        <f t="shared" si="141"/>
        <v>1.4783481410319825</v>
      </c>
      <c r="Q156" s="63">
        <f t="shared" si="153"/>
        <v>5.478348141031983</v>
      </c>
      <c r="R156" s="62"/>
      <c r="S156" s="63">
        <v>4.7502929573196591</v>
      </c>
      <c r="T156" s="60" t="e">
        <f>'Information Technology'!AA1986</f>
        <v>#DIV/0!</v>
      </c>
      <c r="U156" s="63" t="e">
        <v>#DIV/0!</v>
      </c>
      <c r="V156" s="63" t="e">
        <f t="shared" si="142"/>
        <v>#DIV/0!</v>
      </c>
      <c r="X156" s="63"/>
      <c r="Z156" s="63">
        <v>1</v>
      </c>
      <c r="AA156" s="60">
        <f>'Information Technology'!AA1987</f>
        <v>0.15490880471195112</v>
      </c>
      <c r="AB156" s="63">
        <v>-1.6778934151917113E-2</v>
      </c>
      <c r="AC156" s="60" t="e">
        <f>-(AB156-$AB$260)/$AB$261</f>
        <v>#DIV/0!</v>
      </c>
      <c r="AD156" s="60" t="e">
        <f>AC156-$AC$160</f>
        <v>#DIV/0!</v>
      </c>
      <c r="AE156" s="60" t="e">
        <f>AD156+5-$AD$254</f>
        <v>#DIV/0!</v>
      </c>
      <c r="AF156" s="60">
        <v>4.7644182101791932</v>
      </c>
      <c r="AG156" s="60">
        <v>4.7644182101791932</v>
      </c>
      <c r="AH156" s="60">
        <f>'Information Technology'!AA1988</f>
        <v>-8.9627591880289792E-2</v>
      </c>
      <c r="AI156" s="63">
        <v>0.12684160285355492</v>
      </c>
      <c r="AJ156" s="60" t="e">
        <f t="shared" si="166"/>
        <v>#DIV/0!</v>
      </c>
      <c r="AK156" s="63" t="e">
        <f t="shared" si="167"/>
        <v>#DIV/0!</v>
      </c>
      <c r="AL156" s="60" t="e">
        <f t="shared" si="168"/>
        <v>#DIV/0!</v>
      </c>
      <c r="AM156" s="60">
        <v>4.4172393073289484</v>
      </c>
      <c r="AN156" s="60">
        <v>4.4172393073289484</v>
      </c>
      <c r="AO156" s="60">
        <f>'Information Technology'!AA1989</f>
        <v>-1.2715053822419874E-3</v>
      </c>
      <c r="AP156" s="60">
        <v>8.4447100726264296E-2</v>
      </c>
      <c r="AQ156" s="60" t="e">
        <f t="shared" si="169"/>
        <v>#DIV/0!</v>
      </c>
      <c r="AR156" s="60" t="e">
        <f t="shared" si="170"/>
        <v>#DIV/0!</v>
      </c>
      <c r="AS156" s="60" t="e">
        <f t="shared" si="171"/>
        <v>#DIV/0!</v>
      </c>
      <c r="AT156" s="60">
        <v>2.5033149042896881</v>
      </c>
      <c r="AU156" s="60">
        <v>2.5033149042896881</v>
      </c>
      <c r="AV156" s="60" t="b">
        <f>'Information Technology'!AA1990</f>
        <v>0</v>
      </c>
      <c r="AW156" s="60" t="e">
        <v>#DIV/0!</v>
      </c>
      <c r="AX156" s="60"/>
      <c r="AY156" s="60"/>
      <c r="AZ156" s="60"/>
      <c r="BA156" s="60"/>
      <c r="BB156" s="60">
        <v>1</v>
      </c>
      <c r="BC156" s="60">
        <f>'Information Technology'!AA1991</f>
        <v>-8.5656902995635562</v>
      </c>
      <c r="BD156" s="60">
        <v>0.45309243835831103</v>
      </c>
      <c r="BE156" s="60">
        <v>2.4</v>
      </c>
      <c r="BF156" s="60">
        <f>'Information Technology'!AA1992</f>
        <v>0.12949458968824576</v>
      </c>
      <c r="BG156" s="63" t="e">
        <v>#DIV/0!</v>
      </c>
      <c r="BI156" s="63"/>
      <c r="BJ156" s="63"/>
      <c r="BL156" s="63">
        <v>1</v>
      </c>
      <c r="BM156" s="63">
        <f t="shared" si="152"/>
        <v>2.4477861719598026</v>
      </c>
    </row>
    <row r="157" spans="1:65">
      <c r="A157" s="56" t="s">
        <v>586</v>
      </c>
      <c r="B157" s="56" t="s">
        <v>587</v>
      </c>
      <c r="C157" s="57">
        <v>864.3</v>
      </c>
      <c r="D157" s="58" t="s">
        <v>213</v>
      </c>
      <c r="E157" s="69" t="str" cm="1">
        <f t="array" ref="E157">_xll.ciqfunctions.udf.CIQ(B157,"iq_industry")</f>
        <v>Electronic Equipment, Instruments and Components</v>
      </c>
      <c r="F157" s="60">
        <f>'Information Technology'!AA3844</f>
        <v>-29.178324454164461</v>
      </c>
      <c r="G157" s="62">
        <v>156.60940896156075</v>
      </c>
      <c r="K157" s="62">
        <v>1</v>
      </c>
      <c r="L157" s="109">
        <v>1.1299999999999999</v>
      </c>
      <c r="M157" s="60">
        <f>'Information Technology'!AA3845</f>
        <v>0.78813517499999997</v>
      </c>
      <c r="N157" s="63">
        <v>0.86964995940000001</v>
      </c>
      <c r="O157" s="63">
        <f t="shared" si="140"/>
        <v>-1.3054366946853058</v>
      </c>
      <c r="P157" s="63">
        <f t="shared" si="141"/>
        <v>-1.67084527892181</v>
      </c>
      <c r="Q157" s="63">
        <f t="shared" si="153"/>
        <v>2.32915472107819</v>
      </c>
      <c r="R157" s="62"/>
      <c r="S157" s="63">
        <v>1.601099537365875</v>
      </c>
      <c r="T157" s="60" t="e">
        <f>'Information Technology'!AA3846</f>
        <v>#DIV/0!</v>
      </c>
      <c r="U157" s="63">
        <v>16.839983512056804</v>
      </c>
      <c r="V157" s="63" t="e">
        <f t="shared" si="142"/>
        <v>#DIV/0!</v>
      </c>
      <c r="W157" s="63" t="e">
        <f>V157-$V$252</f>
        <v>#DIV/0!</v>
      </c>
      <c r="X157" s="63" t="e">
        <f>W157+5-$W$259</f>
        <v>#DIV/0!</v>
      </c>
      <c r="Y157" s="63">
        <v>3.8914980782223347</v>
      </c>
      <c r="Z157" s="63">
        <v>3.8914980782223347</v>
      </c>
      <c r="AA157" s="60">
        <f>'Information Technology'!AA3847</f>
        <v>5.0839673839457422E-2</v>
      </c>
      <c r="AB157" s="63">
        <v>-2.5819511584668775E-2</v>
      </c>
      <c r="AC157" s="60" t="e">
        <f>-(AB157-$AB$260)/$AB$261</f>
        <v>#DIV/0!</v>
      </c>
      <c r="AD157" s="60" t="e">
        <f>AC157-$AC$160</f>
        <v>#DIV/0!</v>
      </c>
      <c r="AE157" s="60" t="e">
        <f>AD157+5-$AD$254</f>
        <v>#DIV/0!</v>
      </c>
      <c r="AF157" s="60">
        <v>4.8835350303418901</v>
      </c>
      <c r="AG157" s="60">
        <v>4.8835350303418901</v>
      </c>
      <c r="AH157" s="60">
        <f>'Information Technology'!AA3848</f>
        <v>-0.18875790355727098</v>
      </c>
      <c r="AI157" s="63">
        <v>1.5188317583203265E-2</v>
      </c>
      <c r="AJ157" s="60" t="e">
        <f t="shared" si="166"/>
        <v>#DIV/0!</v>
      </c>
      <c r="AK157" s="63" t="e">
        <f t="shared" si="167"/>
        <v>#DIV/0!</v>
      </c>
      <c r="AL157" s="60" t="e">
        <f t="shared" si="168"/>
        <v>#DIV/0!</v>
      </c>
      <c r="AM157" s="60">
        <v>1.8755724240972143</v>
      </c>
      <c r="AN157" s="60">
        <v>1.8755724240972143</v>
      </c>
      <c r="AO157" s="60">
        <f>'Information Technology'!AA3849</f>
        <v>-4.4075207751356926E-2</v>
      </c>
      <c r="AP157" s="60">
        <v>1.7390697980512759E-3</v>
      </c>
      <c r="AQ157" s="60" t="e">
        <f t="shared" si="169"/>
        <v>#DIV/0!</v>
      </c>
      <c r="AR157" s="60" t="e">
        <f t="shared" si="170"/>
        <v>#DIV/0!</v>
      </c>
      <c r="AS157" s="60" t="e">
        <f t="shared" si="171"/>
        <v>#DIV/0!</v>
      </c>
      <c r="AT157" s="60">
        <v>1.2737106324020839</v>
      </c>
      <c r="AU157" s="60">
        <v>1.2737106324020839</v>
      </c>
      <c r="AV157" s="60" t="b">
        <f>'Information Technology'!AA3850</f>
        <v>0</v>
      </c>
      <c r="AW157" s="60">
        <v>-1.2302394421393194E-2</v>
      </c>
      <c r="AX157" s="60" t="e">
        <f>(AW157-$AW$260)/$AW$261</f>
        <v>#DIV/0!</v>
      </c>
      <c r="AY157" s="60" t="e">
        <f>AX157-$AX$253</f>
        <v>#DIV/0!</v>
      </c>
      <c r="AZ157" s="60" t="e">
        <f>AY157+5-$AY$205</f>
        <v>#DIV/0!</v>
      </c>
      <c r="BA157" s="60">
        <v>1.2</v>
      </c>
      <c r="BB157" s="60">
        <v>1.2</v>
      </c>
      <c r="BC157" s="60">
        <f>'Information Technology'!AA3851</f>
        <v>0.21286295969694136</v>
      </c>
      <c r="BD157" s="60">
        <v>10.199988594647673</v>
      </c>
      <c r="BE157" s="60">
        <v>1</v>
      </c>
      <c r="BF157" s="60">
        <f>'Information Technology'!AA3852</f>
        <v>9.1350337075472632E-2</v>
      </c>
      <c r="BG157" s="63">
        <v>4.9199469293657427E-2</v>
      </c>
      <c r="BH157" s="63" t="e">
        <f>-(BG157-$BG$260)/$BG$261</f>
        <v>#DIV/0!</v>
      </c>
      <c r="BI157" s="63" t="e">
        <f>BH157-$BH$181</f>
        <v>#DIV/0!</v>
      </c>
      <c r="BJ157" s="63" t="e">
        <f>BI157+5-$BI$259</f>
        <v>#DIV/0!</v>
      </c>
      <c r="BK157" s="63">
        <v>4.8700598902452077</v>
      </c>
      <c r="BL157" s="63">
        <v>4.8700598902452077</v>
      </c>
      <c r="BM157" s="63">
        <f t="shared" si="152"/>
        <v>2.3155441949859221</v>
      </c>
    </row>
    <row r="158" spans="1:65">
      <c r="A158" s="56" t="s">
        <v>562</v>
      </c>
      <c r="B158" s="56" t="s">
        <v>563</v>
      </c>
      <c r="C158" s="57">
        <v>1074.2</v>
      </c>
      <c r="D158" s="58" t="s">
        <v>172</v>
      </c>
      <c r="E158" s="69" t="str" cm="1">
        <f t="array" ref="E158">_xll.ciqfunctions.udf.CIQ(B158,"iq_industry")</f>
        <v>Electronic Equipment, Instruments and Components</v>
      </c>
      <c r="F158" s="60" t="e">
        <f>'Information Technology'!AA3664</f>
        <v>#DIV/0!</v>
      </c>
      <c r="G158" s="62">
        <v>25.983436833565303</v>
      </c>
      <c r="H158" s="62" t="e">
        <f>-(G158-$G$260)/$G$261</f>
        <v>#DIV/0!</v>
      </c>
      <c r="I158" s="62" t="e">
        <f>H158-$H$181</f>
        <v>#DIV/0!</v>
      </c>
      <c r="J158" s="62" t="e">
        <f>I158+(5-$I$242)</f>
        <v>#DIV/0!</v>
      </c>
      <c r="K158" s="62">
        <v>1</v>
      </c>
      <c r="L158" s="108">
        <v>2.4322378078352633</v>
      </c>
      <c r="M158" s="60">
        <f>'Information Technology'!AA3665</f>
        <v>2.1567134564999995</v>
      </c>
      <c r="N158" s="63">
        <v>1.0453823354</v>
      </c>
      <c r="O158" s="63">
        <f t="shared" si="140"/>
        <v>-1.1652376855911901</v>
      </c>
      <c r="P158" s="63">
        <f t="shared" si="141"/>
        <v>-1.5306462698276944</v>
      </c>
      <c r="Q158" s="63">
        <f t="shared" si="153"/>
        <v>2.4693537301723056</v>
      </c>
      <c r="R158" s="62"/>
      <c r="S158" s="63">
        <v>1.7412985464599897</v>
      </c>
      <c r="T158" s="60" t="e">
        <f>'Information Technology'!AA3666</f>
        <v>#DIV/0!</v>
      </c>
      <c r="U158" s="63" t="e">
        <v>#DIV/0!</v>
      </c>
      <c r="V158" s="63" t="e">
        <f t="shared" si="142"/>
        <v>#DIV/0!</v>
      </c>
      <c r="X158" s="63"/>
      <c r="Z158" s="63">
        <v>1</v>
      </c>
      <c r="AA158" s="60" t="e">
        <f>'Information Technology'!AA3667</f>
        <v>#DIV/0!</v>
      </c>
      <c r="AB158" s="63">
        <v>0.11325814520371713</v>
      </c>
      <c r="AC158" s="60" t="e">
        <f>-(AB158-$AB$260)/$AB$261</f>
        <v>#DIV/0!</v>
      </c>
      <c r="AD158" s="60" t="e">
        <f>AC158-$AC$160</f>
        <v>#DIV/0!</v>
      </c>
      <c r="AE158" s="60" t="e">
        <f>AD158+5-$AD$254</f>
        <v>#DIV/0!</v>
      </c>
      <c r="AF158" s="60">
        <v>3.0510759473307489</v>
      </c>
      <c r="AG158" s="60">
        <v>3.0510759473307489</v>
      </c>
      <c r="AH158" s="60" t="e">
        <f>'Information Technology'!AA3668</f>
        <v>#DIV/0!</v>
      </c>
      <c r="AI158" s="63">
        <v>-0.17794977557690406</v>
      </c>
      <c r="AJ158" s="60"/>
      <c r="AL158" s="60"/>
      <c r="AM158" s="60"/>
      <c r="AN158" s="60">
        <v>1</v>
      </c>
      <c r="AO158" s="60" t="e">
        <f>'Information Technology'!AA3669</f>
        <v>#DIV/0!</v>
      </c>
      <c r="AP158" s="60">
        <v>5.6965062708367729E-2</v>
      </c>
      <c r="AQ158" s="60" t="e">
        <f t="shared" si="169"/>
        <v>#DIV/0!</v>
      </c>
      <c r="AR158" s="60" t="e">
        <f t="shared" si="170"/>
        <v>#DIV/0!</v>
      </c>
      <c r="AS158" s="60" t="e">
        <f t="shared" si="171"/>
        <v>#DIV/0!</v>
      </c>
      <c r="AT158" s="60">
        <v>2.0947447694703358</v>
      </c>
      <c r="AU158" s="60">
        <v>2.0947447694703358</v>
      </c>
      <c r="AV158" s="60" t="e">
        <f>'Information Technology'!AA3670</f>
        <v>#DIV/0!</v>
      </c>
      <c r="AW158" s="60" t="b">
        <v>0</v>
      </c>
      <c r="AX158" s="60"/>
      <c r="AY158" s="60"/>
      <c r="AZ158" s="60"/>
      <c r="BA158" s="60"/>
      <c r="BB158" s="60">
        <v>1</v>
      </c>
      <c r="BC158" s="60" t="e">
        <f>'Information Technology'!AA3671</f>
        <v>#DIV/0!</v>
      </c>
      <c r="BD158" s="60">
        <v>1.8374173079430192</v>
      </c>
      <c r="BE158" s="60">
        <v>1</v>
      </c>
      <c r="BF158" s="60" t="e">
        <f>'Information Technology'!AA3672</f>
        <v>#DIV/0!</v>
      </c>
      <c r="BG158" s="63">
        <v>0.471995405321673</v>
      </c>
      <c r="BH158" s="63" t="e">
        <f>-(BG158-$BG$260)/$BG$261</f>
        <v>#DIV/0!</v>
      </c>
      <c r="BI158" s="63" t="e">
        <f>BH158-$BH$181</f>
        <v>#DIV/0!</v>
      </c>
      <c r="BJ158" s="63" t="e">
        <f>BI158+5-$BI$259</f>
        <v>#DIV/0!</v>
      </c>
      <c r="BK158" s="63">
        <v>3.3762896555673718</v>
      </c>
      <c r="BL158" s="63">
        <v>3.3762896555673718</v>
      </c>
      <c r="BM158" s="63">
        <f t="shared" si="152"/>
        <v>1.8631290233474127</v>
      </c>
    </row>
    <row r="159" spans="1:65">
      <c r="A159" s="56" t="s">
        <v>406</v>
      </c>
      <c r="B159" s="56" t="s">
        <v>407</v>
      </c>
      <c r="C159" s="57">
        <v>3200.5</v>
      </c>
      <c r="D159" s="58" t="s">
        <v>172</v>
      </c>
      <c r="E159" s="69" t="str" cm="1">
        <f t="array" ref="E159">_xll.ciqfunctions.udf.CIQ(B159,"iq_industry")</f>
        <v>Electronic Equipment, Instruments and Components</v>
      </c>
      <c r="F159" s="60" t="e">
        <f>'Information Technology'!AA2494</f>
        <v>#DIV/0!</v>
      </c>
      <c r="G159" s="62" t="e">
        <v>#DIV/0!</v>
      </c>
      <c r="K159" s="62">
        <v>1</v>
      </c>
      <c r="L159" s="108">
        <v>1</v>
      </c>
      <c r="M159" s="60">
        <f>'Information Technology'!AA2495</f>
        <v>1.2370831452</v>
      </c>
      <c r="N159" s="63">
        <v>3.0034216584000006</v>
      </c>
      <c r="O159" s="63">
        <f t="shared" ref="O159:O190" si="172">(N159-$N$260)/$N$261</f>
        <v>0.39688296115812155</v>
      </c>
      <c r="P159" s="63">
        <f t="shared" ref="P159:P190" si="173">O159-$O$259</f>
        <v>3.1474376921617198E-2</v>
      </c>
      <c r="Q159" s="63">
        <f t="shared" si="153"/>
        <v>4.0314743769216168</v>
      </c>
      <c r="R159" s="62"/>
      <c r="S159" s="63">
        <v>3.3034191932092982</v>
      </c>
      <c r="T159" s="60" t="e">
        <f>'Information Technology'!AA2496</f>
        <v>#DIV/0!</v>
      </c>
      <c r="U159" s="63" t="e">
        <v>#DIV/0!</v>
      </c>
      <c r="V159" s="63" t="e">
        <f t="shared" ref="V159:V190" si="174">-(U159-$U$263)/$U$264</f>
        <v>#DIV/0!</v>
      </c>
      <c r="X159" s="63"/>
      <c r="Z159" s="63">
        <v>1</v>
      </c>
      <c r="AA159" s="60" t="e">
        <f>'Information Technology'!AA2497</f>
        <v>#DIV/0!</v>
      </c>
      <c r="AB159" s="63" t="e">
        <v>#DIV/0!</v>
      </c>
      <c r="AC159" s="60"/>
      <c r="AD159" s="60"/>
      <c r="AE159" s="60"/>
      <c r="AF159" s="60"/>
      <c r="AG159" s="60">
        <v>1</v>
      </c>
      <c r="AH159" s="60" t="e">
        <f>'Information Technology'!AA2498</f>
        <v>#DIV/0!</v>
      </c>
      <c r="AI159" s="63" t="e">
        <v>#DIV/0!</v>
      </c>
      <c r="AJ159" s="60"/>
      <c r="AL159" s="60"/>
      <c r="AM159" s="60"/>
      <c r="AN159" s="60">
        <v>1</v>
      </c>
      <c r="AO159" s="60" t="e">
        <f>'Information Technology'!AA2499</f>
        <v>#DIV/0!</v>
      </c>
      <c r="AP159" s="60" t="e">
        <v>#DIV/0!</v>
      </c>
      <c r="AQ159" s="60"/>
      <c r="AR159" s="60"/>
      <c r="AS159" s="60"/>
      <c r="AT159" s="60"/>
      <c r="AU159" s="60">
        <v>1</v>
      </c>
      <c r="AV159" s="60" t="e">
        <f>'Information Technology'!AA2500</f>
        <v>#DIV/0!</v>
      </c>
      <c r="AW159" s="60" t="e">
        <v>#DIV/0!</v>
      </c>
      <c r="AX159" s="60"/>
      <c r="AY159" s="60"/>
      <c r="AZ159" s="60"/>
      <c r="BA159" s="60"/>
      <c r="BB159" s="60">
        <v>1</v>
      </c>
      <c r="BC159" s="60" t="e">
        <f>'Information Technology'!AA2501</f>
        <v>#DIV/0!</v>
      </c>
      <c r="BD159" s="60" t="e">
        <v>#DIV/0!</v>
      </c>
      <c r="BE159" s="60">
        <v>1</v>
      </c>
      <c r="BF159" s="60" t="e">
        <f>'Information Technology'!AA2502</f>
        <v>#DIV/0!</v>
      </c>
      <c r="BG159" s="63" t="e">
        <v>#DIV/0!</v>
      </c>
      <c r="BI159" s="63"/>
      <c r="BJ159" s="63"/>
      <c r="BL159" s="63">
        <v>1</v>
      </c>
      <c r="BM159" s="63">
        <f t="shared" ref="BM159:BM190" si="175">0.1*(L159)+0.01*(Z159)+0.04*(AG159)+0.13*(AN159)+0.04*(AU159)+0.13*(BB159)+0.3*(BE159)+0.25*(BL159)</f>
        <v>1</v>
      </c>
    </row>
    <row r="160" spans="1:65">
      <c r="A160" s="56" t="s">
        <v>514</v>
      </c>
      <c r="B160" s="56" t="s">
        <v>515</v>
      </c>
      <c r="C160" s="57">
        <v>1555.7</v>
      </c>
      <c r="D160" s="58" t="s">
        <v>172</v>
      </c>
      <c r="E160" s="69" t="str" cm="1">
        <f t="array" ref="E160">_xll.ciqfunctions.udf.CIQ(B160,"iq_industry")</f>
        <v>Electronic Equipment, Instruments and Components</v>
      </c>
      <c r="F160" s="60">
        <f>'Information Technology'!AA3304</f>
        <v>118.96563316738869</v>
      </c>
      <c r="G160" s="62" t="e">
        <v>#DIV/0!</v>
      </c>
      <c r="K160" s="62">
        <v>1</v>
      </c>
      <c r="L160" s="108">
        <v>1</v>
      </c>
      <c r="M160" s="60">
        <f>'Information Technology'!AA3305</f>
        <v>1.5363307897</v>
      </c>
      <c r="N160" s="63">
        <v>1.4380163435519999</v>
      </c>
      <c r="O160" s="63">
        <f t="shared" si="172"/>
        <v>-0.85199490055332483</v>
      </c>
      <c r="P160" s="63">
        <f t="shared" si="173"/>
        <v>-1.2174034847898292</v>
      </c>
      <c r="Q160" s="63">
        <f t="shared" si="153"/>
        <v>2.7825965152101708</v>
      </c>
      <c r="R160" s="62"/>
      <c r="S160" s="63">
        <v>2.0545413314978545</v>
      </c>
      <c r="T160" s="60" t="e">
        <f>'Information Technology'!AA3306</f>
        <v>#DIV/0!</v>
      </c>
      <c r="U160" s="63" t="e">
        <v>#DIV/0!</v>
      </c>
      <c r="V160" s="63" t="e">
        <f t="shared" si="174"/>
        <v>#DIV/0!</v>
      </c>
      <c r="X160" s="63"/>
      <c r="Z160" s="63">
        <v>1</v>
      </c>
      <c r="AA160" s="60">
        <f>'Information Technology'!AA3307</f>
        <v>0.85111431097387436</v>
      </c>
      <c r="AB160" s="63" t="e">
        <v>#DIV/0!</v>
      </c>
      <c r="AC160" s="60"/>
      <c r="AD160" s="60"/>
      <c r="AE160" s="60"/>
      <c r="AF160" s="60"/>
      <c r="AG160" s="60">
        <v>1</v>
      </c>
      <c r="AH160" s="60">
        <f>'Information Technology'!AA3308</f>
        <v>-0.11893702565131604</v>
      </c>
      <c r="AI160" s="63" t="e">
        <v>#DIV/0!</v>
      </c>
      <c r="AJ160" s="60"/>
      <c r="AL160" s="60"/>
      <c r="AM160" s="60"/>
      <c r="AN160" s="60">
        <v>1</v>
      </c>
      <c r="AO160" s="60">
        <f>'Information Technology'!AA3309</f>
        <v>0.16603380092300202</v>
      </c>
      <c r="AP160" s="60" t="e">
        <v>#DIV/0!</v>
      </c>
      <c r="AQ160" s="60"/>
      <c r="AR160" s="60"/>
      <c r="AS160" s="60"/>
      <c r="AT160" s="60"/>
      <c r="AU160" s="60">
        <v>1</v>
      </c>
      <c r="AV160" s="60" t="e">
        <f>'Information Technology'!AA3310</f>
        <v>#DIV/0!</v>
      </c>
      <c r="AW160" s="60" t="b">
        <v>0</v>
      </c>
      <c r="AX160" s="60"/>
      <c r="AY160" s="60"/>
      <c r="AZ160" s="60"/>
      <c r="BA160" s="60"/>
      <c r="BB160" s="60">
        <v>1</v>
      </c>
      <c r="BC160" s="60">
        <f>'Information Technology'!AA3311</f>
        <v>0.25946904859748587</v>
      </c>
      <c r="BD160" s="60" t="e">
        <v>#DIV/0!</v>
      </c>
      <c r="BE160" s="60">
        <v>1</v>
      </c>
      <c r="BF160" s="60" t="e">
        <f>'Information Technology'!AA3312</f>
        <v>#DIV/0!</v>
      </c>
      <c r="BG160" s="63" t="e">
        <v>#DIV/0!</v>
      </c>
      <c r="BI160" s="63"/>
      <c r="BJ160" s="63"/>
      <c r="BL160" s="63">
        <v>1</v>
      </c>
      <c r="BM160" s="63">
        <f t="shared" si="175"/>
        <v>1</v>
      </c>
    </row>
    <row r="161" spans="1:65">
      <c r="A161" s="56" t="s">
        <v>476</v>
      </c>
      <c r="B161" s="56" t="s">
        <v>477</v>
      </c>
      <c r="C161" s="57">
        <v>2080.5</v>
      </c>
      <c r="D161" s="58" t="s">
        <v>93</v>
      </c>
      <c r="E161" s="69" t="str" cm="1">
        <f t="array" ref="E161">_xll.ciqfunctions.udf.CIQ(B161,"iq_industry")</f>
        <v>IT Services</v>
      </c>
      <c r="F161" s="60">
        <f>'Information Technology'!AA3019</f>
        <v>6.3209680302444555</v>
      </c>
      <c r="G161" s="62">
        <v>11.839850072730252</v>
      </c>
      <c r="H161" s="62" t="e">
        <f>-(G161-$G$260)/$G$261</f>
        <v>#DIV/0!</v>
      </c>
      <c r="I161" s="62" t="e">
        <f>H161-$H$181</f>
        <v>#DIV/0!</v>
      </c>
      <c r="J161" s="62" t="e">
        <f>I161+(5-$I$242)</f>
        <v>#DIV/0!</v>
      </c>
      <c r="K161" s="62">
        <v>1</v>
      </c>
      <c r="L161" s="108">
        <v>4.0075860101248661</v>
      </c>
      <c r="M161" s="60">
        <f>'Information Technology'!AA3020</f>
        <v>2.5740429582000002</v>
      </c>
      <c r="N161" s="63">
        <v>2.0464198220000003</v>
      </c>
      <c r="O161" s="63">
        <f t="shared" si="172"/>
        <v>-0.36661157649343257</v>
      </c>
      <c r="P161" s="63">
        <f t="shared" si="173"/>
        <v>-0.73202016072993692</v>
      </c>
      <c r="Q161" s="63">
        <f t="shared" si="153"/>
        <v>3.2679798392700627</v>
      </c>
      <c r="R161" s="62"/>
      <c r="S161" s="63">
        <v>2.5399246555577459</v>
      </c>
      <c r="T161" s="60">
        <f>'Information Technology'!AA3021</f>
        <v>33.846891408771612</v>
      </c>
      <c r="U161" s="63" t="e">
        <v>#DIV/0!</v>
      </c>
      <c r="V161" s="63" t="e">
        <f t="shared" si="174"/>
        <v>#DIV/0!</v>
      </c>
      <c r="X161" s="63"/>
      <c r="Z161" s="63">
        <v>1</v>
      </c>
      <c r="AA161" s="60">
        <f>'Information Technology'!AA3022</f>
        <v>-4.6528998143819611E-2</v>
      </c>
      <c r="AB161" s="63">
        <v>9.6973974397120966E-3</v>
      </c>
      <c r="AC161" s="60" t="e">
        <f>-(AB161-$AB$260)/$AB$261</f>
        <v>#DIV/0!</v>
      </c>
      <c r="AD161" s="60" t="e">
        <f>AC161-$AC$160</f>
        <v>#DIV/0!</v>
      </c>
      <c r="AE161" s="60" t="e">
        <f>AD161+5-$AD$254</f>
        <v>#DIV/0!</v>
      </c>
      <c r="AF161" s="60">
        <v>4.4155714188954098</v>
      </c>
      <c r="AG161" s="60">
        <v>4.4155714188954098</v>
      </c>
      <c r="AH161" s="60">
        <f>'Information Technology'!AA3023</f>
        <v>0.19377608835111002</v>
      </c>
      <c r="AI161" s="63">
        <v>8.035228988462019E-2</v>
      </c>
      <c r="AJ161" s="60" t="e">
        <f>(AI161-$AI$260)/$AI$261</f>
        <v>#DIV/0!</v>
      </c>
      <c r="AK161" s="63" t="e">
        <f>AJ161-$AJ$203</f>
        <v>#DIV/0!</v>
      </c>
      <c r="AL161" s="60" t="e">
        <f>AK161+5-$AK$155</f>
        <v>#DIV/0!</v>
      </c>
      <c r="AM161" s="60">
        <v>3.3589601271755889</v>
      </c>
      <c r="AN161" s="60">
        <v>3.3589601271755889</v>
      </c>
      <c r="AO161" s="60">
        <f>'Information Technology'!AA3024</f>
        <v>2.2500292504903131E-2</v>
      </c>
      <c r="AP161" s="60">
        <v>0.3306564151005601</v>
      </c>
      <c r="AQ161" s="60"/>
      <c r="AR161" s="60"/>
      <c r="AS161" s="60"/>
      <c r="AT161" s="60">
        <v>4.9527636144837004</v>
      </c>
      <c r="AU161" s="60">
        <v>4.9527636144837004</v>
      </c>
      <c r="AV161" s="60">
        <f>'Information Technology'!AA3025</f>
        <v>-1.2096495422016454E-2</v>
      </c>
      <c r="AW161" s="60">
        <v>-2.2891752202345412E-3</v>
      </c>
      <c r="AX161" s="60" t="e">
        <f>(AW161-$AW$260)/$AW$261</f>
        <v>#DIV/0!</v>
      </c>
      <c r="AY161" s="60" t="e">
        <f>AX161-$AX$253</f>
        <v>#DIV/0!</v>
      </c>
      <c r="AZ161" s="60" t="e">
        <f>AY161+5-$AY$205</f>
        <v>#DIV/0!</v>
      </c>
      <c r="BA161" s="60">
        <v>1.7222320448479316</v>
      </c>
      <c r="BB161" s="60">
        <v>1.7222320448479316</v>
      </c>
      <c r="BC161" s="60">
        <f>'Information Technology'!AA3026</f>
        <v>0.15198042493837474</v>
      </c>
      <c r="BD161" s="60">
        <v>0.21003806805711189</v>
      </c>
      <c r="BE161" s="60">
        <v>5</v>
      </c>
      <c r="BF161" s="60">
        <f>'Information Technology'!AA3027</f>
        <v>1.7458238867468567</v>
      </c>
      <c r="BG161" s="63">
        <v>0.17676365817848316</v>
      </c>
      <c r="BH161" s="63" t="e">
        <f>-(BG161-$BG$260)/$BG$261</f>
        <v>#DIV/0!</v>
      </c>
      <c r="BI161" s="63" t="e">
        <f>BH161-$BH$181</f>
        <v>#DIV/0!</v>
      </c>
      <c r="BJ161" s="63" t="e">
        <f>BI161+5-$BI$259</f>
        <v>#DIV/0!</v>
      </c>
      <c r="BK161" s="63">
        <v>4.4193658978735604</v>
      </c>
      <c r="BL161" s="63">
        <v>4.4193658978735604</v>
      </c>
      <c r="BM161" s="63">
        <f t="shared" si="175"/>
        <v>4.0508884591790988</v>
      </c>
    </row>
    <row r="162" spans="1:65">
      <c r="A162" s="56" t="s">
        <v>358</v>
      </c>
      <c r="B162" s="56" t="s">
        <v>359</v>
      </c>
      <c r="C162" s="57">
        <v>4165</v>
      </c>
      <c r="D162" s="58" t="s">
        <v>93</v>
      </c>
      <c r="E162" s="69" t="str" cm="1">
        <f t="array" ref="E162">_xll.ciqfunctions.udf.CIQ(B162,"iq_industry")</f>
        <v>IT Services</v>
      </c>
      <c r="F162" s="60">
        <f>'Information Technology'!AA2134</f>
        <v>54.49288861629271</v>
      </c>
      <c r="G162" s="62">
        <v>32.549868000604029</v>
      </c>
      <c r="H162" s="62" t="e">
        <f>-(G162-$G$260)/$G$261</f>
        <v>#DIV/0!</v>
      </c>
      <c r="I162" s="62" t="e">
        <f>H162-$H$181</f>
        <v>#DIV/0!</v>
      </c>
      <c r="J162" s="62" t="e">
        <f>I162+(5-$I$242)</f>
        <v>#DIV/0!</v>
      </c>
      <c r="K162" s="62">
        <v>1</v>
      </c>
      <c r="L162" s="108">
        <v>1.7008522187782105</v>
      </c>
      <c r="M162" s="60">
        <f>'Information Technology'!AA2135</f>
        <v>2.4685133189600004</v>
      </c>
      <c r="N162" s="63">
        <v>4.5856469460000007</v>
      </c>
      <c r="O162" s="63">
        <f t="shared" si="172"/>
        <v>1.6591797702854973</v>
      </c>
      <c r="P162" s="63">
        <f t="shared" si="173"/>
        <v>1.2937711860489931</v>
      </c>
      <c r="Q162" s="63">
        <f t="shared" si="153"/>
        <v>5.2937711860489927</v>
      </c>
      <c r="R162" s="62"/>
      <c r="S162" s="63">
        <v>4.5657160023366705</v>
      </c>
      <c r="T162" s="60" t="e">
        <f>'Information Technology'!AA2136</f>
        <v>#DIV/0!</v>
      </c>
      <c r="U162" s="63" t="e">
        <v>#DIV/0!</v>
      </c>
      <c r="V162" s="63" t="e">
        <f t="shared" si="174"/>
        <v>#DIV/0!</v>
      </c>
      <c r="X162" s="63"/>
      <c r="Z162" s="63">
        <v>1</v>
      </c>
      <c r="AA162" s="60">
        <f>'Information Technology'!AA2137</f>
        <v>1.9235453751087483E-3</v>
      </c>
      <c r="AB162" s="63">
        <v>-5.2445267297171805E-2</v>
      </c>
      <c r="AD162" s="60"/>
      <c r="AE162" s="60"/>
      <c r="AF162" s="60">
        <v>4.9800000000000004</v>
      </c>
      <c r="AG162" s="60">
        <v>4.9800000000000004</v>
      </c>
      <c r="AH162" s="60">
        <f>'Information Technology'!AA2138</f>
        <v>9.3488871294857598E-2</v>
      </c>
      <c r="AI162" s="63">
        <v>-4.518293726182071E-2</v>
      </c>
      <c r="AJ162" s="60"/>
      <c r="AL162" s="60"/>
      <c r="AM162" s="60"/>
      <c r="AN162" s="60">
        <v>1</v>
      </c>
      <c r="AO162" s="60">
        <f>'Information Technology'!AA2139</f>
        <v>8.7765658217400806E-3</v>
      </c>
      <c r="AP162" s="60">
        <v>1.037946393134468E-3</v>
      </c>
      <c r="AQ162" s="60" t="e">
        <f>(AP162-$AP$260)/$AP$261</f>
        <v>#DIV/0!</v>
      </c>
      <c r="AR162" s="60" t="e">
        <f>AQ162-$AQ$245</f>
        <v>#DIV/0!</v>
      </c>
      <c r="AS162" s="60" t="e">
        <f>(5-$AR$162)+AR162</f>
        <v>#DIV/0!</v>
      </c>
      <c r="AT162" s="60">
        <v>1.2632871665774128</v>
      </c>
      <c r="AU162" s="60">
        <v>1.2632871665774128</v>
      </c>
      <c r="AV162" s="60">
        <f>'Information Technology'!AA2140</f>
        <v>-0.10818620137927212</v>
      </c>
      <c r="AW162" s="60">
        <v>3.7730191788431519E-3</v>
      </c>
      <c r="AX162" s="60" t="e">
        <f>(AW162-$AW$260)/$AW$261</f>
        <v>#DIV/0!</v>
      </c>
      <c r="AY162" s="60" t="e">
        <f>AX162-$AX$253</f>
        <v>#DIV/0!</v>
      </c>
      <c r="AZ162" s="60" t="e">
        <f>AY162+5-$AY$205</f>
        <v>#DIV/0!</v>
      </c>
      <c r="BA162" s="60">
        <v>2.1296545632329114</v>
      </c>
      <c r="BB162" s="60">
        <v>2.1296545632329114</v>
      </c>
      <c r="BC162" s="60">
        <f>'Information Technology'!AA2141</f>
        <v>-0.50392951653825679</v>
      </c>
      <c r="BD162" s="60">
        <v>-6.1937845967334653</v>
      </c>
      <c r="BE162" s="60">
        <v>5</v>
      </c>
      <c r="BF162" s="60">
        <f>'Information Technology'!AA2142</f>
        <v>0.23135062951604224</v>
      </c>
      <c r="BG162" s="63">
        <v>1.2421289453162334E-2</v>
      </c>
      <c r="BH162" s="63" t="e">
        <f>-(BG162-$BG$260)/$BG$261</f>
        <v>#DIV/0!</v>
      </c>
      <c r="BI162" s="63" t="e">
        <f>BH162-$BH$181</f>
        <v>#DIV/0!</v>
      </c>
      <c r="BJ162" s="63" t="e">
        <f>BI162+5-$BI$259</f>
        <v>#DIV/0!</v>
      </c>
      <c r="BK162" s="63">
        <v>4.9999999999999991</v>
      </c>
      <c r="BL162" s="63">
        <v>4.9999999999999991</v>
      </c>
      <c r="BM162" s="63">
        <f t="shared" si="175"/>
        <v>3.586671801761196</v>
      </c>
    </row>
    <row r="163" spans="1:65">
      <c r="A163" s="56" t="s">
        <v>582</v>
      </c>
      <c r="B163" s="56" t="s">
        <v>583</v>
      </c>
      <c r="C163" s="57">
        <v>899.5</v>
      </c>
      <c r="D163" s="58" t="s">
        <v>93</v>
      </c>
      <c r="E163" s="69" t="str" cm="1">
        <f t="array" ref="E163">_xll.ciqfunctions.udf.CIQ(B163,"iq_industry")</f>
        <v>IT Services</v>
      </c>
      <c r="F163" s="60">
        <f>'Information Technology'!AA3814</f>
        <v>7.1649021807875286</v>
      </c>
      <c r="G163" s="62">
        <v>56.018595169548405</v>
      </c>
      <c r="K163" s="62">
        <v>1</v>
      </c>
      <c r="L163" s="109">
        <v>1.25</v>
      </c>
      <c r="M163" s="60">
        <f>'Information Technology'!AA3815</f>
        <v>1.68872844</v>
      </c>
      <c r="N163" s="63">
        <v>0.89047683900000008</v>
      </c>
      <c r="O163" s="63">
        <f t="shared" si="172"/>
        <v>-1.2888210433812883</v>
      </c>
      <c r="P163" s="63">
        <f t="shared" si="173"/>
        <v>-1.6542296276177928</v>
      </c>
      <c r="Q163" s="63">
        <f t="shared" si="153"/>
        <v>2.3457703723822072</v>
      </c>
      <c r="R163" s="62"/>
      <c r="S163" s="63">
        <v>1.6177151886698917</v>
      </c>
      <c r="T163" s="60">
        <f>'Information Technology'!AA3816</f>
        <v>5.004407854694823</v>
      </c>
      <c r="U163" s="63" t="e">
        <v>#DIV/0!</v>
      </c>
      <c r="V163" s="63" t="e">
        <f t="shared" si="174"/>
        <v>#DIV/0!</v>
      </c>
      <c r="X163" s="63"/>
      <c r="Z163" s="63">
        <v>1</v>
      </c>
      <c r="AA163" s="60">
        <f>'Information Technology'!AA3817</f>
        <v>-0.11758597618918643</v>
      </c>
      <c r="AB163" s="63">
        <v>0.4439919798408305</v>
      </c>
      <c r="AC163" s="60"/>
      <c r="AD163" s="60"/>
      <c r="AE163" s="60"/>
      <c r="AF163" s="60">
        <v>1.35</v>
      </c>
      <c r="AG163" s="60">
        <v>1.35</v>
      </c>
      <c r="AH163" s="60">
        <f>'Information Technology'!AA3818</f>
        <v>4.1556059193580044E-3</v>
      </c>
      <c r="AI163" s="63">
        <v>-5.9654512538981838E-3</v>
      </c>
      <c r="AJ163" s="60"/>
      <c r="AL163" s="60"/>
      <c r="AM163" s="60"/>
      <c r="AN163" s="60">
        <v>1</v>
      </c>
      <c r="AO163" s="60">
        <f>'Information Technology'!AA3819</f>
        <v>1.285294987119266E-2</v>
      </c>
      <c r="AP163" s="60">
        <v>0.37012694305960453</v>
      </c>
      <c r="AQ163" s="60"/>
      <c r="AR163" s="60"/>
      <c r="AS163" s="60"/>
      <c r="AT163" s="60">
        <v>4.97</v>
      </c>
      <c r="AU163" s="60">
        <v>4.97</v>
      </c>
      <c r="AV163" s="60">
        <f>'Information Technology'!AA3820</f>
        <v>2.5060330671058939E-4</v>
      </c>
      <c r="AW163" s="60" t="e">
        <v>#DIV/0!</v>
      </c>
      <c r="AX163" s="60"/>
      <c r="AY163" s="60"/>
      <c r="AZ163" s="60"/>
      <c r="BA163" s="60"/>
      <c r="BB163" s="60">
        <v>1</v>
      </c>
      <c r="BC163" s="60">
        <f>'Information Technology'!AA3821</f>
        <v>-1.1637705017117348</v>
      </c>
      <c r="BD163" s="60">
        <v>0</v>
      </c>
      <c r="BE163" s="60">
        <v>5</v>
      </c>
      <c r="BF163" s="60">
        <f>'Information Technology'!AA3822</f>
        <v>4.762188285721683E-2</v>
      </c>
      <c r="BG163" s="63">
        <v>1.1459973533540566</v>
      </c>
      <c r="BH163" s="63" t="e">
        <f>-(BG163-$BG$260)/$BG$261</f>
        <v>#DIV/0!</v>
      </c>
      <c r="BI163" s="63" t="e">
        <f>BH163-$BH$181</f>
        <v>#DIV/0!</v>
      </c>
      <c r="BJ163" s="63" t="e">
        <f>BI163+5-$BI$259</f>
        <v>#DIV/0!</v>
      </c>
      <c r="BK163" s="63">
        <v>1.6</v>
      </c>
      <c r="BL163" s="63">
        <v>1.6</v>
      </c>
      <c r="BM163" s="63">
        <f t="shared" si="175"/>
        <v>2.5478000000000001</v>
      </c>
    </row>
    <row r="164" spans="1:65">
      <c r="A164" s="56" t="s">
        <v>386</v>
      </c>
      <c r="B164" s="56" t="s">
        <v>387</v>
      </c>
      <c r="C164" s="57">
        <v>3561.6</v>
      </c>
      <c r="D164" s="58" t="s">
        <v>93</v>
      </c>
      <c r="E164" s="69" t="str" cm="1">
        <f t="array" ref="E164">_xll.ciqfunctions.udf.CIQ(B164,"iq_industry")</f>
        <v>IT Services</v>
      </c>
      <c r="F164" s="60">
        <f>'Information Technology'!AA2344</f>
        <v>25.144528764992895</v>
      </c>
      <c r="G164" s="62">
        <v>6.6699963537232616</v>
      </c>
      <c r="H164" s="62" t="e">
        <f>-(G164-$G$260)/$G$261</f>
        <v>#DIV/0!</v>
      </c>
      <c r="I164" s="62" t="e">
        <f>H164-$H$181</f>
        <v>#DIV/0!</v>
      </c>
      <c r="J164" s="62" t="e">
        <f>I164+(5-$I$242)</f>
        <v>#DIV/0!</v>
      </c>
      <c r="K164" s="62">
        <v>1</v>
      </c>
      <c r="L164" s="108">
        <v>4.583417296774889</v>
      </c>
      <c r="M164" s="60">
        <f>'Information Technology'!AA2345</f>
        <v>1.0767242162499999</v>
      </c>
      <c r="N164" s="63">
        <v>3.5627050695499998</v>
      </c>
      <c r="O164" s="63">
        <f t="shared" si="172"/>
        <v>0.84307837392603846</v>
      </c>
      <c r="P164" s="63">
        <f t="shared" si="173"/>
        <v>0.47766978968953411</v>
      </c>
      <c r="Q164" s="63">
        <f t="shared" si="153"/>
        <v>4.4776697896895339</v>
      </c>
      <c r="R164" s="62"/>
      <c r="S164" s="63">
        <v>3.7496146059772135</v>
      </c>
      <c r="T164" s="60" t="e">
        <f>'Information Technology'!AA2346</f>
        <v>#DIV/0!</v>
      </c>
      <c r="U164" s="63" t="e">
        <v>#DIV/0!</v>
      </c>
      <c r="V164" s="63" t="e">
        <f t="shared" si="174"/>
        <v>#DIV/0!</v>
      </c>
      <c r="W164" s="63"/>
      <c r="X164" s="63"/>
      <c r="Z164" s="63">
        <v>1</v>
      </c>
      <c r="AA164" s="60">
        <f>'Information Technology'!AA2347</f>
        <v>0.11789539037548158</v>
      </c>
      <c r="AB164" s="63">
        <v>4.2406063528881432E-3</v>
      </c>
      <c r="AC164" s="60" t="e">
        <f>-(AB164-$AB$260)/$AB$261</f>
        <v>#DIV/0!</v>
      </c>
      <c r="AD164" s="60" t="e">
        <f>AC164-$AC$160</f>
        <v>#DIV/0!</v>
      </c>
      <c r="AE164" s="60" t="e">
        <f>AD164+5-$AD$254</f>
        <v>#DIV/0!</v>
      </c>
      <c r="AF164" s="60">
        <v>4.4874689948400457</v>
      </c>
      <c r="AG164" s="60">
        <v>4.4874689948400457</v>
      </c>
      <c r="AH164" s="60">
        <f>'Information Technology'!AA2348</f>
        <v>-0.17433030941795036</v>
      </c>
      <c r="AI164" s="63">
        <v>-9.0112489896664066E-2</v>
      </c>
      <c r="AJ164" s="60"/>
      <c r="AL164" s="60"/>
      <c r="AM164" s="60"/>
      <c r="AN164" s="60">
        <v>1</v>
      </c>
      <c r="AO164" s="60">
        <f>'Information Technology'!AA2349</f>
        <v>5.7094700631889019E-2</v>
      </c>
      <c r="AP164" s="60">
        <v>1.0895926186057692E-2</v>
      </c>
      <c r="AQ164" s="60" t="e">
        <f>(AP164-$AP$260)/$AP$261</f>
        <v>#DIV/0!</v>
      </c>
      <c r="AR164" s="60" t="e">
        <f>AQ164-$AQ$245</f>
        <v>#DIV/0!</v>
      </c>
      <c r="AS164" s="60" t="e">
        <f>(5-$AR$162)+AR164</f>
        <v>#DIV/0!</v>
      </c>
      <c r="AT164" s="60">
        <v>1.4098438422656652</v>
      </c>
      <c r="AU164" s="60">
        <v>1.4098438422656652</v>
      </c>
      <c r="AV164" s="60" t="b">
        <f>'Information Technology'!AA2350</f>
        <v>0</v>
      </c>
      <c r="AW164" s="60" t="e">
        <v>#DIV/0!</v>
      </c>
      <c r="AX164" s="60"/>
      <c r="AY164" s="60"/>
      <c r="AZ164" s="60"/>
      <c r="BA164" s="60"/>
      <c r="BB164" s="60">
        <v>1</v>
      </c>
      <c r="BC164" s="60">
        <f>'Information Technology'!AA2351</f>
        <v>1.8725261748085178</v>
      </c>
      <c r="BD164" s="60">
        <v>1.5680106293826286</v>
      </c>
      <c r="BE164" s="60">
        <v>1</v>
      </c>
      <c r="BF164" s="60">
        <f>'Information Technology'!AA2352</f>
        <v>0.48070908833252241</v>
      </c>
      <c r="BG164" s="63" t="e">
        <v>#DIV/0!</v>
      </c>
      <c r="BI164" s="63"/>
      <c r="BJ164" s="63"/>
      <c r="BL164" s="63">
        <v>1</v>
      </c>
      <c r="BM164" s="63">
        <f t="shared" si="175"/>
        <v>1.5142342431617173</v>
      </c>
    </row>
    <row r="165" spans="1:65">
      <c r="A165" s="56" t="s">
        <v>468</v>
      </c>
      <c r="B165" s="56" t="s">
        <v>469</v>
      </c>
      <c r="C165" s="57">
        <v>2151.9</v>
      </c>
      <c r="D165" s="58" t="s">
        <v>130</v>
      </c>
      <c r="E165" s="69" t="str" cm="1">
        <f t="array" ref="E165">_xll.ciqfunctions.udf.CIQ(B165,"iq_industry")</f>
        <v>IT Services</v>
      </c>
      <c r="F165" s="60">
        <f>'Information Technology'!AA2959</f>
        <v>15.653454834999788</v>
      </c>
      <c r="G165" s="62">
        <v>8.9013091026801572</v>
      </c>
      <c r="H165" s="62" t="e">
        <f>-(G165-$G$260)/$G$261</f>
        <v>#DIV/0!</v>
      </c>
      <c r="I165" s="62" t="e">
        <f>H165-$H$181</f>
        <v>#DIV/0!</v>
      </c>
      <c r="J165" s="62" t="e">
        <f>I165+(5-$I$242)</f>
        <v>#DIV/0!</v>
      </c>
      <c r="K165" s="62">
        <v>1</v>
      </c>
      <c r="L165" s="108">
        <v>4.3348880808656158</v>
      </c>
      <c r="M165" s="60">
        <f>'Information Technology'!AA2960</f>
        <v>3.9742555868999996</v>
      </c>
      <c r="N165" s="63">
        <v>2.1252384192</v>
      </c>
      <c r="O165" s="63">
        <f t="shared" si="172"/>
        <v>-0.30373022544615486</v>
      </c>
      <c r="P165" s="63">
        <f t="shared" si="173"/>
        <v>-0.66913880968265915</v>
      </c>
      <c r="Q165" s="63">
        <f t="shared" si="153"/>
        <v>3.3308611903173411</v>
      </c>
      <c r="R165" s="62"/>
      <c r="S165" s="63">
        <v>2.6028060066050234</v>
      </c>
      <c r="T165" s="60" t="e">
        <f>'Information Technology'!AA2961</f>
        <v>#DIV/0!</v>
      </c>
      <c r="U165" s="63" t="e">
        <v>#DIV/0!</v>
      </c>
      <c r="V165" s="63" t="e">
        <f t="shared" si="174"/>
        <v>#DIV/0!</v>
      </c>
      <c r="X165" s="63"/>
      <c r="Z165" s="63">
        <v>1</v>
      </c>
      <c r="AA165" s="60">
        <f>'Information Technology'!AA2962</f>
        <v>2.1086263791060933E-2</v>
      </c>
      <c r="AB165" s="63">
        <v>0.2120139830553216</v>
      </c>
      <c r="AC165" s="60" t="e">
        <f>-(AB165-$AB$260)/$AB$261</f>
        <v>#DIV/0!</v>
      </c>
      <c r="AD165" s="60" t="e">
        <f>AC165-$AC$160</f>
        <v>#DIV/0!</v>
      </c>
      <c r="AE165" s="60" t="e">
        <f>AD165+5-$AD$254</f>
        <v>#DIV/0!</v>
      </c>
      <c r="AF165" s="60">
        <v>1.7498889971731293</v>
      </c>
      <c r="AG165" s="60">
        <v>1.7498889971731293</v>
      </c>
      <c r="AH165" s="60">
        <f>'Information Technology'!AA2963</f>
        <v>9.0214044423206255E-4</v>
      </c>
      <c r="AI165" s="63">
        <v>-0.10375441434203934</v>
      </c>
      <c r="AJ165" s="60"/>
      <c r="AL165" s="60"/>
      <c r="AM165" s="60"/>
      <c r="AN165" s="60">
        <v>1</v>
      </c>
      <c r="AO165" s="60">
        <f>'Information Technology'!AA2964</f>
        <v>7.7421339285172822E-2</v>
      </c>
      <c r="AP165" s="60">
        <v>4.8694451064483127E-2</v>
      </c>
      <c r="AQ165" s="60" t="e">
        <f>(AP165-$AP$260)/$AP$261</f>
        <v>#DIV/0!</v>
      </c>
      <c r="AR165" s="60" t="e">
        <f>AQ165-$AQ$245</f>
        <v>#DIV/0!</v>
      </c>
      <c r="AS165" s="60" t="e">
        <f>(5-$AR$162)+AR165</f>
        <v>#DIV/0!</v>
      </c>
      <c r="AT165" s="60">
        <v>1.9717871885158258</v>
      </c>
      <c r="AU165" s="60">
        <v>1.9717871885158258</v>
      </c>
      <c r="AV165" s="60">
        <f>'Information Technology'!AA2965</f>
        <v>4.0521769318644738E-3</v>
      </c>
      <c r="AW165" s="60" t="e">
        <v>#DIV/0!</v>
      </c>
      <c r="AX165" s="60"/>
      <c r="AY165" s="60"/>
      <c r="AZ165" s="60"/>
      <c r="BA165" s="60"/>
      <c r="BB165" s="60">
        <v>1</v>
      </c>
      <c r="BC165" s="60">
        <f>'Information Technology'!AA2966</f>
        <v>0.18483897418800851</v>
      </c>
      <c r="BD165" s="60">
        <v>0.9127711223787176</v>
      </c>
      <c r="BE165" s="60">
        <v>1.3</v>
      </c>
      <c r="BF165" s="60">
        <f>'Information Technology'!AA2967</f>
        <v>0.20810145099229013</v>
      </c>
      <c r="BG165" s="63" t="e">
        <v>#DIV/0!</v>
      </c>
      <c r="BI165" s="63"/>
      <c r="BJ165" s="63"/>
      <c r="BL165" s="63">
        <v>1</v>
      </c>
      <c r="BM165" s="63">
        <f t="shared" si="175"/>
        <v>1.4923558555141199</v>
      </c>
    </row>
    <row r="166" spans="1:65">
      <c r="A166" s="56" t="s">
        <v>458</v>
      </c>
      <c r="B166" s="56" t="s">
        <v>459</v>
      </c>
      <c r="C166" s="57">
        <v>2390.1999999999998</v>
      </c>
      <c r="D166" s="58" t="s">
        <v>130</v>
      </c>
      <c r="E166" s="69" t="str" cm="1">
        <f t="array" ref="E166">_xll.ciqfunctions.udf.CIQ(B166,"iq_industry")</f>
        <v>IT Services</v>
      </c>
      <c r="F166" s="60">
        <f>'Information Technology'!AA2884</f>
        <v>17.761143581733595</v>
      </c>
      <c r="G166" s="62">
        <v>227.62429846340447</v>
      </c>
      <c r="K166" s="62">
        <v>1</v>
      </c>
      <c r="L166" s="109">
        <v>1</v>
      </c>
      <c r="M166" s="60">
        <f>'Information Technology'!AA2885</f>
        <v>1.0486857501500002</v>
      </c>
      <c r="N166" s="63">
        <v>2.0155199999999995</v>
      </c>
      <c r="O166" s="63">
        <f t="shared" si="172"/>
        <v>-0.39126340516719194</v>
      </c>
      <c r="P166" s="63">
        <f t="shared" si="173"/>
        <v>-0.75667198940369629</v>
      </c>
      <c r="Q166" s="63">
        <f t="shared" si="153"/>
        <v>3.2433280105963034</v>
      </c>
      <c r="R166" s="62"/>
      <c r="S166" s="63">
        <v>2.5152728268839866</v>
      </c>
      <c r="T166" s="60">
        <f>'Information Technology'!AA2886</f>
        <v>2.5984179634882874</v>
      </c>
      <c r="U166" s="63" t="e">
        <v>#DIV/0!</v>
      </c>
      <c r="V166" s="63" t="e">
        <f t="shared" si="174"/>
        <v>#DIV/0!</v>
      </c>
      <c r="X166" s="63"/>
      <c r="Z166" s="63">
        <v>1</v>
      </c>
      <c r="AA166" s="60">
        <f>'Information Technology'!AA2887</f>
        <v>0.17110510757359121</v>
      </c>
      <c r="AB166" s="63">
        <v>0.39591834419582894</v>
      </c>
      <c r="AC166" s="60"/>
      <c r="AD166" s="60"/>
      <c r="AE166" s="60"/>
      <c r="AF166" s="60">
        <v>1.37</v>
      </c>
      <c r="AG166" s="60">
        <v>1.37</v>
      </c>
      <c r="AH166" s="60">
        <f>'Information Technology'!AA2888</f>
        <v>0.15410052922425072</v>
      </c>
      <c r="AI166" s="63">
        <v>-0.37728334317049661</v>
      </c>
      <c r="AJ166" s="60"/>
      <c r="AL166" s="60"/>
      <c r="AM166" s="60"/>
      <c r="AN166" s="60">
        <v>1</v>
      </c>
      <c r="AO166" s="60">
        <f>'Information Technology'!AA2889</f>
        <v>0.3810519644352629</v>
      </c>
      <c r="AP166" s="60">
        <v>4.9458349799670741E-3</v>
      </c>
      <c r="AQ166" s="60" t="e">
        <f>(AP166-$AP$260)/$AP$261</f>
        <v>#DIV/0!</v>
      </c>
      <c r="AR166" s="60" t="e">
        <f>AQ166-$AQ$245</f>
        <v>#DIV/0!</v>
      </c>
      <c r="AS166" s="60" t="e">
        <f>(5-$AR$162)+AR166</f>
        <v>#DIV/0!</v>
      </c>
      <c r="AT166" s="60">
        <v>1.3213849890802947</v>
      </c>
      <c r="AU166" s="60">
        <v>1.3213849890802947</v>
      </c>
      <c r="AV166" s="60" t="b">
        <f>'Information Technology'!AA2890</f>
        <v>0</v>
      </c>
      <c r="AW166" s="60" t="e">
        <v>#DIV/0!</v>
      </c>
      <c r="AX166" s="60"/>
      <c r="AY166" s="60"/>
      <c r="AZ166" s="60"/>
      <c r="BA166" s="60"/>
      <c r="BB166" s="60">
        <v>1</v>
      </c>
      <c r="BC166" s="60">
        <f>'Information Technology'!AA2891</f>
        <v>-1.8433269039277311</v>
      </c>
      <c r="BD166" s="60">
        <v>7.729221803317988</v>
      </c>
      <c r="BE166" s="60">
        <v>1</v>
      </c>
      <c r="BF166" s="60">
        <f>'Information Technology'!AA2892</f>
        <v>0.30305611111864272</v>
      </c>
      <c r="BG166" s="63">
        <v>1.456074746359707</v>
      </c>
      <c r="BI166" s="63"/>
      <c r="BJ166" s="63"/>
      <c r="BK166" s="63">
        <v>1.4</v>
      </c>
      <c r="BL166" s="63">
        <v>1.4</v>
      </c>
      <c r="BM166" s="63">
        <f t="shared" si="175"/>
        <v>1.1276553995632117</v>
      </c>
    </row>
    <row r="167" spans="1:65">
      <c r="A167" s="56" t="s">
        <v>366</v>
      </c>
      <c r="B167" s="56" t="s">
        <v>367</v>
      </c>
      <c r="C167" s="57">
        <v>3896.8</v>
      </c>
      <c r="D167" s="58" t="s">
        <v>130</v>
      </c>
      <c r="E167" s="69" t="str" cm="1">
        <f t="array" ref="E167">_xll.ciqfunctions.udf.CIQ(B167,"iq_industry")</f>
        <v>IT Services</v>
      </c>
      <c r="F167" s="60">
        <f>'Information Technology'!AA2194</f>
        <v>72.879293661296501</v>
      </c>
      <c r="G167" s="62" t="e">
        <v>#DIV/0!</v>
      </c>
      <c r="K167" s="62">
        <v>1</v>
      </c>
      <c r="L167" s="108">
        <v>1</v>
      </c>
      <c r="M167" s="60">
        <f>'Information Technology'!AA2195</f>
        <v>3.0211748557</v>
      </c>
      <c r="N167" s="63">
        <v>4.0675743818820003</v>
      </c>
      <c r="O167" s="63">
        <f t="shared" si="172"/>
        <v>1.2458623055048961</v>
      </c>
      <c r="P167" s="63">
        <f t="shared" si="173"/>
        <v>0.88045372126839172</v>
      </c>
      <c r="Q167" s="63">
        <f t="shared" ref="Q167:Q198" si="176">P167+5-$P$71</f>
        <v>4.8804537212683918</v>
      </c>
      <c r="R167" s="62"/>
      <c r="S167" s="63">
        <v>4.1523985375560706</v>
      </c>
      <c r="T167" s="60" t="e">
        <f>'Information Technology'!AA2196</f>
        <v>#DIV/0!</v>
      </c>
      <c r="U167" s="63" t="e">
        <v>#DIV/0!</v>
      </c>
      <c r="V167" s="63" t="e">
        <f t="shared" si="174"/>
        <v>#DIV/0!</v>
      </c>
      <c r="W167" s="63"/>
      <c r="X167" s="63"/>
      <c r="Z167" s="63">
        <v>1</v>
      </c>
      <c r="AA167" s="60">
        <f>'Information Technology'!AA2197</f>
        <v>2.8469466171470392E-2</v>
      </c>
      <c r="AB167" s="63" t="e">
        <v>#DIV/0!</v>
      </c>
      <c r="AC167" s="60"/>
      <c r="AD167" s="60"/>
      <c r="AE167" s="60"/>
      <c r="AF167" s="60"/>
      <c r="AG167" s="60">
        <v>1</v>
      </c>
      <c r="AH167" s="60">
        <f>'Information Technology'!AA2198</f>
        <v>-1.0332357316459609E-2</v>
      </c>
      <c r="AI167" s="63" t="e">
        <v>#DIV/0!</v>
      </c>
      <c r="AJ167" s="60"/>
      <c r="AL167" s="60"/>
      <c r="AM167" s="60"/>
      <c r="AN167" s="60">
        <v>1</v>
      </c>
      <c r="AO167" s="60">
        <f>'Information Technology'!AA2199</f>
        <v>5.9581674359367696E-3</v>
      </c>
      <c r="AP167" s="60" t="e">
        <v>#DIV/0!</v>
      </c>
      <c r="AQ167" s="60"/>
      <c r="AR167" s="60"/>
      <c r="AS167" s="60"/>
      <c r="AT167" s="60"/>
      <c r="AU167" s="60">
        <v>1</v>
      </c>
      <c r="AV167" s="60">
        <f>'Information Technology'!AA2200</f>
        <v>-3.2839288355808838E-3</v>
      </c>
      <c r="AW167" s="60" t="e">
        <v>#DIV/0!</v>
      </c>
      <c r="AX167" s="60"/>
      <c r="AY167" s="60"/>
      <c r="AZ167" s="60"/>
      <c r="BA167" s="60"/>
      <c r="BB167" s="60">
        <v>1</v>
      </c>
      <c r="BC167" s="60">
        <f>'Information Technology'!AA2201</f>
        <v>-0.43722690569940381</v>
      </c>
      <c r="BD167" s="60" t="e">
        <v>#DIV/0!</v>
      </c>
      <c r="BE167" s="60">
        <v>1</v>
      </c>
      <c r="BF167" s="60">
        <f>'Information Technology'!AA2202</f>
        <v>0.17523476537124402</v>
      </c>
      <c r="BG167" s="63" t="e">
        <v>#DIV/0!</v>
      </c>
      <c r="BI167" s="63"/>
      <c r="BJ167" s="63"/>
      <c r="BL167" s="63">
        <v>1</v>
      </c>
      <c r="BM167" s="63">
        <f t="shared" si="175"/>
        <v>1</v>
      </c>
    </row>
    <row r="168" spans="1:65">
      <c r="A168" s="56" t="s">
        <v>532</v>
      </c>
      <c r="B168" s="56" t="s">
        <v>533</v>
      </c>
      <c r="C168" s="57">
        <v>1321.8</v>
      </c>
      <c r="D168" s="58" t="s">
        <v>93</v>
      </c>
      <c r="E168" s="69" t="str" cm="1">
        <f t="array" ref="E168">_xll.ciqfunctions.udf.CIQ(B168,"iq_industry")</f>
        <v>IT Services</v>
      </c>
      <c r="F168" s="60">
        <f>'Information Technology'!AA3439</f>
        <v>6.4404190830808181</v>
      </c>
      <c r="G168" s="62" t="e">
        <v>#DIV/0!</v>
      </c>
      <c r="K168" s="62">
        <v>1</v>
      </c>
      <c r="L168" s="108">
        <v>1</v>
      </c>
      <c r="M168" s="60">
        <f>'Information Technology'!AA3440</f>
        <v>2.7154680422999999</v>
      </c>
      <c r="N168" s="63">
        <v>1.2423194125000001</v>
      </c>
      <c r="O168" s="63">
        <f t="shared" si="172"/>
        <v>-1.0081215998033812</v>
      </c>
      <c r="P168" s="63">
        <f t="shared" si="173"/>
        <v>-1.3735301840398857</v>
      </c>
      <c r="Q168" s="63">
        <f t="shared" si="176"/>
        <v>2.6264698159601143</v>
      </c>
      <c r="R168" s="62"/>
      <c r="S168" s="63">
        <v>1.8984146322477988</v>
      </c>
      <c r="T168" s="60" t="e">
        <f>'Information Technology'!AA3441</f>
        <v>#DIV/0!</v>
      </c>
      <c r="U168" s="63" t="e">
        <v>#DIV/0!</v>
      </c>
      <c r="V168" s="63" t="e">
        <f t="shared" si="174"/>
        <v>#DIV/0!</v>
      </c>
      <c r="X168" s="63"/>
      <c r="Z168" s="63">
        <v>1</v>
      </c>
      <c r="AA168" s="60">
        <f>'Information Technology'!AA3442</f>
        <v>3.0448181856289613E-2</v>
      </c>
      <c r="AB168" s="63" t="e">
        <v>#DIV/0!</v>
      </c>
      <c r="AC168" s="60"/>
      <c r="AD168" s="60"/>
      <c r="AE168" s="60"/>
      <c r="AF168" s="60"/>
      <c r="AG168" s="60">
        <v>1</v>
      </c>
      <c r="AH168" s="60">
        <f>'Information Technology'!AA3443</f>
        <v>-0.21599028868540832</v>
      </c>
      <c r="AI168" s="63" t="e">
        <v>#DIV/0!</v>
      </c>
      <c r="AJ168" s="60"/>
      <c r="AL168" s="60"/>
      <c r="AM168" s="60"/>
      <c r="AN168" s="60">
        <v>1</v>
      </c>
      <c r="AO168" s="60">
        <f>'Information Technology'!AA3444</f>
        <v>4.5726502445887274E-2</v>
      </c>
      <c r="AP168" s="60" t="e">
        <v>#DIV/0!</v>
      </c>
      <c r="AQ168" s="60"/>
      <c r="AR168" s="60"/>
      <c r="AS168" s="60"/>
      <c r="AT168" s="60"/>
      <c r="AU168" s="60">
        <v>1</v>
      </c>
      <c r="AV168" s="60" t="e">
        <f>'Information Technology'!AA3445</f>
        <v>#DIV/0!</v>
      </c>
      <c r="AW168" s="60" t="e">
        <v>#DIV/0!</v>
      </c>
      <c r="AX168" s="60"/>
      <c r="AY168" s="60"/>
      <c r="AZ168" s="60"/>
      <c r="BA168" s="60"/>
      <c r="BB168" s="60">
        <v>1</v>
      </c>
      <c r="BC168" s="60">
        <f>'Information Technology'!AA3446</f>
        <v>1.0310251399888175</v>
      </c>
      <c r="BD168" s="60" t="e">
        <v>#DIV/0!</v>
      </c>
      <c r="BE168" s="60">
        <v>1</v>
      </c>
      <c r="BF168" s="60">
        <f>'Information Technology'!AA3447</f>
        <v>1.3703047036872418</v>
      </c>
      <c r="BG168" s="63" t="e">
        <v>#DIV/0!</v>
      </c>
      <c r="BI168" s="63"/>
      <c r="BJ168" s="63"/>
      <c r="BL168" s="63">
        <v>1</v>
      </c>
      <c r="BM168" s="63">
        <f t="shared" si="175"/>
        <v>1</v>
      </c>
    </row>
    <row r="169" spans="1:65" ht="22.5">
      <c r="A169" s="56" t="s">
        <v>544</v>
      </c>
      <c r="B169" s="56" t="s">
        <v>545</v>
      </c>
      <c r="C169" s="57">
        <v>1209.0999999999999</v>
      </c>
      <c r="D169" s="58" t="s">
        <v>70</v>
      </c>
      <c r="E169" s="69" t="str" cm="1">
        <f t="array" ref="E169">_xll.ciqfunctions.udf.CIQ(B169,"iq_industry")</f>
        <v>Semiconductors and Semiconductor Equipment</v>
      </c>
      <c r="F169" s="60" t="e">
        <f>'Information Technology'!AA3520</f>
        <v>#DIV/0!</v>
      </c>
      <c r="G169" s="62" t="e">
        <v>#DIV/0!</v>
      </c>
      <c r="H169" s="62" t="e">
        <f t="shared" ref="H169" si="177">-(G169-$G$260)/$G$261</f>
        <v>#DIV/0!</v>
      </c>
      <c r="I169" s="62" t="e">
        <f t="shared" ref="I169" si="178">H169-$H$181</f>
        <v>#DIV/0!</v>
      </c>
      <c r="K169" s="62">
        <v>1</v>
      </c>
      <c r="L169" s="108">
        <v>1</v>
      </c>
      <c r="M169" s="60">
        <f>'Information Technology'!AA3530</f>
        <v>5.2473234610099997</v>
      </c>
      <c r="N169" s="63">
        <v>1.2822440449999999</v>
      </c>
      <c r="O169" s="63">
        <f t="shared" si="172"/>
        <v>-0.97626979171682426</v>
      </c>
      <c r="P169" s="63">
        <f t="shared" si="173"/>
        <v>-1.3416783759533286</v>
      </c>
      <c r="Q169" s="63">
        <f t="shared" si="176"/>
        <v>2.6583216240466712</v>
      </c>
      <c r="R169" s="62"/>
      <c r="S169" s="63">
        <v>1.9302664403343561</v>
      </c>
      <c r="T169" s="60" t="e">
        <f>'Information Technology'!AA3531</f>
        <v>#DIV/0!</v>
      </c>
      <c r="U169" s="63" t="e">
        <v>#DIV/0!</v>
      </c>
      <c r="V169" s="63" t="e">
        <f t="shared" si="174"/>
        <v>#DIV/0!</v>
      </c>
      <c r="X169" s="63"/>
      <c r="Z169" s="63">
        <v>1</v>
      </c>
      <c r="AA169" s="60" t="e">
        <f>'Information Technology'!AA3532</f>
        <v>#DIV/0!</v>
      </c>
      <c r="AB169" s="63">
        <v>-1.3619902585036092E-2</v>
      </c>
      <c r="AC169" s="60" t="e">
        <f t="shared" ref="AC169:AC185" si="179">-(AB169-$AB$260)/$AB$261</f>
        <v>#DIV/0!</v>
      </c>
      <c r="AD169" s="60" t="e">
        <f t="shared" ref="AD169:AD185" si="180">AC169-$AC$160</f>
        <v>#DIV/0!</v>
      </c>
      <c r="AE169" s="60" t="e">
        <f t="shared" ref="AE169:AE185" si="181">AD169+5-$AD$254</f>
        <v>#DIV/0!</v>
      </c>
      <c r="AF169" s="60">
        <v>4.7227954490403716</v>
      </c>
      <c r="AG169" s="60">
        <v>4.7227954490403716</v>
      </c>
      <c r="AH169" s="60" t="e">
        <f>'Information Technology'!AA3533</f>
        <v>#DIV/0!</v>
      </c>
      <c r="AI169" s="63">
        <v>9.8004417203394173E-2</v>
      </c>
      <c r="AJ169" s="60" t="e">
        <f t="shared" ref="AJ169:AJ179" si="182">(AI169-$AI$260)/$AI$261</f>
        <v>#DIV/0!</v>
      </c>
      <c r="AK169" s="63" t="e">
        <f t="shared" ref="AK169:AK175" si="183">AJ169-$AJ$203</f>
        <v>#DIV/0!</v>
      </c>
      <c r="AL169" s="60" t="e">
        <f t="shared" ref="AL169:AL175" si="184">AK169+5-$AK$155</f>
        <v>#DIV/0!</v>
      </c>
      <c r="AM169" s="60">
        <v>3.7607918092087873</v>
      </c>
      <c r="AN169" s="60">
        <v>3.7607918092087873</v>
      </c>
      <c r="AO169" s="60" t="e">
        <f>'Information Technology'!AA3534</f>
        <v>#DIV/0!</v>
      </c>
      <c r="AP169" s="60">
        <v>2.3271750995210155E-2</v>
      </c>
      <c r="AQ169" s="60" t="e">
        <f t="shared" ref="AQ169:AQ181" si="185">(AP169-$AP$260)/$AP$261</f>
        <v>#DIV/0!</v>
      </c>
      <c r="AR169" s="60" t="e">
        <f t="shared" ref="AR169:AR181" si="186">AQ169-$AQ$245</f>
        <v>#DIV/0!</v>
      </c>
      <c r="AS169" s="60" t="e">
        <f t="shared" ref="AS169:AS181" si="187">(5-$AR$162)+AR169</f>
        <v>#DIV/0!</v>
      </c>
      <c r="AT169" s="60">
        <v>1.5938328320008275</v>
      </c>
      <c r="AU169" s="60">
        <v>1.5938328320008275</v>
      </c>
      <c r="AV169" s="60" t="e">
        <f>'Information Technology'!AA3535</f>
        <v>#DIV/0!</v>
      </c>
      <c r="AW169" s="60">
        <v>-2.9571823678769499E-3</v>
      </c>
      <c r="AX169" s="60" t="e">
        <f>(AW169-$AW$260)/$AW$261</f>
        <v>#DIV/0!</v>
      </c>
      <c r="AY169" s="60" t="e">
        <f>AX169-$AX$253</f>
        <v>#DIV/0!</v>
      </c>
      <c r="AZ169" s="60" t="e">
        <f>AY169+5-$AY$205</f>
        <v>#DIV/0!</v>
      </c>
      <c r="BA169" s="60">
        <v>1.6773372202225385</v>
      </c>
      <c r="BB169" s="60">
        <v>1.6773372202225385</v>
      </c>
      <c r="BC169" s="60" t="e">
        <f>'Information Technology'!AA3536</f>
        <v>#DIV/0!</v>
      </c>
      <c r="BD169" s="60">
        <v>-0.38236454492877459</v>
      </c>
      <c r="BE169" s="60">
        <v>5</v>
      </c>
      <c r="BF169" s="60" t="e">
        <f>'Information Technology'!AA3537</f>
        <v>#DIV/0!</v>
      </c>
      <c r="BG169" s="63">
        <v>0.13664009228120977</v>
      </c>
      <c r="BH169" s="63" t="e">
        <f t="shared" ref="BH169:BH175" si="188">-(BG169-$BG$260)/$BG$261</f>
        <v>#DIV/0!</v>
      </c>
      <c r="BI169" s="63" t="e">
        <f t="shared" ref="BI169:BI175" si="189">BH169-$BH$181</f>
        <v>#DIV/0!</v>
      </c>
      <c r="BJ169" s="63" t="e">
        <f t="shared" ref="BJ169:BJ175" si="190">BI169+5-$BI$259</f>
        <v>#DIV/0!</v>
      </c>
      <c r="BK169" s="63">
        <v>4.5611255112926221</v>
      </c>
      <c r="BL169" s="63">
        <v>4.5611255112926221</v>
      </c>
      <c r="BM169" s="63">
        <f t="shared" si="175"/>
        <v>3.7099032828908758</v>
      </c>
    </row>
    <row r="170" spans="1:65">
      <c r="A170" s="56" t="s">
        <v>364</v>
      </c>
      <c r="B170" s="56" t="s">
        <v>365</v>
      </c>
      <c r="C170" s="57">
        <v>3928.2</v>
      </c>
      <c r="D170" s="58" t="s">
        <v>70</v>
      </c>
      <c r="E170" s="69" t="str" cm="1">
        <f t="array" ref="E170">_xll.ciqfunctions.udf.CIQ(B170,"iq_industry")</f>
        <v>Semiconductors and Semiconductor Equipment</v>
      </c>
      <c r="F170" s="60">
        <f>'Information Technology'!AA2179</f>
        <v>39.785951873749347</v>
      </c>
      <c r="G170" s="62">
        <v>13.264050039475048</v>
      </c>
      <c r="H170" s="62" t="e">
        <f>-(G170-$G$260)/$G$261</f>
        <v>#DIV/0!</v>
      </c>
      <c r="I170" s="62" t="e">
        <f>H170-$H$181</f>
        <v>#DIV/0!</v>
      </c>
      <c r="J170" s="62" t="e">
        <f>I170+(5-$I$242)</f>
        <v>#DIV/0!</v>
      </c>
      <c r="K170" s="62">
        <v>1</v>
      </c>
      <c r="L170" s="108">
        <v>3.8489550422345218</v>
      </c>
      <c r="M170" s="60">
        <f>'Information Technology'!AA2180</f>
        <v>1.45990940125</v>
      </c>
      <c r="N170" s="63">
        <v>3.8975197403999995</v>
      </c>
      <c r="O170" s="63">
        <f t="shared" si="172"/>
        <v>1.1101929839472588</v>
      </c>
      <c r="P170" s="63">
        <f t="shared" si="173"/>
        <v>0.7447843997107545</v>
      </c>
      <c r="Q170" s="63">
        <f t="shared" si="176"/>
        <v>4.7447843997107544</v>
      </c>
      <c r="R170" s="62"/>
      <c r="S170" s="63">
        <v>4.016729215998434</v>
      </c>
      <c r="T170" s="60" t="e">
        <f>'Information Technology'!AA2181</f>
        <v>#DIV/0!</v>
      </c>
      <c r="U170" s="63" t="e">
        <v>#DIV/0!</v>
      </c>
      <c r="V170" s="63" t="e">
        <f t="shared" si="174"/>
        <v>#DIV/0!</v>
      </c>
      <c r="W170" s="63"/>
      <c r="X170" s="63"/>
      <c r="Z170" s="63">
        <v>1</v>
      </c>
      <c r="AA170" s="60">
        <f>'Information Technology'!AA2182</f>
        <v>8.9856435737889484E-5</v>
      </c>
      <c r="AB170" s="63">
        <v>-1.2717257155785422E-2</v>
      </c>
      <c r="AC170" s="60" t="e">
        <f t="shared" si="179"/>
        <v>#DIV/0!</v>
      </c>
      <c r="AD170" s="60" t="e">
        <f t="shared" si="180"/>
        <v>#DIV/0!</v>
      </c>
      <c r="AE170" s="60" t="e">
        <f t="shared" si="181"/>
        <v>#DIV/0!</v>
      </c>
      <c r="AF170" s="60">
        <v>4.7109023753881045</v>
      </c>
      <c r="AG170" s="60">
        <v>4.7109023753881045</v>
      </c>
      <c r="AH170" s="60">
        <f>'Information Technology'!AA2183</f>
        <v>-7.3188880610850257E-2</v>
      </c>
      <c r="AI170" s="63">
        <v>0.11472604419158304</v>
      </c>
      <c r="AJ170" s="60" t="e">
        <f t="shared" si="182"/>
        <v>#DIV/0!</v>
      </c>
      <c r="AK170" s="63" t="e">
        <f t="shared" si="183"/>
        <v>#DIV/0!</v>
      </c>
      <c r="AL170" s="60" t="e">
        <f t="shared" si="184"/>
        <v>#DIV/0!</v>
      </c>
      <c r="AM170" s="60">
        <v>4.1414416525763542</v>
      </c>
      <c r="AN170" s="60">
        <v>4.1414416525763542</v>
      </c>
      <c r="AO170" s="60">
        <f>'Information Technology'!AA2184</f>
        <v>0.15457433727560277</v>
      </c>
      <c r="AP170" s="60">
        <v>9.6590545306487613E-2</v>
      </c>
      <c r="AQ170" s="60" t="e">
        <f t="shared" si="185"/>
        <v>#DIV/0!</v>
      </c>
      <c r="AR170" s="60" t="e">
        <f t="shared" si="186"/>
        <v>#DIV/0!</v>
      </c>
      <c r="AS170" s="60" t="e">
        <f t="shared" si="187"/>
        <v>#DIV/0!</v>
      </c>
      <c r="AT170" s="60">
        <v>2.6838491421828978</v>
      </c>
      <c r="AU170" s="60">
        <v>2.6838491421828978</v>
      </c>
      <c r="AV170" s="60">
        <f>'Information Technology'!AA2185</f>
        <v>-3.7501668059986032E-2</v>
      </c>
      <c r="AW170" s="60">
        <v>-6.2559737221296579E-3</v>
      </c>
      <c r="AX170" s="60" t="e">
        <f>(AW170-$AW$260)/$AW$261</f>
        <v>#DIV/0!</v>
      </c>
      <c r="AY170" s="60" t="e">
        <f>AX170-$AX$253</f>
        <v>#DIV/0!</v>
      </c>
      <c r="AZ170" s="60" t="e">
        <f>AY170+5-$AY$205</f>
        <v>#DIV/0!</v>
      </c>
      <c r="BA170" s="60">
        <v>1.4556350126224791</v>
      </c>
      <c r="BB170" s="60">
        <v>1.4556350126224791</v>
      </c>
      <c r="BC170" s="60">
        <f>'Information Technology'!AA2186</f>
        <v>-0.90932354688939654</v>
      </c>
      <c r="BD170" s="60">
        <v>0</v>
      </c>
      <c r="BE170" s="60">
        <v>5</v>
      </c>
      <c r="BF170" s="60">
        <f>'Information Technology'!AA2187</f>
        <v>0.18615703631001976</v>
      </c>
      <c r="BG170" s="63">
        <v>0.40735429856005062</v>
      </c>
      <c r="BH170" s="63" t="e">
        <f t="shared" si="188"/>
        <v>#DIV/0!</v>
      </c>
      <c r="BI170" s="63" t="e">
        <f t="shared" si="189"/>
        <v>#DIV/0!</v>
      </c>
      <c r="BJ170" s="63" t="e">
        <f t="shared" si="190"/>
        <v>#DIV/0!</v>
      </c>
      <c r="BK170" s="63">
        <v>3.6046716076842094</v>
      </c>
      <c r="BL170" s="63">
        <v>3.6046716076842094</v>
      </c>
      <c r="BM170" s="63">
        <f t="shared" si="175"/>
        <v>3.8194734333231928</v>
      </c>
    </row>
    <row r="171" spans="1:65">
      <c r="A171" s="56" t="s">
        <v>394</v>
      </c>
      <c r="B171" s="56" t="s">
        <v>395</v>
      </c>
      <c r="C171" s="57">
        <v>3456.4</v>
      </c>
      <c r="D171" s="58" t="s">
        <v>70</v>
      </c>
      <c r="E171" s="69" t="str" cm="1">
        <f t="array" ref="E171">_xll.ciqfunctions.udf.CIQ(B171,"iq_industry")</f>
        <v>Semiconductors and Semiconductor Equipment</v>
      </c>
      <c r="F171" s="60">
        <f>'Information Technology'!AA2404</f>
        <v>30.681247359368072</v>
      </c>
      <c r="G171" s="62">
        <v>25.420930182672492</v>
      </c>
      <c r="H171" s="62" t="e">
        <f>-(G171-$G$260)/$G$261</f>
        <v>#DIV/0!</v>
      </c>
      <c r="I171" s="62" t="e">
        <f>H171-$H$181</f>
        <v>#DIV/0!</v>
      </c>
      <c r="J171" s="62" t="e">
        <f>I171+(5-$I$242)</f>
        <v>#DIV/0!</v>
      </c>
      <c r="K171" s="62">
        <v>1</v>
      </c>
      <c r="L171" s="108">
        <v>2.4948912108400618</v>
      </c>
      <c r="M171" s="60">
        <f>'Information Technology'!AA2405</f>
        <v>4.4712298004000006</v>
      </c>
      <c r="N171" s="63">
        <v>3.6009120541500002</v>
      </c>
      <c r="O171" s="63">
        <f t="shared" si="172"/>
        <v>0.87355984525943797</v>
      </c>
      <c r="P171" s="63">
        <f t="shared" si="173"/>
        <v>0.50815126102293362</v>
      </c>
      <c r="Q171" s="63">
        <f t="shared" si="176"/>
        <v>4.5081512610229337</v>
      </c>
      <c r="R171" s="62"/>
      <c r="S171" s="63">
        <v>3.7800960773106134</v>
      </c>
      <c r="T171" s="60" t="e">
        <f>'Information Technology'!AA2406</f>
        <v>#DIV/0!</v>
      </c>
      <c r="U171" s="63" t="e">
        <v>#DIV/0!</v>
      </c>
      <c r="V171" s="63" t="e">
        <f t="shared" si="174"/>
        <v>#DIV/0!</v>
      </c>
      <c r="W171" s="63"/>
      <c r="X171" s="63"/>
      <c r="Z171" s="63">
        <v>1</v>
      </c>
      <c r="AA171" s="60">
        <f>'Information Technology'!AA2407</f>
        <v>-6.3343612185400744E-2</v>
      </c>
      <c r="AB171" s="63">
        <v>-2.3503722756094469E-2</v>
      </c>
      <c r="AC171" s="60" t="e">
        <f t="shared" si="179"/>
        <v>#DIV/0!</v>
      </c>
      <c r="AD171" s="60" t="e">
        <f t="shared" si="180"/>
        <v>#DIV/0!</v>
      </c>
      <c r="AE171" s="60" t="e">
        <f t="shared" si="181"/>
        <v>#DIV/0!</v>
      </c>
      <c r="AF171" s="60">
        <v>4.853022665011248</v>
      </c>
      <c r="AG171" s="60">
        <v>4.853022665011248</v>
      </c>
      <c r="AH171" s="60">
        <f>'Information Technology'!AA2408</f>
        <v>-4.4274051718104397E-2</v>
      </c>
      <c r="AI171" s="63">
        <v>0.12987359996532427</v>
      </c>
      <c r="AJ171" s="60" t="e">
        <f t="shared" si="182"/>
        <v>#DIV/0!</v>
      </c>
      <c r="AK171" s="63" t="e">
        <f t="shared" si="183"/>
        <v>#DIV/0!</v>
      </c>
      <c r="AL171" s="60" t="e">
        <f t="shared" si="184"/>
        <v>#DIV/0!</v>
      </c>
      <c r="AM171" s="60">
        <v>4.4862594586874938</v>
      </c>
      <c r="AN171" s="60">
        <v>4.4862594586874938</v>
      </c>
      <c r="AO171" s="60">
        <f>'Information Technology'!AA2409</f>
        <v>1.1849214986340917E-3</v>
      </c>
      <c r="AP171" s="60">
        <v>1.6727770850444749E-2</v>
      </c>
      <c r="AQ171" s="60" t="e">
        <f t="shared" si="185"/>
        <v>#DIV/0!</v>
      </c>
      <c r="AR171" s="60" t="e">
        <f t="shared" si="186"/>
        <v>#DIV/0!</v>
      </c>
      <c r="AS171" s="60" t="e">
        <f t="shared" si="187"/>
        <v>#DIV/0!</v>
      </c>
      <c r="AT171" s="60">
        <v>1.4965447470247115</v>
      </c>
      <c r="AU171" s="60">
        <v>1.4965447470247115</v>
      </c>
      <c r="AV171" s="60">
        <f>'Information Technology'!AA2410</f>
        <v>3.7674050878408632E-3</v>
      </c>
      <c r="AW171" s="60">
        <v>-1.9005815332103822E-2</v>
      </c>
      <c r="AX171" s="60" t="e">
        <f>(AW171-$AW$260)/$AW$261</f>
        <v>#DIV/0!</v>
      </c>
      <c r="AY171" s="60" t="e">
        <f>AX171-$AX$253</f>
        <v>#DIV/0!</v>
      </c>
      <c r="AZ171" s="60" t="e">
        <f>AY171+5-$AY$205</f>
        <v>#DIV/0!</v>
      </c>
      <c r="BA171" s="60">
        <v>1.1299999999999999</v>
      </c>
      <c r="BB171" s="60">
        <v>1.1299999999999999</v>
      </c>
      <c r="BC171" s="60">
        <f>'Information Technology'!AA2411</f>
        <v>-5.3608720841235664</v>
      </c>
      <c r="BD171" s="60">
        <v>-0.57792315159690721</v>
      </c>
      <c r="BE171" s="60">
        <v>5</v>
      </c>
      <c r="BF171" s="60">
        <f>'Information Technology'!AA2412</f>
        <v>1.5598718831548579E-2</v>
      </c>
      <c r="BG171" s="63">
        <v>0.35073512773840221</v>
      </c>
      <c r="BH171" s="63" t="e">
        <f t="shared" si="188"/>
        <v>#DIV/0!</v>
      </c>
      <c r="BI171" s="63" t="e">
        <f t="shared" si="189"/>
        <v>#DIV/0!</v>
      </c>
      <c r="BJ171" s="63" t="e">
        <f t="shared" si="190"/>
        <v>#DIV/0!</v>
      </c>
      <c r="BK171" s="63">
        <v>3.8047114493157848</v>
      </c>
      <c r="BL171" s="63">
        <v>3.8047114493157848</v>
      </c>
      <c r="BM171" s="63">
        <f t="shared" si="175"/>
        <v>3.6947634095237651</v>
      </c>
    </row>
    <row r="172" spans="1:65">
      <c r="A172" s="56" t="s">
        <v>404</v>
      </c>
      <c r="B172" s="56" t="s">
        <v>405</v>
      </c>
      <c r="C172" s="57">
        <v>3246</v>
      </c>
      <c r="D172" s="58" t="s">
        <v>70</v>
      </c>
      <c r="E172" s="69" t="str" cm="1">
        <f t="array" ref="E172">_xll.ciqfunctions.udf.CIQ(B172,"iq_industry")</f>
        <v>Semiconductors and Semiconductor Equipment</v>
      </c>
      <c r="F172" s="60" t="e">
        <f>'Information Technology'!AA2479</f>
        <v>#DIV/0!</v>
      </c>
      <c r="G172" s="62">
        <v>9.8505633273187119</v>
      </c>
      <c r="H172" s="62" t="e">
        <f>-(G172-$G$260)/$G$261</f>
        <v>#DIV/0!</v>
      </c>
      <c r="I172" s="62" t="e">
        <f>H172-$H$181</f>
        <v>#DIV/0!</v>
      </c>
      <c r="J172" s="62" t="e">
        <f>I172+(5-$I$242)</f>
        <v>#DIV/0!</v>
      </c>
      <c r="K172" s="62">
        <v>1</v>
      </c>
      <c r="L172" s="108">
        <v>4.2291577621291347</v>
      </c>
      <c r="M172" s="60">
        <f>'Information Technology'!AA2480</f>
        <v>3.8139590609999998</v>
      </c>
      <c r="N172" s="63">
        <v>3.7405452690000001</v>
      </c>
      <c r="O172" s="63">
        <f t="shared" si="172"/>
        <v>0.98495900120436042</v>
      </c>
      <c r="P172" s="63">
        <f t="shared" si="173"/>
        <v>0.61955041696785607</v>
      </c>
      <c r="Q172" s="63">
        <f t="shared" si="176"/>
        <v>4.6195504169678561</v>
      </c>
      <c r="R172" s="62"/>
      <c r="S172" s="63">
        <v>3.8914952332555357</v>
      </c>
      <c r="T172" s="60" t="e">
        <f>'Information Technology'!AA2481</f>
        <v>#DIV/0!</v>
      </c>
      <c r="U172" s="63" t="e">
        <v>#DIV/0!</v>
      </c>
      <c r="V172" s="63" t="e">
        <f t="shared" si="174"/>
        <v>#DIV/0!</v>
      </c>
      <c r="X172" s="63"/>
      <c r="Z172" s="63">
        <v>1</v>
      </c>
      <c r="AA172" s="60" t="e">
        <f>'Information Technology'!AA2482</f>
        <v>#DIV/0!</v>
      </c>
      <c r="AB172" s="63">
        <v>1.759359350575207E-2</v>
      </c>
      <c r="AC172" s="60" t="e">
        <f t="shared" si="179"/>
        <v>#DIV/0!</v>
      </c>
      <c r="AD172" s="60" t="e">
        <f t="shared" si="180"/>
        <v>#DIV/0!</v>
      </c>
      <c r="AE172" s="60" t="e">
        <f t="shared" si="181"/>
        <v>#DIV/0!</v>
      </c>
      <c r="AF172" s="60">
        <v>4.3115327362156473</v>
      </c>
      <c r="AG172" s="60">
        <v>4.3115327362156473</v>
      </c>
      <c r="AH172" s="60" t="e">
        <f>'Information Technology'!AA2483</f>
        <v>#DIV/0!</v>
      </c>
      <c r="AI172" s="63">
        <v>3.8463818967458277E-2</v>
      </c>
      <c r="AJ172" s="60" t="e">
        <f t="shared" si="182"/>
        <v>#DIV/0!</v>
      </c>
      <c r="AK172" s="63" t="e">
        <f t="shared" si="183"/>
        <v>#DIV/0!</v>
      </c>
      <c r="AL172" s="60" t="e">
        <f t="shared" si="184"/>
        <v>#DIV/0!</v>
      </c>
      <c r="AM172" s="60">
        <v>2.4054141651237479</v>
      </c>
      <c r="AN172" s="60">
        <v>2.4054141651237479</v>
      </c>
      <c r="AO172" s="60" t="e">
        <f>'Information Technology'!AA2484</f>
        <v>#DIV/0!</v>
      </c>
      <c r="AP172" s="60">
        <v>7.065249635328899E-2</v>
      </c>
      <c r="AQ172" s="60" t="e">
        <f t="shared" si="185"/>
        <v>#DIV/0!</v>
      </c>
      <c r="AR172" s="60" t="e">
        <f t="shared" si="186"/>
        <v>#DIV/0!</v>
      </c>
      <c r="AS172" s="60" t="e">
        <f t="shared" si="187"/>
        <v>#DIV/0!</v>
      </c>
      <c r="AT172" s="60">
        <v>2.2982331936546947</v>
      </c>
      <c r="AU172" s="60">
        <v>2.2982331936546947</v>
      </c>
      <c r="AV172" s="60" t="e">
        <f>'Information Technology'!AA2485</f>
        <v>#DIV/0!</v>
      </c>
      <c r="AW172" s="60">
        <v>3.547874805691297E-3</v>
      </c>
      <c r="AX172" s="60" t="e">
        <f>(AW172-$AW$260)/$AW$261</f>
        <v>#DIV/0!</v>
      </c>
      <c r="AY172" s="60" t="e">
        <f>AX172-$AX$253</f>
        <v>#DIV/0!</v>
      </c>
      <c r="AZ172" s="60" t="e">
        <f>AY172+5-$AY$205</f>
        <v>#DIV/0!</v>
      </c>
      <c r="BA172" s="60">
        <v>2.1145232623423142</v>
      </c>
      <c r="BB172" s="60">
        <v>2.1145232623423142</v>
      </c>
      <c r="BC172" s="60" t="e">
        <f>'Information Technology'!AA2486</f>
        <v>#DIV/0!</v>
      </c>
      <c r="BD172" s="60">
        <v>0.343734528198756</v>
      </c>
      <c r="BE172" s="60">
        <v>4.4000000000000004</v>
      </c>
      <c r="BF172" s="60" t="e">
        <f>'Information Technology'!AA2487</f>
        <v>#DIV/0!</v>
      </c>
      <c r="BG172" s="63">
        <v>0.36498250127893317</v>
      </c>
      <c r="BH172" s="63" t="e">
        <f t="shared" si="188"/>
        <v>#DIV/0!</v>
      </c>
      <c r="BI172" s="63" t="e">
        <f t="shared" si="189"/>
        <v>#DIV/0!</v>
      </c>
      <c r="BJ172" s="63" t="e">
        <f t="shared" si="190"/>
        <v>#DIV/0!</v>
      </c>
      <c r="BK172" s="63">
        <v>3.7543743937680905</v>
      </c>
      <c r="BL172" s="63">
        <v>3.7543743937680905</v>
      </c>
      <c r="BM172" s="63">
        <f t="shared" si="175"/>
        <v>3.5434918774203381</v>
      </c>
    </row>
    <row r="173" spans="1:65">
      <c r="A173" s="56" t="s">
        <v>508</v>
      </c>
      <c r="B173" s="56" t="s">
        <v>509</v>
      </c>
      <c r="C173" s="57">
        <v>1628.8</v>
      </c>
      <c r="D173" s="58" t="s">
        <v>98</v>
      </c>
      <c r="E173" s="69" t="str" cm="1">
        <f t="array" ref="E173">_xll.ciqfunctions.udf.CIQ(B173,"iq_industry")</f>
        <v>Semiconductors and Semiconductor Equipment</v>
      </c>
      <c r="F173" s="60">
        <f>'Information Technology'!AA3259</f>
        <v>52.797197083693398</v>
      </c>
      <c r="G173" s="62">
        <v>17.993494982314299</v>
      </c>
      <c r="H173" s="62" t="e">
        <f>-(G173-$G$260)/$G$261</f>
        <v>#DIV/0!</v>
      </c>
      <c r="I173" s="62" t="e">
        <f>H173-$H$181</f>
        <v>#DIV/0!</v>
      </c>
      <c r="J173" s="62" t="e">
        <f>I173+(5-$I$242)</f>
        <v>#DIV/0!</v>
      </c>
      <c r="K173" s="62">
        <v>1</v>
      </c>
      <c r="L173" s="108">
        <v>3.322177590763677</v>
      </c>
      <c r="M173" s="60">
        <f>'Information Technology'!AA3260</f>
        <v>5.8894468524000008</v>
      </c>
      <c r="N173" s="63">
        <v>1.6821405318000002</v>
      </c>
      <c r="O173" s="63">
        <f t="shared" si="172"/>
        <v>-0.65723301280490554</v>
      </c>
      <c r="P173" s="63">
        <f t="shared" si="173"/>
        <v>-1.0226415970414098</v>
      </c>
      <c r="Q173" s="63">
        <f t="shared" si="176"/>
        <v>2.9773584029585902</v>
      </c>
      <c r="R173" s="62"/>
      <c r="S173" s="63">
        <v>2.2493032192462739</v>
      </c>
      <c r="T173" s="60" t="e">
        <f>'Information Technology'!AA3261</f>
        <v>#DIV/0!</v>
      </c>
      <c r="U173" s="63" t="e">
        <v>#DIV/0!</v>
      </c>
      <c r="V173" s="63" t="e">
        <f t="shared" si="174"/>
        <v>#DIV/0!</v>
      </c>
      <c r="X173" s="63"/>
      <c r="Z173" s="63">
        <v>1</v>
      </c>
      <c r="AA173" s="60">
        <f>'Information Technology'!AA3262</f>
        <v>2.9311549882642618E-2</v>
      </c>
      <c r="AB173" s="63">
        <v>3.1242300804859235E-2</v>
      </c>
      <c r="AC173" s="60" t="e">
        <f t="shared" si="179"/>
        <v>#DIV/0!</v>
      </c>
      <c r="AD173" s="60" t="e">
        <f t="shared" si="180"/>
        <v>#DIV/0!</v>
      </c>
      <c r="AE173" s="60" t="e">
        <f t="shared" si="181"/>
        <v>#DIV/0!</v>
      </c>
      <c r="AF173" s="60">
        <v>4.1317001287417918</v>
      </c>
      <c r="AG173" s="60">
        <v>4.1317001287417918</v>
      </c>
      <c r="AH173" s="60">
        <f>'Information Technology'!AA3263</f>
        <v>-2.3200411710435007E-2</v>
      </c>
      <c r="AI173" s="63">
        <v>4.280556445356308E-2</v>
      </c>
      <c r="AJ173" s="60" t="e">
        <f t="shared" si="182"/>
        <v>#DIV/0!</v>
      </c>
      <c r="AK173" s="63" t="e">
        <f t="shared" si="183"/>
        <v>#DIV/0!</v>
      </c>
      <c r="AL173" s="60" t="e">
        <f t="shared" si="184"/>
        <v>#DIV/0!</v>
      </c>
      <c r="AM173" s="60">
        <v>2.5042493287352192</v>
      </c>
      <c r="AN173" s="60">
        <v>2.5042493287352192</v>
      </c>
      <c r="AO173" s="60">
        <f>'Information Technology'!AA3264</f>
        <v>0.15576022909149712</v>
      </c>
      <c r="AP173" s="60">
        <v>2.4720996034346489E-2</v>
      </c>
      <c r="AQ173" s="60" t="e">
        <f t="shared" si="185"/>
        <v>#DIV/0!</v>
      </c>
      <c r="AR173" s="60" t="e">
        <f t="shared" si="186"/>
        <v>#DIV/0!</v>
      </c>
      <c r="AS173" s="60" t="e">
        <f t="shared" si="187"/>
        <v>#DIV/0!</v>
      </c>
      <c r="AT173" s="60">
        <v>1.6153784772197379</v>
      </c>
      <c r="AU173" s="60">
        <v>1.6153784772197379</v>
      </c>
      <c r="AV173" s="60" t="e">
        <f>'Information Technology'!AA3265</f>
        <v>#DIV/0!</v>
      </c>
      <c r="AW173" s="60" t="b">
        <v>0</v>
      </c>
      <c r="AX173" s="60"/>
      <c r="AY173" s="60"/>
      <c r="AZ173" s="60"/>
      <c r="BA173" s="60"/>
      <c r="BB173" s="60">
        <v>1</v>
      </c>
      <c r="BC173" s="60">
        <f>'Information Technology'!AA3266</f>
        <v>0.50421121547209524</v>
      </c>
      <c r="BD173" s="60">
        <v>0.17082172439197291</v>
      </c>
      <c r="BE173" s="60">
        <v>5</v>
      </c>
      <c r="BF173" s="60">
        <f>'Information Technology'!AA3267</f>
        <v>0.44002084464624164</v>
      </c>
      <c r="BG173" s="63">
        <v>0.34261213464567747</v>
      </c>
      <c r="BH173" s="63" t="e">
        <f t="shared" si="188"/>
        <v>#DIV/0!</v>
      </c>
      <c r="BI173" s="63" t="e">
        <f t="shared" si="189"/>
        <v>#DIV/0!</v>
      </c>
      <c r="BJ173" s="63" t="e">
        <f t="shared" si="190"/>
        <v>#DIV/0!</v>
      </c>
      <c r="BK173" s="63">
        <v>3.8334106024164472</v>
      </c>
      <c r="BL173" s="63">
        <v>3.8334106024164472</v>
      </c>
      <c r="BM173" s="63">
        <f t="shared" si="175"/>
        <v>3.4860059666545196</v>
      </c>
    </row>
    <row r="174" spans="1:65">
      <c r="A174" s="56" t="s">
        <v>442</v>
      </c>
      <c r="B174" s="56" t="s">
        <v>443</v>
      </c>
      <c r="C174" s="57">
        <v>2579.6999999999998</v>
      </c>
      <c r="D174" s="58" t="s">
        <v>98</v>
      </c>
      <c r="E174" s="69" t="str" cm="1">
        <f t="array" ref="E174">_xll.ciqfunctions.udf.CIQ(B174,"iq_industry")</f>
        <v>Semiconductors and Semiconductor Equipment</v>
      </c>
      <c r="F174" s="60">
        <f>'Information Technology'!AA2764</f>
        <v>-7.7364242259894089</v>
      </c>
      <c r="G174" s="62">
        <v>44.723425800425069</v>
      </c>
      <c r="K174" s="62">
        <v>1</v>
      </c>
      <c r="L174" s="109">
        <v>1.32</v>
      </c>
      <c r="M174" s="60">
        <f>'Information Technology'!AA2765</f>
        <v>1.1638092258000001</v>
      </c>
      <c r="N174" s="63">
        <v>2.6636134909999996</v>
      </c>
      <c r="O174" s="63">
        <f t="shared" si="172"/>
        <v>0.12578454755920943</v>
      </c>
      <c r="P174" s="63">
        <f t="shared" si="173"/>
        <v>-0.23962403667729493</v>
      </c>
      <c r="Q174" s="63">
        <f t="shared" si="176"/>
        <v>3.760375963322705</v>
      </c>
      <c r="R174" s="62"/>
      <c r="S174" s="63">
        <v>3.0323207796103864</v>
      </c>
      <c r="T174" s="60" t="e">
        <f>'Information Technology'!AA2766</f>
        <v>#DIV/0!</v>
      </c>
      <c r="U174" s="63" t="e">
        <v>#DIV/0!</v>
      </c>
      <c r="V174" s="63" t="e">
        <f t="shared" si="174"/>
        <v>#DIV/0!</v>
      </c>
      <c r="X174" s="63"/>
      <c r="Z174" s="63">
        <v>1</v>
      </c>
      <c r="AA174" s="60">
        <f>'Information Technology'!AA2767</f>
        <v>1.7310081864331517</v>
      </c>
      <c r="AB174" s="63">
        <v>8.391766961288516E-3</v>
      </c>
      <c r="AC174" s="60" t="e">
        <f t="shared" si="179"/>
        <v>#DIV/0!</v>
      </c>
      <c r="AD174" s="60" t="e">
        <f t="shared" si="180"/>
        <v>#DIV/0!</v>
      </c>
      <c r="AE174" s="60" t="e">
        <f t="shared" si="181"/>
        <v>#DIV/0!</v>
      </c>
      <c r="AF174" s="60">
        <v>4.4327741420681468</v>
      </c>
      <c r="AG174" s="60">
        <v>4.4327741420681468</v>
      </c>
      <c r="AH174" s="60">
        <f>'Information Technology'!AA2768</f>
        <v>-0.48956629221037828</v>
      </c>
      <c r="AI174" s="63">
        <v>8.6595001638521629E-2</v>
      </c>
      <c r="AJ174" s="60" t="e">
        <f t="shared" si="182"/>
        <v>#DIV/0!</v>
      </c>
      <c r="AK174" s="63" t="e">
        <f t="shared" si="183"/>
        <v>#DIV/0!</v>
      </c>
      <c r="AL174" s="60" t="e">
        <f t="shared" si="184"/>
        <v>#DIV/0!</v>
      </c>
      <c r="AM174" s="60">
        <v>3.5010687421440911</v>
      </c>
      <c r="AN174" s="60">
        <v>3.5010687421440911</v>
      </c>
      <c r="AO174" s="60">
        <f>'Information Technology'!AA2769</f>
        <v>-0.42216752396414448</v>
      </c>
      <c r="AP174" s="60">
        <v>0.14007125806370166</v>
      </c>
      <c r="AQ174" s="60" t="e">
        <f t="shared" si="185"/>
        <v>#DIV/0!</v>
      </c>
      <c r="AR174" s="60" t="e">
        <f t="shared" si="186"/>
        <v>#DIV/0!</v>
      </c>
      <c r="AS174" s="60" t="e">
        <f t="shared" si="187"/>
        <v>#DIV/0!</v>
      </c>
      <c r="AT174" s="60">
        <v>3.3302684747552416</v>
      </c>
      <c r="AU174" s="60">
        <v>3.3302684747552416</v>
      </c>
      <c r="AV174" s="60" t="e">
        <f>'Information Technology'!AA2770</f>
        <v>#DIV/0!</v>
      </c>
      <c r="AW174" s="60" t="b">
        <v>0</v>
      </c>
      <c r="AX174" s="60"/>
      <c r="AY174" s="60"/>
      <c r="AZ174" s="60"/>
      <c r="BA174" s="60"/>
      <c r="BB174" s="60">
        <v>1</v>
      </c>
      <c r="BC174" s="60">
        <f>'Information Technology'!AA2771</f>
        <v>-0.34319346474478041</v>
      </c>
      <c r="BD174" s="60">
        <v>-0.31165442688535877</v>
      </c>
      <c r="BE174" s="60">
        <v>5</v>
      </c>
      <c r="BF174" s="60" t="e">
        <f>'Information Technology'!AA2772</f>
        <v>#DIV/0!</v>
      </c>
      <c r="BG174" s="63">
        <v>0.36883026012059072</v>
      </c>
      <c r="BH174" s="63" t="e">
        <f t="shared" si="188"/>
        <v>#DIV/0!</v>
      </c>
      <c r="BI174" s="63" t="e">
        <f t="shared" si="189"/>
        <v>#DIV/0!</v>
      </c>
      <c r="BJ174" s="63" t="e">
        <f t="shared" si="190"/>
        <v>#DIV/0!</v>
      </c>
      <c r="BK174" s="63">
        <v>3.7407799688029799</v>
      </c>
      <c r="BL174" s="63">
        <v>3.7407799688029799</v>
      </c>
      <c r="BM174" s="63">
        <f t="shared" si="175"/>
        <v>3.4728556333524123</v>
      </c>
    </row>
    <row r="175" spans="1:65">
      <c r="A175" s="56" t="s">
        <v>584</v>
      </c>
      <c r="B175" s="56" t="s">
        <v>585</v>
      </c>
      <c r="C175" s="57">
        <v>881.1</v>
      </c>
      <c r="D175" s="58" t="s">
        <v>98</v>
      </c>
      <c r="E175" s="69" t="str" cm="1">
        <f t="array" ref="E175">_xll.ciqfunctions.udf.CIQ(B175,"iq_industry")</f>
        <v>Semiconductors and Semiconductor Equipment</v>
      </c>
      <c r="F175" s="60" t="e">
        <f>'Information Technology'!AA3829</f>
        <v>#VALUE!</v>
      </c>
      <c r="G175" s="62">
        <v>18.39963229763309</v>
      </c>
      <c r="H175" s="62" t="e">
        <f>-(G175-$G$260)/$G$261</f>
        <v>#DIV/0!</v>
      </c>
      <c r="I175" s="62" t="e">
        <f>H175-$H$181</f>
        <v>#DIV/0!</v>
      </c>
      <c r="J175" s="62" t="e">
        <f>I175+(5-$I$242)</f>
        <v>#DIV/0!</v>
      </c>
      <c r="K175" s="62">
        <v>1</v>
      </c>
      <c r="L175" s="108">
        <v>3.2769409969357328</v>
      </c>
      <c r="M175" s="60" t="e">
        <f>'Information Technology'!AA3830</f>
        <v>#VALUE!</v>
      </c>
      <c r="N175" s="63">
        <v>0.8601677041500001</v>
      </c>
      <c r="O175" s="63">
        <f t="shared" si="172"/>
        <v>-1.3130016227895469</v>
      </c>
      <c r="P175" s="63">
        <f t="shared" si="173"/>
        <v>-1.6784102070260514</v>
      </c>
      <c r="Q175" s="63">
        <f t="shared" si="176"/>
        <v>2.3215897929739486</v>
      </c>
      <c r="R175" s="62"/>
      <c r="S175" s="63">
        <v>1.593534609261634</v>
      </c>
      <c r="T175" s="60" t="e">
        <f>'Information Technology'!AA3831</f>
        <v>#VALUE!</v>
      </c>
      <c r="U175" s="63" t="e">
        <v>#DIV/0!</v>
      </c>
      <c r="V175" s="63" t="e">
        <f t="shared" si="174"/>
        <v>#DIV/0!</v>
      </c>
      <c r="X175" s="63"/>
      <c r="Z175" s="63">
        <v>1</v>
      </c>
      <c r="AA175" s="60" t="e">
        <f>'Information Technology'!AA3832</f>
        <v>#VALUE!</v>
      </c>
      <c r="AB175" s="63">
        <v>5.5121644733913344E-2</v>
      </c>
      <c r="AC175" s="60" t="e">
        <f t="shared" si="179"/>
        <v>#DIV/0!</v>
      </c>
      <c r="AD175" s="60" t="e">
        <f t="shared" si="180"/>
        <v>#DIV/0!</v>
      </c>
      <c r="AE175" s="60" t="e">
        <f t="shared" si="181"/>
        <v>#DIV/0!</v>
      </c>
      <c r="AF175" s="60">
        <v>3.8170707217643498</v>
      </c>
      <c r="AG175" s="60">
        <v>3.8170707217643498</v>
      </c>
      <c r="AH175" s="60" t="e">
        <f>'Information Technology'!AA3833</f>
        <v>#DIV/0!</v>
      </c>
      <c r="AI175" s="63">
        <v>4.6035249081205494E-2</v>
      </c>
      <c r="AJ175" s="60" t="e">
        <f t="shared" si="182"/>
        <v>#DIV/0!</v>
      </c>
      <c r="AK175" s="63" t="e">
        <f t="shared" si="183"/>
        <v>#DIV/0!</v>
      </c>
      <c r="AL175" s="60" t="e">
        <f t="shared" si="184"/>
        <v>#DIV/0!</v>
      </c>
      <c r="AM175" s="60">
        <v>2.5777696236507248</v>
      </c>
      <c r="AN175" s="60">
        <v>2.5777696236507248</v>
      </c>
      <c r="AO175" s="60" t="e">
        <f>'Information Technology'!AA3834</f>
        <v>#VALUE!</v>
      </c>
      <c r="AP175" s="60">
        <v>8.5181351177438677E-2</v>
      </c>
      <c r="AQ175" s="60" t="e">
        <f t="shared" si="185"/>
        <v>#DIV/0!</v>
      </c>
      <c r="AR175" s="60" t="e">
        <f t="shared" si="186"/>
        <v>#DIV/0!</v>
      </c>
      <c r="AS175" s="60" t="e">
        <f t="shared" si="187"/>
        <v>#DIV/0!</v>
      </c>
      <c r="AT175" s="60">
        <v>2.5142308634930095</v>
      </c>
      <c r="AU175" s="60">
        <v>2.5142308634930095</v>
      </c>
      <c r="AV175" s="60" t="e">
        <f>'Information Technology'!AA3835</f>
        <v>#VALUE!</v>
      </c>
      <c r="AW175" s="60" t="e">
        <v>#DIV/0!</v>
      </c>
      <c r="AX175" s="60"/>
      <c r="AY175" s="60"/>
      <c r="AZ175" s="60"/>
      <c r="BA175" s="60"/>
      <c r="BB175" s="60">
        <v>1</v>
      </c>
      <c r="BC175" s="60" t="e">
        <f>'Information Technology'!AA3836</f>
        <v>#VALUE!</v>
      </c>
      <c r="BD175" s="60">
        <v>0.34546164478191727</v>
      </c>
      <c r="BE175" s="60">
        <v>3.9</v>
      </c>
      <c r="BF175" s="60" t="e">
        <f>'Information Technology'!AA3837</f>
        <v>#VALUE!</v>
      </c>
      <c r="BG175" s="63">
        <v>0.20091010671844622</v>
      </c>
      <c r="BH175" s="63" t="e">
        <f t="shared" si="188"/>
        <v>#DIV/0!</v>
      </c>
      <c r="BI175" s="63" t="e">
        <f t="shared" si="189"/>
        <v>#DIV/0!</v>
      </c>
      <c r="BJ175" s="63" t="e">
        <f t="shared" si="190"/>
        <v>#DIV/0!</v>
      </c>
      <c r="BK175" s="63">
        <v>4.3340546566136942</v>
      </c>
      <c r="BL175" s="63">
        <v>4.3340546566136942</v>
      </c>
      <c r="BM175" s="63">
        <f t="shared" si="175"/>
        <v>3.3095698783318852</v>
      </c>
    </row>
    <row r="176" spans="1:65">
      <c r="A176" s="56" t="s">
        <v>354</v>
      </c>
      <c r="B176" s="56" t="s">
        <v>355</v>
      </c>
      <c r="C176" s="57">
        <v>4406.1000000000004</v>
      </c>
      <c r="D176" s="58" t="s">
        <v>70</v>
      </c>
      <c r="E176" s="69" t="str" cm="1">
        <f t="array" ref="E176">_xll.ciqfunctions.udf.CIQ(B176,"iq_industry")</f>
        <v>Semiconductors and Semiconductor Equipment</v>
      </c>
      <c r="F176" s="60">
        <f>'Information Technology'!AA2104</f>
        <v>17.939710820127676</v>
      </c>
      <c r="G176" s="62">
        <v>31.456225927645541</v>
      </c>
      <c r="H176" s="62" t="e">
        <f>-(G176-$G$260)/$G$261</f>
        <v>#DIV/0!</v>
      </c>
      <c r="I176" s="62" t="e">
        <f>H176-$H$181</f>
        <v>#DIV/0!</v>
      </c>
      <c r="J176" s="62" t="e">
        <f>I176+(5-$I$242)</f>
        <v>#DIV/0!</v>
      </c>
      <c r="K176" s="62">
        <v>1</v>
      </c>
      <c r="L176" s="108">
        <v>1.8226648185604815</v>
      </c>
      <c r="M176" s="60">
        <f>'Information Technology'!AA2105</f>
        <v>1.4994173522999998</v>
      </c>
      <c r="N176" s="63">
        <v>4.3946555171999995</v>
      </c>
      <c r="O176" s="63">
        <f t="shared" si="172"/>
        <v>1.5068071132218408</v>
      </c>
      <c r="P176" s="63">
        <f t="shared" si="173"/>
        <v>1.1413985289853366</v>
      </c>
      <c r="Q176" s="63">
        <f t="shared" si="176"/>
        <v>5.1413985289853361</v>
      </c>
      <c r="R176" s="62"/>
      <c r="S176" s="63">
        <v>4.4133433452730149</v>
      </c>
      <c r="T176" s="60" t="e">
        <f>'Information Technology'!AA2106</f>
        <v>#DIV/0!</v>
      </c>
      <c r="U176" s="63">
        <v>40.49118413282757</v>
      </c>
      <c r="V176" s="63" t="e">
        <f t="shared" si="174"/>
        <v>#DIV/0!</v>
      </c>
      <c r="W176" s="63" t="e">
        <f>V176-$V$252</f>
        <v>#DIV/0!</v>
      </c>
      <c r="X176" s="63" t="e">
        <f>W176+5-$W$259</f>
        <v>#DIV/0!</v>
      </c>
      <c r="Y176" s="63">
        <v>2.0925553553071348</v>
      </c>
      <c r="Z176" s="63">
        <v>2.0925553553071348</v>
      </c>
      <c r="AA176" s="60">
        <f>'Information Technology'!AA2107</f>
        <v>-4.1318981161309054E-3</v>
      </c>
      <c r="AB176" s="63">
        <v>-1.4198658665240949E-3</v>
      </c>
      <c r="AC176" s="60" t="e">
        <f t="shared" si="179"/>
        <v>#DIV/0!</v>
      </c>
      <c r="AD176" s="60" t="e">
        <f t="shared" si="180"/>
        <v>#DIV/0!</v>
      </c>
      <c r="AE176" s="60" t="e">
        <f t="shared" si="181"/>
        <v>#DIV/0!</v>
      </c>
      <c r="AF176" s="60">
        <v>4.5620502322013889</v>
      </c>
      <c r="AG176" s="60">
        <v>4.5620502322013889</v>
      </c>
      <c r="AH176" s="60">
        <f>'Information Technology'!AA2108</f>
        <v>1.8188851773247423E-2</v>
      </c>
      <c r="AI176" s="63">
        <v>0.23300918170762219</v>
      </c>
      <c r="AJ176" s="60" t="e">
        <f t="shared" si="182"/>
        <v>#DIV/0!</v>
      </c>
      <c r="AK176" s="63"/>
      <c r="AL176" s="60"/>
      <c r="AM176" s="60">
        <v>5</v>
      </c>
      <c r="AN176" s="60">
        <v>5</v>
      </c>
      <c r="AO176" s="60">
        <f>'Information Technology'!AA2109</f>
        <v>1.3447734876291164E-2</v>
      </c>
      <c r="AP176" s="60">
        <v>0.1526435890767818</v>
      </c>
      <c r="AQ176" s="60" t="e">
        <f t="shared" si="185"/>
        <v>#DIV/0!</v>
      </c>
      <c r="AR176" s="60" t="e">
        <f t="shared" si="186"/>
        <v>#DIV/0!</v>
      </c>
      <c r="AS176" s="60" t="e">
        <f t="shared" si="187"/>
        <v>#DIV/0!</v>
      </c>
      <c r="AT176" s="60">
        <v>3.5171788841529228</v>
      </c>
      <c r="AU176" s="60">
        <v>3.5171788841529228</v>
      </c>
      <c r="AV176" s="60" t="b">
        <f>'Information Technology'!AA2110</f>
        <v>0</v>
      </c>
      <c r="AW176" s="60">
        <v>0</v>
      </c>
      <c r="AX176" s="60" t="e">
        <f>(AW176-$AW$260)/$AW$261</f>
        <v>#DIV/0!</v>
      </c>
      <c r="AY176" s="60" t="e">
        <f>AX176-$AX$253</f>
        <v>#DIV/0!</v>
      </c>
      <c r="AZ176" s="60" t="e">
        <f>AY176+5-$AY$205</f>
        <v>#DIV/0!</v>
      </c>
      <c r="BA176" s="60">
        <v>1.876080877771261</v>
      </c>
      <c r="BB176" s="60">
        <v>1.876080877771261</v>
      </c>
      <c r="BC176" s="60">
        <f>'Information Technology'!AA2111</f>
        <v>-0.63555135809045782</v>
      </c>
      <c r="BD176" s="60">
        <v>0</v>
      </c>
      <c r="BE176" s="60">
        <v>5</v>
      </c>
      <c r="BF176" s="60">
        <f>'Information Technology'!AA2112</f>
        <v>6.9640872829041189E-2</v>
      </c>
      <c r="BG176" s="63">
        <v>1.7578138308027036</v>
      </c>
      <c r="BI176" s="63"/>
      <c r="BJ176" s="63"/>
      <c r="BK176" s="63">
        <v>1.2</v>
      </c>
      <c r="BL176" s="63">
        <v>1.2</v>
      </c>
      <c r="BM176" s="63">
        <f t="shared" si="175"/>
        <v>3.2202517141735556</v>
      </c>
    </row>
    <row r="177" spans="1:65">
      <c r="A177" s="56" t="s">
        <v>536</v>
      </c>
      <c r="B177" s="56" t="s">
        <v>537</v>
      </c>
      <c r="C177" s="57">
        <v>1282.7</v>
      </c>
      <c r="D177" s="58" t="s">
        <v>98</v>
      </c>
      <c r="E177" s="69" t="str" cm="1">
        <f t="array" ref="E177">_xll.ciqfunctions.udf.CIQ(B177,"iq_industry")</f>
        <v>Semiconductors and Semiconductor Equipment</v>
      </c>
      <c r="F177" s="60">
        <f>'Information Technology'!AA3469</f>
        <v>52.315800623097459</v>
      </c>
      <c r="G177" s="62">
        <v>8.0011958616891175</v>
      </c>
      <c r="H177" s="62" t="e">
        <f>-(G177-$G$260)/$G$261</f>
        <v>#DIV/0!</v>
      </c>
      <c r="I177" s="62" t="e">
        <f>H177-$H$181</f>
        <v>#DIV/0!</v>
      </c>
      <c r="J177" s="62" t="e">
        <f>I177+(5-$I$242)</f>
        <v>#DIV/0!</v>
      </c>
      <c r="K177" s="62">
        <v>1</v>
      </c>
      <c r="L177" s="108">
        <v>4.4351449534701555</v>
      </c>
      <c r="M177" s="60">
        <f>'Information Technology'!AA3470</f>
        <v>1.15967775</v>
      </c>
      <c r="N177" s="63">
        <v>1.20320094655</v>
      </c>
      <c r="O177" s="63">
        <f t="shared" si="172"/>
        <v>-1.0393302495030357</v>
      </c>
      <c r="P177" s="63">
        <f t="shared" si="173"/>
        <v>-1.4047388337395401</v>
      </c>
      <c r="Q177" s="63">
        <f t="shared" si="176"/>
        <v>2.5952611662604599</v>
      </c>
      <c r="R177" s="62"/>
      <c r="S177" s="63">
        <v>1.8672059825481444</v>
      </c>
      <c r="T177" s="60" t="e">
        <f>'Information Technology'!AA3471</f>
        <v>#DIV/0!</v>
      </c>
      <c r="U177" s="63" t="e">
        <v>#DIV/0!</v>
      </c>
      <c r="V177" s="63" t="e">
        <f t="shared" si="174"/>
        <v>#DIV/0!</v>
      </c>
      <c r="X177" s="63"/>
      <c r="Z177" s="63">
        <v>1</v>
      </c>
      <c r="AA177" s="60">
        <f>'Information Technology'!AA3472</f>
        <v>4.9310985508514982E-2</v>
      </c>
      <c r="AB177" s="63">
        <v>2.7551493665860294E-2</v>
      </c>
      <c r="AC177" s="60" t="e">
        <f t="shared" si="179"/>
        <v>#DIV/0!</v>
      </c>
      <c r="AD177" s="60" t="e">
        <f t="shared" si="180"/>
        <v>#DIV/0!</v>
      </c>
      <c r="AE177" s="60" t="e">
        <f t="shared" si="181"/>
        <v>#DIV/0!</v>
      </c>
      <c r="AF177" s="60">
        <v>4.1803294572887326</v>
      </c>
      <c r="AG177" s="60">
        <v>4.1803294572887326</v>
      </c>
      <c r="AH177" s="60">
        <f>'Information Technology'!AA3473</f>
        <v>-0.37442244945175213</v>
      </c>
      <c r="AI177" s="63">
        <v>2.8531516192594277E-2</v>
      </c>
      <c r="AJ177" s="60" t="e">
        <f t="shared" si="182"/>
        <v>#DIV/0!</v>
      </c>
      <c r="AK177" s="63" t="e">
        <f>AJ177-$AJ$203</f>
        <v>#DIV/0!</v>
      </c>
      <c r="AL177" s="60" t="e">
        <f>AK177+5-$AK$155</f>
        <v>#DIV/0!</v>
      </c>
      <c r="AM177" s="60">
        <v>2.1793159811251632</v>
      </c>
      <c r="AN177" s="60">
        <v>2.1793159811251632</v>
      </c>
      <c r="AO177" s="60">
        <f>'Information Technology'!AA3474</f>
        <v>4.781024761306292E-2</v>
      </c>
      <c r="AP177" s="60">
        <v>1.8561980332512867E-2</v>
      </c>
      <c r="AQ177" s="60" t="e">
        <f t="shared" si="185"/>
        <v>#DIV/0!</v>
      </c>
      <c r="AR177" s="60" t="e">
        <f t="shared" si="186"/>
        <v>#DIV/0!</v>
      </c>
      <c r="AS177" s="60" t="e">
        <f t="shared" si="187"/>
        <v>#DIV/0!</v>
      </c>
      <c r="AT177" s="60">
        <v>1.5238135840333602</v>
      </c>
      <c r="AU177" s="60">
        <v>1.5238135840333602</v>
      </c>
      <c r="AV177" s="60" t="e">
        <f>'Information Technology'!AA3475</f>
        <v>#DIV/0!</v>
      </c>
      <c r="AW177" s="60">
        <v>1.6409164119220172E-2</v>
      </c>
      <c r="AX177" s="60" t="e">
        <f>(AW177-$AW$260)/$AW$261</f>
        <v>#DIV/0!</v>
      </c>
      <c r="AY177" s="60" t="e">
        <f>AX177-$AX$253</f>
        <v>#DIV/0!</v>
      </c>
      <c r="AZ177" s="60" t="e">
        <f>AY177+5-$AY$205</f>
        <v>#DIV/0!</v>
      </c>
      <c r="BA177" s="60">
        <v>2.9788932473419667</v>
      </c>
      <c r="BB177" s="60">
        <v>2.9788932473419667</v>
      </c>
      <c r="BC177" s="60">
        <f>'Information Technology'!AA3476</f>
        <v>2.0310809271966872</v>
      </c>
      <c r="BD177" s="60">
        <v>0.60146721958957194</v>
      </c>
      <c r="BE177" s="60">
        <v>2.25</v>
      </c>
      <c r="BF177" s="60">
        <f>'Information Technology'!AA3477</f>
        <v>0.82071209436878989</v>
      </c>
      <c r="BG177" s="63">
        <v>0.11859433637146007</v>
      </c>
      <c r="BH177" s="63" t="e">
        <f>-(BG177-$BG$260)/$BG$261</f>
        <v>#DIV/0!</v>
      </c>
      <c r="BI177" s="63" t="e">
        <f>BH177-$BH$181</f>
        <v>#DIV/0!</v>
      </c>
      <c r="BJ177" s="63" t="e">
        <f>BI177+5-$BI$259</f>
        <v>#DIV/0!</v>
      </c>
      <c r="BK177" s="63">
        <v>4.6248825409686587</v>
      </c>
      <c r="BL177" s="63">
        <v>4.6248825409686587</v>
      </c>
      <c r="BM177" s="63">
        <f t="shared" si="175"/>
        <v>3.1834680519427909</v>
      </c>
    </row>
    <row r="178" spans="1:65">
      <c r="A178" s="56" t="s">
        <v>492</v>
      </c>
      <c r="B178" s="56" t="s">
        <v>493</v>
      </c>
      <c r="C178" s="57">
        <v>1748.3</v>
      </c>
      <c r="D178" s="58" t="s">
        <v>70</v>
      </c>
      <c r="E178" s="69" t="str" cm="1">
        <f t="array" ref="E178">_xll.ciqfunctions.udf.CIQ(B178,"iq_industry")</f>
        <v>Semiconductors and Semiconductor Equipment</v>
      </c>
      <c r="F178" s="60">
        <f>'Information Technology'!AA3139</f>
        <v>68.351671861850036</v>
      </c>
      <c r="G178" s="62">
        <v>11.936305980142334</v>
      </c>
      <c r="H178" s="62" t="e">
        <f>-(G178-$G$260)/$G$261</f>
        <v>#DIV/0!</v>
      </c>
      <c r="I178" s="62" t="e">
        <f>H178-$H$181</f>
        <v>#DIV/0!</v>
      </c>
      <c r="J178" s="62" t="e">
        <f>I178+(5-$I$242)</f>
        <v>#DIV/0!</v>
      </c>
      <c r="K178" s="62">
        <v>1</v>
      </c>
      <c r="L178" s="108">
        <v>3.9968425089952513</v>
      </c>
      <c r="M178" s="60">
        <f>'Information Technology'!AA3140</f>
        <v>4.2836189200000003</v>
      </c>
      <c r="N178" s="63">
        <v>1.7325237383999998</v>
      </c>
      <c r="O178" s="63">
        <f t="shared" si="172"/>
        <v>-0.61703737099383682</v>
      </c>
      <c r="P178" s="63">
        <f t="shared" si="173"/>
        <v>-0.98244595523034117</v>
      </c>
      <c r="Q178" s="63">
        <f t="shared" si="176"/>
        <v>3.0175540447696587</v>
      </c>
      <c r="R178" s="62"/>
      <c r="S178" s="63">
        <v>2.2894988610573419</v>
      </c>
      <c r="T178" s="60" t="e">
        <f>'Information Technology'!AA3141</f>
        <v>#DIV/0!</v>
      </c>
      <c r="U178" s="63" t="e">
        <v>#DIV/0!</v>
      </c>
      <c r="V178" s="63" t="e">
        <f t="shared" si="174"/>
        <v>#DIV/0!</v>
      </c>
      <c r="W178" s="63"/>
      <c r="X178" s="63"/>
      <c r="Z178" s="63">
        <v>1</v>
      </c>
      <c r="AA178" s="60">
        <f>'Information Technology'!AA3142</f>
        <v>4.8676784988681998E-2</v>
      </c>
      <c r="AB178" s="63">
        <v>3.0968526383523765E-2</v>
      </c>
      <c r="AC178" s="60" t="e">
        <f t="shared" si="179"/>
        <v>#DIV/0!</v>
      </c>
      <c r="AD178" s="60" t="e">
        <f t="shared" si="180"/>
        <v>#DIV/0!</v>
      </c>
      <c r="AE178" s="60" t="e">
        <f t="shared" si="181"/>
        <v>#DIV/0!</v>
      </c>
      <c r="AF178" s="60">
        <v>4.135307325157501</v>
      </c>
      <c r="AG178" s="60">
        <v>4.135307325157501</v>
      </c>
      <c r="AH178" s="60">
        <f>'Information Technology'!AA3143</f>
        <v>-3.9542940726391931E-2</v>
      </c>
      <c r="AI178" s="63">
        <v>1.5850316031688072E-2</v>
      </c>
      <c r="AJ178" s="60" t="e">
        <f t="shared" si="182"/>
        <v>#DIV/0!</v>
      </c>
      <c r="AK178" s="63" t="e">
        <f>AJ178-$AJ$203</f>
        <v>#DIV/0!</v>
      </c>
      <c r="AL178" s="60" t="e">
        <f>AK178+5-$AK$155</f>
        <v>#DIV/0!</v>
      </c>
      <c r="AM178" s="60">
        <v>1.8906421063657701</v>
      </c>
      <c r="AN178" s="60">
        <v>1.8906421063657701</v>
      </c>
      <c r="AO178" s="60">
        <f>'Information Technology'!AA3144</f>
        <v>0.6226690581069475</v>
      </c>
      <c r="AP178" s="60">
        <v>0.11696037397902202</v>
      </c>
      <c r="AQ178" s="60" t="e">
        <f t="shared" si="185"/>
        <v>#DIV/0!</v>
      </c>
      <c r="AR178" s="60" t="e">
        <f t="shared" si="186"/>
        <v>#DIV/0!</v>
      </c>
      <c r="AS178" s="60" t="e">
        <f t="shared" si="187"/>
        <v>#DIV/0!</v>
      </c>
      <c r="AT178" s="60">
        <v>2.9866834385900569</v>
      </c>
      <c r="AU178" s="60">
        <v>2.9866834385900569</v>
      </c>
      <c r="AV178" s="60" t="e">
        <f>'Information Technology'!AA3145</f>
        <v>#DIV/0!</v>
      </c>
      <c r="AW178" s="60">
        <v>-9.3393038363234308E-3</v>
      </c>
      <c r="AX178" s="60" t="e">
        <f>(AW178-$AW$260)/$AW$261</f>
        <v>#DIV/0!</v>
      </c>
      <c r="AY178" s="60" t="e">
        <f>AX178-$AX$253</f>
        <v>#DIV/0!</v>
      </c>
      <c r="AZ178" s="60" t="e">
        <f>AY178+5-$AY$205</f>
        <v>#DIV/0!</v>
      </c>
      <c r="BA178" s="60">
        <v>1.2484133305978649</v>
      </c>
      <c r="BB178" s="60">
        <v>1.2484133305978649</v>
      </c>
      <c r="BC178" s="60">
        <f>'Information Technology'!AA3146</f>
        <v>-7.2483150010684172E-2</v>
      </c>
      <c r="BD178" s="60">
        <v>-0.67883168577772612</v>
      </c>
      <c r="BE178" s="60">
        <v>5</v>
      </c>
      <c r="BF178" s="60" t="e">
        <f>'Information Technology'!AA3147</f>
        <v>#DIV/0!</v>
      </c>
      <c r="BG178" s="63">
        <v>0.85751188967591663</v>
      </c>
      <c r="BH178" s="63" t="e">
        <f>-(BG178-$BG$260)/$BG$261</f>
        <v>#DIV/0!</v>
      </c>
      <c r="BI178" s="63" t="e">
        <f>BH178-$BH$181</f>
        <v>#DIV/0!</v>
      </c>
      <c r="BJ178" s="63" t="e">
        <f>BI178+5-$BI$259</f>
        <v>#DIV/0!</v>
      </c>
      <c r="BK178" s="63">
        <v>2.0142305621993248</v>
      </c>
      <c r="BL178" s="63">
        <v>2.0142305621993248</v>
      </c>
      <c r="BM178" s="63">
        <f t="shared" si="175"/>
        <v>3.106198728804531</v>
      </c>
    </row>
    <row r="179" spans="1:65">
      <c r="A179" s="56" t="s">
        <v>324</v>
      </c>
      <c r="B179" s="56" t="s">
        <v>325</v>
      </c>
      <c r="C179" s="57">
        <v>5130</v>
      </c>
      <c r="D179" s="58" t="s">
        <v>98</v>
      </c>
      <c r="E179" s="69" t="str" cm="1">
        <f t="array" ref="E179">_xll.ciqfunctions.udf.CIQ(B179,"iq_industry")</f>
        <v>Semiconductors and Semiconductor Equipment</v>
      </c>
      <c r="F179" s="60" t="e">
        <f>'Information Technology'!AA1879</f>
        <v>#VALUE!</v>
      </c>
      <c r="G179" s="62">
        <v>28.277296638098957</v>
      </c>
      <c r="H179" s="62" t="e">
        <f>-(G179-$G$260)/$G$261</f>
        <v>#DIV/0!</v>
      </c>
      <c r="I179" s="62" t="e">
        <f>H179-$H$181</f>
        <v>#DIV/0!</v>
      </c>
      <c r="J179" s="62" t="e">
        <f>I179+(5-$I$242)</f>
        <v>#DIV/0!</v>
      </c>
      <c r="K179" s="62">
        <v>1</v>
      </c>
      <c r="L179" s="108">
        <v>2.1767419438453057</v>
      </c>
      <c r="M179" s="60" t="e">
        <f>'Information Technology'!AA1880</f>
        <v>#VALUE!</v>
      </c>
      <c r="N179" s="63">
        <v>5.13</v>
      </c>
      <c r="O179" s="63">
        <f t="shared" si="172"/>
        <v>2.0934637679488279</v>
      </c>
      <c r="P179" s="63">
        <f t="shared" si="173"/>
        <v>1.7280551837123235</v>
      </c>
      <c r="Q179" s="63">
        <f t="shared" si="176"/>
        <v>5.728055183712323</v>
      </c>
      <c r="R179" s="62"/>
      <c r="S179" s="63">
        <v>5.0000000000000009</v>
      </c>
      <c r="T179" s="60" t="e">
        <f>'Information Technology'!AA1881</f>
        <v>#VALUE!</v>
      </c>
      <c r="U179" s="63" t="e">
        <v>#DIV/0!</v>
      </c>
      <c r="V179" s="63" t="e">
        <f t="shared" si="174"/>
        <v>#DIV/0!</v>
      </c>
      <c r="X179" s="63"/>
      <c r="Z179" s="63">
        <v>1</v>
      </c>
      <c r="AA179" s="60" t="e">
        <f>'Information Technology'!AA1882</f>
        <v>#VALUE!</v>
      </c>
      <c r="AB179" s="63">
        <v>4.6466833455793832E-4</v>
      </c>
      <c r="AC179" s="60" t="e">
        <f t="shared" si="179"/>
        <v>#DIV/0!</v>
      </c>
      <c r="AD179" s="60" t="e">
        <f t="shared" si="180"/>
        <v>#DIV/0!</v>
      </c>
      <c r="AE179" s="60" t="e">
        <f t="shared" si="181"/>
        <v>#DIV/0!</v>
      </c>
      <c r="AF179" s="60">
        <v>4.537219990638774</v>
      </c>
      <c r="AG179" s="60">
        <v>4.537219990638774</v>
      </c>
      <c r="AH179" s="60" t="e">
        <f>'Information Technology'!AA1883</f>
        <v>#DIV/0!</v>
      </c>
      <c r="AI179" s="63">
        <v>0.15244178920858806</v>
      </c>
      <c r="AJ179" s="60" t="e">
        <f t="shared" si="182"/>
        <v>#DIV/0!</v>
      </c>
      <c r="AK179" s="63" t="e">
        <f>AJ179-$AJ$203</f>
        <v>#DIV/0!</v>
      </c>
      <c r="AL179" s="60" t="e">
        <f>AK179+5-$AK$155</f>
        <v>#DIV/0!</v>
      </c>
      <c r="AM179" s="60">
        <v>4.9400000000000004</v>
      </c>
      <c r="AN179" s="60">
        <v>4.9400000000000004</v>
      </c>
      <c r="AO179" s="60" t="e">
        <f>'Information Technology'!AA1884</f>
        <v>#VALUE!</v>
      </c>
      <c r="AP179" s="60">
        <v>3.4583013575122071E-2</v>
      </c>
      <c r="AQ179" s="60" t="e">
        <f t="shared" si="185"/>
        <v>#DIV/0!</v>
      </c>
      <c r="AR179" s="60" t="e">
        <f t="shared" si="186"/>
        <v>#DIV/0!</v>
      </c>
      <c r="AS179" s="60" t="e">
        <f t="shared" si="187"/>
        <v>#DIV/0!</v>
      </c>
      <c r="AT179" s="60">
        <v>1.7619951813230348</v>
      </c>
      <c r="AU179" s="60">
        <v>1.7619951813230348</v>
      </c>
      <c r="AV179" s="60" t="e">
        <f>'Information Technology'!AA1885</f>
        <v>#VALUE!</v>
      </c>
      <c r="AW179" s="60" t="b">
        <v>0</v>
      </c>
      <c r="AX179" s="60"/>
      <c r="AY179" s="60"/>
      <c r="AZ179" s="60"/>
      <c r="BA179" s="60"/>
      <c r="BB179" s="60">
        <v>1</v>
      </c>
      <c r="BC179" s="60" t="e">
        <f>'Information Technology'!AA1886</f>
        <v>#VALUE!</v>
      </c>
      <c r="BD179" s="60">
        <v>-4.906206703814091E-3</v>
      </c>
      <c r="BE179" s="60">
        <v>5</v>
      </c>
      <c r="BF179" s="60" t="e">
        <f>'Information Technology'!AA1887</f>
        <v>#VALUE!</v>
      </c>
      <c r="BG179" s="63">
        <v>1.9616541821613975</v>
      </c>
      <c r="BI179" s="63"/>
      <c r="BJ179" s="63"/>
      <c r="BK179" s="63">
        <v>1.1299999999999999</v>
      </c>
      <c r="BL179" s="63">
        <v>1.1299999999999999</v>
      </c>
      <c r="BM179" s="63">
        <f t="shared" si="175"/>
        <v>3.0343428012630032</v>
      </c>
    </row>
    <row r="180" spans="1:65">
      <c r="A180" s="56" t="s">
        <v>518</v>
      </c>
      <c r="B180" s="56" t="s">
        <v>519</v>
      </c>
      <c r="C180" s="57">
        <v>1490.3</v>
      </c>
      <c r="D180" s="58" t="s">
        <v>98</v>
      </c>
      <c r="E180" s="69" t="str" cm="1">
        <f t="array" ref="E180">_xll.ciqfunctions.udf.CIQ(B180,"iq_industry")</f>
        <v>Semiconductors and Semiconductor Equipment</v>
      </c>
      <c r="F180" s="60">
        <f>'Information Technology'!AA3334</f>
        <v>846250.84885209834</v>
      </c>
      <c r="G180" s="62">
        <v>102.79635738017078</v>
      </c>
      <c r="K180" s="62">
        <v>1</v>
      </c>
      <c r="L180" s="108">
        <v>1.1599999999999999</v>
      </c>
      <c r="M180" s="60">
        <f>'Information Technology'!AA3335</f>
        <v>3.0841506215999996</v>
      </c>
      <c r="N180" s="63">
        <v>1.5080881104499999</v>
      </c>
      <c r="O180" s="63">
        <f t="shared" si="172"/>
        <v>-0.79609175676055288</v>
      </c>
      <c r="P180" s="63">
        <f t="shared" si="173"/>
        <v>-1.1615003409970572</v>
      </c>
      <c r="Q180" s="63">
        <f t="shared" si="176"/>
        <v>2.8384996590029425</v>
      </c>
      <c r="R180" s="62"/>
      <c r="S180" s="63">
        <v>2.1104444752906266</v>
      </c>
      <c r="T180" s="60" t="e">
        <f>'Information Technology'!AA3336</f>
        <v>#DIV/0!</v>
      </c>
      <c r="U180" s="63" t="e">
        <v>#DIV/0!</v>
      </c>
      <c r="V180" s="63" t="e">
        <f t="shared" si="174"/>
        <v>#DIV/0!</v>
      </c>
      <c r="X180" s="63"/>
      <c r="Z180" s="63">
        <v>1</v>
      </c>
      <c r="AA180" s="60">
        <f>'Information Technology'!AA3337</f>
        <v>0.27407136520457653</v>
      </c>
      <c r="AB180" s="63">
        <v>3.2413986528917471E-2</v>
      </c>
      <c r="AC180" s="60" t="e">
        <f t="shared" si="179"/>
        <v>#DIV/0!</v>
      </c>
      <c r="AD180" s="60" t="e">
        <f t="shared" si="180"/>
        <v>#DIV/0!</v>
      </c>
      <c r="AE180" s="60" t="e">
        <f t="shared" si="181"/>
        <v>#DIV/0!</v>
      </c>
      <c r="AF180" s="60">
        <v>4.1162622345676629</v>
      </c>
      <c r="AG180" s="60">
        <v>4.1162622345676629</v>
      </c>
      <c r="AH180" s="60">
        <f>'Information Technology'!AA3338</f>
        <v>-0.30196322086820726</v>
      </c>
      <c r="AI180" s="63">
        <v>-9.3865175248867769E-2</v>
      </c>
      <c r="AJ180" s="60"/>
      <c r="AL180" s="60"/>
      <c r="AM180" s="60"/>
      <c r="AN180" s="60">
        <v>1</v>
      </c>
      <c r="AO180" s="60">
        <f>'Information Technology'!AA3339</f>
        <v>1.5655360566763728E-5</v>
      </c>
      <c r="AP180" s="60">
        <v>1.1004574696177745E-2</v>
      </c>
      <c r="AQ180" s="60" t="e">
        <f t="shared" si="185"/>
        <v>#DIV/0!</v>
      </c>
      <c r="AR180" s="60" t="e">
        <f t="shared" si="186"/>
        <v>#DIV/0!</v>
      </c>
      <c r="AS180" s="60" t="e">
        <f t="shared" si="187"/>
        <v>#DIV/0!</v>
      </c>
      <c r="AT180" s="60">
        <v>1.4114590986159681</v>
      </c>
      <c r="AU180" s="60">
        <v>1.4114590986159681</v>
      </c>
      <c r="AV180" s="60" t="e">
        <f>'Information Technology'!AA3340</f>
        <v>#DIV/0!</v>
      </c>
      <c r="AW180" s="60" t="b">
        <v>0</v>
      </c>
      <c r="AX180" s="60"/>
      <c r="AY180" s="60"/>
      <c r="AZ180" s="60"/>
      <c r="BA180" s="60"/>
      <c r="BB180" s="60">
        <v>1</v>
      </c>
      <c r="BC180" s="60">
        <f>'Information Technology'!AA3341</f>
        <v>3263.5406432740569</v>
      </c>
      <c r="BD180" s="60">
        <v>-0.91720793062493122</v>
      </c>
      <c r="BE180" s="60">
        <v>5</v>
      </c>
      <c r="BF180" s="60">
        <f>'Information Technology'!AA3342</f>
        <v>5.6280349348605236</v>
      </c>
      <c r="BG180" s="63">
        <v>0.40533170350753478</v>
      </c>
      <c r="BH180" s="63" t="e">
        <f>-(BG180-$BG$260)/$BG$261</f>
        <v>#DIV/0!</v>
      </c>
      <c r="BI180" s="63" t="e">
        <f>BH180-$BH$181</f>
        <v>#DIV/0!</v>
      </c>
      <c r="BJ180" s="63" t="e">
        <f>BI180+5-$BI$259</f>
        <v>#DIV/0!</v>
      </c>
      <c r="BK180" s="63">
        <v>3.6118175900099585</v>
      </c>
      <c r="BL180" s="63">
        <v>3.6118175900099585</v>
      </c>
      <c r="BM180" s="63">
        <f t="shared" si="175"/>
        <v>3.0100632508298348</v>
      </c>
    </row>
    <row r="181" spans="1:65">
      <c r="A181" s="56" t="s">
        <v>550</v>
      </c>
      <c r="B181" s="56" t="s">
        <v>551</v>
      </c>
      <c r="C181" s="57">
        <v>1192.0999999999999</v>
      </c>
      <c r="D181" s="58" t="s">
        <v>70</v>
      </c>
      <c r="E181" s="69" t="str" cm="1">
        <f t="array" ref="E181">_xll.ciqfunctions.udf.CIQ(B181,"iq_industry")</f>
        <v>Semiconductors and Semiconductor Equipment</v>
      </c>
      <c r="F181" s="60" t="e">
        <f>'Information Technology'!AA3574</f>
        <v>#DIV/0!</v>
      </c>
      <c r="G181" s="62">
        <v>6.8526524123508912</v>
      </c>
      <c r="H181" s="62" t="e">
        <f>-(G181-$G$260)/$G$261</f>
        <v>#DIV/0!</v>
      </c>
      <c r="I181" s="62" t="e">
        <f>H181-$H$181</f>
        <v>#DIV/0!</v>
      </c>
      <c r="J181" s="62" t="e">
        <f>I181+(5-$I$242)</f>
        <v>#DIV/0!</v>
      </c>
      <c r="K181" s="62">
        <v>1</v>
      </c>
      <c r="L181" s="108">
        <v>4.563072606388916</v>
      </c>
      <c r="M181" s="60">
        <f>'Information Technology'!AA3575</f>
        <v>4.2512804606999994</v>
      </c>
      <c r="N181" s="63">
        <v>0.7311127300000001</v>
      </c>
      <c r="O181" s="63">
        <f t="shared" si="172"/>
        <v>-1.4159614751874723</v>
      </c>
      <c r="P181" s="63">
        <f t="shared" si="173"/>
        <v>-1.7813700594239767</v>
      </c>
      <c r="Q181" s="63">
        <f t="shared" si="176"/>
        <v>2.2186299405760233</v>
      </c>
      <c r="R181" s="62"/>
      <c r="S181" s="63">
        <v>1.4905747568637091</v>
      </c>
      <c r="T181" s="60" t="e">
        <f>'Information Technology'!AA3576</f>
        <v>#DIV/0!</v>
      </c>
      <c r="U181" s="63" t="e">
        <v>#DIV/0!</v>
      </c>
      <c r="V181" s="63" t="e">
        <f t="shared" si="174"/>
        <v>#DIV/0!</v>
      </c>
      <c r="X181" s="63"/>
      <c r="Z181" s="63">
        <v>1</v>
      </c>
      <c r="AA181" s="60" t="e">
        <f>'Information Technology'!AA3577</f>
        <v>#DIV/0!</v>
      </c>
      <c r="AB181" s="63">
        <v>2.361277091019498E-2</v>
      </c>
      <c r="AC181" s="60" t="e">
        <f t="shared" si="179"/>
        <v>#DIV/0!</v>
      </c>
      <c r="AD181" s="60" t="e">
        <f t="shared" si="180"/>
        <v>#DIV/0!</v>
      </c>
      <c r="AE181" s="60" t="e">
        <f t="shared" si="181"/>
        <v>#DIV/0!</v>
      </c>
      <c r="AF181" s="60">
        <v>4.23222527186996</v>
      </c>
      <c r="AG181" s="60">
        <v>4.23222527186996</v>
      </c>
      <c r="AH181" s="60" t="e">
        <f>'Information Technology'!AA3578</f>
        <v>#DIV/0!</v>
      </c>
      <c r="AI181" s="63">
        <v>3.1317447900308513E-2</v>
      </c>
      <c r="AJ181" s="60" t="e">
        <f>(AI181-$AI$260)/$AI$261</f>
        <v>#DIV/0!</v>
      </c>
      <c r="AK181" s="63" t="e">
        <f>AJ181-$AJ$203</f>
        <v>#DIV/0!</v>
      </c>
      <c r="AL181" s="60" t="e">
        <f>AK181+5-$AK$155</f>
        <v>#DIV/0!</v>
      </c>
      <c r="AM181" s="60">
        <v>2.242734718364261</v>
      </c>
      <c r="AN181" s="60">
        <v>2.242734718364261</v>
      </c>
      <c r="AO181" s="60" t="e">
        <f>'Information Technology'!AA3579</f>
        <v>#DIV/0!</v>
      </c>
      <c r="AP181" s="60">
        <v>7.4596798120038457E-2</v>
      </c>
      <c r="AQ181" s="60" t="e">
        <f t="shared" si="185"/>
        <v>#DIV/0!</v>
      </c>
      <c r="AR181" s="60" t="e">
        <f t="shared" si="186"/>
        <v>#DIV/0!</v>
      </c>
      <c r="AS181" s="60" t="e">
        <f t="shared" si="187"/>
        <v>#DIV/0!</v>
      </c>
      <c r="AT181" s="60">
        <v>2.356872363848681</v>
      </c>
      <c r="AU181" s="60">
        <v>2.356872363848681</v>
      </c>
      <c r="AV181" s="60" t="e">
        <f>'Information Technology'!AA3580</f>
        <v>#DIV/0!</v>
      </c>
      <c r="AW181" s="60" t="b">
        <v>0</v>
      </c>
      <c r="AX181" s="60"/>
      <c r="AY181" s="60"/>
      <c r="AZ181" s="60"/>
      <c r="BA181" s="60"/>
      <c r="BB181" s="60">
        <v>1</v>
      </c>
      <c r="BC181" s="60" t="e">
        <f>'Information Technology'!AA3581</f>
        <v>#DIV/0!</v>
      </c>
      <c r="BD181" s="60">
        <v>0.48740154230310612</v>
      </c>
      <c r="BE181" s="60">
        <v>2.4</v>
      </c>
      <c r="BF181" s="60" t="e">
        <f>'Information Technology'!AA3582</f>
        <v>#DIV/0!</v>
      </c>
      <c r="BG181" s="63">
        <v>0.1503156823441657</v>
      </c>
      <c r="BH181" s="63" t="e">
        <f>-(BG181-$BG$260)/$BG$261</f>
        <v>#DIV/0!</v>
      </c>
      <c r="BI181" s="63" t="e">
        <f>BH181-$BH$181</f>
        <v>#DIV/0!</v>
      </c>
      <c r="BJ181" s="63" t="e">
        <f>BI181+5-$BI$259</f>
        <v>#DIV/0!</v>
      </c>
      <c r="BK181" s="63">
        <v>4.5128086103081584</v>
      </c>
      <c r="BL181" s="63">
        <v>4.5128086103081584</v>
      </c>
      <c r="BM181" s="63">
        <f t="shared" si="175"/>
        <v>2.9996288320320308</v>
      </c>
    </row>
    <row r="182" spans="1:65">
      <c r="A182" s="56" t="s">
        <v>576</v>
      </c>
      <c r="B182" s="56" t="s">
        <v>577</v>
      </c>
      <c r="C182" s="57">
        <v>940</v>
      </c>
      <c r="D182" s="58" t="s">
        <v>98</v>
      </c>
      <c r="E182" s="69" t="str" cm="1">
        <f t="array" ref="E182">_xll.ciqfunctions.udf.CIQ(B182,"iq_industry")</f>
        <v>Semiconductors and Semiconductor Equipment</v>
      </c>
      <c r="F182" s="60" t="e">
        <f>'Information Technology'!AA3769</f>
        <v>#DIV/0!</v>
      </c>
      <c r="G182" s="62">
        <v>-8.7951575559022377</v>
      </c>
      <c r="J182" s="62">
        <v>1</v>
      </c>
      <c r="K182" s="62">
        <v>1</v>
      </c>
      <c r="L182" s="108">
        <v>1</v>
      </c>
      <c r="M182" s="60">
        <f>'Information Technology'!AA3770</f>
        <v>1.248835549</v>
      </c>
      <c r="N182" s="63">
        <v>1.128423376</v>
      </c>
      <c r="O182" s="63">
        <f t="shared" si="172"/>
        <v>-1.0989876759386477</v>
      </c>
      <c r="P182" s="63">
        <f t="shared" si="173"/>
        <v>-1.4643962601751519</v>
      </c>
      <c r="Q182" s="63">
        <f t="shared" si="176"/>
        <v>2.5356037398248481</v>
      </c>
      <c r="R182" s="62"/>
      <c r="S182" s="63">
        <v>1.8075485561125326</v>
      </c>
      <c r="T182" s="60" t="e">
        <f>'Information Technology'!AA3771</f>
        <v>#DIV/0!</v>
      </c>
      <c r="U182" s="63" t="e">
        <v>#DIV/0!</v>
      </c>
      <c r="V182" s="63" t="e">
        <f t="shared" si="174"/>
        <v>#DIV/0!</v>
      </c>
      <c r="X182" s="63"/>
      <c r="Z182" s="63">
        <v>1</v>
      </c>
      <c r="AA182" s="60" t="e">
        <f>'Information Technology'!AA3772</f>
        <v>#DIV/0!</v>
      </c>
      <c r="AB182" s="63">
        <v>4.4738947513230931E-2</v>
      </c>
      <c r="AC182" s="60" t="e">
        <f t="shared" si="179"/>
        <v>#DIV/0!</v>
      </c>
      <c r="AD182" s="60" t="e">
        <f t="shared" si="180"/>
        <v>#DIV/0!</v>
      </c>
      <c r="AE182" s="60" t="e">
        <f t="shared" si="181"/>
        <v>#DIV/0!</v>
      </c>
      <c r="AF182" s="60">
        <v>3.9538710408633611</v>
      </c>
      <c r="AG182" s="60">
        <v>3.9538710408633611</v>
      </c>
      <c r="AH182" s="60" t="e">
        <f>'Information Technology'!AA3773</f>
        <v>#DIV/0!</v>
      </c>
      <c r="AI182" s="63">
        <v>0.11782153205407796</v>
      </c>
      <c r="AJ182" s="60" t="e">
        <f>(AI182-$AI$260)/$AI$261</f>
        <v>#DIV/0!</v>
      </c>
      <c r="AK182" s="63" t="e">
        <f>AJ182-$AJ$203</f>
        <v>#DIV/0!</v>
      </c>
      <c r="AL182" s="60" t="e">
        <f>AK182+5-$AK$155</f>
        <v>#DIV/0!</v>
      </c>
      <c r="AM182" s="60">
        <v>4.2119071025494446</v>
      </c>
      <c r="AN182" s="60">
        <v>4.2119071025494446</v>
      </c>
      <c r="AO182" s="60" t="e">
        <f>'Information Technology'!AA3774</f>
        <v>#DIV/0!</v>
      </c>
      <c r="AP182" s="60">
        <v>-4.2987161167318488E-2</v>
      </c>
      <c r="AQ182" s="60"/>
      <c r="AR182" s="60"/>
      <c r="AS182" s="60"/>
      <c r="AT182" s="60"/>
      <c r="AU182" s="60">
        <v>1</v>
      </c>
      <c r="AV182" s="60" t="e">
        <f>'Information Technology'!AA3775</f>
        <v>#DIV/0!</v>
      </c>
      <c r="AW182" s="60" t="e">
        <v>#DIV/0!</v>
      </c>
      <c r="AX182" s="60"/>
      <c r="AY182" s="60"/>
      <c r="AZ182" s="60"/>
      <c r="BA182" s="60"/>
      <c r="BB182" s="60">
        <v>1</v>
      </c>
      <c r="BC182" s="60" t="e">
        <f>'Information Technology'!AA3776</f>
        <v>#DIV/0!</v>
      </c>
      <c r="BD182" s="60">
        <v>-0.4786257300732471</v>
      </c>
      <c r="BE182" s="60">
        <v>5</v>
      </c>
      <c r="BF182" s="60" t="e">
        <f>'Information Technology'!AA3777</f>
        <v>#DIV/0!</v>
      </c>
      <c r="BG182" s="63">
        <v>1.1250299249405682</v>
      </c>
      <c r="BH182" s="63" t="e">
        <f>-(BG182-$BG$260)/$BG$261</f>
        <v>#DIV/0!</v>
      </c>
      <c r="BI182" s="63" t="e">
        <f>BH182-$BH$181</f>
        <v>#DIV/0!</v>
      </c>
      <c r="BJ182" s="63" t="e">
        <f>BI182+5-$BI$259</f>
        <v>#DIV/0!</v>
      </c>
      <c r="BK182" s="63">
        <v>1.65</v>
      </c>
      <c r="BL182" s="63">
        <v>1.65</v>
      </c>
      <c r="BM182" s="63">
        <f t="shared" si="175"/>
        <v>2.8982027649659625</v>
      </c>
    </row>
    <row r="183" spans="1:65">
      <c r="A183" s="56" t="s">
        <v>474</v>
      </c>
      <c r="B183" s="56" t="s">
        <v>475</v>
      </c>
      <c r="C183" s="57">
        <v>2093.6</v>
      </c>
      <c r="D183" s="58" t="s">
        <v>70</v>
      </c>
      <c r="E183" s="69" t="str" cm="1">
        <f t="array" ref="E183">_xll.ciqfunctions.udf.CIQ(B183,"iq_industry")</f>
        <v>Semiconductors and Semiconductor Equipment</v>
      </c>
      <c r="F183" s="60">
        <f>'Information Technology'!AA3004</f>
        <v>14.450220808439397</v>
      </c>
      <c r="G183" s="62">
        <v>70.904004997560534</v>
      </c>
      <c r="K183" s="62">
        <v>1</v>
      </c>
      <c r="L183" s="109">
        <v>1.2</v>
      </c>
      <c r="M183" s="60">
        <f>'Information Technology'!AA3005</f>
        <v>3.7307774139999998</v>
      </c>
      <c r="N183" s="63">
        <v>2.1494365969999998</v>
      </c>
      <c r="O183" s="63">
        <f t="shared" si="172"/>
        <v>-0.28442495781895794</v>
      </c>
      <c r="P183" s="63">
        <f t="shared" si="173"/>
        <v>-0.64983354205546229</v>
      </c>
      <c r="Q183" s="63">
        <f t="shared" si="176"/>
        <v>3.350166457944538</v>
      </c>
      <c r="R183" s="62"/>
      <c r="S183" s="63">
        <v>2.6221112742322203</v>
      </c>
      <c r="T183" s="60" t="e">
        <f>'Information Technology'!AA3006</f>
        <v>#DIV/0!</v>
      </c>
      <c r="U183" s="63" t="e">
        <v>#DIV/0!</v>
      </c>
      <c r="V183" s="63" t="e">
        <f t="shared" si="174"/>
        <v>#DIV/0!</v>
      </c>
      <c r="X183" s="63"/>
      <c r="Z183" s="63">
        <v>1</v>
      </c>
      <c r="AA183" s="60">
        <f>'Information Technology'!AA3007</f>
        <v>-3.9771875553917813E-4</v>
      </c>
      <c r="AB183" s="63">
        <v>4.0331625771860224E-2</v>
      </c>
      <c r="AC183" s="60" t="e">
        <f t="shared" si="179"/>
        <v>#DIV/0!</v>
      </c>
      <c r="AD183" s="60" t="e">
        <f t="shared" si="180"/>
        <v>#DIV/0!</v>
      </c>
      <c r="AE183" s="60" t="e">
        <f t="shared" si="181"/>
        <v>#DIV/0!</v>
      </c>
      <c r="AF183" s="60">
        <v>4.0119410209250441</v>
      </c>
      <c r="AG183" s="60">
        <v>4.0119410209250441</v>
      </c>
      <c r="AH183" s="60">
        <f>'Information Technology'!AA3008</f>
        <v>-6.8446459455810599E-2</v>
      </c>
      <c r="AI183" s="63">
        <v>-0.20162962085510872</v>
      </c>
      <c r="AJ183" s="60"/>
      <c r="AL183" s="60"/>
      <c r="AM183" s="60"/>
      <c r="AN183" s="60">
        <v>1</v>
      </c>
      <c r="AO183" s="60">
        <f>'Information Technology'!AA3009</f>
        <v>0.18980520309956259</v>
      </c>
      <c r="AP183" s="60">
        <v>0.36488071241146197</v>
      </c>
      <c r="AQ183" s="60"/>
      <c r="AR183" s="60"/>
      <c r="AS183" s="60"/>
      <c r="AT183" s="60">
        <v>4.95845451810463</v>
      </c>
      <c r="AU183" s="60">
        <v>4.95845451810463</v>
      </c>
      <c r="AV183" s="60" t="b">
        <f>'Information Technology'!AA3010</f>
        <v>0</v>
      </c>
      <c r="AW183" s="60">
        <v>0</v>
      </c>
      <c r="AX183" s="60" t="e">
        <f>(AW183-$AW$260)/$AW$261</f>
        <v>#DIV/0!</v>
      </c>
      <c r="AY183" s="60" t="e">
        <f>AX183-$AX$253</f>
        <v>#DIV/0!</v>
      </c>
      <c r="AZ183" s="60" t="e">
        <f>AY183+5-$AY$205</f>
        <v>#DIV/0!</v>
      </c>
      <c r="BA183" s="60">
        <v>1.876080877771261</v>
      </c>
      <c r="BB183" s="60">
        <v>1.876080877771261</v>
      </c>
      <c r="BC183" s="60">
        <f>'Information Technology'!AA3011</f>
        <v>4.2737184921631435E-2</v>
      </c>
      <c r="BD183" s="60">
        <v>0</v>
      </c>
      <c r="BE183" s="60">
        <v>5</v>
      </c>
      <c r="BF183" s="60">
        <f>'Information Technology'!AA3012</f>
        <v>0.35631008383516394</v>
      </c>
      <c r="BG183" s="63">
        <v>1.4760528430883335</v>
      </c>
      <c r="BI183" s="63"/>
      <c r="BJ183" s="63"/>
      <c r="BK183" s="63">
        <v>1.35</v>
      </c>
      <c r="BL183" s="63">
        <v>1.35</v>
      </c>
      <c r="BM183" s="63">
        <f t="shared" si="175"/>
        <v>2.7002063356714507</v>
      </c>
    </row>
    <row r="184" spans="1:65">
      <c r="A184" s="56" t="s">
        <v>548</v>
      </c>
      <c r="B184" s="56" t="s">
        <v>549</v>
      </c>
      <c r="C184" s="57">
        <v>1198.7</v>
      </c>
      <c r="D184" s="58" t="s">
        <v>98</v>
      </c>
      <c r="E184" s="69" t="str" cm="1">
        <f t="array" ref="E184">_xll.ciqfunctions.udf.CIQ(B184,"iq_industry")</f>
        <v>Semiconductors and Semiconductor Equipment</v>
      </c>
      <c r="F184" s="60" t="e">
        <f>'Information Technology'!AA3559</f>
        <v>#DIV/0!</v>
      </c>
      <c r="G184" s="62">
        <v>81.897486931435864</v>
      </c>
      <c r="K184" s="62">
        <v>1</v>
      </c>
      <c r="L184" s="108">
        <v>1.18</v>
      </c>
      <c r="M184" s="60">
        <f>'Information Technology'!AA3560</f>
        <v>5.2626834901000006</v>
      </c>
      <c r="N184" s="63">
        <v>1.1552441609999999</v>
      </c>
      <c r="O184" s="63">
        <f t="shared" si="172"/>
        <v>-1.0775900964731182</v>
      </c>
      <c r="P184" s="63">
        <f t="shared" si="173"/>
        <v>-1.4429986807096227</v>
      </c>
      <c r="Q184" s="63">
        <f t="shared" si="176"/>
        <v>2.5570013192903773</v>
      </c>
      <c r="R184" s="62"/>
      <c r="S184" s="63">
        <v>1.8289461355780618</v>
      </c>
      <c r="T184" s="60" t="e">
        <f>'Information Technology'!AA3561</f>
        <v>#DIV/0!</v>
      </c>
      <c r="U184" s="63" t="e">
        <v>#DIV/0!</v>
      </c>
      <c r="V184" s="63" t="e">
        <f t="shared" si="174"/>
        <v>#DIV/0!</v>
      </c>
      <c r="X184" s="63"/>
      <c r="Z184" s="63">
        <v>1</v>
      </c>
      <c r="AA184" s="60" t="e">
        <f>'Information Technology'!AA3562</f>
        <v>#DIV/0!</v>
      </c>
      <c r="AB184" s="63">
        <v>3.1844170725385368E-2</v>
      </c>
      <c r="AC184" s="60" t="e">
        <f t="shared" si="179"/>
        <v>#DIV/0!</v>
      </c>
      <c r="AD184" s="60" t="e">
        <f t="shared" si="180"/>
        <v>#DIV/0!</v>
      </c>
      <c r="AE184" s="60" t="e">
        <f t="shared" si="181"/>
        <v>#DIV/0!</v>
      </c>
      <c r="AF184" s="60">
        <v>4.1237700123727956</v>
      </c>
      <c r="AG184" s="60">
        <v>4.1237700123727956</v>
      </c>
      <c r="AH184" s="60" t="e">
        <f>'Information Technology'!AA3563</f>
        <v>#DIV/0!</v>
      </c>
      <c r="AI184" s="63">
        <v>-0.10769694448816301</v>
      </c>
      <c r="AJ184" s="60"/>
      <c r="AL184" s="60"/>
      <c r="AM184" s="60"/>
      <c r="AN184" s="60">
        <v>1</v>
      </c>
      <c r="AO184" s="60" t="e">
        <f>'Information Technology'!AA3564</f>
        <v>#DIV/0!</v>
      </c>
      <c r="AP184" s="60">
        <v>0.1838167320011356</v>
      </c>
      <c r="AQ184" s="60" t="e">
        <f>(AP184-$AP$260)/$AP$261</f>
        <v>#DIV/0!</v>
      </c>
      <c r="AR184" s="60" t="e">
        <f>AQ184-$AQ$245</f>
        <v>#DIV/0!</v>
      </c>
      <c r="AS184" s="60" t="e">
        <f>(5-$AR$162)+AR184</f>
        <v>#DIV/0!</v>
      </c>
      <c r="AT184" s="60">
        <v>3.9806239604988654</v>
      </c>
      <c r="AU184" s="60">
        <v>3.9806239604988654</v>
      </c>
      <c r="AV184" s="60" t="e">
        <f>'Information Technology'!AA3565</f>
        <v>#DIV/0!</v>
      </c>
      <c r="AW184" s="60">
        <v>-1.1287833763781724E-4</v>
      </c>
      <c r="AX184" s="60" t="e">
        <f>(AW184-$AW$260)/$AW$261</f>
        <v>#DIV/0!</v>
      </c>
      <c r="AY184" s="60" t="e">
        <f>AX184-$AX$253</f>
        <v>#DIV/0!</v>
      </c>
      <c r="AZ184" s="60" t="e">
        <f>AY184+5-$AY$205</f>
        <v>#DIV/0!</v>
      </c>
      <c r="BA184" s="60">
        <v>1.8684946518002654</v>
      </c>
      <c r="BB184" s="60">
        <v>1.8684946518002654</v>
      </c>
      <c r="BC184" s="60" t="e">
        <f>'Information Technology'!AA3566</f>
        <v>#DIV/0!</v>
      </c>
      <c r="BD184" s="60">
        <v>0</v>
      </c>
      <c r="BE184" s="60">
        <v>5</v>
      </c>
      <c r="BF184" s="60" t="e">
        <f>'Information Technology'!AA3567</f>
        <v>#DIV/0!</v>
      </c>
      <c r="BG184" s="63">
        <v>1.7265518035745051</v>
      </c>
      <c r="BI184" s="63"/>
      <c r="BJ184" s="63"/>
      <c r="BK184" s="63">
        <v>1.25</v>
      </c>
      <c r="BL184" s="63">
        <v>1.25</v>
      </c>
      <c r="BM184" s="63">
        <f t="shared" si="175"/>
        <v>2.6375800636489011</v>
      </c>
    </row>
    <row r="185" spans="1:65">
      <c r="A185" s="56" t="s">
        <v>502</v>
      </c>
      <c r="B185" s="56" t="s">
        <v>503</v>
      </c>
      <c r="C185" s="57">
        <v>1676.9</v>
      </c>
      <c r="D185" s="58" t="s">
        <v>70</v>
      </c>
      <c r="E185" s="69" t="str" cm="1">
        <f t="array" ref="E185">_xll.ciqfunctions.udf.CIQ(B185,"iq_industry")</f>
        <v>Semiconductors and Semiconductor Equipment</v>
      </c>
      <c r="F185" s="60">
        <f>'Information Technology'!AA3214</f>
        <v>83.356471287127647</v>
      </c>
      <c r="G185" s="62">
        <v>2.9298875970914344</v>
      </c>
      <c r="H185" s="62" t="e">
        <f>-(G185-$G$260)/$G$261</f>
        <v>#DIV/0!</v>
      </c>
      <c r="I185" s="62" t="e">
        <f>H185-$H$181</f>
        <v>#DIV/0!</v>
      </c>
      <c r="J185" s="62" t="e">
        <f>I185+(5-$I$242)</f>
        <v>#DIV/0!</v>
      </c>
      <c r="K185" s="62">
        <v>1</v>
      </c>
      <c r="L185" s="108">
        <v>5</v>
      </c>
      <c r="M185" s="60">
        <f>'Information Technology'!AA3215</f>
        <v>2.8665625298999999</v>
      </c>
      <c r="N185" s="63">
        <v>1.4330145752999996</v>
      </c>
      <c r="O185" s="63">
        <f t="shared" si="172"/>
        <v>-0.85598530328166922</v>
      </c>
      <c r="P185" s="63">
        <f t="shared" si="173"/>
        <v>-1.2213938875181736</v>
      </c>
      <c r="Q185" s="63">
        <f t="shared" si="176"/>
        <v>2.7786061124818264</v>
      </c>
      <c r="R185" s="62"/>
      <c r="S185" s="63">
        <v>2.0505509287695105</v>
      </c>
      <c r="T185" s="60" t="e">
        <f>'Information Technology'!AA3216</f>
        <v>#DIV/0!</v>
      </c>
      <c r="U185" s="63" t="e">
        <v>#DIV/0!</v>
      </c>
      <c r="V185" s="63" t="e">
        <f t="shared" si="174"/>
        <v>#DIV/0!</v>
      </c>
      <c r="X185" s="63"/>
      <c r="Z185" s="63">
        <v>1</v>
      </c>
      <c r="AA185" s="60">
        <f>'Information Technology'!AA3217</f>
        <v>0.31778471829721</v>
      </c>
      <c r="AB185" s="63">
        <v>-7.3882859796868816E-3</v>
      </c>
      <c r="AC185" s="60" t="e">
        <f t="shared" si="179"/>
        <v>#DIV/0!</v>
      </c>
      <c r="AD185" s="60" t="e">
        <f t="shared" si="180"/>
        <v>#DIV/0!</v>
      </c>
      <c r="AE185" s="60" t="e">
        <f t="shared" si="181"/>
        <v>#DIV/0!</v>
      </c>
      <c r="AF185" s="60">
        <v>4.6406889287407802</v>
      </c>
      <c r="AG185" s="60">
        <v>4.6406889287407802</v>
      </c>
      <c r="AH185" s="60">
        <f>'Information Technology'!AA3218</f>
        <v>-0.23380514580336911</v>
      </c>
      <c r="AI185" s="63">
        <v>-2.5411139437513882E-2</v>
      </c>
      <c r="AJ185" s="60"/>
      <c r="AL185" s="60"/>
      <c r="AM185" s="60"/>
      <c r="AN185" s="60">
        <v>1</v>
      </c>
      <c r="AO185" s="60">
        <f>'Information Technology'!AA3219</f>
        <v>0.54506611680448613</v>
      </c>
      <c r="AP185" s="60">
        <v>6.4675414307478404E-2</v>
      </c>
      <c r="AQ185" s="60" t="e">
        <f>(AP185-$AP$260)/$AP$261</f>
        <v>#DIV/0!</v>
      </c>
      <c r="AR185" s="60" t="e">
        <f>AQ185-$AQ$245</f>
        <v>#DIV/0!</v>
      </c>
      <c r="AS185" s="60" t="e">
        <f>(5-$AR$162)+AR185</f>
        <v>#DIV/0!</v>
      </c>
      <c r="AT185" s="60">
        <v>2.2093730728844347</v>
      </c>
      <c r="AU185" s="60">
        <v>2.2093730728844347</v>
      </c>
      <c r="AV185" s="60" t="e">
        <f>'Information Technology'!AA3220</f>
        <v>#DIV/0!</v>
      </c>
      <c r="AW185" s="60">
        <v>-6.368004576709313E-2</v>
      </c>
      <c r="AY185" s="60"/>
      <c r="AZ185" s="60"/>
      <c r="BA185" s="60">
        <v>1</v>
      </c>
      <c r="BB185" s="60">
        <v>1</v>
      </c>
      <c r="BC185" s="60">
        <f>'Information Technology'!AA3221</f>
        <v>0</v>
      </c>
      <c r="BD185" s="60">
        <v>0.83289780082540965</v>
      </c>
      <c r="BE185" s="60">
        <v>1.6</v>
      </c>
      <c r="BF185" s="60" t="e">
        <f>'Information Technology'!AA3222</f>
        <v>#DIV/0!</v>
      </c>
      <c r="BG185" s="63">
        <v>0.23970071255049932</v>
      </c>
      <c r="BH185" s="63" t="e">
        <f>-(BG185-$BG$260)/$BG$261</f>
        <v>#DIV/0!</v>
      </c>
      <c r="BI185" s="63" t="e">
        <f>BH185-$BH$181</f>
        <v>#DIV/0!</v>
      </c>
      <c r="BJ185" s="63" t="e">
        <f>BI185+5-$BI$259</f>
        <v>#DIV/0!</v>
      </c>
      <c r="BK185" s="63">
        <v>4.1970044925998158</v>
      </c>
      <c r="BL185" s="63">
        <v>4.1970044925998158</v>
      </c>
      <c r="BM185" s="63">
        <f t="shared" si="175"/>
        <v>2.5732536032149627</v>
      </c>
    </row>
    <row r="186" spans="1:65">
      <c r="A186" s="56" t="s">
        <v>568</v>
      </c>
      <c r="B186" s="56" t="s">
        <v>569</v>
      </c>
      <c r="C186" s="57">
        <v>1012.9</v>
      </c>
      <c r="D186" s="58" t="s">
        <v>70</v>
      </c>
      <c r="E186" s="69" t="str" cm="1">
        <f t="array" ref="E186">_xll.ciqfunctions.udf.CIQ(B186,"iq_industry")</f>
        <v>Semiconductors and Semiconductor Equipment</v>
      </c>
      <c r="F186" s="60" t="e">
        <f>'Information Technology'!AA3709</f>
        <v>#DIV/0!</v>
      </c>
      <c r="G186" s="62">
        <v>-7.3276054348789819</v>
      </c>
      <c r="J186" s="62">
        <v>1</v>
      </c>
      <c r="K186" s="62">
        <v>1</v>
      </c>
      <c r="L186" s="108">
        <v>1</v>
      </c>
      <c r="M186" s="60">
        <f>'Information Technology'!AA3710</f>
        <v>1.8577861850999999</v>
      </c>
      <c r="N186" s="63">
        <v>0.88349049815699998</v>
      </c>
      <c r="O186" s="63">
        <f t="shared" si="172"/>
        <v>-1.2943947349552438</v>
      </c>
      <c r="P186" s="63">
        <f t="shared" si="173"/>
        <v>-1.6598033191917483</v>
      </c>
      <c r="Q186" s="63">
        <f t="shared" si="176"/>
        <v>2.3401966808082517</v>
      </c>
      <c r="R186" s="62"/>
      <c r="S186" s="63">
        <v>1.6121414970959362</v>
      </c>
      <c r="T186" s="60" t="e">
        <f>'Information Technology'!AA3711</f>
        <v>#DIV/0!</v>
      </c>
      <c r="U186" s="63" t="e">
        <v>#DIV/0!</v>
      </c>
      <c r="V186" s="63" t="e">
        <f t="shared" si="174"/>
        <v>#DIV/0!</v>
      </c>
      <c r="X186" s="63"/>
      <c r="Z186" s="63">
        <v>1</v>
      </c>
      <c r="AA186" s="60" t="e">
        <f>'Information Technology'!AA3712</f>
        <v>#DIV/0!</v>
      </c>
      <c r="AB186" s="63">
        <v>1.7036551569233835</v>
      </c>
      <c r="AC186" s="60"/>
      <c r="AD186" s="60"/>
      <c r="AE186" s="60"/>
      <c r="AF186" s="60">
        <v>1.05</v>
      </c>
      <c r="AG186" s="60">
        <v>1.05</v>
      </c>
      <c r="AH186" s="60" t="e">
        <f>'Information Technology'!AA3713</f>
        <v>#DIV/0!</v>
      </c>
      <c r="AI186" s="63">
        <v>-0.49349333983913729</v>
      </c>
      <c r="AJ186" s="60"/>
      <c r="AL186" s="60"/>
      <c r="AM186" s="60"/>
      <c r="AN186" s="60">
        <v>1</v>
      </c>
      <c r="AO186" s="60" t="e">
        <f>'Information Technology'!AA3714</f>
        <v>#DIV/0!</v>
      </c>
      <c r="AP186" s="60">
        <v>-0.3972532108965473</v>
      </c>
      <c r="AQ186" s="60"/>
      <c r="AR186" s="60"/>
      <c r="AS186" s="60"/>
      <c r="AT186" s="60"/>
      <c r="AU186" s="60">
        <v>1</v>
      </c>
      <c r="AV186" s="60" t="e">
        <f>'Information Technology'!AA3715</f>
        <v>#DIV/0!</v>
      </c>
      <c r="AW186" s="60" t="e">
        <v>#DIV/0!</v>
      </c>
      <c r="AX186" s="60"/>
      <c r="AY186" s="60"/>
      <c r="AZ186" s="60"/>
      <c r="BA186" s="60"/>
      <c r="BB186" s="60">
        <v>1</v>
      </c>
      <c r="BC186" s="60" t="e">
        <f>'Information Technology'!AA3716</f>
        <v>#DIV/0!</v>
      </c>
      <c r="BD186" s="60">
        <v>-0.34369486141727273</v>
      </c>
      <c r="BE186" s="60">
        <v>5</v>
      </c>
      <c r="BF186" s="60" t="e">
        <f>'Information Technology'!AA3717</f>
        <v>#DIV/0!</v>
      </c>
      <c r="BG186" s="63" t="e">
        <v>#DIV/0!</v>
      </c>
      <c r="BI186" s="63"/>
      <c r="BJ186" s="63"/>
      <c r="BL186" s="63">
        <v>1</v>
      </c>
      <c r="BM186" s="63">
        <f t="shared" si="175"/>
        <v>2.202</v>
      </c>
    </row>
    <row r="187" spans="1:65">
      <c r="A187" s="56" t="s">
        <v>380</v>
      </c>
      <c r="B187" s="56" t="s">
        <v>381</v>
      </c>
      <c r="C187" s="57">
        <v>3649.4</v>
      </c>
      <c r="D187" s="58" t="s">
        <v>70</v>
      </c>
      <c r="E187" s="69" t="str" cm="1">
        <f t="array" ref="E187">_xll.ciqfunctions.udf.CIQ(B187,"iq_industry")</f>
        <v>Semiconductors and Semiconductor Equipment</v>
      </c>
      <c r="F187" s="60">
        <f>'Information Technology'!AA2299</f>
        <v>37.950029426061313</v>
      </c>
      <c r="G187" s="62">
        <v>-89.402180726108156</v>
      </c>
      <c r="J187" s="62">
        <v>1</v>
      </c>
      <c r="K187" s="62">
        <v>1</v>
      </c>
      <c r="L187" s="108">
        <v>1</v>
      </c>
      <c r="M187" s="60">
        <f>'Information Technology'!AA2300</f>
        <v>1.6722853613999999</v>
      </c>
      <c r="N187" s="63">
        <v>3.5130456899999998</v>
      </c>
      <c r="O187" s="63">
        <f t="shared" si="172"/>
        <v>0.80346020018019104</v>
      </c>
      <c r="P187" s="63">
        <f t="shared" si="173"/>
        <v>0.43805161594368669</v>
      </c>
      <c r="Q187" s="63">
        <f t="shared" si="176"/>
        <v>4.4380516159436869</v>
      </c>
      <c r="R187" s="62"/>
      <c r="S187" s="63">
        <v>3.7099964322313665</v>
      </c>
      <c r="T187" s="60" t="e">
        <f>'Information Technology'!AA2301</f>
        <v>#DIV/0!</v>
      </c>
      <c r="U187" s="63" t="e">
        <v>#DIV/0!</v>
      </c>
      <c r="V187" s="63" t="e">
        <f t="shared" si="174"/>
        <v>#DIV/0!</v>
      </c>
      <c r="W187" s="63"/>
      <c r="X187" s="63"/>
      <c r="Z187" s="63">
        <v>1</v>
      </c>
      <c r="AA187" s="60">
        <f>'Information Technology'!AA2302</f>
        <v>-4.4502847910344867E-3</v>
      </c>
      <c r="AB187" s="63">
        <v>-5.8568939164798883E-2</v>
      </c>
      <c r="AD187" s="60"/>
      <c r="AE187" s="60"/>
      <c r="AF187" s="60">
        <v>4.99</v>
      </c>
      <c r="AG187" s="60">
        <v>4.99</v>
      </c>
      <c r="AH187" s="60">
        <f>'Information Technology'!AA2303</f>
        <v>5.3122376381289665E-2</v>
      </c>
      <c r="AI187" s="63">
        <v>1.6376714773369814E-3</v>
      </c>
      <c r="AJ187" s="60" t="e">
        <f>(AI187-$AI$260)/$AI$261</f>
        <v>#DIV/0!</v>
      </c>
      <c r="AK187" s="63" t="e">
        <f>AJ187-$AJ$203</f>
        <v>#DIV/0!</v>
      </c>
      <c r="AL187" s="60" t="e">
        <f>AK187+5-$AK$155</f>
        <v>#DIV/0!</v>
      </c>
      <c r="AM187" s="60">
        <v>1.5671065480571222</v>
      </c>
      <c r="AN187" s="60">
        <v>1.5671065480571222</v>
      </c>
      <c r="AO187" s="60">
        <f>'Information Technology'!AA2304</f>
        <v>1.6638116747552771E-2</v>
      </c>
      <c r="AP187" s="60">
        <v>-3.8110496273996348E-3</v>
      </c>
      <c r="AQ187" s="60" t="e">
        <f>(AP187-$AP$260)/$AP$261</f>
        <v>#DIV/0!</v>
      </c>
      <c r="AR187" s="60" t="e">
        <f>AQ187-$AQ$245</f>
        <v>#DIV/0!</v>
      </c>
      <c r="AS187" s="60" t="e">
        <f>(5-$AR$162)+AR187</f>
        <v>#DIV/0!</v>
      </c>
      <c r="AT187" s="60">
        <v>1.1911980821886212</v>
      </c>
      <c r="AU187" s="60">
        <v>1.1911980821886212</v>
      </c>
      <c r="AV187" s="60" t="b">
        <f>'Information Technology'!AA2305</f>
        <v>0</v>
      </c>
      <c r="AW187" s="60">
        <v>4.0774704818349598E-2</v>
      </c>
      <c r="AX187" s="60" t="e">
        <f>(AW187-$AW$260)/$AW$261</f>
        <v>#DIV/0!</v>
      </c>
      <c r="AY187" s="60" t="e">
        <f>AX187-$AX$253</f>
        <v>#DIV/0!</v>
      </c>
      <c r="AZ187" s="60" t="e">
        <f>AY187+5-$AY$205</f>
        <v>#DIV/0!</v>
      </c>
      <c r="BA187" s="60">
        <v>4.6164306306633183</v>
      </c>
      <c r="BB187" s="60">
        <v>4.6164306306633183</v>
      </c>
      <c r="BC187" s="60">
        <f>'Information Technology'!AA2306</f>
        <v>0.54679424553440525</v>
      </c>
      <c r="BD187" s="60">
        <v>2.2208086833632783</v>
      </c>
      <c r="BE187" s="60">
        <v>1</v>
      </c>
      <c r="BF187" s="60">
        <f>'Information Technology'!AA2307</f>
        <v>7.6048035340565215E-2</v>
      </c>
      <c r="BG187" s="63">
        <v>2.0689651555048316</v>
      </c>
      <c r="BI187" s="63"/>
      <c r="BJ187" s="63"/>
      <c r="BK187" s="63">
        <v>1.1200000000000001</v>
      </c>
      <c r="BL187" s="63">
        <v>1.1200000000000001</v>
      </c>
      <c r="BM187" s="63">
        <f t="shared" si="175"/>
        <v>1.7411077565212021</v>
      </c>
    </row>
    <row r="188" spans="1:65">
      <c r="A188" s="56" t="s">
        <v>520</v>
      </c>
      <c r="B188" s="56" t="s">
        <v>521</v>
      </c>
      <c r="C188" s="57">
        <v>1466.8</v>
      </c>
      <c r="D188" s="58" t="s">
        <v>70</v>
      </c>
      <c r="E188" s="69" t="str" cm="1">
        <f t="array" ref="E188">_xll.ciqfunctions.udf.CIQ(B188,"iq_industry")</f>
        <v>Semiconductors and Semiconductor Equipment</v>
      </c>
      <c r="F188" s="60">
        <f>'Information Technology'!AA3349</f>
        <v>-3.7322543938545594</v>
      </c>
      <c r="G188" s="62">
        <v>130.74610619963354</v>
      </c>
      <c r="K188" s="62">
        <v>1</v>
      </c>
      <c r="L188" s="109">
        <v>1.1399999999999999</v>
      </c>
      <c r="M188" s="60">
        <f>'Information Technology'!AA3350</f>
        <v>2.4668266919000001</v>
      </c>
      <c r="N188" s="63">
        <v>1.4356434819999999</v>
      </c>
      <c r="O188" s="63">
        <f t="shared" si="172"/>
        <v>-0.85388796571229086</v>
      </c>
      <c r="P188" s="63">
        <f t="shared" si="173"/>
        <v>-1.2192965499487953</v>
      </c>
      <c r="Q188" s="63">
        <f t="shared" si="176"/>
        <v>2.7807034500512047</v>
      </c>
      <c r="R188" s="62"/>
      <c r="S188" s="63">
        <v>2.0526482663388883</v>
      </c>
      <c r="T188" s="60" t="e">
        <f>'Information Technology'!AA3351</f>
        <v>#DIV/0!</v>
      </c>
      <c r="U188" s="63" t="e">
        <v>#DIV/0!</v>
      </c>
      <c r="V188" s="63" t="e">
        <f t="shared" si="174"/>
        <v>#DIV/0!</v>
      </c>
      <c r="X188" s="63"/>
      <c r="Z188" s="63">
        <v>1</v>
      </c>
      <c r="AA188" s="60">
        <f>'Information Technology'!AA3352</f>
        <v>0.69494921792284825</v>
      </c>
      <c r="AB188" s="63">
        <v>4.5575602527017089E-2</v>
      </c>
      <c r="AC188" s="60" t="e">
        <f>-(AB188-$AB$260)/$AB$261</f>
        <v>#DIV/0!</v>
      </c>
      <c r="AD188" s="60" t="e">
        <f>AC188-$AC$160</f>
        <v>#DIV/0!</v>
      </c>
      <c r="AE188" s="60" t="e">
        <f>AD188+5-$AD$254</f>
        <v>#DIV/0!</v>
      </c>
      <c r="AF188" s="60">
        <v>3.9428474435813632</v>
      </c>
      <c r="AG188" s="60">
        <v>3.9428474435813632</v>
      </c>
      <c r="AH188" s="60">
        <f>'Information Technology'!AA3353</f>
        <v>-2.0356290758999878</v>
      </c>
      <c r="AI188" s="63">
        <v>-0.18007855179291188</v>
      </c>
      <c r="AJ188" s="60"/>
      <c r="AL188" s="60"/>
      <c r="AM188" s="60"/>
      <c r="AN188" s="60">
        <v>1</v>
      </c>
      <c r="AO188" s="60">
        <f>'Information Technology'!AA3354</f>
        <v>-0.20888313455945334</v>
      </c>
      <c r="AP188" s="60">
        <v>1.009138294543894E-2</v>
      </c>
      <c r="AQ188" s="60" t="e">
        <f>(AP188-$AP$260)/$AP$261</f>
        <v>#DIV/0!</v>
      </c>
      <c r="AR188" s="60" t="e">
        <f>AQ188-$AQ$245</f>
        <v>#DIV/0!</v>
      </c>
      <c r="AS188" s="60" t="e">
        <f>(5-$AR$162)+AR188</f>
        <v>#DIV/0!</v>
      </c>
      <c r="AT188" s="60">
        <v>1.3978828537802572</v>
      </c>
      <c r="AU188" s="60">
        <v>1.3978828537802572</v>
      </c>
      <c r="AV188" s="60" t="b">
        <f>'Information Technology'!AA3355</f>
        <v>0</v>
      </c>
      <c r="AW188" s="60">
        <v>2.8940621038381183E-2</v>
      </c>
      <c r="AX188" s="60" t="e">
        <f>(AW188-$AW$260)/$AW$261</f>
        <v>#DIV/0!</v>
      </c>
      <c r="AY188" s="60" t="e">
        <f>AX188-$AX$253</f>
        <v>#DIV/0!</v>
      </c>
      <c r="AZ188" s="60" t="e">
        <f>AY188+5-$AY$205</f>
        <v>#DIV/0!</v>
      </c>
      <c r="BA188" s="60">
        <v>3.8210961529126344</v>
      </c>
      <c r="BB188" s="60">
        <v>3.8210961529126344</v>
      </c>
      <c r="BC188" s="60">
        <f>'Information Technology'!AA3356</f>
        <v>-1.5452698907377365E-2</v>
      </c>
      <c r="BD188" s="60">
        <v>3.8972650825524839</v>
      </c>
      <c r="BE188" s="60">
        <v>1</v>
      </c>
      <c r="BF188" s="60">
        <f>'Information Technology'!AA3357</f>
        <v>111.18926296014111</v>
      </c>
      <c r="BG188" s="63">
        <v>1.078487166418832</v>
      </c>
      <c r="BH188" s="63" t="e">
        <f>-(BG188-$BG$260)/$BG$261</f>
        <v>#DIV/0!</v>
      </c>
      <c r="BI188" s="63" t="e">
        <f>BH188-$BH$181</f>
        <v>#DIV/0!</v>
      </c>
      <c r="BJ188" s="63" t="e">
        <f>BI188+5-$BI$259</f>
        <v>#DIV/0!</v>
      </c>
      <c r="BK188" s="63">
        <v>1.75</v>
      </c>
      <c r="BL188" s="63">
        <v>1.75</v>
      </c>
      <c r="BM188" s="63">
        <f t="shared" si="175"/>
        <v>1.7018717117731073</v>
      </c>
    </row>
    <row r="189" spans="1:65">
      <c r="A189" s="56" t="s">
        <v>542</v>
      </c>
      <c r="B189" s="56" t="s">
        <v>543</v>
      </c>
      <c r="C189" s="57">
        <v>1227</v>
      </c>
      <c r="D189" s="58" t="s">
        <v>98</v>
      </c>
      <c r="E189" s="69" t="str" cm="1">
        <f t="array" ref="E189">_xll.ciqfunctions.udf.CIQ(B189,"iq_industry")</f>
        <v>Semiconductors and Semiconductor Equipment</v>
      </c>
      <c r="F189" s="60">
        <f>'Information Technology'!AA3514</f>
        <v>54.34411768763033</v>
      </c>
      <c r="G189" s="62">
        <v>-475.51083877167201</v>
      </c>
      <c r="J189" s="62">
        <v>1</v>
      </c>
      <c r="K189" s="62">
        <v>1</v>
      </c>
      <c r="L189" s="108">
        <v>1</v>
      </c>
      <c r="M189" s="60">
        <f>'Information Technology'!AA3515</f>
        <v>4.6024585727500007</v>
      </c>
      <c r="N189" s="63">
        <v>1.0811260973999999</v>
      </c>
      <c r="O189" s="63">
        <f t="shared" si="172"/>
        <v>-1.1367213693166303</v>
      </c>
      <c r="P189" s="63">
        <f t="shared" si="173"/>
        <v>-1.5021299535531347</v>
      </c>
      <c r="Q189" s="63">
        <f t="shared" si="176"/>
        <v>2.4978700464468653</v>
      </c>
      <c r="R189" s="62"/>
      <c r="S189" s="63">
        <v>1.7698148627345498</v>
      </c>
      <c r="T189" s="60" t="e">
        <f>'Information Technology'!AA3516</f>
        <v>#DIV/0!</v>
      </c>
      <c r="U189" s="63" t="e">
        <v>#DIV/0!</v>
      </c>
      <c r="V189" s="63" t="e">
        <f t="shared" si="174"/>
        <v>#DIV/0!</v>
      </c>
      <c r="X189" s="63"/>
      <c r="Z189" s="63">
        <v>1</v>
      </c>
      <c r="AA189" s="60">
        <f>'Information Technology'!AA3517</f>
        <v>0.26610639714766604</v>
      </c>
      <c r="AB189" s="63">
        <v>4.8557167584415195E-2</v>
      </c>
      <c r="AC189" s="60" t="e">
        <f>-(AB189-$AB$260)/$AB$261</f>
        <v>#DIV/0!</v>
      </c>
      <c r="AD189" s="60" t="e">
        <f>AC189-$AC$160</f>
        <v>#DIV/0!</v>
      </c>
      <c r="AE189" s="60" t="e">
        <f>AD189+5-$AD$254</f>
        <v>#DIV/0!</v>
      </c>
      <c r="AF189" s="60">
        <v>3.903562945286061</v>
      </c>
      <c r="AG189" s="60">
        <v>3.903562945286061</v>
      </c>
      <c r="AH189" s="60">
        <f>'Information Technology'!AA3518</f>
        <v>-0.82925806209008013</v>
      </c>
      <c r="AI189" s="63">
        <v>0.11105500834646569</v>
      </c>
      <c r="AJ189" s="60" t="e">
        <f>(AI189-$AI$260)/$AI$261</f>
        <v>#DIV/0!</v>
      </c>
      <c r="AK189" s="63" t="e">
        <f>AJ189-$AJ$203</f>
        <v>#DIV/0!</v>
      </c>
      <c r="AL189" s="60" t="e">
        <f>AK189+5-$AK$155</f>
        <v>#DIV/0!</v>
      </c>
      <c r="AM189" s="60">
        <v>4.0578744721561915</v>
      </c>
      <c r="AN189" s="60">
        <v>4.0578744721561915</v>
      </c>
      <c r="AO189" s="60">
        <f>'Information Technology'!AA3519</f>
        <v>3.6988809043890375E-2</v>
      </c>
      <c r="AP189" s="60">
        <v>-1.381788343038751E-2</v>
      </c>
      <c r="AQ189" s="60"/>
      <c r="AR189" s="60"/>
      <c r="AS189" s="60"/>
      <c r="AT189" s="60"/>
      <c r="AU189" s="60">
        <v>1</v>
      </c>
      <c r="AV189" s="60" t="e">
        <f>'Information Technology'!AA3520</f>
        <v>#DIV/0!</v>
      </c>
      <c r="AW189" s="60" t="b">
        <v>0</v>
      </c>
      <c r="AX189" s="60"/>
      <c r="AY189" s="60"/>
      <c r="AZ189" s="60"/>
      <c r="BA189" s="60"/>
      <c r="BB189" s="60">
        <v>1</v>
      </c>
      <c r="BC189" s="60">
        <f>'Information Technology'!AA3521</f>
        <v>3.8417893144424555</v>
      </c>
      <c r="BD189" s="60">
        <v>2.3485642845585528</v>
      </c>
      <c r="BE189" s="60">
        <v>1</v>
      </c>
      <c r="BF189" s="60" t="e">
        <f>'Information Technology'!AA3522</f>
        <v>#DIV/0!</v>
      </c>
      <c r="BG189" s="63">
        <v>16.469753131585495</v>
      </c>
      <c r="BI189" s="63"/>
      <c r="BJ189" s="63"/>
      <c r="BK189" s="63">
        <v>1.06</v>
      </c>
      <c r="BL189" s="63">
        <v>1.06</v>
      </c>
      <c r="BM189" s="63">
        <f t="shared" si="175"/>
        <v>1.5286661991917474</v>
      </c>
    </row>
    <row r="190" spans="1:65">
      <c r="A190" s="56" t="s">
        <v>332</v>
      </c>
      <c r="B190" s="56" t="s">
        <v>333</v>
      </c>
      <c r="C190" s="57">
        <v>4774.8999999999996</v>
      </c>
      <c r="D190" s="58" t="s">
        <v>70</v>
      </c>
      <c r="E190" s="69" t="str" cm="1">
        <f t="array" ref="E190">_xll.ciqfunctions.udf.CIQ(B190,"iq_industry")</f>
        <v>Semiconductors and Semiconductor Equipment</v>
      </c>
      <c r="F190" s="60">
        <f>'Information Technology'!AA1939</f>
        <v>3.8263505615398703</v>
      </c>
      <c r="G190" s="62">
        <v>18.54177082036157</v>
      </c>
      <c r="H190" s="62" t="e">
        <f>-(G190-$G$260)/$G$261</f>
        <v>#DIV/0!</v>
      </c>
      <c r="I190" s="62" t="e">
        <f>H190-$H$181</f>
        <v>#DIV/0!</v>
      </c>
      <c r="J190" s="62" t="e">
        <f>I190+(5-$I$242)</f>
        <v>#DIV/0!</v>
      </c>
      <c r="K190" s="62">
        <v>1</v>
      </c>
      <c r="L190" s="108">
        <v>3.2611092514214715</v>
      </c>
      <c r="M190" s="60">
        <f>'Information Technology'!AA1940</f>
        <v>2.9118121771999999</v>
      </c>
      <c r="N190" s="63">
        <v>4.3749838971999999</v>
      </c>
      <c r="O190" s="63">
        <f t="shared" si="172"/>
        <v>1.4911131261828452</v>
      </c>
      <c r="P190" s="63">
        <f t="shared" si="173"/>
        <v>1.125704541946341</v>
      </c>
      <c r="Q190" s="63">
        <f t="shared" si="176"/>
        <v>5.125704541946341</v>
      </c>
      <c r="R190" s="62"/>
      <c r="S190" s="63">
        <v>4.3976493582340188</v>
      </c>
      <c r="T190" s="60" t="e">
        <f>'Information Technology'!AA1941</f>
        <v>#DIV/0!</v>
      </c>
      <c r="U190" s="63" t="e">
        <v>#DIV/0!</v>
      </c>
      <c r="V190" s="63" t="e">
        <f t="shared" si="174"/>
        <v>#DIV/0!</v>
      </c>
      <c r="X190" s="63"/>
      <c r="Z190" s="63">
        <v>1</v>
      </c>
      <c r="AA190" s="60">
        <f>'Information Technology'!AA1942</f>
        <v>-2.7186790228027946E-2</v>
      </c>
      <c r="AB190" s="63">
        <v>4.241782243701997E-2</v>
      </c>
      <c r="AC190" s="60" t="e">
        <f>-(AB190-$AB$260)/$AB$261</f>
        <v>#DIV/0!</v>
      </c>
      <c r="AD190" s="60" t="e">
        <f>AC190-$AC$160</f>
        <v>#DIV/0!</v>
      </c>
      <c r="AE190" s="60" t="e">
        <f>AD190+5-$AD$254</f>
        <v>#DIV/0!</v>
      </c>
      <c r="AF190" s="60">
        <v>3.9844537155138218</v>
      </c>
      <c r="AG190" s="60">
        <v>3.9844537155138218</v>
      </c>
      <c r="AH190" s="60">
        <f>'Information Technology'!AA1943</f>
        <v>2.8897898613585913E-2</v>
      </c>
      <c r="AI190" s="63">
        <v>-0.31098651658950344</v>
      </c>
      <c r="AJ190" s="60"/>
      <c r="AL190" s="60"/>
      <c r="AM190" s="60"/>
      <c r="AN190" s="60">
        <v>1</v>
      </c>
      <c r="AO190" s="60">
        <f>'Information Technology'!AA1944</f>
        <v>5.2832888801040673E-2</v>
      </c>
      <c r="AP190" s="60">
        <v>8.065385153773183E-3</v>
      </c>
      <c r="AQ190" s="60" t="e">
        <f>(AP190-$AP$260)/$AP$261</f>
        <v>#DIV/0!</v>
      </c>
      <c r="AR190" s="60" t="e">
        <f>AQ190-$AQ$245</f>
        <v>#DIV/0!</v>
      </c>
      <c r="AS190" s="60" t="e">
        <f>(5-$AR$162)+AR190</f>
        <v>#DIV/0!</v>
      </c>
      <c r="AT190" s="60">
        <v>1.367762737130046</v>
      </c>
      <c r="AU190" s="60">
        <v>1.367762737130046</v>
      </c>
      <c r="AV190" s="60" t="b">
        <f>'Information Technology'!AA1945</f>
        <v>0</v>
      </c>
      <c r="AW190" s="60">
        <v>-2.3055708090044227E-2</v>
      </c>
      <c r="AX190" s="60" t="e">
        <f>(AW190-$AW$260)/$AW$261</f>
        <v>#DIV/0!</v>
      </c>
      <c r="AY190" s="60" t="e">
        <f>AX190-$AX$253</f>
        <v>#DIV/0!</v>
      </c>
      <c r="AZ190" s="60" t="e">
        <f>AY190+5-$AY$205</f>
        <v>#DIV/0!</v>
      </c>
      <c r="BA190" s="60">
        <v>1.1200000000000001</v>
      </c>
      <c r="BB190" s="60">
        <v>1.1200000000000001</v>
      </c>
      <c r="BC190" s="60">
        <f>'Information Technology'!AA1946</f>
        <v>0.63447835036539224</v>
      </c>
      <c r="BD190" s="60">
        <v>2.5476594674880406</v>
      </c>
      <c r="BE190" s="60">
        <v>1</v>
      </c>
      <c r="BF190" s="60">
        <f>'Information Technology'!AA1947</f>
        <v>0.12367644485780133</v>
      </c>
      <c r="BG190" s="63">
        <v>1.4875949723969759</v>
      </c>
      <c r="BI190" s="63"/>
      <c r="BJ190" s="63"/>
      <c r="BK190" s="63">
        <v>1.3</v>
      </c>
      <c r="BL190" s="63">
        <v>1.3</v>
      </c>
      <c r="BM190" s="63">
        <f t="shared" si="175"/>
        <v>1.4507995832479019</v>
      </c>
    </row>
    <row r="191" spans="1:65">
      <c r="A191" s="56" t="s">
        <v>460</v>
      </c>
      <c r="B191" s="56" t="s">
        <v>461</v>
      </c>
      <c r="C191" s="57">
        <v>2373.8000000000002</v>
      </c>
      <c r="D191" s="58" t="s">
        <v>70</v>
      </c>
      <c r="E191" s="69" t="str" cm="1">
        <f t="array" ref="E191">_xll.ciqfunctions.udf.CIQ(B191,"iq_industry")</f>
        <v>Semiconductors and Semiconductor Equipment</v>
      </c>
      <c r="F191" s="60">
        <f>'Information Technology'!AA2899</f>
        <v>10.156831367570227</v>
      </c>
      <c r="G191" s="62">
        <v>-1158.6842375365684</v>
      </c>
      <c r="J191" s="62">
        <v>1</v>
      </c>
      <c r="K191" s="62">
        <v>1</v>
      </c>
      <c r="L191" s="108">
        <v>1</v>
      </c>
      <c r="M191" s="60">
        <f>'Information Technology'!AA2900</f>
        <v>2.8806036973000002</v>
      </c>
      <c r="N191" s="63">
        <v>2.5761622579000001</v>
      </c>
      <c r="O191" s="63">
        <f t="shared" ref="O191:O222" si="191">(N191-$N$260)/$N$261</f>
        <v>5.601609336908081E-2</v>
      </c>
      <c r="P191" s="63">
        <f t="shared" ref="P191:P222" si="192">O191-$O$259</f>
        <v>-0.30939249086742354</v>
      </c>
      <c r="Q191" s="63">
        <f t="shared" si="176"/>
        <v>3.6906075091325761</v>
      </c>
      <c r="R191" s="62"/>
      <c r="S191" s="63">
        <v>2.9625523254202584</v>
      </c>
      <c r="T191" s="60" t="e">
        <f>'Information Technology'!AA2901</f>
        <v>#DIV/0!</v>
      </c>
      <c r="U191" s="63" t="e">
        <v>#DIV/0!</v>
      </c>
      <c r="V191" s="63" t="e">
        <f t="shared" ref="V191:V222" si="193">-(U191-$U$263)/$U$264</f>
        <v>#DIV/0!</v>
      </c>
      <c r="X191" s="63"/>
      <c r="Z191" s="63">
        <v>1</v>
      </c>
      <c r="AA191" s="60">
        <f>'Information Technology'!AA2902</f>
        <v>-1.3118391019596221E-2</v>
      </c>
      <c r="AB191" s="63">
        <v>0.17303381847895816</v>
      </c>
      <c r="AC191" s="60" t="e">
        <f>-(AB191-$AB$260)/$AB$261</f>
        <v>#DIV/0!</v>
      </c>
      <c r="AD191" s="60" t="e">
        <f>AC191-$AC$160</f>
        <v>#DIV/0!</v>
      </c>
      <c r="AE191" s="60" t="e">
        <f>AD191+5-$AD$254</f>
        <v>#DIV/0!</v>
      </c>
      <c r="AF191" s="60">
        <v>2.2634837634691287</v>
      </c>
      <c r="AG191" s="60">
        <v>2.2634837634691287</v>
      </c>
      <c r="AH191" s="60">
        <f>'Information Technology'!AA2903</f>
        <v>7.1433869400820429E-2</v>
      </c>
      <c r="AI191" s="63">
        <v>-2.51874483093876E-2</v>
      </c>
      <c r="AJ191" s="60"/>
      <c r="AL191" s="60"/>
      <c r="AM191" s="60"/>
      <c r="AN191" s="60">
        <v>1</v>
      </c>
      <c r="AO191" s="60">
        <f>'Information Technology'!AA2904</f>
        <v>5.7484161398864114E-2</v>
      </c>
      <c r="AP191" s="60">
        <v>-2.8203704858121292E-3</v>
      </c>
      <c r="AQ191" s="60" t="e">
        <f>(AP191-$AP$260)/$AP$261</f>
        <v>#DIV/0!</v>
      </c>
      <c r="AR191" s="60" t="e">
        <f>AQ191-$AQ$245</f>
        <v>#DIV/0!</v>
      </c>
      <c r="AS191" s="60" t="e">
        <f>(5-$AR$162)+AR191</f>
        <v>#DIV/0!</v>
      </c>
      <c r="AT191" s="60">
        <v>1.2059263170516086</v>
      </c>
      <c r="AU191" s="60">
        <v>1.2059263170516086</v>
      </c>
      <c r="AV191" s="60">
        <f>'Information Technology'!AA2905</f>
        <v>-1.5791882018923436E-2</v>
      </c>
      <c r="AW191" s="60" t="e">
        <v>#DIV/0!</v>
      </c>
      <c r="AX191" s="60"/>
      <c r="AY191" s="60"/>
      <c r="AZ191" s="60"/>
      <c r="BA191" s="60"/>
      <c r="BB191" s="60">
        <v>1</v>
      </c>
      <c r="BC191" s="60">
        <f>'Information Technology'!AA2906</f>
        <v>0.2740771645719407</v>
      </c>
      <c r="BD191" s="60">
        <v>4.5592404890174807</v>
      </c>
      <c r="BE191" s="60">
        <v>1</v>
      </c>
      <c r="BF191" s="60">
        <f>'Information Technology'!AA2907</f>
        <v>0.20527642618756697</v>
      </c>
      <c r="BG191" s="63">
        <v>4.2609644004047889</v>
      </c>
      <c r="BI191" s="63"/>
      <c r="BJ191" s="63"/>
      <c r="BK191" s="63">
        <v>1.1000000000000001</v>
      </c>
      <c r="BL191" s="63">
        <v>1.1000000000000001</v>
      </c>
      <c r="BM191" s="63">
        <f t="shared" ref="BM191:BM222" si="194">0.1*(L191)+0.01*(Z191)+0.04*(AG191)+0.13*(AN191)+0.04*(AU191)+0.13*(BB191)+0.3*(BE191)+0.25*(BL191)</f>
        <v>1.0837764032208295</v>
      </c>
    </row>
    <row r="192" spans="1:65" ht="22.5">
      <c r="A192" s="56" t="s">
        <v>462</v>
      </c>
      <c r="B192" s="56" t="s">
        <v>463</v>
      </c>
      <c r="C192" s="57">
        <v>2230.9</v>
      </c>
      <c r="D192" s="58" t="s">
        <v>70</v>
      </c>
      <c r="E192" s="69" t="str" cm="1">
        <f t="array" ref="E192">_xll.ciqfunctions.udf.CIQ(B192,"iq_industry")</f>
        <v>Semiconductors and Semiconductor Equipment</v>
      </c>
      <c r="F192" s="60">
        <f>'Information Technology'!AA2914</f>
        <v>6.3908270487213352</v>
      </c>
      <c r="G192" s="62" t="e">
        <v>#DIV/0!</v>
      </c>
      <c r="K192" s="62">
        <v>1</v>
      </c>
      <c r="L192" s="108">
        <v>1</v>
      </c>
      <c r="M192" s="60">
        <f>'Information Technology'!AA2915</f>
        <v>2.3477367115000001</v>
      </c>
      <c r="N192" s="63">
        <v>2.3592019365000003</v>
      </c>
      <c r="O192" s="63">
        <f t="shared" si="191"/>
        <v>-0.11707450476305184</v>
      </c>
      <c r="P192" s="63">
        <f t="shared" si="192"/>
        <v>-0.48248308899955616</v>
      </c>
      <c r="Q192" s="63">
        <f t="shared" si="176"/>
        <v>3.5175169110004436</v>
      </c>
      <c r="R192" s="62"/>
      <c r="S192" s="63">
        <v>2.7894617272881259</v>
      </c>
      <c r="T192" s="60">
        <f>'Information Technology'!AA2916</f>
        <v>34.795027254338407</v>
      </c>
      <c r="U192" s="63" t="e">
        <v>#DIV/0!</v>
      </c>
      <c r="V192" s="63" t="e">
        <f t="shared" si="193"/>
        <v>#DIV/0!</v>
      </c>
      <c r="X192" s="63"/>
      <c r="Z192" s="63">
        <v>1</v>
      </c>
      <c r="AA192" s="60">
        <f>'Information Technology'!AA2917</f>
        <v>-7.136700881614777E-3</v>
      </c>
      <c r="AB192" s="63" t="e">
        <v>#DIV/0!</v>
      </c>
      <c r="AC192" s="60"/>
      <c r="AD192" s="60"/>
      <c r="AE192" s="60"/>
      <c r="AF192" s="60"/>
      <c r="AG192" s="60">
        <v>1</v>
      </c>
      <c r="AH192" s="60">
        <f>'Information Technology'!AA2918</f>
        <v>0.13195418409442886</v>
      </c>
      <c r="AI192" s="63" t="e">
        <v>#DIV/0!</v>
      </c>
      <c r="AJ192" s="60"/>
      <c r="AL192" s="60"/>
      <c r="AM192" s="60"/>
      <c r="AN192" s="60">
        <v>1</v>
      </c>
      <c r="AO192" s="60">
        <f>'Information Technology'!AA2919</f>
        <v>0.2897918968950518</v>
      </c>
      <c r="AP192" s="60" t="e">
        <v>#DIV/0!</v>
      </c>
      <c r="AQ192" s="60"/>
      <c r="AR192" s="60"/>
      <c r="AS192" s="60"/>
      <c r="AT192" s="60"/>
      <c r="AU192" s="60">
        <v>1</v>
      </c>
      <c r="AV192" s="60">
        <f>'Information Technology'!AA2920</f>
        <v>1.7605926373749976E-2</v>
      </c>
      <c r="AW192" s="60" t="e">
        <v>#DIV/0!</v>
      </c>
      <c r="AX192" s="60"/>
      <c r="AY192" s="60"/>
      <c r="AZ192" s="60"/>
      <c r="BA192" s="60"/>
      <c r="BB192" s="60">
        <v>1</v>
      </c>
      <c r="BC192" s="60">
        <f>'Information Technology'!AA2921</f>
        <v>0.41048722103637986</v>
      </c>
      <c r="BD192" s="60" t="e">
        <v>#DIV/0!</v>
      </c>
      <c r="BE192" s="60">
        <v>1</v>
      </c>
      <c r="BF192" s="60">
        <f>'Information Technology'!AA2922</f>
        <v>0.29219919649333498</v>
      </c>
      <c r="BG192" s="63" t="e">
        <v>#DIV/0!</v>
      </c>
      <c r="BI192" s="63"/>
      <c r="BJ192" s="63"/>
      <c r="BL192" s="63">
        <v>1</v>
      </c>
      <c r="BM192" s="63">
        <f t="shared" si="194"/>
        <v>1</v>
      </c>
    </row>
    <row r="193" spans="1:65">
      <c r="A193" s="56" t="s">
        <v>546</v>
      </c>
      <c r="B193" s="56" t="s">
        <v>547</v>
      </c>
      <c r="C193" s="57">
        <v>1209.0999999999999</v>
      </c>
      <c r="D193" s="58" t="s">
        <v>98</v>
      </c>
      <c r="E193" s="69" t="str" cm="1">
        <f t="array" ref="E193">_xll.ciqfunctions.udf.CIQ(B193,"iq_industry")</f>
        <v>Semiconductors and Semiconductor Equipment</v>
      </c>
      <c r="F193" s="60">
        <f>'Information Technology'!AA3553</f>
        <v>0</v>
      </c>
      <c r="G193" s="62">
        <v>21.078783280615454</v>
      </c>
      <c r="H193" s="62" t="e">
        <f>-(G193-$G$260)/$G$261</f>
        <v>#DIV/0!</v>
      </c>
      <c r="I193" s="62" t="e">
        <f>H193-$H$181</f>
        <v>#DIV/0!</v>
      </c>
      <c r="J193" s="62" t="e">
        <f>I193+(5-$I$242)</f>
        <v>#DIV/0!</v>
      </c>
      <c r="K193" s="62">
        <v>1</v>
      </c>
      <c r="L193" s="108">
        <v>2.98</v>
      </c>
      <c r="M193" s="60">
        <f>'Information Technology'!AA3545</f>
        <v>4.0939396300999995</v>
      </c>
      <c r="N193" s="63">
        <v>1.0206041775000001</v>
      </c>
      <c r="O193" s="63">
        <f t="shared" si="191"/>
        <v>-1.1850056604164865</v>
      </c>
      <c r="P193" s="63">
        <f t="shared" si="192"/>
        <v>-1.5504142446529907</v>
      </c>
      <c r="Q193" s="63">
        <f t="shared" si="176"/>
        <v>2.4495857553470093</v>
      </c>
      <c r="R193" s="62"/>
      <c r="S193" s="63">
        <v>1.7215305716346938</v>
      </c>
      <c r="T193" s="60" t="e">
        <f>'Information Technology'!AA3546</f>
        <v>#DIV/0!</v>
      </c>
      <c r="U193" s="63" t="e">
        <v>#DIV/0!</v>
      </c>
      <c r="V193" s="63" t="e">
        <f t="shared" si="193"/>
        <v>#DIV/0!</v>
      </c>
      <c r="X193" s="63"/>
      <c r="Z193" s="63">
        <v>1</v>
      </c>
      <c r="AA193" s="60" t="e">
        <f>'Information Technology'!AA3547</f>
        <v>#DIV/0!</v>
      </c>
      <c r="AB193" s="63" t="e">
        <v>#DIV/0!</v>
      </c>
      <c r="AC193" s="60"/>
      <c r="AD193" s="60"/>
      <c r="AE193" s="60"/>
      <c r="AF193" s="60"/>
      <c r="AG193" s="60">
        <v>1</v>
      </c>
      <c r="AH193" s="60" t="e">
        <f>'Information Technology'!AA3548</f>
        <v>#DIV/0!</v>
      </c>
      <c r="AI193" s="63" t="e">
        <v>#DIV/0!</v>
      </c>
      <c r="AJ193" s="60"/>
      <c r="AL193" s="60"/>
      <c r="AM193" s="60"/>
      <c r="AN193" s="60">
        <v>1</v>
      </c>
      <c r="AO193" s="60" t="e">
        <f>'Information Technology'!AA3549</f>
        <v>#DIV/0!</v>
      </c>
      <c r="AP193" s="60" t="e">
        <v>#DIV/0!</v>
      </c>
      <c r="AQ193" s="60"/>
      <c r="AR193" s="60"/>
      <c r="AS193" s="60"/>
      <c r="AT193" s="60"/>
      <c r="AU193" s="60">
        <v>1</v>
      </c>
      <c r="AV193" s="60" t="e">
        <f>'Information Technology'!AA3550</f>
        <v>#DIV/0!</v>
      </c>
      <c r="AW193" s="60" t="e">
        <v>#DIV/0!</v>
      </c>
      <c r="AX193" s="60"/>
      <c r="AY193" s="60"/>
      <c r="AZ193" s="60"/>
      <c r="BA193" s="60"/>
      <c r="BB193" s="60">
        <v>1</v>
      </c>
      <c r="BC193" s="60" t="e">
        <f>'Information Technology'!AA3551</f>
        <v>#DIV/0!</v>
      </c>
      <c r="BD193" s="60" t="e">
        <v>#DIV/0!</v>
      </c>
      <c r="BE193" s="60">
        <v>1</v>
      </c>
      <c r="BF193" s="60" t="e">
        <f>'Information Technology'!AA3552</f>
        <v>#DIV/0!</v>
      </c>
      <c r="BG193" s="63" t="e">
        <v>#DIV/0!</v>
      </c>
      <c r="BI193" s="63"/>
      <c r="BJ193" s="63"/>
      <c r="BL193" s="63">
        <v>1</v>
      </c>
      <c r="BM193" s="63">
        <f t="shared" si="194"/>
        <v>1.198</v>
      </c>
    </row>
    <row r="194" spans="1:65">
      <c r="A194" s="56" t="s">
        <v>558</v>
      </c>
      <c r="B194" s="56" t="s">
        <v>559</v>
      </c>
      <c r="C194" s="57">
        <v>1109.2</v>
      </c>
      <c r="D194" s="58" t="s">
        <v>67</v>
      </c>
      <c r="E194" s="69" t="str" cm="1">
        <f t="array" ref="E194">_xll.ciqfunctions.udf.CIQ(B194,"iq_industry")</f>
        <v>Software</v>
      </c>
      <c r="F194" s="60" t="e">
        <f>'Information Technology'!AA3634</f>
        <v>#DIV/0!</v>
      </c>
      <c r="G194" s="62">
        <v>18.196151575800275</v>
      </c>
      <c r="H194" s="62" t="e">
        <f t="shared" ref="H194:H205" si="195">-(G194-$G$260)/$G$261</f>
        <v>#DIV/0!</v>
      </c>
      <c r="I194" s="62" t="e">
        <f t="shared" ref="I194:I205" si="196">H194-$H$181</f>
        <v>#DIV/0!</v>
      </c>
      <c r="J194" s="62" t="e">
        <f t="shared" ref="J194:J205" si="197">I194+(5-$I$242)</f>
        <v>#DIV/0!</v>
      </c>
      <c r="K194" s="62">
        <v>1</v>
      </c>
      <c r="L194" s="108">
        <v>3.2996051905918682</v>
      </c>
      <c r="M194" s="60">
        <f>'Information Technology'!AA3635</f>
        <v>3.8425951515000003</v>
      </c>
      <c r="N194" s="63">
        <v>0.91487655229999998</v>
      </c>
      <c r="O194" s="63">
        <f t="shared" si="191"/>
        <v>-1.2693549910538535</v>
      </c>
      <c r="P194" s="63">
        <f t="shared" si="192"/>
        <v>-1.634763575290358</v>
      </c>
      <c r="Q194" s="63">
        <f t="shared" si="176"/>
        <v>2.365236424709642</v>
      </c>
      <c r="R194" s="62"/>
      <c r="S194" s="63">
        <v>1.637181240997327</v>
      </c>
      <c r="T194" s="60" t="e">
        <f>'Information Technology'!AA3636</f>
        <v>#DIV/0!</v>
      </c>
      <c r="U194" s="63">
        <v>2.2662002523051981</v>
      </c>
      <c r="V194" s="63" t="e">
        <f t="shared" si="193"/>
        <v>#DIV/0!</v>
      </c>
      <c r="W194" s="63" t="e">
        <f>V194-$V$252</f>
        <v>#DIV/0!</v>
      </c>
      <c r="X194" s="63" t="e">
        <f>W194+5-$W$259</f>
        <v>#DIV/0!</v>
      </c>
      <c r="Y194" s="63">
        <v>5</v>
      </c>
      <c r="Z194" s="63">
        <v>5</v>
      </c>
      <c r="AA194" s="60" t="e">
        <f>'Information Technology'!AA3637</f>
        <v>#DIV/0!</v>
      </c>
      <c r="AB194" s="63">
        <v>0.17018709075517968</v>
      </c>
      <c r="AC194" s="60" t="e">
        <f t="shared" ref="AC194:AC202" si="198">-(AB194-$AB$260)/$AB$261</f>
        <v>#DIV/0!</v>
      </c>
      <c r="AD194" s="60" t="e">
        <f t="shared" ref="AD194:AD202" si="199">AC194-$AC$160</f>
        <v>#DIV/0!</v>
      </c>
      <c r="AE194" s="60" t="e">
        <f t="shared" ref="AE194:AE202" si="200">AD194+5-$AD$254</f>
        <v>#DIV/0!</v>
      </c>
      <c r="AF194" s="60">
        <v>2.3009916723220556</v>
      </c>
      <c r="AG194" s="60">
        <v>2.3009916723220556</v>
      </c>
      <c r="AH194" s="60" t="e">
        <f>'Information Technology'!AA3638</f>
        <v>#DIV/0!</v>
      </c>
      <c r="AI194" s="63">
        <v>0.1481583033531548</v>
      </c>
      <c r="AJ194" s="60" t="e">
        <f>(AI194-$AI$260)/$AI$261</f>
        <v>#DIV/0!</v>
      </c>
      <c r="AK194" s="63" t="e">
        <f>AJ194-$AJ$203</f>
        <v>#DIV/0!</v>
      </c>
      <c r="AL194" s="60" t="e">
        <f>AK194+5-$AK$155</f>
        <v>#DIV/0!</v>
      </c>
      <c r="AM194" s="60">
        <v>4.9024910541845266</v>
      </c>
      <c r="AN194" s="60">
        <v>4.9024910541845266</v>
      </c>
      <c r="AO194" s="60" t="e">
        <f>'Information Technology'!AA3639</f>
        <v>#DIV/0!</v>
      </c>
      <c r="AP194" s="60">
        <v>0.46762298018761767</v>
      </c>
      <c r="AQ194" s="60"/>
      <c r="AR194" s="60"/>
      <c r="AS194" s="60"/>
      <c r="AT194" s="60">
        <v>4.9800000000000004</v>
      </c>
      <c r="AU194" s="60">
        <v>4.9800000000000004</v>
      </c>
      <c r="AV194" s="60" t="e">
        <f>'Information Technology'!AA3640</f>
        <v>#DIV/0!</v>
      </c>
      <c r="AW194" s="60" t="b">
        <v>0</v>
      </c>
      <c r="AX194" s="60"/>
      <c r="AY194" s="60"/>
      <c r="AZ194" s="60"/>
      <c r="BA194" s="60"/>
      <c r="BB194" s="60">
        <v>1</v>
      </c>
      <c r="BC194" s="60" t="e">
        <f>'Information Technology'!AA3641</f>
        <v>#DIV/0!</v>
      </c>
      <c r="BD194" s="60">
        <v>-1.727250688709385</v>
      </c>
      <c r="BE194" s="60">
        <v>5</v>
      </c>
      <c r="BF194" s="60" t="e">
        <f>'Information Technology'!AA3642</f>
        <v>#DIV/0!</v>
      </c>
      <c r="BG194" s="63">
        <v>0.26661576434255613</v>
      </c>
      <c r="BH194" s="63" t="e">
        <f t="shared" ref="BH194:BH202" si="201">-(BG194-$BG$260)/$BG$261</f>
        <v>#DIV/0!</v>
      </c>
      <c r="BI194" s="63" t="e">
        <f t="shared" ref="BI194:BI202" si="202">BH194-$BH$181</f>
        <v>#DIV/0!</v>
      </c>
      <c r="BJ194" s="63" t="e">
        <f t="shared" ref="BJ194:BJ202" si="203">BI194+5-$BI$259</f>
        <v>#DIV/0!</v>
      </c>
      <c r="BK194" s="63">
        <v>4.101911565242248</v>
      </c>
      <c r="BL194" s="63">
        <v>4.101911565242248</v>
      </c>
      <c r="BM194" s="63">
        <f t="shared" si="194"/>
        <v>3.9640019143066194</v>
      </c>
    </row>
    <row r="195" spans="1:65">
      <c r="A195" s="56" t="s">
        <v>444</v>
      </c>
      <c r="B195" s="56" t="s">
        <v>445</v>
      </c>
      <c r="C195" s="57">
        <v>2531.4</v>
      </c>
      <c r="D195" s="58" t="s">
        <v>77</v>
      </c>
      <c r="E195" s="69" t="str" cm="1">
        <f t="array" ref="E195">_xll.ciqfunctions.udf.CIQ(B195,"iq_industry")</f>
        <v>Software</v>
      </c>
      <c r="F195" s="60">
        <f>'Information Technology'!AA2779</f>
        <v>-57.224542445198061</v>
      </c>
      <c r="G195" s="62">
        <v>9.5377014725375453</v>
      </c>
      <c r="H195" s="62" t="e">
        <f t="shared" si="195"/>
        <v>#DIV/0!</v>
      </c>
      <c r="I195" s="62" t="e">
        <f t="shared" si="196"/>
        <v>#DIV/0!</v>
      </c>
      <c r="J195" s="62" t="e">
        <f t="shared" si="197"/>
        <v>#DIV/0!</v>
      </c>
      <c r="K195" s="62">
        <v>1</v>
      </c>
      <c r="L195" s="108">
        <v>4.2640051009851661</v>
      </c>
      <c r="M195" s="60">
        <f>'Information Technology'!AA2780</f>
        <v>3.2236962496000001</v>
      </c>
      <c r="N195" s="63">
        <v>2.2587851519999997</v>
      </c>
      <c r="O195" s="63">
        <f t="shared" si="191"/>
        <v>-0.19718685516635734</v>
      </c>
      <c r="P195" s="63">
        <f t="shared" si="192"/>
        <v>-0.56259543940286172</v>
      </c>
      <c r="Q195" s="63">
        <f t="shared" si="176"/>
        <v>3.4374045605971384</v>
      </c>
      <c r="R195" s="62"/>
      <c r="S195" s="63">
        <v>2.7093493768848207</v>
      </c>
      <c r="T195" s="60" t="e">
        <f>'Information Technology'!AA2781</f>
        <v>#DIV/0!</v>
      </c>
      <c r="U195" s="63" t="e">
        <v>#DIV/0!</v>
      </c>
      <c r="V195" s="63" t="e">
        <f t="shared" si="193"/>
        <v>#DIV/0!</v>
      </c>
      <c r="X195" s="63"/>
      <c r="Z195" s="63">
        <v>1</v>
      </c>
      <c r="AA195" s="60">
        <f>'Information Technology'!AA2782</f>
        <v>-5.9071858607775307E-2</v>
      </c>
      <c r="AB195" s="63">
        <v>-1.3349237994897956E-2</v>
      </c>
      <c r="AC195" s="60" t="e">
        <f t="shared" si="198"/>
        <v>#DIV/0!</v>
      </c>
      <c r="AD195" s="60" t="e">
        <f t="shared" si="199"/>
        <v>#DIV/0!</v>
      </c>
      <c r="AE195" s="60" t="e">
        <f t="shared" si="200"/>
        <v>#DIV/0!</v>
      </c>
      <c r="AF195" s="60">
        <v>4.71922922713168</v>
      </c>
      <c r="AG195" s="60">
        <v>4.71922922713168</v>
      </c>
      <c r="AH195" s="60">
        <f>'Information Technology'!AA2783</f>
        <v>-6.8963615459173393E-4</v>
      </c>
      <c r="AI195" s="63">
        <v>6.9825388684696246E-2</v>
      </c>
      <c r="AJ195" s="60" t="e">
        <f>(AI195-$AI$260)/$AI$261</f>
        <v>#DIV/0!</v>
      </c>
      <c r="AK195" s="63" t="e">
        <f>AJ195-$AJ$203</f>
        <v>#DIV/0!</v>
      </c>
      <c r="AL195" s="60" t="e">
        <f>AK195+5-$AK$155</f>
        <v>#DIV/0!</v>
      </c>
      <c r="AM195" s="60">
        <v>3.1193265499090197</v>
      </c>
      <c r="AN195" s="60">
        <v>3.1193265499090197</v>
      </c>
      <c r="AO195" s="60">
        <f>'Information Technology'!AA2784</f>
        <v>-5.1118320433451315E-3</v>
      </c>
      <c r="AP195" s="60">
        <v>6.0761307858760438E-2</v>
      </c>
      <c r="AQ195" s="60" t="e">
        <f>(AP195-$AP$260)/$AP$261</f>
        <v>#DIV/0!</v>
      </c>
      <c r="AR195" s="60" t="e">
        <f>AQ195-$AQ$245</f>
        <v>#DIV/0!</v>
      </c>
      <c r="AS195" s="60" t="e">
        <f>(5-$AR$162)+AR195</f>
        <v>#DIV/0!</v>
      </c>
      <c r="AT195" s="60">
        <v>2.1511828106335571</v>
      </c>
      <c r="AU195" s="60">
        <v>2.1511828106335571</v>
      </c>
      <c r="AV195" s="60">
        <f>'Information Technology'!AA2785</f>
        <v>4.5258686710350784E-2</v>
      </c>
      <c r="AW195" s="60">
        <v>-1.5447717581496628E-2</v>
      </c>
      <c r="AX195" s="60" t="e">
        <f>(AW195-$AW$260)/$AW$261</f>
        <v>#DIV/0!</v>
      </c>
      <c r="AY195" s="60" t="e">
        <f>AX195-$AX$253</f>
        <v>#DIV/0!</v>
      </c>
      <c r="AZ195" s="60" t="e">
        <f>AY195+5-$AY$205</f>
        <v>#DIV/0!</v>
      </c>
      <c r="BA195" s="60">
        <v>1.1599999999999999</v>
      </c>
      <c r="BB195" s="60">
        <v>1.1599999999999999</v>
      </c>
      <c r="BC195" s="60">
        <f>'Information Technology'!AA2786</f>
        <v>1.6881992262419965</v>
      </c>
      <c r="BD195" s="60">
        <v>0.22963321571241219</v>
      </c>
      <c r="BE195" s="60">
        <v>5</v>
      </c>
      <c r="BF195" s="60">
        <f>'Information Technology'!AA2787</f>
        <v>1.9606592682879223</v>
      </c>
      <c r="BG195" s="63">
        <v>0.17368184205535708</v>
      </c>
      <c r="BH195" s="63" t="e">
        <f t="shared" si="201"/>
        <v>#DIV/0!</v>
      </c>
      <c r="BI195" s="63" t="e">
        <f t="shared" si="202"/>
        <v>#DIV/0!</v>
      </c>
      <c r="BJ195" s="63" t="e">
        <f t="shared" si="203"/>
        <v>#DIV/0!</v>
      </c>
      <c r="BK195" s="63">
        <v>4.4302541888933957</v>
      </c>
      <c r="BL195" s="63">
        <v>4.4302541888933957</v>
      </c>
      <c r="BM195" s="63">
        <f t="shared" si="194"/>
        <v>3.8750929903206481</v>
      </c>
    </row>
    <row r="196" spans="1:65" ht="22.5">
      <c r="A196" s="56" t="s">
        <v>454</v>
      </c>
      <c r="B196" s="56" t="s">
        <v>455</v>
      </c>
      <c r="C196" s="57">
        <v>2439.8000000000002</v>
      </c>
      <c r="D196" s="58" t="s">
        <v>67</v>
      </c>
      <c r="E196" s="69" t="str" cm="1">
        <f t="array" ref="E196">_xll.ciqfunctions.udf.CIQ(B196,"iq_industry")</f>
        <v>Software</v>
      </c>
      <c r="F196" s="60" t="e">
        <f>'Information Technology'!AA2854</f>
        <v>#DIV/0!</v>
      </c>
      <c r="G196" s="62">
        <v>6.6710213765105921</v>
      </c>
      <c r="H196" s="62" t="e">
        <f t="shared" si="195"/>
        <v>#DIV/0!</v>
      </c>
      <c r="I196" s="62" t="e">
        <f t="shared" si="196"/>
        <v>#DIV/0!</v>
      </c>
      <c r="J196" s="62" t="e">
        <f t="shared" si="197"/>
        <v>#DIV/0!</v>
      </c>
      <c r="K196" s="62">
        <v>1</v>
      </c>
      <c r="L196" s="108">
        <v>4.5833031271634157</v>
      </c>
      <c r="M196" s="60">
        <f>'Information Technology'!AA2855</f>
        <v>2.8925541072000001</v>
      </c>
      <c r="N196" s="63">
        <v>2.3064716119800002</v>
      </c>
      <c r="O196" s="63">
        <f t="shared" si="191"/>
        <v>-0.15914267350456576</v>
      </c>
      <c r="P196" s="63">
        <f t="shared" si="192"/>
        <v>-0.52455125774107014</v>
      </c>
      <c r="Q196" s="63">
        <f t="shared" si="176"/>
        <v>3.47544874225893</v>
      </c>
      <c r="R196" s="62"/>
      <c r="S196" s="63">
        <v>2.7473935585466123</v>
      </c>
      <c r="T196" s="60" t="e">
        <f>'Information Technology'!AA2856</f>
        <v>#DIV/0!</v>
      </c>
      <c r="U196" s="63">
        <v>34.183450898515261</v>
      </c>
      <c r="V196" s="63" t="e">
        <f t="shared" si="193"/>
        <v>#DIV/0!</v>
      </c>
      <c r="W196" s="63" t="e">
        <f>V196-$V$252</f>
        <v>#DIV/0!</v>
      </c>
      <c r="X196" s="63" t="e">
        <f>W196+5-$W$259</f>
        <v>#DIV/0!</v>
      </c>
      <c r="Y196" s="63">
        <v>2.5723301871180491</v>
      </c>
      <c r="Z196" s="63">
        <v>2.5723301871180491</v>
      </c>
      <c r="AA196" s="60" t="e">
        <f>'Information Technology'!AA2857</f>
        <v>#DIV/0!</v>
      </c>
      <c r="AB196" s="63">
        <v>-7.136700881614777E-3</v>
      </c>
      <c r="AC196" s="60" t="e">
        <f t="shared" si="198"/>
        <v>#DIV/0!</v>
      </c>
      <c r="AD196" s="60" t="e">
        <f t="shared" si="199"/>
        <v>#DIV/0!</v>
      </c>
      <c r="AE196" s="60" t="e">
        <f t="shared" si="200"/>
        <v>#DIV/0!</v>
      </c>
      <c r="AF196" s="60">
        <v>4.6373740943614967</v>
      </c>
      <c r="AG196" s="60">
        <v>4.6373740943614967</v>
      </c>
      <c r="AH196" s="60" t="e">
        <f>'Information Technology'!AA2858</f>
        <v>#DIV/0!</v>
      </c>
      <c r="AI196" s="63">
        <v>0.13195418409442886</v>
      </c>
      <c r="AJ196" s="60" t="e">
        <f>(AI196-$AI$260)/$AI$261</f>
        <v>#DIV/0!</v>
      </c>
      <c r="AK196" s="63" t="e">
        <f>AJ196-$AJ$203</f>
        <v>#DIV/0!</v>
      </c>
      <c r="AL196" s="60" t="e">
        <f>AK196+5-$AK$155</f>
        <v>#DIV/0!</v>
      </c>
      <c r="AM196" s="60">
        <v>4.5336217173610134</v>
      </c>
      <c r="AN196" s="60">
        <v>4.5336217173610134</v>
      </c>
      <c r="AO196" s="60" t="e">
        <f>'Information Technology'!AA2859</f>
        <v>#DIV/0!</v>
      </c>
      <c r="AP196" s="60">
        <v>0.2897918968950518</v>
      </c>
      <c r="AQ196" s="60"/>
      <c r="AR196" s="60"/>
      <c r="AS196" s="60"/>
      <c r="AT196" s="60">
        <v>4.9356909036209196</v>
      </c>
      <c r="AU196" s="60">
        <v>4.9356909036209196</v>
      </c>
      <c r="AV196" s="60" t="e">
        <f>'Information Technology'!AA2860</f>
        <v>#DIV/0!</v>
      </c>
      <c r="AW196" s="60">
        <v>1.7605926373749976E-2</v>
      </c>
      <c r="AX196" s="60" t="e">
        <f>(AW196-$AW$260)/$AW$261</f>
        <v>#DIV/0!</v>
      </c>
      <c r="AY196" s="60" t="e">
        <f>AX196-$AX$253</f>
        <v>#DIV/0!</v>
      </c>
      <c r="AZ196" s="60" t="e">
        <f>AY196+5-$AY$205</f>
        <v>#DIV/0!</v>
      </c>
      <c r="BA196" s="60">
        <v>3.059324170461621</v>
      </c>
      <c r="BB196" s="60">
        <v>3.059324170461621</v>
      </c>
      <c r="BC196" s="60" t="e">
        <f>'Information Technology'!AA2861</f>
        <v>#DIV/0!</v>
      </c>
      <c r="BD196" s="60">
        <v>0.41048722103637986</v>
      </c>
      <c r="BE196" s="60">
        <v>3.2</v>
      </c>
      <c r="BF196" s="60" t="e">
        <f>'Information Technology'!AA2862</f>
        <v>#DIV/0!</v>
      </c>
      <c r="BG196" s="63">
        <v>0.28706334422169849</v>
      </c>
      <c r="BH196" s="63" t="e">
        <f t="shared" si="201"/>
        <v>#DIV/0!</v>
      </c>
      <c r="BI196" s="63" t="e">
        <f t="shared" si="202"/>
        <v>#DIV/0!</v>
      </c>
      <c r="BJ196" s="63" t="e">
        <f t="shared" si="203"/>
        <v>#DIV/0!</v>
      </c>
      <c r="BK196" s="63">
        <v>4.0296687086017426</v>
      </c>
      <c r="BL196" s="63">
        <v>4.0296687086017426</v>
      </c>
      <c r="BM196" s="63">
        <f t="shared" si="194"/>
        <v>3.8214763570741974</v>
      </c>
    </row>
    <row r="197" spans="1:65">
      <c r="A197" s="56" t="s">
        <v>352</v>
      </c>
      <c r="B197" s="56" t="s">
        <v>353</v>
      </c>
      <c r="C197" s="57">
        <v>4432.6000000000004</v>
      </c>
      <c r="D197" s="58" t="s">
        <v>67</v>
      </c>
      <c r="E197" s="69" t="str" cm="1">
        <f t="array" ref="E197">_xll.ciqfunctions.udf.CIQ(B197,"iq_industry")</f>
        <v>Software</v>
      </c>
      <c r="F197" s="60">
        <f>'Information Technology'!AA2089</f>
        <v>23.25138098778443</v>
      </c>
      <c r="G197" s="62">
        <v>27.23352743200876</v>
      </c>
      <c r="H197" s="62" t="e">
        <f t="shared" si="195"/>
        <v>#DIV/0!</v>
      </c>
      <c r="I197" s="62" t="e">
        <f t="shared" si="196"/>
        <v>#DIV/0!</v>
      </c>
      <c r="J197" s="62" t="e">
        <f t="shared" si="197"/>
        <v>#DIV/0!</v>
      </c>
      <c r="K197" s="62">
        <v>1</v>
      </c>
      <c r="L197" s="108">
        <v>2.2929995785050417</v>
      </c>
      <c r="M197" s="60">
        <f>'Information Technology'!AA2090</f>
        <v>2.0538298559999997</v>
      </c>
      <c r="N197" s="63">
        <v>4.5164790000000004</v>
      </c>
      <c r="O197" s="63">
        <f t="shared" si="191"/>
        <v>1.603997693362601</v>
      </c>
      <c r="P197" s="63">
        <f t="shared" si="192"/>
        <v>1.2385891091260968</v>
      </c>
      <c r="Q197" s="63">
        <f t="shared" si="176"/>
        <v>5.2385891091260968</v>
      </c>
      <c r="R197" s="62"/>
      <c r="S197" s="63">
        <v>4.5105339254137746</v>
      </c>
      <c r="T197" s="60" t="e">
        <f>'Information Technology'!AA2091</f>
        <v>#DIV/0!</v>
      </c>
      <c r="U197" s="63" t="e">
        <v>#DIV/0!</v>
      </c>
      <c r="V197" s="63" t="e">
        <f t="shared" si="193"/>
        <v>#DIV/0!</v>
      </c>
      <c r="X197" s="63"/>
      <c r="Z197" s="63">
        <v>1</v>
      </c>
      <c r="AA197" s="60">
        <f>'Information Technology'!AA2092</f>
        <v>-1.3895231449558954E-2</v>
      </c>
      <c r="AB197" s="63">
        <v>-3.1602866539893193E-2</v>
      </c>
      <c r="AC197" s="60" t="e">
        <f t="shared" si="198"/>
        <v>#DIV/0!</v>
      </c>
      <c r="AD197" s="60" t="e">
        <f t="shared" si="199"/>
        <v>#DIV/0!</v>
      </c>
      <c r="AE197" s="60" t="e">
        <f t="shared" si="200"/>
        <v>#DIV/0!</v>
      </c>
      <c r="AF197" s="60">
        <v>4.9597353457822306</v>
      </c>
      <c r="AG197" s="60">
        <v>4.9597353457822306</v>
      </c>
      <c r="AH197" s="60">
        <f>'Information Technology'!AA2093</f>
        <v>6.9251465461655018E-2</v>
      </c>
      <c r="AI197" s="63">
        <v>3.1902224583825509E-2</v>
      </c>
      <c r="AJ197" s="60" t="e">
        <f>(AI197-$AI$260)/$AI$261</f>
        <v>#DIV/0!</v>
      </c>
      <c r="AK197" s="63" t="e">
        <f>AJ197-$AJ$203</f>
        <v>#DIV/0!</v>
      </c>
      <c r="AL197" s="60" t="e">
        <f>AK197+5-$AK$155</f>
        <v>#DIV/0!</v>
      </c>
      <c r="AM197" s="60">
        <v>2.25604653025571</v>
      </c>
      <c r="AN197" s="60">
        <v>2.25604653025571</v>
      </c>
      <c r="AO197" s="60">
        <f>'Information Technology'!AA2094</f>
        <v>6.696970571451194E-2</v>
      </c>
      <c r="AP197" s="60">
        <v>7.2619562366687956E-2</v>
      </c>
      <c r="AQ197" s="60" t="e">
        <f t="shared" ref="AQ197:AQ205" si="204">(AP197-$AP$260)/$AP$261</f>
        <v>#DIV/0!</v>
      </c>
      <c r="AR197" s="60" t="e">
        <f t="shared" ref="AR197:AR205" si="205">AQ197-$AQ$245</f>
        <v>#DIV/0!</v>
      </c>
      <c r="AS197" s="60" t="e">
        <f t="shared" ref="AS197:AS205" si="206">(5-$AR$162)+AR197</f>
        <v>#DIV/0!</v>
      </c>
      <c r="AT197" s="60">
        <v>2.3274771829749055</v>
      </c>
      <c r="AU197" s="60">
        <v>2.3274771829749055</v>
      </c>
      <c r="AV197" s="60">
        <f>'Information Technology'!AA2095</f>
        <v>-0.13291946782754335</v>
      </c>
      <c r="AW197" s="60">
        <v>2.3762893717719268E-3</v>
      </c>
      <c r="AX197" s="60" t="e">
        <f>(AW197-$AW$260)/$AW$261</f>
        <v>#DIV/0!</v>
      </c>
      <c r="AY197" s="60" t="e">
        <f>AX197-$AX$253</f>
        <v>#DIV/0!</v>
      </c>
      <c r="AZ197" s="60" t="e">
        <f>AY197+5-$AY$205</f>
        <v>#DIV/0!</v>
      </c>
      <c r="BA197" s="60">
        <v>2.0357844003778727</v>
      </c>
      <c r="BB197" s="60">
        <v>2.0357844003778727</v>
      </c>
      <c r="BC197" s="60">
        <f>'Information Technology'!AA2096</f>
        <v>-5.5288979075568651E-2</v>
      </c>
      <c r="BD197" s="60">
        <v>-0.58683175149398292</v>
      </c>
      <c r="BE197" s="60">
        <v>5</v>
      </c>
      <c r="BF197" s="60">
        <f>'Information Technology'!AA2097</f>
        <v>7.9344680562344755E-2</v>
      </c>
      <c r="BG197" s="63">
        <v>0.11885806218222569</v>
      </c>
      <c r="BH197" s="63" t="e">
        <f t="shared" si="201"/>
        <v>#DIV/0!</v>
      </c>
      <c r="BI197" s="63" t="e">
        <f t="shared" si="202"/>
        <v>#DIV/0!</v>
      </c>
      <c r="BJ197" s="63" t="e">
        <f t="shared" si="203"/>
        <v>#DIV/0!</v>
      </c>
      <c r="BK197" s="63">
        <v>4.6239507775985116</v>
      </c>
      <c r="BL197" s="63">
        <v>4.6239507775985116</v>
      </c>
      <c r="BM197" s="63">
        <f t="shared" si="194"/>
        <v>3.744714174382783</v>
      </c>
    </row>
    <row r="198" spans="1:65">
      <c r="A198" s="56" t="s">
        <v>512</v>
      </c>
      <c r="B198" s="56" t="s">
        <v>513</v>
      </c>
      <c r="C198" s="57">
        <v>1579.8</v>
      </c>
      <c r="D198" s="58" t="s">
        <v>77</v>
      </c>
      <c r="E198" s="69" t="str" cm="1">
        <f t="array" ref="E198">_xll.ciqfunctions.udf.CIQ(B198,"iq_industry")</f>
        <v>Software</v>
      </c>
      <c r="F198" s="60">
        <f>'Information Technology'!AA3289</f>
        <v>9.737033701862833</v>
      </c>
      <c r="G198" s="62">
        <v>20.009371628031396</v>
      </c>
      <c r="H198" s="62" t="e">
        <f t="shared" si="195"/>
        <v>#DIV/0!</v>
      </c>
      <c r="I198" s="62" t="e">
        <f t="shared" si="196"/>
        <v>#DIV/0!</v>
      </c>
      <c r="J198" s="62" t="e">
        <f t="shared" si="197"/>
        <v>#DIV/0!</v>
      </c>
      <c r="K198" s="62">
        <v>1</v>
      </c>
      <c r="L198" s="108">
        <v>3.0976441889068109</v>
      </c>
      <c r="M198" s="60">
        <f>'Information Technology'!AA3290</f>
        <v>3.2382553190000003</v>
      </c>
      <c r="N198" s="63">
        <v>1.35065779695</v>
      </c>
      <c r="O198" s="63">
        <f t="shared" si="191"/>
        <v>-0.92168940960328216</v>
      </c>
      <c r="P198" s="63">
        <f t="shared" si="192"/>
        <v>-1.2870979938397866</v>
      </c>
      <c r="Q198" s="63">
        <f t="shared" si="176"/>
        <v>2.7129020061602134</v>
      </c>
      <c r="R198" s="62"/>
      <c r="S198" s="63">
        <v>1.9848468224478975</v>
      </c>
      <c r="T198" s="60" t="e">
        <f>'Information Technology'!AA3291</f>
        <v>#DIV/0!</v>
      </c>
      <c r="U198" s="63" t="e">
        <v>#DIV/0!</v>
      </c>
      <c r="V198" s="63" t="e">
        <f t="shared" si="193"/>
        <v>#DIV/0!</v>
      </c>
      <c r="X198" s="63"/>
      <c r="Z198" s="63">
        <v>1</v>
      </c>
      <c r="AA198" s="60">
        <f>'Information Technology'!AA3292</f>
        <v>5.0763313612132821E-2</v>
      </c>
      <c r="AB198" s="63">
        <v>-3.2706077501029052E-3</v>
      </c>
      <c r="AC198" s="60" t="e">
        <f t="shared" si="198"/>
        <v>#DIV/0!</v>
      </c>
      <c r="AD198" s="60" t="e">
        <f t="shared" si="199"/>
        <v>#DIV/0!</v>
      </c>
      <c r="AE198" s="60" t="e">
        <f t="shared" si="200"/>
        <v>#DIV/0!</v>
      </c>
      <c r="AF198" s="60">
        <v>4.5864352330217093</v>
      </c>
      <c r="AG198" s="60">
        <v>4.5864352330217093</v>
      </c>
      <c r="AH198" s="60">
        <f>'Information Technology'!AA3293</f>
        <v>-0.22953780820836683</v>
      </c>
      <c r="AI198" s="63">
        <v>-9.9245437871610734E-3</v>
      </c>
      <c r="AJ198" s="60"/>
      <c r="AL198" s="60"/>
      <c r="AM198" s="60"/>
      <c r="AN198" s="60">
        <v>1</v>
      </c>
      <c r="AO198" s="60">
        <f>'Information Technology'!AA3294</f>
        <v>0.10135816917762991</v>
      </c>
      <c r="AP198" s="60">
        <v>4.677994998611798E-2</v>
      </c>
      <c r="AQ198" s="60" t="e">
        <f t="shared" si="204"/>
        <v>#DIV/0!</v>
      </c>
      <c r="AR198" s="60" t="e">
        <f t="shared" si="205"/>
        <v>#DIV/0!</v>
      </c>
      <c r="AS198" s="60" t="e">
        <f t="shared" si="206"/>
        <v>#DIV/0!</v>
      </c>
      <c r="AT198" s="60">
        <v>1.9433246719007893</v>
      </c>
      <c r="AU198" s="60">
        <v>1.9433246719007893</v>
      </c>
      <c r="AV198" s="60" t="b">
        <f>'Information Technology'!AA3295</f>
        <v>0</v>
      </c>
      <c r="AW198" s="60">
        <v>2.0546549633573243E-2</v>
      </c>
      <c r="AX198" s="60" t="e">
        <f>(AW198-$AW$260)/$AW$261</f>
        <v>#DIV/0!</v>
      </c>
      <c r="AY198" s="60" t="e">
        <f>AX198-$AX$253</f>
        <v>#DIV/0!</v>
      </c>
      <c r="AZ198" s="60" t="e">
        <f>AY198+5-$AY$205</f>
        <v>#DIV/0!</v>
      </c>
      <c r="BA198" s="60">
        <v>3.2569549383434495</v>
      </c>
      <c r="BB198" s="60">
        <v>3.2569549383434495</v>
      </c>
      <c r="BC198" s="60">
        <f>'Information Technology'!AA3296</f>
        <v>0.8980744376513784</v>
      </c>
      <c r="BD198" s="60">
        <v>-0.75066764542872855</v>
      </c>
      <c r="BE198" s="60">
        <v>5</v>
      </c>
      <c r="BF198" s="60">
        <f>'Information Technology'!AA3297</f>
        <v>0.37884310559550027</v>
      </c>
      <c r="BG198" s="63">
        <v>0.1840225570224123</v>
      </c>
      <c r="BH198" s="63" t="e">
        <f t="shared" si="201"/>
        <v>#DIV/0!</v>
      </c>
      <c r="BI198" s="63" t="e">
        <f t="shared" si="202"/>
        <v>#DIV/0!</v>
      </c>
      <c r="BJ198" s="63" t="e">
        <f t="shared" si="203"/>
        <v>#DIV/0!</v>
      </c>
      <c r="BK198" s="63">
        <v>4.3937196555480904</v>
      </c>
      <c r="BL198" s="63">
        <v>4.3937196555480904</v>
      </c>
      <c r="BM198" s="63">
        <f t="shared" si="194"/>
        <v>3.7327888709592516</v>
      </c>
    </row>
    <row r="199" spans="1:65">
      <c r="A199" s="56" t="s">
        <v>374</v>
      </c>
      <c r="B199" s="56" t="s">
        <v>375</v>
      </c>
      <c r="C199" s="57">
        <v>3787</v>
      </c>
      <c r="D199" s="58" t="s">
        <v>77</v>
      </c>
      <c r="E199" s="69" t="str" cm="1">
        <f t="array" ref="E199">_xll.ciqfunctions.udf.CIQ(B199,"iq_industry")</f>
        <v>Software</v>
      </c>
      <c r="F199" s="60">
        <f>'Information Technology'!AA2254</f>
        <v>4.8858753559796675</v>
      </c>
      <c r="G199" s="62">
        <v>15.179979465374394</v>
      </c>
      <c r="H199" s="62" t="e">
        <f t="shared" si="195"/>
        <v>#DIV/0!</v>
      </c>
      <c r="I199" s="62" t="e">
        <f t="shared" si="196"/>
        <v>#DIV/0!</v>
      </c>
      <c r="J199" s="62" t="e">
        <f t="shared" si="197"/>
        <v>#DIV/0!</v>
      </c>
      <c r="K199" s="62">
        <v>1</v>
      </c>
      <c r="L199" s="108">
        <v>3.6355540126482975</v>
      </c>
      <c r="M199" s="60">
        <f>'Information Technology'!AA2255</f>
        <v>5.5078971551999993</v>
      </c>
      <c r="N199" s="63">
        <v>3.7121214342929996</v>
      </c>
      <c r="O199" s="63">
        <f t="shared" si="191"/>
        <v>0.96228251124114272</v>
      </c>
      <c r="P199" s="63">
        <f t="shared" si="192"/>
        <v>0.59687392700463837</v>
      </c>
      <c r="Q199" s="63">
        <f t="shared" ref="Q199:Q230" si="207">P199+5-$P$71</f>
        <v>4.5968739270046388</v>
      </c>
      <c r="R199" s="62"/>
      <c r="S199" s="63">
        <v>3.8688187432923176</v>
      </c>
      <c r="T199" s="60" t="e">
        <f>'Information Technology'!AA2256</f>
        <v>#DIV/0!</v>
      </c>
      <c r="U199" s="63" t="e">
        <v>#DIV/0!</v>
      </c>
      <c r="V199" s="63" t="e">
        <f t="shared" si="193"/>
        <v>#DIV/0!</v>
      </c>
      <c r="W199" s="63"/>
      <c r="X199" s="63"/>
      <c r="Z199" s="63">
        <v>1</v>
      </c>
      <c r="AA199" s="60">
        <f>'Information Technology'!AA2257</f>
        <v>0.18950477775592667</v>
      </c>
      <c r="AB199" s="63">
        <v>2.109474239644582E-2</v>
      </c>
      <c r="AC199" s="60" t="e">
        <f t="shared" si="198"/>
        <v>#DIV/0!</v>
      </c>
      <c r="AD199" s="60" t="e">
        <f t="shared" si="199"/>
        <v>#DIV/0!</v>
      </c>
      <c r="AE199" s="60" t="e">
        <f t="shared" si="200"/>
        <v>#DIV/0!</v>
      </c>
      <c r="AF199" s="60">
        <v>4.2654023063976636</v>
      </c>
      <c r="AG199" s="60">
        <v>4.2654023063976636</v>
      </c>
      <c r="AH199" s="60">
        <f>'Information Technology'!AA2258</f>
        <v>-7.7765847691817526E-3</v>
      </c>
      <c r="AI199" s="63">
        <v>-2.3403335481963087E-3</v>
      </c>
      <c r="AJ199" s="60" t="e">
        <f>(AI199-$AI$260)/$AI$261</f>
        <v>#DIV/0!</v>
      </c>
      <c r="AK199" s="63" t="e">
        <f>AJ199-$AJ$203</f>
        <v>#DIV/0!</v>
      </c>
      <c r="AL199" s="60" t="e">
        <f>AK199+5-$AK$155</f>
        <v>#DIV/0!</v>
      </c>
      <c r="AM199" s="60">
        <v>1.4765515445904018</v>
      </c>
      <c r="AN199" s="60">
        <v>1.4765515445904018</v>
      </c>
      <c r="AO199" s="60">
        <f>'Information Technology'!AA2259</f>
        <v>2.1277032609700802E-2</v>
      </c>
      <c r="AP199" s="60">
        <v>4.833775362369308E-2</v>
      </c>
      <c r="AQ199" s="60" t="e">
        <f t="shared" si="204"/>
        <v>#DIV/0!</v>
      </c>
      <c r="AR199" s="60" t="e">
        <f t="shared" si="205"/>
        <v>#DIV/0!</v>
      </c>
      <c r="AS199" s="60" t="e">
        <f t="shared" si="206"/>
        <v>#DIV/0!</v>
      </c>
      <c r="AT199" s="60">
        <v>1.9664842367704565</v>
      </c>
      <c r="AU199" s="60">
        <v>1.9664842367704565</v>
      </c>
      <c r="AV199" s="60">
        <f>'Information Technology'!AA2260</f>
        <v>1.8012443475653717E-3</v>
      </c>
      <c r="AW199" s="60">
        <v>9.6702018106440725E-3</v>
      </c>
      <c r="AX199" s="60" t="e">
        <f>(AW199-$AW$260)/$AW$261</f>
        <v>#DIV/0!</v>
      </c>
      <c r="AY199" s="60" t="e">
        <f>AX199-$AX$253</f>
        <v>#DIV/0!</v>
      </c>
      <c r="AZ199" s="60" t="e">
        <f>AY199+5-$AY$205</f>
        <v>#DIV/0!</v>
      </c>
      <c r="BA199" s="60">
        <v>2.5259871189144043</v>
      </c>
      <c r="BB199" s="60">
        <v>2.5259871189144043</v>
      </c>
      <c r="BC199" s="60">
        <f>'Information Technology'!AA2261</f>
        <v>0.68802345725710867</v>
      </c>
      <c r="BD199" s="60">
        <v>0.19827940710956554</v>
      </c>
      <c r="BE199" s="60">
        <v>5</v>
      </c>
      <c r="BF199" s="60">
        <f>'Information Technology'!AA2262</f>
        <v>0.23149840400768382</v>
      </c>
      <c r="BG199" s="63">
        <v>0.20002036132292358</v>
      </c>
      <c r="BH199" s="63" t="e">
        <f t="shared" si="201"/>
        <v>#DIV/0!</v>
      </c>
      <c r="BI199" s="63" t="e">
        <f t="shared" si="202"/>
        <v>#DIV/0!</v>
      </c>
      <c r="BJ199" s="63" t="e">
        <f t="shared" si="203"/>
        <v>#DIV/0!</v>
      </c>
      <c r="BK199" s="63">
        <v>4.3371981948434124</v>
      </c>
      <c r="BL199" s="63">
        <v>4.3371981948434124</v>
      </c>
      <c r="BM199" s="63">
        <f t="shared" si="194"/>
        <v>3.7274604379580323</v>
      </c>
    </row>
    <row r="200" spans="1:65">
      <c r="A200" s="56" t="s">
        <v>560</v>
      </c>
      <c r="B200" s="56" t="s">
        <v>561</v>
      </c>
      <c r="C200" s="57">
        <v>1106.5</v>
      </c>
      <c r="D200" s="58" t="s">
        <v>67</v>
      </c>
      <c r="E200" s="69" t="str" cm="1">
        <f t="array" ref="E200">_xll.ciqfunctions.udf.CIQ(B200,"iq_industry")</f>
        <v>Software</v>
      </c>
      <c r="F200" s="60" t="e">
        <f>'Information Technology'!AA3649</f>
        <v>#DIV/0!</v>
      </c>
      <c r="G200" s="62">
        <v>31.996681603061273</v>
      </c>
      <c r="H200" s="62" t="e">
        <f t="shared" si="195"/>
        <v>#DIV/0!</v>
      </c>
      <c r="I200" s="62" t="e">
        <f t="shared" si="196"/>
        <v>#DIV/0!</v>
      </c>
      <c r="J200" s="62" t="e">
        <f t="shared" si="197"/>
        <v>#DIV/0!</v>
      </c>
      <c r="K200" s="62">
        <v>1</v>
      </c>
      <c r="L200" s="108">
        <v>1.762467508565466</v>
      </c>
      <c r="M200" s="60">
        <f>'Information Technology'!AA3650</f>
        <v>3.465687423376</v>
      </c>
      <c r="N200" s="63">
        <v>0.82410920479999994</v>
      </c>
      <c r="O200" s="63">
        <f t="shared" si="191"/>
        <v>-1.3417690360195986</v>
      </c>
      <c r="P200" s="63">
        <f t="shared" si="192"/>
        <v>-1.7071776202561031</v>
      </c>
      <c r="Q200" s="63">
        <f t="shared" si="207"/>
        <v>2.2928223797438969</v>
      </c>
      <c r="R200" s="62"/>
      <c r="S200" s="63">
        <v>1.5647671960315819</v>
      </c>
      <c r="T200" s="60" t="e">
        <f>'Information Technology'!AA3651</f>
        <v>#DIV/0!</v>
      </c>
      <c r="U200" s="63" t="e">
        <v>#DIV/0!</v>
      </c>
      <c r="V200" s="63" t="e">
        <f t="shared" si="193"/>
        <v>#DIV/0!</v>
      </c>
      <c r="X200" s="63"/>
      <c r="Z200" s="63">
        <v>1</v>
      </c>
      <c r="AA200" s="60" t="e">
        <f>'Information Technology'!AA3652</f>
        <v>#DIV/0!</v>
      </c>
      <c r="AB200" s="63">
        <v>-2.518447655214695E-3</v>
      </c>
      <c r="AC200" s="60" t="e">
        <f t="shared" si="198"/>
        <v>#DIV/0!</v>
      </c>
      <c r="AD200" s="60" t="e">
        <f t="shared" si="199"/>
        <v>#DIV/0!</v>
      </c>
      <c r="AE200" s="60" t="e">
        <f t="shared" si="200"/>
        <v>#DIV/0!</v>
      </c>
      <c r="AF200" s="60">
        <v>4.5765249237054304</v>
      </c>
      <c r="AG200" s="60">
        <v>4.5765249237054304</v>
      </c>
      <c r="AH200" s="60" t="e">
        <f>'Information Technology'!AA3653</f>
        <v>#DIV/0!</v>
      </c>
      <c r="AI200" s="63">
        <v>0.10262137394215806</v>
      </c>
      <c r="AJ200" s="60" t="e">
        <f>(AI200-$AI$260)/$AI$261</f>
        <v>#DIV/0!</v>
      </c>
      <c r="AK200" s="63" t="e">
        <f>AJ200-$AJ$203</f>
        <v>#DIV/0!</v>
      </c>
      <c r="AL200" s="60" t="e">
        <f>AK200+5-$AK$155</f>
        <v>#DIV/0!</v>
      </c>
      <c r="AM200" s="60">
        <v>3.8658918608178006</v>
      </c>
      <c r="AN200" s="60">
        <v>3.8658918608178006</v>
      </c>
      <c r="AO200" s="60" t="e">
        <f>'Information Technology'!AA3654</f>
        <v>#DIV/0!</v>
      </c>
      <c r="AP200" s="60">
        <v>0.24442329892956033</v>
      </c>
      <c r="AQ200" s="60" t="e">
        <f t="shared" si="204"/>
        <v>#DIV/0!</v>
      </c>
      <c r="AR200" s="60" t="e">
        <f t="shared" si="205"/>
        <v>#DIV/0!</v>
      </c>
      <c r="AS200" s="60" t="e">
        <f t="shared" si="206"/>
        <v>#DIV/0!</v>
      </c>
      <c r="AT200" s="60">
        <v>4.8816500490574839</v>
      </c>
      <c r="AU200" s="60">
        <v>4.8816500490574839</v>
      </c>
      <c r="AV200" s="60" t="e">
        <f>'Information Technology'!AA3655</f>
        <v>#DIV/0!</v>
      </c>
      <c r="AW200" s="60" t="b">
        <v>0</v>
      </c>
      <c r="AX200" s="60"/>
      <c r="AY200" s="60"/>
      <c r="AZ200" s="60"/>
      <c r="BA200" s="60"/>
      <c r="BB200" s="60">
        <v>1</v>
      </c>
      <c r="BC200" s="60" t="e">
        <f>'Information Technology'!AA3656</f>
        <v>#DIV/0!</v>
      </c>
      <c r="BD200" s="60">
        <v>0</v>
      </c>
      <c r="BE200" s="60">
        <v>5</v>
      </c>
      <c r="BF200" s="60" t="e">
        <f>'Information Technology'!AA3657</f>
        <v>#DIV/0!</v>
      </c>
      <c r="BG200" s="63">
        <v>0.33513293692214524</v>
      </c>
      <c r="BH200" s="63" t="e">
        <f t="shared" si="201"/>
        <v>#DIV/0!</v>
      </c>
      <c r="BI200" s="63" t="e">
        <f t="shared" si="202"/>
        <v>#DIV/0!</v>
      </c>
      <c r="BJ200" s="63" t="e">
        <f t="shared" si="203"/>
        <v>#DIV/0!</v>
      </c>
      <c r="BK200" s="63">
        <v>3.8598351774576383</v>
      </c>
      <c r="BL200" s="63">
        <v>3.8598351774576383</v>
      </c>
      <c r="BM200" s="63">
        <f t="shared" si="194"/>
        <v>3.6620984860377868</v>
      </c>
    </row>
    <row r="201" spans="1:65">
      <c r="A201" s="56" t="s">
        <v>420</v>
      </c>
      <c r="B201" s="56" t="s">
        <v>421</v>
      </c>
      <c r="C201" s="57">
        <v>2987.4</v>
      </c>
      <c r="D201" s="58" t="s">
        <v>67</v>
      </c>
      <c r="E201" s="69" t="str" cm="1">
        <f t="array" ref="E201">_xll.ciqfunctions.udf.CIQ(B201,"iq_industry")</f>
        <v>Software</v>
      </c>
      <c r="F201" s="60">
        <f>'Information Technology'!AA2599</f>
        <v>19.226221619763276</v>
      </c>
      <c r="G201" s="62">
        <v>20.534392603945388</v>
      </c>
      <c r="H201" s="62" t="e">
        <f t="shared" si="195"/>
        <v>#DIV/0!</v>
      </c>
      <c r="I201" s="62" t="e">
        <f t="shared" si="196"/>
        <v>#DIV/0!</v>
      </c>
      <c r="J201" s="62" t="e">
        <f t="shared" si="197"/>
        <v>#DIV/0!</v>
      </c>
      <c r="K201" s="62">
        <v>1</v>
      </c>
      <c r="L201" s="108">
        <v>3.0391660344926326</v>
      </c>
      <c r="M201" s="60">
        <f>'Information Technology'!AA2600</f>
        <v>0.79443601120000007</v>
      </c>
      <c r="N201" s="63">
        <v>2.9637366605</v>
      </c>
      <c r="O201" s="63">
        <f t="shared" si="191"/>
        <v>0.36522233317297353</v>
      </c>
      <c r="P201" s="63">
        <f t="shared" si="192"/>
        <v>-1.8625106353081788E-4</v>
      </c>
      <c r="Q201" s="63">
        <f t="shared" si="207"/>
        <v>3.9998137489364689</v>
      </c>
      <c r="R201" s="62"/>
      <c r="S201" s="63">
        <v>3.2717585652241503</v>
      </c>
      <c r="T201" s="60" t="e">
        <f>'Information Technology'!AA2601</f>
        <v>#DIV/0!</v>
      </c>
      <c r="U201" s="63" t="e">
        <v>#DIV/0!</v>
      </c>
      <c r="V201" s="63" t="e">
        <f t="shared" si="193"/>
        <v>#DIV/0!</v>
      </c>
      <c r="X201" s="63"/>
      <c r="Z201" s="63">
        <v>1</v>
      </c>
      <c r="AA201" s="60">
        <f>'Information Technology'!AA2602</f>
        <v>5.6040537452104022E-2</v>
      </c>
      <c r="AB201" s="63">
        <v>-8.0285064284548735E-3</v>
      </c>
      <c r="AC201" s="60" t="e">
        <f t="shared" si="198"/>
        <v>#DIV/0!</v>
      </c>
      <c r="AD201" s="60" t="e">
        <f t="shared" si="199"/>
        <v>#DIV/0!</v>
      </c>
      <c r="AE201" s="60" t="e">
        <f t="shared" si="200"/>
        <v>#DIV/0!</v>
      </c>
      <c r="AF201" s="60">
        <v>4.6491243439150471</v>
      </c>
      <c r="AG201" s="60">
        <v>4.6491243439150471</v>
      </c>
      <c r="AH201" s="60">
        <f>'Information Technology'!AA2603</f>
        <v>4.0773649739980322E-2</v>
      </c>
      <c r="AI201" s="63">
        <v>-1.4274404395568542E-2</v>
      </c>
      <c r="AJ201" s="60"/>
      <c r="AL201" s="60"/>
      <c r="AM201" s="60"/>
      <c r="AN201" s="60">
        <v>1</v>
      </c>
      <c r="AO201" s="60">
        <f>'Information Technology'!AA2604</f>
        <v>7.4144924482661412E-2</v>
      </c>
      <c r="AP201" s="60">
        <v>0.24524531028813315</v>
      </c>
      <c r="AQ201" s="60" t="e">
        <f t="shared" si="204"/>
        <v>#DIV/0!</v>
      </c>
      <c r="AR201" s="60" t="e">
        <f t="shared" si="205"/>
        <v>#DIV/0!</v>
      </c>
      <c r="AS201" s="60" t="e">
        <f t="shared" si="206"/>
        <v>#DIV/0!</v>
      </c>
      <c r="AT201" s="60">
        <v>4.8938707326682271</v>
      </c>
      <c r="AU201" s="60">
        <v>4.8938707326682271</v>
      </c>
      <c r="AV201" s="60" t="e">
        <f>'Information Technology'!AA2605</f>
        <v>#DIV/0!</v>
      </c>
      <c r="AW201" s="60">
        <v>0</v>
      </c>
      <c r="AX201" s="60" t="e">
        <f>(AW201-$AW$260)/$AW$261</f>
        <v>#DIV/0!</v>
      </c>
      <c r="AY201" s="60" t="e">
        <f>AX201-$AX$253</f>
        <v>#DIV/0!</v>
      </c>
      <c r="AZ201" s="60" t="e">
        <f>AY201+5-$AY$205</f>
        <v>#DIV/0!</v>
      </c>
      <c r="BA201" s="60">
        <v>1.876080877771261</v>
      </c>
      <c r="BB201" s="60">
        <v>1.876080877771261</v>
      </c>
      <c r="BC201" s="60">
        <f>'Information Technology'!AA2606</f>
        <v>0.33455600881825798</v>
      </c>
      <c r="BD201" s="60">
        <v>0</v>
      </c>
      <c r="BE201" s="60">
        <v>5</v>
      </c>
      <c r="BF201" s="60">
        <f>'Information Technology'!AA2607</f>
        <v>0.20969812280382089</v>
      </c>
      <c r="BG201" s="63">
        <v>0.22214068022748673</v>
      </c>
      <c r="BH201" s="63" t="e">
        <f t="shared" si="201"/>
        <v>#DIV/0!</v>
      </c>
      <c r="BI201" s="63" t="e">
        <f t="shared" si="202"/>
        <v>#DIV/0!</v>
      </c>
      <c r="BJ201" s="63" t="e">
        <f t="shared" si="203"/>
        <v>#DIV/0!</v>
      </c>
      <c r="BK201" s="63">
        <v>4.2590454238597575</v>
      </c>
      <c r="BL201" s="63">
        <v>4.2590454238597575</v>
      </c>
      <c r="BM201" s="63">
        <f t="shared" si="194"/>
        <v>3.6342882765877977</v>
      </c>
    </row>
    <row r="202" spans="1:65">
      <c r="A202" s="56" t="s">
        <v>392</v>
      </c>
      <c r="B202" s="56" t="s">
        <v>393</v>
      </c>
      <c r="C202" s="57">
        <v>3465.7</v>
      </c>
      <c r="D202" s="58" t="s">
        <v>77</v>
      </c>
      <c r="E202" s="69" t="str" cm="1">
        <f t="array" ref="E202">_xll.ciqfunctions.udf.CIQ(B202,"iq_industry")</f>
        <v>Software</v>
      </c>
      <c r="F202" s="60">
        <f>'Information Technology'!AA2389</f>
        <v>12.750317297807539</v>
      </c>
      <c r="G202" s="62">
        <v>13.496171480932396</v>
      </c>
      <c r="H202" s="62" t="e">
        <f t="shared" si="195"/>
        <v>#DIV/0!</v>
      </c>
      <c r="I202" s="62" t="e">
        <f t="shared" si="196"/>
        <v>#DIV/0!</v>
      </c>
      <c r="J202" s="62" t="e">
        <f t="shared" si="197"/>
        <v>#DIV/0!</v>
      </c>
      <c r="K202" s="62">
        <v>1</v>
      </c>
      <c r="L202" s="108">
        <v>3.8231007733212579</v>
      </c>
      <c r="M202" s="60">
        <f>'Information Technology'!AA2390</f>
        <v>2.1794851415999998</v>
      </c>
      <c r="N202" s="63">
        <v>3.6774805937999999</v>
      </c>
      <c r="O202" s="63">
        <f t="shared" si="191"/>
        <v>0.93464610398454329</v>
      </c>
      <c r="P202" s="63">
        <f t="shared" si="192"/>
        <v>0.56923751974803893</v>
      </c>
      <c r="Q202" s="63">
        <f t="shared" si="207"/>
        <v>4.5692375197480386</v>
      </c>
      <c r="R202" s="62"/>
      <c r="S202" s="63">
        <v>3.8411823360357182</v>
      </c>
      <c r="T202" s="60" t="e">
        <f>'Information Technology'!AA2391</f>
        <v>#DIV/0!</v>
      </c>
      <c r="U202" s="63" t="e">
        <v>#DIV/0!</v>
      </c>
      <c r="V202" s="63" t="e">
        <f t="shared" si="193"/>
        <v>#DIV/0!</v>
      </c>
      <c r="W202" s="63"/>
      <c r="X202" s="63"/>
      <c r="Z202" s="63">
        <v>1</v>
      </c>
      <c r="AA202" s="60">
        <f>'Information Technology'!AA2392</f>
        <v>9.4462322798167797E-3</v>
      </c>
      <c r="AB202" s="63">
        <v>-3.9771875553917813E-4</v>
      </c>
      <c r="AC202" s="60" t="e">
        <f t="shared" si="198"/>
        <v>#DIV/0!</v>
      </c>
      <c r="AD202" s="60" t="e">
        <f t="shared" si="199"/>
        <v>#DIV/0!</v>
      </c>
      <c r="AE202" s="60" t="e">
        <f t="shared" si="200"/>
        <v>#DIV/0!</v>
      </c>
      <c r="AF202" s="60">
        <v>4.5485826285549757</v>
      </c>
      <c r="AG202" s="60">
        <v>4.5485826285549757</v>
      </c>
      <c r="AH202" s="60">
        <f>'Information Technology'!AA2393</f>
        <v>8.0312944792863897E-2</v>
      </c>
      <c r="AI202" s="63">
        <v>-6.8446459455810599E-2</v>
      </c>
      <c r="AJ202" s="60"/>
      <c r="AL202" s="60"/>
      <c r="AM202" s="60"/>
      <c r="AN202" s="60">
        <v>1</v>
      </c>
      <c r="AO202" s="60">
        <f>'Information Technology'!AA2394</f>
        <v>0.31683942415394856</v>
      </c>
      <c r="AP202" s="60">
        <v>0.18980520309956259</v>
      </c>
      <c r="AQ202" s="60" t="e">
        <f t="shared" si="204"/>
        <v>#DIV/0!</v>
      </c>
      <c r="AR202" s="60" t="e">
        <f t="shared" si="205"/>
        <v>#DIV/0!</v>
      </c>
      <c r="AS202" s="60" t="e">
        <f t="shared" si="206"/>
        <v>#DIV/0!</v>
      </c>
      <c r="AT202" s="60">
        <v>4.0696534001078488</v>
      </c>
      <c r="AU202" s="60">
        <v>4.0696534001078488</v>
      </c>
      <c r="AV202" s="60">
        <f>'Information Technology'!AA2395</f>
        <v>-1.9756671581130816E-3</v>
      </c>
      <c r="AW202" s="60" t="b">
        <v>0</v>
      </c>
      <c r="AX202" s="60"/>
      <c r="AY202" s="60"/>
      <c r="AZ202" s="60"/>
      <c r="BA202" s="60"/>
      <c r="BB202" s="60">
        <v>1</v>
      </c>
      <c r="BC202" s="60">
        <f>'Information Technology'!AA2396</f>
        <v>0.2141003913936437</v>
      </c>
      <c r="BD202" s="60">
        <v>4.2737184921631435E-2</v>
      </c>
      <c r="BE202" s="60">
        <v>5</v>
      </c>
      <c r="BF202" s="60">
        <f>'Information Technology'!AA2397</f>
        <v>0.19145801096324164</v>
      </c>
      <c r="BG202" s="63">
        <v>0.35121993978037591</v>
      </c>
      <c r="BH202" s="63" t="e">
        <f t="shared" si="201"/>
        <v>#DIV/0!</v>
      </c>
      <c r="BI202" s="63" t="e">
        <f t="shared" si="202"/>
        <v>#DIV/0!</v>
      </c>
      <c r="BJ202" s="63" t="e">
        <f t="shared" si="203"/>
        <v>#DIV/0!</v>
      </c>
      <c r="BK202" s="63">
        <v>3.8029985714567465</v>
      </c>
      <c r="BL202" s="63">
        <v>3.8029985714567465</v>
      </c>
      <c r="BM202" s="63">
        <f t="shared" si="194"/>
        <v>3.4477891613428255</v>
      </c>
    </row>
    <row r="203" spans="1:65">
      <c r="A203" s="56" t="s">
        <v>470</v>
      </c>
      <c r="B203" s="56" t="s">
        <v>471</v>
      </c>
      <c r="C203" s="57">
        <v>2139.1999999999998</v>
      </c>
      <c r="D203" s="58" t="s">
        <v>77</v>
      </c>
      <c r="E203" s="69" t="str" cm="1">
        <f t="array" ref="E203">_xll.ciqfunctions.udf.CIQ(B203,"iq_industry")</f>
        <v>Software</v>
      </c>
      <c r="F203" s="60">
        <f>'Information Technology'!AA2974</f>
        <v>25.802688058657637</v>
      </c>
      <c r="G203" s="62">
        <v>6.9198019324251536</v>
      </c>
      <c r="H203" s="62" t="e">
        <f t="shared" si="195"/>
        <v>#DIV/0!</v>
      </c>
      <c r="I203" s="62" t="e">
        <f t="shared" si="196"/>
        <v>#DIV/0!</v>
      </c>
      <c r="J203" s="62" t="e">
        <f t="shared" si="197"/>
        <v>#DIV/0!</v>
      </c>
      <c r="K203" s="62">
        <v>1</v>
      </c>
      <c r="L203" s="108">
        <v>4.5555933242575595</v>
      </c>
      <c r="M203" s="60">
        <f>'Information Technology'!AA2975</f>
        <v>0.91412425260000008</v>
      </c>
      <c r="N203" s="63">
        <v>2.1299966860000001</v>
      </c>
      <c r="O203" s="63">
        <f t="shared" si="191"/>
        <v>-0.29993408778757424</v>
      </c>
      <c r="P203" s="63">
        <f t="shared" si="192"/>
        <v>-0.6653426720240786</v>
      </c>
      <c r="Q203" s="63">
        <f t="shared" si="207"/>
        <v>3.3346573279759211</v>
      </c>
      <c r="R203" s="62"/>
      <c r="S203" s="63">
        <v>2.6066021442636034</v>
      </c>
      <c r="T203" s="60" t="e">
        <f>'Information Technology'!AA2976</f>
        <v>#DIV/0!</v>
      </c>
      <c r="U203" s="63">
        <v>27.247916418268836</v>
      </c>
      <c r="V203" s="63" t="e">
        <f t="shared" si="193"/>
        <v>#DIV/0!</v>
      </c>
      <c r="W203" s="63" t="e">
        <f>V203-$V$252</f>
        <v>#DIV/0!</v>
      </c>
      <c r="X203" s="63" t="e">
        <f>W203+5-$W$259</f>
        <v>#DIV/0!</v>
      </c>
      <c r="Y203" s="63">
        <v>3.0998564418236825</v>
      </c>
      <c r="Z203" s="63">
        <v>3.0998564418236825</v>
      </c>
      <c r="AA203" s="60">
        <f>'Information Technology'!AA2977</f>
        <v>-2.4439476843373109E-3</v>
      </c>
      <c r="AB203" s="63">
        <v>-4.1362690652612888E-2</v>
      </c>
      <c r="AD203" s="60"/>
      <c r="AE203" s="60"/>
      <c r="AF203" s="60">
        <v>4.97</v>
      </c>
      <c r="AG203" s="60">
        <v>4.97</v>
      </c>
      <c r="AH203" s="60">
        <f>'Information Technology'!AA2978</f>
        <v>9.9459087920765715E-2</v>
      </c>
      <c r="AI203" s="63">
        <v>0.1850185857308321</v>
      </c>
      <c r="AJ203" s="60" t="e">
        <f>(AI203-$AI$260)/$AI$261</f>
        <v>#DIV/0!</v>
      </c>
      <c r="AK203" s="63"/>
      <c r="AL203" s="60"/>
      <c r="AM203" s="60">
        <v>4.97</v>
      </c>
      <c r="AN203" s="60">
        <v>4.97</v>
      </c>
      <c r="AO203" s="60">
        <f>'Information Technology'!AA2979</f>
        <v>0.2383061790165866</v>
      </c>
      <c r="AP203" s="60">
        <v>3.0731894397004828E-2</v>
      </c>
      <c r="AQ203" s="60" t="e">
        <f t="shared" si="204"/>
        <v>#DIV/0!</v>
      </c>
      <c r="AR203" s="60" t="e">
        <f t="shared" si="205"/>
        <v>#DIV/0!</v>
      </c>
      <c r="AS203" s="60" t="e">
        <f t="shared" si="206"/>
        <v>#DIV/0!</v>
      </c>
      <c r="AT203" s="60">
        <v>1.7047413386209722</v>
      </c>
      <c r="AU203" s="60">
        <v>1.7047413386209722</v>
      </c>
      <c r="AV203" s="60" t="b">
        <f>'Information Technology'!AA2980</f>
        <v>0</v>
      </c>
      <c r="AW203" s="60">
        <v>-2.3752905449797107E-2</v>
      </c>
      <c r="AX203" s="60" t="e">
        <f>(AW203-$AW$260)/$AW$261</f>
        <v>#DIV/0!</v>
      </c>
      <c r="AY203" s="60" t="e">
        <f>AX203-$AX$253</f>
        <v>#DIV/0!</v>
      </c>
      <c r="AZ203" s="60" t="e">
        <f>AY203+5-$AY$205</f>
        <v>#DIV/0!</v>
      </c>
      <c r="BA203" s="60">
        <v>1.1000000000000001</v>
      </c>
      <c r="BB203" s="60">
        <v>1.1000000000000001</v>
      </c>
      <c r="BC203" s="60">
        <f>'Information Technology'!AA2981</f>
        <v>0</v>
      </c>
      <c r="BD203" s="60">
        <v>0.19673926681949699</v>
      </c>
      <c r="BE203" s="60">
        <v>5</v>
      </c>
      <c r="BF203" s="60">
        <f>'Information Technology'!AA2982</f>
        <v>0.39925336700548686</v>
      </c>
      <c r="BG203" s="63">
        <v>1.3113234382768588</v>
      </c>
      <c r="BI203" s="63"/>
      <c r="BJ203" s="63"/>
      <c r="BK203" s="63">
        <v>1.5</v>
      </c>
      <c r="BL203" s="63">
        <v>1.5</v>
      </c>
      <c r="BM203" s="63">
        <f t="shared" si="194"/>
        <v>3.4176475503888319</v>
      </c>
    </row>
    <row r="204" spans="1:65">
      <c r="A204" s="56" t="s">
        <v>414</v>
      </c>
      <c r="B204" s="56" t="s">
        <v>415</v>
      </c>
      <c r="C204" s="57">
        <v>3067.2</v>
      </c>
      <c r="D204" s="58" t="s">
        <v>77</v>
      </c>
      <c r="E204" s="69" t="str" cm="1">
        <f t="array" ref="E204">_xll.ciqfunctions.udf.CIQ(B204,"iq_industry")</f>
        <v>Software</v>
      </c>
      <c r="F204" s="60">
        <f>'Information Technology'!AA2554</f>
        <v>14.795516197518472</v>
      </c>
      <c r="G204" s="62">
        <v>15.790657117920953</v>
      </c>
      <c r="H204" s="62" t="e">
        <f t="shared" si="195"/>
        <v>#DIV/0!</v>
      </c>
      <c r="I204" s="62" t="e">
        <f t="shared" si="196"/>
        <v>#DIV/0!</v>
      </c>
      <c r="J204" s="62" t="e">
        <f t="shared" si="197"/>
        <v>#DIV/0!</v>
      </c>
      <c r="K204" s="62">
        <v>1</v>
      </c>
      <c r="L204" s="108">
        <v>3.5675352025412597</v>
      </c>
      <c r="M204" s="60">
        <f>'Information Technology'!AA2555</f>
        <v>4.1210907434999999</v>
      </c>
      <c r="N204" s="63">
        <v>2.8880683218000001</v>
      </c>
      <c r="O204" s="63">
        <f t="shared" si="191"/>
        <v>0.30485425332900717</v>
      </c>
      <c r="P204" s="63">
        <f t="shared" si="192"/>
        <v>-6.0554330907497178E-2</v>
      </c>
      <c r="Q204" s="63">
        <f t="shared" si="207"/>
        <v>3.9394456690925033</v>
      </c>
      <c r="R204" s="62"/>
      <c r="S204" s="63">
        <v>3.2113904853801838</v>
      </c>
      <c r="T204" s="60" t="e">
        <f>'Information Technology'!AA2556</f>
        <v>#DIV/0!</v>
      </c>
      <c r="U204" s="63" t="e">
        <v>#DIV/0!</v>
      </c>
      <c r="V204" s="63" t="e">
        <f t="shared" si="193"/>
        <v>#DIV/0!</v>
      </c>
      <c r="X204" s="63"/>
      <c r="Z204" s="63">
        <v>1</v>
      </c>
      <c r="AA204" s="60">
        <f>'Information Technology'!AA2557</f>
        <v>3.5593169363943744E-2</v>
      </c>
      <c r="AB204" s="63">
        <v>7.0551914273238037E-3</v>
      </c>
      <c r="AC204" s="60" t="e">
        <f t="shared" ref="AC204:AC216" si="208">-(AB204-$AB$260)/$AB$261</f>
        <v>#DIV/0!</v>
      </c>
      <c r="AD204" s="60" t="e">
        <f t="shared" ref="AD204:AD216" si="209">AC204-$AC$160</f>
        <v>#DIV/0!</v>
      </c>
      <c r="AE204" s="60" t="e">
        <f t="shared" ref="AE204:AE216" si="210">AD204+5-$AD$254</f>
        <v>#DIV/0!</v>
      </c>
      <c r="AF204" s="60">
        <v>4.4503845910353066</v>
      </c>
      <c r="AG204" s="60">
        <v>4.4503845910353066</v>
      </c>
      <c r="AH204" s="60">
        <f>'Information Technology'!AA2558</f>
        <v>5.2134849897764679E-2</v>
      </c>
      <c r="AI204" s="63">
        <v>7.8980752239155239E-2</v>
      </c>
      <c r="AJ204" s="60" t="e">
        <f>(AI204-$AI$260)/$AI$261</f>
        <v>#DIV/0!</v>
      </c>
      <c r="AK204" s="63" t="e">
        <f>AJ204-$AJ$203</f>
        <v>#DIV/0!</v>
      </c>
      <c r="AL204" s="60" t="e">
        <f>AK204+5-$AK$155</f>
        <v>#DIV/0!</v>
      </c>
      <c r="AM204" s="60">
        <v>3.3277385486600695</v>
      </c>
      <c r="AN204" s="60">
        <v>3.3277385486600695</v>
      </c>
      <c r="AO204" s="60">
        <f>'Information Technology'!AA2559</f>
        <v>6.5945897059611153E-2</v>
      </c>
      <c r="AP204" s="60">
        <v>3.5795640210775595E-2</v>
      </c>
      <c r="AQ204" s="60" t="e">
        <f t="shared" si="204"/>
        <v>#DIV/0!</v>
      </c>
      <c r="AR204" s="60" t="e">
        <f t="shared" si="205"/>
        <v>#DIV/0!</v>
      </c>
      <c r="AS204" s="60" t="e">
        <f t="shared" si="206"/>
        <v>#DIV/0!</v>
      </c>
      <c r="AT204" s="60">
        <v>1.7800230665800112</v>
      </c>
      <c r="AU204" s="60">
        <v>1.7800230665800112</v>
      </c>
      <c r="AV204" s="60">
        <f>'Information Technology'!AA2560</f>
        <v>-5.8146230660220753E-4</v>
      </c>
      <c r="AW204" s="60">
        <v>4.6481979152787394E-2</v>
      </c>
      <c r="AX204" s="60" t="e">
        <f>(AW204-$AW$260)/$AW$261</f>
        <v>#DIV/0!</v>
      </c>
      <c r="AY204" s="60" t="e">
        <f>AX204-$AX$253</f>
        <v>#DIV/0!</v>
      </c>
      <c r="AZ204" s="60" t="e">
        <f>AY204+5-$AY$205</f>
        <v>#DIV/0!</v>
      </c>
      <c r="BA204" s="60">
        <v>4.7</v>
      </c>
      <c r="BB204" s="60">
        <v>4.7</v>
      </c>
      <c r="BC204" s="60">
        <f>'Information Technology'!AA2561</f>
        <v>0.21978509506384061</v>
      </c>
      <c r="BD204" s="60">
        <v>0.5428196050320081</v>
      </c>
      <c r="BE204" s="60">
        <v>2.3199999999999998</v>
      </c>
      <c r="BF204" s="60">
        <f>'Information Technology'!AA2562</f>
        <v>0.44200902361455158</v>
      </c>
      <c r="BG204" s="63">
        <v>0.30091225199953192</v>
      </c>
      <c r="BH204" s="63" t="e">
        <f>-(BG204-$BG$260)/$BG$261</f>
        <v>#DIV/0!</v>
      </c>
      <c r="BI204" s="63" t="e">
        <f>BH204-$BH$181</f>
        <v>#DIV/0!</v>
      </c>
      <c r="BJ204" s="63" t="e">
        <f>BI204+5-$BI$259</f>
        <v>#DIV/0!</v>
      </c>
      <c r="BK204" s="63">
        <v>3.9807394629337916</v>
      </c>
      <c r="BL204" s="63">
        <v>3.9807394629337916</v>
      </c>
      <c r="BM204" s="63">
        <f t="shared" si="194"/>
        <v>3.3507607036179952</v>
      </c>
    </row>
    <row r="205" spans="1:65">
      <c r="A205" s="56" t="s">
        <v>438</v>
      </c>
      <c r="B205" s="56" t="s">
        <v>439</v>
      </c>
      <c r="C205" s="57">
        <v>2612.6999999999998</v>
      </c>
      <c r="D205" s="58" t="s">
        <v>77</v>
      </c>
      <c r="E205" s="69" t="str" cm="1">
        <f t="array" ref="E205">_xll.ciqfunctions.udf.CIQ(B205,"iq_industry")</f>
        <v>Software</v>
      </c>
      <c r="F205" s="60">
        <f>'Information Technology'!AA2734</f>
        <v>63.670573729464564</v>
      </c>
      <c r="G205" s="62">
        <v>8.5579033445890609</v>
      </c>
      <c r="H205" s="62" t="e">
        <f t="shared" si="195"/>
        <v>#DIV/0!</v>
      </c>
      <c r="I205" s="62" t="e">
        <f t="shared" si="196"/>
        <v>#DIV/0!</v>
      </c>
      <c r="J205" s="62" t="e">
        <f t="shared" si="197"/>
        <v>#DIV/0!</v>
      </c>
      <c r="K205" s="62">
        <v>1</v>
      </c>
      <c r="L205" s="108">
        <v>4.3731374763557849</v>
      </c>
      <c r="M205" s="60">
        <f>'Information Technology'!AA2735</f>
        <v>1.178068506</v>
      </c>
      <c r="N205" s="63">
        <v>2.3294274987000003</v>
      </c>
      <c r="O205" s="63">
        <f t="shared" si="191"/>
        <v>-0.14082850371822661</v>
      </c>
      <c r="P205" s="63">
        <f t="shared" si="192"/>
        <v>-0.50623708795473099</v>
      </c>
      <c r="Q205" s="63">
        <f t="shared" si="207"/>
        <v>3.4937629120452689</v>
      </c>
      <c r="R205" s="62"/>
      <c r="S205" s="63">
        <v>2.7657077283329512</v>
      </c>
      <c r="T205" s="60" t="e">
        <f>'Information Technology'!AA2736</f>
        <v>#DIV/0!</v>
      </c>
      <c r="U205" s="63" t="e">
        <v>#DIV/0!</v>
      </c>
      <c r="V205" s="63" t="e">
        <f t="shared" si="193"/>
        <v>#DIV/0!</v>
      </c>
      <c r="X205" s="63"/>
      <c r="Z205" s="63">
        <v>1</v>
      </c>
      <c r="AA205" s="60">
        <f>'Information Technology'!AA2737</f>
        <v>3.2571314017958208E-2</v>
      </c>
      <c r="AB205" s="63">
        <v>2.5216188568688791E-2</v>
      </c>
      <c r="AC205" s="60" t="e">
        <f t="shared" si="208"/>
        <v>#DIV/0!</v>
      </c>
      <c r="AD205" s="60" t="e">
        <f t="shared" si="209"/>
        <v>#DIV/0!</v>
      </c>
      <c r="AE205" s="60" t="e">
        <f t="shared" si="210"/>
        <v>#DIV/0!</v>
      </c>
      <c r="AF205" s="60">
        <v>4.2110989650280333</v>
      </c>
      <c r="AG205" s="60">
        <v>4.2110989650280333</v>
      </c>
      <c r="AH205" s="60">
        <f>'Information Technology'!AA2738</f>
        <v>-0.11605663568749486</v>
      </c>
      <c r="AI205" s="63">
        <v>-3.1369265829234549E-2</v>
      </c>
      <c r="AJ205" s="60"/>
      <c r="AL205" s="60"/>
      <c r="AM205" s="60"/>
      <c r="AN205" s="60">
        <v>1</v>
      </c>
      <c r="AO205" s="60">
        <f>'Information Technology'!AA2739</f>
        <v>0.20311243765184697</v>
      </c>
      <c r="AP205" s="60">
        <v>0.25238398321368327</v>
      </c>
      <c r="AQ205" s="60" t="e">
        <f t="shared" si="204"/>
        <v>#DIV/0!</v>
      </c>
      <c r="AR205" s="60" t="e">
        <f t="shared" si="205"/>
        <v>#DIV/0!</v>
      </c>
      <c r="AS205" s="60" t="e">
        <f t="shared" si="206"/>
        <v>#DIV/0!</v>
      </c>
      <c r="AT205" s="60">
        <v>4.93</v>
      </c>
      <c r="AU205" s="60">
        <v>4.93</v>
      </c>
      <c r="AV205" s="60">
        <f>'Information Technology'!AA2740</f>
        <v>-7.6665719779708802E-5</v>
      </c>
      <c r="AW205" s="60">
        <v>-3.4621267119474535E-3</v>
      </c>
      <c r="AX205" s="60" t="e">
        <f>(AW205-$AW$260)/$AW$261</f>
        <v>#DIV/0!</v>
      </c>
      <c r="AY205" s="60" t="e">
        <f>AX205-$AX$253</f>
        <v>#DIV/0!</v>
      </c>
      <c r="AZ205" s="60" t="e">
        <f>AY205+5-$AY$205</f>
        <v>#DIV/0!</v>
      </c>
      <c r="BA205" s="60">
        <v>1.643401374097782</v>
      </c>
      <c r="BB205" s="60">
        <v>1.643401374097782</v>
      </c>
      <c r="BC205" s="60">
        <f>'Information Technology'!AA2741</f>
        <v>0</v>
      </c>
      <c r="BD205" s="60">
        <v>0.50057242044821537</v>
      </c>
      <c r="BE205" s="60">
        <v>2.4</v>
      </c>
      <c r="BF205" s="60">
        <f>'Information Technology'!AA2742</f>
        <v>1.7527347544758023</v>
      </c>
      <c r="BG205" s="63">
        <v>0.14260146386738892</v>
      </c>
      <c r="BH205" s="63" t="e">
        <f>-(BG205-$BG$260)/$BG$261</f>
        <v>#DIV/0!</v>
      </c>
      <c r="BI205" s="63" t="e">
        <f>BH205-$BH$181</f>
        <v>#DIV/0!</v>
      </c>
      <c r="BJ205" s="63" t="e">
        <f>BI205+5-$BI$259</f>
        <v>#DIV/0!</v>
      </c>
      <c r="BK205" s="63">
        <v>4.540063531565603</v>
      </c>
      <c r="BL205" s="63">
        <v>4.540063531565603</v>
      </c>
      <c r="BM205" s="63">
        <f t="shared" si="194"/>
        <v>3.0116157677608122</v>
      </c>
    </row>
    <row r="206" spans="1:65">
      <c r="A206" s="56" t="s">
        <v>408</v>
      </c>
      <c r="B206" s="56" t="s">
        <v>409</v>
      </c>
      <c r="C206" s="57">
        <v>3138.9</v>
      </c>
      <c r="D206" s="58" t="s">
        <v>67</v>
      </c>
      <c r="E206" s="69" t="str" cm="1">
        <f t="array" ref="E206">_xll.ciqfunctions.udf.CIQ(B206,"iq_industry")</f>
        <v>Software</v>
      </c>
      <c r="F206" s="60" t="e">
        <f>'Information Technology'!AA2509</f>
        <v>#DIV/0!</v>
      </c>
      <c r="G206" s="62">
        <v>-230.1904497181732</v>
      </c>
      <c r="J206" s="62">
        <v>1</v>
      </c>
      <c r="K206" s="62">
        <v>1</v>
      </c>
      <c r="L206" s="108">
        <v>1</v>
      </c>
      <c r="M206" s="60">
        <f>'Information Technology'!AA2510</f>
        <v>1.25744972125</v>
      </c>
      <c r="N206" s="63">
        <v>3.1367167259999995</v>
      </c>
      <c r="O206" s="63">
        <f t="shared" si="191"/>
        <v>0.5032255533430301</v>
      </c>
      <c r="P206" s="63">
        <f t="shared" si="192"/>
        <v>0.13781696910652574</v>
      </c>
      <c r="Q206" s="63">
        <f t="shared" si="207"/>
        <v>4.1378169691065256</v>
      </c>
      <c r="R206" s="62"/>
      <c r="S206" s="63">
        <v>3.4097617853942062</v>
      </c>
      <c r="T206" s="60" t="e">
        <f>'Information Technology'!AA2511</f>
        <v>#DIV/0!</v>
      </c>
      <c r="U206" s="63" t="e">
        <v>#DIV/0!</v>
      </c>
      <c r="V206" s="63" t="e">
        <f t="shared" si="193"/>
        <v>#DIV/0!</v>
      </c>
      <c r="X206" s="63"/>
      <c r="Z206" s="63">
        <v>1</v>
      </c>
      <c r="AA206" s="60" t="e">
        <f>'Information Technology'!AA2512</f>
        <v>#DIV/0!</v>
      </c>
      <c r="AB206" s="63">
        <v>2.6177080546304632E-2</v>
      </c>
      <c r="AC206" s="60" t="e">
        <f t="shared" si="208"/>
        <v>#DIV/0!</v>
      </c>
      <c r="AD206" s="60" t="e">
        <f t="shared" si="209"/>
        <v>#DIV/0!</v>
      </c>
      <c r="AE206" s="60" t="e">
        <f t="shared" si="210"/>
        <v>#DIV/0!</v>
      </c>
      <c r="AF206" s="60">
        <v>4.198438446632518</v>
      </c>
      <c r="AG206" s="60">
        <v>4.198438446632518</v>
      </c>
      <c r="AH206" s="60" t="e">
        <f>'Information Technology'!AA2513</f>
        <v>#DIV/0!</v>
      </c>
      <c r="AI206" s="63">
        <v>-0.25034758004011504</v>
      </c>
      <c r="AJ206" s="60"/>
      <c r="AL206" s="60"/>
      <c r="AM206" s="60"/>
      <c r="AN206" s="60">
        <v>1</v>
      </c>
      <c r="AO206" s="60" t="e">
        <f>'Information Technology'!AA2514</f>
        <v>#DIV/0!</v>
      </c>
      <c r="AP206" s="60">
        <v>-2.106013900356692E-2</v>
      </c>
      <c r="AQ206" s="60"/>
      <c r="AR206" s="60"/>
      <c r="AS206" s="60"/>
      <c r="AT206" s="60"/>
      <c r="AU206" s="60">
        <v>1</v>
      </c>
      <c r="AV206" s="60" t="e">
        <f>'Information Technology'!AA2515</f>
        <v>#DIV/0!</v>
      </c>
      <c r="AW206" s="60" t="e">
        <v>#DIV/0!</v>
      </c>
      <c r="AX206" s="60"/>
      <c r="AY206" s="60"/>
      <c r="AZ206" s="60"/>
      <c r="BA206" s="60"/>
      <c r="BB206" s="60">
        <v>1</v>
      </c>
      <c r="BC206" s="60" t="e">
        <f>'Information Technology'!AA2516</f>
        <v>#DIV/0!</v>
      </c>
      <c r="BD206" s="60">
        <v>-5.8809315897588315</v>
      </c>
      <c r="BE206" s="60">
        <v>5</v>
      </c>
      <c r="BF206" s="60" t="e">
        <f>'Information Technology'!AA2517</f>
        <v>#DIV/0!</v>
      </c>
      <c r="BG206" s="63">
        <v>0.55996793240443765</v>
      </c>
      <c r="BH206" s="63" t="e">
        <f>-(BG206-$BG$260)/$BG$261</f>
        <v>#DIV/0!</v>
      </c>
      <c r="BI206" s="63" t="e">
        <f>BH206-$BH$181</f>
        <v>#DIV/0!</v>
      </c>
      <c r="BJ206" s="63" t="e">
        <f>BI206+5-$BI$259</f>
        <v>#DIV/0!</v>
      </c>
      <c r="BK206" s="63">
        <v>3.0654760189459536</v>
      </c>
      <c r="BL206" s="63">
        <v>3.0654760189459536</v>
      </c>
      <c r="BM206" s="63">
        <f t="shared" si="194"/>
        <v>2.8443065426017888</v>
      </c>
    </row>
    <row r="207" spans="1:65">
      <c r="A207" s="56" t="s">
        <v>342</v>
      </c>
      <c r="B207" s="56" t="s">
        <v>343</v>
      </c>
      <c r="C207" s="57">
        <v>4627</v>
      </c>
      <c r="D207" s="58" t="s">
        <v>77</v>
      </c>
      <c r="E207" s="69" t="str" cm="1">
        <f t="array" ref="E207">_xll.ciqfunctions.udf.CIQ(B207,"iq_industry")</f>
        <v>Software</v>
      </c>
      <c r="F207" s="60">
        <f>'Information Technology'!AA2014</f>
        <v>-1015.8940059398824</v>
      </c>
      <c r="G207" s="62">
        <v>59.766102042386116</v>
      </c>
      <c r="K207" s="62">
        <v>1</v>
      </c>
      <c r="L207" s="108">
        <v>1.2233333333333301</v>
      </c>
      <c r="M207" s="60">
        <f>'Information Technology'!AA2015</f>
        <v>1.2357720789500002</v>
      </c>
      <c r="N207" s="63">
        <v>4.7609470080000005</v>
      </c>
      <c r="O207" s="63">
        <f t="shared" si="191"/>
        <v>1.7990338799604102</v>
      </c>
      <c r="P207" s="63">
        <f t="shared" si="192"/>
        <v>1.433625295723906</v>
      </c>
      <c r="Q207" s="63">
        <f t="shared" si="207"/>
        <v>5.433625295723906</v>
      </c>
      <c r="R207" s="62"/>
      <c r="S207" s="63">
        <v>4.7055701120115829</v>
      </c>
      <c r="T207" s="60" t="e">
        <f>'Information Technology'!AA2016</f>
        <v>#DIV/0!</v>
      </c>
      <c r="U207" s="63" t="e">
        <v>#DIV/0!</v>
      </c>
      <c r="V207" s="63" t="e">
        <f t="shared" si="193"/>
        <v>#DIV/0!</v>
      </c>
      <c r="X207" s="63"/>
      <c r="Z207" s="63">
        <v>1</v>
      </c>
      <c r="AA207" s="60">
        <f>'Information Technology'!AA2017</f>
        <v>4.8158382358531648E-2</v>
      </c>
      <c r="AB207" s="63">
        <v>3.7010274876141169E-2</v>
      </c>
      <c r="AC207" s="60" t="e">
        <f t="shared" si="208"/>
        <v>#DIV/0!</v>
      </c>
      <c r="AD207" s="60" t="e">
        <f t="shared" si="209"/>
        <v>#DIV/0!</v>
      </c>
      <c r="AE207" s="60" t="e">
        <f t="shared" si="210"/>
        <v>#DIV/0!</v>
      </c>
      <c r="AF207" s="60">
        <v>4.055702468718116</v>
      </c>
      <c r="AG207" s="60">
        <v>4.055702468718116</v>
      </c>
      <c r="AH207" s="60">
        <f>'Information Technology'!AA2018</f>
        <v>-6.8963226434267258E-3</v>
      </c>
      <c r="AI207" s="63">
        <v>9.018772760850069E-2</v>
      </c>
      <c r="AJ207" s="60" t="e">
        <f>(AI207-$AI$260)/$AI$261</f>
        <v>#DIV/0!</v>
      </c>
      <c r="AK207" s="63" t="e">
        <f>AJ207-$AJ$203</f>
        <v>#DIV/0!</v>
      </c>
      <c r="AL207" s="60" t="e">
        <f>AK207+5-$AK$155</f>
        <v>#DIV/0!</v>
      </c>
      <c r="AM207" s="60">
        <v>3.5828532825300883</v>
      </c>
      <c r="AN207" s="60">
        <v>3.5828532825300883</v>
      </c>
      <c r="AO207" s="60">
        <f>'Information Technology'!AA2019</f>
        <v>-1.0730320193551392E-2</v>
      </c>
      <c r="AP207" s="60">
        <v>0.22226825319897264</v>
      </c>
      <c r="AQ207" s="60" t="e">
        <f>(AP207-$AP$260)/$AP$261</f>
        <v>#DIV/0!</v>
      </c>
      <c r="AR207" s="60" t="e">
        <f>AQ207-$AQ$245</f>
        <v>#DIV/0!</v>
      </c>
      <c r="AS207" s="60" t="e">
        <f>(5-$AR$162)+AR207</f>
        <v>#DIV/0!</v>
      </c>
      <c r="AT207" s="60">
        <v>4.5522752765176726</v>
      </c>
      <c r="AU207" s="60">
        <v>4.5522752765176726</v>
      </c>
      <c r="AV207" s="60">
        <f>'Information Technology'!AA2020</f>
        <v>-5.4809616915499236E-3</v>
      </c>
      <c r="AW207" s="60" t="e">
        <v>#DIV/0!</v>
      </c>
      <c r="AX207" s="60"/>
      <c r="AY207" s="60"/>
      <c r="AZ207" s="60"/>
      <c r="BA207" s="60"/>
      <c r="BB207" s="60">
        <v>1</v>
      </c>
      <c r="BC207" s="60">
        <f>'Information Technology'!AA2021</f>
        <v>12.826591938392376</v>
      </c>
      <c r="BD207" s="60">
        <v>-0.25824570727899421</v>
      </c>
      <c r="BE207" s="60">
        <v>5</v>
      </c>
      <c r="BF207" s="60">
        <f>'Information Technology'!AA2022</f>
        <v>0.33224641610772915</v>
      </c>
      <c r="BG207" s="63" t="e">
        <v>#DIV/0!</v>
      </c>
      <c r="BI207" s="63"/>
      <c r="BJ207" s="63"/>
      <c r="BL207" s="63">
        <v>1</v>
      </c>
      <c r="BM207" s="63">
        <f t="shared" si="194"/>
        <v>2.8224233698716761</v>
      </c>
    </row>
    <row r="208" spans="1:65">
      <c r="A208" s="56" t="s">
        <v>430</v>
      </c>
      <c r="B208" s="56" t="s">
        <v>431</v>
      </c>
      <c r="C208" s="57">
        <v>2752.5</v>
      </c>
      <c r="D208" s="58" t="s">
        <v>77</v>
      </c>
      <c r="E208" s="69" t="str" cm="1">
        <f t="array" ref="E208">_xll.ciqfunctions.udf.CIQ(B208,"iq_industry")</f>
        <v>Software</v>
      </c>
      <c r="F208" s="60">
        <f>'Information Technology'!AA2674</f>
        <v>205.44406389571432</v>
      </c>
      <c r="G208" s="62">
        <v>7.4911256841850218</v>
      </c>
      <c r="H208" s="62" t="e">
        <f>-(G208-$G$260)/$G$261</f>
        <v>#DIV/0!</v>
      </c>
      <c r="I208" s="62" t="e">
        <f>H208-$H$181</f>
        <v>#DIV/0!</v>
      </c>
      <c r="J208" s="62" t="e">
        <f>I208+(5-$I$242)</f>
        <v>#DIV/0!</v>
      </c>
      <c r="K208" s="62">
        <v>1</v>
      </c>
      <c r="L208" s="108">
        <v>4.4919578504219881</v>
      </c>
      <c r="M208" s="60">
        <f>'Information Technology'!AA2675</f>
        <v>1.6395446340000002</v>
      </c>
      <c r="N208" s="63">
        <v>2.8471650199000003</v>
      </c>
      <c r="O208" s="63">
        <f t="shared" si="191"/>
        <v>0.27222166435714107</v>
      </c>
      <c r="P208" s="63">
        <f t="shared" si="192"/>
        <v>-9.3186919879363284E-2</v>
      </c>
      <c r="Q208" s="63">
        <f t="shared" si="207"/>
        <v>3.9068130801206369</v>
      </c>
      <c r="R208" s="62"/>
      <c r="S208" s="63">
        <v>3.1787578964083183</v>
      </c>
      <c r="T208" s="60" t="e">
        <f>'Information Technology'!AA2676</f>
        <v>#DIV/0!</v>
      </c>
      <c r="U208" s="63" t="e">
        <v>#DIV/0!</v>
      </c>
      <c r="V208" s="63" t="e">
        <f t="shared" si="193"/>
        <v>#DIV/0!</v>
      </c>
      <c r="X208" s="63"/>
      <c r="Z208" s="63">
        <v>1</v>
      </c>
      <c r="AA208" s="60">
        <f>'Information Technology'!AA2677</f>
        <v>3.2400097390630656E-2</v>
      </c>
      <c r="AB208" s="63">
        <v>3.1088813928022319E-2</v>
      </c>
      <c r="AC208" s="60" t="e">
        <f t="shared" si="208"/>
        <v>#DIV/0!</v>
      </c>
      <c r="AD208" s="60" t="e">
        <f t="shared" si="209"/>
        <v>#DIV/0!</v>
      </c>
      <c r="AE208" s="60" t="e">
        <f t="shared" si="210"/>
        <v>#DIV/0!</v>
      </c>
      <c r="AF208" s="60">
        <v>4.1337224407944815</v>
      </c>
      <c r="AG208" s="60">
        <v>4.1337224407944815</v>
      </c>
      <c r="AH208" s="60">
        <f>'Information Technology'!AA2678</f>
        <v>-9.0722040739368778E-2</v>
      </c>
      <c r="AI208" s="63">
        <v>-0.23977150469798475</v>
      </c>
      <c r="AJ208" s="60"/>
      <c r="AL208" s="60"/>
      <c r="AM208" s="60"/>
      <c r="AN208" s="60">
        <v>1</v>
      </c>
      <c r="AO208" s="60">
        <f>'Information Technology'!AA2679</f>
        <v>6.2567758580600197E-3</v>
      </c>
      <c r="AP208" s="60">
        <v>5.1294527201535614E-2</v>
      </c>
      <c r="AQ208" s="60" t="e">
        <f>(AP208-$AP$260)/$AP$261</f>
        <v>#DIV/0!</v>
      </c>
      <c r="AR208" s="60" t="e">
        <f>AQ208-$AQ$245</f>
        <v>#DIV/0!</v>
      </c>
      <c r="AS208" s="60" t="e">
        <f>(5-$AR$162)+AR208</f>
        <v>#DIV/0!</v>
      </c>
      <c r="AT208" s="60">
        <v>2.0104420167044896</v>
      </c>
      <c r="AU208" s="60">
        <v>2.0104420167044896</v>
      </c>
      <c r="AV208" s="60" t="b">
        <f>'Information Technology'!AA2680</f>
        <v>0</v>
      </c>
      <c r="AW208" s="60" t="b">
        <v>0</v>
      </c>
      <c r="AX208" s="60"/>
      <c r="AY208" s="60"/>
      <c r="AZ208" s="60"/>
      <c r="BA208" s="60"/>
      <c r="BB208" s="60">
        <v>1</v>
      </c>
      <c r="BC208" s="60">
        <f>'Information Technology'!AA2681</f>
        <v>-1.6946568617654729</v>
      </c>
      <c r="BD208" s="60">
        <v>0.56554517692498441</v>
      </c>
      <c r="BE208" s="60">
        <v>2.2799999999999998</v>
      </c>
      <c r="BF208" s="60">
        <f>'Information Technology'!AA2682</f>
        <v>0.43731475047504248</v>
      </c>
      <c r="BG208" s="63">
        <v>0.15123664659967781</v>
      </c>
      <c r="BH208" s="63" t="e">
        <f>-(BG208-$BG$260)/$BG$261</f>
        <v>#DIV/0!</v>
      </c>
      <c r="BI208" s="63" t="e">
        <f>BH208-$BH$181</f>
        <v>#DIV/0!</v>
      </c>
      <c r="BJ208" s="63" t="e">
        <f>BI208+5-$BI$259</f>
        <v>#DIV/0!</v>
      </c>
      <c r="BK208" s="63">
        <v>4.5095547734690191</v>
      </c>
      <c r="BL208" s="63">
        <v>4.5095547734690191</v>
      </c>
      <c r="BM208" s="63">
        <f t="shared" si="194"/>
        <v>2.7763510567094123</v>
      </c>
    </row>
    <row r="209" spans="1:65">
      <c r="A209" s="56" t="s">
        <v>504</v>
      </c>
      <c r="B209" s="56" t="s">
        <v>505</v>
      </c>
      <c r="C209" s="57">
        <v>1664.7</v>
      </c>
      <c r="D209" s="58" t="s">
        <v>77</v>
      </c>
      <c r="E209" s="69" t="str" cm="1">
        <f t="array" ref="E209">_xll.ciqfunctions.udf.CIQ(B209,"iq_industry")</f>
        <v>Software</v>
      </c>
      <c r="F209" s="60">
        <f>'Information Technology'!AA3229</f>
        <v>46.07666236207298</v>
      </c>
      <c r="G209" s="62">
        <v>70.060518649335521</v>
      </c>
      <c r="K209" s="62">
        <v>1</v>
      </c>
      <c r="L209" s="108">
        <v>1.21333333333333</v>
      </c>
      <c r="M209" s="60">
        <f>'Information Technology'!AA3230</f>
        <v>0.85701349259999993</v>
      </c>
      <c r="N209" s="63">
        <v>1.6984478840000001</v>
      </c>
      <c r="O209" s="63">
        <f t="shared" si="191"/>
        <v>-0.64422303324719021</v>
      </c>
      <c r="P209" s="63">
        <f t="shared" si="192"/>
        <v>-1.0096316174836946</v>
      </c>
      <c r="Q209" s="63">
        <f t="shared" si="207"/>
        <v>2.9903683825163054</v>
      </c>
      <c r="R209" s="62"/>
      <c r="S209" s="63">
        <v>2.2623131988039891</v>
      </c>
      <c r="T209" s="60" t="e">
        <f>'Information Technology'!AA3231</f>
        <v>#DIV/0!</v>
      </c>
      <c r="U209" s="63" t="e">
        <v>#DIV/0!</v>
      </c>
      <c r="V209" s="63" t="e">
        <f t="shared" si="193"/>
        <v>#DIV/0!</v>
      </c>
      <c r="X209" s="63"/>
      <c r="Z209" s="63">
        <v>1</v>
      </c>
      <c r="AA209" s="60">
        <f>'Information Technology'!AA3232</f>
        <v>0.54831344336372601</v>
      </c>
      <c r="AB209" s="63">
        <v>1.5217628107485615E-2</v>
      </c>
      <c r="AC209" s="60" t="e">
        <f t="shared" si="208"/>
        <v>#DIV/0!</v>
      </c>
      <c r="AD209" s="60" t="e">
        <f t="shared" si="209"/>
        <v>#DIV/0!</v>
      </c>
      <c r="AE209" s="60" t="e">
        <f t="shared" si="210"/>
        <v>#DIV/0!</v>
      </c>
      <c r="AF209" s="60">
        <v>4.3428379758602746</v>
      </c>
      <c r="AG209" s="60">
        <v>4.3428379758602746</v>
      </c>
      <c r="AH209" s="60">
        <f>'Information Technology'!AA3233</f>
        <v>-0.19522670648702203</v>
      </c>
      <c r="AI209" s="63">
        <v>-4.6932809987597551E-2</v>
      </c>
      <c r="AJ209" s="60"/>
      <c r="AL209" s="60"/>
      <c r="AM209" s="60"/>
      <c r="AN209" s="60">
        <v>1</v>
      </c>
      <c r="AO209" s="60">
        <f>'Information Technology'!AA3234</f>
        <v>0.14805565813327171</v>
      </c>
      <c r="AP209" s="60">
        <v>0.24729271463175684</v>
      </c>
      <c r="AQ209" s="60" t="e">
        <f>(AP209-$AP$260)/$AP$261</f>
        <v>#DIV/0!</v>
      </c>
      <c r="AR209" s="60" t="e">
        <f>AQ209-$AQ$245</f>
        <v>#DIV/0!</v>
      </c>
      <c r="AS209" s="60" t="e">
        <f>(5-$AR$162)+AR209</f>
        <v>#DIV/0!</v>
      </c>
      <c r="AT209" s="60">
        <v>4.9243090963790745</v>
      </c>
      <c r="AU209" s="60">
        <v>4.9243090963790745</v>
      </c>
      <c r="AV209" s="60" t="e">
        <f>'Information Technology'!AA3235</f>
        <v>#DIV/0!</v>
      </c>
      <c r="AW209" s="60" t="b">
        <v>0</v>
      </c>
      <c r="AX209" s="60"/>
      <c r="AY209" s="60"/>
      <c r="AZ209" s="60"/>
      <c r="BA209" s="60"/>
      <c r="BB209" s="60">
        <v>1</v>
      </c>
      <c r="BC209" s="60">
        <f>'Information Technology'!AA3236</f>
        <v>4.1033718272083478E-2</v>
      </c>
      <c r="BD209" s="60">
        <v>-1.7408323994160186E-3</v>
      </c>
      <c r="BE209" s="60">
        <v>5</v>
      </c>
      <c r="BF209" s="60" t="e">
        <f>'Information Technology'!AA3237</f>
        <v>#DIV/0!</v>
      </c>
      <c r="BG209" s="63">
        <v>1.1694081408481247</v>
      </c>
      <c r="BH209" s="63" t="e">
        <f>-(BG209-$BG$260)/$BG$261</f>
        <v>#DIV/0!</v>
      </c>
      <c r="BI209" s="63" t="e">
        <f>BH209-$BH$181</f>
        <v>#DIV/0!</v>
      </c>
      <c r="BJ209" s="63" t="e">
        <f>BI209+5-$BI$259</f>
        <v>#DIV/0!</v>
      </c>
      <c r="BK209" s="63">
        <v>1.55</v>
      </c>
      <c r="BL209" s="63">
        <v>1.55</v>
      </c>
      <c r="BM209" s="63">
        <f t="shared" si="194"/>
        <v>2.6495192162229073</v>
      </c>
    </row>
    <row r="210" spans="1:65">
      <c r="A210" s="56" t="s">
        <v>580</v>
      </c>
      <c r="B210" s="56" t="s">
        <v>581</v>
      </c>
      <c r="C210" s="57">
        <v>923.2</v>
      </c>
      <c r="D210" s="58" t="s">
        <v>77</v>
      </c>
      <c r="E210" s="69" t="str" cm="1">
        <f t="array" ref="E210">_xll.ciqfunctions.udf.CIQ(B210,"iq_industry")</f>
        <v>Software</v>
      </c>
      <c r="F210" s="60" t="e">
        <f>'Information Technology'!AA3799</f>
        <v>#DIV/0!</v>
      </c>
      <c r="G210" s="62">
        <v>10.390327284906673</v>
      </c>
      <c r="H210" s="62" t="e">
        <f>-(G210-$G$260)/$G$261</f>
        <v>#DIV/0!</v>
      </c>
      <c r="I210" s="62" t="e">
        <f>H210-$H$181</f>
        <v>#DIV/0!</v>
      </c>
      <c r="J210" s="62" t="e">
        <f>I210+(5-$I$242)</f>
        <v>#DIV/0!</v>
      </c>
      <c r="K210" s="62">
        <v>1</v>
      </c>
      <c r="L210" s="108">
        <v>4.1690374974024023</v>
      </c>
      <c r="M210" s="60">
        <f>'Information Technology'!AA3800</f>
        <v>1.4967636365000001</v>
      </c>
      <c r="N210" s="63">
        <v>0.87431701499999992</v>
      </c>
      <c r="O210" s="63">
        <f t="shared" si="191"/>
        <v>-1.3017133251765072</v>
      </c>
      <c r="P210" s="63">
        <f t="shared" si="192"/>
        <v>-1.6671219094130114</v>
      </c>
      <c r="Q210" s="63">
        <f t="shared" si="207"/>
        <v>2.3328780905869886</v>
      </c>
      <c r="R210" s="62"/>
      <c r="S210" s="63">
        <v>1.6048229068746735</v>
      </c>
      <c r="T210" s="60" t="e">
        <f>'Information Technology'!AA3801</f>
        <v>#DIV/0!</v>
      </c>
      <c r="U210" s="63" t="e">
        <v>#DIV/0!</v>
      </c>
      <c r="V210" s="63" t="e">
        <f t="shared" si="193"/>
        <v>#DIV/0!</v>
      </c>
      <c r="X210" s="63"/>
      <c r="Z210" s="63">
        <v>1</v>
      </c>
      <c r="AA210" s="60" t="e">
        <f>'Information Technology'!AA3802</f>
        <v>#DIV/0!</v>
      </c>
      <c r="AB210" s="63">
        <v>4.4365924343518603E-2</v>
      </c>
      <c r="AC210" s="60" t="e">
        <f t="shared" si="208"/>
        <v>#DIV/0!</v>
      </c>
      <c r="AD210" s="60" t="e">
        <f t="shared" si="209"/>
        <v>#DIV/0!</v>
      </c>
      <c r="AE210" s="60" t="e">
        <f t="shared" si="210"/>
        <v>#DIV/0!</v>
      </c>
      <c r="AF210" s="60">
        <v>3.9587859187186369</v>
      </c>
      <c r="AG210" s="60">
        <v>3.9587859187186369</v>
      </c>
      <c r="AH210" s="60" t="e">
        <f>'Information Technology'!AA3803</f>
        <v>#DIV/0!</v>
      </c>
      <c r="AI210" s="63">
        <v>-0.23571386838448211</v>
      </c>
      <c r="AJ210" s="60"/>
      <c r="AL210" s="60"/>
      <c r="AM210" s="60"/>
      <c r="AN210" s="60">
        <v>1</v>
      </c>
      <c r="AO210" s="60" t="e">
        <f>'Information Technology'!AA3804</f>
        <v>#DIV/0!</v>
      </c>
      <c r="AP210" s="60">
        <v>1.8291295298832888E-2</v>
      </c>
      <c r="AQ210" s="60" t="e">
        <f>(AP210-$AP$260)/$AP$261</f>
        <v>#DIV/0!</v>
      </c>
      <c r="AR210" s="60" t="e">
        <f>AQ210-$AQ$245</f>
        <v>#DIV/0!</v>
      </c>
      <c r="AS210" s="60" t="e">
        <f>(5-$AR$162)+AR210</f>
        <v>#DIV/0!</v>
      </c>
      <c r="AT210" s="60">
        <v>1.5197893620803815</v>
      </c>
      <c r="AU210" s="60">
        <v>1.5197893620803815</v>
      </c>
      <c r="AV210" s="60" t="e">
        <f>'Information Technology'!AA3805</f>
        <v>#DIV/0!</v>
      </c>
      <c r="AW210" s="60">
        <v>-0.16959187736505818</v>
      </c>
      <c r="AY210" s="60"/>
      <c r="AZ210" s="60"/>
      <c r="BA210" s="60">
        <v>1</v>
      </c>
      <c r="BB210" s="60">
        <v>1</v>
      </c>
      <c r="BC210" s="60" t="e">
        <f>'Information Technology'!AA3806</f>
        <v>#DIV/0!</v>
      </c>
      <c r="BD210" s="60">
        <v>0.67594367741663131</v>
      </c>
      <c r="BE210" s="60">
        <v>2</v>
      </c>
      <c r="BF210" s="60" t="e">
        <f>'Information Technology'!AA3807</f>
        <v>#DIV/0!</v>
      </c>
      <c r="BG210" s="63">
        <v>0.25027195358033588</v>
      </c>
      <c r="BH210" s="63" t="e">
        <f>-(BG210-$BG$260)/$BG$261</f>
        <v>#DIV/0!</v>
      </c>
      <c r="BI210" s="63" t="e">
        <f>BH210-$BH$181</f>
        <v>#DIV/0!</v>
      </c>
      <c r="BJ210" s="63" t="e">
        <f>BI210+5-$BI$259</f>
        <v>#DIV/0!</v>
      </c>
      <c r="BK210" s="63">
        <v>4.1596554931219005</v>
      </c>
      <c r="BL210" s="63">
        <v>4.1596554931219005</v>
      </c>
      <c r="BM210" s="63">
        <f t="shared" si="194"/>
        <v>2.5459606342526762</v>
      </c>
    </row>
    <row r="211" spans="1:65">
      <c r="A211" s="56" t="s">
        <v>400</v>
      </c>
      <c r="B211" s="56" t="s">
        <v>401</v>
      </c>
      <c r="C211" s="57">
        <v>3339.8</v>
      </c>
      <c r="D211" s="58" t="s">
        <v>77</v>
      </c>
      <c r="E211" s="69" t="str" cm="1">
        <f t="array" ref="E211">_xll.ciqfunctions.udf.CIQ(B211,"iq_industry")</f>
        <v>Software</v>
      </c>
      <c r="F211" s="60">
        <f>'Information Technology'!AA2449</f>
        <v>10.092128741062174</v>
      </c>
      <c r="G211" s="62">
        <v>58.374417489476819</v>
      </c>
      <c r="K211" s="62">
        <v>1</v>
      </c>
      <c r="L211" s="108">
        <v>1.2433333333333301</v>
      </c>
      <c r="M211" s="60">
        <f>'Information Technology'!AA2450</f>
        <v>2.4813579190000001</v>
      </c>
      <c r="N211" s="63">
        <v>3.4625929607499999</v>
      </c>
      <c r="O211" s="63">
        <f t="shared" si="191"/>
        <v>0.76320909330991404</v>
      </c>
      <c r="P211" s="63">
        <f t="shared" si="192"/>
        <v>0.39780050907340969</v>
      </c>
      <c r="Q211" s="63">
        <f t="shared" si="207"/>
        <v>4.3978005090734094</v>
      </c>
      <c r="R211" s="62"/>
      <c r="S211" s="63">
        <v>3.6697453253610899</v>
      </c>
      <c r="T211" s="60" t="e">
        <f>'Information Technology'!AA2451</f>
        <v>#DIV/0!</v>
      </c>
      <c r="U211" s="63" t="e">
        <v>#DIV/0!</v>
      </c>
      <c r="V211" s="63" t="e">
        <f t="shared" si="193"/>
        <v>#DIV/0!</v>
      </c>
      <c r="X211" s="63"/>
      <c r="Z211" s="63">
        <v>1</v>
      </c>
      <c r="AA211" s="60">
        <f>'Information Technology'!AA2452</f>
        <v>0.20416791924353039</v>
      </c>
      <c r="AB211" s="63">
        <v>4.7437971744597185E-2</v>
      </c>
      <c r="AC211" s="60" t="e">
        <f t="shared" si="208"/>
        <v>#DIV/0!</v>
      </c>
      <c r="AD211" s="60" t="e">
        <f t="shared" si="209"/>
        <v>#DIV/0!</v>
      </c>
      <c r="AE211" s="60" t="e">
        <f t="shared" si="210"/>
        <v>#DIV/0!</v>
      </c>
      <c r="AF211" s="60">
        <v>3.9183092433593982</v>
      </c>
      <c r="AG211" s="60">
        <v>3.9183092433593982</v>
      </c>
      <c r="AH211" s="60">
        <f>'Information Technology'!AA2453</f>
        <v>-9.9116854778580635E-2</v>
      </c>
      <c r="AI211" s="63">
        <v>-3.8950660863891637E-2</v>
      </c>
      <c r="AJ211" s="60"/>
      <c r="AL211" s="60"/>
      <c r="AM211" s="60"/>
      <c r="AN211" s="60">
        <v>1</v>
      </c>
      <c r="AO211" s="60">
        <f>'Information Technology'!AA2454</f>
        <v>5.5735660192302583E-2</v>
      </c>
      <c r="AP211" s="60">
        <v>0.56364583121217571</v>
      </c>
      <c r="AQ211" s="60"/>
      <c r="AR211" s="60"/>
      <c r="AS211" s="60"/>
      <c r="AT211" s="60">
        <v>4.99</v>
      </c>
      <c r="AU211" s="60">
        <v>4.99</v>
      </c>
      <c r="AV211" s="60" t="e">
        <f>'Information Technology'!AA2455</f>
        <v>#DIV/0!</v>
      </c>
      <c r="AW211" s="60" t="e">
        <v>#DIV/0!</v>
      </c>
      <c r="AX211" s="60"/>
      <c r="AY211" s="60"/>
      <c r="AZ211" s="60"/>
      <c r="BA211" s="60"/>
      <c r="BB211" s="60">
        <v>1</v>
      </c>
      <c r="BC211" s="60">
        <f>'Information Technology'!AA2456</f>
        <v>0.90351039244357934</v>
      </c>
      <c r="BD211" s="60">
        <v>-7.4151635396595889E-2</v>
      </c>
      <c r="BE211" s="60">
        <v>5</v>
      </c>
      <c r="BF211" s="60" t="e">
        <f>'Information Technology'!AA2457</f>
        <v>#DIV/0!</v>
      </c>
      <c r="BG211" s="63" t="e">
        <v>#DIV/0!</v>
      </c>
      <c r="BI211" s="63"/>
      <c r="BJ211" s="63"/>
      <c r="BL211" s="63">
        <v>1</v>
      </c>
      <c r="BM211" s="63">
        <f t="shared" si="194"/>
        <v>2.5006657030677091</v>
      </c>
    </row>
    <row r="212" spans="1:65">
      <c r="A212" s="56" t="s">
        <v>344</v>
      </c>
      <c r="B212" s="56" t="s">
        <v>345</v>
      </c>
      <c r="C212" s="57">
        <v>4547.3</v>
      </c>
      <c r="D212" s="58" t="s">
        <v>77</v>
      </c>
      <c r="E212" s="69" t="str" cm="1">
        <f t="array" ref="E212">_xll.ciqfunctions.udf.CIQ(B212,"iq_industry")</f>
        <v>Software</v>
      </c>
      <c r="F212" s="60">
        <f>'Information Technology'!AA2029</f>
        <v>17.366258186283222</v>
      </c>
      <c r="G212" s="62">
        <v>10.978644867906164</v>
      </c>
      <c r="H212" s="62" t="e">
        <f>-(G212-$G$260)/$G$261</f>
        <v>#DIV/0!</v>
      </c>
      <c r="I212" s="62" t="e">
        <f>H212-$H$181</f>
        <v>#DIV/0!</v>
      </c>
      <c r="J212" s="62" t="e">
        <f>I212+(5-$I$242)</f>
        <v>#DIV/0!</v>
      </c>
      <c r="K212" s="62">
        <v>1</v>
      </c>
      <c r="L212" s="108">
        <v>4.1035092079786741</v>
      </c>
      <c r="M212" s="60">
        <f>'Information Technology'!AA2030</f>
        <v>1.2260684805000002</v>
      </c>
      <c r="N212" s="63">
        <v>4.5528048653279996</v>
      </c>
      <c r="O212" s="63">
        <f t="shared" si="191"/>
        <v>1.6329784107431693</v>
      </c>
      <c r="P212" s="63">
        <f t="shared" si="192"/>
        <v>1.2675698265066648</v>
      </c>
      <c r="Q212" s="63">
        <f t="shared" si="207"/>
        <v>5.2675698265066648</v>
      </c>
      <c r="R212" s="62"/>
      <c r="S212" s="63">
        <v>4.5395146427943427</v>
      </c>
      <c r="T212" s="60">
        <f>'Information Technology'!AA2031</f>
        <v>121.33173987918305</v>
      </c>
      <c r="U212" s="63" t="e">
        <v>#DIV/0!</v>
      </c>
      <c r="V212" s="63" t="e">
        <f t="shared" si="193"/>
        <v>#DIV/0!</v>
      </c>
      <c r="X212" s="63"/>
      <c r="Z212" s="63">
        <v>1</v>
      </c>
      <c r="AA212" s="60">
        <f>'Information Technology'!AA2032</f>
        <v>-9.8213172306461649E-3</v>
      </c>
      <c r="AB212" s="63">
        <v>6.5095707600684172E-2</v>
      </c>
      <c r="AC212" s="60" t="e">
        <f t="shared" si="208"/>
        <v>#DIV/0!</v>
      </c>
      <c r="AD212" s="60" t="e">
        <f t="shared" si="209"/>
        <v>#DIV/0!</v>
      </c>
      <c r="AE212" s="60" t="e">
        <f t="shared" si="210"/>
        <v>#DIV/0!</v>
      </c>
      <c r="AF212" s="60">
        <v>3.6856544862827016</v>
      </c>
      <c r="AG212" s="60">
        <v>3.6856544862827016</v>
      </c>
      <c r="AH212" s="60">
        <f>'Information Technology'!AA2033</f>
        <v>6.327994197785837E-2</v>
      </c>
      <c r="AI212" s="63">
        <v>-0.60010548837998712</v>
      </c>
      <c r="AJ212" s="60"/>
      <c r="AL212" s="60"/>
      <c r="AM212" s="60"/>
      <c r="AN212" s="60">
        <v>1</v>
      </c>
      <c r="AO212" s="60">
        <f>'Information Technology'!AA2034</f>
        <v>8.5609359494630777E-2</v>
      </c>
      <c r="AP212" s="60">
        <v>2.8017960239326333E-3</v>
      </c>
      <c r="AQ212" s="60" t="e">
        <f>(AP212-$AP$260)/$AP$261</f>
        <v>#DIV/0!</v>
      </c>
      <c r="AR212" s="60" t="e">
        <f>AQ212-$AQ$245</f>
        <v>#DIV/0!</v>
      </c>
      <c r="AS212" s="60" t="e">
        <f>(5-$AR$162)+AR212</f>
        <v>#DIV/0!</v>
      </c>
      <c r="AT212" s="60">
        <v>1.2895099773088066</v>
      </c>
      <c r="AU212" s="60">
        <v>1.2895099773088066</v>
      </c>
      <c r="AV212" s="60">
        <f>'Information Technology'!AA2035</f>
        <v>1.3528877088064098E-2</v>
      </c>
      <c r="AW212" s="60">
        <v>0.20438366922153134</v>
      </c>
      <c r="AX212" s="60"/>
      <c r="AY212" s="60"/>
      <c r="AZ212" s="60"/>
      <c r="BA212" s="60">
        <v>5</v>
      </c>
      <c r="BB212" s="60">
        <v>5</v>
      </c>
      <c r="BC212" s="60">
        <f>'Information Technology'!AA2036</f>
        <v>-2.5478978495416266E-3</v>
      </c>
      <c r="BD212" s="60">
        <v>0.91377555976620917</v>
      </c>
      <c r="BE212" s="60">
        <v>1.3</v>
      </c>
      <c r="BF212" s="60">
        <f>'Information Technology'!AA2037</f>
        <v>0.27044069144783284</v>
      </c>
      <c r="BG212" s="63">
        <v>0.65078114537546339</v>
      </c>
      <c r="BH212" s="63" t="e">
        <f>-(BG212-$BG$260)/$BG$261</f>
        <v>#DIV/0!</v>
      </c>
      <c r="BI212" s="63" t="e">
        <f>BH212-$BH$181</f>
        <v>#DIV/0!</v>
      </c>
      <c r="BJ212" s="63" t="e">
        <f>BI212+5-$BI$259</f>
        <v>#DIV/0!</v>
      </c>
      <c r="BK212" s="63">
        <v>2.7446260227847112</v>
      </c>
      <c r="BL212" s="63">
        <v>2.7446260227847112</v>
      </c>
      <c r="BM212" s="63">
        <f t="shared" si="194"/>
        <v>2.4755140050377058</v>
      </c>
    </row>
    <row r="213" spans="1:65">
      <c r="A213" s="56" t="s">
        <v>484</v>
      </c>
      <c r="B213" s="56" t="s">
        <v>485</v>
      </c>
      <c r="C213" s="57">
        <v>1963.8</v>
      </c>
      <c r="D213" s="58" t="s">
        <v>77</v>
      </c>
      <c r="E213" s="69" t="str" cm="1">
        <f t="array" ref="E213">_xll.ciqfunctions.udf.CIQ(B213,"iq_industry")</f>
        <v>Software</v>
      </c>
      <c r="F213" s="60">
        <f>'Information Technology'!AA3079</f>
        <v>64.216166508772943</v>
      </c>
      <c r="G213" s="62">
        <v>-13.706624649062848</v>
      </c>
      <c r="J213" s="62">
        <v>1</v>
      </c>
      <c r="K213" s="62">
        <v>1</v>
      </c>
      <c r="L213" s="108">
        <v>1</v>
      </c>
      <c r="M213" s="60">
        <f>'Information Technology'!AA3080</f>
        <v>5.4837499730000001</v>
      </c>
      <c r="N213" s="63">
        <v>1.9419252569999998</v>
      </c>
      <c r="O213" s="63">
        <f t="shared" si="191"/>
        <v>-0.4499771736712726</v>
      </c>
      <c r="P213" s="63">
        <f t="shared" si="192"/>
        <v>-0.81538575790777701</v>
      </c>
      <c r="Q213" s="63">
        <f t="shared" si="207"/>
        <v>3.1846142420922234</v>
      </c>
      <c r="R213" s="62"/>
      <c r="S213" s="63">
        <v>2.4565590583799057</v>
      </c>
      <c r="T213" s="60" t="e">
        <f>'Information Technology'!AA3081</f>
        <v>#DIV/0!</v>
      </c>
      <c r="U213" s="63" t="e">
        <v>#DIV/0!</v>
      </c>
      <c r="V213" s="63" t="e">
        <f t="shared" si="193"/>
        <v>#DIV/0!</v>
      </c>
      <c r="X213" s="63"/>
      <c r="Z213" s="63">
        <v>1</v>
      </c>
      <c r="AA213" s="60">
        <f>'Information Technology'!AA3082</f>
        <v>4.019069579692669E-2</v>
      </c>
      <c r="AB213" s="63">
        <v>-8.0073379075839002E-3</v>
      </c>
      <c r="AC213" s="60" t="e">
        <f t="shared" si="208"/>
        <v>#DIV/0!</v>
      </c>
      <c r="AD213" s="60" t="e">
        <f t="shared" si="209"/>
        <v>#DIV/0!</v>
      </c>
      <c r="AE213" s="60" t="e">
        <f t="shared" si="210"/>
        <v>#DIV/0!</v>
      </c>
      <c r="AF213" s="60">
        <v>4.6488454317645305</v>
      </c>
      <c r="AG213" s="60">
        <v>4.6488454317645305</v>
      </c>
      <c r="AH213" s="60">
        <f>'Information Technology'!AA3083</f>
        <v>8.9947168554723386E-2</v>
      </c>
      <c r="AI213" s="63">
        <v>-0.20943689849817262</v>
      </c>
      <c r="AJ213" s="60"/>
      <c r="AL213" s="60"/>
      <c r="AM213" s="60"/>
      <c r="AN213" s="60">
        <v>1</v>
      </c>
      <c r="AO213" s="60">
        <f>'Information Technology'!AA3084</f>
        <v>0.23701687795345217</v>
      </c>
      <c r="AP213" s="60">
        <v>-2.7959390135448219E-2</v>
      </c>
      <c r="AQ213" s="60"/>
      <c r="AR213" s="60"/>
      <c r="AS213" s="60"/>
      <c r="AT213" s="60"/>
      <c r="AU213" s="60">
        <v>1</v>
      </c>
      <c r="AV213" s="60" t="e">
        <f>'Information Technology'!AA3085</f>
        <v>#DIV/0!</v>
      </c>
      <c r="AW213" s="60">
        <v>5.6573064565456936E-3</v>
      </c>
      <c r="AX213" s="60" t="e">
        <f>(AW213-$AW$260)/$AW$261</f>
        <v>#DIV/0!</v>
      </c>
      <c r="AY213" s="60" t="e">
        <f>AX213-$AX$253</f>
        <v>#DIV/0!</v>
      </c>
      <c r="AZ213" s="60" t="e">
        <f>AY213+5-$AY$205</f>
        <v>#DIV/0!</v>
      </c>
      <c r="BA213" s="60">
        <v>2.25629205083297</v>
      </c>
      <c r="BB213" s="60">
        <v>2.25629205083297</v>
      </c>
      <c r="BC213" s="60">
        <f>'Information Technology'!AA3086</f>
        <v>-0.24470665012972403</v>
      </c>
      <c r="BD213" s="60">
        <v>0.41939453022772932</v>
      </c>
      <c r="BE213" s="60">
        <v>3.2</v>
      </c>
      <c r="BF213" s="60" t="e">
        <f>'Information Technology'!AA3087</f>
        <v>#DIV/0!</v>
      </c>
      <c r="BG213" s="63">
        <v>0.63978881286010603</v>
      </c>
      <c r="BH213" s="63" t="e">
        <f>-(BG213-$BG$260)/$BG$261</f>
        <v>#DIV/0!</v>
      </c>
      <c r="BI213" s="63" t="e">
        <f>BH213-$BH$181</f>
        <v>#DIV/0!</v>
      </c>
      <c r="BJ213" s="63" t="e">
        <f>BI213+5-$BI$259</f>
        <v>#DIV/0!</v>
      </c>
      <c r="BK213" s="63">
        <v>2.7834627705438812</v>
      </c>
      <c r="BL213" s="63">
        <v>2.7834627705438812</v>
      </c>
      <c r="BM213" s="63">
        <f t="shared" si="194"/>
        <v>2.4151374765148379</v>
      </c>
    </row>
    <row r="214" spans="1:65">
      <c r="A214" s="56" t="s">
        <v>572</v>
      </c>
      <c r="B214" s="56" t="s">
        <v>573</v>
      </c>
      <c r="C214" s="57">
        <v>980.9</v>
      </c>
      <c r="D214" s="58" t="s">
        <v>77</v>
      </c>
      <c r="E214" s="69" t="str" cm="1">
        <f t="array" ref="E214">_xll.ciqfunctions.udf.CIQ(B214,"iq_industry")</f>
        <v>Software</v>
      </c>
      <c r="F214" s="60" t="e">
        <f>'Information Technology'!AA3739</f>
        <v>#DIV/0!</v>
      </c>
      <c r="G214" s="62">
        <v>16.182937733803502</v>
      </c>
      <c r="H214" s="62" t="e">
        <f>-(G214-$G$260)/$G$261</f>
        <v>#DIV/0!</v>
      </c>
      <c r="I214" s="62" t="e">
        <f>H214-$H$181</f>
        <v>#DIV/0!</v>
      </c>
      <c r="J214" s="62" t="e">
        <f>I214+(5-$I$242)</f>
        <v>#DIV/0!</v>
      </c>
      <c r="K214" s="62">
        <v>1</v>
      </c>
      <c r="L214" s="108">
        <v>3.5238420026851331</v>
      </c>
      <c r="M214" s="60">
        <f>'Information Technology'!AA3740</f>
        <v>2.1628053971999996</v>
      </c>
      <c r="N214" s="63">
        <v>0.90559386119999996</v>
      </c>
      <c r="O214" s="63">
        <f t="shared" si="191"/>
        <v>-1.2767607071977403</v>
      </c>
      <c r="P214" s="63">
        <f t="shared" si="192"/>
        <v>-1.6421692914342447</v>
      </c>
      <c r="Q214" s="63">
        <f t="shared" si="207"/>
        <v>2.3578307085657553</v>
      </c>
      <c r="R214" s="62"/>
      <c r="S214" s="63">
        <v>1.6297755248534402</v>
      </c>
      <c r="T214" s="60" t="e">
        <f>'Information Technology'!AA3741</f>
        <v>#DIV/0!</v>
      </c>
      <c r="U214" s="63" t="e">
        <v>#DIV/0!</v>
      </c>
      <c r="V214" s="63" t="e">
        <f t="shared" si="193"/>
        <v>#DIV/0!</v>
      </c>
      <c r="X214" s="63"/>
      <c r="Z214" s="63">
        <v>1</v>
      </c>
      <c r="AA214" s="60" t="e">
        <f>'Information Technology'!AA3742</f>
        <v>#DIV/0!</v>
      </c>
      <c r="AB214" s="63">
        <v>4.0960820630088657E-2</v>
      </c>
      <c r="AC214" s="60" t="e">
        <f t="shared" si="208"/>
        <v>#DIV/0!</v>
      </c>
      <c r="AD214" s="60" t="e">
        <f t="shared" si="209"/>
        <v>#DIV/0!</v>
      </c>
      <c r="AE214" s="60" t="e">
        <f t="shared" si="210"/>
        <v>#DIV/0!</v>
      </c>
      <c r="AF214" s="60">
        <v>4.0036508767022463</v>
      </c>
      <c r="AG214" s="60">
        <v>4.0036508767022463</v>
      </c>
      <c r="AH214" s="60" t="e">
        <f>'Information Technology'!AA3743</f>
        <v>#DIV/0!</v>
      </c>
      <c r="AI214" s="63">
        <v>-0.14907591803230519</v>
      </c>
      <c r="AJ214" s="60"/>
      <c r="AL214" s="60"/>
      <c r="AM214" s="60"/>
      <c r="AN214" s="60">
        <v>1</v>
      </c>
      <c r="AO214" s="60" t="e">
        <f>'Information Technology'!AA3744</f>
        <v>#DIV/0!</v>
      </c>
      <c r="AP214" s="60">
        <v>8.5434276173024862E-2</v>
      </c>
      <c r="AQ214" s="60" t="e">
        <f>(AP214-$AP$260)/$AP$261</f>
        <v>#DIV/0!</v>
      </c>
      <c r="AR214" s="60" t="e">
        <f>AQ214-$AQ$245</f>
        <v>#DIV/0!</v>
      </c>
      <c r="AS214" s="60" t="e">
        <f>(5-$AR$162)+AR214</f>
        <v>#DIV/0!</v>
      </c>
      <c r="AT214" s="60">
        <v>2.5179910504004921</v>
      </c>
      <c r="AU214" s="60">
        <v>2.5179910504004921</v>
      </c>
      <c r="AV214" s="60" t="e">
        <f>'Information Technology'!AA3745</f>
        <v>#DIV/0!</v>
      </c>
      <c r="AW214" s="60" t="b">
        <v>0</v>
      </c>
      <c r="AX214" s="60"/>
      <c r="AY214" s="60"/>
      <c r="AZ214" s="60"/>
      <c r="BA214" s="60"/>
      <c r="BB214" s="60">
        <v>1</v>
      </c>
      <c r="BC214" s="60" t="e">
        <f>'Information Technology'!AA3746</f>
        <v>#DIV/0!</v>
      </c>
      <c r="BD214" s="60">
        <v>0.65861396927487681</v>
      </c>
      <c r="BE214" s="60">
        <v>2.1</v>
      </c>
      <c r="BF214" s="60" t="e">
        <f>'Information Technology'!AA3747</f>
        <v>#DIV/0!</v>
      </c>
      <c r="BG214" s="63">
        <v>0.40814482756997222</v>
      </c>
      <c r="BH214" s="63" t="e">
        <f>-(BG214-$BG$260)/$BG$261</f>
        <v>#DIV/0!</v>
      </c>
      <c r="BI214" s="63" t="e">
        <f>BH214-$BH$181</f>
        <v>#DIV/0!</v>
      </c>
      <c r="BJ214" s="63" t="e">
        <f>BI214+5-$BI$259</f>
        <v>#DIV/0!</v>
      </c>
      <c r="BK214" s="63">
        <v>3.6018786084993915</v>
      </c>
      <c r="BL214" s="63">
        <v>3.6018786084993915</v>
      </c>
      <c r="BM214" s="63">
        <f t="shared" si="194"/>
        <v>2.4137195294774711</v>
      </c>
    </row>
    <row r="215" spans="1:65">
      <c r="A215" s="56" t="s">
        <v>388</v>
      </c>
      <c r="B215" s="56" t="s">
        <v>389</v>
      </c>
      <c r="C215" s="57">
        <v>3538</v>
      </c>
      <c r="D215" s="58" t="s">
        <v>77</v>
      </c>
      <c r="E215" s="69" t="str" cm="1">
        <f t="array" ref="E215">_xll.ciqfunctions.udf.CIQ(B215,"iq_industry")</f>
        <v>Software</v>
      </c>
      <c r="F215" s="60" t="e">
        <f>'Information Technology'!AA2359</f>
        <v>#DIV/0!</v>
      </c>
      <c r="G215" s="62">
        <v>26.514034386222175</v>
      </c>
      <c r="H215" s="62" t="e">
        <f>-(G215-$G$260)/$G$261</f>
        <v>#DIV/0!</v>
      </c>
      <c r="I215" s="62" t="e">
        <f>H215-$H$181</f>
        <v>#DIV/0!</v>
      </c>
      <c r="J215" s="62" t="e">
        <f>I215+(5-$I$242)</f>
        <v>#DIV/0!</v>
      </c>
      <c r="K215" s="62">
        <v>1</v>
      </c>
      <c r="L215" s="108">
        <v>2.3731385203029176</v>
      </c>
      <c r="M215" s="60">
        <f>'Information Technology'!AA2360</f>
        <v>2.9520597055</v>
      </c>
      <c r="N215" s="63">
        <v>3.4664450544000003</v>
      </c>
      <c r="O215" s="63">
        <f t="shared" si="191"/>
        <v>0.7662822874757278</v>
      </c>
      <c r="P215" s="63">
        <f t="shared" si="192"/>
        <v>0.40087370323922344</v>
      </c>
      <c r="Q215" s="63">
        <f t="shared" si="207"/>
        <v>4.4008737032392231</v>
      </c>
      <c r="R215" s="62"/>
      <c r="S215" s="63">
        <v>3.6728185195269036</v>
      </c>
      <c r="T215" s="60" t="e">
        <f>'Information Technology'!AA2361</f>
        <v>#DIV/0!</v>
      </c>
      <c r="U215" s="63">
        <v>175.76936925870058</v>
      </c>
      <c r="V215" s="63" t="e">
        <f t="shared" si="193"/>
        <v>#DIV/0!</v>
      </c>
      <c r="X215" s="63"/>
      <c r="Y215" s="63">
        <v>1.2</v>
      </c>
      <c r="Z215" s="63">
        <v>1.2</v>
      </c>
      <c r="AA215" s="60" t="e">
        <f>'Information Technology'!AA2362</f>
        <v>#DIV/0!</v>
      </c>
      <c r="AB215" s="63">
        <v>1.1962148909961279E-2</v>
      </c>
      <c r="AC215" s="60" t="e">
        <f t="shared" si="208"/>
        <v>#DIV/0!</v>
      </c>
      <c r="AD215" s="60" t="e">
        <f t="shared" si="209"/>
        <v>#DIV/0!</v>
      </c>
      <c r="AE215" s="60" t="e">
        <f t="shared" si="210"/>
        <v>#DIV/0!</v>
      </c>
      <c r="AF215" s="60">
        <v>4.385731511477819</v>
      </c>
      <c r="AG215" s="60">
        <v>4.385731511477819</v>
      </c>
      <c r="AH215" s="60" t="e">
        <f>'Information Technology'!AA2363</f>
        <v>#DIV/0!</v>
      </c>
      <c r="AI215" s="63">
        <v>-0.10171145685151162</v>
      </c>
      <c r="AJ215" s="60"/>
      <c r="AL215" s="60"/>
      <c r="AM215" s="60"/>
      <c r="AN215" s="60">
        <v>1</v>
      </c>
      <c r="AO215" s="60" t="e">
        <f>'Information Technology'!AA2364</f>
        <v>#DIV/0!</v>
      </c>
      <c r="AP215" s="60">
        <v>3.8104313228786414E-2</v>
      </c>
      <c r="AQ215" s="60" t="e">
        <f>(AP215-$AP$260)/$AP$261</f>
        <v>#DIV/0!</v>
      </c>
      <c r="AR215" s="60" t="e">
        <f>AQ215-$AQ$245</f>
        <v>#DIV/0!</v>
      </c>
      <c r="AS215" s="60" t="e">
        <f>(5-$AR$162)+AR215</f>
        <v>#DIV/0!</v>
      </c>
      <c r="AT215" s="60">
        <v>1.814345661054563</v>
      </c>
      <c r="AU215" s="60">
        <v>1.814345661054563</v>
      </c>
      <c r="AV215" s="60" t="e">
        <f>'Information Technology'!AA2365</f>
        <v>#DIV/0!</v>
      </c>
      <c r="AW215" s="60">
        <v>-1.5468479033375582E-2</v>
      </c>
      <c r="AX215" s="60" t="e">
        <f>(AW215-$AW$260)/$AW$261</f>
        <v>#DIV/0!</v>
      </c>
      <c r="AY215" s="60" t="e">
        <f>AX215-$AX$253</f>
        <v>#DIV/0!</v>
      </c>
      <c r="AZ215" s="60" t="e">
        <f>AY215+5-$AY$205</f>
        <v>#DIV/0!</v>
      </c>
      <c r="BA215" s="60">
        <v>1.1499999999999999</v>
      </c>
      <c r="BB215" s="60">
        <v>1.1499999999999999</v>
      </c>
      <c r="BC215" s="60" t="e">
        <f>'Information Technology'!AA2366</f>
        <v>#DIV/0!</v>
      </c>
      <c r="BD215" s="60">
        <v>0.79523549387254278</v>
      </c>
      <c r="BE215" s="60">
        <v>1.8</v>
      </c>
      <c r="BF215" s="60" t="e">
        <f>'Information Technology'!AA2367</f>
        <v>#DIV/0!</v>
      </c>
      <c r="BG215" s="63">
        <v>0.21870683676954281</v>
      </c>
      <c r="BH215" s="63" t="e">
        <f>-(BG215-$BG$260)/$BG$261</f>
        <v>#DIV/0!</v>
      </c>
      <c r="BI215" s="63" t="e">
        <f>BH215-$BH$181</f>
        <v>#DIV/0!</v>
      </c>
      <c r="BJ215" s="63" t="e">
        <f>BI215+5-$BI$259</f>
        <v>#DIV/0!</v>
      </c>
      <c r="BK215" s="63">
        <v>4.2711774542577023</v>
      </c>
      <c r="BL215" s="63">
        <v>4.2711774542577023</v>
      </c>
      <c r="BM215" s="63">
        <f t="shared" si="194"/>
        <v>2.3846113024960127</v>
      </c>
    </row>
    <row r="216" spans="1:65">
      <c r="A216" s="56" t="s">
        <v>434</v>
      </c>
      <c r="B216" s="56" t="s">
        <v>435</v>
      </c>
      <c r="C216" s="57">
        <v>2698.5</v>
      </c>
      <c r="D216" s="58" t="s">
        <v>67</v>
      </c>
      <c r="E216" s="69" t="str" cm="1">
        <f t="array" ref="E216">_xll.ciqfunctions.udf.CIQ(B216,"iq_industry")</f>
        <v>Software</v>
      </c>
      <c r="F216" s="60">
        <f>'Information Technology'!AA2704</f>
        <v>-7.0585415137248191</v>
      </c>
      <c r="G216" s="62">
        <v>92.631308342884509</v>
      </c>
      <c r="K216" s="62">
        <v>1</v>
      </c>
      <c r="L216" s="108">
        <v>1.17</v>
      </c>
      <c r="M216" s="60">
        <f>'Information Technology'!AA2705</f>
        <v>1.0424541599999999</v>
      </c>
      <c r="N216" s="63">
        <v>2.507532576</v>
      </c>
      <c r="O216" s="63">
        <f t="shared" si="191"/>
        <v>1.2634426860650765E-3</v>
      </c>
      <c r="P216" s="63">
        <f t="shared" si="192"/>
        <v>-0.36414514155043926</v>
      </c>
      <c r="Q216" s="63">
        <f t="shared" si="207"/>
        <v>3.6358548584495605</v>
      </c>
      <c r="R216" s="62"/>
      <c r="S216" s="63">
        <v>2.9077996747372428</v>
      </c>
      <c r="T216" s="60" t="e">
        <f>'Information Technology'!AA2706</f>
        <v>#DIV/0!</v>
      </c>
      <c r="U216" s="63" t="e">
        <v>#DIV/0!</v>
      </c>
      <c r="V216" s="63" t="e">
        <f t="shared" si="193"/>
        <v>#DIV/0!</v>
      </c>
      <c r="X216" s="63"/>
      <c r="Z216" s="63">
        <v>1</v>
      </c>
      <c r="AA216" s="60">
        <f>'Information Technology'!AA2707</f>
        <v>4.6768498125566493E-2</v>
      </c>
      <c r="AB216" s="63">
        <v>0.31501298149290635</v>
      </c>
      <c r="AC216" s="60" t="e">
        <f t="shared" si="208"/>
        <v>#DIV/0!</v>
      </c>
      <c r="AD216" s="60" t="e">
        <f t="shared" si="209"/>
        <v>#DIV/0!</v>
      </c>
      <c r="AE216" s="60" t="e">
        <f t="shared" si="210"/>
        <v>#DIV/0!</v>
      </c>
      <c r="AF216" s="60">
        <v>1.05</v>
      </c>
      <c r="AG216" s="60">
        <v>1.05</v>
      </c>
      <c r="AH216" s="60">
        <f>'Information Technology'!AA2708</f>
        <v>0.11808001145428519</v>
      </c>
      <c r="AI216" s="63">
        <v>-0.2427579337448651</v>
      </c>
      <c r="AJ216" s="60"/>
      <c r="AL216" s="60"/>
      <c r="AM216" s="60"/>
      <c r="AN216" s="60">
        <v>1</v>
      </c>
      <c r="AO216" s="60">
        <f>'Information Technology'!AA2709</f>
        <v>-3.9174017764087701E-2</v>
      </c>
      <c r="AP216" s="60">
        <v>1.0455831087070604</v>
      </c>
      <c r="AQ216" s="60"/>
      <c r="AR216" s="60"/>
      <c r="AS216" s="60"/>
      <c r="AT216" s="60">
        <v>5</v>
      </c>
      <c r="AU216" s="60">
        <v>5</v>
      </c>
      <c r="AV216" s="60" t="e">
        <f>'Information Technology'!AA2710</f>
        <v>#DIV/0!</v>
      </c>
      <c r="AW216" s="60" t="e">
        <v>#DIV/0!</v>
      </c>
      <c r="AX216" s="60"/>
      <c r="AY216" s="60"/>
      <c r="AZ216" s="60"/>
      <c r="BA216" s="60"/>
      <c r="BB216" s="60">
        <v>1</v>
      </c>
      <c r="BC216" s="60">
        <f>'Information Technology'!AA2711</f>
        <v>-0.27868614424313698</v>
      </c>
      <c r="BD216" s="60">
        <v>0</v>
      </c>
      <c r="BE216" s="60">
        <v>5</v>
      </c>
      <c r="BF216" s="60">
        <f>'Information Technology'!AA2712</f>
        <v>0.95123393523641198</v>
      </c>
      <c r="BG216" s="63" t="e">
        <v>#DIV/0!</v>
      </c>
      <c r="BI216" s="63"/>
      <c r="BJ216" s="63"/>
      <c r="BL216" s="63">
        <v>1</v>
      </c>
      <c r="BM216" s="63">
        <f t="shared" si="194"/>
        <v>2.379</v>
      </c>
    </row>
    <row r="217" spans="1:65">
      <c r="A217" s="56" t="s">
        <v>570</v>
      </c>
      <c r="B217" s="56" t="s">
        <v>571</v>
      </c>
      <c r="C217" s="57">
        <v>1004.1</v>
      </c>
      <c r="D217" s="58" t="s">
        <v>77</v>
      </c>
      <c r="E217" s="69" t="str" cm="1">
        <f t="array" ref="E217">_xll.ciqfunctions.udf.CIQ(B217,"iq_industry")</f>
        <v>Software</v>
      </c>
      <c r="F217" s="60" t="e">
        <f>'Information Technology'!AA3724</f>
        <v>#DIV/0!</v>
      </c>
      <c r="G217" s="62">
        <v>47.062943829409718</v>
      </c>
      <c r="K217" s="62">
        <v>1</v>
      </c>
      <c r="L217" s="108">
        <v>1.3033333333333299</v>
      </c>
      <c r="M217" s="60">
        <f>'Information Technology'!AA3725</f>
        <v>1.8289434975000001</v>
      </c>
      <c r="N217" s="63">
        <v>0.92489259940000013</v>
      </c>
      <c r="O217" s="63">
        <f t="shared" si="191"/>
        <v>-1.2613642046636437</v>
      </c>
      <c r="P217" s="63">
        <f t="shared" si="192"/>
        <v>-1.6267727889001482</v>
      </c>
      <c r="Q217" s="63">
        <f t="shared" si="207"/>
        <v>2.3732272110998518</v>
      </c>
      <c r="R217" s="62"/>
      <c r="S217" s="63">
        <v>1.6451720273875372</v>
      </c>
      <c r="T217" s="60" t="e">
        <f>'Information Technology'!AA3726</f>
        <v>#DIV/0!</v>
      </c>
      <c r="U217" s="63" t="e">
        <v>#DIV/0!</v>
      </c>
      <c r="V217" s="63" t="e">
        <f t="shared" si="193"/>
        <v>#DIV/0!</v>
      </c>
      <c r="X217" s="63"/>
      <c r="Z217" s="63">
        <v>1</v>
      </c>
      <c r="AA217" s="60" t="e">
        <f>'Information Technology'!AA3727</f>
        <v>#DIV/0!</v>
      </c>
      <c r="AB217" s="63">
        <v>0.54658477791787763</v>
      </c>
      <c r="AC217" s="60"/>
      <c r="AD217" s="60"/>
      <c r="AE217" s="60"/>
      <c r="AF217" s="60">
        <v>1.32</v>
      </c>
      <c r="AG217" s="60">
        <v>1.32</v>
      </c>
      <c r="AH217" s="60" t="e">
        <f>'Information Technology'!AA3728</f>
        <v>#DIV/0!</v>
      </c>
      <c r="AI217" s="63">
        <v>-0.19761486584258353</v>
      </c>
      <c r="AJ217" s="60"/>
      <c r="AL217" s="60"/>
      <c r="AM217" s="60"/>
      <c r="AN217" s="60">
        <v>1</v>
      </c>
      <c r="AO217" s="60" t="e">
        <f>'Information Technology'!AA3729</f>
        <v>#DIV/0!</v>
      </c>
      <c r="AP217" s="60">
        <v>0.17689857970105247</v>
      </c>
      <c r="AQ217" s="60" t="e">
        <f>(AP217-$AP$260)/$AP$261</f>
        <v>#DIV/0!</v>
      </c>
      <c r="AR217" s="60" t="e">
        <f>AQ217-$AQ$245</f>
        <v>#DIV/0!</v>
      </c>
      <c r="AS217" s="60" t="e">
        <f>(5-$AR$162)+AR217</f>
        <v>#DIV/0!</v>
      </c>
      <c r="AT217" s="60">
        <v>3.8777731305820629</v>
      </c>
      <c r="AU217" s="60">
        <v>3.8777731305820629</v>
      </c>
      <c r="AV217" s="60" t="e">
        <f>'Information Technology'!AA3730</f>
        <v>#DIV/0!</v>
      </c>
      <c r="AW217" s="60" t="e">
        <v>#DIV/0!</v>
      </c>
      <c r="AX217" s="60"/>
      <c r="AY217" s="60"/>
      <c r="AZ217" s="60"/>
      <c r="BA217" s="60"/>
      <c r="BB217" s="60">
        <v>1</v>
      </c>
      <c r="BC217" s="60" t="e">
        <f>'Information Technology'!AA3731</f>
        <v>#DIV/0!</v>
      </c>
      <c r="BD217" s="60">
        <v>3.4494455821161903E-2</v>
      </c>
      <c r="BE217" s="60">
        <v>5</v>
      </c>
      <c r="BF217" s="60" t="e">
        <f>'Information Technology'!AA3732</f>
        <v>#DIV/0!</v>
      </c>
      <c r="BG217" s="63" t="e">
        <v>#DIV/0!</v>
      </c>
      <c r="BI217" s="63"/>
      <c r="BJ217" s="63"/>
      <c r="BL217" s="63">
        <v>1</v>
      </c>
      <c r="BM217" s="63">
        <f t="shared" si="194"/>
        <v>2.3582442585566157</v>
      </c>
    </row>
    <row r="218" spans="1:65">
      <c r="A218" s="56" t="s">
        <v>490</v>
      </c>
      <c r="B218" s="56" t="s">
        <v>491</v>
      </c>
      <c r="C218" s="57">
        <v>1860.4</v>
      </c>
      <c r="D218" s="58" t="s">
        <v>77</v>
      </c>
      <c r="E218" s="69" t="str" cm="1">
        <f t="array" ref="E218">_xll.ciqfunctions.udf.CIQ(B218,"iq_industry")</f>
        <v>Software</v>
      </c>
      <c r="F218" s="60">
        <f>'Information Technology'!AA3124</f>
        <v>16.01930214759814</v>
      </c>
      <c r="G218" s="62">
        <v>12.359473605452296</v>
      </c>
      <c r="H218" s="62" t="e">
        <f>-(G218-$G$260)/$G$261</f>
        <v>#DIV/0!</v>
      </c>
      <c r="I218" s="62" t="e">
        <f>H218-$H$181</f>
        <v>#DIV/0!</v>
      </c>
      <c r="J218" s="62" t="e">
        <f>I218+(5-$I$242)</f>
        <v>#DIV/0!</v>
      </c>
      <c r="K218" s="62">
        <v>1</v>
      </c>
      <c r="L218" s="108">
        <v>3.9497090364842196</v>
      </c>
      <c r="M218" s="60">
        <f>'Information Technology'!AA3125</f>
        <v>0.85382596529999999</v>
      </c>
      <c r="N218" s="63">
        <v>1.8965898985000003</v>
      </c>
      <c r="O218" s="63">
        <f t="shared" si="191"/>
        <v>-0.48614565032480878</v>
      </c>
      <c r="P218" s="63">
        <f t="shared" si="192"/>
        <v>-0.85155423456131318</v>
      </c>
      <c r="Q218" s="63">
        <f t="shared" si="207"/>
        <v>3.1484457654386873</v>
      </c>
      <c r="R218" s="62"/>
      <c r="S218" s="63">
        <v>2.4203905817263696</v>
      </c>
      <c r="T218" s="60" t="e">
        <f>'Information Technology'!AA3126</f>
        <v>#DIV/0!</v>
      </c>
      <c r="U218" s="63" t="e">
        <v>#DIV/0!</v>
      </c>
      <c r="V218" s="63" t="e">
        <f t="shared" si="193"/>
        <v>#DIV/0!</v>
      </c>
      <c r="W218" s="63"/>
      <c r="X218" s="63"/>
      <c r="Z218" s="63">
        <v>1</v>
      </c>
      <c r="AA218" s="60">
        <f>'Information Technology'!AA3127</f>
        <v>4.5941368070216759E-2</v>
      </c>
      <c r="AB218" s="63">
        <v>6.045316103549836E-2</v>
      </c>
      <c r="AC218" s="60" t="e">
        <f>-(AB218-$AB$260)/$AB$261</f>
        <v>#DIV/0!</v>
      </c>
      <c r="AD218" s="60" t="e">
        <f>AC218-$AC$160</f>
        <v>#DIV/0!</v>
      </c>
      <c r="AE218" s="60" t="e">
        <f>AD218+5-$AD$254</f>
        <v>#DIV/0!</v>
      </c>
      <c r="AF218" s="60">
        <v>3.7468237410582637</v>
      </c>
      <c r="AG218" s="60">
        <v>3.7468237410582637</v>
      </c>
      <c r="AH218" s="60">
        <f>'Information Technology'!AA3128</f>
        <v>-0.22889780964910464</v>
      </c>
      <c r="AI218" s="63">
        <v>-0.21556739873924372</v>
      </c>
      <c r="AJ218" s="60"/>
      <c r="AL218" s="60"/>
      <c r="AM218" s="60"/>
      <c r="AN218" s="60">
        <v>1</v>
      </c>
      <c r="AO218" s="60">
        <f>'Information Technology'!AA3129</f>
        <v>1.410584900059433E-2</v>
      </c>
      <c r="AP218" s="60">
        <v>6.860798808903365E-2</v>
      </c>
      <c r="AQ218" s="60" t="e">
        <f>(AP218-$AP$260)/$AP$261</f>
        <v>#DIV/0!</v>
      </c>
      <c r="AR218" s="60" t="e">
        <f>AQ218-$AQ$245</f>
        <v>#DIV/0!</v>
      </c>
      <c r="AS218" s="60" t="e">
        <f>(5-$AR$162)+AR218</f>
        <v>#DIV/0!</v>
      </c>
      <c r="AT218" s="60">
        <v>2.2678378853947283</v>
      </c>
      <c r="AU218" s="60">
        <v>2.2678378853947283</v>
      </c>
      <c r="AV218" s="60">
        <f>'Information Technology'!AA3130</f>
        <v>-0.23414821545986125</v>
      </c>
      <c r="AW218" s="60" t="b">
        <v>0</v>
      </c>
      <c r="AX218" s="60"/>
      <c r="AY218" s="60"/>
      <c r="AZ218" s="60"/>
      <c r="BA218" s="60"/>
      <c r="BB218" s="60">
        <v>1</v>
      </c>
      <c r="BC218" s="60">
        <f>'Information Technology'!AA3131</f>
        <v>0.4663931355604935</v>
      </c>
      <c r="BD218" s="60">
        <v>0.93635979859818574</v>
      </c>
      <c r="BE218" s="60">
        <v>1.2</v>
      </c>
      <c r="BF218" s="60">
        <f>'Information Technology'!AA3132</f>
        <v>0.24373811821241426</v>
      </c>
      <c r="BG218" s="63">
        <v>0.23222336073416924</v>
      </c>
      <c r="BH218" s="63" t="e">
        <f>-(BG218-$BG$260)/$BG$261</f>
        <v>#DIV/0!</v>
      </c>
      <c r="BI218" s="63" t="e">
        <f>BH218-$BH$181</f>
        <v>#DIV/0!</v>
      </c>
      <c r="BJ218" s="63" t="e">
        <f>BI218+5-$BI$259</f>
        <v>#DIV/0!</v>
      </c>
      <c r="BK218" s="63">
        <v>4.2234225459103092</v>
      </c>
      <c r="BL218" s="63">
        <v>4.2234225459103092</v>
      </c>
      <c r="BM218" s="63">
        <f t="shared" si="194"/>
        <v>2.3214130051841186</v>
      </c>
    </row>
    <row r="219" spans="1:65">
      <c r="A219" s="56" t="s">
        <v>326</v>
      </c>
      <c r="B219" s="56" t="s">
        <v>327</v>
      </c>
      <c r="C219" s="57">
        <v>5058.7</v>
      </c>
      <c r="D219" s="58" t="s">
        <v>77</v>
      </c>
      <c r="E219" s="69" t="str" cm="1">
        <f t="array" ref="E219">_xll.ciqfunctions.udf.CIQ(B219,"iq_industry")</f>
        <v>Software</v>
      </c>
      <c r="F219" s="60">
        <f>'Information Technology'!AA1894</f>
        <v>19.060732146782335</v>
      </c>
      <c r="G219" s="62">
        <v>46.289676738097079</v>
      </c>
      <c r="K219" s="62">
        <v>1</v>
      </c>
      <c r="L219" s="109">
        <v>1.31</v>
      </c>
      <c r="M219" s="60">
        <f>'Information Technology'!AA1895</f>
        <v>1.4596804327999999</v>
      </c>
      <c r="N219" s="63">
        <v>5.05</v>
      </c>
      <c r="O219" s="63">
        <f t="shared" si="191"/>
        <v>2.0296398956332946</v>
      </c>
      <c r="P219" s="63">
        <f t="shared" si="192"/>
        <v>1.6642313113967901</v>
      </c>
      <c r="Q219" s="63">
        <f t="shared" si="207"/>
        <v>5.6642313113967901</v>
      </c>
      <c r="R219" s="62"/>
      <c r="S219" s="63">
        <v>4.9361761276844662</v>
      </c>
      <c r="T219" s="60" t="e">
        <f>'Information Technology'!AA1896</f>
        <v>#DIV/0!</v>
      </c>
      <c r="U219" s="63" t="e">
        <v>#DIV/0!</v>
      </c>
      <c r="V219" s="63" t="e">
        <f t="shared" si="193"/>
        <v>#DIV/0!</v>
      </c>
      <c r="W219" s="63"/>
      <c r="X219" s="63"/>
      <c r="Z219" s="63">
        <v>1</v>
      </c>
      <c r="AA219" s="60">
        <f>'Information Technology'!AA1897</f>
        <v>-1.7282957856237902E-2</v>
      </c>
      <c r="AB219" s="63">
        <v>2.8239442886869082E-2</v>
      </c>
      <c r="AC219" s="60" t="e">
        <f>-(AB219-$AB$260)/$AB$261</f>
        <v>#DIV/0!</v>
      </c>
      <c r="AD219" s="60" t="e">
        <f>AC219-$AC$160</f>
        <v>#DIV/0!</v>
      </c>
      <c r="AE219" s="60" t="e">
        <f>AD219+5-$AD$254</f>
        <v>#DIV/0!</v>
      </c>
      <c r="AF219" s="60">
        <v>4.1712651774626339</v>
      </c>
      <c r="AG219" s="60">
        <v>4.1712651774626339</v>
      </c>
      <c r="AH219" s="60">
        <f>'Information Technology'!AA1898</f>
        <v>2.0907811811673394E-2</v>
      </c>
      <c r="AI219" s="63">
        <v>-3.2395777508141266E-2</v>
      </c>
      <c r="AJ219" s="60"/>
      <c r="AL219" s="60"/>
      <c r="AM219" s="60"/>
      <c r="AN219" s="60">
        <v>1</v>
      </c>
      <c r="AO219" s="60">
        <f>'Information Technology'!AA1899</f>
        <v>7.1929283887233617E-2</v>
      </c>
      <c r="AP219" s="60">
        <v>0.15403192129211477</v>
      </c>
      <c r="AQ219" s="60" t="e">
        <f>(AP219-$AP$260)/$AP$261</f>
        <v>#DIV/0!</v>
      </c>
      <c r="AR219" s="60" t="e">
        <f>AQ219-$AQ$245</f>
        <v>#DIV/0!</v>
      </c>
      <c r="AS219" s="60" t="e">
        <f>(5-$AR$162)+AR219</f>
        <v>#DIV/0!</v>
      </c>
      <c r="AT219" s="60">
        <v>3.5378189502216495</v>
      </c>
      <c r="AU219" s="60">
        <v>3.5378189502216495</v>
      </c>
      <c r="AV219" s="60">
        <f>'Information Technology'!AA1900</f>
        <v>-5.0040430504952934E-4</v>
      </c>
      <c r="AW219" s="60" t="e">
        <v>#DIV/0!</v>
      </c>
      <c r="AX219" s="60"/>
      <c r="AY219" s="60"/>
      <c r="AZ219" s="60"/>
      <c r="BA219" s="60"/>
      <c r="BB219" s="60">
        <v>1</v>
      </c>
      <c r="BC219" s="60">
        <f>'Information Technology'!AA1901</f>
        <v>-1.33002378339993</v>
      </c>
      <c r="BD219" s="60">
        <v>0.51263710431711274</v>
      </c>
      <c r="BE219" s="60">
        <v>2.38</v>
      </c>
      <c r="BF219" s="60">
        <f>'Information Technology'!AA1902</f>
        <v>0.11240692837908585</v>
      </c>
      <c r="BG219" s="63">
        <v>0.42437637083989166</v>
      </c>
      <c r="BH219" s="63" t="e">
        <f>-(BG219-$BG$260)/$BG$261</f>
        <v>#DIV/0!</v>
      </c>
      <c r="BI219" s="63" t="e">
        <f>BH219-$BH$181</f>
        <v>#DIV/0!</v>
      </c>
      <c r="BJ219" s="63" t="e">
        <f>BI219+5-$BI$259</f>
        <v>#DIV/0!</v>
      </c>
      <c r="BK219" s="63">
        <v>3.5445313302183523</v>
      </c>
      <c r="BL219" s="63">
        <v>3.5445313302183523</v>
      </c>
      <c r="BM219" s="63">
        <f t="shared" si="194"/>
        <v>2.309496197661959</v>
      </c>
    </row>
    <row r="220" spans="1:65">
      <c r="A220" s="56" t="s">
        <v>384</v>
      </c>
      <c r="B220" s="56" t="s">
        <v>385</v>
      </c>
      <c r="C220" s="57">
        <v>3568</v>
      </c>
      <c r="D220" s="58" t="s">
        <v>77</v>
      </c>
      <c r="E220" s="69" t="str" cm="1">
        <f t="array" ref="E220">_xll.ciqfunctions.udf.CIQ(B220,"iq_industry")</f>
        <v>Software</v>
      </c>
      <c r="F220" s="60">
        <f>'Information Technology'!AA2329</f>
        <v>85.501434884573115</v>
      </c>
      <c r="G220" s="62">
        <v>-170.32438623888092</v>
      </c>
      <c r="J220" s="62">
        <v>1</v>
      </c>
      <c r="K220" s="62">
        <v>1</v>
      </c>
      <c r="L220" s="108">
        <v>1</v>
      </c>
      <c r="M220" s="60">
        <f>'Information Technology'!AA2330</f>
        <v>0.90596217149999991</v>
      </c>
      <c r="N220" s="63">
        <v>3.3150728319999998</v>
      </c>
      <c r="O220" s="63">
        <f t="shared" si="191"/>
        <v>0.6455177700435264</v>
      </c>
      <c r="P220" s="63">
        <f t="shared" si="192"/>
        <v>0.28010918580702204</v>
      </c>
      <c r="Q220" s="63">
        <f t="shared" si="207"/>
        <v>4.2801091858070217</v>
      </c>
      <c r="R220" s="62"/>
      <c r="S220" s="63">
        <v>3.5520540020947022</v>
      </c>
      <c r="T220" s="60">
        <f>'Information Technology'!AA2331</f>
        <v>17.486798518921791</v>
      </c>
      <c r="U220" s="63" t="e">
        <v>#DIV/0!</v>
      </c>
      <c r="V220" s="63" t="e">
        <f t="shared" si="193"/>
        <v>#DIV/0!</v>
      </c>
      <c r="W220" s="63"/>
      <c r="X220" s="63"/>
      <c r="Z220" s="63">
        <v>1</v>
      </c>
      <c r="AA220" s="60">
        <f>'Information Technology'!AA2332</f>
        <v>-2.5758234673593061E-2</v>
      </c>
      <c r="AB220" s="63">
        <v>8.2712667805450835E-2</v>
      </c>
      <c r="AC220" s="60" t="e">
        <f>-(AB220-$AB$260)/$AB$261</f>
        <v>#DIV/0!</v>
      </c>
      <c r="AD220" s="60" t="e">
        <f>AC220-$AC$160</f>
        <v>#DIV/0!</v>
      </c>
      <c r="AE220" s="60" t="e">
        <f>AD220+5-$AD$254</f>
        <v>#DIV/0!</v>
      </c>
      <c r="AF220" s="60">
        <v>3.4535369809425758</v>
      </c>
      <c r="AG220" s="60">
        <v>3.4535369809425758</v>
      </c>
      <c r="AH220" s="60">
        <f>'Information Technology'!AA2333</f>
        <v>1.5315798847793523E-2</v>
      </c>
      <c r="AI220" s="63">
        <v>-0.21105324436274897</v>
      </c>
      <c r="AJ220" s="60"/>
      <c r="AL220" s="60"/>
      <c r="AM220" s="60"/>
      <c r="AN220" s="60">
        <v>1</v>
      </c>
      <c r="AO220" s="60">
        <f>'Information Technology'!AA2334</f>
        <v>3.1980148724260159E-3</v>
      </c>
      <c r="AP220" s="60">
        <v>-0.29321178000004139</v>
      </c>
      <c r="AQ220" s="60"/>
      <c r="AR220" s="60"/>
      <c r="AS220" s="60"/>
      <c r="AT220" s="60"/>
      <c r="AU220" s="60">
        <v>1</v>
      </c>
      <c r="AV220" s="60">
        <f>'Information Technology'!AA2335</f>
        <v>-1.1540625211101132E-2</v>
      </c>
      <c r="AW220" s="60" t="e">
        <v>#DIV/0!</v>
      </c>
      <c r="AX220" s="60"/>
      <c r="AY220" s="60"/>
      <c r="AZ220" s="60"/>
      <c r="BA220" s="60"/>
      <c r="BB220" s="60">
        <v>1</v>
      </c>
      <c r="BC220" s="60">
        <f>'Information Technology'!AA2336</f>
        <v>4.7201540818933507</v>
      </c>
      <c r="BD220" s="60">
        <v>-0.44848355977579757</v>
      </c>
      <c r="BE220" s="60">
        <v>5</v>
      </c>
      <c r="BF220" s="60">
        <f>'Information Technology'!AA2337</f>
        <v>5.2181141206054535E-2</v>
      </c>
      <c r="BG220" s="63" t="e">
        <v>#DIV/0!</v>
      </c>
      <c r="BI220" s="63"/>
      <c r="BJ220" s="63"/>
      <c r="BL220" s="63">
        <v>1</v>
      </c>
      <c r="BM220" s="63">
        <f t="shared" si="194"/>
        <v>2.2981414792377031</v>
      </c>
    </row>
    <row r="221" spans="1:65">
      <c r="A221" s="56" t="s">
        <v>426</v>
      </c>
      <c r="B221" s="56" t="s">
        <v>427</v>
      </c>
      <c r="C221" s="57">
        <v>2856.3</v>
      </c>
      <c r="D221" s="58" t="s">
        <v>67</v>
      </c>
      <c r="E221" s="69" t="str" cm="1">
        <f t="array" ref="E221">_xll.ciqfunctions.udf.CIQ(B221,"iq_industry")</f>
        <v>Software</v>
      </c>
      <c r="F221" s="60">
        <f>'Information Technology'!AA2644</f>
        <v>10.776602308424939</v>
      </c>
      <c r="G221" s="62">
        <v>9.4814255045049958</v>
      </c>
      <c r="H221" s="62" t="e">
        <f>-(G221-$G$260)/$G$261</f>
        <v>#DIV/0!</v>
      </c>
      <c r="I221" s="62" t="e">
        <f>H221-$H$181</f>
        <v>#DIV/0!</v>
      </c>
      <c r="J221" s="62" t="e">
        <f>I221+(5-$I$242)</f>
        <v>#DIV/0!</v>
      </c>
      <c r="K221" s="62">
        <v>1</v>
      </c>
      <c r="L221" s="108">
        <v>4.2702732595909936</v>
      </c>
      <c r="M221" s="60">
        <f>'Information Technology'!AA2645</f>
        <v>1.4748050456099999</v>
      </c>
      <c r="N221" s="63">
        <v>3.0599066273999997</v>
      </c>
      <c r="O221" s="63">
        <f t="shared" si="191"/>
        <v>0.44194657927315639</v>
      </c>
      <c r="P221" s="63">
        <f t="shared" si="192"/>
        <v>7.653799503665204E-2</v>
      </c>
      <c r="Q221" s="63">
        <f t="shared" si="207"/>
        <v>4.0765379950366523</v>
      </c>
      <c r="R221" s="62"/>
      <c r="S221" s="63">
        <v>3.3484828113243328</v>
      </c>
      <c r="T221" s="60" t="e">
        <f>'Information Technology'!AA2646</f>
        <v>#DIV/0!</v>
      </c>
      <c r="U221" s="63" t="e">
        <v>#DIV/0!</v>
      </c>
      <c r="V221" s="63" t="e">
        <f t="shared" si="193"/>
        <v>#DIV/0!</v>
      </c>
      <c r="X221" s="63"/>
      <c r="Z221" s="63">
        <v>1</v>
      </c>
      <c r="AA221" s="60">
        <f>'Information Technology'!AA2647</f>
        <v>3.2351536023069505E-2</v>
      </c>
      <c r="AB221" s="63">
        <v>4.9114773260686695E-2</v>
      </c>
      <c r="AC221" s="60" t="e">
        <f>-(AB221-$AB$260)/$AB$261</f>
        <v>#DIV/0!</v>
      </c>
      <c r="AD221" s="60" t="e">
        <f>AC221-$AC$160</f>
        <v>#DIV/0!</v>
      </c>
      <c r="AE221" s="60" t="e">
        <f>AD221+5-$AD$254</f>
        <v>#DIV/0!</v>
      </c>
      <c r="AF221" s="60">
        <v>3.8962160456487096</v>
      </c>
      <c r="AG221" s="60">
        <v>3.8962160456487096</v>
      </c>
      <c r="AH221" s="60">
        <f>'Information Technology'!AA2648</f>
        <v>4.2929291602946431E-4</v>
      </c>
      <c r="AI221" s="63">
        <v>-0.21595109400130647</v>
      </c>
      <c r="AJ221" s="60"/>
      <c r="AL221" s="60"/>
      <c r="AM221" s="60"/>
      <c r="AN221" s="60">
        <v>1</v>
      </c>
      <c r="AO221" s="60">
        <f>'Information Technology'!AA2649</f>
        <v>0.12866739137741323</v>
      </c>
      <c r="AP221" s="60">
        <v>9.568116687201017E-2</v>
      </c>
      <c r="AQ221" s="60" t="e">
        <f>(AP221-$AP$260)/$AP$261</f>
        <v>#DIV/0!</v>
      </c>
      <c r="AR221" s="60" t="e">
        <f>AQ221-$AQ$245</f>
        <v>#DIV/0!</v>
      </c>
      <c r="AS221" s="60" t="e">
        <f>(5-$AR$162)+AR221</f>
        <v>#DIV/0!</v>
      </c>
      <c r="AT221" s="60">
        <v>2.6703295891812497</v>
      </c>
      <c r="AU221" s="60">
        <v>2.6703295891812497</v>
      </c>
      <c r="AV221" s="60">
        <f>'Information Technology'!AA2650</f>
        <v>-8.7526280559116088E-3</v>
      </c>
      <c r="AW221" s="60" t="b">
        <v>0</v>
      </c>
      <c r="AX221" s="60"/>
      <c r="AY221" s="60"/>
      <c r="AZ221" s="60"/>
      <c r="BA221" s="60"/>
      <c r="BB221" s="60">
        <v>1</v>
      </c>
      <c r="BC221" s="60">
        <f>'Information Technology'!AA2651</f>
        <v>-0.53407479480944442</v>
      </c>
      <c r="BD221" s="60">
        <v>0.87915919230107631</v>
      </c>
      <c r="BE221" s="60">
        <v>1.4</v>
      </c>
      <c r="BF221" s="60">
        <f>'Information Technology'!AA2652</f>
        <v>0.7954845283295755</v>
      </c>
      <c r="BG221" s="63">
        <v>0.40573728360070399</v>
      </c>
      <c r="BH221" s="63" t="e">
        <f>-(BG221-$BG$260)/$BG$261</f>
        <v>#DIV/0!</v>
      </c>
      <c r="BI221" s="63" t="e">
        <f>BH221-$BH$181</f>
        <v>#DIV/0!</v>
      </c>
      <c r="BJ221" s="63" t="e">
        <f>BI221+5-$BI$259</f>
        <v>#DIV/0!</v>
      </c>
      <c r="BK221" s="63">
        <v>3.6103846446589563</v>
      </c>
      <c r="BL221" s="63">
        <v>3.6103846446589563</v>
      </c>
      <c r="BM221" s="63">
        <f t="shared" si="194"/>
        <v>2.282285312517037</v>
      </c>
    </row>
    <row r="222" spans="1:65">
      <c r="A222" s="56" t="s">
        <v>540</v>
      </c>
      <c r="B222" s="56" t="s">
        <v>541</v>
      </c>
      <c r="C222" s="57">
        <v>1247.7</v>
      </c>
      <c r="D222" s="58" t="s">
        <v>77</v>
      </c>
      <c r="E222" s="69" t="str" cm="1">
        <f t="array" ref="E222">_xll.ciqfunctions.udf.CIQ(B222,"iq_industry")</f>
        <v>Software</v>
      </c>
      <c r="F222" s="60">
        <f>'Information Technology'!AA3499</f>
        <v>39.994543402507077</v>
      </c>
      <c r="G222" s="62">
        <v>99.591660447795832</v>
      </c>
      <c r="K222" s="62">
        <v>1</v>
      </c>
      <c r="L222" s="108">
        <v>1.17</v>
      </c>
      <c r="M222" s="60">
        <f>'Information Technology'!AA3500</f>
        <v>2.0271877752500003</v>
      </c>
      <c r="N222" s="63">
        <v>1.3728720418999998</v>
      </c>
      <c r="O222" s="63">
        <f t="shared" si="191"/>
        <v>-0.90396692043734761</v>
      </c>
      <c r="P222" s="63">
        <f t="shared" si="192"/>
        <v>-1.269375504673852</v>
      </c>
      <c r="Q222" s="63">
        <f t="shared" si="207"/>
        <v>2.7306244953261478</v>
      </c>
      <c r="R222" s="62"/>
      <c r="S222" s="63">
        <v>2.0025693116138319</v>
      </c>
      <c r="T222" s="60" t="e">
        <f>'Information Technology'!AA3501</f>
        <v>#DIV/0!</v>
      </c>
      <c r="U222" s="63" t="e">
        <v>#DIV/0!</v>
      </c>
      <c r="V222" s="63" t="e">
        <f t="shared" si="193"/>
        <v>#DIV/0!</v>
      </c>
      <c r="X222" s="63"/>
      <c r="Z222" s="63">
        <v>1</v>
      </c>
      <c r="AA222" s="60">
        <f>'Information Technology'!AA3502</f>
        <v>0.32107352331433359</v>
      </c>
      <c r="AB222" s="63">
        <v>0.85460095954151649</v>
      </c>
      <c r="AC222" s="60"/>
      <c r="AD222" s="60"/>
      <c r="AE222" s="60"/>
      <c r="AF222" s="60">
        <v>1.1499999999999999</v>
      </c>
      <c r="AG222" s="60">
        <v>1.1499999999999999</v>
      </c>
      <c r="AH222" s="60">
        <f>'Information Technology'!AA3503</f>
        <v>-0.33965329525841986</v>
      </c>
      <c r="AI222" s="63">
        <v>-0.11984217776259803</v>
      </c>
      <c r="AJ222" s="60"/>
      <c r="AL222" s="60"/>
      <c r="AM222" s="60"/>
      <c r="AN222" s="60">
        <v>1</v>
      </c>
      <c r="AO222" s="60">
        <f>'Information Technology'!AA3504</f>
        <v>6.2657718092656398E-2</v>
      </c>
      <c r="AP222" s="60">
        <v>0.16468279820673792</v>
      </c>
      <c r="AQ222" s="60" t="e">
        <f>(AP222-$AP$260)/$AP$261</f>
        <v>#DIV/0!</v>
      </c>
      <c r="AR222" s="60" t="e">
        <f>AQ222-$AQ$245</f>
        <v>#DIV/0!</v>
      </c>
      <c r="AS222" s="60" t="e">
        <f>(5-$AR$162)+AR222</f>
        <v>#DIV/0!</v>
      </c>
      <c r="AT222" s="60">
        <v>3.696163473801672</v>
      </c>
      <c r="AU222" s="60">
        <v>3.696163473801672</v>
      </c>
      <c r="AV222" s="60" t="e">
        <f>'Information Technology'!AA3505</f>
        <v>#DIV/0!</v>
      </c>
      <c r="AW222" s="60" t="e">
        <v>#DIV/0!</v>
      </c>
      <c r="AX222" s="60"/>
      <c r="AY222" s="60"/>
      <c r="AZ222" s="60"/>
      <c r="BA222" s="60"/>
      <c r="BB222" s="60">
        <v>1</v>
      </c>
      <c r="BC222" s="60">
        <f>'Information Technology'!AA3506</f>
        <v>0.96774962005866616</v>
      </c>
      <c r="BD222" s="60">
        <v>0.26398626487176108</v>
      </c>
      <c r="BE222" s="60">
        <v>4.75</v>
      </c>
      <c r="BF222" s="60">
        <f>'Information Technology'!AA3507</f>
        <v>2.0141031254609372</v>
      </c>
      <c r="BG222" s="63" t="e">
        <v>#DIV/0!</v>
      </c>
      <c r="BI222" s="63"/>
      <c r="BJ222" s="63"/>
      <c r="BL222" s="63">
        <v>1</v>
      </c>
      <c r="BM222" s="63">
        <f t="shared" si="194"/>
        <v>2.255846538952067</v>
      </c>
    </row>
    <row r="223" spans="1:65">
      <c r="A223" s="56" t="s">
        <v>402</v>
      </c>
      <c r="B223" s="56" t="s">
        <v>403</v>
      </c>
      <c r="C223" s="57">
        <v>3329.6</v>
      </c>
      <c r="D223" s="58" t="s">
        <v>77</v>
      </c>
      <c r="E223" s="69" t="str" cm="1">
        <f t="array" ref="E223">_xll.ciqfunctions.udf.CIQ(B223,"iq_industry")</f>
        <v>Software</v>
      </c>
      <c r="F223" s="60">
        <f>'Information Technology'!AA2464</f>
        <v>163.99482853558621</v>
      </c>
      <c r="G223" s="62">
        <v>8.2168966717948493</v>
      </c>
      <c r="H223" s="62" t="e">
        <f>-(G223-$G$260)/$G$261</f>
        <v>#DIV/0!</v>
      </c>
      <c r="I223" s="62" t="e">
        <f>H223-$H$181</f>
        <v>#DIV/0!</v>
      </c>
      <c r="J223" s="62" t="e">
        <f>I223+(5-$I$242)</f>
        <v>#DIV/0!</v>
      </c>
      <c r="K223" s="62">
        <v>1</v>
      </c>
      <c r="L223" s="108">
        <v>4.4111196557024481</v>
      </c>
      <c r="M223" s="60">
        <f>'Information Technology'!AA2465</f>
        <v>2.3367420000000001</v>
      </c>
      <c r="N223" s="63">
        <v>3.3320056648</v>
      </c>
      <c r="O223" s="63">
        <f t="shared" ref="O223:O254" si="211">(N223-$N$260)/$N$261</f>
        <v>0.65902675702561997</v>
      </c>
      <c r="P223" s="63">
        <f t="shared" ref="P223:P254" si="212">O223-$O$259</f>
        <v>0.29361817278911562</v>
      </c>
      <c r="Q223" s="63">
        <f t="shared" si="207"/>
        <v>4.2936181727891158</v>
      </c>
      <c r="R223" s="62"/>
      <c r="S223" s="63">
        <v>3.5655629890767964</v>
      </c>
      <c r="T223" s="60" t="e">
        <f>'Information Technology'!AA2466</f>
        <v>#DIV/0!</v>
      </c>
      <c r="U223" s="63" t="e">
        <v>#DIV/0!</v>
      </c>
      <c r="V223" s="63" t="e">
        <f t="shared" ref="V223:V254" si="213">-(U223-$U$263)/$U$264</f>
        <v>#DIV/0!</v>
      </c>
      <c r="X223" s="63"/>
      <c r="Z223" s="63">
        <v>1</v>
      </c>
      <c r="AA223" s="60">
        <f>'Information Technology'!AA2467</f>
        <v>0.39935872689856189</v>
      </c>
      <c r="AB223" s="63">
        <v>2.1023858064676215E-2</v>
      </c>
      <c r="AC223" s="60" t="e">
        <f>-(AB223-$AB$260)/$AB$261</f>
        <v>#DIV/0!</v>
      </c>
      <c r="AD223" s="60" t="e">
        <f>AC223-$AC$160</f>
        <v>#DIV/0!</v>
      </c>
      <c r="AE223" s="60" t="e">
        <f>AD223+5-$AD$254</f>
        <v>#DIV/0!</v>
      </c>
      <c r="AF223" s="60">
        <v>4.2663362640195706</v>
      </c>
      <c r="AG223" s="60">
        <v>4.2663362640195706</v>
      </c>
      <c r="AH223" s="60">
        <f>'Information Technology'!AA2468</f>
        <v>-0.37090601384168492</v>
      </c>
      <c r="AI223" s="63">
        <v>-0.10521572081142773</v>
      </c>
      <c r="AJ223" s="60"/>
      <c r="AL223" s="60"/>
      <c r="AM223" s="60"/>
      <c r="AN223" s="60">
        <v>1</v>
      </c>
      <c r="AO223" s="60">
        <f>'Information Technology'!AA2469</f>
        <v>7.019072569705383E-3</v>
      </c>
      <c r="AP223" s="60">
        <v>3.6607702602995888E-2</v>
      </c>
      <c r="AQ223" s="60" t="e">
        <f>(AP223-$AP$260)/$AP$261</f>
        <v>#DIV/0!</v>
      </c>
      <c r="AR223" s="60" t="e">
        <f>AQ223-$AQ$245</f>
        <v>#DIV/0!</v>
      </c>
      <c r="AS223" s="60" t="e">
        <f>(5-$AR$162)+AR223</f>
        <v>#DIV/0!</v>
      </c>
      <c r="AT223" s="60">
        <v>1.7920958408355125</v>
      </c>
      <c r="AU223" s="60">
        <v>1.7920958408355125</v>
      </c>
      <c r="AV223" s="60" t="e">
        <f>'Information Technology'!AA2470</f>
        <v>#DIV/0!</v>
      </c>
      <c r="AW223" s="60" t="b">
        <v>0</v>
      </c>
      <c r="AX223" s="60"/>
      <c r="AY223" s="60"/>
      <c r="AZ223" s="60"/>
      <c r="BA223" s="60"/>
      <c r="BB223" s="60">
        <v>1</v>
      </c>
      <c r="BC223" s="60">
        <f>'Information Technology'!AA2471</f>
        <v>5.8612632391552193</v>
      </c>
      <c r="BD223" s="60">
        <v>0.80602567359194688</v>
      </c>
      <c r="BE223" s="60">
        <v>1.7</v>
      </c>
      <c r="BF223" s="60">
        <f>'Information Technology'!AA2472</f>
        <v>1.6605568803337449</v>
      </c>
      <c r="BG223" s="63">
        <v>0.54125548494133113</v>
      </c>
      <c r="BH223" s="63" t="e">
        <f>-(BG223-$BG$260)/$BG$261</f>
        <v>#DIV/0!</v>
      </c>
      <c r="BI223" s="63" t="e">
        <f>BH223-$BH$181</f>
        <v>#DIV/0!</v>
      </c>
      <c r="BJ223" s="63" t="e">
        <f>BI223+5-$BI$259</f>
        <v>#DIV/0!</v>
      </c>
      <c r="BK223" s="63">
        <v>3.1315885206434846</v>
      </c>
      <c r="BL223" s="63">
        <v>3.1315885206434846</v>
      </c>
      <c r="BM223" s="63">
        <f t="shared" ref="BM223:BM254" si="214">0.1*(L223)+0.01*(Z223)+0.04*(AG223)+0.13*(AN223)+0.04*(AU223)+0.13*(BB223)+0.3*(BE223)+0.25*(BL223)</f>
        <v>2.2463463799253192</v>
      </c>
    </row>
    <row r="224" spans="1:65">
      <c r="A224" s="56" t="s">
        <v>428</v>
      </c>
      <c r="B224" s="56" t="s">
        <v>429</v>
      </c>
      <c r="C224" s="57">
        <v>2764.4</v>
      </c>
      <c r="D224" s="58" t="s">
        <v>77</v>
      </c>
      <c r="E224" s="69" t="str" cm="1">
        <f t="array" ref="E224">_xll.ciqfunctions.udf.CIQ(B224,"iq_industry")</f>
        <v>Software</v>
      </c>
      <c r="F224" s="60">
        <f>'Information Technology'!AA2659</f>
        <v>23.888310611022785</v>
      </c>
      <c r="G224" s="62">
        <v>-231.08252364251823</v>
      </c>
      <c r="J224" s="62">
        <v>1</v>
      </c>
      <c r="K224" s="62">
        <v>1</v>
      </c>
      <c r="L224" s="108">
        <v>1</v>
      </c>
      <c r="M224" s="60">
        <f>'Information Technology'!AA2660</f>
        <v>4.2162354749999995</v>
      </c>
      <c r="N224" s="63">
        <v>2.8028809644000003</v>
      </c>
      <c r="O224" s="63">
        <f t="shared" si="211"/>
        <v>0.23689191555906636</v>
      </c>
      <c r="P224" s="63">
        <f t="shared" si="212"/>
        <v>-0.128516668677438</v>
      </c>
      <c r="Q224" s="63">
        <f t="shared" si="207"/>
        <v>3.8714833313225618</v>
      </c>
      <c r="R224" s="62"/>
      <c r="S224" s="63">
        <v>3.1434281476102433</v>
      </c>
      <c r="T224" s="60" t="e">
        <f>'Information Technology'!AA2661</f>
        <v>#DIV/0!</v>
      </c>
      <c r="U224" s="63" t="e">
        <v>#DIV/0!</v>
      </c>
      <c r="V224" s="63" t="e">
        <f t="shared" si="213"/>
        <v>#DIV/0!</v>
      </c>
      <c r="X224" s="63"/>
      <c r="Z224" s="63">
        <v>1</v>
      </c>
      <c r="AA224" s="60">
        <f>'Information Technology'!AA2662</f>
        <v>3.7503310658326683E-5</v>
      </c>
      <c r="AB224" s="63">
        <v>0.27288752187370813</v>
      </c>
      <c r="AC224" s="60" t="e">
        <f>-(AB224-$AB$260)/$AB$261</f>
        <v>#DIV/0!</v>
      </c>
      <c r="AD224" s="60" t="e">
        <f>AC224-$AC$160</f>
        <v>#DIV/0!</v>
      </c>
      <c r="AE224" s="60" t="e">
        <f>AD224+5-$AD$254</f>
        <v>#DIV/0!</v>
      </c>
      <c r="AF224" s="60">
        <v>1.06</v>
      </c>
      <c r="AG224" s="60">
        <v>1.06</v>
      </c>
      <c r="AH224" s="60">
        <f>'Information Technology'!AA2663</f>
        <v>0.15644978047794741</v>
      </c>
      <c r="AI224" s="63">
        <v>-0.29943323973393837</v>
      </c>
      <c r="AJ224" s="60"/>
      <c r="AL224" s="60"/>
      <c r="AM224" s="60"/>
      <c r="AN224" s="60">
        <v>1</v>
      </c>
      <c r="AO224" s="60">
        <f>'Information Technology'!AA2664</f>
        <v>3.3326932983797422E-2</v>
      </c>
      <c r="AP224" s="60">
        <v>-6.4009838270357972E-2</v>
      </c>
      <c r="AQ224" s="60"/>
      <c r="AR224" s="60"/>
      <c r="AS224" s="60"/>
      <c r="AT224" s="60"/>
      <c r="AU224" s="60">
        <v>1</v>
      </c>
      <c r="AV224" s="60" t="b">
        <f>'Information Technology'!AA2665</f>
        <v>0</v>
      </c>
      <c r="AW224" s="60" t="e">
        <v>#DIV/0!</v>
      </c>
      <c r="AX224" s="60"/>
      <c r="AY224" s="60"/>
      <c r="AZ224" s="60"/>
      <c r="BA224" s="60"/>
      <c r="BB224" s="60">
        <v>1</v>
      </c>
      <c r="BC224" s="60">
        <f>'Information Technology'!AA2666</f>
        <v>-5.3416263246947142E-3</v>
      </c>
      <c r="BD224" s="60">
        <v>0.14800049515718736</v>
      </c>
      <c r="BE224" s="60">
        <v>5</v>
      </c>
      <c r="BF224" s="60">
        <f>'Information Technology'!AA2667</f>
        <v>1.5076178254304551</v>
      </c>
      <c r="BG224" s="63">
        <v>5.2343536669392297</v>
      </c>
      <c r="BI224" s="63"/>
      <c r="BJ224" s="63"/>
      <c r="BK224" s="63">
        <v>1.08</v>
      </c>
      <c r="BL224" s="63">
        <v>1.08</v>
      </c>
      <c r="BM224" s="63">
        <f t="shared" si="214"/>
        <v>2.2223999999999999</v>
      </c>
    </row>
    <row r="225" spans="1:65">
      <c r="A225" s="56" t="s">
        <v>494</v>
      </c>
      <c r="B225" s="56" t="s">
        <v>495</v>
      </c>
      <c r="C225" s="57">
        <v>1712.2</v>
      </c>
      <c r="D225" s="58" t="s">
        <v>77</v>
      </c>
      <c r="E225" s="69" t="str" cm="1">
        <f t="array" ref="E225">_xll.ciqfunctions.udf.CIQ(B225,"iq_industry")</f>
        <v>Software</v>
      </c>
      <c r="F225" s="60">
        <f>'Information Technology'!AA3154</f>
        <v>17.354248047474773</v>
      </c>
      <c r="G225" s="62">
        <v>-2.8597797183727831</v>
      </c>
      <c r="J225" s="62">
        <v>1</v>
      </c>
      <c r="K225" s="62">
        <v>1</v>
      </c>
      <c r="L225" s="108">
        <v>1</v>
      </c>
      <c r="M225" s="60">
        <f>'Information Technology'!AA3155</f>
        <v>7.3897536199999996</v>
      </c>
      <c r="N225" s="63">
        <v>1.7310529415279998</v>
      </c>
      <c r="O225" s="63">
        <f t="shared" si="211"/>
        <v>-0.61821077039084449</v>
      </c>
      <c r="P225" s="63">
        <f t="shared" si="212"/>
        <v>-0.98361935462734884</v>
      </c>
      <c r="Q225" s="63">
        <f t="shared" si="207"/>
        <v>3.0163806453726512</v>
      </c>
      <c r="R225" s="62"/>
      <c r="S225" s="63">
        <v>2.2883254616603343</v>
      </c>
      <c r="T225" s="60" t="e">
        <f>'Information Technology'!AA3156</f>
        <v>#DIV/0!</v>
      </c>
      <c r="U225" s="63" t="e">
        <v>#DIV/0!</v>
      </c>
      <c r="V225" s="63" t="e">
        <f t="shared" si="213"/>
        <v>#DIV/0!</v>
      </c>
      <c r="W225" s="63"/>
      <c r="X225" s="63"/>
      <c r="Z225" s="63">
        <v>1</v>
      </c>
      <c r="AA225" s="60">
        <f>'Information Technology'!AA3157</f>
        <v>7.1542958181648464E-2</v>
      </c>
      <c r="AB225" s="63">
        <v>0.65860897293700282</v>
      </c>
      <c r="AC225" s="60"/>
      <c r="AD225" s="60"/>
      <c r="AE225" s="60"/>
      <c r="AF225" s="60">
        <v>1.25</v>
      </c>
      <c r="AG225" s="60">
        <v>1.25</v>
      </c>
      <c r="AH225" s="60">
        <f>'Information Technology'!AA3158</f>
        <v>-0.63611777948956361</v>
      </c>
      <c r="AI225" s="63">
        <v>-1.9929496970519318</v>
      </c>
      <c r="AJ225" s="60"/>
      <c r="AL225" s="60"/>
      <c r="AM225" s="60"/>
      <c r="AN225" s="60">
        <v>1</v>
      </c>
      <c r="AO225" s="60">
        <f>'Information Technology'!AA3159</f>
        <v>2.875318183211917E-3</v>
      </c>
      <c r="AP225" s="60">
        <v>-0.18950581681833195</v>
      </c>
      <c r="AQ225" s="60"/>
      <c r="AR225" s="60"/>
      <c r="AS225" s="60"/>
      <c r="AT225" s="60"/>
      <c r="AU225" s="60">
        <v>1</v>
      </c>
      <c r="AV225" s="60">
        <f>'Information Technology'!AA3160</f>
        <v>0.20482729419554094</v>
      </c>
      <c r="AW225" s="60" t="b">
        <v>0</v>
      </c>
      <c r="AX225" s="60"/>
      <c r="AY225" s="60"/>
      <c r="AZ225" s="60"/>
      <c r="BA225" s="60"/>
      <c r="BB225" s="60">
        <v>1</v>
      </c>
      <c r="BC225" s="60">
        <f>'Information Technology'!AA3161</f>
        <v>0.91595591232391471</v>
      </c>
      <c r="BD225" s="60">
        <v>-1.5764075515429837E-2</v>
      </c>
      <c r="BE225" s="60">
        <v>5</v>
      </c>
      <c r="BF225" s="60">
        <f>'Information Technology'!AA3162</f>
        <v>1.0839147991556539</v>
      </c>
      <c r="BG225" s="63">
        <v>85.106772447794285</v>
      </c>
      <c r="BI225" s="63"/>
      <c r="BJ225" s="63"/>
      <c r="BK225" s="63">
        <v>1.02</v>
      </c>
      <c r="BL225" s="63">
        <v>1.02</v>
      </c>
      <c r="BM225" s="63">
        <f t="shared" si="214"/>
        <v>2.2149999999999999</v>
      </c>
    </row>
    <row r="226" spans="1:65" ht="22.5">
      <c r="A226" s="56" t="s">
        <v>482</v>
      </c>
      <c r="B226" s="56" t="s">
        <v>483</v>
      </c>
      <c r="C226" s="57">
        <v>2013</v>
      </c>
      <c r="D226" s="58" t="s">
        <v>77</v>
      </c>
      <c r="E226" s="69" t="str" cm="1">
        <f t="array" ref="E226">_xll.ciqfunctions.udf.CIQ(B226,"iq_industry")</f>
        <v>Software</v>
      </c>
      <c r="F226" s="60">
        <f>'Information Technology'!AA3064</f>
        <v>-132.9630441428537</v>
      </c>
      <c r="G226" s="62">
        <v>-2.7845952210870482</v>
      </c>
      <c r="J226" s="62">
        <v>1</v>
      </c>
      <c r="K226" s="62">
        <v>1</v>
      </c>
      <c r="L226" s="108">
        <v>1</v>
      </c>
      <c r="M226" s="60">
        <f>'Information Technology'!AA3065</f>
        <v>2.6138770294999998</v>
      </c>
      <c r="N226" s="63">
        <v>1.7214128567999998</v>
      </c>
      <c r="O226" s="63">
        <f t="shared" si="211"/>
        <v>-0.62590161460072935</v>
      </c>
      <c r="P226" s="63">
        <f t="shared" si="212"/>
        <v>-0.9913101988372337</v>
      </c>
      <c r="Q226" s="63">
        <f t="shared" si="207"/>
        <v>3.0086898011627667</v>
      </c>
      <c r="R226" s="62"/>
      <c r="S226" s="63">
        <v>2.2806346174504499</v>
      </c>
      <c r="T226" s="60" t="e">
        <f>'Information Technology'!AA3066</f>
        <v>#DIV/0!</v>
      </c>
      <c r="U226" s="63" t="e">
        <v>#DIV/0!</v>
      </c>
      <c r="V226" s="63" t="e">
        <f t="shared" si="213"/>
        <v>#DIV/0!</v>
      </c>
      <c r="X226" s="63"/>
      <c r="Z226" s="63">
        <v>1</v>
      </c>
      <c r="AA226" s="60">
        <f>'Information Technology'!AA3067</f>
        <v>2.6488911263322867E-2</v>
      </c>
      <c r="AB226" s="63">
        <v>1.0116676337807546</v>
      </c>
      <c r="AC226" s="60"/>
      <c r="AD226" s="60"/>
      <c r="AE226" s="60"/>
      <c r="AF226" s="60">
        <v>1.1200000000000001</v>
      </c>
      <c r="AG226" s="60">
        <v>1.1200000000000001</v>
      </c>
      <c r="AH226" s="60">
        <f>'Information Technology'!AA3068</f>
        <v>-0.23832412797907473</v>
      </c>
      <c r="AI226" s="63">
        <v>-3.6814484794654039</v>
      </c>
      <c r="AJ226" s="60"/>
      <c r="AL226" s="60" t="e">
        <f>AK226+(5-$AK$155)</f>
        <v>#DIV/0!</v>
      </c>
      <c r="AM226" s="60"/>
      <c r="AN226" s="60">
        <v>1</v>
      </c>
      <c r="AO226" s="60">
        <f>'Information Technology'!AA3069</f>
        <v>-3.4723000329561174E-2</v>
      </c>
      <c r="AP226" s="60">
        <v>-0.18619628220278503</v>
      </c>
      <c r="AQ226" s="60"/>
      <c r="AR226" s="60"/>
      <c r="AS226" s="60"/>
      <c r="AT226" s="60"/>
      <c r="AU226" s="60">
        <v>1</v>
      </c>
      <c r="AV226" s="60" t="e">
        <f>'Information Technology'!AA3070</f>
        <v>#DIV/0!</v>
      </c>
      <c r="AW226" s="60" t="b">
        <v>0</v>
      </c>
      <c r="AX226" s="60"/>
      <c r="AY226" s="60"/>
      <c r="AZ226" s="60"/>
      <c r="BA226" s="60"/>
      <c r="BB226" s="60">
        <v>1</v>
      </c>
      <c r="BC226" s="60">
        <f>'Information Technology'!AA3071</f>
        <v>-4.2082099952899759</v>
      </c>
      <c r="BD226" s="60">
        <v>-0.73539640333334644</v>
      </c>
      <c r="BE226" s="60">
        <v>5</v>
      </c>
      <c r="BF226" s="60">
        <f>'Information Technology'!AA3072</f>
        <v>0.41574744610249736</v>
      </c>
      <c r="BG226" s="63">
        <v>178.90006325457907</v>
      </c>
      <c r="BI226" s="63"/>
      <c r="BJ226" s="63"/>
      <c r="BK226" s="63">
        <v>1.01</v>
      </c>
      <c r="BL226" s="63">
        <v>1.01</v>
      </c>
      <c r="BM226" s="63">
        <f t="shared" si="214"/>
        <v>2.2073</v>
      </c>
    </row>
    <row r="227" spans="1:65">
      <c r="A227" s="56" t="s">
        <v>330</v>
      </c>
      <c r="B227" s="56" t="s">
        <v>331</v>
      </c>
      <c r="C227" s="57">
        <v>4787</v>
      </c>
      <c r="D227" s="58" t="s">
        <v>77</v>
      </c>
      <c r="E227" s="69" t="str" cm="1">
        <f t="array" ref="E227">_xll.ciqfunctions.udf.CIQ(B227,"iq_industry")</f>
        <v>Software</v>
      </c>
      <c r="F227" s="60">
        <f>'Information Technology'!AA1924</f>
        <v>-197.49531249930251</v>
      </c>
      <c r="G227" s="62">
        <v>15.922528267936119</v>
      </c>
      <c r="H227" s="62" t="e">
        <f>-(G227-$G$260)/$G$261</f>
        <v>#DIV/0!</v>
      </c>
      <c r="I227" s="62" t="e">
        <f>H227-$H$181</f>
        <v>#DIV/0!</v>
      </c>
      <c r="J227" s="62" t="e">
        <f>I227+(5-$I$242)</f>
        <v>#DIV/0!</v>
      </c>
      <c r="K227" s="62">
        <v>1</v>
      </c>
      <c r="L227" s="108">
        <v>3.5528470627770581</v>
      </c>
      <c r="M227" s="60">
        <f>'Information Technology'!AA1925</f>
        <v>0.93038745699999992</v>
      </c>
      <c r="N227" s="63">
        <v>4.5558746379000006</v>
      </c>
      <c r="O227" s="63">
        <f t="shared" si="211"/>
        <v>1.6354274704015832</v>
      </c>
      <c r="P227" s="63">
        <f t="shared" si="212"/>
        <v>1.270018886165079</v>
      </c>
      <c r="Q227" s="63">
        <f t="shared" si="207"/>
        <v>5.2700188861650794</v>
      </c>
      <c r="R227" s="62"/>
      <c r="S227" s="63">
        <v>4.5419637024527564</v>
      </c>
      <c r="T227" s="60" t="e">
        <f>'Information Technology'!AA1926</f>
        <v>#DIV/0!</v>
      </c>
      <c r="U227" s="63" t="e">
        <v>#DIV/0!</v>
      </c>
      <c r="V227" s="63" t="e">
        <f t="shared" si="213"/>
        <v>#DIV/0!</v>
      </c>
      <c r="W227" s="63"/>
      <c r="X227" s="63"/>
      <c r="Z227" s="63">
        <v>1</v>
      </c>
      <c r="AA227" s="60">
        <f>'Information Technology'!AA1927</f>
        <v>5.0455564866224378E-2</v>
      </c>
      <c r="AB227" s="63">
        <v>4.0351518809036646E-2</v>
      </c>
      <c r="AC227" s="60" t="e">
        <f t="shared" ref="AC227:AC236" si="215">-(AB227-$AB$260)/$AB$261</f>
        <v>#DIV/0!</v>
      </c>
      <c r="AD227" s="60" t="e">
        <f t="shared" ref="AD227:AD236" si="216">AC227-$AC$160</f>
        <v>#DIV/0!</v>
      </c>
      <c r="AE227" s="60" t="e">
        <f t="shared" ref="AE227:AE236" si="217">AD227+5-$AD$254</f>
        <v>#DIV/0!</v>
      </c>
      <c r="AF227" s="60">
        <v>4.01167891428977</v>
      </c>
      <c r="AG227" s="60">
        <v>4.01167891428977</v>
      </c>
      <c r="AH227" s="60">
        <f>'Information Technology'!AA1928</f>
        <v>-0.14531484684473076</v>
      </c>
      <c r="AI227" s="63">
        <v>-8.5776188767377193E-2</v>
      </c>
      <c r="AJ227" s="60"/>
      <c r="AL227" s="60"/>
      <c r="AM227" s="60"/>
      <c r="AN227" s="60">
        <v>1</v>
      </c>
      <c r="AO227" s="60">
        <f>'Information Technology'!AA1929</f>
        <v>-6.1189252493158526E-3</v>
      </c>
      <c r="AP227" s="60">
        <v>4.2758044381560369E-2</v>
      </c>
      <c r="AQ227" s="60" t="e">
        <f>(AP227-$AP$260)/$AP$261</f>
        <v>#DIV/0!</v>
      </c>
      <c r="AR227" s="60" t="e">
        <f>AQ227-$AQ$245</f>
        <v>#DIV/0!</v>
      </c>
      <c r="AS227" s="60" t="e">
        <f>(5-$AR$162)+AR227</f>
        <v>#DIV/0!</v>
      </c>
      <c r="AT227" s="60">
        <v>1.8835317804851408</v>
      </c>
      <c r="AU227" s="60">
        <v>1.8835317804851408</v>
      </c>
      <c r="AV227" s="60">
        <f>'Information Technology'!AA1930</f>
        <v>-3.3330310334972139E-3</v>
      </c>
      <c r="AW227" s="60" t="b">
        <v>0</v>
      </c>
      <c r="AX227" s="60"/>
      <c r="AY227" s="60"/>
      <c r="AZ227" s="60"/>
      <c r="BA227" s="60"/>
      <c r="BB227" s="60">
        <v>1</v>
      </c>
      <c r="BC227" s="60">
        <f>'Information Technology'!AA1931</f>
        <v>-29.526216608319292</v>
      </c>
      <c r="BD227" s="60">
        <v>0.77359354408301462</v>
      </c>
      <c r="BE227" s="60">
        <v>1.9</v>
      </c>
      <c r="BF227" s="60">
        <f>'Information Technology'!AA1932</f>
        <v>7.6520341397922562E-2</v>
      </c>
      <c r="BG227" s="63">
        <v>0.64316388719893847</v>
      </c>
      <c r="BH227" s="63" t="e">
        <f>-(BG227-$BG$260)/$BG$261</f>
        <v>#DIV/0!</v>
      </c>
      <c r="BI227" s="63" t="e">
        <f>BH227-$BH$181</f>
        <v>#DIV/0!</v>
      </c>
      <c r="BJ227" s="63" t="e">
        <f>BI227+5-$BI$259</f>
        <v>#DIV/0!</v>
      </c>
      <c r="BK227" s="63">
        <v>2.7715383759185768</v>
      </c>
      <c r="BL227" s="63">
        <v>2.7715383759185768</v>
      </c>
      <c r="BM227" s="63">
        <f t="shared" si="214"/>
        <v>2.1239777280483461</v>
      </c>
    </row>
    <row r="228" spans="1:65">
      <c r="A228" s="56" t="s">
        <v>510</v>
      </c>
      <c r="B228" s="56" t="s">
        <v>511</v>
      </c>
      <c r="C228" s="57">
        <v>1606.2</v>
      </c>
      <c r="D228" s="58" t="s">
        <v>67</v>
      </c>
      <c r="E228" s="69" t="str" cm="1">
        <f t="array" ref="E228">_xll.ciqfunctions.udf.CIQ(B228,"iq_industry")</f>
        <v>Software</v>
      </c>
      <c r="F228" s="60">
        <f>'Information Technology'!AA3274</f>
        <v>-165.06095729695619</v>
      </c>
      <c r="G228" s="62">
        <v>-24.373381447402064</v>
      </c>
      <c r="J228" s="62">
        <v>1</v>
      </c>
      <c r="K228" s="62">
        <v>1</v>
      </c>
      <c r="L228" s="108">
        <v>1</v>
      </c>
      <c r="M228" s="60">
        <f>'Information Technology'!AA3275</f>
        <v>3.4212093599999998</v>
      </c>
      <c r="N228" s="63">
        <v>1.532082198825</v>
      </c>
      <c r="O228" s="63">
        <f t="shared" si="211"/>
        <v>-0.77694931135088263</v>
      </c>
      <c r="P228" s="63">
        <f t="shared" si="212"/>
        <v>-1.142357895587387</v>
      </c>
      <c r="Q228" s="63">
        <f t="shared" si="207"/>
        <v>2.857642104412613</v>
      </c>
      <c r="R228" s="62"/>
      <c r="S228" s="63">
        <v>2.1295869207002971</v>
      </c>
      <c r="T228" s="60" t="e">
        <f>'Information Technology'!AA3276</f>
        <v>#DIV/0!</v>
      </c>
      <c r="U228" s="63" t="e">
        <v>#DIV/0!</v>
      </c>
      <c r="V228" s="63" t="e">
        <f t="shared" si="213"/>
        <v>#DIV/0!</v>
      </c>
      <c r="X228" s="63"/>
      <c r="Z228" s="63">
        <v>1</v>
      </c>
      <c r="AA228" s="60">
        <f>'Information Technology'!AA3277</f>
        <v>8.2712667805450835E-2</v>
      </c>
      <c r="AB228" s="63">
        <v>1.5596791739993288E-2</v>
      </c>
      <c r="AC228" s="60" t="e">
        <f t="shared" si="215"/>
        <v>#DIV/0!</v>
      </c>
      <c r="AD228" s="60" t="e">
        <f t="shared" si="216"/>
        <v>#DIV/0!</v>
      </c>
      <c r="AE228" s="60" t="e">
        <f t="shared" si="217"/>
        <v>#DIV/0!</v>
      </c>
      <c r="AF228" s="60">
        <v>4.3378421925088668</v>
      </c>
      <c r="AG228" s="60">
        <v>4.3378421925088668</v>
      </c>
      <c r="AH228" s="60">
        <f>'Information Technology'!AA3278</f>
        <v>-0.21105324436274897</v>
      </c>
      <c r="AI228" s="63">
        <v>-8.6660553696894488E-2</v>
      </c>
      <c r="AJ228" s="60"/>
      <c r="AL228" s="60"/>
      <c r="AM228" s="60"/>
      <c r="AN228" s="60">
        <v>1</v>
      </c>
      <c r="AO228" s="60">
        <f>'Information Technology'!AA3279</f>
        <v>-0.29321178000004139</v>
      </c>
      <c r="AP228" s="60">
        <v>-5.7875012179412447E-2</v>
      </c>
      <c r="AQ228" s="60"/>
      <c r="AR228" s="60"/>
      <c r="AS228" s="60"/>
      <c r="AT228" s="60"/>
      <c r="AU228" s="60">
        <v>1</v>
      </c>
      <c r="AV228" s="60" t="e">
        <f>'Information Technology'!AA3280</f>
        <v>#DIV/0!</v>
      </c>
      <c r="AW228" s="60">
        <v>-3.0797437233107787E-2</v>
      </c>
      <c r="AX228" s="60"/>
      <c r="AY228" s="60"/>
      <c r="AZ228" s="60"/>
      <c r="BA228" s="60">
        <v>1</v>
      </c>
      <c r="BB228" s="60">
        <v>1</v>
      </c>
      <c r="BC228" s="60">
        <f>'Information Technology'!AA3281</f>
        <v>-0.44848355977579757</v>
      </c>
      <c r="BD228" s="60">
        <v>4.0745738177801325</v>
      </c>
      <c r="BE228" s="60">
        <v>1</v>
      </c>
      <c r="BF228" s="60" t="e">
        <f>'Information Technology'!AA3282</f>
        <v>#DIV/0!</v>
      </c>
      <c r="BG228" s="63">
        <v>0.23249677442359051</v>
      </c>
      <c r="BH228" s="63" t="e">
        <f>-(BG228-$BG$260)/$BG$261</f>
        <v>#DIV/0!</v>
      </c>
      <c r="BI228" s="63" t="e">
        <f>BH228-$BH$181</f>
        <v>#DIV/0!</v>
      </c>
      <c r="BJ228" s="63" t="e">
        <f>BI228+5-$BI$259</f>
        <v>#DIV/0!</v>
      </c>
      <c r="BK228" s="63">
        <v>4.2224565545272119</v>
      </c>
      <c r="BL228" s="63">
        <v>4.2224565545272119</v>
      </c>
      <c r="BM228" s="63">
        <f t="shared" si="214"/>
        <v>1.9391278263321576</v>
      </c>
    </row>
    <row r="229" spans="1:65">
      <c r="A229" s="56" t="s">
        <v>516</v>
      </c>
      <c r="B229" s="56" t="s">
        <v>517</v>
      </c>
      <c r="C229" s="57">
        <v>1510.8</v>
      </c>
      <c r="D229" s="58" t="s">
        <v>77</v>
      </c>
      <c r="E229" s="69" t="str" cm="1">
        <f t="array" ref="E229">_xll.ciqfunctions.udf.CIQ(B229,"iq_industry")</f>
        <v>Software</v>
      </c>
      <c r="F229" s="60">
        <f>'Information Technology'!AA3319</f>
        <v>8.3411801644067207</v>
      </c>
      <c r="G229" s="62">
        <v>164.83307851848664</v>
      </c>
      <c r="K229" s="62">
        <v>1</v>
      </c>
      <c r="L229" s="109">
        <v>1.1000000000000001</v>
      </c>
      <c r="M229" s="60">
        <f>'Information Technology'!AA3320</f>
        <v>3.5444585085</v>
      </c>
      <c r="N229" s="63">
        <v>1.5718148333999999</v>
      </c>
      <c r="O229" s="63">
        <f t="shared" si="211"/>
        <v>-0.745250678902451</v>
      </c>
      <c r="P229" s="63">
        <f t="shared" si="212"/>
        <v>-1.1106592631389554</v>
      </c>
      <c r="Q229" s="63">
        <f t="shared" si="207"/>
        <v>2.8893407368610449</v>
      </c>
      <c r="R229" s="62"/>
      <c r="S229" s="63">
        <v>2.1612855531487281</v>
      </c>
      <c r="T229" s="60" t="e">
        <f>'Information Technology'!AA3321</f>
        <v>#DIV/0!</v>
      </c>
      <c r="U229" s="63" t="e">
        <v>#DIV/0!</v>
      </c>
      <c r="V229" s="63" t="e">
        <f t="shared" si="213"/>
        <v>#DIV/0!</v>
      </c>
      <c r="X229" s="63"/>
      <c r="Z229" s="63">
        <v>1</v>
      </c>
      <c r="AA229" s="60">
        <f>'Information Technology'!AA3322</f>
        <v>2.1988923614484346E-2</v>
      </c>
      <c r="AB229" s="63">
        <v>4.2759120462461553E-2</v>
      </c>
      <c r="AC229" s="60" t="e">
        <f t="shared" si="215"/>
        <v>#DIV/0!</v>
      </c>
      <c r="AD229" s="60" t="e">
        <f t="shared" si="216"/>
        <v>#DIV/0!</v>
      </c>
      <c r="AE229" s="60" t="e">
        <f t="shared" si="217"/>
        <v>#DIV/0!</v>
      </c>
      <c r="AF229" s="60">
        <v>3.9799568417443298</v>
      </c>
      <c r="AG229" s="60">
        <v>3.9799568417443298</v>
      </c>
      <c r="AH229" s="60">
        <f>'Information Technology'!AA3323</f>
        <v>-9.2214426084620174E-2</v>
      </c>
      <c r="AI229" s="63">
        <v>-0.30016643551410949</v>
      </c>
      <c r="AJ229" s="60"/>
      <c r="AL229" s="60"/>
      <c r="AM229" s="60"/>
      <c r="AN229" s="60">
        <v>1</v>
      </c>
      <c r="AO229" s="60">
        <f>'Information Technology'!AA3324</f>
        <v>3.644592302128901E-2</v>
      </c>
      <c r="AP229" s="60">
        <v>3.2614785749714742E-2</v>
      </c>
      <c r="AQ229" s="60" t="e">
        <f t="shared" ref="AQ229:AQ236" si="218">(AP229-$AP$260)/$AP$261</f>
        <v>#DIV/0!</v>
      </c>
      <c r="AR229" s="60" t="e">
        <f t="shared" ref="AR229:AR236" si="219">AQ229-$AQ$245</f>
        <v>#DIV/0!</v>
      </c>
      <c r="AS229" s="60" t="e">
        <f t="shared" ref="AS229:AS236" si="220">(5-$AR$162)+AR229</f>
        <v>#DIV/0!</v>
      </c>
      <c r="AT229" s="60">
        <v>1.7327339195687865</v>
      </c>
      <c r="AU229" s="60">
        <v>1.7327339195687865</v>
      </c>
      <c r="AV229" s="60" t="b">
        <f>'Information Technology'!AA3325</f>
        <v>0</v>
      </c>
      <c r="AW229" s="60">
        <v>-2.4617413604352566E-2</v>
      </c>
      <c r="AX229" s="60" t="e">
        <f>(AW229-$AW$260)/$AW$261</f>
        <v>#DIV/0!</v>
      </c>
      <c r="AY229" s="60" t="e">
        <f>AX229-$AX$253</f>
        <v>#DIV/0!</v>
      </c>
      <c r="AZ229" s="60" t="e">
        <f>AY229+5-$AY$205</f>
        <v>#DIV/0!</v>
      </c>
      <c r="BA229" s="60">
        <v>1.0900000000000001</v>
      </c>
      <c r="BB229" s="60">
        <v>1.0900000000000001</v>
      </c>
      <c r="BC229" s="60">
        <f>'Information Technology'!AA3326</f>
        <v>0.79892053934566443</v>
      </c>
      <c r="BD229" s="60">
        <v>3.9618012022856375</v>
      </c>
      <c r="BE229" s="60">
        <v>1</v>
      </c>
      <c r="BF229" s="60">
        <f>'Information Technology'!AA3327</f>
        <v>0.49544884716464788</v>
      </c>
      <c r="BG229" s="63">
        <v>0.2868251011112104</v>
      </c>
      <c r="BH229" s="63" t="e">
        <f>-(BG229-$BG$260)/$BG$261</f>
        <v>#DIV/0!</v>
      </c>
      <c r="BI229" s="63" t="e">
        <f>BH229-$BH$181</f>
        <v>#DIV/0!</v>
      </c>
      <c r="BJ229" s="63" t="e">
        <f>BI229+5-$BI$259</f>
        <v>#DIV/0!</v>
      </c>
      <c r="BK229" s="63">
        <v>4.0305104396514944</v>
      </c>
      <c r="BL229" s="63">
        <v>4.0305104396514944</v>
      </c>
      <c r="BM229" s="63">
        <f t="shared" si="214"/>
        <v>1.9278352403653982</v>
      </c>
    </row>
    <row r="230" spans="1:65">
      <c r="A230" s="56" t="s">
        <v>464</v>
      </c>
      <c r="B230" s="56" t="s">
        <v>465</v>
      </c>
      <c r="C230" s="57">
        <v>2224.8000000000002</v>
      </c>
      <c r="D230" s="58" t="s">
        <v>77</v>
      </c>
      <c r="E230" s="69" t="str" cm="1">
        <f t="array" ref="E230">_xll.ciqfunctions.udf.CIQ(B230,"iq_industry")</f>
        <v>Software</v>
      </c>
      <c r="F230" s="60">
        <f>'Information Technology'!AA2929</f>
        <v>27.864547171224082</v>
      </c>
      <c r="G230" s="62">
        <v>14.861317930328171</v>
      </c>
      <c r="H230" s="62" t="e">
        <f>-(G230-$G$260)/$G$261</f>
        <v>#DIV/0!</v>
      </c>
      <c r="I230" s="62" t="e">
        <f>H230-$H$181</f>
        <v>#DIV/0!</v>
      </c>
      <c r="J230" s="62" t="e">
        <f>I230+(5-$I$242)</f>
        <v>#DIV/0!</v>
      </c>
      <c r="K230" s="62">
        <v>1</v>
      </c>
      <c r="L230" s="108">
        <v>3.6710473344529198</v>
      </c>
      <c r="M230" s="60">
        <f>'Information Technology'!AA2930</f>
        <v>4.6230060000000002</v>
      </c>
      <c r="N230" s="63">
        <v>1.9946365069999998</v>
      </c>
      <c r="O230" s="63">
        <f t="shared" si="211"/>
        <v>-0.40792422255137084</v>
      </c>
      <c r="P230" s="63">
        <f t="shared" si="212"/>
        <v>-0.77333280678787519</v>
      </c>
      <c r="Q230" s="63">
        <f t="shared" si="207"/>
        <v>3.2266671932121245</v>
      </c>
      <c r="R230" s="62"/>
      <c r="S230" s="63">
        <v>2.4986120094998077</v>
      </c>
      <c r="T230" s="60" t="e">
        <f>'Information Technology'!AA2931</f>
        <v>#DIV/0!</v>
      </c>
      <c r="U230" s="63" t="e">
        <v>#DIV/0!</v>
      </c>
      <c r="V230" s="63" t="e">
        <f t="shared" si="213"/>
        <v>#DIV/0!</v>
      </c>
      <c r="X230" s="63"/>
      <c r="Z230" s="63">
        <v>1</v>
      </c>
      <c r="AA230" s="60">
        <f>'Information Technology'!AA2932</f>
        <v>-3.5708877553660479E-2</v>
      </c>
      <c r="AB230" s="63">
        <v>4.08652021144984E-2</v>
      </c>
      <c r="AC230" s="60" t="e">
        <f t="shared" si="215"/>
        <v>#DIV/0!</v>
      </c>
      <c r="AD230" s="60" t="e">
        <f t="shared" si="216"/>
        <v>#DIV/0!</v>
      </c>
      <c r="AE230" s="60" t="e">
        <f t="shared" si="217"/>
        <v>#DIV/0!</v>
      </c>
      <c r="AF230" s="60">
        <v>4.0049107269286841</v>
      </c>
      <c r="AG230" s="60">
        <v>4.0049107269286841</v>
      </c>
      <c r="AH230" s="60">
        <f>'Information Technology'!AA2933</f>
        <v>3.2103400128500478E-2</v>
      </c>
      <c r="AI230" s="63">
        <v>-0.21628530451148645</v>
      </c>
      <c r="AJ230" s="60"/>
      <c r="AL230" s="60"/>
      <c r="AM230" s="60"/>
      <c r="AN230" s="60">
        <v>1</v>
      </c>
      <c r="AO230" s="60">
        <f>'Information Technology'!AA2934</f>
        <v>7.8729385395499313E-2</v>
      </c>
      <c r="AP230" s="60">
        <v>0.11430956422786819</v>
      </c>
      <c r="AQ230" s="60" t="e">
        <f t="shared" si="218"/>
        <v>#DIV/0!</v>
      </c>
      <c r="AR230" s="60" t="e">
        <f t="shared" si="219"/>
        <v>#DIV/0!</v>
      </c>
      <c r="AS230" s="60" t="e">
        <f t="shared" si="220"/>
        <v>#DIV/0!</v>
      </c>
      <c r="AT230" s="60">
        <v>2.9472743635897203</v>
      </c>
      <c r="AU230" s="60">
        <v>2.9472743635897203</v>
      </c>
      <c r="AV230" s="60">
        <f>'Information Technology'!AA2935</f>
        <v>2.3680659918354995E-3</v>
      </c>
      <c r="AW230" s="60" t="e">
        <v>#DIV/0!</v>
      </c>
      <c r="AX230" s="60"/>
      <c r="AY230" s="60"/>
      <c r="AZ230" s="60"/>
      <c r="BA230" s="60"/>
      <c r="BB230" s="60">
        <v>1</v>
      </c>
      <c r="BC230" s="60">
        <f>'Information Technology'!AA2936</f>
        <v>-0.58122689235391378</v>
      </c>
      <c r="BD230" s="60">
        <v>0.44567258533683746</v>
      </c>
      <c r="BE230" s="60">
        <v>2.4</v>
      </c>
      <c r="BF230" s="60">
        <f>'Information Technology'!AA2937</f>
        <v>0.13132411645311143</v>
      </c>
      <c r="BG230" s="63" t="e">
        <v>#DIV/0!</v>
      </c>
      <c r="BI230" s="63"/>
      <c r="BJ230" s="63"/>
      <c r="BL230" s="63">
        <v>1</v>
      </c>
      <c r="BM230" s="63">
        <f t="shared" si="214"/>
        <v>1.8851921370660281</v>
      </c>
    </row>
    <row r="231" spans="1:65">
      <c r="A231" s="56" t="s">
        <v>440</v>
      </c>
      <c r="B231" s="56" t="s">
        <v>441</v>
      </c>
      <c r="C231" s="57">
        <v>2603.3000000000002</v>
      </c>
      <c r="D231" s="58" t="s">
        <v>77</v>
      </c>
      <c r="E231" s="69" t="str" cm="1">
        <f t="array" ref="E231">_xll.ciqfunctions.udf.CIQ(B231,"iq_industry")</f>
        <v>Software</v>
      </c>
      <c r="F231" s="60">
        <f>'Information Technology'!AA2749</f>
        <v>1.8229166808672139</v>
      </c>
      <c r="G231" s="62">
        <v>6.3024802772798632</v>
      </c>
      <c r="H231" s="62" t="e">
        <f>-(G231-$G$260)/$G$261</f>
        <v>#DIV/0!</v>
      </c>
      <c r="I231" s="62" t="e">
        <f>H231-$H$181</f>
        <v>#DIV/0!</v>
      </c>
      <c r="J231" s="62" t="e">
        <f>I231+(5-$I$242)</f>
        <v>#DIV/0!</v>
      </c>
      <c r="K231" s="62">
        <v>1</v>
      </c>
      <c r="L231" s="108">
        <v>4.6243521600544675</v>
      </c>
      <c r="M231" s="60">
        <f>'Information Technology'!AA2750</f>
        <v>1.0441176506999998</v>
      </c>
      <c r="N231" s="63">
        <v>2.6054706061000004</v>
      </c>
      <c r="O231" s="63">
        <f t="shared" si="211"/>
        <v>7.9398246785280832E-2</v>
      </c>
      <c r="P231" s="63">
        <f t="shared" si="212"/>
        <v>-0.28601033745122351</v>
      </c>
      <c r="Q231" s="63">
        <f t="shared" ref="Q231:Q259" si="221">P231+5-$P$71</f>
        <v>3.7139896625487765</v>
      </c>
      <c r="R231" s="62"/>
      <c r="S231" s="63">
        <v>2.9859344788364579</v>
      </c>
      <c r="T231" s="60" t="e">
        <f>'Information Technology'!AA2751</f>
        <v>#DIV/0!</v>
      </c>
      <c r="U231" s="63" t="e">
        <v>#DIV/0!</v>
      </c>
      <c r="V231" s="63" t="e">
        <f t="shared" si="213"/>
        <v>#DIV/0!</v>
      </c>
      <c r="X231" s="63"/>
      <c r="Z231" s="63">
        <v>1</v>
      </c>
      <c r="AA231" s="60">
        <f>'Information Technology'!AA2752</f>
        <v>-7.3882859796868816E-3</v>
      </c>
      <c r="AB231" s="63">
        <v>2.8346655523546982E-2</v>
      </c>
      <c r="AC231" s="60" t="e">
        <f t="shared" si="215"/>
        <v>#DIV/0!</v>
      </c>
      <c r="AD231" s="60" t="e">
        <f t="shared" si="216"/>
        <v>#DIV/0!</v>
      </c>
      <c r="AE231" s="60" t="e">
        <f t="shared" si="217"/>
        <v>#DIV/0!</v>
      </c>
      <c r="AF231" s="60">
        <v>4.1698525654411869</v>
      </c>
      <c r="AG231" s="60">
        <v>4.1698525654411869</v>
      </c>
      <c r="AH231" s="60">
        <f>'Information Technology'!AA2753</f>
        <v>-2.5411139437513882E-2</v>
      </c>
      <c r="AI231" s="63">
        <v>-0.22414614795492693</v>
      </c>
      <c r="AJ231" s="60"/>
      <c r="AL231" s="60"/>
      <c r="AM231" s="60"/>
      <c r="AN231" s="60">
        <v>1</v>
      </c>
      <c r="AO231" s="60">
        <f>'Information Technology'!AA2754</f>
        <v>6.4675414307478404E-2</v>
      </c>
      <c r="AP231" s="60">
        <v>4.3176336368441842E-2</v>
      </c>
      <c r="AQ231" s="60" t="e">
        <f t="shared" si="218"/>
        <v>#DIV/0!</v>
      </c>
      <c r="AR231" s="60" t="e">
        <f t="shared" si="219"/>
        <v>#DIV/0!</v>
      </c>
      <c r="AS231" s="60" t="e">
        <f t="shared" si="220"/>
        <v>#DIV/0!</v>
      </c>
      <c r="AT231" s="60">
        <v>1.8897504464138732</v>
      </c>
      <c r="AU231" s="60">
        <v>1.8897504464138732</v>
      </c>
      <c r="AV231" s="60">
        <f>'Information Technology'!AA2755</f>
        <v>-6.368004576709313E-2</v>
      </c>
      <c r="AW231" s="60" t="e">
        <v>#DIV/0!</v>
      </c>
      <c r="AX231" s="60"/>
      <c r="AY231" s="60"/>
      <c r="AZ231" s="60"/>
      <c r="BA231" s="60"/>
      <c r="BB231" s="60">
        <v>1</v>
      </c>
      <c r="BC231" s="60">
        <f>'Information Technology'!AA2756</f>
        <v>0.83289780082540965</v>
      </c>
      <c r="BD231" s="60">
        <v>1.0370653985782814</v>
      </c>
      <c r="BE231" s="60">
        <v>1</v>
      </c>
      <c r="BF231" s="60">
        <f>'Information Technology'!AA2757</f>
        <v>0.17464982504239249</v>
      </c>
      <c r="BG231" s="63">
        <v>1.3380186366957569</v>
      </c>
      <c r="BI231" s="63"/>
      <c r="BJ231" s="63"/>
      <c r="BK231" s="63">
        <v>1.45</v>
      </c>
      <c r="BL231" s="63">
        <v>1.45</v>
      </c>
      <c r="BM231" s="63">
        <f t="shared" si="214"/>
        <v>1.6373193364796492</v>
      </c>
    </row>
    <row r="232" spans="1:65">
      <c r="A232" s="56" t="s">
        <v>382</v>
      </c>
      <c r="B232" s="56" t="s">
        <v>383</v>
      </c>
      <c r="C232" s="57">
        <v>3645.8</v>
      </c>
      <c r="D232" s="58" t="s">
        <v>77</v>
      </c>
      <c r="E232" s="69" t="str" cm="1">
        <f t="array" ref="E232">_xll.ciqfunctions.udf.CIQ(B232,"iq_industry")</f>
        <v>Software</v>
      </c>
      <c r="F232" s="60">
        <f>'Information Technology'!AA2314</f>
        <v>6.0289619544086337</v>
      </c>
      <c r="G232" s="62">
        <v>32.67984076272085</v>
      </c>
      <c r="H232" s="62" t="e">
        <f>-(G232-$G$260)/$G$261</f>
        <v>#DIV/0!</v>
      </c>
      <c r="I232" s="62" t="e">
        <f>H232-$H$181</f>
        <v>#DIV/0!</v>
      </c>
      <c r="J232" s="62" t="e">
        <f>I232+(5-$I$242)</f>
        <v>#DIV/0!</v>
      </c>
      <c r="K232" s="62">
        <v>1</v>
      </c>
      <c r="L232" s="108">
        <v>1.6863755262242164</v>
      </c>
      <c r="M232" s="60">
        <f>'Information Technology'!AA2315</f>
        <v>5.2008434900000005</v>
      </c>
      <c r="N232" s="63">
        <v>3.7955956428000004</v>
      </c>
      <c r="O232" s="63">
        <f t="shared" si="211"/>
        <v>1.0288781015585304</v>
      </c>
      <c r="P232" s="63">
        <f t="shared" si="212"/>
        <v>0.66346951732202608</v>
      </c>
      <c r="Q232" s="63">
        <f t="shared" si="221"/>
        <v>4.6634695173220262</v>
      </c>
      <c r="R232" s="62"/>
      <c r="S232" s="63">
        <v>3.9354143336097049</v>
      </c>
      <c r="T232" s="60" t="e">
        <f>'Information Technology'!AA2316</f>
        <v>#DIV/0!</v>
      </c>
      <c r="U232" s="63" t="e">
        <v>#DIV/0!</v>
      </c>
      <c r="V232" s="63" t="e">
        <f t="shared" si="213"/>
        <v>#DIV/0!</v>
      </c>
      <c r="W232" s="63"/>
      <c r="X232" s="63"/>
      <c r="Z232" s="63">
        <v>1</v>
      </c>
      <c r="AA232" s="60">
        <f>'Information Technology'!AA2317</f>
        <v>-1.7301350242122537E-2</v>
      </c>
      <c r="AB232" s="63">
        <v>0.32388162420546784</v>
      </c>
      <c r="AC232" s="60" t="e">
        <f t="shared" si="215"/>
        <v>#DIV/0!</v>
      </c>
      <c r="AD232" s="60" t="e">
        <f t="shared" si="216"/>
        <v>#DIV/0!</v>
      </c>
      <c r="AE232" s="60" t="e">
        <f t="shared" si="217"/>
        <v>#DIV/0!</v>
      </c>
      <c r="AF232" s="60">
        <v>1.4</v>
      </c>
      <c r="AG232" s="60">
        <v>1.4</v>
      </c>
      <c r="AH232" s="60">
        <f>'Information Technology'!AA2318</f>
        <v>0.12938849954360801</v>
      </c>
      <c r="AI232" s="63">
        <v>-0.21337248834556236</v>
      </c>
      <c r="AJ232" s="60"/>
      <c r="AL232" s="60"/>
      <c r="AM232" s="60"/>
      <c r="AN232" s="60">
        <v>1</v>
      </c>
      <c r="AO232" s="60">
        <f>'Information Technology'!AA2319</f>
        <v>7.9670955489971954E-2</v>
      </c>
      <c r="AP232" s="60">
        <v>0.13777734102704389</v>
      </c>
      <c r="AQ232" s="60" t="e">
        <f t="shared" si="218"/>
        <v>#DIV/0!</v>
      </c>
      <c r="AR232" s="60" t="e">
        <f t="shared" si="219"/>
        <v>#DIV/0!</v>
      </c>
      <c r="AS232" s="60" t="e">
        <f t="shared" si="220"/>
        <v>#DIV/0!</v>
      </c>
      <c r="AT232" s="60">
        <v>3.2961652545966298</v>
      </c>
      <c r="AU232" s="60">
        <v>3.2961652545966298</v>
      </c>
      <c r="AV232" s="60" t="e">
        <f>'Information Technology'!AA2320</f>
        <v>#DIV/0!</v>
      </c>
      <c r="AW232" s="60" t="b">
        <v>0</v>
      </c>
      <c r="AX232" s="60"/>
      <c r="AY232" s="60"/>
      <c r="AZ232" s="60"/>
      <c r="BA232" s="60"/>
      <c r="BB232" s="60">
        <v>1</v>
      </c>
      <c r="BC232" s="60">
        <f>'Information Technology'!AA2321</f>
        <v>0.43503626215979591</v>
      </c>
      <c r="BD232" s="60">
        <v>0.6322192183695009</v>
      </c>
      <c r="BE232" s="60">
        <v>2.2000000000000002</v>
      </c>
      <c r="BF232" s="60" t="e">
        <f>'Information Technology'!AA2322</f>
        <v>#DIV/0!</v>
      </c>
      <c r="BG232" s="63">
        <v>1.8877020713415718</v>
      </c>
      <c r="BI232" s="63"/>
      <c r="BJ232" s="63"/>
      <c r="BK232" s="63">
        <v>1.18</v>
      </c>
      <c r="BL232" s="63">
        <v>1.18</v>
      </c>
      <c r="BM232" s="63">
        <f t="shared" si="214"/>
        <v>1.5814841628062868</v>
      </c>
    </row>
    <row r="233" spans="1:65">
      <c r="A233" s="56" t="s">
        <v>552</v>
      </c>
      <c r="B233" s="56" t="s">
        <v>553</v>
      </c>
      <c r="C233" s="57">
        <v>1186.4000000000001</v>
      </c>
      <c r="D233" s="58" t="s">
        <v>67</v>
      </c>
      <c r="E233" s="69" t="str" cm="1">
        <f t="array" ref="E233">_xll.ciqfunctions.udf.CIQ(B233,"iq_industry")</f>
        <v>Software</v>
      </c>
      <c r="F233" s="60" t="e">
        <f>'Information Technology'!AA3589</f>
        <v>#DIV/0!</v>
      </c>
      <c r="G233" s="62">
        <v>53.235290452230679</v>
      </c>
      <c r="K233" s="62">
        <v>1</v>
      </c>
      <c r="L233" s="108">
        <v>1.2733333333333301</v>
      </c>
      <c r="M233" s="60">
        <f>'Information Technology'!AA3590</f>
        <v>4.2180410943000002</v>
      </c>
      <c r="N233" s="63">
        <v>1.1357813600000002</v>
      </c>
      <c r="O233" s="63">
        <f t="shared" si="211"/>
        <v>-1.0931174880472008</v>
      </c>
      <c r="P233" s="63">
        <f t="shared" si="212"/>
        <v>-1.4585260722837052</v>
      </c>
      <c r="Q233" s="63">
        <f t="shared" si="221"/>
        <v>2.5414739277162948</v>
      </c>
      <c r="R233" s="62"/>
      <c r="S233" s="63">
        <v>1.8134187440039797</v>
      </c>
      <c r="T233" s="60" t="e">
        <f>'Information Technology'!AA3591</f>
        <v>#DIV/0!</v>
      </c>
      <c r="U233" s="63" t="e">
        <v>#DIV/0!</v>
      </c>
      <c r="V233" s="63" t="e">
        <f t="shared" si="213"/>
        <v>#DIV/0!</v>
      </c>
      <c r="X233" s="63"/>
      <c r="Z233" s="63">
        <v>1</v>
      </c>
      <c r="AA233" s="60" t="e">
        <f>'Information Technology'!AA3592</f>
        <v>#DIV/0!</v>
      </c>
      <c r="AB233" s="63">
        <v>4.9310985508514982E-2</v>
      </c>
      <c r="AC233" s="60" t="e">
        <f t="shared" si="215"/>
        <v>#DIV/0!</v>
      </c>
      <c r="AD233" s="60" t="e">
        <f t="shared" si="216"/>
        <v>#DIV/0!</v>
      </c>
      <c r="AE233" s="60" t="e">
        <f t="shared" si="217"/>
        <v>#DIV/0!</v>
      </c>
      <c r="AF233" s="60">
        <v>3.8936307927473175</v>
      </c>
      <c r="AG233" s="60">
        <v>3.8936307927473175</v>
      </c>
      <c r="AH233" s="60" t="e">
        <f>'Information Technology'!AA3593</f>
        <v>#DIV/0!</v>
      </c>
      <c r="AI233" s="63">
        <v>-0.37442244945175213</v>
      </c>
      <c r="AJ233" s="60"/>
      <c r="AL233" s="60"/>
      <c r="AM233" s="60"/>
      <c r="AN233" s="60">
        <v>1</v>
      </c>
      <c r="AO233" s="60" t="e">
        <f>'Information Technology'!AA3594</f>
        <v>#DIV/0!</v>
      </c>
      <c r="AP233" s="60">
        <v>4.781024761306292E-2</v>
      </c>
      <c r="AQ233" s="60" t="e">
        <f t="shared" si="218"/>
        <v>#DIV/0!</v>
      </c>
      <c r="AR233" s="60" t="e">
        <f t="shared" si="219"/>
        <v>#DIV/0!</v>
      </c>
      <c r="AS233" s="60" t="e">
        <f t="shared" si="220"/>
        <v>#DIV/0!</v>
      </c>
      <c r="AT233" s="60">
        <v>1.9586419071098677</v>
      </c>
      <c r="AU233" s="60">
        <v>1.9586419071098677</v>
      </c>
      <c r="AV233" s="60" t="e">
        <f>'Information Technology'!AA3595</f>
        <v>#DIV/0!</v>
      </c>
      <c r="AW233" s="60" t="e">
        <v>#DIV/0!</v>
      </c>
      <c r="AX233" s="60"/>
      <c r="AY233" s="60"/>
      <c r="AZ233" s="60"/>
      <c r="BA233" s="60"/>
      <c r="BB233" s="60">
        <v>1</v>
      </c>
      <c r="BC233" s="60" t="e">
        <f>'Information Technology'!AA3596</f>
        <v>#DIV/0!</v>
      </c>
      <c r="BD233" s="60">
        <v>2.0310809271966872</v>
      </c>
      <c r="BE233" s="60">
        <v>1</v>
      </c>
      <c r="BF233" s="60" t="e">
        <f>'Information Technology'!AA3597</f>
        <v>#DIV/0!</v>
      </c>
      <c r="BG233" s="63">
        <v>0.80380045121209975</v>
      </c>
      <c r="BH233" s="63" t="e">
        <f>-(BG233-$BG$260)/$BG$261</f>
        <v>#DIV/0!</v>
      </c>
      <c r="BI233" s="63" t="e">
        <f>BH233-$BH$181</f>
        <v>#DIV/0!</v>
      </c>
      <c r="BJ233" s="63" t="e">
        <f>BI233+5-$BI$259</f>
        <v>#DIV/0!</v>
      </c>
      <c r="BK233" s="63">
        <v>2.2039971640090057</v>
      </c>
      <c r="BL233" s="63">
        <v>2.2039971640090057</v>
      </c>
      <c r="BM233" s="63">
        <f t="shared" si="214"/>
        <v>1.4824235323298718</v>
      </c>
    </row>
    <row r="234" spans="1:65">
      <c r="A234" s="56" t="s">
        <v>398</v>
      </c>
      <c r="B234" s="56" t="s">
        <v>399</v>
      </c>
      <c r="C234" s="57">
        <v>3348.7</v>
      </c>
      <c r="D234" s="58" t="s">
        <v>67</v>
      </c>
      <c r="E234" s="69" t="str" cm="1">
        <f t="array" ref="E234">_xll.ciqfunctions.udf.CIQ(B234,"iq_industry")</f>
        <v>Software</v>
      </c>
      <c r="F234" s="60">
        <f>'Information Technology'!AA2434</f>
        <v>8.3475699938665588</v>
      </c>
      <c r="G234" s="62">
        <v>58.981225058013962</v>
      </c>
      <c r="K234" s="62">
        <v>1</v>
      </c>
      <c r="L234" s="108">
        <v>1.2333333333333301</v>
      </c>
      <c r="M234" s="60">
        <f>'Information Technology'!AA2435</f>
        <v>4.1154350465</v>
      </c>
      <c r="N234" s="63">
        <v>3.5783807555999996</v>
      </c>
      <c r="O234" s="63">
        <f t="shared" si="211"/>
        <v>0.8555844112374581</v>
      </c>
      <c r="P234" s="63">
        <f t="shared" si="212"/>
        <v>0.49017582700095375</v>
      </c>
      <c r="Q234" s="63">
        <f t="shared" si="221"/>
        <v>4.4901758270009537</v>
      </c>
      <c r="R234" s="62"/>
      <c r="S234" s="63">
        <v>3.7621206432886334</v>
      </c>
      <c r="T234" s="60" t="e">
        <f>'Information Technology'!AA2436</f>
        <v>#DIV/0!</v>
      </c>
      <c r="U234" s="63" t="e">
        <v>#DIV/0!</v>
      </c>
      <c r="V234" s="63" t="e">
        <f t="shared" si="213"/>
        <v>#DIV/0!</v>
      </c>
      <c r="W234" s="63"/>
      <c r="X234" s="63"/>
      <c r="Z234" s="63">
        <v>1</v>
      </c>
      <c r="AA234" s="60">
        <f>'Information Technology'!AA2437</f>
        <v>4.7418748426986124E-3</v>
      </c>
      <c r="AB234" s="63">
        <v>4.3217635661604081E-2</v>
      </c>
      <c r="AC234" s="60" t="e">
        <f t="shared" si="215"/>
        <v>#DIV/0!</v>
      </c>
      <c r="AD234" s="60" t="e">
        <f t="shared" si="216"/>
        <v>#DIV/0!</v>
      </c>
      <c r="AE234" s="60" t="e">
        <f t="shared" si="217"/>
        <v>#DIV/0!</v>
      </c>
      <c r="AF234" s="60">
        <v>3.9739155381965867</v>
      </c>
      <c r="AG234" s="60">
        <v>3.9739155381965867</v>
      </c>
      <c r="AH234" s="60">
        <f>'Information Technology'!AA2438</f>
        <v>-8.8956213980707341E-2</v>
      </c>
      <c r="AI234" s="63">
        <v>-0.25774583046460581</v>
      </c>
      <c r="AJ234" s="60"/>
      <c r="AL234" s="60"/>
      <c r="AM234" s="60"/>
      <c r="AN234" s="60">
        <v>1</v>
      </c>
      <c r="AO234" s="60">
        <f>'Information Technology'!AA2439</f>
        <v>1.0205183852512716E-2</v>
      </c>
      <c r="AP234" s="60">
        <v>4.8743771857436391E-2</v>
      </c>
      <c r="AQ234" s="60" t="e">
        <f t="shared" si="218"/>
        <v>#DIV/0!</v>
      </c>
      <c r="AR234" s="60" t="e">
        <f t="shared" si="219"/>
        <v>#DIV/0!</v>
      </c>
      <c r="AS234" s="60" t="e">
        <f t="shared" si="220"/>
        <v>#DIV/0!</v>
      </c>
      <c r="AT234" s="60">
        <v>1.9725204311892108</v>
      </c>
      <c r="AU234" s="60">
        <v>1.9725204311892108</v>
      </c>
      <c r="AV234" s="60" t="e">
        <f>'Information Technology'!AA2440</f>
        <v>#DIV/0!</v>
      </c>
      <c r="AW234" s="60" t="b">
        <v>0</v>
      </c>
      <c r="AX234" s="60"/>
      <c r="AY234" s="60"/>
      <c r="AZ234" s="60"/>
      <c r="BA234" s="60"/>
      <c r="BB234" s="60">
        <v>1</v>
      </c>
      <c r="BC234" s="60">
        <f>'Information Technology'!AA2441</f>
        <v>1.6920731720033202</v>
      </c>
      <c r="BD234" s="60">
        <v>1.0386290737309505</v>
      </c>
      <c r="BE234" s="60">
        <v>1</v>
      </c>
      <c r="BF234" s="60" t="e">
        <f>'Information Technology'!AA2442</f>
        <v>#DIV/0!</v>
      </c>
      <c r="BG234" s="63">
        <v>1.0100314832628619</v>
      </c>
      <c r="BH234" s="63" t="e">
        <f>-(BG234-$BG$260)/$BG$261</f>
        <v>#DIV/0!</v>
      </c>
      <c r="BI234" s="63" t="e">
        <f>BH234-$BH$181</f>
        <v>#DIV/0!</v>
      </c>
      <c r="BJ234" s="63" t="e">
        <f>BI234+5-$BI$259</f>
        <v>#DIV/0!</v>
      </c>
      <c r="BK234" s="63">
        <v>1.8</v>
      </c>
      <c r="BL234" s="63">
        <v>1.8</v>
      </c>
      <c r="BM234" s="63">
        <f t="shared" si="214"/>
        <v>1.3811907721087648</v>
      </c>
    </row>
    <row r="235" spans="1:65">
      <c r="A235" s="56" t="s">
        <v>472</v>
      </c>
      <c r="B235" s="56" t="s">
        <v>473</v>
      </c>
      <c r="C235" s="57">
        <v>2108.8000000000002</v>
      </c>
      <c r="D235" s="58" t="s">
        <v>77</v>
      </c>
      <c r="E235" s="69" t="str" cm="1">
        <f t="array" ref="E235">_xll.ciqfunctions.udf.CIQ(B235,"iq_industry")</f>
        <v>Software</v>
      </c>
      <c r="F235" s="60">
        <f>'Information Technology'!AA2989</f>
        <v>21.58034055597637</v>
      </c>
      <c r="G235" s="62">
        <v>41.274000602265076</v>
      </c>
      <c r="K235" s="62">
        <v>1</v>
      </c>
      <c r="L235" s="108">
        <v>1.34</v>
      </c>
      <c r="M235" s="60">
        <f>'Information Technology'!AA2990</f>
        <v>3.1659751727500001</v>
      </c>
      <c r="N235" s="63">
        <v>1.9698013318999998</v>
      </c>
      <c r="O235" s="63">
        <f t="shared" si="211"/>
        <v>-0.42773768560782466</v>
      </c>
      <c r="P235" s="63">
        <f t="shared" si="212"/>
        <v>-0.79314626984432901</v>
      </c>
      <c r="Q235" s="63">
        <f t="shared" si="221"/>
        <v>3.2068537301556708</v>
      </c>
      <c r="R235" s="62"/>
      <c r="S235" s="63">
        <v>2.478798546443354</v>
      </c>
      <c r="T235" s="60" t="e">
        <f>'Information Technology'!AA2991</f>
        <v>#DIV/0!</v>
      </c>
      <c r="U235" s="63" t="e">
        <v>#DIV/0!</v>
      </c>
      <c r="V235" s="63" t="e">
        <f t="shared" si="213"/>
        <v>#DIV/0!</v>
      </c>
      <c r="X235" s="63"/>
      <c r="Z235" s="63">
        <v>1</v>
      </c>
      <c r="AA235" s="60">
        <f>'Information Technology'!AA2992</f>
        <v>-8.4007520336976116E-3</v>
      </c>
      <c r="AB235" s="63">
        <v>0.32107352331433359</v>
      </c>
      <c r="AC235" s="60" t="e">
        <f t="shared" si="215"/>
        <v>#DIV/0!</v>
      </c>
      <c r="AD235" s="60" t="e">
        <f t="shared" si="216"/>
        <v>#DIV/0!</v>
      </c>
      <c r="AE235" s="60" t="e">
        <f t="shared" si="217"/>
        <v>#DIV/0!</v>
      </c>
      <c r="AF235" s="60">
        <v>1.45</v>
      </c>
      <c r="AG235" s="60">
        <v>1.45</v>
      </c>
      <c r="AH235" s="60">
        <f>'Information Technology'!AA2993</f>
        <v>-1.2319130930725015E-2</v>
      </c>
      <c r="AI235" s="63">
        <v>-0.33965329525841986</v>
      </c>
      <c r="AJ235" s="60"/>
      <c r="AL235" s="60"/>
      <c r="AM235" s="60"/>
      <c r="AN235" s="60">
        <v>1</v>
      </c>
      <c r="AO235" s="60">
        <f>'Information Technology'!AA2994</f>
        <v>0.24073101328837929</v>
      </c>
      <c r="AP235" s="60">
        <v>6.2657718092656398E-2</v>
      </c>
      <c r="AQ235" s="60" t="e">
        <f t="shared" si="218"/>
        <v>#DIV/0!</v>
      </c>
      <c r="AR235" s="60" t="e">
        <f t="shared" si="219"/>
        <v>#DIV/0!</v>
      </c>
      <c r="AS235" s="60" t="e">
        <f t="shared" si="220"/>
        <v>#DIV/0!</v>
      </c>
      <c r="AT235" s="60">
        <v>2.1793763741688053</v>
      </c>
      <c r="AU235" s="60">
        <v>2.1793763741688053</v>
      </c>
      <c r="AV235" s="60">
        <f>'Information Technology'!AA2995</f>
        <v>0</v>
      </c>
      <c r="AW235" s="60" t="e">
        <v>#DIV/0!</v>
      </c>
      <c r="AX235" s="60"/>
      <c r="AY235" s="60"/>
      <c r="AZ235" s="60"/>
      <c r="BA235" s="60"/>
      <c r="BB235" s="60">
        <v>1</v>
      </c>
      <c r="BC235" s="60">
        <f>'Information Technology'!AA2996</f>
        <v>0</v>
      </c>
      <c r="BD235" s="60">
        <v>0.96774962005866616</v>
      </c>
      <c r="BE235" s="60">
        <v>1.1000000000000001</v>
      </c>
      <c r="BF235" s="60">
        <f>'Information Technology'!AA2997</f>
        <v>0.23274493227250234</v>
      </c>
      <c r="BG235" s="63">
        <v>1.9570870876170483</v>
      </c>
      <c r="BI235" s="63"/>
      <c r="BJ235" s="63"/>
      <c r="BK235" s="63">
        <v>1.1499999999999999</v>
      </c>
      <c r="BL235" s="63">
        <v>1.1499999999999999</v>
      </c>
      <c r="BM235" s="63">
        <f t="shared" si="214"/>
        <v>1.1666750549667522</v>
      </c>
    </row>
    <row r="236" spans="1:65">
      <c r="A236" s="56" t="s">
        <v>376</v>
      </c>
      <c r="B236" s="56" t="s">
        <v>377</v>
      </c>
      <c r="C236" s="57">
        <v>3763.1</v>
      </c>
      <c r="D236" s="58" t="s">
        <v>77</v>
      </c>
      <c r="E236" s="69" t="str" cm="1">
        <f t="array" ref="E236">_xll.ciqfunctions.udf.CIQ(B236,"iq_industry")</f>
        <v>Software</v>
      </c>
      <c r="F236" s="60">
        <f>'Information Technology'!AA2269</f>
        <v>45.477860119961875</v>
      </c>
      <c r="G236" s="62">
        <v>44.675740426371448</v>
      </c>
      <c r="K236" s="62">
        <v>1</v>
      </c>
      <c r="L236" s="108">
        <v>1.33</v>
      </c>
      <c r="M236" s="60">
        <f>'Information Technology'!AA2270</f>
        <v>2.8647590789999997</v>
      </c>
      <c r="N236" s="63">
        <v>4.0541525071499995</v>
      </c>
      <c r="O236" s="63">
        <f t="shared" si="211"/>
        <v>1.2351543552657673</v>
      </c>
      <c r="P236" s="63">
        <f t="shared" si="212"/>
        <v>0.86974577102926298</v>
      </c>
      <c r="Q236" s="63">
        <f t="shared" si="221"/>
        <v>4.8697457710292626</v>
      </c>
      <c r="R236" s="62"/>
      <c r="S236" s="63">
        <v>4.1416905873169414</v>
      </c>
      <c r="T236" s="60" t="e">
        <f>'Information Technology'!AA2271</f>
        <v>#DIV/0!</v>
      </c>
      <c r="U236" s="63" t="e">
        <v>#DIV/0!</v>
      </c>
      <c r="V236" s="63" t="e">
        <f t="shared" si="213"/>
        <v>#DIV/0!</v>
      </c>
      <c r="W236" s="63"/>
      <c r="X236" s="63"/>
      <c r="Z236" s="63">
        <v>1</v>
      </c>
      <c r="AA236" s="60">
        <f>'Information Technology'!AA2272</f>
        <v>-2.6824590388531577E-2</v>
      </c>
      <c r="AB236" s="63">
        <v>0.26336354162850073</v>
      </c>
      <c r="AC236" s="60" t="e">
        <f t="shared" si="215"/>
        <v>#DIV/0!</v>
      </c>
      <c r="AD236" s="60" t="e">
        <f t="shared" si="216"/>
        <v>#DIV/0!</v>
      </c>
      <c r="AE236" s="60" t="e">
        <f t="shared" si="217"/>
        <v>#DIV/0!</v>
      </c>
      <c r="AF236" s="60">
        <v>1.0733175967848778</v>
      </c>
      <c r="AG236" s="60">
        <v>1.0733175967848778</v>
      </c>
      <c r="AH236" s="60">
        <f>'Information Technology'!AA2273</f>
        <v>3.070116622145147E-2</v>
      </c>
      <c r="AI236" s="63">
        <v>-0.82714582023525707</v>
      </c>
      <c r="AJ236" s="60"/>
      <c r="AL236" s="60"/>
      <c r="AM236" s="60"/>
      <c r="AN236" s="60">
        <v>1</v>
      </c>
      <c r="AO236" s="60">
        <f>'Information Technology'!AA2274</f>
        <v>3.9932559957628023E-3</v>
      </c>
      <c r="AP236" s="60">
        <v>3.6490207779355036E-2</v>
      </c>
      <c r="AQ236" s="60" t="e">
        <f t="shared" si="218"/>
        <v>#DIV/0!</v>
      </c>
      <c r="AR236" s="60" t="e">
        <f t="shared" si="219"/>
        <v>#DIV/0!</v>
      </c>
      <c r="AS236" s="60" t="e">
        <f t="shared" si="220"/>
        <v>#DIV/0!</v>
      </c>
      <c r="AT236" s="60">
        <v>1.7903490680559879</v>
      </c>
      <c r="AU236" s="60">
        <v>1.7903490680559879</v>
      </c>
      <c r="AV236" s="60">
        <f>'Information Technology'!AA2275</f>
        <v>-1.7481382510643038E-2</v>
      </c>
      <c r="AW236" s="60" t="e">
        <v>#DIV/0!</v>
      </c>
      <c r="AX236" s="60"/>
      <c r="AY236" s="60"/>
      <c r="AZ236" s="60"/>
      <c r="BA236" s="60"/>
      <c r="BB236" s="60">
        <v>1</v>
      </c>
      <c r="BC236" s="60">
        <f>'Information Technology'!AA2276</f>
        <v>0.2850447013616742</v>
      </c>
      <c r="BD236" s="60">
        <v>3.8520800221336042</v>
      </c>
      <c r="BE236" s="60">
        <v>1</v>
      </c>
      <c r="BF236" s="60">
        <f>'Information Technology'!AA2277</f>
        <v>5.4701327723571544E-2</v>
      </c>
      <c r="BG236" s="63" t="e">
        <v>#DIV/0!</v>
      </c>
      <c r="BI236" s="63"/>
      <c r="BJ236" s="63"/>
      <c r="BL236" s="63">
        <v>1</v>
      </c>
      <c r="BM236" s="63">
        <f t="shared" si="214"/>
        <v>1.0675466665936346</v>
      </c>
    </row>
    <row r="237" spans="1:65">
      <c r="A237" s="56" t="s">
        <v>340</v>
      </c>
      <c r="B237" s="56" t="s">
        <v>341</v>
      </c>
      <c r="C237" s="57">
        <v>4671.6000000000004</v>
      </c>
      <c r="D237" s="58" t="s">
        <v>67</v>
      </c>
      <c r="E237" s="69" t="str" cm="1">
        <f t="array" ref="E237">_xll.ciqfunctions.udf.CIQ(B237,"iq_industry")</f>
        <v>Software</v>
      </c>
      <c r="F237" s="60">
        <f>'Information Technology'!AA1999</f>
        <v>162.82393510628063</v>
      </c>
      <c r="G237" s="62" t="e">
        <v>#DIV/0!</v>
      </c>
      <c r="K237" s="62">
        <v>1</v>
      </c>
      <c r="L237" s="108">
        <v>1</v>
      </c>
      <c r="M237" s="60">
        <f>'Information Technology'!AA2000</f>
        <v>2.5019595144000002</v>
      </c>
      <c r="N237" s="63">
        <v>5.1165173586180011</v>
      </c>
      <c r="O237" s="63">
        <f t="shared" si="211"/>
        <v>2.0827073381733179</v>
      </c>
      <c r="P237" s="63">
        <f t="shared" si="212"/>
        <v>1.7172987539368134</v>
      </c>
      <c r="Q237" s="63">
        <f t="shared" si="221"/>
        <v>5.717298753936813</v>
      </c>
      <c r="R237" s="62"/>
      <c r="S237" s="63">
        <v>4.9892435702244891</v>
      </c>
      <c r="T237" s="60" t="e">
        <f>'Information Technology'!AA2001</f>
        <v>#DIV/0!</v>
      </c>
      <c r="U237" s="63" t="e">
        <v>#DIV/0!</v>
      </c>
      <c r="V237" s="63" t="e">
        <f t="shared" si="213"/>
        <v>#DIV/0!</v>
      </c>
      <c r="X237" s="63"/>
      <c r="Z237" s="63">
        <v>1</v>
      </c>
      <c r="AA237" s="60">
        <f>'Information Technology'!AA2002</f>
        <v>4.0374024759660232E-2</v>
      </c>
      <c r="AB237" s="63" t="e">
        <v>#DIV/0!</v>
      </c>
      <c r="AC237" s="60"/>
      <c r="AD237" s="60"/>
      <c r="AE237" s="60"/>
      <c r="AF237" s="60"/>
      <c r="AG237" s="60">
        <v>1</v>
      </c>
      <c r="AH237" s="60">
        <f>'Information Technology'!AA2003</f>
        <v>7.3378614895505428E-2</v>
      </c>
      <c r="AI237" s="63" t="e">
        <v>#DIV/0!</v>
      </c>
      <c r="AJ237" s="60"/>
      <c r="AL237" s="60"/>
      <c r="AM237" s="60"/>
      <c r="AN237" s="60">
        <v>1</v>
      </c>
      <c r="AO237" s="60">
        <f>'Information Technology'!AA2004</f>
        <v>4.3629748921239588E-2</v>
      </c>
      <c r="AP237" s="60" t="e">
        <v>#DIV/0!</v>
      </c>
      <c r="AQ237" s="60"/>
      <c r="AR237" s="60"/>
      <c r="AS237" s="60"/>
      <c r="AT237" s="60"/>
      <c r="AU237" s="60">
        <v>1</v>
      </c>
      <c r="AV237" s="60">
        <f>'Information Technology'!AA2005</f>
        <v>-5.870341773174019E-3</v>
      </c>
      <c r="AW237" s="60" t="e">
        <v>#DIV/0!</v>
      </c>
      <c r="AX237" s="60"/>
      <c r="AY237" s="60"/>
      <c r="AZ237" s="60"/>
      <c r="BA237" s="60"/>
      <c r="BB237" s="60">
        <v>1</v>
      </c>
      <c r="BC237" s="60">
        <f>'Information Technology'!AA2006</f>
        <v>-0.85650774231291138</v>
      </c>
      <c r="BD237" s="60" t="e">
        <v>#DIV/0!</v>
      </c>
      <c r="BE237" s="60">
        <v>1</v>
      </c>
      <c r="BF237" s="60">
        <f>'Information Technology'!AA2007</f>
        <v>0.56865627298767774</v>
      </c>
      <c r="BG237" s="63" t="e">
        <v>#DIV/0!</v>
      </c>
      <c r="BI237" s="63"/>
      <c r="BJ237" s="63"/>
      <c r="BL237" s="63">
        <v>1</v>
      </c>
      <c r="BM237" s="63">
        <f t="shared" si="214"/>
        <v>1</v>
      </c>
    </row>
    <row r="238" spans="1:65">
      <c r="A238" s="56" t="s">
        <v>348</v>
      </c>
      <c r="B238" s="56" t="s">
        <v>349</v>
      </c>
      <c r="C238" s="57">
        <v>4459.3999999999996</v>
      </c>
      <c r="D238" s="58" t="s">
        <v>77</v>
      </c>
      <c r="E238" s="69" t="str" cm="1">
        <f t="array" ref="E238">_xll.ciqfunctions.udf.CIQ(B238,"iq_industry")</f>
        <v>Software</v>
      </c>
      <c r="F238" s="60">
        <f>'Information Technology'!AA2059</f>
        <v>24.728133687894818</v>
      </c>
      <c r="G238" s="62" t="e">
        <v>#DIV/0!</v>
      </c>
      <c r="K238" s="62">
        <v>1</v>
      </c>
      <c r="L238" s="108">
        <v>1</v>
      </c>
      <c r="M238" s="60">
        <f>'Information Technology'!AA2060</f>
        <v>1.592054112</v>
      </c>
      <c r="N238" s="63">
        <v>4.2674691574000008</v>
      </c>
      <c r="O238" s="63">
        <f t="shared" si="211"/>
        <v>1.4053380383699337</v>
      </c>
      <c r="P238" s="63">
        <f t="shared" si="212"/>
        <v>1.0399294541334294</v>
      </c>
      <c r="Q238" s="63">
        <f t="shared" si="221"/>
        <v>5.0399294541334294</v>
      </c>
      <c r="R238" s="62"/>
      <c r="S238" s="63">
        <v>4.3118742704211082</v>
      </c>
      <c r="T238" s="60" t="e">
        <f>'Information Technology'!AA2061</f>
        <v>#DIV/0!</v>
      </c>
      <c r="U238" s="63" t="e">
        <v>#DIV/0!</v>
      </c>
      <c r="V238" s="63" t="e">
        <f t="shared" si="213"/>
        <v>#DIV/0!</v>
      </c>
      <c r="X238" s="63"/>
      <c r="Z238" s="63">
        <v>1</v>
      </c>
      <c r="AA238" s="60">
        <f>'Information Technology'!AA2062</f>
        <v>-9.4253507402841663E-4</v>
      </c>
      <c r="AB238" s="63" t="e">
        <v>#DIV/0!</v>
      </c>
      <c r="AC238" s="60"/>
      <c r="AD238" s="60"/>
      <c r="AE238" s="60"/>
      <c r="AF238" s="60"/>
      <c r="AG238" s="60">
        <v>1</v>
      </c>
      <c r="AH238" s="60">
        <f>'Information Technology'!AA2063</f>
        <v>2.5669945558815955E-2</v>
      </c>
      <c r="AI238" s="63" t="e">
        <v>#DIV/0!</v>
      </c>
      <c r="AJ238" s="60"/>
      <c r="AL238" s="60"/>
      <c r="AM238" s="60"/>
      <c r="AN238" s="60">
        <v>1</v>
      </c>
      <c r="AO238" s="60">
        <f>'Information Technology'!AA2064</f>
        <v>2.3548622950140534E-2</v>
      </c>
      <c r="AP238" s="60" t="e">
        <v>#DIV/0!</v>
      </c>
      <c r="AQ238" s="60"/>
      <c r="AR238" s="60"/>
      <c r="AS238" s="60"/>
      <c r="AT238" s="60"/>
      <c r="AU238" s="60">
        <v>1</v>
      </c>
      <c r="AV238" s="60">
        <f>'Information Technology'!AA2065</f>
        <v>4.5679881567968277E-5</v>
      </c>
      <c r="AW238" s="60" t="e">
        <v>#DIV/0!</v>
      </c>
      <c r="AX238" s="60"/>
      <c r="AY238" s="60"/>
      <c r="AZ238" s="60"/>
      <c r="BA238" s="60"/>
      <c r="BB238" s="60">
        <v>1</v>
      </c>
      <c r="BC238" s="60">
        <f>'Information Technology'!AA2066</f>
        <v>0</v>
      </c>
      <c r="BD238" s="60" t="e">
        <v>#DIV/0!</v>
      </c>
      <c r="BE238" s="60">
        <v>1</v>
      </c>
      <c r="BF238" s="60">
        <f>'Information Technology'!AA2067</f>
        <v>4.3195620328720354E-2</v>
      </c>
      <c r="BG238" s="63" t="e">
        <v>#DIV/0!</v>
      </c>
      <c r="BI238" s="63"/>
      <c r="BJ238" s="63"/>
      <c r="BL238" s="63">
        <v>1</v>
      </c>
      <c r="BM238" s="63">
        <f t="shared" si="214"/>
        <v>1</v>
      </c>
    </row>
    <row r="239" spans="1:65">
      <c r="A239" s="56" t="s">
        <v>350</v>
      </c>
      <c r="B239" s="56" t="s">
        <v>351</v>
      </c>
      <c r="C239" s="57">
        <v>4443.1000000000004</v>
      </c>
      <c r="D239" s="58" t="s">
        <v>77</v>
      </c>
      <c r="E239" s="69" t="str" cm="1">
        <f t="array" ref="E239">_xll.ciqfunctions.udf.CIQ(B239,"iq_industry")</f>
        <v>Software</v>
      </c>
      <c r="F239" s="60">
        <f>'Information Technology'!AA2074</f>
        <v>27.752200926104749</v>
      </c>
      <c r="G239" s="62" t="e">
        <v>#DIV/0!</v>
      </c>
      <c r="K239" s="62">
        <v>1</v>
      </c>
      <c r="L239" s="108">
        <v>1</v>
      </c>
      <c r="M239" s="60">
        <f>'Information Technology'!AA2075</f>
        <v>4.4914169139999993</v>
      </c>
      <c r="N239" s="63">
        <v>4.5953321175999999</v>
      </c>
      <c r="O239" s="63">
        <f t="shared" si="211"/>
        <v>1.6669065847299021</v>
      </c>
      <c r="P239" s="63">
        <f t="shared" si="212"/>
        <v>1.3014980004933978</v>
      </c>
      <c r="Q239" s="63">
        <f t="shared" si="221"/>
        <v>5.3014980004933978</v>
      </c>
      <c r="R239" s="62"/>
      <c r="S239" s="63">
        <v>4.5734428167810757</v>
      </c>
      <c r="T239" s="60" t="e">
        <f>'Information Technology'!AA2076</f>
        <v>#DIV/0!</v>
      </c>
      <c r="U239" s="63" t="e">
        <v>#DIV/0!</v>
      </c>
      <c r="V239" s="63" t="e">
        <f t="shared" si="213"/>
        <v>#DIV/0!</v>
      </c>
      <c r="X239" s="63"/>
      <c r="Z239" s="63">
        <v>1</v>
      </c>
      <c r="AA239" s="60">
        <f>'Information Technology'!AA2077</f>
        <v>-2.3924876785034521E-2</v>
      </c>
      <c r="AB239" s="63" t="e">
        <v>#DIV/0!</v>
      </c>
      <c r="AC239" s="60"/>
      <c r="AD239" s="60"/>
      <c r="AE239" s="60"/>
      <c r="AF239" s="60"/>
      <c r="AG239" s="60">
        <v>1</v>
      </c>
      <c r="AH239" s="60">
        <f>'Information Technology'!AA2078</f>
        <v>0.1419061617281315</v>
      </c>
      <c r="AI239" s="63" t="e">
        <v>#DIV/0!</v>
      </c>
      <c r="AJ239" s="60"/>
      <c r="AL239" s="60"/>
      <c r="AM239" s="60"/>
      <c r="AN239" s="60">
        <v>1</v>
      </c>
      <c r="AO239" s="60">
        <f>'Information Technology'!AA2079</f>
        <v>5.5153851113988531E-2</v>
      </c>
      <c r="AP239" s="60" t="e">
        <v>#DIV/0!</v>
      </c>
      <c r="AQ239" s="60"/>
      <c r="AR239" s="60"/>
      <c r="AS239" s="60"/>
      <c r="AT239" s="60"/>
      <c r="AU239" s="60">
        <v>1</v>
      </c>
      <c r="AV239" s="60">
        <f>'Information Technology'!AA2080</f>
        <v>7.6991515959008217E-4</v>
      </c>
      <c r="AW239" s="60" t="e">
        <v>#DIV/0!</v>
      </c>
      <c r="AX239" s="60"/>
      <c r="AY239" s="60"/>
      <c r="AZ239" s="60"/>
      <c r="BA239" s="60"/>
      <c r="BB239" s="60">
        <v>1</v>
      </c>
      <c r="BC239" s="60">
        <f>'Information Technology'!AA2081</f>
        <v>-4.9335586761102786E-2</v>
      </c>
      <c r="BD239" s="60" t="e">
        <v>#DIV/0!</v>
      </c>
      <c r="BE239" s="60">
        <v>1</v>
      </c>
      <c r="BF239" s="60">
        <f>'Information Technology'!AA2082</f>
        <v>0.42493720521946327</v>
      </c>
      <c r="BG239" s="63" t="e">
        <v>#DIV/0!</v>
      </c>
      <c r="BI239" s="63"/>
      <c r="BJ239" s="63"/>
      <c r="BL239" s="63">
        <v>1</v>
      </c>
      <c r="BM239" s="63">
        <f t="shared" si="214"/>
        <v>1</v>
      </c>
    </row>
    <row r="240" spans="1:65" ht="22.5">
      <c r="A240" s="56" t="s">
        <v>362</v>
      </c>
      <c r="B240" s="56" t="s">
        <v>363</v>
      </c>
      <c r="C240" s="57">
        <v>3957.2</v>
      </c>
      <c r="D240" s="58" t="s">
        <v>77</v>
      </c>
      <c r="E240" s="69" t="str" cm="1">
        <f t="array" ref="E240">_xll.ciqfunctions.udf.CIQ(B240,"iq_industry")</f>
        <v>Software</v>
      </c>
      <c r="F240" s="60">
        <f>'Information Technology'!AA2164</f>
        <v>49.424297922359742</v>
      </c>
      <c r="G240" s="62" t="e">
        <v>#DIV/0!</v>
      </c>
      <c r="K240" s="62">
        <v>1</v>
      </c>
      <c r="L240" s="108">
        <v>1</v>
      </c>
      <c r="M240" s="60">
        <f>'Information Technology'!AA2165</f>
        <v>4.4213994341999996</v>
      </c>
      <c r="N240" s="63">
        <v>3.9511789316000003</v>
      </c>
      <c r="O240" s="63">
        <f t="shared" si="211"/>
        <v>1.1530022010435541</v>
      </c>
      <c r="P240" s="63">
        <f t="shared" si="212"/>
        <v>0.78759361680704976</v>
      </c>
      <c r="Q240" s="63">
        <f t="shared" si="221"/>
        <v>4.7875936168070501</v>
      </c>
      <c r="R240" s="62"/>
      <c r="S240" s="63">
        <v>4.0595384330947288</v>
      </c>
      <c r="T240" s="60">
        <f>'Information Technology'!AA2166</f>
        <v>71.235953945706939</v>
      </c>
      <c r="U240" s="63" t="e">
        <v>#DIV/0!</v>
      </c>
      <c r="V240" s="63" t="e">
        <f t="shared" si="213"/>
        <v>#DIV/0!</v>
      </c>
      <c r="X240" s="63"/>
      <c r="Z240" s="63">
        <v>1</v>
      </c>
      <c r="AA240" s="60">
        <f>'Information Technology'!AA2167</f>
        <v>1.6059709650917409E-3</v>
      </c>
      <c r="AB240" s="63" t="e">
        <v>#DIV/0!</v>
      </c>
      <c r="AC240" s="60"/>
      <c r="AD240" s="60"/>
      <c r="AE240" s="60"/>
      <c r="AF240" s="60"/>
      <c r="AG240" s="60">
        <v>1</v>
      </c>
      <c r="AH240" s="60">
        <f>'Information Technology'!AA2168</f>
        <v>0.1109807347467112</v>
      </c>
      <c r="AI240" s="63" t="e">
        <v>#DIV/0!</v>
      </c>
      <c r="AJ240" s="60"/>
      <c r="AL240" s="60"/>
      <c r="AM240" s="60"/>
      <c r="AN240" s="60">
        <v>1</v>
      </c>
      <c r="AO240" s="60">
        <f>'Information Technology'!AA2169</f>
        <v>0.20084012049956032</v>
      </c>
      <c r="AP240" s="60" t="e">
        <v>#DIV/0!</v>
      </c>
      <c r="AQ240" s="60"/>
      <c r="AR240" s="60"/>
      <c r="AS240" s="60"/>
      <c r="AT240" s="60"/>
      <c r="AU240" s="60">
        <v>1</v>
      </c>
      <c r="AV240" s="60">
        <f>'Information Technology'!AA2170</f>
        <v>-1.2190019324900036E-3</v>
      </c>
      <c r="AW240" s="60" t="e">
        <v>#DIV/0!</v>
      </c>
      <c r="AX240" s="60"/>
      <c r="AY240" s="60"/>
      <c r="AZ240" s="60"/>
      <c r="BA240" s="60"/>
      <c r="BB240" s="60">
        <v>1</v>
      </c>
      <c r="BC240" s="60">
        <f>'Information Technology'!AA2171</f>
        <v>-9.4752227564786129E-2</v>
      </c>
      <c r="BD240" s="60" t="e">
        <v>#DIV/0!</v>
      </c>
      <c r="BE240" s="60">
        <v>1</v>
      </c>
      <c r="BF240" s="60">
        <f>'Information Technology'!AA2172</f>
        <v>0.69421441673548534</v>
      </c>
      <c r="BG240" s="63" t="e">
        <v>#DIV/0!</v>
      </c>
      <c r="BI240" s="63"/>
      <c r="BJ240" s="63"/>
      <c r="BL240" s="63">
        <v>1</v>
      </c>
      <c r="BM240" s="63">
        <f t="shared" si="214"/>
        <v>1</v>
      </c>
    </row>
    <row r="241" spans="1:65">
      <c r="A241" s="56" t="s">
        <v>368</v>
      </c>
      <c r="B241" s="56" t="s">
        <v>369</v>
      </c>
      <c r="C241" s="57">
        <v>3875.9</v>
      </c>
      <c r="D241" s="58" t="s">
        <v>77</v>
      </c>
      <c r="E241" s="69" t="str" cm="1">
        <f t="array" ref="E241">_xll.ciqfunctions.udf.CIQ(B241,"iq_industry")</f>
        <v>Software</v>
      </c>
      <c r="F241" s="60">
        <f>'Information Technology'!AA2209</f>
        <v>7.9218683924405484</v>
      </c>
      <c r="G241" s="62" t="e">
        <v>#DIV/0!</v>
      </c>
      <c r="K241" s="62">
        <v>1</v>
      </c>
      <c r="L241" s="108">
        <v>1</v>
      </c>
      <c r="M241" s="60">
        <f>'Information Technology'!AA2210</f>
        <v>3.5983293031999999</v>
      </c>
      <c r="N241" s="63">
        <v>3.7670257993500003</v>
      </c>
      <c r="O241" s="63">
        <f t="shared" si="211"/>
        <v>1.0060851260531856</v>
      </c>
      <c r="P241" s="63">
        <f t="shared" si="212"/>
        <v>0.64067654181668121</v>
      </c>
      <c r="Q241" s="63">
        <f t="shared" si="221"/>
        <v>4.6406765418166813</v>
      </c>
      <c r="R241" s="62"/>
      <c r="S241" s="63">
        <v>3.912621358104361</v>
      </c>
      <c r="T241" s="60" t="e">
        <f>'Information Technology'!AA2211</f>
        <v>#DIV/0!</v>
      </c>
      <c r="U241" s="63" t="e">
        <v>#DIV/0!</v>
      </c>
      <c r="V241" s="63" t="e">
        <f t="shared" si="213"/>
        <v>#DIV/0!</v>
      </c>
      <c r="W241" s="63"/>
      <c r="X241" s="63"/>
      <c r="Z241" s="63">
        <v>1</v>
      </c>
      <c r="AA241" s="60">
        <f>'Information Technology'!AA2212</f>
        <v>-4.8809456094806025E-3</v>
      </c>
      <c r="AB241" s="63" t="e">
        <v>#DIV/0!</v>
      </c>
      <c r="AC241" s="60"/>
      <c r="AD241" s="60"/>
      <c r="AE241" s="60"/>
      <c r="AF241" s="60"/>
      <c r="AG241" s="60">
        <v>1</v>
      </c>
      <c r="AH241" s="60">
        <f>'Information Technology'!AA2213</f>
        <v>0.10058710785741332</v>
      </c>
      <c r="AI241" s="63" t="e">
        <v>#DIV/0!</v>
      </c>
      <c r="AJ241" s="60"/>
      <c r="AL241" s="60"/>
      <c r="AM241" s="60"/>
      <c r="AN241" s="60">
        <v>1</v>
      </c>
      <c r="AO241" s="60">
        <f>'Information Technology'!AA2214</f>
        <v>2.4054268880791832E-2</v>
      </c>
      <c r="AP241" s="60" t="e">
        <v>#DIV/0!</v>
      </c>
      <c r="AQ241" s="60"/>
      <c r="AR241" s="60"/>
      <c r="AS241" s="60"/>
      <c r="AT241" s="60"/>
      <c r="AU241" s="60">
        <v>1</v>
      </c>
      <c r="AV241" s="60">
        <f>'Information Technology'!AA2215</f>
        <v>4.9364951917230194E-3</v>
      </c>
      <c r="AW241" s="60" t="e">
        <v>#DIV/0!</v>
      </c>
      <c r="AX241" s="60"/>
      <c r="AY241" s="60"/>
      <c r="AZ241" s="60"/>
      <c r="BA241" s="60"/>
      <c r="BB241" s="60">
        <v>1</v>
      </c>
      <c r="BC241" s="60">
        <f>'Information Technology'!AA2216</f>
        <v>0.57270575812798641</v>
      </c>
      <c r="BD241" s="60" t="e">
        <v>#DIV/0!</v>
      </c>
      <c r="BE241" s="60">
        <v>1</v>
      </c>
      <c r="BF241" s="60">
        <f>'Information Technology'!AA2217</f>
        <v>0.76760726261450474</v>
      </c>
      <c r="BG241" s="63" t="e">
        <v>#DIV/0!</v>
      </c>
      <c r="BI241" s="63"/>
      <c r="BJ241" s="63"/>
      <c r="BL241" s="63">
        <v>1</v>
      </c>
      <c r="BM241" s="63">
        <f t="shared" si="214"/>
        <v>1</v>
      </c>
    </row>
    <row r="242" spans="1:65">
      <c r="A242" s="56" t="s">
        <v>370</v>
      </c>
      <c r="B242" s="56" t="s">
        <v>371</v>
      </c>
      <c r="C242" s="57">
        <v>3861.2</v>
      </c>
      <c r="D242" s="58" t="s">
        <v>77</v>
      </c>
      <c r="E242" s="69" t="str" cm="1">
        <f t="array" ref="E242">_xll.ciqfunctions.udf.CIQ(B242,"iq_industry")</f>
        <v>Software</v>
      </c>
      <c r="F242" s="60">
        <f>'Information Technology'!AA2224</f>
        <v>-35.339362707828101</v>
      </c>
      <c r="G242" s="62" t="e">
        <v>#DIV/0!</v>
      </c>
      <c r="K242" s="62">
        <v>1</v>
      </c>
      <c r="L242" s="108">
        <v>1</v>
      </c>
      <c r="M242" s="60">
        <f>'Information Technology'!AA2225</f>
        <v>0.87578778555000003</v>
      </c>
      <c r="N242" s="63">
        <v>2.8439115011999996</v>
      </c>
      <c r="O242" s="63">
        <f t="shared" si="211"/>
        <v>0.26962601233107802</v>
      </c>
      <c r="P242" s="63">
        <f t="shared" si="212"/>
        <v>-9.5782571905426328E-2</v>
      </c>
      <c r="Q242" s="63">
        <f t="shared" si="221"/>
        <v>3.9042174280945741</v>
      </c>
      <c r="R242" s="62"/>
      <c r="S242" s="63">
        <v>3.1761622443822546</v>
      </c>
      <c r="T242" s="60" t="e">
        <f>'Information Technology'!AA2226</f>
        <v>#DIV/0!</v>
      </c>
      <c r="U242" s="63" t="e">
        <v>#DIV/0!</v>
      </c>
      <c r="V242" s="63" t="e">
        <f t="shared" si="213"/>
        <v>#DIV/0!</v>
      </c>
      <c r="W242" s="63"/>
      <c r="X242" s="63"/>
      <c r="Z242" s="63">
        <v>1</v>
      </c>
      <c r="AA242" s="60">
        <f>'Information Technology'!AA2227</f>
        <v>4.9685334134168313E-2</v>
      </c>
      <c r="AB242" s="63" t="e">
        <v>#DIV/0!</v>
      </c>
      <c r="AC242" s="60"/>
      <c r="AD242" s="60"/>
      <c r="AE242" s="60"/>
      <c r="AF242" s="60"/>
      <c r="AG242" s="60">
        <v>1</v>
      </c>
      <c r="AH242" s="60">
        <f>'Information Technology'!AA2228</f>
        <v>-0.17307608826729076</v>
      </c>
      <c r="AI242" s="63" t="e">
        <v>#DIV/0!</v>
      </c>
      <c r="AJ242" s="60"/>
      <c r="AL242" s="60"/>
      <c r="AM242" s="60"/>
      <c r="AN242" s="60">
        <v>1</v>
      </c>
      <c r="AO242" s="60">
        <f>'Information Technology'!AA2229</f>
        <v>-0.32895740131509199</v>
      </c>
      <c r="AP242" s="60" t="e">
        <v>#DIV/0!</v>
      </c>
      <c r="AQ242" s="60"/>
      <c r="AR242" s="60"/>
      <c r="AS242" s="60"/>
      <c r="AT242" s="60"/>
      <c r="AU242" s="60">
        <v>1</v>
      </c>
      <c r="AV242" s="60" t="e">
        <f>'Information Technology'!AA2230</f>
        <v>#DIV/0!</v>
      </c>
      <c r="AW242" s="60" t="e">
        <v>#DIV/0!</v>
      </c>
      <c r="AX242" s="60"/>
      <c r="AY242" s="60"/>
      <c r="AZ242" s="60"/>
      <c r="BA242" s="60"/>
      <c r="BB242" s="60">
        <v>1</v>
      </c>
      <c r="BC242" s="60">
        <f>'Information Technology'!AA2231</f>
        <v>0</v>
      </c>
      <c r="BD242" s="60" t="e">
        <v>#DIV/0!</v>
      </c>
      <c r="BE242" s="60">
        <v>1</v>
      </c>
      <c r="BF242" s="60">
        <f>'Information Technology'!AA2232</f>
        <v>0.22481238775213319</v>
      </c>
      <c r="BG242" s="63" t="e">
        <v>#DIV/0!</v>
      </c>
      <c r="BI242" s="63"/>
      <c r="BJ242" s="63"/>
      <c r="BL242" s="63">
        <v>1</v>
      </c>
      <c r="BM242" s="63">
        <f t="shared" si="214"/>
        <v>1</v>
      </c>
    </row>
    <row r="243" spans="1:65">
      <c r="A243" s="56" t="s">
        <v>390</v>
      </c>
      <c r="B243" s="56" t="s">
        <v>391</v>
      </c>
      <c r="C243" s="57">
        <v>3514.4</v>
      </c>
      <c r="D243" s="58" t="s">
        <v>77</v>
      </c>
      <c r="E243" s="69" t="str" cm="1">
        <f t="array" ref="E243">_xll.ciqfunctions.udf.CIQ(B243,"iq_industry")</f>
        <v>Software</v>
      </c>
      <c r="F243" s="60" t="e">
        <f>'Information Technology'!AA2374</f>
        <v>#DIV/0!</v>
      </c>
      <c r="G243" s="62" t="e">
        <v>#DIV/0!</v>
      </c>
      <c r="K243" s="62">
        <v>1</v>
      </c>
      <c r="L243" s="108">
        <v>1</v>
      </c>
      <c r="M243" s="60">
        <f>'Information Technology'!AA2375</f>
        <v>1.7661057781499998</v>
      </c>
      <c r="N243" s="63">
        <v>3.5340146888000001</v>
      </c>
      <c r="O243" s="63">
        <f t="shared" si="211"/>
        <v>0.82018923395513843</v>
      </c>
      <c r="P243" s="63">
        <f t="shared" si="212"/>
        <v>0.45478064971863408</v>
      </c>
      <c r="Q243" s="63">
        <f t="shared" si="221"/>
        <v>4.454780649718634</v>
      </c>
      <c r="R243" s="62"/>
      <c r="S243" s="63">
        <v>3.7267254660063136</v>
      </c>
      <c r="T243" s="60" t="e">
        <f>'Information Technology'!AA2376</f>
        <v>#DIV/0!</v>
      </c>
      <c r="U243" s="63" t="e">
        <v>#DIV/0!</v>
      </c>
      <c r="V243" s="63" t="e">
        <f t="shared" si="213"/>
        <v>#DIV/0!</v>
      </c>
      <c r="W243" s="63"/>
      <c r="X243" s="63"/>
      <c r="Z243" s="63">
        <v>1</v>
      </c>
      <c r="AA243" s="60" t="e">
        <f>'Information Technology'!AA2377</f>
        <v>#DIV/0!</v>
      </c>
      <c r="AB243" s="63" t="e">
        <v>#DIV/0!</v>
      </c>
      <c r="AC243" s="60"/>
      <c r="AD243" s="60"/>
      <c r="AE243" s="60"/>
      <c r="AF243" s="60"/>
      <c r="AG243" s="60">
        <v>1</v>
      </c>
      <c r="AH243" s="60" t="e">
        <f>'Information Technology'!AA2378</f>
        <v>#DIV/0!</v>
      </c>
      <c r="AI243" s="63" t="e">
        <v>#DIV/0!</v>
      </c>
      <c r="AJ243" s="60"/>
      <c r="AL243" s="60"/>
      <c r="AM243" s="60"/>
      <c r="AN243" s="60">
        <v>1</v>
      </c>
      <c r="AO243" s="60" t="e">
        <f>'Information Technology'!AA2379</f>
        <v>#DIV/0!</v>
      </c>
      <c r="AP243" s="60" t="e">
        <v>#DIV/0!</v>
      </c>
      <c r="AQ243" s="60"/>
      <c r="AR243" s="60"/>
      <c r="AS243" s="60"/>
      <c r="AT243" s="60"/>
      <c r="AU243" s="60">
        <v>1</v>
      </c>
      <c r="AV243" s="60" t="b">
        <f>'Information Technology'!AA2380</f>
        <v>0</v>
      </c>
      <c r="AW243" s="60" t="e">
        <v>#DIV/0!</v>
      </c>
      <c r="AX243" s="60"/>
      <c r="AY243" s="60"/>
      <c r="AZ243" s="60"/>
      <c r="BA243" s="60"/>
      <c r="BB243" s="60">
        <v>1</v>
      </c>
      <c r="BC243" s="60" t="e">
        <f>'Information Technology'!AA2381</f>
        <v>#DIV/0!</v>
      </c>
      <c r="BD243" s="60" t="e">
        <v>#DIV/0!</v>
      </c>
      <c r="BE243" s="60">
        <v>1</v>
      </c>
      <c r="BF243" s="60" t="e">
        <f>'Information Technology'!AA2382</f>
        <v>#DIV/0!</v>
      </c>
      <c r="BG243" s="63" t="e">
        <v>#DIV/0!</v>
      </c>
      <c r="BI243" s="63"/>
      <c r="BJ243" s="63"/>
      <c r="BL243" s="63">
        <v>1</v>
      </c>
      <c r="BM243" s="63">
        <f t="shared" si="214"/>
        <v>1</v>
      </c>
    </row>
    <row r="244" spans="1:65">
      <c r="A244" s="56" t="s">
        <v>422</v>
      </c>
      <c r="B244" s="56" t="s">
        <v>423</v>
      </c>
      <c r="C244" s="57">
        <v>2955.6</v>
      </c>
      <c r="D244" s="58" t="s">
        <v>77</v>
      </c>
      <c r="E244" s="69" t="str" cm="1">
        <f t="array" ref="E244">_xll.ciqfunctions.udf.CIQ(B244,"iq_industry")</f>
        <v>Software</v>
      </c>
      <c r="F244" s="60">
        <f>'Information Technology'!AA2614</f>
        <v>33.662495597184098</v>
      </c>
      <c r="G244" s="62" t="e">
        <v>#DIV/0!</v>
      </c>
      <c r="K244" s="62">
        <v>1</v>
      </c>
      <c r="L244" s="108">
        <v>1</v>
      </c>
      <c r="M244" s="60">
        <f>'Information Technology'!AA2615</f>
        <v>4.3871596999999998</v>
      </c>
      <c r="N244" s="63">
        <v>3.4944864047999995</v>
      </c>
      <c r="O244" s="63">
        <f t="shared" si="211"/>
        <v>0.78865363206928629</v>
      </c>
      <c r="P244" s="63">
        <f t="shared" si="212"/>
        <v>0.42324504783278194</v>
      </c>
      <c r="Q244" s="63">
        <f t="shared" si="221"/>
        <v>4.4232450478327818</v>
      </c>
      <c r="R244" s="62"/>
      <c r="S244" s="63">
        <v>3.6951898641204615</v>
      </c>
      <c r="T244" s="60">
        <f>'Information Technology'!AA2616</f>
        <v>39.746565372331354</v>
      </c>
      <c r="U244" s="63" t="e">
        <v>#DIV/0!</v>
      </c>
      <c r="V244" s="63" t="e">
        <f t="shared" si="213"/>
        <v>#DIV/0!</v>
      </c>
      <c r="X244" s="63"/>
      <c r="Z244" s="63">
        <v>1</v>
      </c>
      <c r="AA244" s="60">
        <f>'Information Technology'!AA2617</f>
        <v>-1.4475661292978614E-3</v>
      </c>
      <c r="AB244" s="63" t="e">
        <v>#DIV/0!</v>
      </c>
      <c r="AC244" s="60"/>
      <c r="AD244" s="60"/>
      <c r="AE244" s="60"/>
      <c r="AF244" s="60"/>
      <c r="AG244" s="60">
        <v>1</v>
      </c>
      <c r="AH244" s="60">
        <f>'Information Technology'!AA2618</f>
        <v>0.22713212177613623</v>
      </c>
      <c r="AI244" s="63" t="e">
        <v>#DIV/0!</v>
      </c>
      <c r="AJ244" s="60"/>
      <c r="AL244" s="60"/>
      <c r="AM244" s="60"/>
      <c r="AN244" s="60">
        <v>1</v>
      </c>
      <c r="AO244" s="60">
        <f>'Information Technology'!AA2619</f>
        <v>0.13777439639737335</v>
      </c>
      <c r="AP244" s="60" t="e">
        <v>#DIV/0!</v>
      </c>
      <c r="AQ244" s="60"/>
      <c r="AR244" s="60"/>
      <c r="AS244" s="60"/>
      <c r="AT244" s="60"/>
      <c r="AU244" s="60">
        <v>1</v>
      </c>
      <c r="AV244" s="60">
        <f>'Information Technology'!AA2620</f>
        <v>0</v>
      </c>
      <c r="AW244" s="60" t="e">
        <v>#DIV/0!</v>
      </c>
      <c r="AX244" s="60"/>
      <c r="AY244" s="60"/>
      <c r="AZ244" s="60"/>
      <c r="BA244" s="60"/>
      <c r="BB244" s="60">
        <v>1</v>
      </c>
      <c r="BC244" s="60">
        <f>'Information Technology'!AA2621</f>
        <v>0</v>
      </c>
      <c r="BD244" s="60" t="e">
        <v>#DIV/0!</v>
      </c>
      <c r="BE244" s="60">
        <v>1</v>
      </c>
      <c r="BF244" s="60">
        <f>'Information Technology'!AA2622</f>
        <v>1.8761996548514432</v>
      </c>
      <c r="BG244" s="63" t="e">
        <v>#DIV/0!</v>
      </c>
      <c r="BI244" s="63"/>
      <c r="BJ244" s="63"/>
      <c r="BL244" s="63">
        <v>1</v>
      </c>
      <c r="BM244" s="63">
        <f t="shared" si="214"/>
        <v>1</v>
      </c>
    </row>
    <row r="245" spans="1:65">
      <c r="A245" s="56" t="s">
        <v>424</v>
      </c>
      <c r="B245" s="56" t="s">
        <v>425</v>
      </c>
      <c r="C245" s="57">
        <v>2897.1</v>
      </c>
      <c r="D245" s="58" t="s">
        <v>77</v>
      </c>
      <c r="E245" s="69" t="str" cm="1">
        <f t="array" ref="E245">_xll.ciqfunctions.udf.CIQ(B245,"iq_industry")</f>
        <v>Software</v>
      </c>
      <c r="F245" s="60">
        <f>'Information Technology'!AA2629</f>
        <v>8.2222826472257058</v>
      </c>
      <c r="G245" s="62" t="e">
        <v>#DIV/0!</v>
      </c>
      <c r="K245" s="62">
        <v>1</v>
      </c>
      <c r="L245" s="108">
        <v>1</v>
      </c>
      <c r="M245" s="60">
        <f>'Information Technology'!AA2630</f>
        <v>1.2256735251999999</v>
      </c>
      <c r="N245" s="63">
        <v>2.9514152059679999</v>
      </c>
      <c r="O245" s="63">
        <f t="shared" si="211"/>
        <v>0.35539229641307329</v>
      </c>
      <c r="P245" s="63">
        <f t="shared" si="212"/>
        <v>-1.0016287823431058E-2</v>
      </c>
      <c r="Q245" s="63">
        <f t="shared" si="221"/>
        <v>3.9899837121765689</v>
      </c>
      <c r="R245" s="62"/>
      <c r="S245" s="63">
        <v>3.2619285284642503</v>
      </c>
      <c r="T245" s="60" t="e">
        <f>'Information Technology'!AA2631</f>
        <v>#DIV/0!</v>
      </c>
      <c r="U245" s="63" t="e">
        <v>#DIV/0!</v>
      </c>
      <c r="V245" s="63" t="e">
        <f t="shared" si="213"/>
        <v>#DIV/0!</v>
      </c>
      <c r="X245" s="63"/>
      <c r="Z245" s="63">
        <v>1</v>
      </c>
      <c r="AA245" s="60">
        <f>'Information Technology'!AA2632</f>
        <v>2.7676089895247724E-2</v>
      </c>
      <c r="AB245" s="63" t="e">
        <v>#DIV/0!</v>
      </c>
      <c r="AC245" s="60"/>
      <c r="AD245" s="60"/>
      <c r="AE245" s="60"/>
      <c r="AF245" s="60"/>
      <c r="AG245" s="60">
        <v>1</v>
      </c>
      <c r="AH245" s="60">
        <f>'Information Technology'!AA2633</f>
        <v>2.6747814749260006E-2</v>
      </c>
      <c r="AI245" s="63" t="e">
        <v>#DIV/0!</v>
      </c>
      <c r="AJ245" s="60"/>
      <c r="AL245" s="60"/>
      <c r="AM245" s="60"/>
      <c r="AN245" s="60">
        <v>1</v>
      </c>
      <c r="AO245" s="60">
        <f>'Information Technology'!AA2634</f>
        <v>1.7973450735314929E-2</v>
      </c>
      <c r="AP245" s="60" t="e">
        <v>#DIV/0!</v>
      </c>
      <c r="AQ245" s="60"/>
      <c r="AR245" s="60"/>
      <c r="AS245" s="60"/>
      <c r="AT245" s="60"/>
      <c r="AU245" s="60">
        <v>1</v>
      </c>
      <c r="AV245" s="60">
        <f>'Information Technology'!AA2635</f>
        <v>1.9073081028586358E-2</v>
      </c>
      <c r="AW245" s="60" t="e">
        <v>#DIV/0!</v>
      </c>
      <c r="AX245" s="60"/>
      <c r="AY245" s="60"/>
      <c r="AZ245" s="60"/>
      <c r="BA245" s="60"/>
      <c r="BB245" s="60">
        <v>1</v>
      </c>
      <c r="BC245" s="60">
        <f>'Information Technology'!AA2636</f>
        <v>0.6314363557880841</v>
      </c>
      <c r="BD245" s="60" t="e">
        <v>#DIV/0!</v>
      </c>
      <c r="BE245" s="60">
        <v>1</v>
      </c>
      <c r="BF245" s="60">
        <f>'Information Technology'!AA2637</f>
        <v>0.13929942406809515</v>
      </c>
      <c r="BG245" s="63" t="e">
        <v>#DIV/0!</v>
      </c>
      <c r="BI245" s="63"/>
      <c r="BJ245" s="63"/>
      <c r="BL245" s="63">
        <v>1</v>
      </c>
      <c r="BM245" s="63">
        <f t="shared" si="214"/>
        <v>1</v>
      </c>
    </row>
    <row r="246" spans="1:65">
      <c r="A246" s="56" t="s">
        <v>456</v>
      </c>
      <c r="B246" s="56" t="s">
        <v>457</v>
      </c>
      <c r="C246" s="57">
        <v>2436.6</v>
      </c>
      <c r="D246" s="58" t="s">
        <v>67</v>
      </c>
      <c r="E246" s="69" t="str" cm="1">
        <f t="array" ref="E246">_xll.ciqfunctions.udf.CIQ(B246,"iq_industry")</f>
        <v>Software</v>
      </c>
      <c r="F246" s="60">
        <f>'Information Technology'!AA2869</f>
        <v>23.56314662677314</v>
      </c>
      <c r="G246" s="62" t="e">
        <v>#DIV/0!</v>
      </c>
      <c r="K246" s="62">
        <v>1</v>
      </c>
      <c r="L246" s="108">
        <v>1</v>
      </c>
      <c r="M246" s="60">
        <f>'Information Technology'!AA2870</f>
        <v>1.3466689897000002</v>
      </c>
      <c r="N246" s="63">
        <v>2.3563040233999999</v>
      </c>
      <c r="O246" s="63">
        <f t="shared" si="211"/>
        <v>-0.11938645520900106</v>
      </c>
      <c r="P246" s="63">
        <f t="shared" si="212"/>
        <v>-0.48479503944550539</v>
      </c>
      <c r="Q246" s="63">
        <f t="shared" si="221"/>
        <v>3.5152049605544944</v>
      </c>
      <c r="R246" s="62"/>
      <c r="S246" s="63">
        <v>2.7871497768421767</v>
      </c>
      <c r="T246" s="60" t="e">
        <f>'Information Technology'!AA2871</f>
        <v>#DIV/0!</v>
      </c>
      <c r="U246" s="63" t="e">
        <v>#DIV/0!</v>
      </c>
      <c r="V246" s="63" t="e">
        <f t="shared" si="213"/>
        <v>#DIV/0!</v>
      </c>
      <c r="X246" s="63"/>
      <c r="Z246" s="63">
        <v>1</v>
      </c>
      <c r="AA246" s="60">
        <f>'Information Technology'!AA2872</f>
        <v>-1.3619902585036092E-2</v>
      </c>
      <c r="AB246" s="63" t="e">
        <v>#DIV/0!</v>
      </c>
      <c r="AC246" s="60"/>
      <c r="AD246" s="60"/>
      <c r="AE246" s="60"/>
      <c r="AF246" s="60"/>
      <c r="AG246" s="60">
        <v>1</v>
      </c>
      <c r="AH246" s="60">
        <f>'Information Technology'!AA2873</f>
        <v>9.8004417203394173E-2</v>
      </c>
      <c r="AI246" s="63" t="e">
        <v>#DIV/0!</v>
      </c>
      <c r="AJ246" s="60"/>
      <c r="AL246" s="60"/>
      <c r="AM246" s="60"/>
      <c r="AN246" s="60">
        <v>1</v>
      </c>
      <c r="AO246" s="60">
        <f>'Information Technology'!AA2874</f>
        <v>2.3271750995210155E-2</v>
      </c>
      <c r="AP246" s="60" t="e">
        <v>#DIV/0!</v>
      </c>
      <c r="AQ246" s="60"/>
      <c r="AR246" s="60"/>
      <c r="AS246" s="60"/>
      <c r="AT246" s="60"/>
      <c r="AU246" s="60">
        <v>1</v>
      </c>
      <c r="AV246" s="60">
        <f>'Information Technology'!AA2875</f>
        <v>-2.9571823678769499E-3</v>
      </c>
      <c r="AW246" s="60" t="e">
        <v>#DIV/0!</v>
      </c>
      <c r="AX246" s="60"/>
      <c r="AY246" s="60"/>
      <c r="AZ246" s="60"/>
      <c r="BA246" s="60"/>
      <c r="BB246" s="60">
        <v>1</v>
      </c>
      <c r="BC246" s="60">
        <f>'Information Technology'!AA2876</f>
        <v>-0.38236454492877459</v>
      </c>
      <c r="BD246" s="60" t="e">
        <v>#DIV/0!</v>
      </c>
      <c r="BE246" s="60">
        <v>1</v>
      </c>
      <c r="BF246" s="60">
        <f>'Information Technology'!AA2877</f>
        <v>0.14350542374704617</v>
      </c>
      <c r="BG246" s="63" t="e">
        <v>#DIV/0!</v>
      </c>
      <c r="BI246" s="63"/>
      <c r="BJ246" s="63"/>
      <c r="BL246" s="63">
        <v>1</v>
      </c>
      <c r="BM246" s="63">
        <f t="shared" si="214"/>
        <v>1</v>
      </c>
    </row>
    <row r="247" spans="1:65">
      <c r="A247" s="56" t="s">
        <v>466</v>
      </c>
      <c r="B247" s="56" t="s">
        <v>467</v>
      </c>
      <c r="C247" s="57">
        <v>2153.4</v>
      </c>
      <c r="D247" s="58" t="s">
        <v>77</v>
      </c>
      <c r="E247" s="69" t="str" cm="1">
        <f t="array" ref="E247">_xll.ciqfunctions.udf.CIQ(B247,"iq_industry")</f>
        <v>Software</v>
      </c>
      <c r="F247" s="60">
        <f>'Information Technology'!AA2944</f>
        <v>20.589593671926256</v>
      </c>
      <c r="G247" s="62" t="e">
        <v>#DIV/0!</v>
      </c>
      <c r="K247" s="62">
        <v>1</v>
      </c>
      <c r="L247" s="108">
        <v>1</v>
      </c>
      <c r="M247" s="60">
        <f>'Information Technology'!AA2945</f>
        <v>1.5964948692000001</v>
      </c>
      <c r="N247" s="63">
        <v>2.4964719963000004</v>
      </c>
      <c r="O247" s="63">
        <f t="shared" si="211"/>
        <v>-7.5606701452918465E-3</v>
      </c>
      <c r="P247" s="63">
        <f t="shared" si="212"/>
        <v>-0.37296925438179618</v>
      </c>
      <c r="Q247" s="63">
        <f t="shared" si="221"/>
        <v>3.627030745618204</v>
      </c>
      <c r="R247" s="62"/>
      <c r="S247" s="63">
        <v>2.8989755619058855</v>
      </c>
      <c r="T247" s="60" t="e">
        <f>'Information Technology'!AA2946</f>
        <v>#DIV/0!</v>
      </c>
      <c r="U247" s="63" t="e">
        <v>#DIV/0!</v>
      </c>
      <c r="V247" s="63" t="e">
        <f t="shared" si="213"/>
        <v>#DIV/0!</v>
      </c>
      <c r="X247" s="63"/>
      <c r="Z247" s="63">
        <v>1</v>
      </c>
      <c r="AA247" s="60">
        <f>'Information Technology'!AA2947</f>
        <v>-3.2706077501029052E-3</v>
      </c>
      <c r="AB247" s="63" t="e">
        <v>#DIV/0!</v>
      </c>
      <c r="AC247" s="60"/>
      <c r="AD247" s="60"/>
      <c r="AE247" s="60"/>
      <c r="AF247" s="60"/>
      <c r="AG247" s="60">
        <v>1</v>
      </c>
      <c r="AH247" s="60">
        <f>'Information Technology'!AA2948</f>
        <v>-9.9245437871610734E-3</v>
      </c>
      <c r="AI247" s="63" t="e">
        <v>#DIV/0!</v>
      </c>
      <c r="AJ247" s="60"/>
      <c r="AL247" s="60"/>
      <c r="AM247" s="60"/>
      <c r="AN247" s="60">
        <v>1</v>
      </c>
      <c r="AO247" s="60">
        <f>'Information Technology'!AA2949</f>
        <v>4.677994998611798E-2</v>
      </c>
      <c r="AP247" s="60" t="e">
        <v>#DIV/0!</v>
      </c>
      <c r="AQ247" s="60"/>
      <c r="AR247" s="60"/>
      <c r="AS247" s="60"/>
      <c r="AT247" s="60"/>
      <c r="AU247" s="60">
        <v>1</v>
      </c>
      <c r="AV247" s="60">
        <f>'Information Technology'!AA2950</f>
        <v>2.0546549633573243E-2</v>
      </c>
      <c r="AW247" s="60" t="e">
        <v>#DIV/0!</v>
      </c>
      <c r="AX247" s="60"/>
      <c r="AY247" s="60"/>
      <c r="AZ247" s="60"/>
      <c r="BA247" s="60"/>
      <c r="BB247" s="60">
        <v>1</v>
      </c>
      <c r="BC247" s="60">
        <f>'Information Technology'!AA2951</f>
        <v>-0.75066764542872855</v>
      </c>
      <c r="BD247" s="60" t="e">
        <v>#DIV/0!</v>
      </c>
      <c r="BE247" s="60">
        <v>1</v>
      </c>
      <c r="BF247" s="60">
        <f>'Information Technology'!AA2952</f>
        <v>0.21751702671599912</v>
      </c>
      <c r="BG247" s="63" t="e">
        <v>#DIV/0!</v>
      </c>
      <c r="BI247" s="63"/>
      <c r="BJ247" s="63"/>
      <c r="BL247" s="63">
        <v>1</v>
      </c>
      <c r="BM247" s="63">
        <f t="shared" si="214"/>
        <v>1</v>
      </c>
    </row>
    <row r="248" spans="1:65">
      <c r="A248" s="56" t="s">
        <v>488</v>
      </c>
      <c r="B248" s="56" t="s">
        <v>489</v>
      </c>
      <c r="C248" s="57">
        <v>1866.6</v>
      </c>
      <c r="D248" s="58" t="s">
        <v>77</v>
      </c>
      <c r="E248" s="69" t="str" cm="1">
        <f t="array" ref="E248">_xll.ciqfunctions.udf.CIQ(B248,"iq_industry")</f>
        <v>Software</v>
      </c>
      <c r="F248" s="60">
        <f>'Information Technology'!AA3109</f>
        <v>89.593532547034229</v>
      </c>
      <c r="G248" s="62" t="e">
        <v>#DIV/0!</v>
      </c>
      <c r="K248" s="62">
        <v>1</v>
      </c>
      <c r="L248" s="108">
        <v>1</v>
      </c>
      <c r="M248" s="60">
        <f>'Information Technology'!AA3110</f>
        <v>2.2161576752000003</v>
      </c>
      <c r="N248" s="63">
        <v>1.8892943069000001</v>
      </c>
      <c r="O248" s="63">
        <f t="shared" si="211"/>
        <v>-0.49196606165911733</v>
      </c>
      <c r="P248" s="63">
        <f t="shared" si="212"/>
        <v>-0.85737464589562173</v>
      </c>
      <c r="Q248" s="63">
        <f t="shared" si="221"/>
        <v>3.1426253541043785</v>
      </c>
      <c r="R248" s="62"/>
      <c r="S248" s="63">
        <v>2.4145701703920617</v>
      </c>
      <c r="T248" s="60" t="e">
        <f>'Information Technology'!AA3111</f>
        <v>#DIV/0!</v>
      </c>
      <c r="U248" s="63" t="e">
        <v>#DIV/0!</v>
      </c>
      <c r="V248" s="63" t="e">
        <f t="shared" si="213"/>
        <v>#DIV/0!</v>
      </c>
      <c r="W248" s="63"/>
      <c r="X248" s="63"/>
      <c r="Z248" s="63">
        <v>1</v>
      </c>
      <c r="AA248" s="60">
        <f>'Information Technology'!AA3112</f>
        <v>1.5485597999795431E-2</v>
      </c>
      <c r="AB248" s="63" t="e">
        <v>#DIV/0!</v>
      </c>
      <c r="AC248" s="60"/>
      <c r="AD248" s="60"/>
      <c r="AE248" s="60"/>
      <c r="AF248" s="60"/>
      <c r="AG248" s="60">
        <v>1</v>
      </c>
      <c r="AH248" s="60">
        <f>'Information Technology'!AA3113</f>
        <v>-4.5500709426371945E-2</v>
      </c>
      <c r="AI248" s="63" t="e">
        <v>#DIV/0!</v>
      </c>
      <c r="AJ248" s="60"/>
      <c r="AL248" s="60"/>
      <c r="AM248" s="60"/>
      <c r="AN248" s="60">
        <v>1</v>
      </c>
      <c r="AO248" s="60">
        <f>'Information Technology'!AA3114</f>
        <v>0.24214311303471439</v>
      </c>
      <c r="AP248" s="60" t="e">
        <v>#DIV/0!</v>
      </c>
      <c r="AQ248" s="60"/>
      <c r="AR248" s="60"/>
      <c r="AS248" s="60"/>
      <c r="AT248" s="60"/>
      <c r="AU248" s="60">
        <v>1</v>
      </c>
      <c r="AV248" s="60" t="b">
        <f>'Information Technology'!AA3115</f>
        <v>0</v>
      </c>
      <c r="AW248" s="60" t="e">
        <v>#DIV/0!</v>
      </c>
      <c r="AX248" s="60"/>
      <c r="AY248" s="60"/>
      <c r="AZ248" s="60"/>
      <c r="BA248" s="60"/>
      <c r="BB248" s="60">
        <v>1</v>
      </c>
      <c r="BC248" s="60">
        <f>'Information Technology'!AA3116</f>
        <v>-1.7384320930809484E-3</v>
      </c>
      <c r="BD248" s="60" t="e">
        <v>#DIV/0!</v>
      </c>
      <c r="BE248" s="60">
        <v>1</v>
      </c>
      <c r="BF248" s="60">
        <f>'Information Technology'!AA3117</f>
        <v>1.4956312801223111</v>
      </c>
      <c r="BG248" s="63" t="e">
        <v>#DIV/0!</v>
      </c>
      <c r="BI248" s="63"/>
      <c r="BJ248" s="63"/>
      <c r="BL248" s="63">
        <v>1</v>
      </c>
      <c r="BM248" s="63">
        <f t="shared" si="214"/>
        <v>1</v>
      </c>
    </row>
    <row r="249" spans="1:65">
      <c r="A249" s="56" t="s">
        <v>498</v>
      </c>
      <c r="B249" s="56" t="s">
        <v>499</v>
      </c>
      <c r="C249" s="57">
        <v>1683.4</v>
      </c>
      <c r="D249" s="58" t="s">
        <v>77</v>
      </c>
      <c r="E249" s="69" t="str" cm="1">
        <f t="array" ref="E249">_xll.ciqfunctions.udf.CIQ(B249,"iq_industry")</f>
        <v>Software</v>
      </c>
      <c r="F249" s="60">
        <f>'Information Technology'!AA3184</f>
        <v>15.364294833816032</v>
      </c>
      <c r="G249" s="62" t="e">
        <v>#DIV/0!</v>
      </c>
      <c r="K249" s="62">
        <v>1</v>
      </c>
      <c r="L249" s="108">
        <v>1</v>
      </c>
      <c r="M249" s="60">
        <f>'Information Technology'!AA3185</f>
        <v>0.91056307140000003</v>
      </c>
      <c r="N249" s="63">
        <v>1.8921660634500002</v>
      </c>
      <c r="O249" s="63">
        <f t="shared" si="211"/>
        <v>-0.48967497886701111</v>
      </c>
      <c r="P249" s="63">
        <f t="shared" si="212"/>
        <v>-0.85508356310351541</v>
      </c>
      <c r="Q249" s="63">
        <f t="shared" si="221"/>
        <v>3.1449164368964846</v>
      </c>
      <c r="R249" s="62"/>
      <c r="S249" s="63">
        <v>2.4168612531841678</v>
      </c>
      <c r="T249" s="60" t="e">
        <f>'Information Technology'!AA3186</f>
        <v>#DIV/0!</v>
      </c>
      <c r="U249" s="63" t="e">
        <v>#DIV/0!</v>
      </c>
      <c r="V249" s="63" t="e">
        <f t="shared" si="213"/>
        <v>#DIV/0!</v>
      </c>
      <c r="X249" s="63"/>
      <c r="Z249" s="63">
        <v>1</v>
      </c>
      <c r="AA249" s="60">
        <f>'Information Technology'!AA3187</f>
        <v>4.2721072862789367E-2</v>
      </c>
      <c r="AB249" s="63" t="e">
        <v>#DIV/0!</v>
      </c>
      <c r="AC249" s="60"/>
      <c r="AD249" s="60"/>
      <c r="AE249" s="60"/>
      <c r="AF249" s="60"/>
      <c r="AG249" s="60">
        <v>1</v>
      </c>
      <c r="AH249" s="60">
        <f>'Information Technology'!AA3188</f>
        <v>-0.14093238354742596</v>
      </c>
      <c r="AI249" s="63" t="e">
        <v>#DIV/0!</v>
      </c>
      <c r="AJ249" s="60"/>
      <c r="AL249" s="60"/>
      <c r="AM249" s="60"/>
      <c r="AN249" s="60">
        <v>1</v>
      </c>
      <c r="AO249" s="60">
        <f>'Information Technology'!AA3189</f>
        <v>8.2028512866440736E-2</v>
      </c>
      <c r="AP249" s="60" t="e">
        <v>#DIV/0!</v>
      </c>
      <c r="AQ249" s="60"/>
      <c r="AR249" s="60"/>
      <c r="AS249" s="60"/>
      <c r="AT249" s="60"/>
      <c r="AU249" s="60">
        <v>1</v>
      </c>
      <c r="AV249" s="60" t="b">
        <f>'Information Technology'!AA3190</f>
        <v>0</v>
      </c>
      <c r="AW249" s="60" t="e">
        <v>#DIV/0!</v>
      </c>
      <c r="AX249" s="60"/>
      <c r="AY249" s="60"/>
      <c r="AZ249" s="60"/>
      <c r="BA249" s="60"/>
      <c r="BB249" s="60">
        <v>1</v>
      </c>
      <c r="BC249" s="60">
        <f>'Information Technology'!AA3191</f>
        <v>0.67471770927781705</v>
      </c>
      <c r="BD249" s="60" t="e">
        <v>#DIV/0!</v>
      </c>
      <c r="BE249" s="60">
        <v>1</v>
      </c>
      <c r="BF249" s="60">
        <f>'Information Technology'!AA3192</f>
        <v>0.40882650780124202</v>
      </c>
      <c r="BG249" s="63" t="e">
        <v>#DIV/0!</v>
      </c>
      <c r="BI249" s="63"/>
      <c r="BJ249" s="63"/>
      <c r="BL249" s="63">
        <v>1</v>
      </c>
      <c r="BM249" s="63">
        <f t="shared" si="214"/>
        <v>1</v>
      </c>
    </row>
    <row r="250" spans="1:65">
      <c r="A250" s="56" t="s">
        <v>500</v>
      </c>
      <c r="B250" s="56" t="s">
        <v>501</v>
      </c>
      <c r="C250" s="57">
        <v>1681.8</v>
      </c>
      <c r="D250" s="58" t="s">
        <v>77</v>
      </c>
      <c r="E250" s="69" t="str" cm="1">
        <f t="array" ref="E250">_xll.ciqfunctions.udf.CIQ(B250,"iq_industry")</f>
        <v>Software</v>
      </c>
      <c r="F250" s="60">
        <f>'Information Technology'!AA3199</f>
        <v>29.665536635789238</v>
      </c>
      <c r="G250" s="62" t="e">
        <v>#DIV/0!</v>
      </c>
      <c r="K250" s="62">
        <v>1</v>
      </c>
      <c r="L250" s="108">
        <v>1</v>
      </c>
      <c r="M250" s="60">
        <f>'Information Technology'!AA3200</f>
        <v>4.3415656031999994</v>
      </c>
      <c r="N250" s="63">
        <v>1.5789032710500002</v>
      </c>
      <c r="O250" s="63">
        <f t="shared" si="211"/>
        <v>-0.73959553465882311</v>
      </c>
      <c r="P250" s="63">
        <f t="shared" si="212"/>
        <v>-1.1050041188953275</v>
      </c>
      <c r="Q250" s="63">
        <f t="shared" si="221"/>
        <v>2.8949958811046725</v>
      </c>
      <c r="R250" s="62"/>
      <c r="S250" s="63">
        <v>2.1669406973923566</v>
      </c>
      <c r="T250" s="60">
        <f>'Information Technology'!AA3201</f>
        <v>219.34156621753306</v>
      </c>
      <c r="U250" s="63" t="e">
        <v>#DIV/0!</v>
      </c>
      <c r="V250" s="63" t="e">
        <f t="shared" si="213"/>
        <v>#DIV/0!</v>
      </c>
      <c r="X250" s="63"/>
      <c r="Z250" s="63">
        <v>1</v>
      </c>
      <c r="AA250" s="60">
        <f>'Information Technology'!AA3202</f>
        <v>1.2709755788022026E-2</v>
      </c>
      <c r="AB250" s="63" t="e">
        <v>#DIV/0!</v>
      </c>
      <c r="AC250" s="60"/>
      <c r="AD250" s="60"/>
      <c r="AE250" s="60"/>
      <c r="AF250" s="60"/>
      <c r="AG250" s="60">
        <v>1</v>
      </c>
      <c r="AH250" s="60">
        <f>'Information Technology'!AA3203</f>
        <v>-8.8090303738997733E-2</v>
      </c>
      <c r="AI250" s="63" t="e">
        <v>#DIV/0!</v>
      </c>
      <c r="AJ250" s="60"/>
      <c r="AL250" s="60"/>
      <c r="AM250" s="60"/>
      <c r="AN250" s="60">
        <v>1</v>
      </c>
      <c r="AO250" s="60">
        <f>'Information Technology'!AA3204</f>
        <v>4.0027896665612517E-2</v>
      </c>
      <c r="AP250" s="60" t="e">
        <v>#DIV/0!</v>
      </c>
      <c r="AQ250" s="60"/>
      <c r="AR250" s="60"/>
      <c r="AS250" s="60"/>
      <c r="AT250" s="60"/>
      <c r="AU250" s="60">
        <v>1</v>
      </c>
      <c r="AV250" s="60">
        <f>'Information Technology'!AA3205</f>
        <v>-1.4564525696226851E-2</v>
      </c>
      <c r="AW250" s="60" t="e">
        <v>#DIV/0!</v>
      </c>
      <c r="AX250" s="60"/>
      <c r="AY250" s="60"/>
      <c r="AZ250" s="60"/>
      <c r="BA250" s="60"/>
      <c r="BB250" s="60">
        <v>1</v>
      </c>
      <c r="BC250" s="60">
        <f>'Information Technology'!AA3206</f>
        <v>0.74798124778533026</v>
      </c>
      <c r="BD250" s="60" t="e">
        <v>#DIV/0!</v>
      </c>
      <c r="BE250" s="60">
        <v>1</v>
      </c>
      <c r="BF250" s="60">
        <f>'Information Technology'!AA3207</f>
        <v>0.24323715652648603</v>
      </c>
      <c r="BG250" s="63" t="e">
        <v>#DIV/0!</v>
      </c>
      <c r="BI250" s="63"/>
      <c r="BJ250" s="63"/>
      <c r="BL250" s="63">
        <v>1</v>
      </c>
      <c r="BM250" s="63">
        <f t="shared" si="214"/>
        <v>1</v>
      </c>
    </row>
    <row r="251" spans="1:65">
      <c r="A251" s="56" t="s">
        <v>506</v>
      </c>
      <c r="B251" s="56" t="s">
        <v>507</v>
      </c>
      <c r="C251" s="57">
        <v>1662.2</v>
      </c>
      <c r="D251" s="58" t="s">
        <v>77</v>
      </c>
      <c r="E251" s="69" t="str" cm="1">
        <f t="array" ref="E251">_xll.ciqfunctions.udf.CIQ(B251,"iq_industry")</f>
        <v>Software</v>
      </c>
      <c r="F251" s="60">
        <f>'Information Technology'!AA3244</f>
        <v>13.377406008263732</v>
      </c>
      <c r="G251" s="62" t="e">
        <v>#DIV/0!</v>
      </c>
      <c r="K251" s="62">
        <v>1</v>
      </c>
      <c r="L251" s="108">
        <v>1</v>
      </c>
      <c r="M251" s="60">
        <f>'Information Technology'!AA3245</f>
        <v>2.0762657040999999</v>
      </c>
      <c r="N251" s="63">
        <v>1.6475919667999999</v>
      </c>
      <c r="O251" s="63">
        <f t="shared" si="211"/>
        <v>-0.68479580282046704</v>
      </c>
      <c r="P251" s="63">
        <f t="shared" si="212"/>
        <v>-1.0502043870569713</v>
      </c>
      <c r="Q251" s="63">
        <f t="shared" si="221"/>
        <v>2.9497956129430287</v>
      </c>
      <c r="R251" s="62"/>
      <c r="S251" s="63">
        <v>2.2217404292307119</v>
      </c>
      <c r="T251" s="60" t="e">
        <f>'Information Technology'!AA3246</f>
        <v>#DIV/0!</v>
      </c>
      <c r="U251" s="63" t="e">
        <v>#DIV/0!</v>
      </c>
      <c r="V251" s="63" t="e">
        <f t="shared" si="213"/>
        <v>#DIV/0!</v>
      </c>
      <c r="X251" s="63"/>
      <c r="Z251" s="63">
        <v>1</v>
      </c>
      <c r="AA251" s="60">
        <f>'Information Technology'!AA3247</f>
        <v>6.1136236268735766E-2</v>
      </c>
      <c r="AB251" s="63" t="e">
        <v>#DIV/0!</v>
      </c>
      <c r="AC251" s="60"/>
      <c r="AD251" s="60"/>
      <c r="AE251" s="60"/>
      <c r="AF251" s="60"/>
      <c r="AG251" s="60">
        <v>1</v>
      </c>
      <c r="AH251" s="60">
        <f>'Information Technology'!AA3248</f>
        <v>-0.21313772551585791</v>
      </c>
      <c r="AI251" s="63" t="e">
        <v>#DIV/0!</v>
      </c>
      <c r="AJ251" s="60"/>
      <c r="AL251" s="60"/>
      <c r="AM251" s="60"/>
      <c r="AN251" s="60">
        <v>1</v>
      </c>
      <c r="AO251" s="60">
        <f>'Information Technology'!AA3249</f>
        <v>6.9675691747503293E-2</v>
      </c>
      <c r="AP251" s="60" t="e">
        <v>#DIV/0!</v>
      </c>
      <c r="AQ251" s="60"/>
      <c r="AR251" s="60"/>
      <c r="AS251" s="60"/>
      <c r="AT251" s="60"/>
      <c r="AU251" s="60">
        <v>1</v>
      </c>
      <c r="AV251" s="60" t="b">
        <f>'Information Technology'!AA3250</f>
        <v>0</v>
      </c>
      <c r="AW251" s="60" t="e">
        <v>#DIV/0!</v>
      </c>
      <c r="AX251" s="60"/>
      <c r="AY251" s="60"/>
      <c r="AZ251" s="60"/>
      <c r="BA251" s="60"/>
      <c r="BB251" s="60">
        <v>1</v>
      </c>
      <c r="BC251" s="60">
        <f>'Information Technology'!AA3251</f>
        <v>0.91790061444012327</v>
      </c>
      <c r="BD251" s="60" t="e">
        <v>#DIV/0!</v>
      </c>
      <c r="BE251" s="60">
        <v>1</v>
      </c>
      <c r="BF251" s="60">
        <f>'Information Technology'!AA3252</f>
        <v>0.23511242227609752</v>
      </c>
      <c r="BG251" s="63" t="e">
        <v>#DIV/0!</v>
      </c>
      <c r="BI251" s="63"/>
      <c r="BJ251" s="63"/>
      <c r="BL251" s="63">
        <v>1</v>
      </c>
      <c r="BM251" s="63">
        <f t="shared" si="214"/>
        <v>1</v>
      </c>
    </row>
    <row r="252" spans="1:65">
      <c r="A252" s="56" t="s">
        <v>522</v>
      </c>
      <c r="B252" s="56" t="s">
        <v>523</v>
      </c>
      <c r="C252" s="57">
        <v>1461.4</v>
      </c>
      <c r="D252" s="58" t="s">
        <v>77</v>
      </c>
      <c r="E252" s="69" t="str" cm="1">
        <f t="array" ref="E252">_xll.ciqfunctions.udf.CIQ(B252,"iq_industry")</f>
        <v>Software</v>
      </c>
      <c r="F252" s="60">
        <f>'Information Technology'!AA3364</f>
        <v>-2.8153450645037736</v>
      </c>
      <c r="G252" s="62" t="e">
        <v>#DIV/0!</v>
      </c>
      <c r="K252" s="62">
        <v>1</v>
      </c>
      <c r="L252" s="108">
        <v>1</v>
      </c>
      <c r="M252" s="60">
        <f>'Information Technology'!AA3365</f>
        <v>2.5512831876000002</v>
      </c>
      <c r="N252" s="63">
        <v>0.91749305724999997</v>
      </c>
      <c r="O252" s="63">
        <f t="shared" si="211"/>
        <v>-1.2672675475808315</v>
      </c>
      <c r="P252" s="63">
        <f t="shared" si="212"/>
        <v>-1.6326761318173357</v>
      </c>
      <c r="Q252" s="63">
        <f t="shared" si="221"/>
        <v>2.3673238681826643</v>
      </c>
      <c r="R252" s="62"/>
      <c r="S252" s="63">
        <v>1.6392686844703492</v>
      </c>
      <c r="T252" s="60" t="e">
        <f>'Information Technology'!AA3366</f>
        <v>#DIV/0!</v>
      </c>
      <c r="U252" s="63" t="e">
        <v>#DIV/0!</v>
      </c>
      <c r="V252" s="63" t="e">
        <f t="shared" si="213"/>
        <v>#DIV/0!</v>
      </c>
      <c r="X252" s="63"/>
      <c r="Z252" s="63">
        <v>1</v>
      </c>
      <c r="AA252" s="60">
        <f>'Information Technology'!AA3367</f>
        <v>1.0349362593815692</v>
      </c>
      <c r="AB252" s="63" t="e">
        <v>#DIV/0!</v>
      </c>
      <c r="AC252" s="60"/>
      <c r="AD252" s="60"/>
      <c r="AE252" s="60"/>
      <c r="AF252" s="60"/>
      <c r="AG252" s="60">
        <v>1</v>
      </c>
      <c r="AH252" s="60">
        <f>'Information Technology'!AA3368</f>
        <v>-3.0456106446514402</v>
      </c>
      <c r="AI252" s="63" t="e">
        <v>#DIV/0!</v>
      </c>
      <c r="AJ252" s="60"/>
      <c r="AL252" s="60"/>
      <c r="AM252" s="60"/>
      <c r="AN252" s="60">
        <v>1</v>
      </c>
      <c r="AO252" s="60">
        <f>'Information Technology'!AA3369</f>
        <v>-0.19444328629242388</v>
      </c>
      <c r="AP252" s="60" t="e">
        <v>#DIV/0!</v>
      </c>
      <c r="AQ252" s="60"/>
      <c r="AR252" s="60"/>
      <c r="AS252" s="60"/>
      <c r="AT252" s="60"/>
      <c r="AU252" s="60">
        <v>1</v>
      </c>
      <c r="AV252" s="60" t="b">
        <f>'Information Technology'!AA3370</f>
        <v>0</v>
      </c>
      <c r="AW252" s="60" t="e">
        <v>#DIV/0!</v>
      </c>
      <c r="AX252" s="60"/>
      <c r="AY252" s="60"/>
      <c r="AZ252" s="60"/>
      <c r="BA252" s="60"/>
      <c r="BB252" s="60">
        <v>1</v>
      </c>
      <c r="BC252" s="60">
        <f>'Information Technology'!AA3371</f>
        <v>-0.74479878437125779</v>
      </c>
      <c r="BD252" s="60" t="e">
        <v>#DIV/0!</v>
      </c>
      <c r="BE252" s="60">
        <v>1</v>
      </c>
      <c r="BF252" s="60">
        <f>'Information Technology'!AA3372</f>
        <v>227.84502069763283</v>
      </c>
      <c r="BG252" s="63" t="e">
        <v>#DIV/0!</v>
      </c>
      <c r="BI252" s="63"/>
      <c r="BJ252" s="63"/>
      <c r="BL252" s="63">
        <v>1</v>
      </c>
      <c r="BM252" s="63">
        <f t="shared" si="214"/>
        <v>1</v>
      </c>
    </row>
    <row r="253" spans="1:65">
      <c r="A253" s="56" t="s">
        <v>524</v>
      </c>
      <c r="B253" s="56" t="s">
        <v>525</v>
      </c>
      <c r="C253" s="57">
        <v>1414.4</v>
      </c>
      <c r="D253" s="58" t="s">
        <v>77</v>
      </c>
      <c r="E253" s="69" t="str" cm="1">
        <f t="array" ref="E253">_xll.ciqfunctions.udf.CIQ(B253,"iq_industry")</f>
        <v>Software</v>
      </c>
      <c r="F253" s="60">
        <f>'Information Technology'!AA3379</f>
        <v>16.522137411888981</v>
      </c>
      <c r="G253" s="62" t="e">
        <v>#DIV/0!</v>
      </c>
      <c r="K253" s="62">
        <v>1</v>
      </c>
      <c r="L253" s="108">
        <v>1</v>
      </c>
      <c r="M253" s="60">
        <f>'Information Technology'!AA3380</f>
        <v>5.4420180683999995</v>
      </c>
      <c r="N253" s="63">
        <v>1.2233105309999999</v>
      </c>
      <c r="O253" s="63">
        <f t="shared" si="211"/>
        <v>-1.0232868551248453</v>
      </c>
      <c r="P253" s="63">
        <f t="shared" si="212"/>
        <v>-1.3886954393613498</v>
      </c>
      <c r="Q253" s="63">
        <f t="shared" si="221"/>
        <v>2.6113045606386502</v>
      </c>
      <c r="R253" s="62"/>
      <c r="S253" s="63">
        <v>1.8832493769263348</v>
      </c>
      <c r="T253" s="60" t="e">
        <f>'Information Technology'!AA3381</f>
        <v>#DIV/0!</v>
      </c>
      <c r="U253" s="63" t="e">
        <v>#DIV/0!</v>
      </c>
      <c r="V253" s="63" t="e">
        <f t="shared" si="213"/>
        <v>#DIV/0!</v>
      </c>
      <c r="X253" s="63"/>
      <c r="Z253" s="63">
        <v>1</v>
      </c>
      <c r="AA253" s="60">
        <f>'Information Technology'!AA3382</f>
        <v>4.1741317039949877E-2</v>
      </c>
      <c r="AB253" s="63" t="e">
        <v>#DIV/0!</v>
      </c>
      <c r="AC253" s="60"/>
      <c r="AD253" s="60"/>
      <c r="AE253" s="60"/>
      <c r="AF253" s="60"/>
      <c r="AG253" s="60">
        <v>1</v>
      </c>
      <c r="AH253" s="60">
        <f>'Information Technology'!AA3383</f>
        <v>-8.3982773033551922E-2</v>
      </c>
      <c r="AI253" s="63" t="e">
        <v>#DIV/0!</v>
      </c>
      <c r="AJ253" s="60"/>
      <c r="AL253" s="60"/>
      <c r="AM253" s="60"/>
      <c r="AN253" s="60">
        <v>1</v>
      </c>
      <c r="AO253" s="60">
        <f>'Information Technology'!AA3384</f>
        <v>4.858611606754213E-2</v>
      </c>
      <c r="AP253" s="60" t="e">
        <v>#DIV/0!</v>
      </c>
      <c r="AQ253" s="60"/>
      <c r="AR253" s="60"/>
      <c r="AS253" s="60"/>
      <c r="AT253" s="60"/>
      <c r="AU253" s="60">
        <v>1</v>
      </c>
      <c r="AV253" s="60" t="b">
        <f>'Information Technology'!AA3385</f>
        <v>0</v>
      </c>
      <c r="AW253" s="60" t="e">
        <v>#DIV/0!</v>
      </c>
      <c r="AX253" s="60"/>
      <c r="AY253" s="60"/>
      <c r="AZ253" s="60"/>
      <c r="BA253" s="60"/>
      <c r="BB253" s="60">
        <v>1</v>
      </c>
      <c r="BC253" s="60">
        <f>'Information Technology'!AA3386</f>
        <v>0.77898734191390162</v>
      </c>
      <c r="BD253" s="60" t="e">
        <v>#DIV/0!</v>
      </c>
      <c r="BE253" s="60">
        <v>1</v>
      </c>
      <c r="BF253" s="60">
        <f>'Information Technology'!AA3387</f>
        <v>0.66476703802198644</v>
      </c>
      <c r="BG253" s="63" t="e">
        <v>#DIV/0!</v>
      </c>
      <c r="BI253" s="63"/>
      <c r="BJ253" s="63"/>
      <c r="BL253" s="63">
        <v>1</v>
      </c>
      <c r="BM253" s="63">
        <f t="shared" si="214"/>
        <v>1</v>
      </c>
    </row>
    <row r="254" spans="1:65">
      <c r="A254" s="56" t="s">
        <v>528</v>
      </c>
      <c r="B254" s="56" t="s">
        <v>529</v>
      </c>
      <c r="C254" s="57">
        <v>1405.1</v>
      </c>
      <c r="D254" s="58" t="s">
        <v>77</v>
      </c>
      <c r="E254" s="69" t="str" cm="1">
        <f t="array" ref="E254">_xll.ciqfunctions.udf.CIQ(B254,"iq_industry")</f>
        <v>Software</v>
      </c>
      <c r="F254" s="60">
        <f>'Information Technology'!AA3409</f>
        <v>131.68676576169773</v>
      </c>
      <c r="G254" s="62" t="e">
        <v>#DIV/0!</v>
      </c>
      <c r="K254" s="62">
        <v>1</v>
      </c>
      <c r="L254" s="108">
        <v>1</v>
      </c>
      <c r="M254" s="60">
        <f>'Information Technology'!AA3410</f>
        <v>1.6755889945999998</v>
      </c>
      <c r="N254" s="63">
        <v>1.3977806827000001</v>
      </c>
      <c r="O254" s="63">
        <f t="shared" si="211"/>
        <v>-0.88409484656268889</v>
      </c>
      <c r="P254" s="63">
        <f t="shared" si="212"/>
        <v>-1.2495034307991932</v>
      </c>
      <c r="Q254" s="63">
        <f t="shared" si="221"/>
        <v>2.7504965692008065</v>
      </c>
      <c r="R254" s="62"/>
      <c r="S254" s="63">
        <v>2.0224413854884906</v>
      </c>
      <c r="T254" s="60" t="e">
        <f>'Information Technology'!AA3411</f>
        <v>#DIV/0!</v>
      </c>
      <c r="U254" s="63" t="e">
        <v>#DIV/0!</v>
      </c>
      <c r="V254" s="63" t="e">
        <f t="shared" si="213"/>
        <v>#DIV/0!</v>
      </c>
      <c r="X254" s="63"/>
      <c r="Z254" s="63">
        <v>1</v>
      </c>
      <c r="AA254" s="60">
        <f>'Information Technology'!AA3412</f>
        <v>4.302421933842604E-2</v>
      </c>
      <c r="AB254" s="63" t="e">
        <v>#DIV/0!</v>
      </c>
      <c r="AC254" s="60"/>
      <c r="AD254" s="60"/>
      <c r="AE254" s="60"/>
      <c r="AF254" s="60"/>
      <c r="AG254" s="60">
        <v>1</v>
      </c>
      <c r="AH254" s="60">
        <f>'Information Technology'!AA3413</f>
        <v>-0.29870713963334661</v>
      </c>
      <c r="AI254" s="63" t="e">
        <v>#DIV/0!</v>
      </c>
      <c r="AJ254" s="60"/>
      <c r="AL254" s="60"/>
      <c r="AM254" s="60"/>
      <c r="AN254" s="60">
        <v>1</v>
      </c>
      <c r="AO254" s="60">
        <f>'Information Technology'!AA3414</f>
        <v>4.6648632137194265E-2</v>
      </c>
      <c r="AP254" s="60" t="e">
        <v>#DIV/0!</v>
      </c>
      <c r="AQ254" s="60"/>
      <c r="AR254" s="60"/>
      <c r="AS254" s="60"/>
      <c r="AT254" s="60"/>
      <c r="AU254" s="60">
        <v>1</v>
      </c>
      <c r="AV254" s="60">
        <f>'Information Technology'!AA3415</f>
        <v>-3.0547057634100629E-2</v>
      </c>
      <c r="AW254" s="60" t="e">
        <v>#DIV/0!</v>
      </c>
      <c r="AX254" s="60"/>
      <c r="AY254" s="60"/>
      <c r="AZ254" s="60"/>
      <c r="BA254" s="60"/>
      <c r="BB254" s="60">
        <v>1</v>
      </c>
      <c r="BC254" s="60">
        <f>'Information Technology'!AA3416</f>
        <v>2.9392854943027862</v>
      </c>
      <c r="BD254" s="60" t="e">
        <v>#DIV/0!</v>
      </c>
      <c r="BE254" s="60">
        <v>1</v>
      </c>
      <c r="BF254" s="60">
        <f>'Information Technology'!AA3417</f>
        <v>0.31465601381107244</v>
      </c>
      <c r="BG254" s="63" t="e">
        <v>#DIV/0!</v>
      </c>
      <c r="BI254" s="63"/>
      <c r="BJ254" s="63"/>
      <c r="BL254" s="63">
        <v>1</v>
      </c>
      <c r="BM254" s="63">
        <f t="shared" si="214"/>
        <v>1</v>
      </c>
    </row>
    <row r="255" spans="1:65">
      <c r="A255" s="56" t="s">
        <v>556</v>
      </c>
      <c r="B255" s="56" t="s">
        <v>557</v>
      </c>
      <c r="C255" s="57">
        <v>1158.5999999999999</v>
      </c>
      <c r="D255" s="58" t="s">
        <v>77</v>
      </c>
      <c r="E255" s="69" t="str" cm="1">
        <f t="array" ref="E255">_xll.ciqfunctions.udf.CIQ(B255,"iq_industry")</f>
        <v>Software</v>
      </c>
      <c r="F255" s="60" t="e">
        <f>'Information Technology'!AA3619</f>
        <v>#DIV/0!</v>
      </c>
      <c r="G255" s="62" t="e">
        <v>#DIV/0!</v>
      </c>
      <c r="K255" s="62">
        <v>1</v>
      </c>
      <c r="L255" s="108">
        <v>1</v>
      </c>
      <c r="M255" s="60">
        <f>'Information Technology'!AA3620</f>
        <v>3.7268392524999996</v>
      </c>
      <c r="N255" s="63">
        <v>1.18359604755</v>
      </c>
      <c r="O255" s="63">
        <f t="shared" ref="O255:O259" si="222">(N255-$N$260)/$N$261</f>
        <v>-1.054971006634722</v>
      </c>
      <c r="P255" s="63">
        <f t="shared" ref="P255:P259" si="223">O255-$O$259</f>
        <v>-1.4203795908712262</v>
      </c>
      <c r="Q255" s="63">
        <f t="shared" si="221"/>
        <v>2.5796204091287738</v>
      </c>
      <c r="R255" s="62"/>
      <c r="S255" s="63">
        <v>1.8515652254164578</v>
      </c>
      <c r="T255" s="60" t="e">
        <f>'Information Technology'!AA3621</f>
        <v>#DIV/0!</v>
      </c>
      <c r="U255" s="63" t="e">
        <v>#DIV/0!</v>
      </c>
      <c r="V255" s="63" t="e">
        <f t="shared" ref="V255:V259" si="224">-(U255-$U$263)/$U$264</f>
        <v>#DIV/0!</v>
      </c>
      <c r="X255" s="63"/>
      <c r="Z255" s="63">
        <v>1</v>
      </c>
      <c r="AA255" s="60" t="e">
        <f>'Information Technology'!AA3622</f>
        <v>#DIV/0!</v>
      </c>
      <c r="AB255" s="63" t="e">
        <v>#DIV/0!</v>
      </c>
      <c r="AC255" s="60"/>
      <c r="AD255" s="60"/>
      <c r="AE255" s="60"/>
      <c r="AF255" s="60"/>
      <c r="AG255" s="60">
        <v>1</v>
      </c>
      <c r="AH255" s="60" t="e">
        <f>'Information Technology'!AA3623</f>
        <v>#DIV/0!</v>
      </c>
      <c r="AI255" s="63" t="e">
        <v>#DIV/0!</v>
      </c>
      <c r="AJ255" s="60"/>
      <c r="AL255" s="60"/>
      <c r="AM255" s="60"/>
      <c r="AN255" s="60">
        <v>1</v>
      </c>
      <c r="AO255" s="60" t="e">
        <f>'Information Technology'!AA3624</f>
        <v>#DIV/0!</v>
      </c>
      <c r="AP255" s="60" t="e">
        <v>#DIV/0!</v>
      </c>
      <c r="AQ255" s="60"/>
      <c r="AR255" s="60"/>
      <c r="AS255" s="60"/>
      <c r="AT255" s="60"/>
      <c r="AU255" s="60">
        <v>1</v>
      </c>
      <c r="AV255" s="60" t="e">
        <f>'Information Technology'!AA3625</f>
        <v>#DIV/0!</v>
      </c>
      <c r="AW255" s="60" t="e">
        <v>#DIV/0!</v>
      </c>
      <c r="AX255" s="60"/>
      <c r="AY255" s="60"/>
      <c r="AZ255" s="60"/>
      <c r="BA255" s="60"/>
      <c r="BB255" s="60">
        <v>1</v>
      </c>
      <c r="BC255" s="60" t="e">
        <f>'Information Technology'!AA3626</f>
        <v>#DIV/0!</v>
      </c>
      <c r="BD255" s="60" t="e">
        <v>#DIV/0!</v>
      </c>
      <c r="BE255" s="60">
        <v>1</v>
      </c>
      <c r="BF255" s="60" t="e">
        <f>'Information Technology'!AA3627</f>
        <v>#DIV/0!</v>
      </c>
      <c r="BG255" s="63" t="e">
        <v>#DIV/0!</v>
      </c>
      <c r="BI255" s="63"/>
      <c r="BJ255" s="63"/>
      <c r="BL255" s="63">
        <v>1</v>
      </c>
      <c r="BM255" s="63">
        <f t="shared" ref="BM255:BM259" si="225">0.1*(L255)+0.01*(Z255)+0.04*(AG255)+0.13*(AN255)+0.04*(AU255)+0.13*(BB255)+0.3*(BE255)+0.25*(BL255)</f>
        <v>1</v>
      </c>
    </row>
    <row r="256" spans="1:65">
      <c r="A256" s="56" t="s">
        <v>446</v>
      </c>
      <c r="B256" s="56" t="s">
        <v>447</v>
      </c>
      <c r="C256" s="57">
        <v>2528.1</v>
      </c>
      <c r="D256" s="58" t="s">
        <v>64</v>
      </c>
      <c r="E256" s="69" t="str" cm="1">
        <f t="array" ref="E256">_xll.ciqfunctions.udf.CIQ(B256,"iq_industry")</f>
        <v>Technology Hardware, Storage and Peripherals</v>
      </c>
      <c r="F256" s="60">
        <f>'Information Technology'!AA2794</f>
        <v>313.30428534889074</v>
      </c>
      <c r="G256" s="62">
        <v>21.33007948306712</v>
      </c>
      <c r="H256" s="62" t="e">
        <f>-(G256-$G$260)/$G$261</f>
        <v>#DIV/0!</v>
      </c>
      <c r="I256" s="62" t="e">
        <f>H256-$H$181</f>
        <v>#DIV/0!</v>
      </c>
      <c r="J256" s="62" t="e">
        <f>I256+(5-$I$242)</f>
        <v>#DIV/0!</v>
      </c>
      <c r="K256" s="62">
        <v>1</v>
      </c>
      <c r="L256" s="108">
        <v>2.9505404322457638</v>
      </c>
      <c r="M256" s="60">
        <f>'Information Technology'!AA2795</f>
        <v>2.2461774971999997</v>
      </c>
      <c r="N256" s="63">
        <v>2.2798116353000002</v>
      </c>
      <c r="O256" s="63">
        <f t="shared" si="222"/>
        <v>-0.18041196034905838</v>
      </c>
      <c r="P256" s="63">
        <f t="shared" si="223"/>
        <v>-0.54582054458556273</v>
      </c>
      <c r="Q256" s="63">
        <f t="shared" si="221"/>
        <v>3.4541794554144376</v>
      </c>
      <c r="R256" s="62"/>
      <c r="S256" s="63">
        <v>2.7261242717021199</v>
      </c>
      <c r="T256" s="60" t="e">
        <f>'Information Technology'!AA2796</f>
        <v>#DIV/0!</v>
      </c>
      <c r="U256" s="63">
        <v>6.4205350250400812</v>
      </c>
      <c r="V256" s="63" t="e">
        <f t="shared" si="224"/>
        <v>#DIV/0!</v>
      </c>
      <c r="W256" s="63" t="e">
        <f>V256-$V$252</f>
        <v>#DIV/0!</v>
      </c>
      <c r="X256" s="63" t="e">
        <f>W256+5-$W$259</f>
        <v>#DIV/0!</v>
      </c>
      <c r="Y256" s="63">
        <v>4.6840156054740936</v>
      </c>
      <c r="Z256" s="63">
        <v>4.6840156054740936</v>
      </c>
      <c r="AA256" s="60">
        <f>'Information Technology'!AA2797</f>
        <v>4.7099448042812408E-2</v>
      </c>
      <c r="AB256" s="63">
        <v>-7.3161436851291839E-2</v>
      </c>
      <c r="AD256" s="60"/>
      <c r="AE256" s="60"/>
      <c r="AF256" s="60">
        <v>5</v>
      </c>
      <c r="AG256" s="60">
        <v>5</v>
      </c>
      <c r="AH256" s="60">
        <f>'Information Technology'!AA2798</f>
        <v>-0.19157641187950888</v>
      </c>
      <c r="AI256" s="63">
        <v>-6.3854980792226925E-3</v>
      </c>
      <c r="AJ256" s="60"/>
      <c r="AL256" s="60"/>
      <c r="AM256" s="60"/>
      <c r="AN256" s="60">
        <v>1</v>
      </c>
      <c r="AO256" s="60">
        <f>'Information Technology'!AA2799</f>
        <v>6.3888931468783702E-3</v>
      </c>
      <c r="AP256" s="60">
        <v>5.671707518367773E-3</v>
      </c>
      <c r="AQ256" s="60" t="e">
        <f>(AP256-$AP$260)/$AP$261</f>
        <v>#DIV/0!</v>
      </c>
      <c r="AR256" s="60" t="e">
        <f>AQ256-$AQ$245</f>
        <v>#DIV/0!</v>
      </c>
      <c r="AS256" s="60" t="e">
        <f>(5-$AR$162)+AR256</f>
        <v>#DIV/0!</v>
      </c>
      <c r="AT256" s="60">
        <v>1.3321763954775534</v>
      </c>
      <c r="AU256" s="60">
        <v>1.3321763954775534</v>
      </c>
      <c r="AV256" s="60">
        <f>'Information Technology'!AA2800</f>
        <v>2.1601408172445401E-2</v>
      </c>
      <c r="AW256" s="60">
        <v>5.9093625955346609E-4</v>
      </c>
      <c r="AX256" s="60" t="e">
        <f>(AW256-$AW$260)/$AW$261</f>
        <v>#DIV/0!</v>
      </c>
      <c r="AY256" s="60" t="e">
        <f>AX256-$AX$253</f>
        <v>#DIV/0!</v>
      </c>
      <c r="AZ256" s="60" t="e">
        <f>AY256+5-$AY$205</f>
        <v>#DIV/0!</v>
      </c>
      <c r="BA256" s="60">
        <v>1.9157959913461244</v>
      </c>
      <c r="BB256" s="60">
        <v>1.9157959913461244</v>
      </c>
      <c r="BC256" s="60">
        <f>'Information Technology'!AA2801</f>
        <v>6.1451868335041748</v>
      </c>
      <c r="BD256" s="60">
        <v>-3.4412302562660342</v>
      </c>
      <c r="BE256" s="60">
        <v>5</v>
      </c>
      <c r="BF256" s="60">
        <f>'Information Technology'!AA2802</f>
        <v>1.6704518342892585</v>
      </c>
      <c r="BG256" s="63">
        <v>4.4449242855944593E-2</v>
      </c>
      <c r="BH256" s="63" t="e">
        <f>-(BG256-$BG$260)/$BG$261</f>
        <v>#DIV/0!</v>
      </c>
      <c r="BI256" s="63" t="e">
        <f>BH256-$BH$181</f>
        <v>#DIV/0!</v>
      </c>
      <c r="BJ256" s="63" t="e">
        <f>BI256+5-$BI$259</f>
        <v>#DIV/0!</v>
      </c>
      <c r="BK256" s="63">
        <v>4.8868428019432182</v>
      </c>
      <c r="BL256" s="63">
        <v>4.8868428019432182</v>
      </c>
      <c r="BM256" s="63">
        <f t="shared" si="225"/>
        <v>3.6959454344592197</v>
      </c>
    </row>
    <row r="257" spans="1:65">
      <c r="A257" s="56" t="s">
        <v>554</v>
      </c>
      <c r="B257" s="56" t="s">
        <v>555</v>
      </c>
      <c r="C257" s="57">
        <v>1181.5999999999999</v>
      </c>
      <c r="D257" s="58" t="s">
        <v>64</v>
      </c>
      <c r="E257" s="69" t="str" cm="1">
        <f t="array" ref="E257">_xll.ciqfunctions.udf.CIQ(B257,"iq_industry")</f>
        <v>(Invalid Identifier)</v>
      </c>
      <c r="F257" s="60" t="e">
        <f>'Information Technology'!AA3604</f>
        <v>#DIV/0!</v>
      </c>
      <c r="G257" s="62">
        <v>54.49759051225054</v>
      </c>
      <c r="K257" s="62">
        <v>1</v>
      </c>
      <c r="L257" s="109">
        <v>1.26</v>
      </c>
      <c r="M257" s="60">
        <f>'Information Technology'!AA3605</f>
        <v>3.2599469545500002</v>
      </c>
      <c r="N257" s="63">
        <v>1.1862639975499998</v>
      </c>
      <c r="O257" s="63">
        <f t="shared" si="222"/>
        <v>-1.0528425203829195</v>
      </c>
      <c r="P257" s="63">
        <f t="shared" si="223"/>
        <v>-1.4182511046194239</v>
      </c>
      <c r="Q257" s="63">
        <f t="shared" si="221"/>
        <v>2.5817488953805761</v>
      </c>
      <c r="R257" s="62"/>
      <c r="S257" s="63">
        <v>1.853693711668261</v>
      </c>
      <c r="T257" s="60" t="e">
        <f>'Information Technology'!AA3606</f>
        <v>#DIV/0!</v>
      </c>
      <c r="U257" s="63" t="e">
        <v>#DIV/0!</v>
      </c>
      <c r="V257" s="63" t="e">
        <f t="shared" si="224"/>
        <v>#DIV/0!</v>
      </c>
      <c r="X257" s="63"/>
      <c r="Z257" s="63">
        <v>1</v>
      </c>
      <c r="AA257" s="60" t="e">
        <f>'Information Technology'!AA3607</f>
        <v>#DIV/0!</v>
      </c>
      <c r="AB257" s="63">
        <v>9.5346198505905644E-3</v>
      </c>
      <c r="AC257" s="60" t="e">
        <f>-(AB257-$AB$260)/$AB$261</f>
        <v>#DIV/0!</v>
      </c>
      <c r="AD257" s="60" t="e">
        <f>AC257-$AC$160</f>
        <v>#DIV/0!</v>
      </c>
      <c r="AE257" s="60" t="e">
        <f>AD257+5-$AD$254</f>
        <v>#DIV/0!</v>
      </c>
      <c r="AF257" s="60">
        <v>4.4177161434944905</v>
      </c>
      <c r="AG257" s="60">
        <v>4.4177161434944905</v>
      </c>
      <c r="AH257" s="60" t="e">
        <f>'Information Technology'!AA3608</f>
        <v>#DIV/0!</v>
      </c>
      <c r="AI257" s="63">
        <v>5.3887716459532498E-2</v>
      </c>
      <c r="AJ257" s="60" t="e">
        <f>(AI257-$AI$260)/$AI$261</f>
        <v>#DIV/0!</v>
      </c>
      <c r="AK257" s="63" t="e">
        <f>AJ257-$AJ$203</f>
        <v>#DIV/0!</v>
      </c>
      <c r="AL257" s="60" t="e">
        <f>AK257+5-$AK$155</f>
        <v>#DIV/0!</v>
      </c>
      <c r="AM257" s="60">
        <v>2.7565225930669408</v>
      </c>
      <c r="AN257" s="60">
        <v>2.7565225930669408</v>
      </c>
      <c r="AO257" s="60" t="e">
        <f>'Information Technology'!AA3609</f>
        <v>#DIV/0!</v>
      </c>
      <c r="AP257" s="60">
        <v>0.29796356679722402</v>
      </c>
      <c r="AQ257" s="60"/>
      <c r="AR257" s="60"/>
      <c r="AS257" s="60"/>
      <c r="AT257" s="60">
        <v>4.9400000000000004</v>
      </c>
      <c r="AU257" s="60">
        <v>4.9400000000000004</v>
      </c>
      <c r="AV257" s="60" t="e">
        <f>'Information Technology'!AA3610</f>
        <v>#DIV/0!</v>
      </c>
      <c r="AW257" s="60" t="b">
        <v>0</v>
      </c>
      <c r="AX257" s="60"/>
      <c r="AY257" s="60"/>
      <c r="AZ257" s="60"/>
      <c r="BA257" s="60"/>
      <c r="BB257" s="60">
        <v>1</v>
      </c>
      <c r="BC257" s="60" t="e">
        <f>'Information Technology'!AA3611</f>
        <v>#DIV/0!</v>
      </c>
      <c r="BD257" s="60">
        <v>-5.5131261029506003E-2</v>
      </c>
      <c r="BE257" s="60">
        <v>5</v>
      </c>
      <c r="BF257" s="60" t="e">
        <f>'Information Technology'!AA3612</f>
        <v>#DIV/0!</v>
      </c>
      <c r="BG257" s="63">
        <v>0.24576692835454322</v>
      </c>
      <c r="BH257" s="63" t="e">
        <f>-(BG257-$BG$260)/$BG$261</f>
        <v>#DIV/0!</v>
      </c>
      <c r="BI257" s="63" t="e">
        <f>BH257-$BH$181</f>
        <v>#DIV/0!</v>
      </c>
      <c r="BJ257" s="63" t="e">
        <f>BI257+5-$BI$259</f>
        <v>#DIV/0!</v>
      </c>
      <c r="BK257" s="63">
        <v>4.1755720902679903</v>
      </c>
      <c r="BL257" s="63">
        <v>4.1755720902679903</v>
      </c>
      <c r="BM257" s="63">
        <f t="shared" si="225"/>
        <v>3.5425496054054797</v>
      </c>
    </row>
    <row r="258" spans="1:65">
      <c r="A258" s="56" t="s">
        <v>588</v>
      </c>
      <c r="B258" s="56" t="s">
        <v>589</v>
      </c>
      <c r="C258" s="57">
        <v>857.9</v>
      </c>
      <c r="D258" s="58" t="s">
        <v>64</v>
      </c>
      <c r="E258" s="69" t="str" cm="1">
        <f t="array" ref="E258">_xll.ciqfunctions.udf.CIQ(B258,"iq_industry")</f>
        <v>Technology Hardware, Storage and Peripherals</v>
      </c>
      <c r="F258" s="60" t="e">
        <f>'Information Technology'!AA3859</f>
        <v>#DIV/0!</v>
      </c>
      <c r="G258" s="62">
        <v>-30.164775514090572</v>
      </c>
      <c r="J258" s="62">
        <v>1</v>
      </c>
      <c r="K258" s="62">
        <v>1</v>
      </c>
      <c r="L258" s="108">
        <v>1</v>
      </c>
      <c r="M258" s="60">
        <f>'Information Technology'!AA3860</f>
        <v>2.4943256728500001</v>
      </c>
      <c r="N258" s="63">
        <v>0.80233209979999998</v>
      </c>
      <c r="O258" s="63">
        <f t="shared" si="222"/>
        <v>-1.3591427756311232</v>
      </c>
      <c r="P258" s="63">
        <f t="shared" si="223"/>
        <v>-1.7245513598676276</v>
      </c>
      <c r="Q258" s="63">
        <f t="shared" si="221"/>
        <v>2.2754486401323724</v>
      </c>
      <c r="R258" s="62"/>
      <c r="S258" s="63">
        <v>1.5473934564200578</v>
      </c>
      <c r="T258" s="60" t="e">
        <f>'Information Technology'!AA3861</f>
        <v>#DIV/0!</v>
      </c>
      <c r="U258" s="63" t="e">
        <v>#DIV/0!</v>
      </c>
      <c r="V258" s="63" t="e">
        <f t="shared" si="224"/>
        <v>#DIV/0!</v>
      </c>
      <c r="X258" s="63"/>
      <c r="Z258" s="63">
        <v>1</v>
      </c>
      <c r="AA258" s="60" t="e">
        <f>'Information Technology'!AA3862</f>
        <v>#DIV/0!</v>
      </c>
      <c r="AB258" s="63">
        <v>5.0753848464766937E-2</v>
      </c>
      <c r="AC258" s="60" t="e">
        <f>-(AB258-$AB$260)/$AB$261</f>
        <v>#DIV/0!</v>
      </c>
      <c r="AD258" s="60" t="e">
        <f>AC258-$AC$160</f>
        <v>#DIV/0!</v>
      </c>
      <c r="AE258" s="60" t="e">
        <f>AD258+5-$AD$254</f>
        <v>#DIV/0!</v>
      </c>
      <c r="AF258" s="60">
        <v>3.8746199221964348</v>
      </c>
      <c r="AG258" s="60">
        <v>3.8746199221964348</v>
      </c>
      <c r="AH258" s="60" t="e">
        <f>'Information Technology'!AA3863</f>
        <v>#DIV/0!</v>
      </c>
      <c r="AI258" s="63">
        <v>-0.17290022738212216</v>
      </c>
      <c r="AJ258" s="60"/>
      <c r="AL258" s="60"/>
      <c r="AM258" s="60"/>
      <c r="AN258" s="60">
        <v>1</v>
      </c>
      <c r="AO258" s="60" t="e">
        <f>'Information Technology'!AA3864</f>
        <v>#DIV/0!</v>
      </c>
      <c r="AP258" s="60">
        <v>-4.2992157392800927E-2</v>
      </c>
      <c r="AQ258" s="60"/>
      <c r="AR258" s="60"/>
      <c r="AS258" s="60"/>
      <c r="AT258" s="60"/>
      <c r="AU258" s="60">
        <v>1</v>
      </c>
      <c r="AV258" s="60" t="e">
        <f>'Information Technology'!AA3865</f>
        <v>#DIV/0!</v>
      </c>
      <c r="AW258" s="60" t="b">
        <v>0</v>
      </c>
      <c r="AX258" s="60"/>
      <c r="AY258" s="60"/>
      <c r="AZ258" s="60"/>
      <c r="BA258" s="60"/>
      <c r="BB258" s="60">
        <v>1</v>
      </c>
      <c r="BC258" s="60" t="e">
        <f>'Information Technology'!AA3866</f>
        <v>#DIV/0!</v>
      </c>
      <c r="BD258" s="60">
        <v>0.20479519043556704</v>
      </c>
      <c r="BE258" s="60">
        <v>5</v>
      </c>
      <c r="BF258" s="60" t="e">
        <f>'Information Technology'!AA3867</f>
        <v>#DIV/0!</v>
      </c>
      <c r="BG258" s="63">
        <v>9.3016539883034696E-2</v>
      </c>
      <c r="BH258" s="63" t="e">
        <f>-(BG258-$BG$260)/$BG$261</f>
        <v>#DIV/0!</v>
      </c>
      <c r="BI258" s="63" t="e">
        <f>BH258-$BH$181</f>
        <v>#DIV/0!</v>
      </c>
      <c r="BJ258" s="63" t="e">
        <f>BI258+5-$BI$259</f>
        <v>#DIV/0!</v>
      </c>
      <c r="BK258" s="63">
        <v>4.7152508435166878</v>
      </c>
      <c r="BL258" s="63">
        <v>4.7152508435166878</v>
      </c>
      <c r="BM258" s="63">
        <f t="shared" si="225"/>
        <v>3.2437975077670291</v>
      </c>
    </row>
    <row r="259" spans="1:65">
      <c r="A259" s="56" t="s">
        <v>436</v>
      </c>
      <c r="B259" s="56" t="s">
        <v>437</v>
      </c>
      <c r="C259" s="57">
        <v>2690.5</v>
      </c>
      <c r="D259" s="58" t="s">
        <v>64</v>
      </c>
      <c r="E259" s="69" t="str" cm="1">
        <f t="array" ref="E259">_xll.ciqfunctions.udf.CIQ(B259,"iq_industry")</f>
        <v>Technology Hardware, Storage and Peripherals</v>
      </c>
      <c r="F259" s="60">
        <f>'Information Technology'!AA2719</f>
        <v>76.20536704046161</v>
      </c>
      <c r="G259" s="62" t="e">
        <v>#DIV/0!</v>
      </c>
      <c r="K259" s="62">
        <v>1</v>
      </c>
      <c r="L259" s="108">
        <v>1</v>
      </c>
      <c r="M259" s="60">
        <f>'Information Technology'!AA2720</f>
        <v>2.2184259349000004</v>
      </c>
      <c r="N259" s="63">
        <v>2.9639701168000001</v>
      </c>
      <c r="O259" s="63">
        <f t="shared" si="222"/>
        <v>0.36540858423650435</v>
      </c>
      <c r="P259" s="63">
        <f t="shared" si="223"/>
        <v>0</v>
      </c>
      <c r="Q259" s="63">
        <f t="shared" si="221"/>
        <v>4</v>
      </c>
      <c r="R259" s="62"/>
      <c r="S259" s="63">
        <v>3.2719448162876814</v>
      </c>
      <c r="T259" s="60" t="e">
        <f>'Information Technology'!AA2721</f>
        <v>#DIV/0!</v>
      </c>
      <c r="U259" s="63" t="e">
        <v>#DIV/0!</v>
      </c>
      <c r="V259" s="63" t="e">
        <f t="shared" si="224"/>
        <v>#DIV/0!</v>
      </c>
      <c r="X259" s="63"/>
      <c r="Z259" s="63">
        <v>1</v>
      </c>
      <c r="AA259" s="60">
        <f>'Information Technology'!AA2722</f>
        <v>4.0331625771860224E-2</v>
      </c>
      <c r="AB259" s="63" t="e">
        <v>#DIV/0!</v>
      </c>
      <c r="AC259" s="60"/>
      <c r="AD259" s="60"/>
      <c r="AE259" s="60"/>
      <c r="AF259" s="60"/>
      <c r="AG259" s="60">
        <v>1</v>
      </c>
      <c r="AH259" s="60">
        <f>'Information Technology'!AA2723</f>
        <v>-0.20162962085510872</v>
      </c>
      <c r="AI259" s="63" t="e">
        <v>#DIV/0!</v>
      </c>
      <c r="AJ259" s="60"/>
      <c r="AL259" s="60"/>
      <c r="AM259" s="60"/>
      <c r="AN259" s="60">
        <v>1</v>
      </c>
      <c r="AO259" s="60">
        <f>'Information Technology'!AA2724</f>
        <v>0.36488071241146197</v>
      </c>
      <c r="AP259" s="60" t="e">
        <v>#DIV/0!</v>
      </c>
      <c r="AQ259" s="60"/>
      <c r="AR259" s="60"/>
      <c r="AS259" s="60"/>
      <c r="AT259" s="60"/>
      <c r="AU259" s="60">
        <v>1</v>
      </c>
      <c r="AV259" s="60">
        <f>'Information Technology'!AA2725</f>
        <v>0</v>
      </c>
      <c r="AW259" s="60" t="e">
        <v>#DIV/0!</v>
      </c>
      <c r="AX259" s="60"/>
      <c r="AY259" s="60"/>
      <c r="AZ259" s="60"/>
      <c r="BA259" s="60"/>
      <c r="BB259" s="60">
        <v>1</v>
      </c>
      <c r="BC259" s="60">
        <f>'Information Technology'!AA2726</f>
        <v>0</v>
      </c>
      <c r="BD259" s="60" t="e">
        <v>#DIV/0!</v>
      </c>
      <c r="BE259" s="60">
        <v>1</v>
      </c>
      <c r="BF259" s="60">
        <f>'Information Technology'!AA2727</f>
        <v>1.5234289361967346</v>
      </c>
      <c r="BG259" s="63" t="e">
        <v>#DIV/0!</v>
      </c>
      <c r="BI259" s="63"/>
      <c r="BJ259" s="63"/>
      <c r="BL259" s="63">
        <v>1</v>
      </c>
      <c r="BM259" s="63">
        <f t="shared" si="225"/>
        <v>1</v>
      </c>
    </row>
    <row r="260" spans="1:65" ht="23.25">
      <c r="F260" s="64" t="s">
        <v>619</v>
      </c>
      <c r="G260" s="66" t="e">
        <f>AVERAGE(G181:G242)</f>
        <v>#DIV/0!</v>
      </c>
      <c r="M260" s="64" t="s">
        <v>637</v>
      </c>
      <c r="N260" s="66">
        <f>AVERAGE(N127:N259)</f>
        <v>2.5059489144135405</v>
      </c>
      <c r="P260" s="63"/>
      <c r="T260" s="64" t="s">
        <v>622</v>
      </c>
      <c r="U260" s="66" t="e">
        <f>AVERAGE(U252:U259)</f>
        <v>#DIV/0!</v>
      </c>
      <c r="AA260" s="64" t="s">
        <v>624</v>
      </c>
      <c r="AB260" s="66" t="e">
        <f>AVERAGE(AB160:AB254)</f>
        <v>#DIV/0!</v>
      </c>
      <c r="AE260" s="60"/>
      <c r="AF260" s="60"/>
      <c r="AH260" s="64" t="s">
        <v>626</v>
      </c>
      <c r="AI260" s="66" t="e">
        <f>AVERAGE(AI155:AI203)</f>
        <v>#DIV/0!</v>
      </c>
      <c r="AO260" s="64" t="s">
        <v>628</v>
      </c>
      <c r="AP260" s="66" t="e">
        <f>AVERAGE(AP162:AP245)</f>
        <v>#DIV/0!</v>
      </c>
      <c r="AS260" s="60"/>
      <c r="AT260" s="60"/>
      <c r="AV260" s="64" t="s">
        <v>630</v>
      </c>
      <c r="AW260" s="66" t="e">
        <f>AVERAGE(AW205:AW253)</f>
        <v>#DIV/0!</v>
      </c>
      <c r="BF260" s="64" t="s">
        <v>632</v>
      </c>
      <c r="BG260" s="66" t="e">
        <f>AVERAGE(BG181:BG259)</f>
        <v>#DIV/0!</v>
      </c>
      <c r="BI260" s="63"/>
    </row>
    <row r="261" spans="1:65" ht="34.5">
      <c r="F261" s="64" t="s">
        <v>620</v>
      </c>
      <c r="G261" s="65" t="e">
        <f>STDEV(G181:G242)</f>
        <v>#DIV/0!</v>
      </c>
      <c r="H261" s="61"/>
      <c r="I261" s="61"/>
      <c r="J261" s="61"/>
      <c r="K261" s="61"/>
      <c r="L261" s="61"/>
      <c r="M261" s="64" t="s">
        <v>638</v>
      </c>
      <c r="N261" s="65">
        <f>STDEV(N127:N259)</f>
        <v>1.2534494868079327</v>
      </c>
      <c r="P261" s="63"/>
      <c r="T261" s="64" t="s">
        <v>623</v>
      </c>
      <c r="U261" s="65" t="e">
        <f>STDEV(U252:U259)</f>
        <v>#DIV/0!</v>
      </c>
      <c r="AA261" s="64" t="s">
        <v>625</v>
      </c>
      <c r="AB261" s="65" t="e">
        <f>STDEV(AB160:AB254)</f>
        <v>#DIV/0!</v>
      </c>
      <c r="AH261" s="64" t="s">
        <v>627</v>
      </c>
      <c r="AI261" s="65" t="e">
        <f>STDEV(AI155:AI203)</f>
        <v>#DIV/0!</v>
      </c>
      <c r="AO261" s="64" t="s">
        <v>629</v>
      </c>
      <c r="AP261" s="65" t="e">
        <f>STDEV(AP162:AP245)</f>
        <v>#DIV/0!</v>
      </c>
      <c r="AV261" s="64" t="s">
        <v>631</v>
      </c>
      <c r="AW261" s="65" t="e">
        <f>STDEV(AW205:AW253)</f>
        <v>#DIV/0!</v>
      </c>
      <c r="BF261" s="64" t="s">
        <v>633</v>
      </c>
      <c r="BG261" s="65" t="e">
        <f>STDEV(BG181:BG259)</f>
        <v>#DIV/0!</v>
      </c>
      <c r="BI261" s="63"/>
    </row>
    <row r="262" spans="1:65">
      <c r="P262" s="63"/>
    </row>
    <row r="263" spans="1:65" ht="23.25">
      <c r="F263" s="64" t="s">
        <v>635</v>
      </c>
      <c r="G263" s="66" t="e">
        <f>AVERAGE(G83:G124)</f>
        <v>#DIV/0!</v>
      </c>
      <c r="M263" s="64" t="s">
        <v>639</v>
      </c>
      <c r="N263" s="66">
        <f>AVERAGE(N71:N126)</f>
        <v>8.8800952147828731</v>
      </c>
      <c r="P263" s="63"/>
      <c r="T263" s="64" t="s">
        <v>656</v>
      </c>
      <c r="U263" s="66" t="e">
        <f>AVERAGE(U120:U126)</f>
        <v>#DIV/0!</v>
      </c>
      <c r="W263" s="63"/>
      <c r="AA263" s="64" t="s">
        <v>641</v>
      </c>
      <c r="AB263" s="66" t="e">
        <f>AVERAGE(AB83:AB123)</f>
        <v>#DIV/0!</v>
      </c>
      <c r="AH263" s="64" t="s">
        <v>643</v>
      </c>
      <c r="AI263" s="66">
        <f>AVERAGE(AI80:AI110)</f>
        <v>2.1317201799984763E-2</v>
      </c>
      <c r="AO263" s="64" t="s">
        <v>645</v>
      </c>
      <c r="AP263" s="66" t="e">
        <f>AVERAGE(AP85:AP124)</f>
        <v>#DIV/0!</v>
      </c>
      <c r="AV263" s="64" t="s">
        <v>647</v>
      </c>
      <c r="AW263" s="66" t="e">
        <f>AVERAGE(AW93:AW118)</f>
        <v>#DIV/0!</v>
      </c>
      <c r="BD263" s="63"/>
      <c r="BF263" s="64" t="s">
        <v>649</v>
      </c>
      <c r="BG263" s="66" t="e">
        <f>AVERAGE(BG90:BG126)</f>
        <v>#DIV/0!</v>
      </c>
    </row>
    <row r="264" spans="1:65" ht="36" customHeight="1">
      <c r="F264" s="64" t="s">
        <v>636</v>
      </c>
      <c r="G264" s="65" t="e">
        <f>STDEV(G83:G124)</f>
        <v>#DIV/0!</v>
      </c>
      <c r="M264" s="64" t="s">
        <v>640</v>
      </c>
      <c r="N264" s="65">
        <f>STDEV(N71:N126)</f>
        <v>3.3019992594602532</v>
      </c>
      <c r="T264" s="64" t="s">
        <v>657</v>
      </c>
      <c r="U264" s="65" t="e">
        <f>STDEV(U120:U126)</f>
        <v>#DIV/0!</v>
      </c>
      <c r="AA264" s="64" t="s">
        <v>642</v>
      </c>
      <c r="AB264" s="65" t="e">
        <f>STDEV(AB83:AB123)</f>
        <v>#DIV/0!</v>
      </c>
      <c r="AH264" s="64" t="s">
        <v>644</v>
      </c>
      <c r="AI264" s="65">
        <f>STDEV(AI80:AI110)</f>
        <v>0.18665405243311164</v>
      </c>
      <c r="AO264" s="64" t="s">
        <v>646</v>
      </c>
      <c r="AP264" s="65" t="e">
        <f>STDEV(AP85:AP124)</f>
        <v>#DIV/0!</v>
      </c>
      <c r="AV264" s="64" t="s">
        <v>648</v>
      </c>
      <c r="AW264" s="65" t="e">
        <f>STDEV(AW93:AW118)</f>
        <v>#DIV/0!</v>
      </c>
      <c r="BF264" s="64" t="s">
        <v>650</v>
      </c>
      <c r="BG264" s="65" t="e">
        <f>STDEV(BG90:BG126)</f>
        <v>#DIV/0!</v>
      </c>
    </row>
    <row r="266" spans="1:65" ht="23.25">
      <c r="F266" s="64" t="s">
        <v>651</v>
      </c>
      <c r="G266" s="66">
        <f>AVERAGE(G3:G66)</f>
        <v>31.592042921678026</v>
      </c>
      <c r="M266" s="64" t="s">
        <v>653</v>
      </c>
      <c r="N266" s="66">
        <f>AVERAGE(N7:N70)</f>
        <v>155.99423304667005</v>
      </c>
      <c r="T266" s="64" t="s">
        <v>655</v>
      </c>
      <c r="U266" s="66" t="e">
        <f>AVERAGE(U42:U70)</f>
        <v>#DIV/0!</v>
      </c>
      <c r="AA266" s="64" t="s">
        <v>659</v>
      </c>
      <c r="AB266" s="66">
        <f>AVERAGE(AB9:AB69)</f>
        <v>3.8518473587931777E-2</v>
      </c>
      <c r="AH266" s="64" t="s">
        <v>661</v>
      </c>
      <c r="AI266" s="66">
        <f>AVERAGE(Analysis!AI3:AI58)</f>
        <v>0.12814106659959829</v>
      </c>
      <c r="AO266" s="64" t="s">
        <v>663</v>
      </c>
      <c r="AP266" s="66">
        <f>AVERAGE(AP8:AP66)</f>
        <v>8.8723059931564804E-2</v>
      </c>
      <c r="AV266" s="64" t="s">
        <v>665</v>
      </c>
      <c r="AW266" s="66" t="e">
        <f>AVERAGE(AW14:AW67)</f>
        <v>#DIV/0!</v>
      </c>
      <c r="BF266" s="64" t="s">
        <v>667</v>
      </c>
      <c r="BG266" s="66">
        <f>AVERAGE(BG16:BG70)</f>
        <v>34.868062826086955</v>
      </c>
    </row>
    <row r="267" spans="1:65" ht="34.5">
      <c r="F267" s="64" t="s">
        <v>652</v>
      </c>
      <c r="G267" s="65">
        <f>STDEV(G3:G66)</f>
        <v>66.603835055758012</v>
      </c>
      <c r="M267" s="64" t="s">
        <v>654</v>
      </c>
      <c r="N267" s="65">
        <f>STDEV(N7:N70)</f>
        <v>453.81349905646334</v>
      </c>
      <c r="T267" s="64" t="s">
        <v>658</v>
      </c>
      <c r="U267" s="65" t="e">
        <f>STDEV(U42:U70)</f>
        <v>#DIV/0!</v>
      </c>
      <c r="AA267" s="64" t="s">
        <v>660</v>
      </c>
      <c r="AB267" s="65">
        <f>STDEV(AB9:AB69)</f>
        <v>0.11243928596357615</v>
      </c>
      <c r="AH267" s="64" t="s">
        <v>662</v>
      </c>
      <c r="AI267" s="65">
        <f>STDEV(Analysis!AI3:AI58)</f>
        <v>0.19949594924356512</v>
      </c>
      <c r="AO267" s="64" t="s">
        <v>664</v>
      </c>
      <c r="AP267" s="65">
        <f>STDEV(AP8:AP66)</f>
        <v>0.11789893680040707</v>
      </c>
      <c r="AV267" s="64" t="s">
        <v>666</v>
      </c>
      <c r="AW267" s="65" t="e">
        <f>STDEV(AW14:AW67)</f>
        <v>#DIV/0!</v>
      </c>
      <c r="BF267" s="64" t="s">
        <v>668</v>
      </c>
      <c r="BG267" s="65">
        <f>STDEV(BG16:BG70)</f>
        <v>32.376732369408586</v>
      </c>
    </row>
    <row r="272" spans="1:65">
      <c r="E272"/>
      <c r="G272" s="49"/>
      <c r="H272" s="63"/>
      <c r="I272" s="49"/>
      <c r="J272" s="49"/>
      <c r="L272" s="49"/>
      <c r="R272" s="63"/>
      <c r="S272" s="63"/>
      <c r="V272" s="49"/>
      <c r="Y272" s="49"/>
      <c r="Z272" s="49"/>
      <c r="BA272" s="63"/>
      <c r="BD272" s="63"/>
      <c r="BE272" s="63"/>
      <c r="BF272" s="63"/>
      <c r="BH272" s="49"/>
      <c r="BK272" s="49"/>
      <c r="BL272" s="49"/>
      <c r="BM272" s="49"/>
    </row>
  </sheetData>
  <sortState xmlns:xlrd2="http://schemas.microsoft.com/office/spreadsheetml/2017/richdata2" ref="A127:WXA259">
    <sortCondition ref="E127:E259"/>
    <sortCondition descending="1" ref="BM127:BM259"/>
  </sortState>
  <phoneticPr fontId="16" type="noConversion"/>
  <conditionalFormatting sqref="L2:L70">
    <cfRule type="colorScale" priority="18">
      <colorScale>
        <cfvo type="min"/>
        <cfvo type="percentile" val="50"/>
        <cfvo type="max"/>
        <color rgb="FFF8696B"/>
        <color rgb="FFFFEB84"/>
        <color rgb="FF63BE7B"/>
      </colorScale>
    </cfRule>
  </conditionalFormatting>
  <conditionalFormatting sqref="L71:L126">
    <cfRule type="colorScale" priority="27">
      <colorScale>
        <cfvo type="min"/>
        <cfvo type="percentile" val="50"/>
        <cfvo type="max"/>
        <color rgb="FFF8696B"/>
        <color rgb="FFFFEB84"/>
        <color rgb="FF63BE7B"/>
      </colorScale>
    </cfRule>
  </conditionalFormatting>
  <conditionalFormatting sqref="L127:L168 L170:L192 L194:L259">
    <cfRule type="colorScale" priority="35">
      <colorScale>
        <cfvo type="min"/>
        <cfvo type="percentile" val="50"/>
        <cfvo type="max"/>
        <color rgb="FFF8696B"/>
        <color rgb="FFFFEB84"/>
        <color rgb="FF63BE7B"/>
      </colorScale>
    </cfRule>
  </conditionalFormatting>
  <conditionalFormatting sqref="L168:L170">
    <cfRule type="colorScale" priority="2">
      <colorScale>
        <cfvo type="min"/>
        <cfvo type="percentile" val="50"/>
        <cfvo type="max"/>
        <color rgb="FFF8696B"/>
        <color rgb="FFFFEB84"/>
        <color rgb="FF63BE7B"/>
      </colorScale>
    </cfRule>
  </conditionalFormatting>
  <conditionalFormatting sqref="L169">
    <cfRule type="colorScale" priority="3">
      <colorScale>
        <cfvo type="min"/>
        <cfvo type="percentile" val="50"/>
        <cfvo type="max"/>
        <color rgb="FFF8696B"/>
        <color rgb="FFFFEB84"/>
        <color rgb="FF63BE7B"/>
      </colorScale>
    </cfRule>
  </conditionalFormatting>
  <conditionalFormatting sqref="L193">
    <cfRule type="colorScale" priority="1">
      <colorScale>
        <cfvo type="min"/>
        <cfvo type="percentile" val="50"/>
        <cfvo type="max"/>
        <color rgb="FFF8696B"/>
        <color rgb="FFFFEB84"/>
        <color rgb="FF63BE7B"/>
      </colorScale>
    </cfRule>
  </conditionalFormatting>
  <conditionalFormatting sqref="S2:S70">
    <cfRule type="colorScale" priority="17">
      <colorScale>
        <cfvo type="min"/>
        <cfvo type="percentile" val="50"/>
        <cfvo type="max"/>
        <color rgb="FFF8696B"/>
        <color rgb="FFFFEB84"/>
        <color rgb="FF63BE7B"/>
      </colorScale>
    </cfRule>
  </conditionalFormatting>
  <conditionalFormatting sqref="S71:S126">
    <cfRule type="colorScale" priority="26">
      <colorScale>
        <cfvo type="min"/>
        <cfvo type="percentile" val="50"/>
        <cfvo type="max"/>
        <color rgb="FFF8696B"/>
        <color rgb="FFFFEB84"/>
        <color rgb="FF63BE7B"/>
      </colorScale>
    </cfRule>
  </conditionalFormatting>
  <conditionalFormatting sqref="S127:S259">
    <cfRule type="colorScale" priority="34">
      <colorScale>
        <cfvo type="min"/>
        <cfvo type="percentile" val="50"/>
        <cfvo type="max"/>
        <color rgb="FFF8696B"/>
        <color rgb="FFFFEB84"/>
        <color rgb="FF63BE7B"/>
      </colorScale>
    </cfRule>
  </conditionalFormatting>
  <conditionalFormatting sqref="Z2:Z70">
    <cfRule type="colorScale" priority="16">
      <colorScale>
        <cfvo type="min"/>
        <cfvo type="percentile" val="50"/>
        <cfvo type="max"/>
        <color rgb="FFF8696B"/>
        <color rgb="FFFFEB84"/>
        <color rgb="FF63BE7B"/>
      </colorScale>
    </cfRule>
  </conditionalFormatting>
  <conditionalFormatting sqref="Z71:Z126">
    <cfRule type="colorScale" priority="25">
      <colorScale>
        <cfvo type="min"/>
        <cfvo type="percentile" val="50"/>
        <cfvo type="max"/>
        <color rgb="FFF8696B"/>
        <color rgb="FFFFEB84"/>
        <color rgb="FF63BE7B"/>
      </colorScale>
    </cfRule>
  </conditionalFormatting>
  <conditionalFormatting sqref="Z127:Z259">
    <cfRule type="colorScale" priority="33">
      <colorScale>
        <cfvo type="min"/>
        <cfvo type="percentile" val="50"/>
        <cfvo type="max"/>
        <color rgb="FFF8696B"/>
        <color rgb="FFFFEB84"/>
        <color rgb="FF63BE7B"/>
      </colorScale>
    </cfRule>
  </conditionalFormatting>
  <conditionalFormatting sqref="AG2:AG70">
    <cfRule type="colorScale" priority="15">
      <colorScale>
        <cfvo type="min"/>
        <cfvo type="percentile" val="50"/>
        <cfvo type="max"/>
        <color rgb="FFF8696B"/>
        <color rgb="FFFFEB84"/>
        <color rgb="FF63BE7B"/>
      </colorScale>
    </cfRule>
  </conditionalFormatting>
  <conditionalFormatting sqref="AG71:AG126">
    <cfRule type="colorScale" priority="24">
      <colorScale>
        <cfvo type="min"/>
        <cfvo type="percentile" val="50"/>
        <cfvo type="max"/>
        <color rgb="FFF8696B"/>
        <color rgb="FFFFEB84"/>
        <color rgb="FF63BE7B"/>
      </colorScale>
    </cfRule>
  </conditionalFormatting>
  <conditionalFormatting sqref="AG127:AG259">
    <cfRule type="colorScale" priority="32">
      <colorScale>
        <cfvo type="min"/>
        <cfvo type="percentile" val="50"/>
        <cfvo type="max"/>
        <color rgb="FFF8696B"/>
        <color rgb="FFFFEB84"/>
        <color rgb="FF63BE7B"/>
      </colorScale>
    </cfRule>
  </conditionalFormatting>
  <conditionalFormatting sqref="AN2:AN70">
    <cfRule type="colorScale" priority="14">
      <colorScale>
        <cfvo type="min"/>
        <cfvo type="percentile" val="50"/>
        <cfvo type="max"/>
        <color rgb="FFF8696B"/>
        <color rgb="FFFFEB84"/>
        <color rgb="FF63BE7B"/>
      </colorScale>
    </cfRule>
  </conditionalFormatting>
  <conditionalFormatting sqref="AN71:AN126">
    <cfRule type="colorScale" priority="23">
      <colorScale>
        <cfvo type="min"/>
        <cfvo type="percentile" val="50"/>
        <cfvo type="max"/>
        <color rgb="FFF8696B"/>
        <color rgb="FFFFEB84"/>
        <color rgb="FF63BE7B"/>
      </colorScale>
    </cfRule>
  </conditionalFormatting>
  <conditionalFormatting sqref="AN127:AN259">
    <cfRule type="colorScale" priority="31">
      <colorScale>
        <cfvo type="min"/>
        <cfvo type="percentile" val="50"/>
        <cfvo type="max"/>
        <color rgb="FFF8696B"/>
        <color rgb="FFFFEB84"/>
        <color rgb="FF63BE7B"/>
      </colorScale>
    </cfRule>
  </conditionalFormatting>
  <conditionalFormatting sqref="AU2:AU70">
    <cfRule type="colorScale" priority="13">
      <colorScale>
        <cfvo type="min"/>
        <cfvo type="percentile" val="50"/>
        <cfvo type="max"/>
        <color rgb="FFF8696B"/>
        <color rgb="FFFFEB84"/>
        <color rgb="FF63BE7B"/>
      </colorScale>
    </cfRule>
  </conditionalFormatting>
  <conditionalFormatting sqref="AU71:AU126">
    <cfRule type="colorScale" priority="22">
      <colorScale>
        <cfvo type="min"/>
        <cfvo type="percentile" val="50"/>
        <cfvo type="max"/>
        <color rgb="FFF8696B"/>
        <color rgb="FFFFEB84"/>
        <color rgb="FF63BE7B"/>
      </colorScale>
    </cfRule>
  </conditionalFormatting>
  <conditionalFormatting sqref="AU127:AU259">
    <cfRule type="colorScale" priority="30">
      <colorScale>
        <cfvo type="min"/>
        <cfvo type="percentile" val="50"/>
        <cfvo type="max"/>
        <color rgb="FFF8696B"/>
        <color rgb="FFFFEB84"/>
        <color rgb="FF63BE7B"/>
      </colorScale>
    </cfRule>
  </conditionalFormatting>
  <conditionalFormatting sqref="BB2:BB70">
    <cfRule type="colorScale" priority="12">
      <colorScale>
        <cfvo type="min"/>
        <cfvo type="percentile" val="50"/>
        <cfvo type="max"/>
        <color rgb="FFF8696B"/>
        <color rgb="FFFFEB84"/>
        <color rgb="FF63BE7B"/>
      </colorScale>
    </cfRule>
  </conditionalFormatting>
  <conditionalFormatting sqref="BB71:BB126">
    <cfRule type="colorScale" priority="21">
      <colorScale>
        <cfvo type="min"/>
        <cfvo type="percentile" val="50"/>
        <cfvo type="max"/>
        <color rgb="FFF8696B"/>
        <color rgb="FFFFEB84"/>
        <color rgb="FF63BE7B"/>
      </colorScale>
    </cfRule>
  </conditionalFormatting>
  <conditionalFormatting sqref="BB127:BB259">
    <cfRule type="colorScale" priority="29">
      <colorScale>
        <cfvo type="min"/>
        <cfvo type="percentile" val="50"/>
        <cfvo type="max"/>
        <color rgb="FFF8696B"/>
        <color rgb="FFFFEB84"/>
        <color rgb="FF63BE7B"/>
      </colorScale>
    </cfRule>
  </conditionalFormatting>
  <conditionalFormatting sqref="BE2:BE70">
    <cfRule type="colorScale" priority="11">
      <colorScale>
        <cfvo type="min"/>
        <cfvo type="percentile" val="50"/>
        <cfvo type="max"/>
        <color rgb="FFF8696B"/>
        <color rgb="FFFFEB84"/>
        <color rgb="FF63BE7B"/>
      </colorScale>
    </cfRule>
  </conditionalFormatting>
  <conditionalFormatting sqref="BE71:BE126">
    <cfRule type="colorScale" priority="20">
      <colorScale>
        <cfvo type="min"/>
        <cfvo type="percentile" val="50"/>
        <cfvo type="max"/>
        <color rgb="FFF8696B"/>
        <color rgb="FFFFEB84"/>
        <color rgb="FF63BE7B"/>
      </colorScale>
    </cfRule>
  </conditionalFormatting>
  <conditionalFormatting sqref="BE127:BE259">
    <cfRule type="colorScale" priority="28">
      <colorScale>
        <cfvo type="min"/>
        <cfvo type="percentile" val="50"/>
        <cfvo type="max"/>
        <color rgb="FFF8696B"/>
        <color rgb="FFFFEB84"/>
        <color rgb="FF63BE7B"/>
      </colorScale>
    </cfRule>
  </conditionalFormatting>
  <conditionalFormatting sqref="BL2:BL70">
    <cfRule type="colorScale" priority="10">
      <colorScale>
        <cfvo type="min"/>
        <cfvo type="percentile" val="50"/>
        <cfvo type="max"/>
        <color rgb="FFF8696B"/>
        <color rgb="FFFFEB84"/>
        <color rgb="FF63BE7B"/>
      </colorScale>
    </cfRule>
  </conditionalFormatting>
  <conditionalFormatting sqref="BL71:BL126">
    <cfRule type="colorScale" priority="19">
      <colorScale>
        <cfvo type="min"/>
        <cfvo type="percentile" val="50"/>
        <cfvo type="max"/>
        <color rgb="FFF8696B"/>
        <color rgb="FFFFEB84"/>
        <color rgb="FF63BE7B"/>
      </colorScale>
    </cfRule>
  </conditionalFormatting>
  <conditionalFormatting sqref="BL127:BL259">
    <cfRule type="colorScale" priority="7">
      <colorScale>
        <cfvo type="min"/>
        <cfvo type="percentile" val="50"/>
        <cfvo type="max"/>
        <color rgb="FFF8696B"/>
        <color rgb="FFFFEB84"/>
        <color rgb="FF63BE7B"/>
      </colorScale>
    </cfRule>
  </conditionalFormatting>
  <conditionalFormatting sqref="BM2:BM70">
    <cfRule type="colorScale" priority="8">
      <colorScale>
        <cfvo type="min"/>
        <cfvo type="percentile" val="50"/>
        <cfvo type="max"/>
        <color rgb="FFF8696B"/>
        <color rgb="FFFFEB84"/>
        <color rgb="FF63BE7B"/>
      </colorScale>
    </cfRule>
  </conditionalFormatting>
  <conditionalFormatting sqref="BM71:BM126">
    <cfRule type="colorScale" priority="5">
      <colorScale>
        <cfvo type="min"/>
        <cfvo type="percentile" val="50"/>
        <cfvo type="max"/>
        <color rgb="FFF8696B"/>
        <color rgb="FFFFEB84"/>
        <color rgb="FF63BE7B"/>
      </colorScale>
    </cfRule>
  </conditionalFormatting>
  <conditionalFormatting sqref="BM71:BM259">
    <cfRule type="colorScale" priority="9">
      <colorScale>
        <cfvo type="min"/>
        <cfvo type="percentile" val="50"/>
        <cfvo type="max"/>
        <color rgb="FFF8696B"/>
        <color rgb="FFFFEB84"/>
        <color rgb="FF63BE7B"/>
      </colorScale>
    </cfRule>
  </conditionalFormatting>
  <conditionalFormatting sqref="BM127:BM259">
    <cfRule type="colorScale" priority="6">
      <colorScale>
        <cfvo type="min"/>
        <cfvo type="percentile" val="50"/>
        <cfvo type="max"/>
        <color rgb="FFF8696B"/>
        <color rgb="FFFFEB84"/>
        <color rgb="FF63BE7B"/>
      </colorScale>
    </cfRule>
  </conditionalFormatting>
  <pageMargins left="0.2" right="0.2" top="0.5" bottom="0.5" header="0.5" footer="0.5"/>
  <pageSetup fitToWidth="0" fitToHeight="0" orientation="landscape" horizontalDpi="300" verticalDpi="300" r:id="rId1"/>
  <headerFooter alignWithMargins="0"/>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C00137-3861-43DA-8FC2-E1E2D2BFEF5B}">
  <dimension ref="A1:AA3871"/>
  <sheetViews>
    <sheetView topLeftCell="H1137" zoomScale="130" zoomScaleNormal="130" workbookViewId="0">
      <selection activeCell="A1159" sqref="A1159"/>
    </sheetView>
  </sheetViews>
  <sheetFormatPr defaultColWidth="9.140625" defaultRowHeight="15"/>
  <cols>
    <col min="1" max="1" width="30.7109375" style="6" customWidth="1"/>
    <col min="2" max="2" width="3.140625" style="7" bestFit="1" customWidth="1"/>
    <col min="3" max="3" width="8.140625" style="6" customWidth="1"/>
    <col min="4" max="4" width="8.28515625" style="6" customWidth="1"/>
    <col min="5" max="6" width="8.42578125" style="6" customWidth="1"/>
    <col min="7" max="7" width="10.42578125" style="6" bestFit="1" customWidth="1"/>
    <col min="8" max="8" width="7.85546875" style="6" customWidth="1"/>
    <col min="9" max="9" width="8" style="6" bestFit="1" customWidth="1"/>
    <col min="10" max="10" width="9.28515625" style="6" customWidth="1"/>
    <col min="11" max="11" width="7.42578125" style="6" customWidth="1"/>
    <col min="12" max="12" width="9.140625" style="6" bestFit="1" customWidth="1"/>
    <col min="13" max="13" width="11.28515625" style="6" bestFit="1" customWidth="1"/>
    <col min="14" max="14" width="11.7109375" style="6" bestFit="1" customWidth="1"/>
    <col min="15" max="15" width="11.28515625" style="6" bestFit="1" customWidth="1"/>
    <col min="16" max="16" width="9.140625" style="6" bestFit="1" customWidth="1"/>
    <col min="17" max="17" width="18.28515625" style="6" bestFit="1" customWidth="1"/>
    <col min="18" max="18" width="17.42578125" style="6" bestFit="1" customWidth="1"/>
    <col min="19" max="19" width="9" style="43" customWidth="1"/>
    <col min="20" max="20" width="2.7109375" style="6" customWidth="1"/>
    <col min="21" max="22" width="17.85546875" style="6" bestFit="1" customWidth="1"/>
    <col min="23" max="23" width="9" style="48" customWidth="1"/>
    <col min="24" max="24" width="2.7109375" style="6" customWidth="1"/>
    <col min="25" max="26" width="17.85546875" style="6" bestFit="1" customWidth="1"/>
    <col min="27" max="27" width="9" style="48" customWidth="1"/>
    <col min="28" max="16384" width="9.140625" style="6"/>
  </cols>
  <sheetData>
    <row r="1" spans="1:27">
      <c r="R1" s="8" t="s">
        <v>41</v>
      </c>
      <c r="V1" s="8" t="s">
        <v>42</v>
      </c>
      <c r="W1" s="47"/>
      <c r="X1" s="8"/>
      <c r="Y1" s="8"/>
      <c r="Z1" s="8" t="s">
        <v>43</v>
      </c>
    </row>
    <row r="2" spans="1:27">
      <c r="A2" s="9" t="s">
        <v>0</v>
      </c>
      <c r="B2" s="10"/>
      <c r="C2" s="9" t="s">
        <v>1</v>
      </c>
      <c r="D2" s="9" t="s">
        <v>2</v>
      </c>
      <c r="E2" s="9" t="s">
        <v>3</v>
      </c>
      <c r="F2" s="11" t="s">
        <v>4</v>
      </c>
      <c r="G2" s="11" t="s">
        <v>5</v>
      </c>
      <c r="H2" s="9" t="s">
        <v>6</v>
      </c>
      <c r="I2" s="11" t="s">
        <v>7</v>
      </c>
      <c r="J2" s="11" t="s">
        <v>8</v>
      </c>
      <c r="K2" s="11" t="s">
        <v>9</v>
      </c>
      <c r="L2" s="11" t="s">
        <v>10</v>
      </c>
      <c r="M2" s="11" t="s">
        <v>11</v>
      </c>
      <c r="N2" s="11" t="s">
        <v>12</v>
      </c>
      <c r="O2" s="11" t="s">
        <v>13</v>
      </c>
      <c r="P2" s="11" t="s">
        <v>14</v>
      </c>
      <c r="Q2" s="37" t="s">
        <v>15</v>
      </c>
      <c r="R2" s="42">
        <f>_xll.ciqfunctions.udf.CIQ(A3,("IQ_LASTSALEPRICE"))</f>
        <v>48.064999999999998</v>
      </c>
      <c r="S2" s="44"/>
      <c r="U2" s="37" t="s">
        <v>15</v>
      </c>
      <c r="V2" s="42">
        <f>_xll.ciqfunctions.udf.CIQ(A3,("IQ_LASTSALEPRICE"))</f>
        <v>48.064999999999998</v>
      </c>
      <c r="W2" s="44"/>
      <c r="Y2" s="37" t="s">
        <v>15</v>
      </c>
      <c r="Z2" s="42">
        <f>_xll.ciqfunctions.udf.CIQ(A3,("IQ_LASTSALEPRICE"))</f>
        <v>48.064999999999998</v>
      </c>
      <c r="AA2" s="44"/>
    </row>
    <row r="3" spans="1:27">
      <c r="A3" s="12" t="str">
        <f>Analysis!B2</f>
        <v>NasdaqGS:CSCO</v>
      </c>
      <c r="B3" s="13">
        <v>1</v>
      </c>
      <c r="C3" s="14" t="s">
        <v>16</v>
      </c>
      <c r="D3" s="15">
        <f>IF(A11=A12,_xll.ciqfunctions.udf.CIQ(A3,"IQ_TOTAL_REV",IQ_FY-10)/I3,_xll.ciqfunctions.udf.CIQ(A3, "IQ_TOTAL_REV",IQ_FY-9)/I3)</f>
        <v>9.2449738573566194</v>
      </c>
      <c r="E3" s="16"/>
      <c r="F3" s="15">
        <f>IF(A11=A12,_xll.ciqfunctions.udf.CIQ(A3,"IQ_DILUT_EPS_EXCL",IQ_FY-10), _xll.ciqfunctions.udf.CIQ(A3, "IQ_DILUT_EPS_EXCL",IQ_FY-9))</f>
        <v>1.49</v>
      </c>
      <c r="G3" s="15">
        <f>IF(A11=A12,_xll.ciqfunctions.udf.CIQ(A3,"IQ_EBITDA_MARGIN",IQ_FY-10), _xll.ciqfunctions.udf.CIQ(A3, "IQ_EBITDA_MARGIN",IQ_FY-9))</f>
        <v>26.816800000000001</v>
      </c>
      <c r="H3" s="15">
        <f>IF(A11=A12,_xll.ciqfunctions.udf.CIQ(A3,"IQ_TOTAL_DIV_PAID_CF",IQ_FY-10)/-I3, _xll.ciqfunctions.udf.CIQ(A3, "IQ_TOTAL_DIV_PAID_CF",IQ_FY-9)/-I3)</f>
        <v>0.73697789139082293</v>
      </c>
      <c r="I3" s="17">
        <f>IF(A11=A12,_xll.ciqfunctions.udf.CIQ(A3,"IQ_TOTAL_OUTSTANDING_FILING_DATE",IQ_FY-10), _xll.ciqfunctions.udf.CIQ(A3, "IQ_TOTAL_OUTSTANDING_FILING_DATE",IQ_FY-9))</f>
        <v>5099.2031699999998</v>
      </c>
      <c r="J3" s="17">
        <f>IF(A11=A12,_xll.ciqfunctions.udf.CIQ(A3,"IQ_CASH_OPER",IQ_FY-10), _xll.ciqfunctions.udf.CIQ(A3, "IQ_CASH_OPER",IQ_FY-9))</f>
        <v>12332</v>
      </c>
      <c r="K3" s="17">
        <f>IF(A11=A12,_xll.ciqfunctions.udf.CIQ(A3,"IQ_CAPEX",IQ_FY-10), _xll.ciqfunctions.udf.CIQ(A3, "IQ_CAPEX",IQ_FY-9))</f>
        <v>-1275</v>
      </c>
      <c r="L3" s="15">
        <f t="shared" ref="L3:L13" si="0">(J3+K3)/I3</f>
        <v>2.1683780056169053</v>
      </c>
      <c r="M3" s="17">
        <f>IF(A11=A12,_xll.ciqfunctions.udf.CIQ(A3,"IQ_TOTAL_DEBT_ISSUED",IQ_FY-10), _xll.ciqfunctions.udf.CIQ(A3, "IQ_TOTAL_DEBT_ISSUED",IQ_FY-9))</f>
        <v>7981</v>
      </c>
      <c r="N3" s="17">
        <f>IF(A11=A12,_xll.ciqfunctions.udf.CIQ(A3,"IQ_TOTAL_DEBT_REPAID",IQ_FY-10), _xll.ciqfunctions.udf.CIQ(A3, "IQ_TOTAL_DEBT_REPAID",IQ_FY-9))</f>
        <v>-3278</v>
      </c>
      <c r="O3" s="15">
        <f t="shared" ref="O3:O13" si="1">(M3+N3)/I3</f>
        <v>0.92230096413279417</v>
      </c>
      <c r="P3" s="15">
        <f t="shared" ref="P3:P13" si="2">L3+O3</f>
        <v>3.0906789697496997</v>
      </c>
      <c r="W3" s="43"/>
      <c r="AA3" s="43"/>
    </row>
    <row r="4" spans="1:27">
      <c r="A4" s="18" t="str">
        <f>_xll.ciqfunctions.udf.CIQ(A3,"IQ_COMPANY_NAME")</f>
        <v>Cisco Systems, Inc.</v>
      </c>
      <c r="B4" s="13">
        <v>2</v>
      </c>
      <c r="C4" s="14" t="s">
        <v>17</v>
      </c>
      <c r="D4" s="15">
        <f>IF(A11=A12,_xll.ciqfunctions.udf.CIQ(A3,"IQ_TOTAL_REV",IQ_FY-9)/I4, _xll.ciqfunctions.udf.CIQ(A3, "IQ_TOTAL_REV",IQ_FY-8)/I4)</f>
        <v>9.7131300604790685</v>
      </c>
      <c r="E4" s="16">
        <f t="shared" ref="E4:E13" si="3">(D4-D3)/D3</f>
        <v>5.0638996966975443E-2</v>
      </c>
      <c r="F4" s="15">
        <f>IF(A11=A12,_xll.ciqfunctions.udf.CIQ(A3,"IQ_DILUT_EPS_EXCL",IQ_FY-9), _xll.ciqfunctions.udf.CIQ(A3, "IQ_DILUT_EPS_EXCL",IQ_FY-8))</f>
        <v>1.75</v>
      </c>
      <c r="G4" s="15">
        <f>IF(A11=A12,_xll.ciqfunctions.udf.CIQ(A3,"IQ_EBITDA_MARGIN",IQ_FY-9), _xll.ciqfunctions.udf.CIQ(A3, "IQ_EBITDA_MARGIN",IQ_FY-8))</f>
        <v>27.594999999999999</v>
      </c>
      <c r="H4" s="15">
        <f>IF(A11=A12,_xll.ciqfunctions.udf.CIQ(A3,"IQ_TOTAL_DIV_PAID_CF",IQ_FY-9)/-I4, _xll.ciqfunctions.udf.CIQ(A3, "IQ_TOTAL_DIV_PAID_CF",IQ_FY-8)/-I4)</f>
        <v>0.80730354197671883</v>
      </c>
      <c r="I4" s="17">
        <f>IF(A11=A12,_xll.ciqfunctions.udf.CIQ(A3,"IQ_TOTAL_OUTSTANDING_FILING_DATE",IQ_FY-9), _xll.ciqfunctions.udf.CIQ(A3, "IQ_TOTAL_OUTSTANDING_FILING_DATE",IQ_FY-8))</f>
        <v>5061.2932899999996</v>
      </c>
      <c r="J4" s="17">
        <f>IF(A11=A12,_xll.ciqfunctions.udf.CIQ(A3,"IQ_CASH_OPER",IQ_FY-9), _xll.ciqfunctions.udf.CIQ(A3, "IQ_CASH_OPER",IQ_FY-8))</f>
        <v>12552</v>
      </c>
      <c r="K4" s="17">
        <f>IF(A11=A12,_xll.ciqfunctions.udf.CIQ(A3,"IQ_CAPEX",IQ_FY-9), _xll.ciqfunctions.udf.CIQ(A3, "IQ_CAPEX",IQ_FY-8))</f>
        <v>-1227</v>
      </c>
      <c r="L4" s="15">
        <f t="shared" si="0"/>
        <v>2.2375703898400245</v>
      </c>
      <c r="M4" s="17">
        <f>IF(A11=A12,_xll.ciqfunctions.udf.CIQ(A3,"IQ_TOTAL_DEBT_ISSUED",IQ_FY-9), _xll.ciqfunctions.udf.CIQ(A3, "IQ_TOTAL_DEBT_ISSUED",IQ_FY-8))</f>
        <v>4981</v>
      </c>
      <c r="N4" s="17">
        <f>IF(A11=A12,_xll.ciqfunctions.udf.CIQ(A3,"IQ_TOTAL_DEBT_REPAID",IQ_FY-9), _xll.ciqfunctions.udf.CIQ(A3, "IQ_TOTAL_DEBT_REPAID",IQ_FY-8))</f>
        <v>-512</v>
      </c>
      <c r="O4" s="15">
        <f t="shared" si="1"/>
        <v>0.88297590041457574</v>
      </c>
      <c r="P4" s="15">
        <f t="shared" si="2"/>
        <v>3.1205462902546004</v>
      </c>
      <c r="Q4" s="25" t="s">
        <v>18</v>
      </c>
      <c r="R4" s="39" t="s">
        <v>19</v>
      </c>
      <c r="S4" s="1">
        <f>R2/((AVERAGE(P8:P13))*(1+E14)^3)</f>
        <v>14.46442372718764</v>
      </c>
      <c r="U4" s="25" t="s">
        <v>48</v>
      </c>
      <c r="V4" s="39" t="s">
        <v>19</v>
      </c>
      <c r="W4" s="1">
        <f>V2/((AVERAGE(P8:P13))*(1+E14)^3)</f>
        <v>14.46442372718764</v>
      </c>
      <c r="Y4" s="25" t="s">
        <v>39</v>
      </c>
      <c r="Z4" s="39" t="s">
        <v>19</v>
      </c>
      <c r="AA4" s="1">
        <f>Z2/((AVERAGE(P8:P13))*(1+E14)^3)</f>
        <v>14.46442372718764</v>
      </c>
    </row>
    <row r="5" spans="1:27">
      <c r="B5" s="13">
        <v>3</v>
      </c>
      <c r="C5" s="14" t="s">
        <v>20</v>
      </c>
      <c r="D5" s="15" cm="1">
        <f t="array" ref="D5">_xlfn.SINGLE(IF(A11=A12,_xll.ciqfunctions.udf.CIQ(A3,"IQ_TOTAL_REV",IQ_FY-8)/I5, _xll.ciqfunctions.udf.CIQ(A3, "IQ_TOTAL_REV",IQ_FY-7)/I5))</f>
        <v>9.8212056168361777</v>
      </c>
      <c r="E5" s="16">
        <f t="shared" si="3"/>
        <v>1.1126748605668183E-2</v>
      </c>
      <c r="F5" s="15">
        <f>IF(A11=A12,_xll.ciqfunctions.udf.CIQ(A3,"IQ_DILUT_EPS_EXCL",IQ_FY-8), _xll.ciqfunctions.udf.CIQ(A3, "IQ_DILUT_EPS_EXCL",IQ_FY-7))</f>
        <v>2.11</v>
      </c>
      <c r="G5" s="15">
        <f>IF(A11=A12,_xll.ciqfunctions.udf.CIQ(A3,"IQ_EBITDA_MARGIN",IQ_FY-8), _xll.ciqfunctions.udf.CIQ(A3, "IQ_EBITDA_MARGIN",IQ_FY-7))</f>
        <v>29.979399999999998</v>
      </c>
      <c r="H5" s="15">
        <f>IF(A11=A12,_xll.ciqfunctions.udf.CIQ(A3,"IQ_TOTAL_DIV_PAID_CF",IQ_FY-8)/-I5, _xll.ciqfunctions.udf.CIQ(A3, "IQ_TOTAL_DIV_PAID_CF",IQ_FY-7)/-I5)</f>
        <v>0.94728057912099917</v>
      </c>
      <c r="I5" s="17">
        <f>IF(A11=A12,_xll.ciqfunctions.udf.CIQ(A3,"IQ_TOTAL_OUTSTANDING_FILING_DATE",IQ_FY-8), _xll.ciqfunctions.udf.CIQ(A3, "IQ_TOTAL_OUTSTANDING_FILING_DATE",IQ_FY-7))</f>
        <v>5014.35383</v>
      </c>
      <c r="J5" s="17">
        <f>IF(A11=A12,_xll.ciqfunctions.udf.CIQ(A3,"IQ_CASH_OPER",IQ_FY-8), _xll.ciqfunctions.udf.CIQ(A3, "IQ_CASH_OPER",IQ_FY-7))</f>
        <v>13570</v>
      </c>
      <c r="K5" s="17">
        <f>IF(A11=A12,_xll.ciqfunctions.udf.CIQ(A3,"IQ_CAPEX",IQ_FY-8), _xll.ciqfunctions.udf.CIQ(A3, "IQ_CAPEX",IQ_FY-7))</f>
        <v>-1146</v>
      </c>
      <c r="L5" s="15">
        <f t="shared" si="0"/>
        <v>2.4776871399998512</v>
      </c>
      <c r="M5" s="17">
        <f>IF(A11=A12,_xll.ciqfunctions.udf.CIQ(A3,"IQ_TOTAL_DEBT_ISSUED",IQ_FY-8), _xll.ciqfunctions.udf.CIQ(A3, "IQ_TOTAL_DEBT_ISSUED",IQ_FY-7))</f>
        <v>6978</v>
      </c>
      <c r="N5" s="17">
        <f>IF(A11=A12,_xll.ciqfunctions.udf.CIQ(A3,"IQ_TOTAL_DEBT_REPAID",IQ_FY-8), _xll.ciqfunctions.udf.CIQ(A3, "IQ_TOTAL_DEBT_REPAID",IQ_FY-7))</f>
        <v>-3867</v>
      </c>
      <c r="O5" s="15">
        <f t="shared" si="1"/>
        <v>0.62041892245166907</v>
      </c>
      <c r="P5" s="15">
        <f t="shared" si="2"/>
        <v>3.0981060624515204</v>
      </c>
      <c r="Q5" s="25" t="s">
        <v>21</v>
      </c>
      <c r="R5" s="38" t="s">
        <v>49</v>
      </c>
      <c r="S5" s="2">
        <f>(R2*I13)/1000</f>
        <v>195.3109585592</v>
      </c>
      <c r="U5" s="25" t="s">
        <v>59</v>
      </c>
      <c r="V5" s="38" t="s">
        <v>49</v>
      </c>
      <c r="W5" s="2">
        <f>(V2*I13)/1000</f>
        <v>195.3109585592</v>
      </c>
      <c r="Y5" s="25" t="s">
        <v>46</v>
      </c>
      <c r="Z5" s="38" t="s">
        <v>49</v>
      </c>
      <c r="AA5" s="2">
        <f>(Z2*I13)/1000</f>
        <v>195.3109585592</v>
      </c>
    </row>
    <row r="6" spans="1:27">
      <c r="A6" s="18"/>
      <c r="B6" s="13">
        <v>4</v>
      </c>
      <c r="C6" s="14" t="s">
        <v>22</v>
      </c>
      <c r="D6" s="15" cm="1">
        <f t="array" ref="D6">_xlfn.SINGLE(IF(A11=A12,_xll.ciqfunctions.udf.CIQ(A3,"IQ_TOTAL_REV",IQ_FY-7)/I6, _xll.ciqfunctions.udf.CIQ(A3, "IQ_TOTAL_REV",IQ_FY-6)/I6))</f>
        <v>9.6941494339049878</v>
      </c>
      <c r="E6" s="16">
        <f t="shared" si="3"/>
        <v>-1.2936923213722506E-2</v>
      </c>
      <c r="F6" s="15">
        <f>IF(A11=A12,_xll.ciqfunctions.udf.CIQ(A3,"IQ_DILUT_EPS_EXCL",IQ_FY-7), _xll.ciqfunctions.udf.CIQ(A3, "IQ_DILUT_EPS_EXCL",IQ_FY-6))</f>
        <v>1.9</v>
      </c>
      <c r="G6" s="15">
        <f>IF(A11=A12,_xll.ciqfunctions.udf.CIQ(A3,"IQ_EBITDA_MARGIN",IQ_FY-7), _xll.ciqfunctions.udf.CIQ(A3, "IQ_EBITDA_MARGIN",IQ_FY-6))</f>
        <v>30.5259</v>
      </c>
      <c r="H6" s="15">
        <f>IF(A11=A12,_xll.ciqfunctions.udf.CIQ(A3,"IQ_TOTAL_DIV_PAID_CF",IQ_FY-7)/-I6, _xll.ciqfunctions.udf.CIQ(A3, "IQ_TOTAL_DIV_PAID_CF",IQ_FY-6)/-I6)</f>
        <v>1.1128936054629808</v>
      </c>
      <c r="I6" s="17">
        <f>IF(A11=A12,_xll.ciqfunctions.udf.CIQ(A3,"IQ_TOTAL_OUTSTANDING_FILING_DATE",IQ_FY-7), _xll.ciqfunctions.udf.CIQ(A3, "IQ_TOTAL_OUTSTANDING_FILING_DATE",IQ_FY-6))</f>
        <v>4951.9558500000003</v>
      </c>
      <c r="J6" s="17">
        <f>IF(A11=A12,_xll.ciqfunctions.udf.CIQ(A3,"IQ_CASH_OPER",IQ_FY-7), _xll.ciqfunctions.udf.CIQ(A3, "IQ_CASH_OPER",IQ_FY-6))</f>
        <v>13876</v>
      </c>
      <c r="K6" s="17">
        <f>IF(A11=A12,_xll.ciqfunctions.udf.CIQ(A3,"IQ_CAPEX",IQ_FY-7), _xll.ciqfunctions.udf.CIQ(A3, "IQ_CAPEX",IQ_FY-6))</f>
        <v>-964</v>
      </c>
      <c r="L6" s="15">
        <f t="shared" si="0"/>
        <v>2.6074545878675393</v>
      </c>
      <c r="M6" s="17">
        <f>IF(A11=A12,_xll.ciqfunctions.udf.CIQ(A3,"IQ_TOTAL_DEBT_ISSUED",IQ_FY-7), _xll.ciqfunctions.udf.CIQ(A3, "IQ_TOTAL_DEBT_ISSUED",IQ_FY-6))</f>
        <v>9477</v>
      </c>
      <c r="N6" s="17">
        <f>IF(A11=A12,_xll.ciqfunctions.udf.CIQ(A3,"IQ_TOTAL_DEBT_REPAID",IQ_FY-7), _xll.ciqfunctions.udf.CIQ(A3, "IQ_TOTAL_DEBT_REPAID",IQ_FY-6))</f>
        <v>-4151</v>
      </c>
      <c r="O6" s="15">
        <f t="shared" si="1"/>
        <v>1.0755346294131438</v>
      </c>
      <c r="P6" s="15">
        <f t="shared" si="2"/>
        <v>3.6829892172806833</v>
      </c>
      <c r="Q6" s="25" t="s">
        <v>23</v>
      </c>
      <c r="R6" s="38" t="s">
        <v>24</v>
      </c>
      <c r="S6" s="1">
        <f>R2/(AVERAGE(H8:H13)*(1+H14)/(0.5-H14))</f>
        <v>15.217087419984505</v>
      </c>
      <c r="U6" s="25" t="s">
        <v>40</v>
      </c>
      <c r="V6" s="38" t="s">
        <v>24</v>
      </c>
      <c r="W6" s="1">
        <f>V2/(AVERAGE(H8:H13)*(1+H14)/(0.5-H14))</f>
        <v>15.217087419984505</v>
      </c>
      <c r="Y6" s="25" t="s">
        <v>47</v>
      </c>
      <c r="Z6" s="38" t="s">
        <v>24</v>
      </c>
      <c r="AA6" s="1">
        <f>Z2/(AVERAGE(H8:H13)*(1+H14)/(0.5-H14))</f>
        <v>15.217087419984505</v>
      </c>
    </row>
    <row r="7" spans="1:27">
      <c r="B7" s="13">
        <v>5</v>
      </c>
      <c r="C7" s="14" t="s">
        <v>25</v>
      </c>
      <c r="D7" s="15" cm="1">
        <f t="array" ref="D7">_xlfn.SINGLE(IF(A11=A12,_xll.ciqfunctions.udf.CIQ(A3,"IQ_TOTAL_REV",IQ_FY-6)/I7, _xll.ciqfunctions.udf.CIQ(A3, "IQ_TOTAL_REV",IQ_FY-5)/I7))</f>
        <v>10.791160411651729</v>
      </c>
      <c r="E7" s="16">
        <f t="shared" si="3"/>
        <v>0.11316216912336624</v>
      </c>
      <c r="F7" s="15">
        <f>IF(A11=A12,_xll.ciqfunctions.udf.CIQ(A3,"IQ_DILUT_EPS_EXCL",IQ_FY-6), _xll.ciqfunctions.udf.CIQ(A3, "IQ_DILUT_EPS_EXCL",IQ_FY-5))</f>
        <v>0.02</v>
      </c>
      <c r="G7" s="15">
        <f>IF(A11=A12,_xll.ciqfunctions.udf.CIQ(A3,"IQ_EBITDA_MARGIN",IQ_FY-6), _xll.ciqfunctions.udf.CIQ(A3, "IQ_EBITDA_MARGIN",IQ_FY-5))</f>
        <v>29.9939</v>
      </c>
      <c r="H7" s="15">
        <f>IF(A11=A12,_xll.ciqfunctions.udf.CIQ(A3,"IQ_TOTAL_DIV_PAID_CF",IQ_FY-6)/-I7, _xll.ciqfunctions.udf.CIQ(A3, "IQ_TOTAL_DIV_PAID_CF",IQ_FY-5)/-I7)</f>
        <v>1.3055269681073893</v>
      </c>
      <c r="I7" s="17">
        <f>IF(A11=A12,_xll.ciqfunctions.udf.CIQ(A3,"IQ_TOTAL_OUTSTANDING_FILING_DATE",IQ_FY-6), _xll.ciqfunctions.udf.CIQ(A3, "IQ_TOTAL_OUTSTANDING_FILING_DATE",IQ_FY-5))</f>
        <v>4571.3341399999999</v>
      </c>
      <c r="J7" s="17">
        <f>IF(A11=A12,_xll.ciqfunctions.udf.CIQ(A3,"IQ_CASH_OPER",IQ_FY-6), _xll.ciqfunctions.udf.CIQ(A3, "IQ_CASH_OPER",IQ_FY-5))</f>
        <v>13666</v>
      </c>
      <c r="K7" s="17">
        <f>IF(A11=A12,_xll.ciqfunctions.udf.CIQ(A3,"IQ_CAPEX",IQ_FY-6), _xll.ciqfunctions.udf.CIQ(A3, "IQ_CAPEX",IQ_FY-5))</f>
        <v>-834</v>
      </c>
      <c r="L7" s="15">
        <f t="shared" si="0"/>
        <v>2.807057985045915</v>
      </c>
      <c r="M7" s="17">
        <f>IF(A11=A12,_xll.ciqfunctions.udf.CIQ(A3,"IQ_TOTAL_DEBT_ISSUED",IQ_FY-6), _xll.ciqfunctions.udf.CIQ(A3, "IQ_TOTAL_DEBT_ISSUED",IQ_FY-5))</f>
        <v>6877</v>
      </c>
      <c r="N7" s="17">
        <f>IF(A11=A12,_xll.ciqfunctions.udf.CIQ(A3,"IQ_TOTAL_DEBT_REPAID",IQ_FY-6), _xll.ciqfunctions.udf.CIQ(A3, "IQ_TOTAL_DEBT_REPAID",IQ_FY-5))</f>
        <v>-14877</v>
      </c>
      <c r="O7" s="15">
        <f t="shared" si="1"/>
        <v>-1.7500361502780017</v>
      </c>
      <c r="P7" s="15">
        <f t="shared" si="2"/>
        <v>1.0570218347679132</v>
      </c>
      <c r="Q7" s="18"/>
      <c r="R7" s="38" t="s">
        <v>50</v>
      </c>
      <c r="S7" s="3">
        <f>I14</f>
        <v>-8.7160929015692723E-3</v>
      </c>
      <c r="U7" s="18"/>
      <c r="V7" s="38" t="s">
        <v>50</v>
      </c>
      <c r="W7" s="3">
        <f>I14</f>
        <v>-8.7160929015692723E-3</v>
      </c>
      <c r="Y7" s="18"/>
      <c r="Z7" s="38" t="s">
        <v>50</v>
      </c>
      <c r="AA7" s="3">
        <f>I14</f>
        <v>-8.7160929015692723E-3</v>
      </c>
    </row>
    <row r="8" spans="1:27">
      <c r="B8" s="13">
        <v>6</v>
      </c>
      <c r="C8" s="14" t="s">
        <v>26</v>
      </c>
      <c r="D8" s="15" cm="1">
        <f t="array" ref="D8">_xlfn.SINGLE(IF(A11=A12,_xll.ciqfunctions.udf.CIQ(A3,"IQ_TOTAL_REV",IQ_FY-5)/I8, _xll.ciqfunctions.udf.CIQ(A3, "IQ_TOTAL_REV",IQ_FY-4)/I8))</f>
        <v>12.226254787767479</v>
      </c>
      <c r="E8" s="16">
        <f t="shared" si="3"/>
        <v>0.13298795693614282</v>
      </c>
      <c r="F8" s="15">
        <f>IF(A11=A12,_xll.ciqfunctions.udf.CIQ(A3,"IQ_DILUT_EPS_EXCL",IQ_FY-5), _xll.ciqfunctions.udf.CIQ(A3, "IQ_DILUT_EPS_EXCL",IQ_FY-4))</f>
        <v>2.61</v>
      </c>
      <c r="G8" s="15">
        <f>IF(A11=A12,_xll.ciqfunctions.udf.CIQ(A3,"IQ_EBITDA_MARGIN",IQ_FY-5), _xll.ciqfunctions.udf.CIQ(A3, "IQ_EBITDA_MARGIN",IQ_FY-4))</f>
        <v>31.473400000000002</v>
      </c>
      <c r="H8" s="15">
        <f>IF(A11=A12,_xll.ciqfunctions.udf.CIQ(A3,"IQ_TOTAL_DIV_PAID_CF",IQ_FY-5)/-I8, _xll.ciqfunctions.udf.CIQ(A3, "IQ_TOTAL_DIV_PAID_CF",IQ_FY-4)/-I8)</f>
        <v>1.4083842743538411</v>
      </c>
      <c r="I8" s="17">
        <f>IF(A11=A12,_xll.ciqfunctions.udf.CIQ(A3,"IQ_TOTAL_OUTSTANDING_FILING_DATE",IQ_FY-5), _xll.ciqfunctions.udf.CIQ(A3, "IQ_TOTAL_OUTSTANDING_FILING_DATE",IQ_FY-4))</f>
        <v>4245.2902299999996</v>
      </c>
      <c r="J8" s="17">
        <f>IF(A11=A12,_xll.ciqfunctions.udf.CIQ(A3,"IQ_CASH_OPER",IQ_FY-5), _xll.ciqfunctions.udf.CIQ(A3, "IQ_CASH_OPER",IQ_FY-4))</f>
        <v>15831</v>
      </c>
      <c r="K8" s="17">
        <f>IF(A11=A12,_xll.ciqfunctions.udf.CIQ(A3,"IQ_CAPEX",IQ_FY-5), _xll.ciqfunctions.udf.CIQ(A3, "IQ_CAPEX",IQ_FY-4))</f>
        <v>-909</v>
      </c>
      <c r="L8" s="15">
        <f t="shared" si="0"/>
        <v>3.5149540294209758</v>
      </c>
      <c r="M8" s="17">
        <f>IF(A11=A12,_xll.ciqfunctions.udf.CIQ(A3,"IQ_TOTAL_DEBT_ISSUED",IQ_FY-5), _xll.ciqfunctions.udf.CIQ(A3, "IQ_TOTAL_DEBT_ISSUED",IQ_FY-4))</f>
        <v>5696</v>
      </c>
      <c r="N8" s="17">
        <f>IF(A11=A12,_xll.ciqfunctions.udf.CIQ(A3,"IQ_TOTAL_DEBT_REPAID",IQ_FY-5), _xll.ciqfunctions.udf.CIQ(A3, "IQ_TOTAL_DEBT_REPAID",IQ_FY-4))</f>
        <v>-6780</v>
      </c>
      <c r="O8" s="15">
        <f t="shared" si="1"/>
        <v>-0.25534178849298605</v>
      </c>
      <c r="P8" s="15">
        <f t="shared" si="2"/>
        <v>3.2596122409279897</v>
      </c>
      <c r="Q8" s="25" t="s">
        <v>27</v>
      </c>
      <c r="R8" s="38" t="s">
        <v>51</v>
      </c>
      <c r="S8" s="4">
        <f>AVERAGE(F8:F13)/AVERAGE(D8:D13)</f>
        <v>0.22136911373782567</v>
      </c>
      <c r="U8" s="25" t="s">
        <v>58</v>
      </c>
      <c r="V8" s="38" t="s">
        <v>51</v>
      </c>
      <c r="W8" s="4">
        <f>AVERAGE(F8:F13)/AVERAGE(D8:D13)</f>
        <v>0.22136911373782567</v>
      </c>
      <c r="Y8" s="25" t="s">
        <v>56</v>
      </c>
      <c r="Z8" s="38" t="s">
        <v>51</v>
      </c>
      <c r="AA8" s="4">
        <f>AVERAGE(F8:F13)/AVERAGE(D8:D13)</f>
        <v>0.22136911373782567</v>
      </c>
    </row>
    <row r="9" spans="1:27">
      <c r="A9" s="18"/>
      <c r="B9" s="13">
        <v>7</v>
      </c>
      <c r="C9" s="14" t="s">
        <v>28</v>
      </c>
      <c r="D9" s="15" cm="1">
        <f t="array" ref="D9">_xlfn.SINGLE(IF(A11=A12,_xll.ciqfunctions.udf.CIQ(A3,"IQ_TOTAL_REV",IQ_FY-4)/I9, _xll.ciqfunctions.udf.CIQ(A3, "IQ_TOTAL_REV",IQ_FY-3)/I9))</f>
        <v>11.645652516887449</v>
      </c>
      <c r="E9" s="16">
        <f t="shared" si="3"/>
        <v>-4.7488154055232851E-2</v>
      </c>
      <c r="F9" s="15">
        <f>IF(A11=A12,_xll.ciqfunctions.udf.CIQ(A3,"IQ_DILUT_EPS_EXCL",IQ_FY-4), _xll.ciqfunctions.udf.CIQ(A3, "IQ_DILUT_EPS_EXCL",IQ_FY-3))</f>
        <v>2.64</v>
      </c>
      <c r="G9" s="15">
        <f>IF(A11=A12,_xll.ciqfunctions.udf.CIQ(A3,"IQ_EBITDA_MARGIN",IQ_FY-4), _xll.ciqfunctions.udf.CIQ(A3, "IQ_EBITDA_MARGIN",IQ_FY-3))</f>
        <v>32.092599999999997</v>
      </c>
      <c r="H9" s="15">
        <f>IF(A11=A12,_xll.ciqfunctions.udf.CIQ(A3,"IQ_TOTAL_DIV_PAID_CF",IQ_FY-4)/-I9, _xll.ciqfunctions.udf.CIQ(A3, "IQ_TOTAL_DIV_PAID_CF",IQ_FY-3)/-I9)</f>
        <v>1.4210714902658139</v>
      </c>
      <c r="I9" s="17">
        <f>IF(A11=A12,_xll.ciqfunctions.udf.CIQ(A3,"IQ_TOTAL_OUTSTANDING_FILING_DATE",IQ_FY-4), _xll.ciqfunctions.udf.CIQ(A3, "IQ_TOTAL_OUTSTANDING_FILING_DATE",IQ_FY-3))</f>
        <v>4233.4252999999999</v>
      </c>
      <c r="J9" s="17">
        <f>IF(A11=A12,_xll.ciqfunctions.udf.CIQ(A3,"IQ_CASH_OPER",IQ_FY-4), _xll.ciqfunctions.udf.CIQ(A3, "IQ_CASH_OPER",IQ_FY-3))</f>
        <v>15426</v>
      </c>
      <c r="K9" s="17">
        <f>IF(A11=A12,_xll.ciqfunctions.udf.CIQ(A3,"IQ_CAPEX",IQ_FY-4), _xll.ciqfunctions.udf.CIQ(A3, "IQ_CAPEX",IQ_FY-3))</f>
        <v>-770</v>
      </c>
      <c r="L9" s="15">
        <f t="shared" si="0"/>
        <v>3.4619720347965042</v>
      </c>
      <c r="M9" s="17">
        <f>IF(A11=A12,_xll.ciqfunctions.udf.CIQ(A3,"IQ_TOTAL_DEBT_ISSUED",IQ_FY-4), _xll.ciqfunctions.udf.CIQ(A3, "IQ_TOTAL_DEBT_ISSUED",IQ_FY-3))</f>
        <v>0</v>
      </c>
      <c r="N9" s="17">
        <f>IF(A11=A12,_xll.ciqfunctions.udf.CIQ(A3,"IQ_TOTAL_DEBT_REPAID",IQ_FY-4), _xll.ciqfunctions.udf.CIQ(A3, "IQ_TOTAL_DEBT_REPAID",IQ_FY-3))</f>
        <v>-10190</v>
      </c>
      <c r="O9" s="15">
        <f t="shared" si="1"/>
        <v>-2.4070343227740429</v>
      </c>
      <c r="P9" s="15">
        <f t="shared" si="2"/>
        <v>1.0549377120224612</v>
      </c>
      <c r="Q9" s="18"/>
      <c r="R9" s="38" t="s">
        <v>29</v>
      </c>
      <c r="S9" s="4">
        <f>(AVERAGE(P8:P13)/_xlfn.STDEV.P(P8:P13))/(IF(A11=A12,(_xlfn.SINGLE(_xll.ciqfunctions.udf.CIQ(A3,"IQ_total_assets",IQ_FY)) - _xlfn.SINGLE(_xll.ciqfunctions.udf.CIQ(A3,"iq_gw_intan", IQ_FY)))/I13, (_xlfn.SINGLE(_xll.ciqfunctions.udf.CIQ(A3, "IQ_total_assets",IQ_LTM))-_xlfn.SINGLE(_xll.ciqfunctions.udf.CIQ(A3,"iq_gw_intan",IQ_LTM)))/I13))</f>
        <v>0.19593762488720273</v>
      </c>
      <c r="U9" s="18"/>
      <c r="V9" s="38" t="s">
        <v>29</v>
      </c>
      <c r="W9" s="4">
        <f>(AVERAGE(P8:P13)/_xlfn.STDEV.P(P8:P13))/(IF(A11=A12,(_xlfn.SINGLE(_xll.ciqfunctions.udf.CIQ(A3,"IQ_total_assets",IQ_FY)) - _xlfn.SINGLE(_xll.ciqfunctions.udf.CIQ(A3,"iq_gw_intan", IQ_FY)))/I13, (_xlfn.SINGLE(_xll.ciqfunctions.udf.CIQ(A3, "IQ_total_assets",IQ_LTM))-_xlfn.SINGLE(_xll.ciqfunctions.udf.CIQ(A3,"iq_gw_intan",IQ_LTM)))/I13))</f>
        <v>0.19593762488720273</v>
      </c>
      <c r="Y9" s="18"/>
      <c r="Z9" s="38" t="s">
        <v>29</v>
      </c>
      <c r="AA9" s="4">
        <f>(AVERAGE(P8:P13)/_xlfn.STDEV.P(P8:P13))/(IF(A11=A12,(_xlfn.SINGLE(_xll.ciqfunctions.udf.CIQ(A3,"IQ_total_assets",IQ_FY)) - _xlfn.SINGLE(_xll.ciqfunctions.udf.CIQ(A3,"iq_gw_intan", IQ_FY)))/I13, (_xlfn.SINGLE(_xll.ciqfunctions.udf.CIQ(A3, "IQ_total_assets",IQ_LTM))-_xlfn.SINGLE(_xll.ciqfunctions.udf.CIQ(A3,"iq_gw_intan",IQ_LTM)))/I13))</f>
        <v>0.19593762488720273</v>
      </c>
    </row>
    <row r="10" spans="1:27">
      <c r="A10" s="18"/>
      <c r="B10" s="13">
        <v>8</v>
      </c>
      <c r="C10" s="14" t="s">
        <v>30</v>
      </c>
      <c r="D10" s="15" cm="1">
        <f t="array" ref="D10">_xlfn.SINGLE(IF(A11=A12,_xll.ciqfunctions.udf.CIQ(A3,"IQ_TOTAL_REV",IQ_FY-3)/I10, _xll.ciqfunctions.udf.CIQ(A3, "IQ_TOTAL_REV",IQ_FY-2)/I10))</f>
        <v>11.811550306829073</v>
      </c>
      <c r="E10" s="16">
        <f t="shared" si="3"/>
        <v>1.424546968931579E-2</v>
      </c>
      <c r="F10" s="15">
        <f>IF(A11=A12,_xll.ciqfunctions.udf.CIQ(A3,"IQ_DILUT_EPS_EXCL",IQ_FY-3), _xll.ciqfunctions.udf.CIQ(A3, "IQ_DILUT_EPS_EXCL",IQ_FY-2))</f>
        <v>2.5</v>
      </c>
      <c r="G10" s="15">
        <f>IF(A11=A12,_xll.ciqfunctions.udf.CIQ(A3,"IQ_EBITDA_MARGIN",IQ_FY-3), _xll.ciqfunctions.udf.CIQ(A3, "IQ_EBITDA_MARGIN",IQ_FY-2))</f>
        <v>31.1052</v>
      </c>
      <c r="H10" s="15">
        <f>IF(A11=A12,_xll.ciqfunctions.udf.CIQ(A3,"IQ_TOTAL_DIV_PAID_CF",IQ_FY-3)/-I10, _xll.ciqfunctions.udf.CIQ(A3, "IQ_TOTAL_DIV_PAID_CF",IQ_FY-2)/-I10)</f>
        <v>1.4612104970289368</v>
      </c>
      <c r="I10" s="17">
        <f>IF(A11=A12,_xll.ciqfunctions.udf.CIQ(A3,"IQ_TOTAL_OUTSTANDING_FILING_DATE",IQ_FY-3), _xll.ciqfunctions.udf.CIQ(A3, "IQ_TOTAL_OUTSTANDING_FILING_DATE",IQ_FY-2))</f>
        <v>4217.7359200000001</v>
      </c>
      <c r="J10" s="17">
        <f>IF(A11=A12,_xll.ciqfunctions.udf.CIQ(A3,"IQ_CASH_OPER",IQ_FY-3), _xll.ciqfunctions.udf.CIQ(A3, "IQ_CASH_OPER",IQ_FY-2))</f>
        <v>15454</v>
      </c>
      <c r="K10" s="17">
        <f>IF(A11=A12,_xll.ciqfunctions.udf.CIQ(A3,"IQ_CAPEX",IQ_FY-3), _xll.ciqfunctions.udf.CIQ(A3, "IQ_CAPEX",IQ_FY-2))</f>
        <v>-692</v>
      </c>
      <c r="L10" s="15">
        <f t="shared" si="0"/>
        <v>3.4999820472401697</v>
      </c>
      <c r="M10" s="17">
        <f>IF(A11=A12,_xll.ciqfunctions.udf.CIQ(A3,"IQ_TOTAL_DEBT_ISSUED",IQ_FY-3), _xll.ciqfunctions.udf.CIQ(A3, "IQ_TOTAL_DEBT_ISSUED",IQ_FY-2))</f>
        <v>0</v>
      </c>
      <c r="N10" s="17">
        <f>IF(A11=A12,_xll.ciqfunctions.udf.CIQ(A3,"IQ_TOTAL_DEBT_REPAID",IQ_FY-3), _xll.ciqfunctions.udf.CIQ(A3, "IQ_TOTAL_DEBT_REPAID",IQ_FY-2))</f>
        <v>-3005</v>
      </c>
      <c r="O10" s="15">
        <f t="shared" si="1"/>
        <v>-0.71246755534187167</v>
      </c>
      <c r="P10" s="15">
        <f t="shared" si="2"/>
        <v>2.7875144918982979</v>
      </c>
      <c r="Q10" s="18"/>
      <c r="R10" s="39" t="s">
        <v>31</v>
      </c>
      <c r="S10" s="5">
        <f>IF(NOT(D3&gt;0),FALSE,SLOPE(G3:G13,B3:B13))</f>
        <v>0.34658454545454548</v>
      </c>
      <c r="U10" s="18"/>
      <c r="V10" s="39" t="s">
        <v>31</v>
      </c>
      <c r="W10" s="5">
        <f>IF(NOT(D3&gt;0),FALSE,SLOPE(G3:G13,B3:B13))</f>
        <v>0.34658454545454548</v>
      </c>
      <c r="Y10" s="18"/>
      <c r="Z10" s="39" t="s">
        <v>31</v>
      </c>
      <c r="AA10" s="5">
        <f>IF(NOT(L3&gt;0),FALSE,SLOPE(O3:O13,J3:J13))</f>
        <v>-1.3458957986246808E-4</v>
      </c>
    </row>
    <row r="11" spans="1:27">
      <c r="A11" s="19">
        <f>_xll.ciqfunctions.udf.CIQ(A3,"IQ_TOTAL_REV",IQ_FY)</f>
        <v>56998</v>
      </c>
      <c r="B11" s="13">
        <v>9</v>
      </c>
      <c r="C11" s="14" t="s">
        <v>32</v>
      </c>
      <c r="D11" s="15" cm="1">
        <f t="array" ref="D11">_xlfn.SINGLE(IF(A11=A12,_xll.ciqfunctions.udf.CIQ(A3,"IQ_TOTAL_REV",IQ_FY-2)/I11, _xll.ciqfunctions.udf.CIQ(A3, "IQ_TOTAL_REV",IQ_FY-1)/I11))</f>
        <v>12.547810982084529</v>
      </c>
      <c r="E11" s="16">
        <f t="shared" si="3"/>
        <v>6.2333957535597458E-2</v>
      </c>
      <c r="F11" s="15">
        <f>IF(A11=A12,_xll.ciqfunctions.udf.CIQ(A3,"IQ_DILUT_EPS_EXCL",IQ_FY-2), _xll.ciqfunctions.udf.CIQ(A3, "IQ_DILUT_EPS_EXCL",IQ_FY-1))</f>
        <v>2.82</v>
      </c>
      <c r="G11" s="15">
        <f>IF(A11=A12,_xll.ciqfunctions.udf.CIQ(A3,"IQ_EBITDA_MARGIN",IQ_FY-2), _xll.ciqfunctions.udf.CIQ(A3, "IQ_EBITDA_MARGIN",IQ_FY-1))</f>
        <v>30.843499999999999</v>
      </c>
      <c r="H11" s="15">
        <f>IF(A11=A12,_xll.ciqfunctions.udf.CIQ(A3,"IQ_TOTAL_DIV_PAID_CF",IQ_FY-2)/-I11, _xll.ciqfunctions.udf.CIQ(A3, "IQ_TOTAL_DIV_PAID_CF",IQ_FY-1)/-I11)</f>
        <v>1.5147812237425395</v>
      </c>
      <c r="I11" s="17">
        <f>IF(A11=A12,_xll.ciqfunctions.udf.CIQ(A3,"IQ_TOTAL_OUTSTANDING_FILING_DATE",IQ_FY-2), _xll.ciqfunctions.udf.CIQ(A3, "IQ_TOTAL_OUTSTANDING_FILING_DATE",IQ_FY-1))</f>
        <v>4108.8441700000003</v>
      </c>
      <c r="J11" s="17">
        <f>IF(A11=A12,_xll.ciqfunctions.udf.CIQ(A3,"IQ_CASH_OPER",IQ_FY-2), _xll.ciqfunctions.udf.CIQ(A3, "IQ_CASH_OPER",IQ_FY-1))</f>
        <v>13226</v>
      </c>
      <c r="K11" s="17">
        <f>IF(A11=A12,_xll.ciqfunctions.udf.CIQ(A3,"IQ_CAPEX",IQ_FY-2), _xll.ciqfunctions.udf.CIQ(A3, "IQ_CAPEX",IQ_FY-1))</f>
        <v>-477</v>
      </c>
      <c r="L11" s="15">
        <f t="shared" si="0"/>
        <v>3.1028190587232709</v>
      </c>
      <c r="M11" s="17">
        <f>IF(A11=A12,_xll.ciqfunctions.udf.CIQ(A3,"IQ_TOTAL_DEBT_ISSUED",IQ_FY-2), _xll.ciqfunctions.udf.CIQ(A3, "IQ_TOTAL_DEBT_ISSUED",IQ_FY-1))</f>
        <v>1655</v>
      </c>
      <c r="N11" s="17">
        <f>IF(A11=A12,_xll.ciqfunctions.udf.CIQ(A3,"IQ_TOTAL_DEBT_REPAID",IQ_FY-2), _xll.ciqfunctions.udf.CIQ(A3, "IQ_TOTAL_DEBT_REPAID",IQ_FY-1))</f>
        <v>-3550</v>
      </c>
      <c r="O11" s="15">
        <f t="shared" si="1"/>
        <v>-0.4612002601208407</v>
      </c>
      <c r="P11" s="15">
        <f t="shared" si="2"/>
        <v>2.6416187986024302</v>
      </c>
      <c r="Q11" s="25" t="s">
        <v>33</v>
      </c>
      <c r="R11" s="38" t="s">
        <v>52</v>
      </c>
      <c r="S11" s="4">
        <f>(AVERAGE(O8:O13)/AVERAGE(P8:P13))</f>
        <v>-0.24310242308779662</v>
      </c>
      <c r="U11" s="25" t="s">
        <v>54</v>
      </c>
      <c r="V11" s="38" t="s">
        <v>52</v>
      </c>
      <c r="W11" s="4">
        <f>(AVERAGE(O8:O13)/AVERAGE(P8:P13))</f>
        <v>-0.24310242308779662</v>
      </c>
      <c r="Y11" s="25" t="s">
        <v>60</v>
      </c>
      <c r="Z11" s="38" t="s">
        <v>52</v>
      </c>
      <c r="AA11" s="4">
        <f>(AVERAGE(O8:O13)/AVERAGE(P8:P13))</f>
        <v>-0.24310242308779662</v>
      </c>
    </row>
    <row r="12" spans="1:27">
      <c r="A12" s="19">
        <f>_xll.ciqfunctions.udf.CIQ(A3,"IQ_TOTAL_REV",IQ_LTM)</f>
        <v>58034</v>
      </c>
      <c r="B12" s="13">
        <v>10</v>
      </c>
      <c r="C12" s="14" t="s">
        <v>34</v>
      </c>
      <c r="D12" s="15" cm="1">
        <f t="array" ref="D12">_xlfn.SINGLE(IF(A11=A12,_xll.ciqfunctions.udf.CIQ(A3,"IQ_TOTAL_REV",IQ_FY-1)/I12, _xll.ciqfunctions.udf.CIQ(A3, "IQ_TOTAL_REV",IQ_FY)/I12))</f>
        <v>14.056719888212701</v>
      </c>
      <c r="E12" s="16">
        <f t="shared" si="3"/>
        <v>0.1202527602848462</v>
      </c>
      <c r="F12" s="15">
        <f>IF(A11=A12,_xll.ciqfunctions.udf.CIQ(A3,"IQ_DILUT_EPS_EXCL",IQ_FY-1), _xll.ciqfunctions.udf.CIQ(A3, "IQ_DILUT_EPS_EXCL",IQ_FY))</f>
        <v>3.07</v>
      </c>
      <c r="G12" s="15">
        <f>IF(A11=A12,_xll.ciqfunctions.udf.CIQ(A3,"IQ_EBITDA_MARGIN",IQ_FY-1), _xll.ciqfunctions.udf.CIQ(A3, "IQ_EBITDA_MARGIN",IQ_FY))</f>
        <v>30.209800000000001</v>
      </c>
      <c r="H12" s="15">
        <f>IF(A11=A12,_xll.ciqfunctions.udf.CIQ(A3,"IQ_TOTAL_DIV_PAID_CF",IQ_FY-1)/-I12, _xll.ciqfunctions.udf.CIQ(A3, "IQ_TOTAL_DIV_PAID_CF",IQ_FY)/-I12)</f>
        <v>1.5541852123849336</v>
      </c>
      <c r="I12" s="17">
        <f>IF(A11=A12,_xll.ciqfunctions.udf.CIQ(A3,"IQ_TOTAL_OUTSTANDING_FILING_DATE",IQ_FY-1), _xll.ciqfunctions.udf.CIQ(A3, "IQ_TOTAL_OUTSTANDING_FILING_DATE",IQ_FY))</f>
        <v>4054.8577799999998</v>
      </c>
      <c r="J12" s="17">
        <f>IF(A11=A12,_xll.ciqfunctions.udf.CIQ(A3,"IQ_CASH_OPER",IQ_FY-1), _xll.ciqfunctions.udf.CIQ(A3, "IQ_CASH_OPER",IQ_FY))</f>
        <v>19886</v>
      </c>
      <c r="K12" s="17">
        <f>IF(A11=A12,_xll.ciqfunctions.udf.CIQ(A3,"IQ_CAPEX",IQ_FY-1), _xll.ciqfunctions.udf.CIQ(A3, "IQ_CAPEX",IQ_FY))</f>
        <v>-849</v>
      </c>
      <c r="L12" s="15">
        <f t="shared" si="0"/>
        <v>4.6948625655620404</v>
      </c>
      <c r="M12" s="17">
        <f>IF(A11=A12,_xll.ciqfunctions.udf.CIQ(A3,"IQ_TOTAL_DEBT_ISSUED",IQ_FY-1), _xll.ciqfunctions.udf.CIQ(A3, "IQ_TOTAL_DEBT_ISSUED",IQ_FY))</f>
        <v>0</v>
      </c>
      <c r="N12" s="17">
        <f>IF(A11=A12,_xll.ciqfunctions.udf.CIQ(A3,"IQ_TOTAL_DEBT_REPAID",IQ_FY-1), _xll.ciqfunctions.udf.CIQ(A3, "IQ_TOTAL_DEBT_REPAID",IQ_FY))</f>
        <v>-1102</v>
      </c>
      <c r="O12" s="15">
        <f t="shared" si="1"/>
        <v>-0.27177278705937746</v>
      </c>
      <c r="P12" s="15">
        <f t="shared" si="2"/>
        <v>4.4230897785026633</v>
      </c>
      <c r="Q12" s="25" t="s">
        <v>44</v>
      </c>
      <c r="R12" s="38" t="s">
        <v>35</v>
      </c>
      <c r="S12" s="1">
        <f>_xll.ciqfunctions.udf.CIQ(A3,"IQ_TEV_EBITDA")</f>
        <v>9.6337799999999998</v>
      </c>
      <c r="U12" s="25" t="s">
        <v>55</v>
      </c>
      <c r="V12" s="38" t="s">
        <v>53</v>
      </c>
      <c r="W12" s="1">
        <f>V2/(AVERAGE(D8:D13)/_xlfn.STDEV.P(E8:E13))</f>
        <v>0.23776531120691008</v>
      </c>
      <c r="Y12" s="25" t="s">
        <v>57</v>
      </c>
      <c r="Z12" s="38" t="s">
        <v>53</v>
      </c>
      <c r="AA12" s="1">
        <f>Z2/(AVERAGE(D8:D13)/_xlfn.STDEV.P(E8:E13))</f>
        <v>0.23776531120691008</v>
      </c>
    </row>
    <row r="13" spans="1:27">
      <c r="B13" s="13">
        <v>11</v>
      </c>
      <c r="C13" s="20" t="s">
        <v>36</v>
      </c>
      <c r="D13" s="21" cm="1">
        <f t="array" ref="D13">_xlfn.SINGLE(IF(A11=A12,_xll.ciqfunctions.udf.CIQ(A3,"IQ_TOTAL_REV",IQ_FY)/I13, _xll.ciqfunctions.udf.CIQ(A3, "IQ_TOTAL_REV",IQ_LTM)/I13))</f>
        <v>14.28186227018344</v>
      </c>
      <c r="E13" s="22">
        <f t="shared" si="3"/>
        <v>1.6016708290497641E-2</v>
      </c>
      <c r="F13" s="21">
        <f>IF(A11=A12,_xll.ciqfunctions.udf.CIQ(A3,"IQ_DILUT_EPS_EXCL",IQ_FY), _xll.ciqfunctions.udf.CIQ(A3, "IQ_DILUT_EPS_EXCL",IQ_LTM))</f>
        <v>3.3102</v>
      </c>
      <c r="G13" s="21">
        <f>IF(A11=A12,_xll.ciqfunctions.udf.CIQ(A3,"IQ_EBITDA_MARGIN",IQ_FY), _xll.ciqfunctions.udf.CIQ(A3, "IQ_EBITDA_MARGIN",IQ_LTM))</f>
        <v>31.1799</v>
      </c>
      <c r="H13" s="21">
        <f>IF(A11=A12,_xll.ciqfunctions.udf.CIQ(A3,"IQ_TOTAL_DIV_PAID_CF",IQ_FY)/-I13, _xll.ciqfunctions.udf.CIQ(A3, "IQ_TOTAL_DIV_PAID_CF",IQ_LTM)/-I13)</f>
        <v>1.5558109603353156</v>
      </c>
      <c r="I13" s="23">
        <f>IF(A11=A12,_xll.ciqfunctions.udf.CIQ(A3,"IQ_TOTAL_OUTSTANDING_FILING_DATE",IQ_FY),_xll.ciqfunctions.udf.CIQ(A3,"IQ_sharesoutstanding"))</f>
        <v>4063.47568</v>
      </c>
      <c r="J13" s="23">
        <f>IF(A11=A12,_xll.ciqfunctions.udf.CIQ(A3,"IQ_CASH_OPER",IQ_FY), _xll.ciqfunctions.udf.CIQ(A3, "IQ_CASH_OPER",IQ_LTM))</f>
        <v>18295</v>
      </c>
      <c r="K13" s="23">
        <f>IF(A11=A12,_xll.ciqfunctions.udf.CIQ(A3,"IQ_CAPEX",IQ_FY), _xll.ciqfunctions.udf.CIQ(A3, "IQ_CAPEX",IQ_LTM))</f>
        <v>-807</v>
      </c>
      <c r="L13" s="21">
        <f t="shared" si="0"/>
        <v>4.3037048520000001</v>
      </c>
      <c r="M13" s="23">
        <f>IF(A11=A12,_xll.ciqfunctions.udf.CIQ(A3,"IQ_TOTAL_DEBT_ISSUED",IQ_FY), _xll.ciqfunctions.udf.CIQ(A3, "IQ_TOTAL_DEBT_ISSUED",IQ_LTM))</f>
        <v>0</v>
      </c>
      <c r="N13" s="23">
        <f>IF(A11=A12,_xll.ciqfunctions.udf.CIQ(A3,"IQ_TOTAL_DEBT_REPAID",IQ_FY), _xll.ciqfunctions.udf.CIQ(A3, "IQ_TOTAL_DEBT_REPAID",IQ_LTM))</f>
        <v>-1250</v>
      </c>
      <c r="O13" s="21">
        <f t="shared" si="1"/>
        <v>-0.30761842777904852</v>
      </c>
      <c r="P13" s="21">
        <f t="shared" si="2"/>
        <v>3.9960864242209517</v>
      </c>
      <c r="Q13" s="25" t="s">
        <v>45</v>
      </c>
      <c r="S13" s="45"/>
      <c r="U13" s="25"/>
      <c r="W13" s="45"/>
      <c r="Y13" s="25"/>
      <c r="AA13" s="45"/>
    </row>
    <row r="14" spans="1:27">
      <c r="B14" s="24"/>
      <c r="C14" s="25" t="s">
        <v>37</v>
      </c>
      <c r="E14" s="26">
        <f>((D13/D8)^(1/5))-1</f>
        <v>3.1568993281200664E-2</v>
      </c>
      <c r="F14" s="27">
        <f>((F13/F8)^(1/5))-1</f>
        <v>4.8679420491857028E-2</v>
      </c>
      <c r="G14" s="28"/>
      <c r="H14" s="27">
        <f>((H13/H8)^(1/5))-1</f>
        <v>2.0110298253465775E-2</v>
      </c>
      <c r="I14" s="27">
        <f>((I13/I8)^(1/5))-1</f>
        <v>-8.7160929015692723E-3</v>
      </c>
      <c r="J14" s="27"/>
      <c r="K14" s="27"/>
      <c r="L14" s="26">
        <f>((L13/L8)^(1/5))-1</f>
        <v>4.132085446647471E-2</v>
      </c>
      <c r="M14" s="26"/>
      <c r="N14" s="26"/>
      <c r="O14" s="26"/>
      <c r="P14" s="26">
        <f>((P13/P8)^(1/5))-1</f>
        <v>4.1582768343562115E-2</v>
      </c>
      <c r="Q14" s="18"/>
      <c r="R14" s="36"/>
      <c r="S14" s="45"/>
      <c r="U14" s="18"/>
      <c r="V14" s="36"/>
      <c r="W14" s="45"/>
      <c r="Y14" s="18"/>
      <c r="Z14" s="36"/>
      <c r="AA14" s="45"/>
    </row>
    <row r="15" spans="1:27">
      <c r="A15" s="29"/>
      <c r="B15" s="30"/>
      <c r="C15" s="31" t="s">
        <v>38</v>
      </c>
      <c r="D15" s="29"/>
      <c r="E15" s="32">
        <f>((D13/D3)^(1/10))-1</f>
        <v>4.4450627888621863E-2</v>
      </c>
      <c r="F15" s="33">
        <f>((F13/F3)^(1/10))-1</f>
        <v>8.3095612584307643E-2</v>
      </c>
      <c r="G15" s="34"/>
      <c r="H15" s="33">
        <f>((H13/H3)^(1/10))-1</f>
        <v>7.7581772744550914E-2</v>
      </c>
      <c r="I15" s="33">
        <f>((I13/I3)^(1/10))-1</f>
        <v>-2.2448751158118951E-2</v>
      </c>
      <c r="J15" s="33"/>
      <c r="K15" s="33"/>
      <c r="L15" s="32">
        <f>((L13/L3)^(1/10))-1</f>
        <v>7.0953830759205694E-2</v>
      </c>
      <c r="M15" s="32"/>
      <c r="N15" s="32"/>
      <c r="O15" s="32"/>
      <c r="P15" s="32">
        <f>((P13/P3)^(1/10))-1</f>
        <v>2.6025365359149566E-2</v>
      </c>
      <c r="Q15" s="40"/>
      <c r="R15" s="41"/>
      <c r="S15" s="46"/>
      <c r="U15" s="40"/>
      <c r="V15" s="41"/>
      <c r="W15" s="46"/>
      <c r="Y15" s="40"/>
      <c r="Z15" s="41"/>
      <c r="AA15" s="46"/>
    </row>
    <row r="16" spans="1:27">
      <c r="B16" s="24"/>
      <c r="C16" s="25"/>
      <c r="E16" s="26"/>
      <c r="F16" s="27"/>
      <c r="G16" s="28"/>
      <c r="H16" s="27"/>
      <c r="I16" s="27"/>
      <c r="J16" s="27"/>
      <c r="K16" s="27"/>
      <c r="L16" s="26"/>
      <c r="M16" s="17"/>
      <c r="N16" s="17"/>
      <c r="O16" s="17"/>
      <c r="P16" s="35"/>
      <c r="Q16" s="18"/>
      <c r="R16" s="36"/>
    </row>
    <row r="17" spans="1:27">
      <c r="A17" s="9" t="s">
        <v>0</v>
      </c>
      <c r="B17" s="10"/>
      <c r="C17" s="9" t="s">
        <v>1</v>
      </c>
      <c r="D17" s="9" t="s">
        <v>2</v>
      </c>
      <c r="E17" s="9" t="s">
        <v>3</v>
      </c>
      <c r="F17" s="11" t="s">
        <v>4</v>
      </c>
      <c r="G17" s="11" t="s">
        <v>5</v>
      </c>
      <c r="H17" s="9" t="s">
        <v>6</v>
      </c>
      <c r="I17" s="11" t="s">
        <v>7</v>
      </c>
      <c r="J17" s="11" t="s">
        <v>8</v>
      </c>
      <c r="K17" s="11" t="s">
        <v>9</v>
      </c>
      <c r="L17" s="11" t="s">
        <v>10</v>
      </c>
      <c r="M17" s="11" t="s">
        <v>11</v>
      </c>
      <c r="N17" s="11" t="s">
        <v>12</v>
      </c>
      <c r="O17" s="11" t="s">
        <v>13</v>
      </c>
      <c r="P17" s="11" t="s">
        <v>14</v>
      </c>
      <c r="Q17" s="37" t="s">
        <v>15</v>
      </c>
      <c r="R17" s="42">
        <f>_xll.ciqfunctions.udf.CIQ(A18,("IQ_LASTSALEPRICE"))</f>
        <v>320.49</v>
      </c>
      <c r="S17" s="44"/>
      <c r="U17" s="37" t="s">
        <v>15</v>
      </c>
      <c r="V17" s="42">
        <f>_xll.ciqfunctions.udf.CIQ(A18,("IQ_LASTSALEPRICE"))</f>
        <v>320.49</v>
      </c>
      <c r="W17" s="44"/>
      <c r="Y17" s="37" t="s">
        <v>15</v>
      </c>
      <c r="Z17" s="42">
        <f>_xll.ciqfunctions.udf.CIQ(A18,("IQ_LASTSALEPRICE"))</f>
        <v>320.49</v>
      </c>
      <c r="AA17" s="44"/>
    </row>
    <row r="18" spans="1:27">
      <c r="A18" s="12" t="str">
        <f>Analysis!B3</f>
        <v>NYSE:MSI</v>
      </c>
      <c r="B18" s="13">
        <v>1</v>
      </c>
      <c r="C18" s="14" t="s">
        <v>16</v>
      </c>
      <c r="D18" s="15">
        <f>IF(A26=A27,_xll.ciqfunctions.udf.CIQ(A18,"IQ_TOTAL_REV",IQ_FY-10)/I18,_xll.ciqfunctions.udf.CIQ(A18, "IQ_TOTAL_REV",IQ_FY-9)/I18)</f>
        <v>24.528750200499982</v>
      </c>
      <c r="E18" s="16"/>
      <c r="F18" s="15">
        <f>IF(A26=A27,_xll.ciqfunctions.udf.CIQ(A18,"IQ_DILUT_EPS_EXCL",IQ_FY-10), _xll.ciqfunctions.udf.CIQ(A18, "IQ_DILUT_EPS_EXCL",IQ_FY-9))</f>
        <v>3.45</v>
      </c>
      <c r="G18" s="15">
        <f>IF(A26=A27,_xll.ciqfunctions.udf.CIQ(A18,"IQ_EBITDA_MARGIN",IQ_FY-10), _xll.ciqfunctions.udf.CIQ(A18, "IQ_EBITDA_MARGIN",IQ_FY-9))</f>
        <v>19.126300000000001</v>
      </c>
      <c r="H18" s="15">
        <f>IF(A26=A27,_xll.ciqfunctions.udf.CIQ(A18,"IQ_TOTAL_DIV_PAID_CF",IQ_FY-10)/-I18, _xll.ciqfunctions.udf.CIQ(A18, "IQ_TOTAL_DIV_PAID_CF",IQ_FY-9)/-I18)</f>
        <v>1.1502160042630472</v>
      </c>
      <c r="I18" s="17">
        <f>IF(A26=A27,_xll.ciqfunctions.udf.CIQ(A18,"IQ_TOTAL_OUTSTANDING_FILING_DATE",IQ_FY-10), _xll.ciqfunctions.udf.CIQ(A18, "IQ_TOTAL_OUTSTANDING_FILING_DATE",IQ_FY-9))</f>
        <v>253.86536000000001</v>
      </c>
      <c r="J18" s="17">
        <f>IF(A26=A27,_xll.ciqfunctions.udf.CIQ(A18,"IQ_CASH_OPER",IQ_FY-10), _xll.ciqfunctions.udf.CIQ(A18, "IQ_CASH_OPER",IQ_FY-9))</f>
        <v>944</v>
      </c>
      <c r="K18" s="17">
        <f>IF(A26=A27,_xll.ciqfunctions.udf.CIQ(A18,"IQ_CAPEX",IQ_FY-10), _xll.ciqfunctions.udf.CIQ(A18, "IQ_CAPEX",IQ_FY-9))</f>
        <v>-169</v>
      </c>
      <c r="L18" s="15">
        <f t="shared" ref="L18:L28" si="4">(J18+K18)/I18</f>
        <v>3.0527993263830875</v>
      </c>
      <c r="M18" s="17">
        <f>IF(A26=A27,_xll.ciqfunctions.udf.CIQ(A18,"IQ_TOTAL_DEBT_ISSUED",IQ_FY-10), _xll.ciqfunctions.udf.CIQ(A18, "IQ_TOTAL_DEBT_ISSUED",IQ_FY-9))</f>
        <v>593</v>
      </c>
      <c r="N18" s="17">
        <f>IF(A26=A27,_xll.ciqfunctions.udf.CIQ(A18,"IQ_TOTAL_DEBT_REPAID",IQ_FY-10), _xll.ciqfunctions.udf.CIQ(A18, "IQ_TOTAL_DEBT_REPAID",IQ_FY-9))</f>
        <v>-4</v>
      </c>
      <c r="O18" s="15">
        <f t="shared" ref="O18:O28" si="5">(M18+N18)/I18</f>
        <v>2.3201274880511464</v>
      </c>
      <c r="P18" s="15">
        <f t="shared" ref="P18:P28" si="6">L18+O18</f>
        <v>5.3729268144342335</v>
      </c>
      <c r="W18" s="43"/>
      <c r="AA18" s="43"/>
    </row>
    <row r="19" spans="1:27">
      <c r="A19" s="18" t="str">
        <f>_xll.ciqfunctions.udf.CIQ(A18,"IQ_COMPANY_NAME")</f>
        <v>Motorola Solutions, Inc.</v>
      </c>
      <c r="B19" s="13">
        <v>2</v>
      </c>
      <c r="C19" s="14" t="s">
        <v>17</v>
      </c>
      <c r="D19" s="15">
        <f>IF(A26=A27,_xll.ciqfunctions.udf.CIQ(A18,"IQ_TOTAL_REV",IQ_FY-9)/I19, _xll.ciqfunctions.udf.CIQ(A18, "IQ_TOTAL_REV",IQ_FY-8)/I19)</f>
        <v>27.141506891293673</v>
      </c>
      <c r="E19" s="16">
        <f t="shared" ref="E19:E28" si="7">(D19-D18)/D18</f>
        <v>0.10651813359575224</v>
      </c>
      <c r="F19" s="15">
        <f>IF(A26=A27,_xll.ciqfunctions.udf.CIQ(A18,"IQ_DILUT_EPS_EXCL",IQ_FY-9), _xll.ciqfunctions.udf.CIQ(A18, "IQ_DILUT_EPS_EXCL",IQ_FY-8))</f>
        <v>-2.84</v>
      </c>
      <c r="G19" s="15">
        <f>IF(A26=A27,_xll.ciqfunctions.udf.CIQ(A18,"IQ_EBITDA_MARGIN",IQ_FY-9), _xll.ciqfunctions.udf.CIQ(A18, "IQ_EBITDA_MARGIN",IQ_FY-8))</f>
        <v>19.452400000000001</v>
      </c>
      <c r="H19" s="15">
        <f>IF(A26=A27,_xll.ciqfunctions.udf.CIQ(A18,"IQ_TOTAL_DIV_PAID_CF",IQ_FY-9)/-I19, _xll.ciqfunctions.udf.CIQ(A18, "IQ_TOTAL_DIV_PAID_CF",IQ_FY-8)/-I19)</f>
        <v>1.4676074122481531</v>
      </c>
      <c r="I19" s="17">
        <f>IF(A26=A27,_xll.ciqfunctions.udf.CIQ(A18,"IQ_TOTAL_OUTSTANDING_FILING_DATE",IQ_FY-9), _xll.ciqfunctions.udf.CIQ(A18, "IQ_TOTAL_OUTSTANDING_FILING_DATE",IQ_FY-8))</f>
        <v>216.67920000000001</v>
      </c>
      <c r="J19" s="17">
        <f>IF(A26=A27,_xll.ciqfunctions.udf.CIQ(A18,"IQ_CASH_OPER",IQ_FY-9), _xll.ciqfunctions.udf.CIQ(A18, "IQ_CASH_OPER",IQ_FY-8))</f>
        <v>-542</v>
      </c>
      <c r="K19" s="17">
        <f>IF(A26=A27,_xll.ciqfunctions.udf.CIQ(A18,"IQ_CAPEX",IQ_FY-9), _xll.ciqfunctions.udf.CIQ(A18, "IQ_CAPEX",IQ_FY-8))</f>
        <v>-181</v>
      </c>
      <c r="L19" s="15">
        <f t="shared" si="4"/>
        <v>-3.3367300599226875</v>
      </c>
      <c r="M19" s="17">
        <f>IF(A26=A27,_xll.ciqfunctions.udf.CIQ(A18,"IQ_TOTAL_DEBT_ISSUED",IQ_FY-9), _xll.ciqfunctions.udf.CIQ(A18, "IQ_TOTAL_DEBT_ISSUED",IQ_FY-8))</f>
        <v>1375</v>
      </c>
      <c r="N19" s="17">
        <f>IF(A26=A27,_xll.ciqfunctions.udf.CIQ(A18,"IQ_TOTAL_DEBT_REPAID",IQ_FY-9), _xll.ciqfunctions.udf.CIQ(A18, "IQ_TOTAL_DEBT_REPAID",IQ_FY-8))</f>
        <v>-465</v>
      </c>
      <c r="O19" s="15">
        <f t="shared" si="5"/>
        <v>4.1997570602069789</v>
      </c>
      <c r="P19" s="15">
        <f t="shared" si="6"/>
        <v>0.86302700028429147</v>
      </c>
      <c r="Q19" s="25" t="s">
        <v>18</v>
      </c>
      <c r="R19" s="39" t="s">
        <v>19</v>
      </c>
      <c r="S19" s="1">
        <f>R17/((AVERAGE(P23:P28))*(1+E29)^3)</f>
        <v>26.817542665019751</v>
      </c>
      <c r="U19" s="25" t="s">
        <v>48</v>
      </c>
      <c r="V19" s="39" t="s">
        <v>19</v>
      </c>
      <c r="W19" s="1">
        <f>V17/((AVERAGE(P23:P28))*(1+E29)^3)</f>
        <v>26.817542665019751</v>
      </c>
      <c r="Y19" s="25" t="s">
        <v>39</v>
      </c>
      <c r="Z19" s="39" t="s">
        <v>19</v>
      </c>
      <c r="AA19" s="1">
        <f>Z17/((AVERAGE(P23:P28))*(1+E29)^3)</f>
        <v>26.817542665019751</v>
      </c>
    </row>
    <row r="20" spans="1:27">
      <c r="B20" s="13">
        <v>3</v>
      </c>
      <c r="C20" s="14" t="s">
        <v>20</v>
      </c>
      <c r="D20" s="15" cm="1">
        <f t="array" ref="D20">_xlfn.SINGLE(IF(A26=A27,_xll.ciqfunctions.udf.CIQ(A18,"IQ_TOTAL_REV",IQ_FY-8)/I20, _xll.ciqfunctions.udf.CIQ(A18, "IQ_TOTAL_REV",IQ_FY-7)/I20))</f>
        <v>32.666457685465318</v>
      </c>
      <c r="E20" s="16">
        <f t="shared" si="7"/>
        <v>0.20356094509785352</v>
      </c>
      <c r="F20" s="15">
        <f>IF(A26=A27,_xll.ciqfunctions.udf.CIQ(A18,"IQ_DILUT_EPS_EXCL",IQ_FY-8), _xll.ciqfunctions.udf.CIQ(A18, "IQ_DILUT_EPS_EXCL",IQ_FY-7))</f>
        <v>3.17</v>
      </c>
      <c r="G20" s="15">
        <f>IF(A26=A27,_xll.ciqfunctions.udf.CIQ(A18,"IQ_EBITDA_MARGIN",IQ_FY-8), _xll.ciqfunctions.udf.CIQ(A18, "IQ_EBITDA_MARGIN",IQ_FY-7))</f>
        <v>21.580300000000001</v>
      </c>
      <c r="H20" s="15">
        <f>IF(A26=A27,_xll.ciqfunctions.udf.CIQ(A18,"IQ_TOTAL_DIV_PAID_CF",IQ_FY-8)/-I20, _xll.ciqfunctions.udf.CIQ(A18, "IQ_TOTAL_DIV_PAID_CF",IQ_FY-7)/-I20)</f>
        <v>1.5888689690735545</v>
      </c>
      <c r="I20" s="17">
        <f>IF(A26=A27,_xll.ciqfunctions.udf.CIQ(A18,"IQ_TOTAL_OUTSTANDING_FILING_DATE",IQ_FY-8), _xll.ciqfunctions.udf.CIQ(A18, "IQ_TOTAL_OUTSTANDING_FILING_DATE",IQ_FY-7))</f>
        <v>174.33785</v>
      </c>
      <c r="J20" s="17">
        <f>IF(A26=A27,_xll.ciqfunctions.udf.CIQ(A18,"IQ_CASH_OPER",IQ_FY-8), _xll.ciqfunctions.udf.CIQ(A18, "IQ_CASH_OPER",IQ_FY-7))</f>
        <v>1021</v>
      </c>
      <c r="K20" s="17">
        <f>IF(A26=A27,_xll.ciqfunctions.udf.CIQ(A18,"IQ_CAPEX",IQ_FY-8), _xll.ciqfunctions.udf.CIQ(A18, "IQ_CAPEX",IQ_FY-7))</f>
        <v>-175</v>
      </c>
      <c r="L20" s="15">
        <f t="shared" si="4"/>
        <v>4.8526467430910731</v>
      </c>
      <c r="M20" s="17">
        <f>IF(A26=A27,_xll.ciqfunctions.udf.CIQ(A18,"IQ_TOTAL_DEBT_ISSUED",IQ_FY-8), _xll.ciqfunctions.udf.CIQ(A18, "IQ_TOTAL_DEBT_ISSUED",IQ_FY-7))</f>
        <v>971</v>
      </c>
      <c r="N20" s="17">
        <f>IF(A26=A27,_xll.ciqfunctions.udf.CIQ(A18,"IQ_TOTAL_DEBT_REPAID",IQ_FY-8), _xll.ciqfunctions.udf.CIQ(A18, "IQ_TOTAL_DEBT_REPAID",IQ_FY-7))</f>
        <v>-4</v>
      </c>
      <c r="O20" s="15">
        <f t="shared" si="5"/>
        <v>5.5467014191123729</v>
      </c>
      <c r="P20" s="15">
        <f t="shared" si="6"/>
        <v>10.399348162203445</v>
      </c>
      <c r="Q20" s="25" t="s">
        <v>21</v>
      </c>
      <c r="R20" s="38" t="s">
        <v>49</v>
      </c>
      <c r="S20" s="2">
        <f>(R17*I28)/1000</f>
        <v>53.191241360100001</v>
      </c>
      <c r="U20" s="25" t="s">
        <v>59</v>
      </c>
      <c r="V20" s="38" t="s">
        <v>49</v>
      </c>
      <c r="W20" s="2">
        <f>(V17*I28)/1000</f>
        <v>53.191241360100001</v>
      </c>
      <c r="Y20" s="25" t="s">
        <v>46</v>
      </c>
      <c r="Z20" s="38" t="s">
        <v>49</v>
      </c>
      <c r="AA20" s="2">
        <f>(Z17*I28)/1000</f>
        <v>53.191241360100001</v>
      </c>
    </row>
    <row r="21" spans="1:27">
      <c r="A21" s="18"/>
      <c r="B21" s="13">
        <v>4</v>
      </c>
      <c r="C21" s="14" t="s">
        <v>22</v>
      </c>
      <c r="D21" s="15" cm="1">
        <f t="array" ref="D21">_xlfn.SINGLE(IF(A26=A27,_xll.ciqfunctions.udf.CIQ(A18,"IQ_TOTAL_REV",IQ_FY-7)/I21, _xll.ciqfunctions.udf.CIQ(A18, "IQ_TOTAL_REV",IQ_FY-6)/I21))</f>
        <v>36.650734705192548</v>
      </c>
      <c r="E21" s="16">
        <f t="shared" si="7"/>
        <v>0.12196844414813923</v>
      </c>
      <c r="F21" s="15">
        <f>IF(A26=A27,_xll.ciqfunctions.udf.CIQ(A18,"IQ_DILUT_EPS_EXCL",IQ_FY-7), _xll.ciqfunctions.udf.CIQ(A18, "IQ_DILUT_EPS_EXCL",IQ_FY-6))</f>
        <v>3.24</v>
      </c>
      <c r="G21" s="15">
        <f>IF(A26=A27,_xll.ciqfunctions.udf.CIQ(A18,"IQ_EBITDA_MARGIN",IQ_FY-7), _xll.ciqfunctions.udf.CIQ(A18, "IQ_EBITDA_MARGIN",IQ_FY-6))</f>
        <v>25.5382</v>
      </c>
      <c r="H21" s="15">
        <f>IF(A26=A27,_xll.ciqfunctions.udf.CIQ(A18,"IQ_TOTAL_DIV_PAID_CF",IQ_FY-7)/-I21, _xll.ciqfunctions.udf.CIQ(A18, "IQ_TOTAL_DIV_PAID_CF",IQ_FY-6)/-I21)</f>
        <v>1.6996034643017413</v>
      </c>
      <c r="I21" s="17">
        <f>IF(A26=A27,_xll.ciqfunctions.udf.CIQ(A18,"IQ_TOTAL_OUTSTANDING_FILING_DATE",IQ_FY-7), _xll.ciqfunctions.udf.CIQ(A18, "IQ_TOTAL_OUTSTANDING_FILING_DATE",IQ_FY-6))</f>
        <v>164.74431000000001</v>
      </c>
      <c r="J21" s="17">
        <f>IF(A26=A27,_xll.ciqfunctions.udf.CIQ(A18,"IQ_CASH_OPER",IQ_FY-7), _xll.ciqfunctions.udf.CIQ(A18, "IQ_CASH_OPER",IQ_FY-6))</f>
        <v>1165</v>
      </c>
      <c r="K21" s="17">
        <f>IF(A26=A27,_xll.ciqfunctions.udf.CIQ(A18,"IQ_CAPEX",IQ_FY-7), _xll.ciqfunctions.udf.CIQ(A18, "IQ_CAPEX",IQ_FY-6))</f>
        <v>-271</v>
      </c>
      <c r="L21" s="15">
        <f t="shared" si="4"/>
        <v>5.4265910610205594</v>
      </c>
      <c r="M21" s="17">
        <f>IF(A26=A27,_xll.ciqfunctions.udf.CIQ(A18,"IQ_TOTAL_DEBT_ISSUED",IQ_FY-7), _xll.ciqfunctions.udf.CIQ(A18, "IQ_TOTAL_DEBT_ISSUED",IQ_FY-6))</f>
        <v>673</v>
      </c>
      <c r="N21" s="17">
        <f>IF(A26=A27,_xll.ciqfunctions.udf.CIQ(A18,"IQ_TOTAL_DEBT_REPAID",IQ_FY-7), _xll.ciqfunctions.udf.CIQ(A18, "IQ_TOTAL_DEBT_REPAID",IQ_FY-6))</f>
        <v>-686</v>
      </c>
      <c r="O21" s="15">
        <f t="shared" si="5"/>
        <v>-7.8910160842580845E-2</v>
      </c>
      <c r="P21" s="15">
        <f t="shared" si="6"/>
        <v>5.3476809001779788</v>
      </c>
      <c r="Q21" s="25" t="s">
        <v>23</v>
      </c>
      <c r="R21" s="38" t="s">
        <v>24</v>
      </c>
      <c r="S21" s="1">
        <f>R17/(AVERAGE(H23:H28)*(1+H29)/(0.5-H29))</f>
        <v>41.313189565519757</v>
      </c>
      <c r="U21" s="25" t="s">
        <v>40</v>
      </c>
      <c r="V21" s="38" t="s">
        <v>24</v>
      </c>
      <c r="W21" s="1">
        <f>V17/(AVERAGE(H23:H28)*(1+H29)/(0.5-H29))</f>
        <v>41.313189565519757</v>
      </c>
      <c r="Y21" s="25" t="s">
        <v>47</v>
      </c>
      <c r="Z21" s="38" t="s">
        <v>24</v>
      </c>
      <c r="AA21" s="1">
        <f>Z17/(AVERAGE(H23:H28)*(1+H29)/(0.5-H29))</f>
        <v>41.313189565519757</v>
      </c>
    </row>
    <row r="22" spans="1:27">
      <c r="B22" s="13">
        <v>5</v>
      </c>
      <c r="C22" s="14" t="s">
        <v>25</v>
      </c>
      <c r="D22" s="15" cm="1">
        <f t="array" ref="D22">_xlfn.SINGLE(IF(A26=A27,_xll.ciqfunctions.udf.CIQ(A18,"IQ_TOTAL_REV",IQ_FY-6)/I22, _xll.ciqfunctions.udf.CIQ(A18, "IQ_TOTAL_REV",IQ_FY-5)/I22))</f>
        <v>39.551780378758508</v>
      </c>
      <c r="E22" s="16">
        <f t="shared" si="7"/>
        <v>7.9153820432280447E-2</v>
      </c>
      <c r="F22" s="15">
        <f>IF(A26=A27,_xll.ciqfunctions.udf.CIQ(A18,"IQ_DILUT_EPS_EXCL",IQ_FY-6), _xll.ciqfunctions.udf.CIQ(A18, "IQ_DILUT_EPS_EXCL",IQ_FY-5))</f>
        <v>-0.95150000000000001</v>
      </c>
      <c r="G22" s="15">
        <f>IF(A26=A27,_xll.ciqfunctions.udf.CIQ(A18,"IQ_EBITDA_MARGIN",IQ_FY-6), _xll.ciqfunctions.udf.CIQ(A18, "IQ_EBITDA_MARGIN",IQ_FY-5))</f>
        <v>26.300899999999999</v>
      </c>
      <c r="H22" s="15">
        <f>IF(A26=A27,_xll.ciqfunctions.udf.CIQ(A18,"IQ_TOTAL_DIV_PAID_CF",IQ_FY-6)/-I22, _xll.ciqfunctions.udf.CIQ(A18, "IQ_TOTAL_DIV_PAID_CF",IQ_FY-5)/-I22)</f>
        <v>1.9031969555296022</v>
      </c>
      <c r="I22" s="17">
        <f>IF(A26=A27,_xll.ciqfunctions.udf.CIQ(A18,"IQ_TOTAL_OUTSTANDING_FILING_DATE",IQ_FY-6), _xll.ciqfunctions.udf.CIQ(A18, "IQ_TOTAL_OUTSTANDING_FILING_DATE",IQ_FY-5))</f>
        <v>161.30753000000001</v>
      </c>
      <c r="J22" s="17">
        <f>IF(A26=A27,_xll.ciqfunctions.udf.CIQ(A18,"IQ_CASH_OPER",IQ_FY-6), _xll.ciqfunctions.udf.CIQ(A18, "IQ_CASH_OPER",IQ_FY-5))</f>
        <v>1346</v>
      </c>
      <c r="K22" s="17">
        <f>IF(A26=A27,_xll.ciqfunctions.udf.CIQ(A18,"IQ_CAPEX",IQ_FY-6), _xll.ciqfunctions.udf.CIQ(A18, "IQ_CAPEX",IQ_FY-5))</f>
        <v>-227</v>
      </c>
      <c r="L22" s="15">
        <f t="shared" si="4"/>
        <v>6.9370599128261397</v>
      </c>
      <c r="M22" s="17">
        <f>IF(A26=A27,_xll.ciqfunctions.udf.CIQ(A18,"IQ_TOTAL_DEBT_ISSUED",IQ_FY-6), _xll.ciqfunctions.udf.CIQ(A18, "IQ_TOTAL_DEBT_ISSUED",IQ_FY-5))</f>
        <v>10</v>
      </c>
      <c r="N22" s="17">
        <f>IF(A26=A27,_xll.ciqfunctions.udf.CIQ(A18,"IQ_TOTAL_DEBT_REPAID",IQ_FY-6), _xll.ciqfunctions.udf.CIQ(A18, "IQ_TOTAL_DEBT_REPAID",IQ_FY-5))</f>
        <v>-21</v>
      </c>
      <c r="O22" s="15">
        <f t="shared" si="5"/>
        <v>-6.8192724790962944E-2</v>
      </c>
      <c r="P22" s="15">
        <f t="shared" si="6"/>
        <v>6.8688671880351766</v>
      </c>
      <c r="Q22" s="18"/>
      <c r="R22" s="38" t="s">
        <v>50</v>
      </c>
      <c r="S22" s="3">
        <f>I29</f>
        <v>2.5465666947468435E-3</v>
      </c>
      <c r="U22" s="18"/>
      <c r="V22" s="38" t="s">
        <v>50</v>
      </c>
      <c r="W22" s="3">
        <f>I29</f>
        <v>2.5465666947468435E-3</v>
      </c>
      <c r="Y22" s="18"/>
      <c r="Z22" s="38" t="s">
        <v>50</v>
      </c>
      <c r="AA22" s="3">
        <f>I29</f>
        <v>2.5465666947468435E-3</v>
      </c>
    </row>
    <row r="23" spans="1:27">
      <c r="B23" s="13">
        <v>6</v>
      </c>
      <c r="C23" s="14" t="s">
        <v>26</v>
      </c>
      <c r="D23" s="15" cm="1">
        <f t="array" ref="D23">_xlfn.SINGLE(IF(A26=A27,_xll.ciqfunctions.udf.CIQ(A18,"IQ_TOTAL_REV",IQ_FY-5)/I23, _xll.ciqfunctions.udf.CIQ(A18, "IQ_TOTAL_REV",IQ_FY-4)/I23))</f>
        <v>44.809557549708678</v>
      </c>
      <c r="E23" s="16">
        <f t="shared" si="7"/>
        <v>0.13293402017811282</v>
      </c>
      <c r="F23" s="15">
        <f>IF(A26=A27,_xll.ciqfunctions.udf.CIQ(A18,"IQ_DILUT_EPS_EXCL",IQ_FY-5), _xll.ciqfunctions.udf.CIQ(A18, "IQ_DILUT_EPS_EXCL",IQ_FY-4))</f>
        <v>5.62</v>
      </c>
      <c r="G23" s="15">
        <f>IF(A26=A27,_xll.ciqfunctions.udf.CIQ(A18,"IQ_EBITDA_MARGIN",IQ_FY-5), _xll.ciqfunctions.udf.CIQ(A18, "IQ_EBITDA_MARGIN",IQ_FY-4))</f>
        <v>25.0306</v>
      </c>
      <c r="H23" s="15">
        <f>IF(A26=A27,_xll.ciqfunctions.udf.CIQ(A18,"IQ_TOTAL_DIV_PAID_CF",IQ_FY-5)/-I23, _xll.ciqfunctions.udf.CIQ(A18, "IQ_TOTAL_DIV_PAID_CF",IQ_FY-4)/-I23)</f>
        <v>2.0564920188277034</v>
      </c>
      <c r="I23" s="17">
        <f>IF(A26=A27,_xll.ciqfunctions.udf.CIQ(A18,"IQ_TOTAL_OUTSTANDING_FILING_DATE",IQ_FY-5), _xll.ciqfunctions.udf.CIQ(A18, "IQ_TOTAL_OUTSTANDING_FILING_DATE",IQ_FY-4))</f>
        <v>163.87128999999999</v>
      </c>
      <c r="J23" s="17">
        <f>IF(A26=A27,_xll.ciqfunctions.udf.CIQ(A18,"IQ_CASH_OPER",IQ_FY-5), _xll.ciqfunctions.udf.CIQ(A18, "IQ_CASH_OPER",IQ_FY-4))</f>
        <v>1075</v>
      </c>
      <c r="K23" s="17">
        <f>IF(A26=A27,_xll.ciqfunctions.udf.CIQ(A18,"IQ_CAPEX",IQ_FY-5), _xll.ciqfunctions.udf.CIQ(A18, "IQ_CAPEX",IQ_FY-4))</f>
        <v>-197</v>
      </c>
      <c r="L23" s="15">
        <f t="shared" si="4"/>
        <v>5.3578634793196542</v>
      </c>
      <c r="M23" s="17">
        <f>IF(A26=A27,_xll.ciqfunctions.udf.CIQ(A18,"IQ_TOTAL_DEBT_ISSUED",IQ_FY-5), _xll.ciqfunctions.udf.CIQ(A18, "IQ_TOTAL_DEBT_ISSUED",IQ_FY-4))</f>
        <v>1490</v>
      </c>
      <c r="N23" s="17">
        <f>IF(A26=A27,_xll.ciqfunctions.udf.CIQ(A18,"IQ_TOTAL_DEBT_REPAID",IQ_FY-5), _xll.ciqfunctions.udf.CIQ(A18, "IQ_TOTAL_DEBT_REPAID",IQ_FY-4))</f>
        <v>-723</v>
      </c>
      <c r="O23" s="15">
        <f t="shared" si="5"/>
        <v>4.6805026066494015</v>
      </c>
      <c r="P23" s="15">
        <f t="shared" si="6"/>
        <v>10.038366085969056</v>
      </c>
      <c r="Q23" s="25" t="s">
        <v>27</v>
      </c>
      <c r="R23" s="38" t="s">
        <v>51</v>
      </c>
      <c r="S23" s="4">
        <f>AVERAGE(F23:F28)/AVERAGE(D23:D28)</f>
        <v>0.13796803787869499</v>
      </c>
      <c r="U23" s="25" t="s">
        <v>58</v>
      </c>
      <c r="V23" s="38" t="s">
        <v>51</v>
      </c>
      <c r="W23" s="4">
        <f>AVERAGE(F23:F28)/AVERAGE(D23:D28)</f>
        <v>0.13796803787869499</v>
      </c>
      <c r="Y23" s="25" t="s">
        <v>56</v>
      </c>
      <c r="Z23" s="38" t="s">
        <v>51</v>
      </c>
      <c r="AA23" s="4">
        <f>AVERAGE(F23:F28)/AVERAGE(D23:D28)</f>
        <v>0.13796803787869499</v>
      </c>
    </row>
    <row r="24" spans="1:27">
      <c r="A24" s="18"/>
      <c r="B24" s="13">
        <v>7</v>
      </c>
      <c r="C24" s="14" t="s">
        <v>28</v>
      </c>
      <c r="D24" s="15" cm="1">
        <f t="array" ref="D24">_xlfn.SINGLE(IF(A26=A27,_xll.ciqfunctions.udf.CIQ(A18,"IQ_TOTAL_REV",IQ_FY-4)/I24, _xll.ciqfunctions.udf.CIQ(A18, "IQ_TOTAL_REV",IQ_FY-3)/I24))</f>
        <v>46.236613981431482</v>
      </c>
      <c r="E24" s="16">
        <f t="shared" si="7"/>
        <v>3.184714399689674E-2</v>
      </c>
      <c r="F24" s="15">
        <f>IF(A26=A27,_xll.ciqfunctions.udf.CIQ(A18,"IQ_DILUT_EPS_EXCL",IQ_FY-4), _xll.ciqfunctions.udf.CIQ(A18, "IQ_DILUT_EPS_EXCL",IQ_FY-3))</f>
        <v>4.95</v>
      </c>
      <c r="G24" s="15">
        <f>IF(A26=A27,_xll.ciqfunctions.udf.CIQ(A18,"IQ_EBITDA_MARGIN",IQ_FY-4), _xll.ciqfunctions.udf.CIQ(A18, "IQ_EBITDA_MARGIN",IQ_FY-3))</f>
        <v>26.892299999999999</v>
      </c>
      <c r="H24" s="15">
        <f>IF(A26=A27,_xll.ciqfunctions.udf.CIQ(A18,"IQ_TOTAL_DIV_PAID_CF",IQ_FY-4)/-I24, _xll.ciqfunctions.udf.CIQ(A18, "IQ_TOTAL_DIV_PAID_CF",IQ_FY-3)/-I24)</f>
        <v>2.2218431214609526</v>
      </c>
      <c r="I24" s="17">
        <f>IF(A26=A27,_xll.ciqfunctions.udf.CIQ(A18,"IQ_TOTAL_OUTSTANDING_FILING_DATE",IQ_FY-4), _xll.ciqfunctions.udf.CIQ(A18, "IQ_TOTAL_OUTSTANDING_FILING_DATE",IQ_FY-3))</f>
        <v>170.57910000000001</v>
      </c>
      <c r="J24" s="17">
        <f>IF(A26=A27,_xll.ciqfunctions.udf.CIQ(A18,"IQ_CASH_OPER",IQ_FY-4), _xll.ciqfunctions.udf.CIQ(A18, "IQ_CASH_OPER",IQ_FY-3))</f>
        <v>1823</v>
      </c>
      <c r="K24" s="17">
        <f>IF(A26=A27,_xll.ciqfunctions.udf.CIQ(A18,"IQ_CAPEX",IQ_FY-4), _xll.ciqfunctions.udf.CIQ(A18, "IQ_CAPEX",IQ_FY-3))</f>
        <v>-248</v>
      </c>
      <c r="L24" s="15">
        <f t="shared" si="4"/>
        <v>9.2332530773113461</v>
      </c>
      <c r="M24" s="17">
        <f>IF(A26=A27,_xll.ciqfunctions.udf.CIQ(A18,"IQ_TOTAL_DEBT_ISSUED",IQ_FY-4), _xll.ciqfunctions.udf.CIQ(A18, "IQ_TOTAL_DEBT_ISSUED",IQ_FY-3))</f>
        <v>1804</v>
      </c>
      <c r="N24" s="17">
        <f>IF(A26=A27,_xll.ciqfunctions.udf.CIQ(A18,"IQ_TOTAL_DEBT_REPAID",IQ_FY-4), _xll.ciqfunctions.udf.CIQ(A18, "IQ_TOTAL_DEBT_REPAID",IQ_FY-3))</f>
        <v>-2039</v>
      </c>
      <c r="O24" s="15">
        <f t="shared" si="5"/>
        <v>-1.3776599829639151</v>
      </c>
      <c r="P24" s="15">
        <f t="shared" si="6"/>
        <v>7.855593094347431</v>
      </c>
      <c r="Q24" s="18"/>
      <c r="R24" s="38" t="s">
        <v>29</v>
      </c>
      <c r="S24" s="4">
        <f>(AVERAGE(P23:P28)/_xlfn.STDEV.P(P23:P28))/(IF(A26=A27,(_xlfn.SINGLE(_xll.ciqfunctions.udf.CIQ(A18,"IQ_total_assets",IQ_FY)) - _xlfn.SINGLE(_xll.ciqfunctions.udf.CIQ(A18,"iq_gw_intan", IQ_FY)))/I28, (_xlfn.SINGLE(_xll.ciqfunctions.udf.CIQ(A18, "IQ_total_assets",IQ_LTM))-_xlfn.SINGLE(_xll.ciqfunctions.udf.CIQ(A18,"iq_gw_intan",IQ_LTM)))/I28))</f>
        <v>0.12834355282874829</v>
      </c>
      <c r="U24" s="18"/>
      <c r="V24" s="38" t="s">
        <v>29</v>
      </c>
      <c r="W24" s="4">
        <f>(AVERAGE(P23:P28)/_xlfn.STDEV.P(P23:P28))/(IF(A26=A27,(_xlfn.SINGLE(_xll.ciqfunctions.udf.CIQ(A18,"IQ_total_assets",IQ_FY)) - _xlfn.SINGLE(_xll.ciqfunctions.udf.CIQ(A18,"iq_gw_intan", IQ_FY)))/I28, (_xlfn.SINGLE(_xll.ciqfunctions.udf.CIQ(A18, "IQ_total_assets",IQ_LTM))-_xlfn.SINGLE(_xll.ciqfunctions.udf.CIQ(A18,"iq_gw_intan",IQ_LTM)))/I28))</f>
        <v>0.12834355282874829</v>
      </c>
      <c r="Y24" s="18"/>
      <c r="Z24" s="38" t="s">
        <v>29</v>
      </c>
      <c r="AA24" s="4">
        <f>(AVERAGE(P23:P28)/_xlfn.STDEV.P(P23:P28))/(IF(A26=A27,(_xlfn.SINGLE(_xll.ciqfunctions.udf.CIQ(A18,"IQ_total_assets",IQ_FY)) - _xlfn.SINGLE(_xll.ciqfunctions.udf.CIQ(A18,"iq_gw_intan", IQ_FY)))/I28, (_xlfn.SINGLE(_xll.ciqfunctions.udf.CIQ(A18, "IQ_total_assets",IQ_LTM))-_xlfn.SINGLE(_xll.ciqfunctions.udf.CIQ(A18,"iq_gw_intan",IQ_LTM)))/I28))</f>
        <v>0.12834355282874829</v>
      </c>
    </row>
    <row r="25" spans="1:27">
      <c r="A25" s="18"/>
      <c r="B25" s="13">
        <v>8</v>
      </c>
      <c r="C25" s="14" t="s">
        <v>30</v>
      </c>
      <c r="D25" s="15" cm="1">
        <f t="array" ref="D25">_xlfn.SINGLE(IF(A26=A27,_xll.ciqfunctions.udf.CIQ(A18,"IQ_TOTAL_REV",IQ_FY-3)/I25, _xll.ciqfunctions.udf.CIQ(A18, "IQ_TOTAL_REV",IQ_FY-2)/I25))</f>
        <v>43.862480061769546</v>
      </c>
      <c r="E25" s="16">
        <f t="shared" si="7"/>
        <v>-5.1347486661012486E-2</v>
      </c>
      <c r="F25" s="15">
        <f>IF(A26=A27,_xll.ciqfunctions.udf.CIQ(A18,"IQ_DILUT_EPS_EXCL",IQ_FY-3), _xll.ciqfunctions.udf.CIQ(A18, "IQ_DILUT_EPS_EXCL",IQ_FY-2))</f>
        <v>5.45</v>
      </c>
      <c r="G25" s="15">
        <f>IF(A26=A27,_xll.ciqfunctions.udf.CIQ(A18,"IQ_EBITDA_MARGIN",IQ_FY-3), _xll.ciqfunctions.udf.CIQ(A18, "IQ_EBITDA_MARGIN",IQ_FY-2))</f>
        <v>26.058800000000002</v>
      </c>
      <c r="H25" s="15">
        <f>IF(A26=A27,_xll.ciqfunctions.udf.CIQ(A18,"IQ_TOTAL_DIV_PAID_CF",IQ_FY-3)/-I25, _xll.ciqfunctions.udf.CIQ(A18, "IQ_TOTAL_DIV_PAID_CF",IQ_FY-2)/-I25)</f>
        <v>2.5794498660549663</v>
      </c>
      <c r="I25" s="17">
        <f>IF(A26=A27,_xll.ciqfunctions.udf.CIQ(A18,"IQ_TOTAL_OUTSTANDING_FILING_DATE",IQ_FY-3), _xll.ciqfunctions.udf.CIQ(A18, "IQ_TOTAL_OUTSTANDING_FILING_DATE",IQ_FY-2))</f>
        <v>169.02829</v>
      </c>
      <c r="J25" s="17">
        <f>IF(A26=A27,_xll.ciqfunctions.udf.CIQ(A18,"IQ_CASH_OPER",IQ_FY-3), _xll.ciqfunctions.udf.CIQ(A18, "IQ_CASH_OPER",IQ_FY-2))</f>
        <v>1613</v>
      </c>
      <c r="K25" s="17">
        <f>IF(A26=A27,_xll.ciqfunctions.udf.CIQ(A18,"IQ_CAPEX",IQ_FY-3), _xll.ciqfunctions.udf.CIQ(A18, "IQ_CAPEX",IQ_FY-2))</f>
        <v>-217</v>
      </c>
      <c r="L25" s="15">
        <f t="shared" si="4"/>
        <v>8.258972506909938</v>
      </c>
      <c r="M25" s="17">
        <f>IF(A26=A27,_xll.ciqfunctions.udf.CIQ(A18,"IQ_TOTAL_DEBT_ISSUED",IQ_FY-3), _xll.ciqfunctions.udf.CIQ(A18, "IQ_TOTAL_DEBT_ISSUED",IQ_FY-2))</f>
        <v>1692</v>
      </c>
      <c r="N25" s="17">
        <f>IF(A26=A27,_xll.ciqfunctions.udf.CIQ(A18,"IQ_TOTAL_DEBT_REPAID",IQ_FY-3), _xll.ciqfunctions.udf.CIQ(A18, "IQ_TOTAL_DEBT_REPAID",IQ_FY-2))</f>
        <v>-1714</v>
      </c>
      <c r="O25" s="15">
        <f t="shared" si="5"/>
        <v>-0.13015572718625976</v>
      </c>
      <c r="P25" s="15">
        <f t="shared" si="6"/>
        <v>8.1288167797236781</v>
      </c>
      <c r="Q25" s="18"/>
      <c r="R25" s="39" t="s">
        <v>31</v>
      </c>
      <c r="S25" s="5">
        <f>IF(NOT(D18&gt;0),FALSE,SLOPE(G18:G28,B18:B28))</f>
        <v>0.91245999999999994</v>
      </c>
      <c r="U25" s="18"/>
      <c r="V25" s="39" t="s">
        <v>31</v>
      </c>
      <c r="W25" s="5">
        <f>IF(NOT(D18&gt;0),FALSE,SLOPE(G18:G28,B18:B28))</f>
        <v>0.91245999999999994</v>
      </c>
      <c r="Y25" s="18"/>
      <c r="Z25" s="39" t="s">
        <v>31</v>
      </c>
      <c r="AA25" s="5">
        <f>IF(NOT(L18&gt;0),FALSE,SLOPE(O18:O28,J18:J28))</f>
        <v>-1.7649245113758609E-3</v>
      </c>
    </row>
    <row r="26" spans="1:27">
      <c r="A26" s="19">
        <f>_xll.ciqfunctions.udf.CIQ(A18,"IQ_TOTAL_REV",IQ_FY)</f>
        <v>9112</v>
      </c>
      <c r="B26" s="13">
        <v>9</v>
      </c>
      <c r="C26" s="14" t="s">
        <v>32</v>
      </c>
      <c r="D26" s="15" cm="1">
        <f t="array" ref="D26">_xlfn.SINGLE(IF(A26=A27,_xll.ciqfunctions.udf.CIQ(A18,"IQ_TOTAL_REV",IQ_FY-2)/I26, _xll.ciqfunctions.udf.CIQ(A18, "IQ_TOTAL_REV",IQ_FY-1)/I26))</f>
        <v>48.576447325171308</v>
      </c>
      <c r="E26" s="16">
        <f t="shared" si="7"/>
        <v>0.107471516812622</v>
      </c>
      <c r="F26" s="15">
        <f>IF(A26=A27,_xll.ciqfunctions.udf.CIQ(A18,"IQ_DILUT_EPS_EXCL",IQ_FY-2), _xll.ciqfunctions.udf.CIQ(A18, "IQ_DILUT_EPS_EXCL",IQ_FY-1))</f>
        <v>7.17</v>
      </c>
      <c r="G26" s="15">
        <f>IF(A26=A27,_xll.ciqfunctions.udf.CIQ(A18,"IQ_EBITDA_MARGIN",IQ_FY-2), _xll.ciqfunctions.udf.CIQ(A18, "IQ_EBITDA_MARGIN",IQ_FY-1))</f>
        <v>28.0014</v>
      </c>
      <c r="H26" s="15">
        <f>IF(A26=A27,_xll.ciqfunctions.udf.CIQ(A18,"IQ_TOTAL_DIV_PAID_CF",IQ_FY-2)/-I26, _xll.ciqfunctions.udf.CIQ(A18, "IQ_TOTAL_DIV_PAID_CF",IQ_FY-1)/-I26)</f>
        <v>2.8654812887936081</v>
      </c>
      <c r="I26" s="17">
        <f>IF(A26=A27,_xll.ciqfunctions.udf.CIQ(A18,"IQ_TOTAL_OUTSTANDING_FILING_DATE",IQ_FY-2), _xll.ciqfunctions.udf.CIQ(A18, "IQ_TOTAL_OUTSTANDING_FILING_DATE",IQ_FY-1))</f>
        <v>168.20909</v>
      </c>
      <c r="J26" s="17">
        <f>IF(A26=A27,_xll.ciqfunctions.udf.CIQ(A18,"IQ_CASH_OPER",IQ_FY-2), _xll.ciqfunctions.udf.CIQ(A18, "IQ_CASH_OPER",IQ_FY-1))</f>
        <v>1837</v>
      </c>
      <c r="K26" s="17">
        <f>IF(A26=A27,_xll.ciqfunctions.udf.CIQ(A18,"IQ_CAPEX",IQ_FY-2), _xll.ciqfunctions.udf.CIQ(A18, "IQ_CAPEX",IQ_FY-1))</f>
        <v>-243</v>
      </c>
      <c r="L26" s="15">
        <f t="shared" si="4"/>
        <v>9.4763011915705615</v>
      </c>
      <c r="M26" s="17">
        <f>IF(A26=A27,_xll.ciqfunctions.udf.CIQ(A18,"IQ_TOTAL_DEBT_ISSUED",IQ_FY-2), _xll.ciqfunctions.udf.CIQ(A18, "IQ_TOTAL_DEBT_ISSUED",IQ_FY-1))</f>
        <v>844</v>
      </c>
      <c r="N26" s="17">
        <f>IF(A26=A27,_xll.ciqfunctions.udf.CIQ(A18,"IQ_TOTAL_DEBT_REPAID",IQ_FY-2), _xll.ciqfunctions.udf.CIQ(A18, "IQ_TOTAL_DEBT_REPAID",IQ_FY-1))</f>
        <v>-353</v>
      </c>
      <c r="O26" s="15">
        <f t="shared" si="5"/>
        <v>2.9189861261362271</v>
      </c>
      <c r="P26" s="15">
        <f t="shared" si="6"/>
        <v>12.395287317706789</v>
      </c>
      <c r="Q26" s="25" t="s">
        <v>33</v>
      </c>
      <c r="R26" s="38" t="s">
        <v>52</v>
      </c>
      <c r="S26" s="4">
        <f>(AVERAGE(O23:O28)/AVERAGE(P23:P28))</f>
        <v>0.13074389602560818</v>
      </c>
      <c r="U26" s="25" t="s">
        <v>54</v>
      </c>
      <c r="V26" s="38" t="s">
        <v>52</v>
      </c>
      <c r="W26" s="4">
        <f>(AVERAGE(O23:O28)/AVERAGE(P23:P28))</f>
        <v>0.13074389602560818</v>
      </c>
      <c r="Y26" s="25" t="s">
        <v>60</v>
      </c>
      <c r="Z26" s="38" t="s">
        <v>52</v>
      </c>
      <c r="AA26" s="4">
        <f>(AVERAGE(O23:O28)/AVERAGE(P23:P28))</f>
        <v>0.13074389602560818</v>
      </c>
    </row>
    <row r="27" spans="1:27">
      <c r="A27" s="19">
        <f>_xll.ciqfunctions.udf.CIQ(A18,"IQ_TOTAL_REV",IQ_LTM)</f>
        <v>9836</v>
      </c>
      <c r="B27" s="13">
        <v>10</v>
      </c>
      <c r="C27" s="14" t="s">
        <v>34</v>
      </c>
      <c r="D27" s="15" cm="1">
        <f t="array" ref="D27">_xlfn.SINGLE(IF(A26=A27,_xll.ciqfunctions.udf.CIQ(A18,"IQ_TOTAL_REV",IQ_FY-1)/I27, _xll.ciqfunctions.udf.CIQ(A18, "IQ_TOTAL_REV",IQ_FY)/I27))</f>
        <v>54.481292593778889</v>
      </c>
      <c r="E27" s="16">
        <f t="shared" si="7"/>
        <v>0.12155778352995798</v>
      </c>
      <c r="F27" s="15">
        <f>IF(A26=A27,_xll.ciqfunctions.udf.CIQ(A18,"IQ_DILUT_EPS_EXCL",IQ_FY-1), _xll.ciqfunctions.udf.CIQ(A18, "IQ_DILUT_EPS_EXCL",IQ_FY))</f>
        <v>7.93</v>
      </c>
      <c r="G27" s="15">
        <f>IF(A26=A27,_xll.ciqfunctions.udf.CIQ(A18,"IQ_EBITDA_MARGIN",IQ_FY-1), _xll.ciqfunctions.udf.CIQ(A18, "IQ_EBITDA_MARGIN",IQ_FY))</f>
        <v>27.4802</v>
      </c>
      <c r="H27" s="15">
        <f>IF(A26=A27,_xll.ciqfunctions.udf.CIQ(A18,"IQ_TOTAL_DIV_PAID_CF",IQ_FY-1)/-I27, _xll.ciqfunctions.udf.CIQ(A18, "IQ_TOTAL_DIV_PAID_CF",IQ_FY)/-I27)</f>
        <v>3.1689074928339345</v>
      </c>
      <c r="I27" s="17">
        <f>IF(A26=A27,_xll.ciqfunctions.udf.CIQ(A18,"IQ_TOTAL_OUTSTANDING_FILING_DATE",IQ_FY-1), _xll.ciqfunctions.udf.CIQ(A18, "IQ_TOTAL_OUTSTANDING_FILING_DATE",IQ_FY))</f>
        <v>167.25006999999999</v>
      </c>
      <c r="J27" s="17">
        <f>IF(A26=A27,_xll.ciqfunctions.udf.CIQ(A18,"IQ_CASH_OPER",IQ_FY-1), _xll.ciqfunctions.udf.CIQ(A18, "IQ_CASH_OPER",IQ_FY))</f>
        <v>1823</v>
      </c>
      <c r="K27" s="17">
        <f>IF(A26=A27,_xll.ciqfunctions.udf.CIQ(A18,"IQ_CAPEX",IQ_FY-1), _xll.ciqfunctions.udf.CIQ(A18, "IQ_CAPEX",IQ_FY))</f>
        <v>-256</v>
      </c>
      <c r="L27" s="15">
        <f t="shared" si="4"/>
        <v>9.3692038514542926</v>
      </c>
      <c r="M27" s="17">
        <f>IF(A26=A27,_xll.ciqfunctions.udf.CIQ(A18,"IQ_TOTAL_DEBT_ISSUED",IQ_FY-1), _xll.ciqfunctions.udf.CIQ(A18, "IQ_TOTAL_DEBT_ISSUED",IQ_FY))</f>
        <v>595</v>
      </c>
      <c r="N27" s="17">
        <f>IF(A26=A27,_xll.ciqfunctions.udf.CIQ(A18,"IQ_TOTAL_DEBT_REPAID",IQ_FY-1), _xll.ciqfunctions.udf.CIQ(A18, "IQ_TOTAL_DEBT_REPAID",IQ_FY))</f>
        <v>-285</v>
      </c>
      <c r="O27" s="15">
        <f t="shared" si="5"/>
        <v>1.8535119297707918</v>
      </c>
      <c r="P27" s="15">
        <f t="shared" si="6"/>
        <v>11.222715781225084</v>
      </c>
      <c r="Q27" s="25" t="s">
        <v>44</v>
      </c>
      <c r="R27" s="38" t="s">
        <v>35</v>
      </c>
      <c r="S27" s="1">
        <f>_xll.ciqfunctions.udf.CIQ(A18,"IQ_TEV_EBITDA")</f>
        <v>19.757079999999998</v>
      </c>
      <c r="U27" s="25" t="s">
        <v>55</v>
      </c>
      <c r="V27" s="38" t="s">
        <v>53</v>
      </c>
      <c r="W27" s="1">
        <f>V17/(AVERAGE(D23:D28)/_xlfn.STDEV.P(E23:E28))</f>
        <v>0.41343277601356065</v>
      </c>
      <c r="Y27" s="25" t="s">
        <v>57</v>
      </c>
      <c r="Z27" s="38" t="s">
        <v>53</v>
      </c>
      <c r="AA27" s="1">
        <f>Z17/(AVERAGE(D23:D28)/_xlfn.STDEV.P(E23:E28))</f>
        <v>0.41343277601356065</v>
      </c>
    </row>
    <row r="28" spans="1:27">
      <c r="B28" s="13">
        <v>11</v>
      </c>
      <c r="C28" s="20" t="s">
        <v>36</v>
      </c>
      <c r="D28" s="21" cm="1">
        <f t="array" ref="D28">_xlfn.SINGLE(IF(A26=A27,_xll.ciqfunctions.udf.CIQ(A18,"IQ_TOTAL_REV",IQ_FY)/I28, _xll.ciqfunctions.udf.CIQ(A18, "IQ_TOTAL_REV",IQ_LTM)/I28))</f>
        <v>59.264261547478078</v>
      </c>
      <c r="E28" s="22">
        <f t="shared" si="7"/>
        <v>8.7791032958079024E-2</v>
      </c>
      <c r="F28" s="21">
        <f>IF(A26=A27,_xll.ciqfunctions.udf.CIQ(A18,"IQ_DILUT_EPS_EXCL",IQ_FY), _xll.ciqfunctions.udf.CIQ(A18, "IQ_DILUT_EPS_EXCL",IQ_LTM))</f>
        <v>9.8883299999999998</v>
      </c>
      <c r="G28" s="21">
        <f>IF(A26=A27,_xll.ciqfunctions.udf.CIQ(A18,"IQ_EBITDA_MARGIN",IQ_FY), _xll.ciqfunctions.udf.CIQ(A18, "IQ_EBITDA_MARGIN",IQ_LTM))</f>
        <v>28.599</v>
      </c>
      <c r="H28" s="21">
        <f>IF(A26=A27,_xll.ciqfunctions.udf.CIQ(A18,"IQ_TOTAL_DIV_PAID_CF",IQ_FY)/-I28, _xll.ciqfunctions.udf.CIQ(A18, "IQ_TOTAL_DIV_PAID_CF",IQ_LTM)/-I28)</f>
        <v>3.4645130530500095</v>
      </c>
      <c r="I28" s="23">
        <f>IF(A26=A27,_xll.ciqfunctions.udf.CIQ(A18,"IQ_TOTAL_OUTSTANDING_FILING_DATE",IQ_FY),_xll.ciqfunctions.udf.CIQ(A18,"IQ_sharesoutstanding"))</f>
        <v>165.96849</v>
      </c>
      <c r="J28" s="23">
        <f>IF(A26=A27,_xll.ciqfunctions.udf.CIQ(A18,"IQ_CASH_OPER",IQ_FY), _xll.ciqfunctions.udf.CIQ(A18, "IQ_CASH_OPER",IQ_LTM))</f>
        <v>2072</v>
      </c>
      <c r="K28" s="23">
        <f>IF(A26=A27,_xll.ciqfunctions.udf.CIQ(A18,"IQ_CAPEX",IQ_FY), _xll.ciqfunctions.udf.CIQ(A18, "IQ_CAPEX",IQ_LTM))</f>
        <v>-245</v>
      </c>
      <c r="L28" s="21">
        <f t="shared" si="4"/>
        <v>11.00811364856064</v>
      </c>
      <c r="M28" s="23">
        <f>IF(A26=A27,_xll.ciqfunctions.udf.CIQ(A18,"IQ_TOTAL_DEBT_ISSUED",IQ_FY), _xll.ciqfunctions.udf.CIQ(A18, "IQ_TOTAL_DEBT_ISSUED",IQ_LTM))</f>
        <v>0</v>
      </c>
      <c r="N28" s="23">
        <f>IF(A26=A27,_xll.ciqfunctions.udf.CIQ(A18,"IQ_TOTAL_DEBT_REPAID",IQ_FY), _xll.ciqfunctions.udf.CIQ(A18, "IQ_TOTAL_DEBT_REPAID",IQ_LTM))</f>
        <v>-3</v>
      </c>
      <c r="O28" s="21">
        <f t="shared" si="5"/>
        <v>-1.8075720276782659E-2</v>
      </c>
      <c r="P28" s="21">
        <f t="shared" si="6"/>
        <v>10.990037928283858</v>
      </c>
      <c r="Q28" s="25" t="s">
        <v>45</v>
      </c>
      <c r="S28" s="45"/>
      <c r="U28" s="25"/>
      <c r="W28" s="45"/>
      <c r="Y28" s="25"/>
      <c r="AA28" s="45"/>
    </row>
    <row r="29" spans="1:27">
      <c r="B29" s="24"/>
      <c r="C29" s="25" t="s">
        <v>37</v>
      </c>
      <c r="E29" s="26">
        <f>((D28/D23)^(1/5))-1</f>
        <v>5.7509906231030694E-2</v>
      </c>
      <c r="F29" s="27">
        <f>((F28/F23)^(1/5))-1</f>
        <v>0.11963721987184517</v>
      </c>
      <c r="G29" s="28"/>
      <c r="H29" s="27">
        <f>((H28/H23)^(1/5))-1</f>
        <v>0.10994902672549567</v>
      </c>
      <c r="I29" s="27">
        <f>((I28/I23)^(1/5))-1</f>
        <v>2.5465666947468435E-3</v>
      </c>
      <c r="J29" s="27"/>
      <c r="K29" s="27"/>
      <c r="L29" s="26">
        <f>((L28/L23)^(1/5))-1</f>
        <v>0.15489965667317418</v>
      </c>
      <c r="M29" s="26"/>
      <c r="N29" s="26"/>
      <c r="O29" s="26"/>
      <c r="P29" s="26">
        <f>((P28/P23)^(1/5))-1</f>
        <v>1.828004314826237E-2</v>
      </c>
      <c r="Q29" s="18"/>
      <c r="R29" s="36"/>
      <c r="S29" s="45"/>
      <c r="U29" s="18"/>
      <c r="V29" s="36"/>
      <c r="W29" s="45"/>
      <c r="Y29" s="18"/>
      <c r="Z29" s="36"/>
      <c r="AA29" s="45"/>
    </row>
    <row r="30" spans="1:27">
      <c r="A30" s="29"/>
      <c r="B30" s="30"/>
      <c r="C30" s="31" t="s">
        <v>38</v>
      </c>
      <c r="D30" s="29"/>
      <c r="E30" s="32">
        <f>((D28/D18)^(1/10))-1</f>
        <v>9.2224076479695549E-2</v>
      </c>
      <c r="F30" s="33">
        <f>((F28/F18)^(1/10))-1</f>
        <v>0.1110417673109787</v>
      </c>
      <c r="G30" s="34"/>
      <c r="H30" s="33">
        <f>((H28/H18)^(1/10))-1</f>
        <v>0.1165708343716747</v>
      </c>
      <c r="I30" s="33">
        <f>((I28/I18)^(1/10))-1</f>
        <v>-4.1610118778442118E-2</v>
      </c>
      <c r="J30" s="33"/>
      <c r="K30" s="33"/>
      <c r="L30" s="32">
        <f>((L28/L18)^(1/10))-1</f>
        <v>0.13684554631472801</v>
      </c>
      <c r="M30" s="32"/>
      <c r="N30" s="32"/>
      <c r="O30" s="32"/>
      <c r="P30" s="32">
        <f>((P28/P18)^(1/10))-1</f>
        <v>7.4184364489792376E-2</v>
      </c>
      <c r="Q30" s="40"/>
      <c r="R30" s="41"/>
      <c r="S30" s="46"/>
      <c r="U30" s="40"/>
      <c r="V30" s="41"/>
      <c r="W30" s="46"/>
      <c r="Y30" s="40"/>
      <c r="Z30" s="41"/>
      <c r="AA30" s="46"/>
    </row>
    <row r="31" spans="1:27">
      <c r="B31" s="24"/>
      <c r="C31" s="25"/>
      <c r="E31" s="26"/>
      <c r="F31" s="27"/>
      <c r="G31" s="28"/>
      <c r="H31" s="27"/>
      <c r="I31" s="27"/>
      <c r="J31" s="27"/>
      <c r="K31" s="27"/>
      <c r="L31" s="26"/>
      <c r="M31" s="17"/>
      <c r="N31" s="17"/>
      <c r="O31" s="17"/>
      <c r="P31" s="35"/>
      <c r="Q31" s="18"/>
      <c r="R31" s="36"/>
    </row>
    <row r="32" spans="1:27">
      <c r="A32" s="9" t="s">
        <v>0</v>
      </c>
      <c r="B32" s="10"/>
      <c r="C32" s="9" t="s">
        <v>1</v>
      </c>
      <c r="D32" s="9" t="s">
        <v>2</v>
      </c>
      <c r="E32" s="9" t="s">
        <v>3</v>
      </c>
      <c r="F32" s="11" t="s">
        <v>4</v>
      </c>
      <c r="G32" s="11" t="s">
        <v>5</v>
      </c>
      <c r="H32" s="9" t="s">
        <v>6</v>
      </c>
      <c r="I32" s="11" t="s">
        <v>7</v>
      </c>
      <c r="J32" s="11" t="s">
        <v>8</v>
      </c>
      <c r="K32" s="11" t="s">
        <v>9</v>
      </c>
      <c r="L32" s="11" t="s">
        <v>10</v>
      </c>
      <c r="M32" s="11" t="s">
        <v>11</v>
      </c>
      <c r="N32" s="11" t="s">
        <v>12</v>
      </c>
      <c r="O32" s="11" t="s">
        <v>13</v>
      </c>
      <c r="P32" s="11" t="s">
        <v>14</v>
      </c>
      <c r="Q32" s="37" t="s">
        <v>15</v>
      </c>
      <c r="R32" s="42">
        <f>_xll.ciqfunctions.udf.CIQ(A33,("IQ_LASTSALEPRICE"))</f>
        <v>220.33500000000001</v>
      </c>
      <c r="S32" s="44"/>
      <c r="U32" s="37" t="s">
        <v>15</v>
      </c>
      <c r="V32" s="42">
        <f>_xll.ciqfunctions.udf.CIQ(A33,("IQ_LASTSALEPRICE"))</f>
        <v>220.33500000000001</v>
      </c>
      <c r="W32" s="44"/>
      <c r="Y32" s="37" t="s">
        <v>15</v>
      </c>
      <c r="Z32" s="42">
        <f>_xll.ciqfunctions.udf.CIQ(A33,("IQ_LASTSALEPRICE"))</f>
        <v>220.33500000000001</v>
      </c>
      <c r="AA32" s="44"/>
    </row>
    <row r="33" spans="1:27">
      <c r="A33" s="12" t="str">
        <f>Analysis!B4</f>
        <v>NYSE:ANET</v>
      </c>
      <c r="B33" s="13">
        <v>1</v>
      </c>
      <c r="C33" s="14" t="s">
        <v>16</v>
      </c>
      <c r="D33" s="15">
        <f>IF(A41=A42,_xll.ciqfunctions.udf.CIQ(A33,"IQ_TOTAL_REV",IQ_FY-10)/I33,_xll.ciqfunctions.udf.CIQ(A33, "IQ_TOTAL_REV",IQ_FY-9)/I33)</f>
        <v>2.8285150499577161</v>
      </c>
      <c r="E33" s="16"/>
      <c r="F33" s="15">
        <f>IF(A41=A42,_xll.ciqfunctions.udf.CIQ(A33,"IQ_DILUT_EPS_EXCL",IQ_FY-10), _xll.ciqfunctions.udf.CIQ(A33, "IQ_DILUT_EPS_EXCL",IQ_FY-9))</f>
        <v>0.18118999999999999</v>
      </c>
      <c r="G33" s="15">
        <f>IF(A41=A42,_xll.ciqfunctions.udf.CIQ(A33,"IQ_EBITDA_MARGIN",IQ_FY-10), _xll.ciqfunctions.udf.CIQ(A33, "IQ_EBITDA_MARGIN",IQ_FY-9))</f>
        <v>19.708500000000001</v>
      </c>
      <c r="H33" s="15">
        <f>IF(A41=A42,_xll.ciqfunctions.udf.CIQ(A33,"IQ_TOTAL_DIV_PAID_CF",IQ_FY-10)/-I33, _xll.ciqfunctions.udf.CIQ(A33, "IQ_TOTAL_DIV_PAID_CF",IQ_FY-9)/-I33)</f>
        <v>0</v>
      </c>
      <c r="I33" s="17">
        <f>IF(A41=A42,_xll.ciqfunctions.udf.CIQ(A33,"IQ_TOTAL_OUTSTANDING_FILING_DATE",IQ_FY-10), _xll.ciqfunctions.udf.CIQ(A33, "IQ_TOTAL_OUTSTANDING_FILING_DATE",IQ_FY-9))</f>
        <v>127.708</v>
      </c>
      <c r="J33" s="17">
        <f>IF(A41=A42,_xll.ciqfunctions.udf.CIQ(A33,"IQ_CASH_OPER",IQ_FY-10), _xll.ciqfunctions.udf.CIQ(A33, "IQ_CASH_OPER",IQ_FY-9))</f>
        <v>34.648000000000003</v>
      </c>
      <c r="K33" s="17">
        <f>IF(A41=A42,_xll.ciqfunctions.udf.CIQ(A33,"IQ_CAPEX",IQ_FY-10), _xll.ciqfunctions.udf.CIQ(A33, "IQ_CAPEX",IQ_FY-9))</f>
        <v>-20.315999999999999</v>
      </c>
      <c r="L33" s="15">
        <f t="shared" ref="L33:L43" si="8">(J33+K33)/I33</f>
        <v>0.11222476274000066</v>
      </c>
      <c r="M33" s="17">
        <f>IF(A41=A42,_xll.ciqfunctions.udf.CIQ(A33,"IQ_TOTAL_DEBT_ISSUED",IQ_FY-10), _xll.ciqfunctions.udf.CIQ(A33, "IQ_TOTAL_DEBT_ISSUED",IQ_FY-9))</f>
        <v>0</v>
      </c>
      <c r="N33" s="17">
        <f>IF(A41=A42,_xll.ciqfunctions.udf.CIQ(A33,"IQ_TOTAL_DEBT_REPAID",IQ_FY-10), _xll.ciqfunctions.udf.CIQ(A33, "IQ_TOTAL_DEBT_REPAID",IQ_FY-9))</f>
        <v>0</v>
      </c>
      <c r="O33" s="15">
        <f t="shared" ref="O33:O43" si="9">(M33+N33)/I33</f>
        <v>0</v>
      </c>
      <c r="P33" s="15">
        <f t="shared" ref="P33:P43" si="10">L33+O33</f>
        <v>0.11222476274000066</v>
      </c>
      <c r="W33" s="43"/>
      <c r="AA33" s="43"/>
    </row>
    <row r="34" spans="1:27">
      <c r="A34" s="18" t="str">
        <f>_xll.ciqfunctions.udf.CIQ(A33,"IQ_COMPANY_NAME")</f>
        <v>Arista Networks, Inc.</v>
      </c>
      <c r="B34" s="13">
        <v>2</v>
      </c>
      <c r="C34" s="14" t="s">
        <v>17</v>
      </c>
      <c r="D34" s="15">
        <f>IF(A41=A42,_xll.ciqfunctions.udf.CIQ(A33,"IQ_TOTAL_REV",IQ_FY-9)/I34, _xll.ciqfunctions.udf.CIQ(A33, "IQ_TOTAL_REV",IQ_FY-8)/I34)</f>
        <v>2.2043549242918852</v>
      </c>
      <c r="E34" s="16">
        <f t="shared" ref="E34:E43" si="11">(D34-D33)/D33</f>
        <v>-0.22066706898913674</v>
      </c>
      <c r="F34" s="15">
        <f>IF(A41=A42,_xll.ciqfunctions.udf.CIQ(A33,"IQ_DILUT_EPS_EXCL",IQ_FY-9), _xll.ciqfunctions.udf.CIQ(A33, "IQ_DILUT_EPS_EXCL",IQ_FY-8))</f>
        <v>0.32296999999999998</v>
      </c>
      <c r="G34" s="15">
        <f>IF(A41=A42,_xll.ciqfunctions.udf.CIQ(A33,"IQ_EBITDA_MARGIN",IQ_FY-9), _xll.ciqfunctions.udf.CIQ(A33, "IQ_EBITDA_MARGIN",IQ_FY-8))</f>
        <v>23.203600000000002</v>
      </c>
      <c r="H34" s="15">
        <f>IF(A41=A42,_xll.ciqfunctions.udf.CIQ(A33,"IQ_TOTAL_DIV_PAID_CF",IQ_FY-9)/-I34, _xll.ciqfunctions.udf.CIQ(A33, "IQ_TOTAL_DIV_PAID_CF",IQ_FY-8)/-I34)</f>
        <v>0</v>
      </c>
      <c r="I34" s="17">
        <f>IF(A41=A42,_xll.ciqfunctions.udf.CIQ(A33,"IQ_TOTAL_OUTSTANDING_FILING_DATE",IQ_FY-9), _xll.ciqfunctions.udf.CIQ(A33, "IQ_TOTAL_OUTSTANDING_FILING_DATE",IQ_FY-8))</f>
        <v>264.97820000000002</v>
      </c>
      <c r="J34" s="17">
        <f>IF(A41=A42,_xll.ciqfunctions.udf.CIQ(A33,"IQ_CASH_OPER",IQ_FY-9), _xll.ciqfunctions.udf.CIQ(A33, "IQ_CASH_OPER",IQ_FY-8))</f>
        <v>131.875</v>
      </c>
      <c r="K34" s="17">
        <f>IF(A41=A42,_xll.ciqfunctions.udf.CIQ(A33,"IQ_CAPEX",IQ_FY-9), _xll.ciqfunctions.udf.CIQ(A33, "IQ_CAPEX",IQ_FY-8))</f>
        <v>-13.134</v>
      </c>
      <c r="L34" s="15">
        <f t="shared" si="8"/>
        <v>0.44811610917426414</v>
      </c>
      <c r="M34" s="17">
        <f>IF(A41=A42,_xll.ciqfunctions.udf.CIQ(A33,"IQ_TOTAL_DEBT_ISSUED",IQ_FY-9), _xll.ciqfunctions.udf.CIQ(A33, "IQ_TOTAL_DEBT_ISSUED",IQ_FY-8))</f>
        <v>0</v>
      </c>
      <c r="N34" s="17">
        <f>IF(A41=A42,_xll.ciqfunctions.udf.CIQ(A33,"IQ_TOTAL_DEBT_REPAID",IQ_FY-9), _xll.ciqfunctions.udf.CIQ(A33, "IQ_TOTAL_DEBT_REPAID",IQ_FY-8))</f>
        <v>-20.792999999999999</v>
      </c>
      <c r="O34" s="15">
        <f t="shared" si="9"/>
        <v>-7.8470606261194314E-2</v>
      </c>
      <c r="P34" s="15">
        <f t="shared" si="10"/>
        <v>0.36964550291306986</v>
      </c>
      <c r="Q34" s="25" t="s">
        <v>18</v>
      </c>
      <c r="R34" s="39" t="s">
        <v>19</v>
      </c>
      <c r="S34" s="1">
        <f>R32/((AVERAGE(P38:P43))*(1+E44)^3)</f>
        <v>46.06542821701192</v>
      </c>
      <c r="U34" s="25" t="s">
        <v>48</v>
      </c>
      <c r="V34" s="39" t="s">
        <v>19</v>
      </c>
      <c r="W34" s="1">
        <f>V32/((AVERAGE(P38:P43))*(1+E44)^3)</f>
        <v>46.06542821701192</v>
      </c>
      <c r="Y34" s="25" t="s">
        <v>39</v>
      </c>
      <c r="Z34" s="39" t="s">
        <v>19</v>
      </c>
      <c r="AA34" s="1">
        <f>Z32/((AVERAGE(P38:P43))*(1+E44)^3)</f>
        <v>46.06542821701192</v>
      </c>
    </row>
    <row r="35" spans="1:27">
      <c r="B35" s="13">
        <v>3</v>
      </c>
      <c r="C35" s="14" t="s">
        <v>20</v>
      </c>
      <c r="D35" s="15" cm="1">
        <f t="array" ref="D35">_xlfn.SINGLE(IF(A41=A42,_xll.ciqfunctions.udf.CIQ(A33,"IQ_TOTAL_REV",IQ_FY-8)/I35, _xll.ciqfunctions.udf.CIQ(A33, "IQ_TOTAL_REV",IQ_FY-7)/I35))</f>
        <v>3.0670235329942188</v>
      </c>
      <c r="E35" s="16">
        <f t="shared" si="11"/>
        <v>0.39134741832894832</v>
      </c>
      <c r="F35" s="15">
        <f>IF(A41=A42,_xll.ciqfunctions.udf.CIQ(A33,"IQ_DILUT_EPS_EXCL",IQ_FY-8), _xll.ciqfunctions.udf.CIQ(A33, "IQ_DILUT_EPS_EXCL",IQ_FY-7))</f>
        <v>0.41753000000000001</v>
      </c>
      <c r="G35" s="15">
        <f>IF(A41=A42,_xll.ciqfunctions.udf.CIQ(A33,"IQ_EBITDA_MARGIN",IQ_FY-8), _xll.ciqfunctions.udf.CIQ(A33, "IQ_EBITDA_MARGIN",IQ_FY-7))</f>
        <v>19.457999999999998</v>
      </c>
      <c r="H35" s="15">
        <f>IF(A41=A42,_xll.ciqfunctions.udf.CIQ(A33,"IQ_TOTAL_DIV_PAID_CF",IQ_FY-8)/-I35, _xll.ciqfunctions.udf.CIQ(A33, "IQ_TOTAL_DIV_PAID_CF",IQ_FY-7)/-I35)</f>
        <v>0</v>
      </c>
      <c r="I35" s="17">
        <f>IF(A41=A42,_xll.ciqfunctions.udf.CIQ(A33,"IQ_TOTAL_OUTSTANDING_FILING_DATE",IQ_FY-8), _xll.ciqfunctions.udf.CIQ(A33, "IQ_TOTAL_OUTSTANDING_FILING_DATE",IQ_FY-7))</f>
        <v>273.09572000000003</v>
      </c>
      <c r="J35" s="17">
        <f>IF(A41=A42,_xll.ciqfunctions.udf.CIQ(A33,"IQ_CASH_OPER",IQ_FY-8), _xll.ciqfunctions.udf.CIQ(A33, "IQ_CASH_OPER",IQ_FY-7))</f>
        <v>237.78399999999999</v>
      </c>
      <c r="K35" s="17">
        <f>IF(A41=A42,_xll.ciqfunctions.udf.CIQ(A33,"IQ_CAPEX",IQ_FY-8), _xll.ciqfunctions.udf.CIQ(A33, "IQ_CAPEX",IQ_FY-7))</f>
        <v>-19.989000000000001</v>
      </c>
      <c r="L35" s="15">
        <f t="shared" si="8"/>
        <v>0.79750425967862093</v>
      </c>
      <c r="M35" s="17">
        <f>IF(A41=A42,_xll.ciqfunctions.udf.CIQ(A33,"IQ_TOTAL_DEBT_ISSUED",IQ_FY-8), _xll.ciqfunctions.udf.CIQ(A33, "IQ_TOTAL_DEBT_ISSUED",IQ_FY-7))</f>
        <v>0</v>
      </c>
      <c r="N35" s="17">
        <f>IF(A41=A42,_xll.ciqfunctions.udf.CIQ(A33,"IQ_TOTAL_DEBT_REPAID",IQ_FY-8), _xll.ciqfunctions.udf.CIQ(A33, "IQ_TOTAL_DEBT_REPAID",IQ_FY-7))</f>
        <v>-1.0860000000000001</v>
      </c>
      <c r="O35" s="15">
        <f t="shared" si="9"/>
        <v>-3.9766276820449621E-3</v>
      </c>
      <c r="P35" s="15">
        <f t="shared" si="10"/>
        <v>0.79352763199657594</v>
      </c>
      <c r="Q35" s="25" t="s">
        <v>21</v>
      </c>
      <c r="R35" s="38" t="s">
        <v>49</v>
      </c>
      <c r="S35" s="2">
        <f>(R32*I43)/1000</f>
        <v>68.546249346899998</v>
      </c>
      <c r="U35" s="25" t="s">
        <v>59</v>
      </c>
      <c r="V35" s="38" t="s">
        <v>49</v>
      </c>
      <c r="W35" s="2">
        <f>(V32*I43)/1000</f>
        <v>68.546249346899998</v>
      </c>
      <c r="Y35" s="25" t="s">
        <v>46</v>
      </c>
      <c r="Z35" s="38" t="s">
        <v>49</v>
      </c>
      <c r="AA35" s="2">
        <f>(Z32*I43)/1000</f>
        <v>68.546249346899998</v>
      </c>
    </row>
    <row r="36" spans="1:27">
      <c r="A36" s="18"/>
      <c r="B36" s="13">
        <v>4</v>
      </c>
      <c r="C36" s="14" t="s">
        <v>22</v>
      </c>
      <c r="D36" s="15" cm="1">
        <f t="array" ref="D36">_xlfn.SINGLE(IF(A41=A42,_xll.ciqfunctions.udf.CIQ(A33,"IQ_TOTAL_REV",IQ_FY-7)/I36, _xll.ciqfunctions.udf.CIQ(A33, "IQ_TOTAL_REV",IQ_FY-6)/I36))</f>
        <v>3.9753063314412405</v>
      </c>
      <c r="E36" s="16">
        <f t="shared" si="11"/>
        <v>0.29614471120810071</v>
      </c>
      <c r="F36" s="15">
        <f>IF(A41=A42,_xll.ciqfunctions.udf.CIQ(A33,"IQ_DILUT_EPS_EXCL",IQ_FY-7), _xll.ciqfunctions.udf.CIQ(A33, "IQ_DILUT_EPS_EXCL",IQ_FY-6))</f>
        <v>0.62495000000000001</v>
      </c>
      <c r="G36" s="15">
        <f>IF(A41=A42,_xll.ciqfunctions.udf.CIQ(A33,"IQ_EBITDA_MARGIN",IQ_FY-7), _xll.ciqfunctions.udf.CIQ(A33, "IQ_EBITDA_MARGIN",IQ_FY-6))</f>
        <v>23.305399999999999</v>
      </c>
      <c r="H36" s="15">
        <f>IF(A41=A42,_xll.ciqfunctions.udf.CIQ(A33,"IQ_TOTAL_DIV_PAID_CF",IQ_FY-7)/-I36, _xll.ciqfunctions.udf.CIQ(A33, "IQ_TOTAL_DIV_PAID_CF",IQ_FY-6)/-I36)</f>
        <v>0</v>
      </c>
      <c r="I36" s="17">
        <f>IF(A41=A42,_xll.ciqfunctions.udf.CIQ(A33,"IQ_TOTAL_OUTSTANDING_FILING_DATE",IQ_FY-7), _xll.ciqfunctions.udf.CIQ(A33, "IQ_TOTAL_OUTSTANDING_FILING_DATE",IQ_FY-6))</f>
        <v>284.04527999999999</v>
      </c>
      <c r="J36" s="17">
        <f>IF(A41=A42,_xll.ciqfunctions.udf.CIQ(A33,"IQ_CASH_OPER",IQ_FY-7), _xll.ciqfunctions.udf.CIQ(A33, "IQ_CASH_OPER",IQ_FY-6))</f>
        <v>174.29499999999999</v>
      </c>
      <c r="K36" s="17">
        <f>IF(A41=A42,_xll.ciqfunctions.udf.CIQ(A33,"IQ_CAPEX",IQ_FY-7), _xll.ciqfunctions.udf.CIQ(A33, "IQ_CAPEX",IQ_FY-6))</f>
        <v>-21.419</v>
      </c>
      <c r="L36" s="15">
        <f t="shared" si="8"/>
        <v>0.53820996427048529</v>
      </c>
      <c r="M36" s="17">
        <f>IF(A41=A42,_xll.ciqfunctions.udf.CIQ(A33,"IQ_TOTAL_DEBT_ISSUED",IQ_FY-7), _xll.ciqfunctions.udf.CIQ(A33, "IQ_TOTAL_DEBT_ISSUED",IQ_FY-6))</f>
        <v>0</v>
      </c>
      <c r="N36" s="17">
        <f>IF(A41=A42,_xll.ciqfunctions.udf.CIQ(A33,"IQ_TOTAL_DEBT_REPAID",IQ_FY-7), _xll.ciqfunctions.udf.CIQ(A33, "IQ_TOTAL_DEBT_REPAID",IQ_FY-6))</f>
        <v>-1.3360000000000001</v>
      </c>
      <c r="O36" s="15">
        <f t="shared" si="9"/>
        <v>-4.7034754458866561E-3</v>
      </c>
      <c r="P36" s="15">
        <f t="shared" si="10"/>
        <v>0.53350648882459861</v>
      </c>
      <c r="Q36" s="25" t="s">
        <v>23</v>
      </c>
      <c r="R36" s="38" t="s">
        <v>24</v>
      </c>
      <c r="S36" s="1" t="e">
        <f>R32/(AVERAGE(H38:H43)*(1+H44)/(0.5-H44))</f>
        <v>#DIV/0!</v>
      </c>
      <c r="U36" s="25" t="s">
        <v>40</v>
      </c>
      <c r="V36" s="38" t="s">
        <v>24</v>
      </c>
      <c r="W36" s="1" t="e">
        <f>V32/(AVERAGE(H38:H43)*(1+H44)/(0.5-H44))</f>
        <v>#DIV/0!</v>
      </c>
      <c r="Y36" s="25" t="s">
        <v>47</v>
      </c>
      <c r="Z36" s="38" t="s">
        <v>24</v>
      </c>
      <c r="AA36" s="1" t="e">
        <f>Z32/(AVERAGE(H38:H43)*(1+H44)/(0.5-H44))</f>
        <v>#DIV/0!</v>
      </c>
    </row>
    <row r="37" spans="1:27">
      <c r="B37" s="13">
        <v>5</v>
      </c>
      <c r="C37" s="14" t="s">
        <v>25</v>
      </c>
      <c r="D37" s="15" cm="1">
        <f t="array" ref="D37">_xlfn.SINGLE(IF(A41=A42,_xll.ciqfunctions.udf.CIQ(A33,"IQ_TOTAL_REV",IQ_FY-6)/I37, _xll.ciqfunctions.udf.CIQ(A33, "IQ_TOTAL_REV",IQ_FY-5)/I37))</f>
        <v>5.5708209409826699</v>
      </c>
      <c r="E37" s="16">
        <f t="shared" si="11"/>
        <v>0.40135639281991592</v>
      </c>
      <c r="F37" s="15">
        <f>IF(A41=A42,_xll.ciqfunctions.udf.CIQ(A33,"IQ_DILUT_EPS_EXCL",IQ_FY-6), _xll.ciqfunctions.udf.CIQ(A33, "IQ_DILUT_EPS_EXCL",IQ_FY-5))</f>
        <v>1.33731</v>
      </c>
      <c r="G37" s="15">
        <f>IF(A41=A42,_xll.ciqfunctions.udf.CIQ(A33,"IQ_EBITDA_MARGIN",IQ_FY-6), _xll.ciqfunctions.udf.CIQ(A33, "IQ_EBITDA_MARGIN",IQ_FY-5))</f>
        <v>29.821100000000001</v>
      </c>
      <c r="H37" s="15">
        <f>IF(A41=A42,_xll.ciqfunctions.udf.CIQ(A33,"IQ_TOTAL_DIV_PAID_CF",IQ_FY-6)/-I37, _xll.ciqfunctions.udf.CIQ(A33, "IQ_TOTAL_DIV_PAID_CF",IQ_FY-5)/-I37)</f>
        <v>0</v>
      </c>
      <c r="I37" s="17">
        <f>IF(A41=A42,_xll.ciqfunctions.udf.CIQ(A33,"IQ_TOTAL_OUTSTANDING_FILING_DATE",IQ_FY-6), _xll.ciqfunctions.udf.CIQ(A33, "IQ_TOTAL_OUTSTANDING_FILING_DATE",IQ_FY-5))</f>
        <v>295.50151</v>
      </c>
      <c r="J37" s="17">
        <f>IF(A41=A42,_xll.ciqfunctions.udf.CIQ(A33,"IQ_CASH_OPER",IQ_FY-6), _xll.ciqfunctions.udf.CIQ(A33, "IQ_CASH_OPER",IQ_FY-5))</f>
        <v>631.62699999999995</v>
      </c>
      <c r="K37" s="17">
        <f>IF(A41=A42,_xll.ciqfunctions.udf.CIQ(A33,"IQ_CAPEX",IQ_FY-6), _xll.ciqfunctions.udf.CIQ(A33, "IQ_CAPEX",IQ_FY-5))</f>
        <v>-15.279</v>
      </c>
      <c r="L37" s="15">
        <f t="shared" si="8"/>
        <v>2.0857693755947304</v>
      </c>
      <c r="M37" s="17">
        <f>IF(A41=A42,_xll.ciqfunctions.udf.CIQ(A33,"IQ_TOTAL_DEBT_ISSUED",IQ_FY-6), _xll.ciqfunctions.udf.CIQ(A33, "IQ_TOTAL_DEBT_ISSUED",IQ_FY-5))</f>
        <v>0</v>
      </c>
      <c r="N37" s="17">
        <f>IF(A41=A42,_xll.ciqfunctions.udf.CIQ(A33,"IQ_TOTAL_DEBT_REPAID",IQ_FY-6), _xll.ciqfunctions.udf.CIQ(A33, "IQ_TOTAL_DEBT_REPAID",IQ_FY-5))</f>
        <v>-1.617</v>
      </c>
      <c r="O37" s="15">
        <f t="shared" si="9"/>
        <v>-5.4720532561745626E-3</v>
      </c>
      <c r="P37" s="15">
        <f t="shared" si="10"/>
        <v>2.0802973223385557</v>
      </c>
      <c r="Q37" s="18"/>
      <c r="R37" s="38" t="s">
        <v>50</v>
      </c>
      <c r="S37" s="3">
        <f>I44</f>
        <v>5.3411309618613956E-3</v>
      </c>
      <c r="U37" s="18"/>
      <c r="V37" s="38" t="s">
        <v>50</v>
      </c>
      <c r="W37" s="3">
        <f>I44</f>
        <v>5.3411309618613956E-3</v>
      </c>
      <c r="Y37" s="18"/>
      <c r="Z37" s="38" t="s">
        <v>50</v>
      </c>
      <c r="AA37" s="3">
        <f>I44</f>
        <v>5.3411309618613956E-3</v>
      </c>
    </row>
    <row r="38" spans="1:27">
      <c r="B38" s="13">
        <v>6</v>
      </c>
      <c r="C38" s="14" t="s">
        <v>26</v>
      </c>
      <c r="D38" s="15" cm="1">
        <f t="array" ref="D38">_xlfn.SINGLE(IF(A41=A42,_xll.ciqfunctions.udf.CIQ(A33,"IQ_TOTAL_REV",IQ_FY-5)/I38, _xll.ciqfunctions.udf.CIQ(A33, "IQ_TOTAL_REV",IQ_FY-4)/I38))</f>
        <v>7.1020210416828355</v>
      </c>
      <c r="E38" s="16">
        <f t="shared" si="11"/>
        <v>0.27486076413543248</v>
      </c>
      <c r="F38" s="15">
        <f>IF(A41=A42,_xll.ciqfunctions.udf.CIQ(A33,"IQ_DILUT_EPS_EXCL",IQ_FY-5), _xll.ciqfunctions.udf.CIQ(A33, "IQ_DILUT_EPS_EXCL",IQ_FY-4))</f>
        <v>1.0141199999999999</v>
      </c>
      <c r="G38" s="15">
        <f>IF(A41=A42,_xll.ciqfunctions.udf.CIQ(A33,"IQ_EBITDA_MARGIN",IQ_FY-5), _xll.ciqfunctions.udf.CIQ(A33, "IQ_EBITDA_MARGIN",IQ_FY-4))</f>
        <v>32.817100000000003</v>
      </c>
      <c r="H38" s="15">
        <f>IF(A41=A42,_xll.ciqfunctions.udf.CIQ(A33,"IQ_TOTAL_DIV_PAID_CF",IQ_FY-5)/-I38, _xll.ciqfunctions.udf.CIQ(A33, "IQ_TOTAL_DIV_PAID_CF",IQ_FY-4)/-I38)</f>
        <v>0</v>
      </c>
      <c r="I38" s="17">
        <f>IF(A41=A42,_xll.ciqfunctions.udf.CIQ(A33,"IQ_TOTAL_OUTSTANDING_FILING_DATE",IQ_FY-5), _xll.ciqfunctions.udf.CIQ(A33, "IQ_TOTAL_OUTSTANDING_FILING_DATE",IQ_FY-4))</f>
        <v>302.92349000000002</v>
      </c>
      <c r="J38" s="17">
        <f>IF(A41=A42,_xll.ciqfunctions.udf.CIQ(A33,"IQ_CASH_OPER",IQ_FY-5), _xll.ciqfunctions.udf.CIQ(A33, "IQ_CASH_OPER",IQ_FY-4))</f>
        <v>503.11900000000003</v>
      </c>
      <c r="K38" s="17">
        <f>IF(A41=A42,_xll.ciqfunctions.udf.CIQ(A33,"IQ_CAPEX",IQ_FY-5), _xll.ciqfunctions.udf.CIQ(A33, "IQ_CAPEX",IQ_FY-4))</f>
        <v>-23.83</v>
      </c>
      <c r="L38" s="15">
        <f t="shared" si="8"/>
        <v>1.5822114026218304</v>
      </c>
      <c r="M38" s="17">
        <f>IF(A41=A42,_xll.ciqfunctions.udf.CIQ(A33,"IQ_TOTAL_DEBT_ISSUED",IQ_FY-5), _xll.ciqfunctions.udf.CIQ(A33, "IQ_TOTAL_DEBT_ISSUED",IQ_FY-4))</f>
        <v>0</v>
      </c>
      <c r="N38" s="17">
        <f>IF(A41=A42,_xll.ciqfunctions.udf.CIQ(A33,"IQ_TOTAL_DEBT_REPAID",IQ_FY-5), _xll.ciqfunctions.udf.CIQ(A33, "IQ_TOTAL_DEBT_REPAID",IQ_FY-4))</f>
        <v>-1.929</v>
      </c>
      <c r="O38" s="15">
        <f t="shared" si="9"/>
        <v>-6.3679445922136969E-3</v>
      </c>
      <c r="P38" s="15">
        <f t="shared" si="10"/>
        <v>1.5758434580296166</v>
      </c>
      <c r="Q38" s="25" t="s">
        <v>27</v>
      </c>
      <c r="R38" s="38" t="s">
        <v>51</v>
      </c>
      <c r="S38" s="4">
        <f>AVERAGE(F38:F43)/AVERAGE(D38:D43)</f>
        <v>0.288381520697578</v>
      </c>
      <c r="U38" s="25" t="s">
        <v>58</v>
      </c>
      <c r="V38" s="38" t="s">
        <v>51</v>
      </c>
      <c r="W38" s="4">
        <f>AVERAGE(F38:F43)/AVERAGE(D38:D43)</f>
        <v>0.288381520697578</v>
      </c>
      <c r="Y38" s="25" t="s">
        <v>56</v>
      </c>
      <c r="Z38" s="38" t="s">
        <v>51</v>
      </c>
      <c r="AA38" s="4">
        <f>AVERAGE(F38:F43)/AVERAGE(D38:D43)</f>
        <v>0.288381520697578</v>
      </c>
    </row>
    <row r="39" spans="1:27">
      <c r="A39" s="18"/>
      <c r="B39" s="13">
        <v>7</v>
      </c>
      <c r="C39" s="14" t="s">
        <v>28</v>
      </c>
      <c r="D39" s="15" cm="1">
        <f t="array" ref="D39">_xlfn.SINGLE(IF(A41=A42,_xll.ciqfunctions.udf.CIQ(A33,"IQ_TOTAL_REV",IQ_FY-4)/I39, _xll.ciqfunctions.udf.CIQ(A33, "IQ_TOTAL_REV",IQ_FY-3)/I39))</f>
        <v>7.8802639579485829</v>
      </c>
      <c r="E39" s="16">
        <f t="shared" si="11"/>
        <v>0.10958048585017166</v>
      </c>
      <c r="F39" s="15">
        <f>IF(A41=A42,_xll.ciqfunctions.udf.CIQ(A33,"IQ_DILUT_EPS_EXCL",IQ_FY-4), _xll.ciqfunctions.udf.CIQ(A33, "IQ_DILUT_EPS_EXCL",IQ_FY-3))</f>
        <v>2.65665</v>
      </c>
      <c r="G39" s="15">
        <f>IF(A41=A42,_xll.ciqfunctions.udf.CIQ(A33,"IQ_EBITDA_MARGIN",IQ_FY-4), _xll.ciqfunctions.udf.CIQ(A33, "IQ_EBITDA_MARGIN",IQ_FY-3))</f>
        <v>34.787399999999998</v>
      </c>
      <c r="H39" s="15">
        <f>IF(A41=A42,_xll.ciqfunctions.udf.CIQ(A33,"IQ_TOTAL_DIV_PAID_CF",IQ_FY-4)/-I39, _xll.ciqfunctions.udf.CIQ(A33, "IQ_TOTAL_DIV_PAID_CF",IQ_FY-3)/-I39)</f>
        <v>0</v>
      </c>
      <c r="I39" s="17">
        <f>IF(A41=A42,_xll.ciqfunctions.udf.CIQ(A33,"IQ_TOTAL_OUTSTANDING_FILING_DATE",IQ_FY-4), _xll.ciqfunctions.udf.CIQ(A33, "IQ_TOTAL_OUTSTANDING_FILING_DATE",IQ_FY-3))</f>
        <v>305.91690999999997</v>
      </c>
      <c r="J39" s="17">
        <f>IF(A41=A42,_xll.ciqfunctions.udf.CIQ(A33,"IQ_CASH_OPER",IQ_FY-4), _xll.ciqfunctions.udf.CIQ(A33, "IQ_CASH_OPER",IQ_FY-3))</f>
        <v>963.03399999999999</v>
      </c>
      <c r="K39" s="17">
        <f>IF(A41=A42,_xll.ciqfunctions.udf.CIQ(A33,"IQ_CAPEX",IQ_FY-4), _xll.ciqfunctions.udf.CIQ(A33, "IQ_CAPEX",IQ_FY-3))</f>
        <v>-15.750999999999999</v>
      </c>
      <c r="L39" s="15">
        <f t="shared" si="8"/>
        <v>3.0965368995130085</v>
      </c>
      <c r="M39" s="17">
        <f>IF(A41=A42,_xll.ciqfunctions.udf.CIQ(A33,"IQ_TOTAL_DEBT_ISSUED",IQ_FY-4), _xll.ciqfunctions.udf.CIQ(A33, "IQ_TOTAL_DEBT_ISSUED",IQ_FY-3))</f>
        <v>0</v>
      </c>
      <c r="N39" s="17">
        <f>IF(A41=A42,_xll.ciqfunctions.udf.CIQ(A33,"IQ_TOTAL_DEBT_REPAID",IQ_FY-4), _xll.ciqfunctions.udf.CIQ(A33, "IQ_TOTAL_DEBT_REPAID",IQ_FY-3))</f>
        <v>0</v>
      </c>
      <c r="O39" s="15">
        <f t="shared" si="9"/>
        <v>0</v>
      </c>
      <c r="P39" s="15">
        <f t="shared" si="10"/>
        <v>3.0965368995130085</v>
      </c>
      <c r="Q39" s="18"/>
      <c r="R39" s="38" t="s">
        <v>29</v>
      </c>
      <c r="S39" s="4">
        <f>(AVERAGE(P38:P43)/_xlfn.STDEV.P(P38:P43))/(IF(A41=A42,(_xlfn.SINGLE(_xll.ciqfunctions.udf.CIQ(A33,"IQ_total_assets",IQ_FY)) - _xlfn.SINGLE(_xll.ciqfunctions.udf.CIQ(A33,"iq_gw_intan", IQ_FY)))/I43, (_xlfn.SINGLE(_xll.ciqfunctions.udf.CIQ(A33, "IQ_total_assets",IQ_LTM))-_xlfn.SINGLE(_xll.ciqfunctions.udf.CIQ(A33,"iq_gw_intan",IQ_LTM)))/I43))</f>
        <v>8.5634742291414295E-2</v>
      </c>
      <c r="U39" s="18"/>
      <c r="V39" s="38" t="s">
        <v>29</v>
      </c>
      <c r="W39" s="4">
        <f>(AVERAGE(P38:P43)/_xlfn.STDEV.P(P38:P43))/(IF(A41=A42,(_xlfn.SINGLE(_xll.ciqfunctions.udf.CIQ(A33,"IQ_total_assets",IQ_FY)) - _xlfn.SINGLE(_xll.ciqfunctions.udf.CIQ(A33,"iq_gw_intan", IQ_FY)))/I43, (_xlfn.SINGLE(_xll.ciqfunctions.udf.CIQ(A33, "IQ_total_assets",IQ_LTM))-_xlfn.SINGLE(_xll.ciqfunctions.udf.CIQ(A33,"iq_gw_intan",IQ_LTM)))/I43))</f>
        <v>8.5634742291414295E-2</v>
      </c>
      <c r="Y39" s="18"/>
      <c r="Z39" s="38" t="s">
        <v>29</v>
      </c>
      <c r="AA39" s="4">
        <f>(AVERAGE(P38:P43)/_xlfn.STDEV.P(P38:P43))/(IF(A41=A42,(_xlfn.SINGLE(_xll.ciqfunctions.udf.CIQ(A33,"IQ_total_assets",IQ_FY)) - _xlfn.SINGLE(_xll.ciqfunctions.udf.CIQ(A33,"iq_gw_intan", IQ_FY)))/I43, (_xlfn.SINGLE(_xll.ciqfunctions.udf.CIQ(A33, "IQ_total_assets",IQ_LTM))-_xlfn.SINGLE(_xll.ciqfunctions.udf.CIQ(A33,"iq_gw_intan",IQ_LTM)))/I43))</f>
        <v>8.5634742291414295E-2</v>
      </c>
    </row>
    <row r="40" spans="1:27">
      <c r="A40" s="18"/>
      <c r="B40" s="13">
        <v>8</v>
      </c>
      <c r="C40" s="14" t="s">
        <v>30</v>
      </c>
      <c r="D40" s="15" cm="1">
        <f t="array" ref="D40">_xlfn.SINGLE(IF(A41=A42,_xll.ciqfunctions.udf.CIQ(A33,"IQ_TOTAL_REV",IQ_FY-3)/I40, _xll.ciqfunctions.udf.CIQ(A33, "IQ_TOTAL_REV",IQ_FY-2)/I40))</f>
        <v>7.5902798936835749</v>
      </c>
      <c r="E40" s="16">
        <f t="shared" si="11"/>
        <v>-3.6798775499456447E-2</v>
      </c>
      <c r="F40" s="15">
        <f>IF(A41=A42,_xll.ciqfunctions.udf.CIQ(A33,"IQ_DILUT_EPS_EXCL",IQ_FY-3), _xll.ciqfunctions.udf.CIQ(A33, "IQ_DILUT_EPS_EXCL",IQ_FY-2))</f>
        <v>2</v>
      </c>
      <c r="G40" s="15">
        <f>IF(A41=A42,_xll.ciqfunctions.udf.CIQ(A33,"IQ_EBITDA_MARGIN",IQ_FY-3), _xll.ciqfunctions.udf.CIQ(A33, "IQ_EBITDA_MARGIN",IQ_FY-2))</f>
        <v>31.889399999999998</v>
      </c>
      <c r="H40" s="15">
        <f>IF(A41=A42,_xll.ciqfunctions.udf.CIQ(A33,"IQ_TOTAL_DIV_PAID_CF",IQ_FY-3)/-I40, _xll.ciqfunctions.udf.CIQ(A33, "IQ_TOTAL_DIV_PAID_CF",IQ_FY-2)/-I40)</f>
        <v>0</v>
      </c>
      <c r="I40" s="17">
        <f>IF(A41=A42,_xll.ciqfunctions.udf.CIQ(A33,"IQ_TOTAL_OUTSTANDING_FILING_DATE",IQ_FY-3), _xll.ciqfunctions.udf.CIQ(A33, "IQ_TOTAL_OUTSTANDING_FILING_DATE",IQ_FY-2))</f>
        <v>305.32628999999997</v>
      </c>
      <c r="J40" s="17">
        <f>IF(A41=A42,_xll.ciqfunctions.udf.CIQ(A33,"IQ_CASH_OPER",IQ_FY-3), _xll.ciqfunctions.udf.CIQ(A33, "IQ_CASH_OPER",IQ_FY-2))</f>
        <v>735.11400000000003</v>
      </c>
      <c r="K40" s="17">
        <f>IF(A41=A42,_xll.ciqfunctions.udf.CIQ(A33,"IQ_CAPEX",IQ_FY-3), _xll.ciqfunctions.udf.CIQ(A33, "IQ_CAPEX",IQ_FY-2))</f>
        <v>-15.384</v>
      </c>
      <c r="L40" s="15">
        <f t="shared" si="8"/>
        <v>2.3572486994159596</v>
      </c>
      <c r="M40" s="17">
        <f>IF(A41=A42,_xll.ciqfunctions.udf.CIQ(A33,"IQ_TOTAL_DEBT_ISSUED",IQ_FY-3), _xll.ciqfunctions.udf.CIQ(A33, "IQ_TOTAL_DEBT_ISSUED",IQ_FY-2))</f>
        <v>0</v>
      </c>
      <c r="N40" s="17">
        <f>IF(A41=A42,_xll.ciqfunctions.udf.CIQ(A33,"IQ_TOTAL_DEBT_REPAID",IQ_FY-3), _xll.ciqfunctions.udf.CIQ(A33, "IQ_TOTAL_DEBT_REPAID",IQ_FY-2))</f>
        <v>0</v>
      </c>
      <c r="O40" s="15">
        <f t="shared" si="9"/>
        <v>0</v>
      </c>
      <c r="P40" s="15">
        <f t="shared" si="10"/>
        <v>2.3572486994159596</v>
      </c>
      <c r="Q40" s="18"/>
      <c r="R40" s="39" t="s">
        <v>31</v>
      </c>
      <c r="S40" s="5">
        <f>IF(NOT(D33&gt;0),FALSE,SLOPE(G33:G43,B33:B43))</f>
        <v>1.9072209090909094</v>
      </c>
      <c r="U40" s="18"/>
      <c r="V40" s="39" t="s">
        <v>31</v>
      </c>
      <c r="W40" s="5">
        <f>IF(NOT(D33&gt;0),FALSE,SLOPE(G33:G43,B33:B43))</f>
        <v>1.9072209090909094</v>
      </c>
      <c r="Y40" s="18"/>
      <c r="Z40" s="39" t="s">
        <v>31</v>
      </c>
      <c r="AA40" s="5">
        <f>IF(NOT(L33&gt;0),FALSE,SLOPE(O33:O43,J33:J43))</f>
        <v>1.8839133234543136E-5</v>
      </c>
    </row>
    <row r="41" spans="1:27">
      <c r="A41" s="19">
        <f>_xll.ciqfunctions.udf.CIQ(A33,"IQ_TOTAL_REV",IQ_FY)</f>
        <v>4381.3100000000004</v>
      </c>
      <c r="B41" s="13">
        <v>9</v>
      </c>
      <c r="C41" s="14" t="s">
        <v>32</v>
      </c>
      <c r="D41" s="15" cm="1">
        <f t="array" ref="D41">_xlfn.SINGLE(IF(A41=A42,_xll.ciqfunctions.udf.CIQ(A33,"IQ_TOTAL_REV",IQ_FY-2)/I41, _xll.ciqfunctions.udf.CIQ(A33, "IQ_TOTAL_REV",IQ_FY-1)/I41))</f>
        <v>9.5788080694141637</v>
      </c>
      <c r="E41" s="16">
        <f t="shared" si="11"/>
        <v>0.26198351096188011</v>
      </c>
      <c r="F41" s="15">
        <f>IF(A41=A42,_xll.ciqfunctions.udf.CIQ(A33,"IQ_DILUT_EPS_EXCL",IQ_FY-2), _xll.ciqfunctions.udf.CIQ(A33, "IQ_DILUT_EPS_EXCL",IQ_FY-1))</f>
        <v>2.63</v>
      </c>
      <c r="G41" s="15">
        <f>IF(A41=A42,_xll.ciqfunctions.udf.CIQ(A33,"IQ_EBITDA_MARGIN",IQ_FY-2), _xll.ciqfunctions.udf.CIQ(A33, "IQ_EBITDA_MARGIN",IQ_FY-1))</f>
        <v>33.075299999999999</v>
      </c>
      <c r="H41" s="15">
        <f>IF(A41=A42,_xll.ciqfunctions.udf.CIQ(A33,"IQ_TOTAL_DIV_PAID_CF",IQ_FY-2)/-I41, _xll.ciqfunctions.udf.CIQ(A33, "IQ_TOTAL_DIV_PAID_CF",IQ_FY-1)/-I41)</f>
        <v>0</v>
      </c>
      <c r="I41" s="17">
        <f>IF(A41=A42,_xll.ciqfunctions.udf.CIQ(A33,"IQ_TOTAL_OUTSTANDING_FILING_DATE",IQ_FY-2), _xll.ciqfunctions.udf.CIQ(A33, "IQ_TOTAL_OUTSTANDING_FILING_DATE",IQ_FY-1))</f>
        <v>307.76657999999998</v>
      </c>
      <c r="J41" s="17">
        <f>IF(A41=A42,_xll.ciqfunctions.udf.CIQ(A33,"IQ_CASH_OPER",IQ_FY-2), _xll.ciqfunctions.udf.CIQ(A33, "IQ_CASH_OPER",IQ_FY-1))</f>
        <v>1015.856</v>
      </c>
      <c r="K41" s="17">
        <f>IF(A41=A42,_xll.ciqfunctions.udf.CIQ(A33,"IQ_CAPEX",IQ_FY-2), _xll.ciqfunctions.udf.CIQ(A33, "IQ_CAPEX",IQ_FY-1))</f>
        <v>-64.736000000000004</v>
      </c>
      <c r="L41" s="15">
        <f t="shared" si="8"/>
        <v>3.090394025238218</v>
      </c>
      <c r="M41" s="17">
        <f>IF(A41=A42,_xll.ciqfunctions.udf.CIQ(A33,"IQ_TOTAL_DEBT_ISSUED",IQ_FY-2), _xll.ciqfunctions.udf.CIQ(A33, "IQ_TOTAL_DEBT_ISSUED",IQ_FY-1))</f>
        <v>0</v>
      </c>
      <c r="N41" s="17">
        <f>IF(A41=A42,_xll.ciqfunctions.udf.CIQ(A33,"IQ_TOTAL_DEBT_REPAID",IQ_FY-2), _xll.ciqfunctions.udf.CIQ(A33, "IQ_TOTAL_DEBT_REPAID",IQ_FY-1))</f>
        <v>0</v>
      </c>
      <c r="O41" s="15">
        <f t="shared" si="9"/>
        <v>0</v>
      </c>
      <c r="P41" s="15">
        <f t="shared" si="10"/>
        <v>3.090394025238218</v>
      </c>
      <c r="Q41" s="25" t="s">
        <v>33</v>
      </c>
      <c r="R41" s="38" t="s">
        <v>52</v>
      </c>
      <c r="S41" s="4">
        <f>(AVERAGE(O38:O43)/AVERAGE(P38:P43))</f>
        <v>-3.8749275419124794E-4</v>
      </c>
      <c r="U41" s="25" t="s">
        <v>54</v>
      </c>
      <c r="V41" s="38" t="s">
        <v>52</v>
      </c>
      <c r="W41" s="4">
        <f>(AVERAGE(O38:O43)/AVERAGE(P38:P43))</f>
        <v>-3.8749275419124794E-4</v>
      </c>
      <c r="Y41" s="25" t="s">
        <v>60</v>
      </c>
      <c r="Z41" s="38" t="s">
        <v>52</v>
      </c>
      <c r="AA41" s="4">
        <f>(AVERAGE(O38:O43)/AVERAGE(P38:P43))</f>
        <v>-3.8749275419124794E-4</v>
      </c>
    </row>
    <row r="42" spans="1:27">
      <c r="A42" s="19">
        <f>_xll.ciqfunctions.udf.CIQ(A33,"IQ_TOTAL_REV",IQ_LTM)</f>
        <v>5595.2830000000004</v>
      </c>
      <c r="B42" s="13">
        <v>10</v>
      </c>
      <c r="C42" s="14" t="s">
        <v>34</v>
      </c>
      <c r="D42" s="15" cm="1">
        <f t="array" ref="D42">_xlfn.SINGLE(IF(A41=A42,_xll.ciqfunctions.udf.CIQ(A33,"IQ_TOTAL_REV",IQ_FY-1)/I42, _xll.ciqfunctions.udf.CIQ(A33, "IQ_TOTAL_REV",IQ_FY)/I42))</f>
        <v>14.299530234431082</v>
      </c>
      <c r="E42" s="16">
        <f t="shared" si="11"/>
        <v>0.49282981043231566</v>
      </c>
      <c r="F42" s="15">
        <f>IF(A41=A42,_xll.ciqfunctions.udf.CIQ(A33,"IQ_DILUT_EPS_EXCL",IQ_FY-1), _xll.ciqfunctions.udf.CIQ(A33, "IQ_DILUT_EPS_EXCL",IQ_FY))</f>
        <v>4.2699999999999996</v>
      </c>
      <c r="G42" s="15">
        <f>IF(A41=A42,_xll.ciqfunctions.udf.CIQ(A33,"IQ_EBITDA_MARGIN",IQ_FY-1), _xll.ciqfunctions.udf.CIQ(A33, "IQ_EBITDA_MARGIN",IQ_FY))</f>
        <v>36.286000000000001</v>
      </c>
      <c r="H42" s="15">
        <f>IF(A41=A42,_xll.ciqfunctions.udf.CIQ(A33,"IQ_TOTAL_DIV_PAID_CF",IQ_FY-1)/-I42, _xll.ciqfunctions.udf.CIQ(A33, "IQ_TOTAL_DIV_PAID_CF",IQ_FY)/-I42)</f>
        <v>0</v>
      </c>
      <c r="I42" s="17">
        <f>IF(A41=A42,_xll.ciqfunctions.udf.CIQ(A33,"IQ_TOTAL_OUTSTANDING_FILING_DATE",IQ_FY-1), _xll.ciqfunctions.udf.CIQ(A33, "IQ_TOTAL_OUTSTANDING_FILING_DATE",IQ_FY))</f>
        <v>306.39537999999999</v>
      </c>
      <c r="J42" s="17">
        <f>IF(A41=A42,_xll.ciqfunctions.udf.CIQ(A33,"IQ_CASH_OPER",IQ_FY-1), _xll.ciqfunctions.udf.CIQ(A33, "IQ_CASH_OPER",IQ_FY))</f>
        <v>492.81299999999999</v>
      </c>
      <c r="K42" s="17">
        <f>IF(A41=A42,_xll.ciqfunctions.udf.CIQ(A33,"IQ_CAPEX",IQ_FY-1), _xll.ciqfunctions.udf.CIQ(A33, "IQ_CAPEX",IQ_FY))</f>
        <v>-44.643999999999998</v>
      </c>
      <c r="L42" s="15">
        <f t="shared" si="8"/>
        <v>1.4627146140388931</v>
      </c>
      <c r="M42" s="17">
        <f>IF(A41=A42,_xll.ciqfunctions.udf.CIQ(A33,"IQ_TOTAL_DEBT_ISSUED",IQ_FY-1), _xll.ciqfunctions.udf.CIQ(A33, "IQ_TOTAL_DEBT_ISSUED",IQ_FY))</f>
        <v>0</v>
      </c>
      <c r="N42" s="17">
        <f>IF(A41=A42,_xll.ciqfunctions.udf.CIQ(A33,"IQ_TOTAL_DEBT_REPAID",IQ_FY-1), _xll.ciqfunctions.udf.CIQ(A33, "IQ_TOTAL_DEBT_REPAID",IQ_FY))</f>
        <v>0</v>
      </c>
      <c r="O42" s="15">
        <f t="shared" si="9"/>
        <v>0</v>
      </c>
      <c r="P42" s="15">
        <f t="shared" si="10"/>
        <v>1.4627146140388931</v>
      </c>
      <c r="Q42" s="25" t="s">
        <v>44</v>
      </c>
      <c r="R42" s="38" t="s">
        <v>35</v>
      </c>
      <c r="S42" s="1">
        <f>_xll.ciqfunctions.udf.CIQ(A33,"IQ_TEV_EBITDA")</f>
        <v>28.955410000000001</v>
      </c>
      <c r="U42" s="25" t="s">
        <v>55</v>
      </c>
      <c r="V42" s="38" t="s">
        <v>53</v>
      </c>
      <c r="W42" s="1">
        <f>V32/(AVERAGE(D38:D43)/_xlfn.STDEV.P(E38:E43))</f>
        <v>3.3346250325829416</v>
      </c>
      <c r="Y42" s="25" t="s">
        <v>57</v>
      </c>
      <c r="Z42" s="38" t="s">
        <v>53</v>
      </c>
      <c r="AA42" s="1">
        <f>Z32/(AVERAGE(D38:D43)/_xlfn.STDEV.P(E38:E43))</f>
        <v>3.3346250325829416</v>
      </c>
    </row>
    <row r="43" spans="1:27">
      <c r="B43" s="13">
        <v>11</v>
      </c>
      <c r="C43" s="20" t="s">
        <v>36</v>
      </c>
      <c r="D43" s="21" cm="1">
        <f t="array" ref="D43">_xlfn.SINGLE(IF(A41=A42,_xll.ciqfunctions.udf.CIQ(A33,"IQ_TOTAL_REV",IQ_FY)/I43, _xll.ciqfunctions.udf.CIQ(A33, "IQ_TOTAL_REV",IQ_LTM)/I43))</f>
        <v>17.985472459125219</v>
      </c>
      <c r="E43" s="22">
        <f t="shared" si="11"/>
        <v>0.25776666535652709</v>
      </c>
      <c r="F43" s="21">
        <f>IF(A41=A42,_xll.ciqfunctions.udf.CIQ(A33,"IQ_DILUT_EPS_EXCL",IQ_FY), _xll.ciqfunctions.udf.CIQ(A33, "IQ_DILUT_EPS_EXCL",IQ_LTM))</f>
        <v>6.0114900000000002</v>
      </c>
      <c r="G43" s="21">
        <f>IF(A41=A42,_xll.ciqfunctions.udf.CIQ(A33,"IQ_EBITDA_MARGIN",IQ_FY), _xll.ciqfunctions.udf.CIQ(A33, "IQ_EBITDA_MARGIN",IQ_LTM))</f>
        <v>38.604199999999999</v>
      </c>
      <c r="H43" s="21">
        <f>IF(A41=A42,_xll.ciqfunctions.udf.CIQ(A33,"IQ_TOTAL_DIV_PAID_CF",IQ_FY)/-I43, _xll.ciqfunctions.udf.CIQ(A33, "IQ_TOTAL_DIV_PAID_CF",IQ_LTM)/-I43)</f>
        <v>0</v>
      </c>
      <c r="I43" s="23">
        <f>IF(A41=A42,_xll.ciqfunctions.udf.CIQ(A33,"IQ_TOTAL_OUTSTANDING_FILING_DATE",IQ_FY),_xll.ciqfunctions.udf.CIQ(A33,"IQ_sharesoutstanding"))</f>
        <v>311.10014000000001</v>
      </c>
      <c r="J43" s="23">
        <f>IF(A41=A42,_xll.ciqfunctions.udf.CIQ(A33,"IQ_CASH_OPER",IQ_FY), _xll.ciqfunctions.udf.CIQ(A33, "IQ_CASH_OPER",IQ_LTM))</f>
        <v>1548.0229999999999</v>
      </c>
      <c r="K43" s="23">
        <f>IF(A41=A42,_xll.ciqfunctions.udf.CIQ(A33,"IQ_CAPEX",IQ_FY), _xll.ciqfunctions.udf.CIQ(A33, "IQ_CAPEX",IQ_LTM))</f>
        <v>-38.884</v>
      </c>
      <c r="L43" s="21">
        <f t="shared" si="8"/>
        <v>4.8509749947396354</v>
      </c>
      <c r="M43" s="23">
        <f>IF(A41=A42,_xll.ciqfunctions.udf.CIQ(A33,"IQ_TOTAL_DEBT_ISSUED",IQ_FY), _xll.ciqfunctions.udf.CIQ(A33, "IQ_TOTAL_DEBT_ISSUED",IQ_LTM))</f>
        <v>0</v>
      </c>
      <c r="N43" s="23">
        <f>IF(A41=A42,_xll.ciqfunctions.udf.CIQ(A33,"IQ_TOTAL_DEBT_REPAID",IQ_FY), _xll.ciqfunctions.udf.CIQ(A33, "IQ_TOTAL_DEBT_REPAID",IQ_LTM))</f>
        <v>0</v>
      </c>
      <c r="O43" s="21">
        <f t="shared" si="9"/>
        <v>0</v>
      </c>
      <c r="P43" s="21">
        <f t="shared" si="10"/>
        <v>4.8509749947396354</v>
      </c>
      <c r="Q43" s="25" t="s">
        <v>45</v>
      </c>
      <c r="S43" s="45"/>
      <c r="U43" s="25"/>
      <c r="W43" s="45"/>
      <c r="Y43" s="25"/>
      <c r="AA43" s="45"/>
    </row>
    <row r="44" spans="1:27">
      <c r="B44" s="24"/>
      <c r="C44" s="25" t="s">
        <v>37</v>
      </c>
      <c r="E44" s="26">
        <f>((D43/D38)^(1/5))-1</f>
        <v>0.20422594329519161</v>
      </c>
      <c r="F44" s="27">
        <f>((F43/F38)^(1/5))-1</f>
        <v>0.42750801796189664</v>
      </c>
      <c r="G44" s="28"/>
      <c r="H44" s="27" t="e">
        <f>((H43/H38)^(1/5))-1</f>
        <v>#DIV/0!</v>
      </c>
      <c r="I44" s="27">
        <f>((I43/I38)^(1/5))-1</f>
        <v>5.3411309618613956E-3</v>
      </c>
      <c r="J44" s="27"/>
      <c r="K44" s="27"/>
      <c r="L44" s="26">
        <f>((L43/L38)^(1/5))-1</f>
        <v>0.25116015495694954</v>
      </c>
      <c r="M44" s="26"/>
      <c r="N44" s="26"/>
      <c r="O44" s="26"/>
      <c r="P44" s="26">
        <f>((P43/P38)^(1/5))-1</f>
        <v>0.25216970591754895</v>
      </c>
      <c r="Q44" s="18"/>
      <c r="R44" s="36"/>
      <c r="S44" s="45"/>
      <c r="U44" s="18"/>
      <c r="V44" s="36"/>
      <c r="W44" s="45"/>
      <c r="Y44" s="18"/>
      <c r="Z44" s="36"/>
      <c r="AA44" s="45"/>
    </row>
    <row r="45" spans="1:27">
      <c r="A45" s="29"/>
      <c r="B45" s="30"/>
      <c r="C45" s="31" t="s">
        <v>38</v>
      </c>
      <c r="D45" s="29"/>
      <c r="E45" s="32">
        <f>((D43/D33)^(1/10))-1</f>
        <v>0.2031958787673489</v>
      </c>
      <c r="F45" s="33">
        <f>((F43/F33)^(1/10))-1</f>
        <v>0.41933460143094359</v>
      </c>
      <c r="G45" s="34"/>
      <c r="H45" s="33" t="e">
        <f>((H43/H33)^(1/10))-1</f>
        <v>#DIV/0!</v>
      </c>
      <c r="I45" s="33">
        <f>((I43/I33)^(1/10))-1</f>
        <v>9.312093118944853E-2</v>
      </c>
      <c r="J45" s="33"/>
      <c r="K45" s="33"/>
      <c r="L45" s="32">
        <f>((L43/L33)^(1/10))-1</f>
        <v>0.45738412324527156</v>
      </c>
      <c r="M45" s="32"/>
      <c r="N45" s="32"/>
      <c r="O45" s="32"/>
      <c r="P45" s="32">
        <f>((P43/P33)^(1/10))-1</f>
        <v>0.45738412324527156</v>
      </c>
      <c r="Q45" s="40"/>
      <c r="R45" s="41"/>
      <c r="S45" s="46"/>
      <c r="U45" s="40"/>
      <c r="V45" s="41"/>
      <c r="W45" s="46"/>
      <c r="Y45" s="40"/>
      <c r="Z45" s="41"/>
      <c r="AA45" s="46"/>
    </row>
    <row r="46" spans="1:27">
      <c r="B46" s="24"/>
      <c r="C46" s="25"/>
      <c r="E46" s="26"/>
      <c r="F46" s="27"/>
      <c r="G46" s="28"/>
      <c r="H46" s="27"/>
      <c r="I46" s="27"/>
      <c r="J46" s="27"/>
      <c r="K46" s="27"/>
      <c r="L46" s="26"/>
      <c r="M46" s="17"/>
      <c r="N46" s="17"/>
      <c r="O46" s="17"/>
      <c r="P46" s="35"/>
      <c r="Q46" s="18"/>
      <c r="R46" s="36"/>
    </row>
    <row r="47" spans="1:27">
      <c r="A47" s="9" t="s">
        <v>0</v>
      </c>
      <c r="B47" s="10"/>
      <c r="C47" s="9" t="s">
        <v>1</v>
      </c>
      <c r="D47" s="9" t="s">
        <v>2</v>
      </c>
      <c r="E47" s="9" t="s">
        <v>3</v>
      </c>
      <c r="F47" s="11" t="s">
        <v>4</v>
      </c>
      <c r="G47" s="11" t="s">
        <v>5</v>
      </c>
      <c r="H47" s="9" t="s">
        <v>6</v>
      </c>
      <c r="I47" s="11" t="s">
        <v>7</v>
      </c>
      <c r="J47" s="11" t="s">
        <v>8</v>
      </c>
      <c r="K47" s="11" t="s">
        <v>9</v>
      </c>
      <c r="L47" s="11" t="s">
        <v>10</v>
      </c>
      <c r="M47" s="11" t="s">
        <v>11</v>
      </c>
      <c r="N47" s="11" t="s">
        <v>12</v>
      </c>
      <c r="O47" s="11" t="s">
        <v>13</v>
      </c>
      <c r="P47" s="11" t="s">
        <v>14</v>
      </c>
      <c r="Q47" s="37" t="s">
        <v>15</v>
      </c>
      <c r="R47" s="42">
        <f>_xll.ciqfunctions.udf.CIQ(A48,("IQ_LASTSALEPRICE"))</f>
        <v>215.73</v>
      </c>
      <c r="S47" s="44"/>
      <c r="U47" s="37" t="s">
        <v>15</v>
      </c>
      <c r="V47" s="42">
        <f>_xll.ciqfunctions.udf.CIQ(A48,("IQ_LASTSALEPRICE"))</f>
        <v>215.73</v>
      </c>
      <c r="W47" s="44"/>
      <c r="Y47" s="37" t="s">
        <v>15</v>
      </c>
      <c r="Z47" s="42">
        <f>_xll.ciqfunctions.udf.CIQ(A48,("IQ_LASTSALEPRICE"))</f>
        <v>215.73</v>
      </c>
      <c r="AA47" s="44"/>
    </row>
    <row r="48" spans="1:27">
      <c r="A48" s="12" t="str">
        <f>Analysis!B5</f>
        <v>NasdaqGS:CDW</v>
      </c>
      <c r="B48" s="13">
        <v>1</v>
      </c>
      <c r="C48" s="14" t="s">
        <v>16</v>
      </c>
      <c r="D48" s="15">
        <f>IF(A56=A57,_xll.ciqfunctions.udf.CIQ(A48,"IQ_TOTAL_REV",IQ_FY-10)/I48,_xll.ciqfunctions.udf.CIQ(A48, "IQ_TOTAL_REV",IQ_FY-9)/I48)</f>
        <v>62.62478607685717</v>
      </c>
      <c r="E48" s="16"/>
      <c r="F48" s="15">
        <f>IF(A56=A57,_xll.ciqfunctions.udf.CIQ(A48,"IQ_DILUT_EPS_EXCL",IQ_FY-10), _xll.ciqfunctions.udf.CIQ(A48, "IQ_DILUT_EPS_EXCL",IQ_FY-9))</f>
        <v>0.84</v>
      </c>
      <c r="G48" s="15">
        <f>IF(A56=A57,_xll.ciqfunctions.udf.CIQ(A48,"IQ_EBITDA_MARGIN",IQ_FY-10), _xll.ciqfunctions.udf.CIQ(A48, "IQ_EBITDA_MARGIN",IQ_FY-9))</f>
        <v>6.6562999999999999</v>
      </c>
      <c r="H48" s="15">
        <f>IF(A56=A57,_xll.ciqfunctions.udf.CIQ(A48,"IQ_TOTAL_DIV_PAID_CF",IQ_FY-10)/-I48, _xll.ciqfunctions.udf.CIQ(A48, "IQ_TOTAL_DIV_PAID_CF",IQ_FY-9)/-I48)</f>
        <v>4.2453145103454243E-2</v>
      </c>
      <c r="I48" s="17">
        <f>IF(A56=A57,_xll.ciqfunctions.udf.CIQ(A48,"IQ_TOTAL_OUTSTANDING_FILING_DATE",IQ_FY-10), _xll.ciqfunctions.udf.CIQ(A48, "IQ_TOTAL_OUTSTANDING_FILING_DATE",IQ_FY-9))</f>
        <v>171.95428000000001</v>
      </c>
      <c r="J48" s="17">
        <f>IF(A56=A57,_xll.ciqfunctions.udf.CIQ(A48,"IQ_CASH_OPER",IQ_FY-10), _xll.ciqfunctions.udf.CIQ(A48, "IQ_CASH_OPER",IQ_FY-9))</f>
        <v>366.3</v>
      </c>
      <c r="K48" s="17">
        <f>IF(A56=A57,_xll.ciqfunctions.udf.CIQ(A48,"IQ_CAPEX",IQ_FY-10), _xll.ciqfunctions.udf.CIQ(A48, "IQ_CAPEX",IQ_FY-9))</f>
        <v>-47.1</v>
      </c>
      <c r="L48" s="15">
        <f t="shared" ref="L48:L58" si="12">(J48+K48)/I48</f>
        <v>1.856307385893506</v>
      </c>
      <c r="M48" s="17">
        <f>IF(A56=A57,_xll.ciqfunctions.udf.CIQ(A48,"IQ_TOTAL_DEBT_ISSUED",IQ_FY-10), _xll.ciqfunctions.udf.CIQ(A48, "IQ_TOTAL_DEBT_ISSUED",IQ_FY-9))</f>
        <v>1605.6</v>
      </c>
      <c r="N48" s="17">
        <f>IF(A56=A57,_xll.ciqfunctions.udf.CIQ(A48,"IQ_TOTAL_DEBT_REPAID",IQ_FY-10), _xll.ciqfunctions.udf.CIQ(A48, "IQ_TOTAL_DEBT_REPAID",IQ_FY-9))</f>
        <v>-2161.5</v>
      </c>
      <c r="O48" s="15">
        <f t="shared" ref="O48:O58" si="13">(M48+N48)/I48</f>
        <v>-3.2328360771246873</v>
      </c>
      <c r="P48" s="15">
        <f t="shared" ref="P48:P58" si="14">L48+O48</f>
        <v>-1.3765286912311814</v>
      </c>
      <c r="W48" s="43"/>
      <c r="AA48" s="43"/>
    </row>
    <row r="49" spans="1:27">
      <c r="A49" s="18" t="str">
        <f>_xll.ciqfunctions.udf.CIQ(A48,"IQ_COMPANY_NAME")</f>
        <v>CDW Corporation</v>
      </c>
      <c r="B49" s="13">
        <v>2</v>
      </c>
      <c r="C49" s="14" t="s">
        <v>17</v>
      </c>
      <c r="D49" s="15">
        <f>IF(A56=A57,_xll.ciqfunctions.udf.CIQ(A48,"IQ_TOTAL_REV",IQ_FY-9)/I49, _xll.ciqfunctions.udf.CIQ(A48, "IQ_TOTAL_REV",IQ_FY-8)/I49)</f>
        <v>70.088252745628722</v>
      </c>
      <c r="E49" s="16">
        <f t="shared" ref="E49:E58" si="15">(D49-D48)/D48</f>
        <v>0.11917751957846061</v>
      </c>
      <c r="F49" s="15">
        <f>IF(A56=A57,_xll.ciqfunctions.udf.CIQ(A48,"IQ_DILUT_EPS_EXCL",IQ_FY-9), _xll.ciqfunctions.udf.CIQ(A48, "IQ_DILUT_EPS_EXCL",IQ_FY-8))</f>
        <v>1.42</v>
      </c>
      <c r="G49" s="15">
        <f>IF(A56=A57,_xll.ciqfunctions.udf.CIQ(A48,"IQ_EBITDA_MARGIN",IQ_FY-9), _xll.ciqfunctions.udf.CIQ(A48, "IQ_EBITDA_MARGIN",IQ_FY-8))</f>
        <v>7.2954999999999997</v>
      </c>
      <c r="H49" s="15">
        <f>IF(A56=A57,_xll.ciqfunctions.udf.CIQ(A48,"IQ_TOTAL_DIV_PAID_CF",IQ_FY-9)/-I49, _xll.ciqfunctions.udf.CIQ(A48, "IQ_TOTAL_DIV_PAID_CF",IQ_FY-8)/-I49)</f>
        <v>0.19503625758856477</v>
      </c>
      <c r="I49" s="17">
        <f>IF(A56=A57,_xll.ciqfunctions.udf.CIQ(A48,"IQ_TOTAL_OUTSTANDING_FILING_DATE",IQ_FY-9), _xll.ciqfunctions.udf.CIQ(A48, "IQ_TOTAL_OUTSTANDING_FILING_DATE",IQ_FY-8))</f>
        <v>172.27565999999999</v>
      </c>
      <c r="J49" s="17">
        <f>IF(A56=A57,_xll.ciqfunctions.udf.CIQ(A48,"IQ_CASH_OPER",IQ_FY-9), _xll.ciqfunctions.udf.CIQ(A48, "IQ_CASH_OPER",IQ_FY-8))</f>
        <v>435</v>
      </c>
      <c r="K49" s="17">
        <f>IF(A56=A57,_xll.ciqfunctions.udf.CIQ(A48,"IQ_CAPEX",IQ_FY-9), _xll.ciqfunctions.udf.CIQ(A48, "IQ_CAPEX",IQ_FY-8))</f>
        <v>-55</v>
      </c>
      <c r="L49" s="15">
        <f t="shared" si="12"/>
        <v>2.2057671989182919</v>
      </c>
      <c r="M49" s="17">
        <f>IF(A56=A57,_xll.ciqfunctions.udf.CIQ(A48,"IQ_TOTAL_DEBT_ISSUED",IQ_FY-9), _xll.ciqfunctions.udf.CIQ(A48, "IQ_TOTAL_DEBT_ISSUED",IQ_FY-8))</f>
        <v>1250.5</v>
      </c>
      <c r="N49" s="17">
        <f>IF(A56=A57,_xll.ciqfunctions.udf.CIQ(A48,"IQ_TOTAL_DEBT_REPAID",IQ_FY-9), _xll.ciqfunctions.udf.CIQ(A48, "IQ_TOTAL_DEBT_REPAID",IQ_FY-8))</f>
        <v>-1314.4</v>
      </c>
      <c r="O49" s="15">
        <f t="shared" si="13"/>
        <v>-0.3709171684496817</v>
      </c>
      <c r="P49" s="15">
        <f t="shared" si="14"/>
        <v>1.8348500304686102</v>
      </c>
      <c r="Q49" s="25" t="s">
        <v>18</v>
      </c>
      <c r="R49" s="39" t="s">
        <v>19</v>
      </c>
      <c r="S49" s="1">
        <f>R47/((AVERAGE(P53:P58))*(1+E59)^3)</f>
        <v>17.676195998584785</v>
      </c>
      <c r="U49" s="25" t="s">
        <v>48</v>
      </c>
      <c r="V49" s="39" t="s">
        <v>19</v>
      </c>
      <c r="W49" s="1">
        <f>V47/((AVERAGE(P53:P58))*(1+E59)^3)</f>
        <v>17.676195998584785</v>
      </c>
      <c r="Y49" s="25" t="s">
        <v>39</v>
      </c>
      <c r="Z49" s="39" t="s">
        <v>19</v>
      </c>
      <c r="AA49" s="1">
        <f>Z47/((AVERAGE(P53:P58))*(1+E59)^3)</f>
        <v>17.676195998584785</v>
      </c>
    </row>
    <row r="50" spans="1:27">
      <c r="B50" s="13">
        <v>3</v>
      </c>
      <c r="C50" s="14" t="s">
        <v>20</v>
      </c>
      <c r="D50" s="15" cm="1">
        <f t="array" ref="D50">_xlfn.SINGLE(IF(A56=A57,_xll.ciqfunctions.udf.CIQ(A48,"IQ_TOTAL_REV",IQ_FY-8)/I50, _xll.ciqfunctions.udf.CIQ(A48, "IQ_TOTAL_REV",IQ_FY-7)/I50))</f>
        <v>77.43350961404326</v>
      </c>
      <c r="E50" s="16">
        <f t="shared" si="15"/>
        <v>0.10480011386605223</v>
      </c>
      <c r="F50" s="15">
        <f>IF(A56=A57,_xll.ciqfunctions.udf.CIQ(A48,"IQ_DILUT_EPS_EXCL",IQ_FY-8), _xll.ciqfunctions.udf.CIQ(A48, "IQ_DILUT_EPS_EXCL",IQ_FY-7))</f>
        <v>2.35</v>
      </c>
      <c r="G50" s="15">
        <f>IF(A56=A57,_xll.ciqfunctions.udf.CIQ(A48,"IQ_EBITDA_MARGIN",IQ_FY-8), _xll.ciqfunctions.udf.CIQ(A48, "IQ_EBITDA_MARGIN",IQ_FY-7))</f>
        <v>7.4634</v>
      </c>
      <c r="H50" s="15">
        <f>IF(A56=A57,_xll.ciqfunctions.udf.CIQ(A48,"IQ_TOTAL_DIV_PAID_CF",IQ_FY-8)/-I50, _xll.ciqfunctions.udf.CIQ(A48, "IQ_TOTAL_DIV_PAID_CF",IQ_FY-7)/-I50)</f>
        <v>0.31536894828450024</v>
      </c>
      <c r="I50" s="17">
        <f>IF(A56=A57,_xll.ciqfunctions.udf.CIQ(A48,"IQ_TOTAL_OUTSTANDING_FILING_DATE",IQ_FY-8), _xll.ciqfunctions.udf.CIQ(A48, "IQ_TOTAL_OUTSTANDING_FILING_DATE",IQ_FY-7))</f>
        <v>167.74003999999999</v>
      </c>
      <c r="J50" s="17">
        <f>IF(A56=A57,_xll.ciqfunctions.udf.CIQ(A48,"IQ_CASH_OPER",IQ_FY-8), _xll.ciqfunctions.udf.CIQ(A48, "IQ_CASH_OPER",IQ_FY-7))</f>
        <v>277.5</v>
      </c>
      <c r="K50" s="17">
        <f>IF(A56=A57,_xll.ciqfunctions.udf.CIQ(A48,"IQ_CAPEX",IQ_FY-8), _xll.ciqfunctions.udf.CIQ(A48, "IQ_CAPEX",IQ_FY-7))</f>
        <v>-90.1</v>
      </c>
      <c r="L50" s="15">
        <f t="shared" si="12"/>
        <v>1.1172049321080406</v>
      </c>
      <c r="M50" s="17">
        <f>IF(A56=A57,_xll.ciqfunctions.udf.CIQ(A48,"IQ_TOTAL_DEBT_ISSUED",IQ_FY-8), _xll.ciqfunctions.udf.CIQ(A48, "IQ_TOTAL_DEBT_ISSUED",IQ_FY-7))</f>
        <v>935.4</v>
      </c>
      <c r="N50" s="17">
        <f>IF(A56=A57,_xll.ciqfunctions.udf.CIQ(A48,"IQ_TOTAL_DEBT_REPAID",IQ_FY-8), _xll.ciqfunctions.udf.CIQ(A48, "IQ_TOTAL_DEBT_REPAID",IQ_FY-7))</f>
        <v>-872.6</v>
      </c>
      <c r="O50" s="15">
        <f t="shared" si="13"/>
        <v>0.37438884597857469</v>
      </c>
      <c r="P50" s="15">
        <f t="shared" si="14"/>
        <v>1.4915937780866153</v>
      </c>
      <c r="Q50" s="25" t="s">
        <v>21</v>
      </c>
      <c r="R50" s="38" t="s">
        <v>49</v>
      </c>
      <c r="S50" s="2">
        <f>(R47*I58)/1000</f>
        <v>28.899270620100001</v>
      </c>
      <c r="U50" s="25" t="s">
        <v>59</v>
      </c>
      <c r="V50" s="38" t="s">
        <v>49</v>
      </c>
      <c r="W50" s="2">
        <f>(V47*I58)/1000</f>
        <v>28.899270620100001</v>
      </c>
      <c r="Y50" s="25" t="s">
        <v>46</v>
      </c>
      <c r="Z50" s="38" t="s">
        <v>49</v>
      </c>
      <c r="AA50" s="2">
        <f>(Z47*I58)/1000</f>
        <v>28.899270620100001</v>
      </c>
    </row>
    <row r="51" spans="1:27">
      <c r="A51" s="18"/>
      <c r="B51" s="13">
        <v>4</v>
      </c>
      <c r="C51" s="14" t="s">
        <v>22</v>
      </c>
      <c r="D51" s="15" cm="1">
        <f t="array" ref="D51">_xlfn.SINGLE(IF(A56=A57,_xll.ciqfunctions.udf.CIQ(A48,"IQ_TOTAL_REV",IQ_FY-7)/I51, _xll.ciqfunctions.udf.CIQ(A48, "IQ_TOTAL_REV",IQ_FY-6)/I51))</f>
        <v>85.793748257560594</v>
      </c>
      <c r="E51" s="16">
        <f t="shared" si="15"/>
        <v>0.10796667599322052</v>
      </c>
      <c r="F51" s="15">
        <f>IF(A56=A57,_xll.ciqfunctions.udf.CIQ(A48,"IQ_DILUT_EPS_EXCL",IQ_FY-7), _xll.ciqfunctions.udf.CIQ(A48, "IQ_DILUT_EPS_EXCL",IQ_FY-6))</f>
        <v>2.56</v>
      </c>
      <c r="G51" s="15">
        <f>IF(A56=A57,_xll.ciqfunctions.udf.CIQ(A48,"IQ_EBITDA_MARGIN",IQ_FY-7), _xll.ciqfunctions.udf.CIQ(A48, "IQ_EBITDA_MARGIN",IQ_FY-6))</f>
        <v>7.8586999999999998</v>
      </c>
      <c r="H51" s="15">
        <f>IF(A56=A57,_xll.ciqfunctions.udf.CIQ(A48,"IQ_TOTAL_DIV_PAID_CF",IQ_FY-7)/-I51, _xll.ciqfunctions.udf.CIQ(A48, "IQ_TOTAL_DIV_PAID_CF",IQ_FY-6)/-I51)</f>
        <v>0.49382843095145934</v>
      </c>
      <c r="I51" s="17">
        <f>IF(A56=A57,_xll.ciqfunctions.udf.CIQ(A48,"IQ_TOTAL_OUTSTANDING_FILING_DATE",IQ_FY-7), _xll.ciqfunctions.udf.CIQ(A48, "IQ_TOTAL_OUTSTANDING_FILING_DATE",IQ_FY-6))</f>
        <v>159.36708999999999</v>
      </c>
      <c r="J51" s="17">
        <f>IF(A56=A57,_xll.ciqfunctions.udf.CIQ(A48,"IQ_CASH_OPER",IQ_FY-7), _xll.ciqfunctions.udf.CIQ(A48, "IQ_CASH_OPER",IQ_FY-6))</f>
        <v>604</v>
      </c>
      <c r="K51" s="17">
        <f>IF(A56=A57,_xll.ciqfunctions.udf.CIQ(A48,"IQ_CAPEX",IQ_FY-7), _xll.ciqfunctions.udf.CIQ(A48, "IQ_CAPEX",IQ_FY-6))</f>
        <v>-63.5</v>
      </c>
      <c r="L51" s="15">
        <f t="shared" si="12"/>
        <v>3.3915408758483325</v>
      </c>
      <c r="M51" s="17">
        <f>IF(A56=A57,_xll.ciqfunctions.udf.CIQ(A48,"IQ_TOTAL_DEBT_ISSUED",IQ_FY-7), _xll.ciqfunctions.udf.CIQ(A48, "IQ_TOTAL_DEBT_ISSUED",IQ_FY-6))</f>
        <v>1965.4</v>
      </c>
      <c r="N51" s="17">
        <f>IF(A56=A57,_xll.ciqfunctions.udf.CIQ(A48,"IQ_TOTAL_DEBT_REPAID",IQ_FY-7), _xll.ciqfunctions.udf.CIQ(A48, "IQ_TOTAL_DEBT_REPAID",IQ_FY-6))</f>
        <v>-1849.8</v>
      </c>
      <c r="O51" s="15">
        <f t="shared" si="13"/>
        <v>0.72536933440900597</v>
      </c>
      <c r="P51" s="15">
        <f t="shared" si="14"/>
        <v>4.1169102102573385</v>
      </c>
      <c r="Q51" s="25" t="s">
        <v>23</v>
      </c>
      <c r="R51" s="38" t="s">
        <v>24</v>
      </c>
      <c r="S51" s="1">
        <f>R47/(AVERAGE(H53:H58)*(1+H59)/(0.5-H59))</f>
        <v>32.153705417252382</v>
      </c>
      <c r="U51" s="25" t="s">
        <v>40</v>
      </c>
      <c r="V51" s="38" t="s">
        <v>24</v>
      </c>
      <c r="W51" s="1">
        <f>V47/(AVERAGE(H53:H58)*(1+H59)/(0.5-H59))</f>
        <v>32.153705417252382</v>
      </c>
      <c r="Y51" s="25" t="s">
        <v>47</v>
      </c>
      <c r="Z51" s="38" t="s">
        <v>24</v>
      </c>
      <c r="AA51" s="1">
        <f>Z47/(AVERAGE(H53:H58)*(1+H59)/(0.5-H59))</f>
        <v>32.153705417252382</v>
      </c>
    </row>
    <row r="52" spans="1:27">
      <c r="B52" s="13">
        <v>5</v>
      </c>
      <c r="C52" s="14" t="s">
        <v>25</v>
      </c>
      <c r="D52" s="15" cm="1">
        <f t="array" ref="D52">_xlfn.SINGLE(IF(A56=A57,_xll.ciqfunctions.udf.CIQ(A48,"IQ_TOTAL_REV",IQ_FY-6)/I52, _xll.ciqfunctions.udf.CIQ(A48, "IQ_TOTAL_REV",IQ_FY-5)/I52))</f>
        <v>97.313785506190584</v>
      </c>
      <c r="E52" s="16">
        <f t="shared" si="15"/>
        <v>0.13427595229952882</v>
      </c>
      <c r="F52" s="15">
        <f>IF(A56=A57,_xll.ciqfunctions.udf.CIQ(A48,"IQ_DILUT_EPS_EXCL",IQ_FY-6), _xll.ciqfunctions.udf.CIQ(A48, "IQ_DILUT_EPS_EXCL",IQ_FY-5))</f>
        <v>3.31</v>
      </c>
      <c r="G52" s="15">
        <f>IF(A56=A57,_xll.ciqfunctions.udf.CIQ(A48,"IQ_EBITDA_MARGIN",IQ_FY-6), _xll.ciqfunctions.udf.CIQ(A48, "IQ_EBITDA_MARGIN",IQ_FY-5))</f>
        <v>7.6006</v>
      </c>
      <c r="H52" s="15">
        <f>IF(A56=A57,_xll.ciqfunctions.udf.CIQ(A48,"IQ_TOTAL_DIV_PAID_CF",IQ_FY-6)/-I52, _xll.ciqfunctions.udf.CIQ(A48, "IQ_TOTAL_DIV_PAID_CF",IQ_FY-5)/-I52)</f>
        <v>0.70133579209809105</v>
      </c>
      <c r="I52" s="17">
        <f>IF(A56=A57,_xll.ciqfunctions.udf.CIQ(A48,"IQ_TOTAL_OUTSTANDING_FILING_DATE",IQ_FY-6), _xll.ciqfunctions.udf.CIQ(A48, "IQ_TOTAL_OUTSTANDING_FILING_DATE",IQ_FY-5))</f>
        <v>152.42341999999999</v>
      </c>
      <c r="J52" s="17">
        <f>IF(A56=A57,_xll.ciqfunctions.udf.CIQ(A48,"IQ_CASH_OPER",IQ_FY-6), _xll.ciqfunctions.udf.CIQ(A48, "IQ_CASH_OPER",IQ_FY-5))</f>
        <v>777.7</v>
      </c>
      <c r="K52" s="17">
        <f>IF(A56=A57,_xll.ciqfunctions.udf.CIQ(A48,"IQ_CAPEX",IQ_FY-6), _xll.ciqfunctions.udf.CIQ(A48, "IQ_CAPEX",IQ_FY-5))</f>
        <v>-81.099999999999994</v>
      </c>
      <c r="L52" s="15">
        <f t="shared" si="12"/>
        <v>4.5701638239058013</v>
      </c>
      <c r="M52" s="17">
        <f>IF(A56=A57,_xll.ciqfunctions.udf.CIQ(A48,"IQ_TOTAL_DEBT_ISSUED",IQ_FY-6), _xll.ciqfunctions.udf.CIQ(A48, "IQ_TOTAL_DEBT_ISSUED",IQ_FY-5))</f>
        <v>3643.7</v>
      </c>
      <c r="N52" s="17">
        <f>IF(A56=A57,_xll.ciqfunctions.udf.CIQ(A48,"IQ_TOTAL_DEBT_REPAID",IQ_FY-6), _xll.ciqfunctions.udf.CIQ(A48, "IQ_TOTAL_DEBT_REPAID",IQ_FY-5))</f>
        <v>-3780.9</v>
      </c>
      <c r="O52" s="15">
        <f t="shared" si="13"/>
        <v>-0.90012414102767335</v>
      </c>
      <c r="P52" s="15">
        <f t="shared" si="14"/>
        <v>3.6700396828781279</v>
      </c>
      <c r="Q52" s="18"/>
      <c r="R52" s="38" t="s">
        <v>50</v>
      </c>
      <c r="S52" s="3">
        <f>I59</f>
        <v>-1.8485255899902575E-2</v>
      </c>
      <c r="U52" s="18"/>
      <c r="V52" s="38" t="s">
        <v>50</v>
      </c>
      <c r="W52" s="3">
        <f>I59</f>
        <v>-1.8485255899902575E-2</v>
      </c>
      <c r="Y52" s="18"/>
      <c r="Z52" s="38" t="s">
        <v>50</v>
      </c>
      <c r="AA52" s="3">
        <f>I59</f>
        <v>-1.8485255899902575E-2</v>
      </c>
    </row>
    <row r="53" spans="1:27">
      <c r="B53" s="13">
        <v>6</v>
      </c>
      <c r="C53" s="14" t="s">
        <v>26</v>
      </c>
      <c r="D53" s="15" cm="1">
        <f t="array" ref="D53">_xlfn.SINGLE(IF(A56=A57,_xll.ciqfunctions.udf.CIQ(A48,"IQ_TOTAL_REV",IQ_FY-5)/I53, _xll.ciqfunctions.udf.CIQ(A48, "IQ_TOTAL_REV",IQ_FY-4)/I53))</f>
        <v>110.43511728609974</v>
      </c>
      <c r="E53" s="16">
        <f t="shared" si="15"/>
        <v>0.13483528270590653</v>
      </c>
      <c r="F53" s="15">
        <f>IF(A56=A57,_xll.ciqfunctions.udf.CIQ(A48,"IQ_DILUT_EPS_EXCL",IQ_FY-5), _xll.ciqfunctions.udf.CIQ(A48, "IQ_DILUT_EPS_EXCL",IQ_FY-4))</f>
        <v>4.1900000000000004</v>
      </c>
      <c r="G53" s="15">
        <f>IF(A56=A57,_xll.ciqfunctions.udf.CIQ(A48,"IQ_EBITDA_MARGIN",IQ_FY-5), _xll.ciqfunctions.udf.CIQ(A48, "IQ_EBITDA_MARGIN",IQ_FY-4))</f>
        <v>7.7145999999999999</v>
      </c>
      <c r="H53" s="15">
        <f>IF(A56=A57,_xll.ciqfunctions.udf.CIQ(A48,"IQ_TOTAL_DIV_PAID_CF",IQ_FY-5)/-I53, _xll.ciqfunctions.udf.CIQ(A48, "IQ_TOTAL_DIV_PAID_CF",IQ_FY-4)/-I53)</f>
        <v>0.94791757333101223</v>
      </c>
      <c r="I53" s="17">
        <f>IF(A56=A57,_xll.ciqfunctions.udf.CIQ(A48,"IQ_TOTAL_OUTSTANDING_FILING_DATE",IQ_FY-5), _xll.ciqfunctions.udf.CIQ(A48, "IQ_TOTAL_OUTSTANDING_FILING_DATE",IQ_FY-4))</f>
        <v>147.0592</v>
      </c>
      <c r="J53" s="17">
        <f>IF(A56=A57,_xll.ciqfunctions.udf.CIQ(A48,"IQ_CASH_OPER",IQ_FY-5), _xll.ciqfunctions.udf.CIQ(A48, "IQ_CASH_OPER",IQ_FY-4))</f>
        <v>905.9</v>
      </c>
      <c r="K53" s="17">
        <f>IF(A56=A57,_xll.ciqfunctions.udf.CIQ(A48,"IQ_CAPEX",IQ_FY-5), _xll.ciqfunctions.udf.CIQ(A48, "IQ_CAPEX",IQ_FY-4))</f>
        <v>-86.1</v>
      </c>
      <c r="L53" s="15">
        <f t="shared" si="12"/>
        <v>5.5746257289581331</v>
      </c>
      <c r="M53" s="17">
        <f>IF(A56=A57,_xll.ciqfunctions.udf.CIQ(A48,"IQ_TOTAL_DEBT_ISSUED",IQ_FY-5), _xll.ciqfunctions.udf.CIQ(A48, "IQ_TOTAL_DEBT_ISSUED",IQ_FY-4))</f>
        <v>686.7</v>
      </c>
      <c r="N53" s="17">
        <f>IF(A56=A57,_xll.ciqfunctions.udf.CIQ(A48,"IQ_TOTAL_DEBT_REPAID",IQ_FY-5), _xll.ciqfunctions.udf.CIQ(A48, "IQ_TOTAL_DEBT_REPAID",IQ_FY-4))</f>
        <v>-754.1</v>
      </c>
      <c r="O53" s="15">
        <f t="shared" si="13"/>
        <v>-0.45831882670380347</v>
      </c>
      <c r="P53" s="15">
        <f t="shared" si="14"/>
        <v>5.1163069022543297</v>
      </c>
      <c r="Q53" s="25" t="s">
        <v>27</v>
      </c>
      <c r="R53" s="38" t="s">
        <v>51</v>
      </c>
      <c r="S53" s="4">
        <f>AVERAGE(F53:F58)/AVERAGE(D53:D58)</f>
        <v>4.3972497277866611E-2</v>
      </c>
      <c r="U53" s="25" t="s">
        <v>58</v>
      </c>
      <c r="V53" s="38" t="s">
        <v>51</v>
      </c>
      <c r="W53" s="4">
        <f>AVERAGE(F53:F58)/AVERAGE(D53:D58)</f>
        <v>4.3972497277866611E-2</v>
      </c>
      <c r="Y53" s="25" t="s">
        <v>56</v>
      </c>
      <c r="Z53" s="38" t="s">
        <v>51</v>
      </c>
      <c r="AA53" s="4">
        <f>AVERAGE(F53:F58)/AVERAGE(D53:D58)</f>
        <v>4.3972497277866611E-2</v>
      </c>
    </row>
    <row r="54" spans="1:27">
      <c r="A54" s="18"/>
      <c r="B54" s="13">
        <v>7</v>
      </c>
      <c r="C54" s="14" t="s">
        <v>28</v>
      </c>
      <c r="D54" s="15" cm="1">
        <f t="array" ref="D54">_xlfn.SINGLE(IF(A56=A57,_xll.ciqfunctions.udf.CIQ(A48,"IQ_TOTAL_REV",IQ_FY-4)/I54, _xll.ciqfunctions.udf.CIQ(A48, "IQ_TOTAL_REV",IQ_FY-3)/I54))</f>
        <v>126.30248297384762</v>
      </c>
      <c r="E54" s="16">
        <f t="shared" si="15"/>
        <v>0.14368043497106942</v>
      </c>
      <c r="F54" s="15">
        <f>IF(A56=A57,_xll.ciqfunctions.udf.CIQ(A48,"IQ_DILUT_EPS_EXCL",IQ_FY-4), _xll.ciqfunctions.udf.CIQ(A48, "IQ_DILUT_EPS_EXCL",IQ_FY-3))</f>
        <v>4.99</v>
      </c>
      <c r="G54" s="15">
        <f>IF(A56=A57,_xll.ciqfunctions.udf.CIQ(A48,"IQ_EBITDA_MARGIN",IQ_FY-4), _xll.ciqfunctions.udf.CIQ(A48, "IQ_EBITDA_MARGIN",IQ_FY-3))</f>
        <v>7.7675999999999998</v>
      </c>
      <c r="H54" s="15">
        <f>IF(A56=A57,_xll.ciqfunctions.udf.CIQ(A48,"IQ_TOTAL_DIV_PAID_CF",IQ_FY-4)/-I54, _xll.ciqfunctions.udf.CIQ(A48, "IQ_TOTAL_DIV_PAID_CF",IQ_FY-3)/-I54)</f>
        <v>1.2845697398795308</v>
      </c>
      <c r="I54" s="17">
        <f>IF(A56=A57,_xll.ciqfunctions.udf.CIQ(A48,"IQ_TOTAL_OUTSTANDING_FILING_DATE",IQ_FY-4), _xll.ciqfunctions.udf.CIQ(A48, "IQ_TOTAL_OUTSTANDING_FILING_DATE",IQ_FY-3))</f>
        <v>142.77153999999999</v>
      </c>
      <c r="J54" s="17">
        <f>IF(A56=A57,_xll.ciqfunctions.udf.CIQ(A48,"IQ_CASH_OPER",IQ_FY-4), _xll.ciqfunctions.udf.CIQ(A48, "IQ_CASH_OPER",IQ_FY-3))</f>
        <v>1027.2</v>
      </c>
      <c r="K54" s="17">
        <f>IF(A56=A57,_xll.ciqfunctions.udf.CIQ(A48,"IQ_CAPEX",IQ_FY-4), _xll.ciqfunctions.udf.CIQ(A48, "IQ_CAPEX",IQ_FY-3))</f>
        <v>-236.3</v>
      </c>
      <c r="L54" s="15">
        <f t="shared" si="12"/>
        <v>5.5396194507672902</v>
      </c>
      <c r="M54" s="17">
        <f>IF(A56=A57,_xll.ciqfunctions.udf.CIQ(A48,"IQ_TOTAL_DEBT_ISSUED",IQ_FY-4), _xll.ciqfunctions.udf.CIQ(A48, "IQ_TOTAL_DEBT_ISSUED",IQ_FY-3))</f>
        <v>3045.5</v>
      </c>
      <c r="N54" s="17">
        <f>IF(A56=A57,_xll.ciqfunctions.udf.CIQ(A48,"IQ_TOTAL_DEBT_REPAID",IQ_FY-4), _xll.ciqfunctions.udf.CIQ(A48, "IQ_TOTAL_DEBT_REPAID",IQ_FY-3))</f>
        <v>-2934.8</v>
      </c>
      <c r="O54" s="15">
        <f t="shared" si="13"/>
        <v>0.77536461398399026</v>
      </c>
      <c r="P54" s="15">
        <f t="shared" si="14"/>
        <v>6.3149840647512807</v>
      </c>
      <c r="Q54" s="18"/>
      <c r="R54" s="38" t="s">
        <v>29</v>
      </c>
      <c r="S54" s="4">
        <f>(AVERAGE(P53:P58)/_xlfn.STDEV.P(P53:P58))/(IF(A56=A57,(_xlfn.SINGLE(_xll.ciqfunctions.udf.CIQ(A48,"IQ_total_assets",IQ_FY)) - _xlfn.SINGLE(_xll.ciqfunctions.udf.CIQ(A48,"iq_gw_intan", IQ_FY)))/I58, (_xlfn.SINGLE(_xll.ciqfunctions.udf.CIQ(A48, "IQ_total_assets",IQ_LTM))-_xlfn.SINGLE(_xll.ciqfunctions.udf.CIQ(A48,"iq_gw_intan",IQ_LTM)))/I58))</f>
        <v>2.534975004208179E-2</v>
      </c>
      <c r="U54" s="18"/>
      <c r="V54" s="38" t="s">
        <v>29</v>
      </c>
      <c r="W54" s="4">
        <f>(AVERAGE(P53:P58)/_xlfn.STDEV.P(P53:P58))/(IF(A56=A57,(_xlfn.SINGLE(_xll.ciqfunctions.udf.CIQ(A48,"IQ_total_assets",IQ_FY)) - _xlfn.SINGLE(_xll.ciqfunctions.udf.CIQ(A48,"iq_gw_intan", IQ_FY)))/I58, (_xlfn.SINGLE(_xll.ciqfunctions.udf.CIQ(A48, "IQ_total_assets",IQ_LTM))-_xlfn.SINGLE(_xll.ciqfunctions.udf.CIQ(A48,"iq_gw_intan",IQ_LTM)))/I58))</f>
        <v>2.534975004208179E-2</v>
      </c>
      <c r="Y54" s="18"/>
      <c r="Z54" s="38" t="s">
        <v>29</v>
      </c>
      <c r="AA54" s="4">
        <f>(AVERAGE(P53:P58)/_xlfn.STDEV.P(P53:P58))/(IF(A56=A57,(_xlfn.SINGLE(_xll.ciqfunctions.udf.CIQ(A48,"IQ_total_assets",IQ_FY)) - _xlfn.SINGLE(_xll.ciqfunctions.udf.CIQ(A48,"iq_gw_intan", IQ_FY)))/I58, (_xlfn.SINGLE(_xll.ciqfunctions.udf.CIQ(A48, "IQ_total_assets",IQ_LTM))-_xlfn.SINGLE(_xll.ciqfunctions.udf.CIQ(A48,"iq_gw_intan",IQ_LTM)))/I58))</f>
        <v>2.534975004208179E-2</v>
      </c>
    </row>
    <row r="55" spans="1:27">
      <c r="A55" s="18"/>
      <c r="B55" s="13">
        <v>8</v>
      </c>
      <c r="C55" s="14" t="s">
        <v>30</v>
      </c>
      <c r="D55" s="15" cm="1">
        <f t="array" ref="D55">_xlfn.SINGLE(IF(A56=A57,_xll.ciqfunctions.udf.CIQ(A48,"IQ_TOTAL_REV",IQ_FY-3)/I55, _xll.ciqfunctions.udf.CIQ(A48, "IQ_TOTAL_REV",IQ_FY-2)/I55))</f>
        <v>130.98344505433323</v>
      </c>
      <c r="E55" s="16">
        <f t="shared" si="15"/>
        <v>3.706152064686536E-2</v>
      </c>
      <c r="F55" s="15">
        <f>IF(A56=A57,_xll.ciqfunctions.udf.CIQ(A48,"IQ_DILUT_EPS_EXCL",IQ_FY-3), _xll.ciqfunctions.udf.CIQ(A48, "IQ_DILUT_EPS_EXCL",IQ_FY-2))</f>
        <v>5.45</v>
      </c>
      <c r="G55" s="15">
        <f>IF(A56=A57,_xll.ciqfunctions.udf.CIQ(A48,"IQ_EBITDA_MARGIN",IQ_FY-3), _xll.ciqfunctions.udf.CIQ(A48, "IQ_EBITDA_MARGIN",IQ_FY-2))</f>
        <v>8.6898</v>
      </c>
      <c r="H55" s="15">
        <f>IF(A56=A57,_xll.ciqfunctions.udf.CIQ(A48,"IQ_TOTAL_DIV_PAID_CF",IQ_FY-3)/-I55, _xll.ciqfunctions.udf.CIQ(A48, "IQ_TOTAL_DIV_PAID_CF",IQ_FY-2)/-I55)</f>
        <v>1.5575451216424301</v>
      </c>
      <c r="I55" s="17">
        <f>IF(A56=A57,_xll.ciqfunctions.udf.CIQ(A48,"IQ_TOTAL_OUTSTANDING_FILING_DATE",IQ_FY-3), _xll.ciqfunctions.udf.CIQ(A48, "IQ_TOTAL_OUTSTANDING_FILING_DATE",IQ_FY-2))</f>
        <v>140.99109999999999</v>
      </c>
      <c r="J55" s="17">
        <f>IF(A56=A57,_xll.ciqfunctions.udf.CIQ(A48,"IQ_CASH_OPER",IQ_FY-3), _xll.ciqfunctions.udf.CIQ(A48, "IQ_CASH_OPER",IQ_FY-2))</f>
        <v>1314.3</v>
      </c>
      <c r="K55" s="17">
        <f>IF(A56=A57,_xll.ciqfunctions.udf.CIQ(A48,"IQ_CAPEX",IQ_FY-3), _xll.ciqfunctions.udf.CIQ(A48, "IQ_CAPEX",IQ_FY-2))</f>
        <v>-158</v>
      </c>
      <c r="L55" s="15">
        <f t="shared" si="12"/>
        <v>8.2012268859523765</v>
      </c>
      <c r="M55" s="17">
        <f>IF(A56=A57,_xll.ciqfunctions.udf.CIQ(A48,"IQ_TOTAL_DEBT_ISSUED",IQ_FY-3), _xll.ciqfunctions.udf.CIQ(A48, "IQ_TOTAL_DEBT_ISSUED",IQ_FY-2))</f>
        <v>2417</v>
      </c>
      <c r="N55" s="17">
        <f>IF(A56=A57,_xll.ciqfunctions.udf.CIQ(A48,"IQ_TOTAL_DEBT_REPAID",IQ_FY-3), _xll.ciqfunctions.udf.CIQ(A48, "IQ_TOTAL_DEBT_REPAID",IQ_FY-2))</f>
        <v>-1718.9</v>
      </c>
      <c r="O55" s="15">
        <f t="shared" si="13"/>
        <v>4.9513763634725878</v>
      </c>
      <c r="P55" s="15">
        <f t="shared" si="14"/>
        <v>13.152603249424963</v>
      </c>
      <c r="Q55" s="18"/>
      <c r="R55" s="39" t="s">
        <v>31</v>
      </c>
      <c r="S55" s="5">
        <f>IF(NOT(D48&gt;0),FALSE,SLOPE(G48:G58,B48:B58))</f>
        <v>0.2012518181818182</v>
      </c>
      <c r="U55" s="18"/>
      <c r="V55" s="39" t="s">
        <v>31</v>
      </c>
      <c r="W55" s="5">
        <f>IF(NOT(D48&gt;0),FALSE,SLOPE(G48:G58,B48:B58))</f>
        <v>0.2012518181818182</v>
      </c>
      <c r="Y55" s="18"/>
      <c r="Z55" s="39" t="s">
        <v>31</v>
      </c>
      <c r="AA55" s="5">
        <f>IF(NOT(L48&gt;0),FALSE,SLOPE(O48:O58,J48:J58))</f>
        <v>-7.7891869134232418E-4</v>
      </c>
    </row>
    <row r="56" spans="1:27">
      <c r="A56" s="19">
        <f>_xll.ciqfunctions.udf.CIQ(A48,"IQ_TOTAL_REV",IQ_FY)</f>
        <v>23748.7</v>
      </c>
      <c r="B56" s="13">
        <v>9</v>
      </c>
      <c r="C56" s="14" t="s">
        <v>32</v>
      </c>
      <c r="D56" s="15" cm="1">
        <f t="array" ref="D56">_xlfn.SINGLE(IF(A56=A57,_xll.ciqfunctions.udf.CIQ(A48,"IQ_TOTAL_REV",IQ_FY-2)/I56, _xll.ciqfunctions.udf.CIQ(A48, "IQ_TOTAL_REV",IQ_FY-1)/I56))</f>
        <v>154.29177350393306</v>
      </c>
      <c r="E56" s="16">
        <f t="shared" si="15"/>
        <v>0.17794865938921747</v>
      </c>
      <c r="F56" s="15">
        <f>IF(A56=A57,_xll.ciqfunctions.udf.CIQ(A48,"IQ_DILUT_EPS_EXCL",IQ_FY-2), _xll.ciqfunctions.udf.CIQ(A48, "IQ_DILUT_EPS_EXCL",IQ_FY-1))</f>
        <v>7.04</v>
      </c>
      <c r="G56" s="15">
        <f>IF(A56=A57,_xll.ciqfunctions.udf.CIQ(A48,"IQ_EBITDA_MARGIN",IQ_FY-2), _xll.ciqfunctions.udf.CIQ(A48, "IQ_EBITDA_MARGIN",IQ_FY-1))</f>
        <v>7.9943999999999997</v>
      </c>
      <c r="H56" s="15">
        <f>IF(A56=A57,_xll.ciqfunctions.udf.CIQ(A48,"IQ_TOTAL_DIV_PAID_CF",IQ_FY-2)/-I56, _xll.ciqfunctions.udf.CIQ(A48, "IQ_TOTAL_DIV_PAID_CF",IQ_FY-1)/-I56)</f>
        <v>1.7399767741260415</v>
      </c>
      <c r="I56" s="17">
        <f>IF(A56=A57,_xll.ciqfunctions.udf.CIQ(A48,"IQ_TOTAL_OUTSTANDING_FILING_DATE",IQ_FY-2), _xll.ciqfunctions.udf.CIQ(A48, "IQ_TOTAL_OUTSTANDING_FILING_DATE",IQ_FY-1))</f>
        <v>134.94433000000001</v>
      </c>
      <c r="J56" s="17">
        <f>IF(A56=A57,_xll.ciqfunctions.udf.CIQ(A48,"IQ_CASH_OPER",IQ_FY-2), _xll.ciqfunctions.udf.CIQ(A48, "IQ_CASH_OPER",IQ_FY-1))</f>
        <v>784.6</v>
      </c>
      <c r="K56" s="17">
        <f>IF(A56=A57,_xll.ciqfunctions.udf.CIQ(A48,"IQ_CAPEX",IQ_FY-2), _xll.ciqfunctions.udf.CIQ(A48, "IQ_CAPEX",IQ_FY-1))</f>
        <v>-100</v>
      </c>
      <c r="L56" s="15">
        <f t="shared" si="12"/>
        <v>5.0732031497729473</v>
      </c>
      <c r="M56" s="17">
        <f>IF(A56=A57,_xll.ciqfunctions.udf.CIQ(A48,"IQ_TOTAL_DEBT_ISSUED",IQ_FY-2), _xll.ciqfunctions.udf.CIQ(A48, "IQ_TOTAL_DEBT_ISSUED",IQ_FY-1))</f>
        <v>5537.2</v>
      </c>
      <c r="N56" s="17">
        <f>IF(A56=A57,_xll.ciqfunctions.udf.CIQ(A48,"IQ_TOTAL_DEBT_REPAID",IQ_FY-2), _xll.ciqfunctions.udf.CIQ(A48, "IQ_TOTAL_DEBT_REPAID",IQ_FY-1))</f>
        <v>-2958.5</v>
      </c>
      <c r="O56" s="15">
        <f t="shared" si="13"/>
        <v>19.109361616008613</v>
      </c>
      <c r="P56" s="15">
        <f t="shared" si="14"/>
        <v>24.18256476578156</v>
      </c>
      <c r="Q56" s="25" t="s">
        <v>33</v>
      </c>
      <c r="R56" s="38" t="s">
        <v>52</v>
      </c>
      <c r="S56" s="4">
        <f>(AVERAGE(O53:O58)/AVERAGE(P53:P58))</f>
        <v>0.27719599298626607</v>
      </c>
      <c r="U56" s="25" t="s">
        <v>54</v>
      </c>
      <c r="V56" s="38" t="s">
        <v>52</v>
      </c>
      <c r="W56" s="4">
        <f>(AVERAGE(O53:O58)/AVERAGE(P53:P58))</f>
        <v>0.27719599298626607</v>
      </c>
      <c r="Y56" s="25" t="s">
        <v>60</v>
      </c>
      <c r="Z56" s="38" t="s">
        <v>52</v>
      </c>
      <c r="AA56" s="4">
        <f>(AVERAGE(O53:O58)/AVERAGE(P53:P58))</f>
        <v>0.27719599298626607</v>
      </c>
    </row>
    <row r="57" spans="1:27">
      <c r="A57" s="19">
        <f>_xll.ciqfunctions.udf.CIQ(A48,"IQ_TOTAL_REV",IQ_LTM)</f>
        <v>21795.8</v>
      </c>
      <c r="B57" s="13">
        <v>10</v>
      </c>
      <c r="C57" s="14" t="s">
        <v>34</v>
      </c>
      <c r="D57" s="15" cm="1">
        <f t="array" ref="D57">_xlfn.SINGLE(IF(A56=A57,_xll.ciqfunctions.udf.CIQ(A48,"IQ_TOTAL_REV",IQ_FY-1)/I57, _xll.ciqfunctions.udf.CIQ(A48, "IQ_TOTAL_REV",IQ_FY)/I57))</f>
        <v>175.14880719714415</v>
      </c>
      <c r="E57" s="16">
        <f t="shared" si="15"/>
        <v>0.13517916878879757</v>
      </c>
      <c r="F57" s="15">
        <f>IF(A56=A57,_xll.ciqfunctions.udf.CIQ(A48,"IQ_DILUT_EPS_EXCL",IQ_FY-1), _xll.ciqfunctions.udf.CIQ(A48, "IQ_DILUT_EPS_EXCL",IQ_FY))</f>
        <v>8.1300000000000008</v>
      </c>
      <c r="G57" s="15">
        <f>IF(A56=A57,_xll.ciqfunctions.udf.CIQ(A48,"IQ_EBITDA_MARGIN",IQ_FY-1), _xll.ciqfunctions.udf.CIQ(A48, "IQ_EBITDA_MARGIN",IQ_FY))</f>
        <v>8.7334999999999994</v>
      </c>
      <c r="H57" s="15">
        <f>IF(A56=A57,_xll.ciqfunctions.udf.CIQ(A48,"IQ_TOTAL_DIV_PAID_CF",IQ_FY-1)/-I57, _xll.ciqfunctions.udf.CIQ(A48, "IQ_TOTAL_DIV_PAID_CF",IQ_FY)/-I57)</f>
        <v>2.0842005210353802</v>
      </c>
      <c r="I57" s="17">
        <f>IF(A56=A57,_xll.ciqfunctions.udf.CIQ(A48,"IQ_TOTAL_OUTSTANDING_FILING_DATE",IQ_FY-1), _xll.ciqfunctions.udf.CIQ(A48, "IQ_TOTAL_OUTSTANDING_FILING_DATE",IQ_FY))</f>
        <v>135.59155999999999</v>
      </c>
      <c r="J57" s="17">
        <f>IF(A56=A57,_xll.ciqfunctions.udf.CIQ(A48,"IQ_CASH_OPER",IQ_FY-1), _xll.ciqfunctions.udf.CIQ(A48, "IQ_CASH_OPER",IQ_FY))</f>
        <v>1335.9</v>
      </c>
      <c r="K57" s="17">
        <f>IF(A56=A57,_xll.ciqfunctions.udf.CIQ(A48,"IQ_CAPEX",IQ_FY-1), _xll.ciqfunctions.udf.CIQ(A48, "IQ_CAPEX",IQ_FY))</f>
        <v>-127.8</v>
      </c>
      <c r="L57" s="15">
        <f t="shared" si="12"/>
        <v>8.9098466010716315</v>
      </c>
      <c r="M57" s="17">
        <f>IF(A56=A57,_xll.ciqfunctions.udf.CIQ(A48,"IQ_TOTAL_DEBT_ISSUED",IQ_FY-1), _xll.ciqfunctions.udf.CIQ(A48, "IQ_TOTAL_DEBT_ISSUED",IQ_FY))</f>
        <v>2386</v>
      </c>
      <c r="N57" s="17">
        <f>IF(A56=A57,_xll.ciqfunctions.udf.CIQ(A48,"IQ_TOTAL_DEBT_REPAID",IQ_FY-1), _xll.ciqfunctions.udf.CIQ(A48, "IQ_TOTAL_DEBT_REPAID",IQ_FY))</f>
        <v>-3235.5</v>
      </c>
      <c r="O57" s="15">
        <f t="shared" si="13"/>
        <v>-6.2651392166297084</v>
      </c>
      <c r="P57" s="15">
        <f t="shared" si="14"/>
        <v>2.6447073844419231</v>
      </c>
      <c r="Q57" s="25" t="s">
        <v>44</v>
      </c>
      <c r="R57" s="38" t="s">
        <v>35</v>
      </c>
      <c r="S57" s="1">
        <f>_xll.ciqfunctions.udf.CIQ(A48,"IQ_TEV_EBITDA")</f>
        <v>16.808409999999999</v>
      </c>
      <c r="U57" s="25" t="s">
        <v>55</v>
      </c>
      <c r="V57" s="38" t="s">
        <v>53</v>
      </c>
      <c r="W57" s="1">
        <f>V47/(AVERAGE(D53:D58)/_xlfn.STDEV.P(E53:E58))</f>
        <v>0.1279643434556694</v>
      </c>
      <c r="Y57" s="25" t="s">
        <v>57</v>
      </c>
      <c r="Z57" s="38" t="s">
        <v>53</v>
      </c>
      <c r="AA57" s="1">
        <f>Z47/(AVERAGE(D53:D58)/_xlfn.STDEV.P(E53:E58))</f>
        <v>0.1279643434556694</v>
      </c>
    </row>
    <row r="58" spans="1:27">
      <c r="B58" s="13">
        <v>11</v>
      </c>
      <c r="C58" s="20" t="s">
        <v>36</v>
      </c>
      <c r="D58" s="21" cm="1">
        <f t="array" ref="D58">_xlfn.SINGLE(IF(A56=A57,_xll.ciqfunctions.udf.CIQ(A48,"IQ_TOTAL_REV",IQ_FY)/I58, _xll.ciqfunctions.udf.CIQ(A48, "IQ_TOTAL_REV",IQ_LTM)/I58))</f>
        <v>162.70334278712426</v>
      </c>
      <c r="E58" s="22">
        <f t="shared" si="15"/>
        <v>-7.1056518221169027E-2</v>
      </c>
      <c r="F58" s="21">
        <f>IF(A56=A57,_xll.ciqfunctions.udf.CIQ(A48,"IQ_DILUT_EPS_EXCL",IQ_FY), _xll.ciqfunctions.udf.CIQ(A48, "IQ_DILUT_EPS_EXCL",IQ_LTM))</f>
        <v>8.0104100000000003</v>
      </c>
      <c r="G58" s="21">
        <f>IF(A56=A57,_xll.ciqfunctions.udf.CIQ(A48,"IQ_EBITDA_MARGIN",IQ_FY), _xll.ciqfunctions.udf.CIQ(A48, "IQ_EBITDA_MARGIN",IQ_LTM))</f>
        <v>9.2490000000000006</v>
      </c>
      <c r="H58" s="21">
        <f>IF(A56=A57,_xll.ciqfunctions.udf.CIQ(A48,"IQ_TOTAL_DIV_PAID_CF",IQ_FY)/-I58, _xll.ciqfunctions.udf.CIQ(A48, "IQ_TOTAL_DIV_PAID_CF",IQ_LTM)/-I58)</f>
        <v>2.3760758498950101</v>
      </c>
      <c r="I58" s="23">
        <f>IF(A56=A57,_xll.ciqfunctions.udf.CIQ(A48,"IQ_TOTAL_OUTSTANDING_FILING_DATE",IQ_FY),_xll.ciqfunctions.udf.CIQ(A48,"IQ_sharesoutstanding"))</f>
        <v>133.96037000000001</v>
      </c>
      <c r="J58" s="23">
        <f>IF(A56=A57,_xll.ciqfunctions.udf.CIQ(A48,"IQ_CASH_OPER",IQ_FY), _xll.ciqfunctions.udf.CIQ(A48, "IQ_CASH_OPER",IQ_LTM))</f>
        <v>1304.0999999999999</v>
      </c>
      <c r="K58" s="23">
        <f>IF(A56=A57,_xll.ciqfunctions.udf.CIQ(A48,"IQ_CAPEX",IQ_FY), _xll.ciqfunctions.udf.CIQ(A48, "IQ_CAPEX",IQ_LTM))</f>
        <v>-145.30000000000001</v>
      </c>
      <c r="L58" s="21">
        <f t="shared" si="12"/>
        <v>8.6503194937428134</v>
      </c>
      <c r="M58" s="23">
        <f>IF(A56=A57,_xll.ciqfunctions.udf.CIQ(A48,"IQ_TOTAL_DEBT_ISSUED",IQ_FY), _xll.ciqfunctions.udf.CIQ(A48, "IQ_TOTAL_DEBT_ISSUED",IQ_LTM))</f>
        <v>857.8</v>
      </c>
      <c r="N58" s="23">
        <f>IF(A56=A57,_xll.ciqfunctions.udf.CIQ(A48,"IQ_TOTAL_DEBT_REPAID",IQ_FY), _xll.ciqfunctions.udf.CIQ(A48, "IQ_TOTAL_DEBT_REPAID",IQ_LTM))</f>
        <v>-1129.0999999999999</v>
      </c>
      <c r="O58" s="21">
        <f t="shared" si="13"/>
        <v>-2.0252258186506946</v>
      </c>
      <c r="P58" s="21">
        <f t="shared" si="14"/>
        <v>6.6250936750921188</v>
      </c>
      <c r="Q58" s="25" t="s">
        <v>45</v>
      </c>
      <c r="S58" s="45"/>
      <c r="U58" s="25"/>
      <c r="W58" s="45"/>
      <c r="Y58" s="25"/>
      <c r="AA58" s="45"/>
    </row>
    <row r="59" spans="1:27">
      <c r="B59" s="24"/>
      <c r="C59" s="25" t="s">
        <v>37</v>
      </c>
      <c r="E59" s="26">
        <f>((D58/D53)^(1/5))-1</f>
        <v>8.0582315685509665E-2</v>
      </c>
      <c r="F59" s="27">
        <f>((F58/F53)^(1/5))-1</f>
        <v>0.13838232599593137</v>
      </c>
      <c r="G59" s="28"/>
      <c r="H59" s="27">
        <f>((H58/H53)^(1/5))-1</f>
        <v>0.2017605547421335</v>
      </c>
      <c r="I59" s="27">
        <f>((I58/I53)^(1/5))-1</f>
        <v>-1.8485255899902575E-2</v>
      </c>
      <c r="J59" s="27"/>
      <c r="K59" s="27"/>
      <c r="L59" s="26">
        <f>((L58/L53)^(1/5))-1</f>
        <v>9.1850774870902985E-2</v>
      </c>
      <c r="M59" s="26"/>
      <c r="N59" s="26"/>
      <c r="O59" s="26"/>
      <c r="P59" s="26">
        <f>((P58/P53)^(1/5))-1</f>
        <v>5.3045380016946808E-2</v>
      </c>
      <c r="Q59" s="18"/>
      <c r="R59" s="36"/>
      <c r="S59" s="45"/>
      <c r="U59" s="18"/>
      <c r="V59" s="36"/>
      <c r="W59" s="45"/>
      <c r="Y59" s="18"/>
      <c r="Z59" s="36"/>
      <c r="AA59" s="45"/>
    </row>
    <row r="60" spans="1:27">
      <c r="A60" s="29"/>
      <c r="B60" s="30"/>
      <c r="C60" s="31" t="s">
        <v>38</v>
      </c>
      <c r="D60" s="29"/>
      <c r="E60" s="32">
        <f>((D58/D48)^(1/10))-1</f>
        <v>0.10018323326367073</v>
      </c>
      <c r="F60" s="33">
        <f>((F58/F48)^(1/10))-1</f>
        <v>0.25296097890390734</v>
      </c>
      <c r="G60" s="34"/>
      <c r="H60" s="33">
        <f>((H58/H48)^(1/10))-1</f>
        <v>0.4955297028451171</v>
      </c>
      <c r="I60" s="33">
        <f>((I58/I48)^(1/10))-1</f>
        <v>-2.4659327927016528E-2</v>
      </c>
      <c r="J60" s="33"/>
      <c r="K60" s="33"/>
      <c r="L60" s="32">
        <f>((L58/L48)^(1/10))-1</f>
        <v>0.16637506207255726</v>
      </c>
      <c r="M60" s="32"/>
      <c r="N60" s="32"/>
      <c r="O60" s="32"/>
      <c r="P60" s="32" t="e">
        <f>((P58/P48)^(1/10))-1</f>
        <v>#NUM!</v>
      </c>
      <c r="Q60" s="40"/>
      <c r="R60" s="41"/>
      <c r="S60" s="46"/>
      <c r="U60" s="40"/>
      <c r="V60" s="41"/>
      <c r="W60" s="46"/>
      <c r="Y60" s="40"/>
      <c r="Z60" s="41"/>
      <c r="AA60" s="46"/>
    </row>
    <row r="61" spans="1:27">
      <c r="B61" s="24"/>
      <c r="C61" s="25"/>
      <c r="E61" s="26"/>
      <c r="F61" s="27"/>
      <c r="G61" s="28"/>
      <c r="H61" s="27"/>
      <c r="I61" s="27"/>
      <c r="J61" s="27"/>
      <c r="K61" s="27"/>
      <c r="L61" s="26"/>
      <c r="M61" s="17"/>
      <c r="N61" s="17"/>
      <c r="O61" s="17"/>
      <c r="P61" s="35"/>
      <c r="Q61" s="18"/>
      <c r="R61" s="36"/>
    </row>
    <row r="62" spans="1:27">
      <c r="A62" s="9" t="s">
        <v>0</v>
      </c>
      <c r="B62" s="10"/>
      <c r="C62" s="9" t="s">
        <v>1</v>
      </c>
      <c r="D62" s="9" t="s">
        <v>2</v>
      </c>
      <c r="E62" s="9" t="s">
        <v>3</v>
      </c>
      <c r="F62" s="11" t="s">
        <v>4</v>
      </c>
      <c r="G62" s="11" t="s">
        <v>5</v>
      </c>
      <c r="H62" s="9" t="s">
        <v>6</v>
      </c>
      <c r="I62" s="11" t="s">
        <v>7</v>
      </c>
      <c r="J62" s="11" t="s">
        <v>8</v>
      </c>
      <c r="K62" s="11" t="s">
        <v>9</v>
      </c>
      <c r="L62" s="11" t="s">
        <v>10</v>
      </c>
      <c r="M62" s="11" t="s">
        <v>11</v>
      </c>
      <c r="N62" s="11" t="s">
        <v>12</v>
      </c>
      <c r="O62" s="11" t="s">
        <v>13</v>
      </c>
      <c r="P62" s="11" t="s">
        <v>14</v>
      </c>
      <c r="Q62" s="37" t="s">
        <v>15</v>
      </c>
      <c r="R62" s="42">
        <f>_xll.ciqfunctions.udf.CIQ(A63,("IQ_LASTSALEPRICE"))</f>
        <v>90.295000000000002</v>
      </c>
      <c r="S62" s="44"/>
      <c r="U62" s="37" t="s">
        <v>15</v>
      </c>
      <c r="V62" s="42">
        <f>_xll.ciqfunctions.udf.CIQ(A63,("IQ_LASTSALEPRICE"))</f>
        <v>90.295000000000002</v>
      </c>
      <c r="W62" s="44"/>
      <c r="Y62" s="37" t="s">
        <v>15</v>
      </c>
      <c r="Z62" s="42">
        <f>_xll.ciqfunctions.udf.CIQ(A63,("IQ_LASTSALEPRICE"))</f>
        <v>90.295000000000002</v>
      </c>
      <c r="AA62" s="44"/>
    </row>
    <row r="63" spans="1:27">
      <c r="A63" s="12" t="str">
        <f>Analysis!B6</f>
        <v>NYSE:APH</v>
      </c>
      <c r="B63" s="13">
        <v>1</v>
      </c>
      <c r="C63" s="14" t="s">
        <v>16</v>
      </c>
      <c r="D63" s="15">
        <f>IF(A71=A72,_xll.ciqfunctions.udf.CIQ(A63,"IQ_TOTAL_REV",IQ_FY-10)/I63,_xll.ciqfunctions.udf.CIQ(A63, "IQ_TOTAL_REV",IQ_FY-9)/I63)</f>
        <v>7.2925317234295601</v>
      </c>
      <c r="E63" s="16"/>
      <c r="F63" s="15">
        <f>IF(A71=A72,_xll.ciqfunctions.udf.CIQ(A63,"IQ_DILUT_EPS_EXCL",IQ_FY-10), _xll.ciqfunctions.udf.CIQ(A63, "IQ_DILUT_EPS_EXCL",IQ_FY-9))</f>
        <v>0.98</v>
      </c>
      <c r="G63" s="15">
        <f>IF(A71=A72,_xll.ciqfunctions.udf.CIQ(A63,"IQ_EBITDA_MARGIN",IQ_FY-10), _xll.ciqfunctions.udf.CIQ(A63, "IQ_EBITDA_MARGIN",IQ_FY-9))</f>
        <v>22.5215</v>
      </c>
      <c r="H63" s="15">
        <f>IF(A71=A72,_xll.ciqfunctions.udf.CIQ(A63,"IQ_TOTAL_DIV_PAID_CF",IQ_FY-10)/-I63, _xll.ciqfunctions.udf.CIQ(A63, "IQ_TOTAL_DIV_PAID_CF",IQ_FY-9)/-I63)</f>
        <v>0.15297138943549557</v>
      </c>
      <c r="I63" s="17">
        <f>IF(A71=A72,_xll.ciqfunctions.udf.CIQ(A63,"IQ_TOTAL_OUTSTANDING_FILING_DATE",IQ_FY-10), _xll.ciqfunctions.udf.CIQ(A63, "IQ_TOTAL_OUTSTANDING_FILING_DATE",IQ_FY-9))</f>
        <v>632.79807000000005</v>
      </c>
      <c r="J63" s="17">
        <f>IF(A71=A72,_xll.ciqfunctions.udf.CIQ(A63,"IQ_CASH_OPER",IQ_FY-10), _xll.ciqfunctions.udf.CIQ(A63, "IQ_CASH_OPER",IQ_FY-9))</f>
        <v>769.1</v>
      </c>
      <c r="K63" s="17">
        <f>IF(A71=A72,_xll.ciqfunctions.udf.CIQ(A63,"IQ_CAPEX",IQ_FY-10), _xll.ciqfunctions.udf.CIQ(A63, "IQ_CAPEX",IQ_FY-9))</f>
        <v>-158.4</v>
      </c>
      <c r="L63" s="15">
        <f t="shared" ref="L63:L73" si="16">(J63+K63)/I63</f>
        <v>0.96507879677951613</v>
      </c>
      <c r="M63" s="17">
        <f>IF(A71=A72,_xll.ciqfunctions.udf.CIQ(A63,"IQ_TOTAL_DEBT_ISSUED",IQ_FY-10), _xll.ciqfunctions.udf.CIQ(A63, "IQ_TOTAL_DEBT_ISSUED",IQ_FY-9))</f>
        <v>1041.4000000000001</v>
      </c>
      <c r="N63" s="17">
        <f>IF(A71=A72,_xll.ciqfunctions.udf.CIQ(A63,"IQ_TOTAL_DEBT_REPAID",IQ_FY-10), _xll.ciqfunctions.udf.CIQ(A63, "IQ_TOTAL_DEBT_REPAID",IQ_FY-9))</f>
        <v>-620.29999999999995</v>
      </c>
      <c r="O63" s="15">
        <f t="shared" ref="O63:O73" si="17">(M63+N63)/I63</f>
        <v>0.66545714970338021</v>
      </c>
      <c r="P63" s="15">
        <f t="shared" ref="P63:P73" si="18">L63+O63</f>
        <v>1.6305359464828963</v>
      </c>
      <c r="W63" s="43"/>
      <c r="AA63" s="43"/>
    </row>
    <row r="64" spans="1:27">
      <c r="A64" s="18" t="str">
        <f>_xll.ciqfunctions.udf.CIQ(A63,"IQ_COMPANY_NAME")</f>
        <v>Amphenol Corporation</v>
      </c>
      <c r="B64" s="13">
        <v>2</v>
      </c>
      <c r="C64" s="14" t="s">
        <v>17</v>
      </c>
      <c r="D64" s="15">
        <f>IF(A71=A72,_xll.ciqfunctions.udf.CIQ(A63,"IQ_TOTAL_REV",IQ_FY-9)/I64, _xll.ciqfunctions.udf.CIQ(A63, "IQ_TOTAL_REV",IQ_FY-8)/I64)</f>
        <v>8.6163375624928271</v>
      </c>
      <c r="E64" s="16">
        <f t="shared" ref="E64:E73" si="19">(D64-D63)/D63</f>
        <v>0.18152897913493099</v>
      </c>
      <c r="F64" s="15">
        <f>IF(A71=A72,_xll.ciqfunctions.udf.CIQ(A63,"IQ_DILUT_EPS_EXCL",IQ_FY-9), _xll.ciqfunctions.udf.CIQ(A63, "IQ_DILUT_EPS_EXCL",IQ_FY-8))</f>
        <v>1.105</v>
      </c>
      <c r="G64" s="15">
        <f>IF(A71=A72,_xll.ciqfunctions.udf.CIQ(A63,"IQ_EBITDA_MARGIN",IQ_FY-9), _xll.ciqfunctions.udf.CIQ(A63, "IQ_EBITDA_MARGIN",IQ_FY-8))</f>
        <v>22.763000000000002</v>
      </c>
      <c r="H64" s="15">
        <f>IF(A71=A72,_xll.ciqfunctions.udf.CIQ(A63,"IQ_TOTAL_DIV_PAID_CF",IQ_FY-9)/-I64, _xll.ciqfunctions.udf.CIQ(A63, "IQ_TOTAL_DIV_PAID_CF",IQ_FY-8)/-I64)</f>
        <v>0.16425120149995681</v>
      </c>
      <c r="I64" s="17">
        <f>IF(A71=A72,_xll.ciqfunctions.udf.CIQ(A63,"IQ_TOTAL_OUTSTANDING_FILING_DATE",IQ_FY-9), _xll.ciqfunctions.udf.CIQ(A63, "IQ_TOTAL_OUTSTANDING_FILING_DATE",IQ_FY-8))</f>
        <v>620.39120000000003</v>
      </c>
      <c r="J64" s="17">
        <f>IF(A71=A72,_xll.ciqfunctions.udf.CIQ(A63,"IQ_CASH_OPER",IQ_FY-9), _xll.ciqfunctions.udf.CIQ(A63, "IQ_CASH_OPER",IQ_FY-8))</f>
        <v>880.9</v>
      </c>
      <c r="K64" s="17">
        <f>IF(A71=A72,_xll.ciqfunctions.udf.CIQ(A63,"IQ_CAPEX",IQ_FY-9), _xll.ciqfunctions.udf.CIQ(A63, "IQ_CAPEX",IQ_FY-8))</f>
        <v>-209.1</v>
      </c>
      <c r="L64" s="15">
        <f t="shared" si="16"/>
        <v>1.0828651341282725</v>
      </c>
      <c r="M64" s="17">
        <f>IF(A71=A72,_xll.ciqfunctions.udf.CIQ(A63,"IQ_TOTAL_DEBT_ISSUED",IQ_FY-9), _xll.ciqfunctions.udf.CIQ(A63, "IQ_TOTAL_DEBT_ISSUED",IQ_FY-8))</f>
        <v>2890</v>
      </c>
      <c r="N64" s="17">
        <f>IF(A71=A72,_xll.ciqfunctions.udf.CIQ(A63,"IQ_TOTAL_DEBT_REPAID",IQ_FY-9), _xll.ciqfunctions.udf.CIQ(A63, "IQ_TOTAL_DEBT_REPAID",IQ_FY-8))</f>
        <v>-2350</v>
      </c>
      <c r="O64" s="15">
        <f t="shared" si="17"/>
        <v>0.87041853591733731</v>
      </c>
      <c r="P64" s="15">
        <f t="shared" si="18"/>
        <v>1.9532836700456098</v>
      </c>
      <c r="Q64" s="25" t="s">
        <v>18</v>
      </c>
      <c r="R64" s="39" t="s">
        <v>19</v>
      </c>
      <c r="S64" s="1">
        <f>R62/((AVERAGE(P68:P73))*(1+E74)^3)</f>
        <v>29.822239746116413</v>
      </c>
      <c r="U64" s="25" t="s">
        <v>48</v>
      </c>
      <c r="V64" s="39" t="s">
        <v>19</v>
      </c>
      <c r="W64" s="1">
        <f>V62/((AVERAGE(P68:P73))*(1+E74)^3)</f>
        <v>29.822239746116413</v>
      </c>
      <c r="Y64" s="25" t="s">
        <v>39</v>
      </c>
      <c r="Z64" s="39" t="s">
        <v>19</v>
      </c>
      <c r="AA64" s="1">
        <f>Z62/((AVERAGE(P68:P73))*(1+E74)^3)</f>
        <v>29.822239746116413</v>
      </c>
    </row>
    <row r="65" spans="1:27">
      <c r="B65" s="13">
        <v>3</v>
      </c>
      <c r="C65" s="14" t="s">
        <v>20</v>
      </c>
      <c r="D65" s="15" cm="1">
        <f t="array" ref="D65">_xlfn.SINGLE(IF(A71=A72,_xll.ciqfunctions.udf.CIQ(A63,"IQ_TOTAL_REV",IQ_FY-8)/I65, _xll.ciqfunctions.udf.CIQ(A63, "IQ_TOTAL_REV",IQ_FY-7)/I65))</f>
        <v>9.038980002715574</v>
      </c>
      <c r="E65" s="16">
        <f t="shared" si="19"/>
        <v>4.905128625212201E-2</v>
      </c>
      <c r="F65" s="15">
        <f>IF(A71=A72,_xll.ciqfunctions.udf.CIQ(A63,"IQ_DILUT_EPS_EXCL",IQ_FY-8), _xll.ciqfunctions.udf.CIQ(A63, "IQ_DILUT_EPS_EXCL",IQ_FY-7))</f>
        <v>1.2050000000000001</v>
      </c>
      <c r="G65" s="15">
        <f>IF(A71=A72,_xll.ciqfunctions.udf.CIQ(A63,"IQ_EBITDA_MARGIN",IQ_FY-8), _xll.ciqfunctions.udf.CIQ(A63, "IQ_EBITDA_MARGIN",IQ_FY-7))</f>
        <v>23.0215</v>
      </c>
      <c r="H65" s="15">
        <f>IF(A71=A72,_xll.ciqfunctions.udf.CIQ(A63,"IQ_TOTAL_DIV_PAID_CF",IQ_FY-8)/-I65, _xll.ciqfunctions.udf.CIQ(A63, "IQ_TOTAL_DIV_PAID_CF",IQ_FY-7)/-I65)</f>
        <v>0.25857193140815471</v>
      </c>
      <c r="I65" s="17">
        <f>IF(A71=A72,_xll.ciqfunctions.udf.CIQ(A63,"IQ_TOTAL_OUTSTANDING_FILING_DATE",IQ_FY-8), _xll.ciqfunctions.udf.CIQ(A63, "IQ_TOTAL_OUTSTANDING_FILING_DATE",IQ_FY-7))</f>
        <v>616.07614999999998</v>
      </c>
      <c r="J65" s="17">
        <f>IF(A71=A72,_xll.ciqfunctions.udf.CIQ(A63,"IQ_CASH_OPER",IQ_FY-8), _xll.ciqfunctions.udf.CIQ(A63, "IQ_CASH_OPER",IQ_FY-7))</f>
        <v>1030.5</v>
      </c>
      <c r="K65" s="17">
        <f>IF(A71=A72,_xll.ciqfunctions.udf.CIQ(A63,"IQ_CAPEX",IQ_FY-8), _xll.ciqfunctions.udf.CIQ(A63, "IQ_CAPEX",IQ_FY-7))</f>
        <v>-172.1</v>
      </c>
      <c r="L65" s="15">
        <f t="shared" si="16"/>
        <v>1.3933342493456369</v>
      </c>
      <c r="M65" s="17">
        <f>IF(A71=A72,_xll.ciqfunctions.udf.CIQ(A63,"IQ_TOTAL_DEBT_ISSUED",IQ_FY-8), _xll.ciqfunctions.udf.CIQ(A63, "IQ_TOTAL_DEBT_ISSUED",IQ_FY-7))</f>
        <v>371.3</v>
      </c>
      <c r="N65" s="17">
        <f>IF(A71=A72,_xll.ciqfunctions.udf.CIQ(A63,"IQ_TOTAL_DEBT_REPAID",IQ_FY-8), _xll.ciqfunctions.udf.CIQ(A63, "IQ_TOTAL_DEBT_REPAID",IQ_FY-7))</f>
        <v>-217.7</v>
      </c>
      <c r="O65" s="15">
        <f t="shared" si="17"/>
        <v>0.24931982840108324</v>
      </c>
      <c r="P65" s="15">
        <f t="shared" si="18"/>
        <v>1.64265407774672</v>
      </c>
      <c r="Q65" s="25" t="s">
        <v>21</v>
      </c>
      <c r="R65" s="38" t="s">
        <v>49</v>
      </c>
      <c r="S65" s="2">
        <f>(R62*I73)/1000</f>
        <v>54.024422217850002</v>
      </c>
      <c r="U65" s="25" t="s">
        <v>59</v>
      </c>
      <c r="V65" s="38" t="s">
        <v>49</v>
      </c>
      <c r="W65" s="2">
        <f>(V62*I73)/1000</f>
        <v>54.024422217850002</v>
      </c>
      <c r="Y65" s="25" t="s">
        <v>46</v>
      </c>
      <c r="Z65" s="38" t="s">
        <v>49</v>
      </c>
      <c r="AA65" s="2">
        <f>(Z62*I73)/1000</f>
        <v>54.024422217850002</v>
      </c>
    </row>
    <row r="66" spans="1:27">
      <c r="A66" s="18"/>
      <c r="B66" s="13">
        <v>4</v>
      </c>
      <c r="C66" s="14" t="s">
        <v>22</v>
      </c>
      <c r="D66" s="15" cm="1">
        <f t="array" ref="D66">_xlfn.SINGLE(IF(A71=A72,_xll.ciqfunctions.udf.CIQ(A63,"IQ_TOTAL_REV",IQ_FY-7)/I66, _xll.ciqfunctions.udf.CIQ(A63, "IQ_TOTAL_REV",IQ_FY-6)/I66))</f>
        <v>10.216328945250169</v>
      </c>
      <c r="E66" s="16">
        <f t="shared" si="19"/>
        <v>0.13025241146466576</v>
      </c>
      <c r="F66" s="15">
        <f>IF(A71=A72,_xll.ciqfunctions.udf.CIQ(A63,"IQ_DILUT_EPS_EXCL",IQ_FY-7), _xll.ciqfunctions.udf.CIQ(A63, "IQ_DILUT_EPS_EXCL",IQ_FY-6))</f>
        <v>1.3049999999999999</v>
      </c>
      <c r="G66" s="15">
        <f>IF(A71=A72,_xll.ciqfunctions.udf.CIQ(A63,"IQ_EBITDA_MARGIN",IQ_FY-7), _xll.ciqfunctions.udf.CIQ(A63, "IQ_EBITDA_MARGIN",IQ_FY-6))</f>
        <v>22.963799999999999</v>
      </c>
      <c r="H66" s="15">
        <f>IF(A71=A72,_xll.ciqfunctions.udf.CIQ(A63,"IQ_TOTAL_DIV_PAID_CF",IQ_FY-7)/-I66, _xll.ciqfunctions.udf.CIQ(A63, "IQ_TOTAL_DIV_PAID_CF",IQ_FY-6)/-I66)</f>
        <v>0.28066301998674981</v>
      </c>
      <c r="I66" s="17">
        <f>IF(A71=A72,_xll.ciqfunctions.udf.CIQ(A63,"IQ_TOTAL_OUTSTANDING_FILING_DATE",IQ_FY-7), _xll.ciqfunctions.udf.CIQ(A63, "IQ_TOTAL_OUTSTANDING_FILING_DATE",IQ_FY-6))</f>
        <v>615.32866000000001</v>
      </c>
      <c r="J66" s="17">
        <f>IF(A71=A72,_xll.ciqfunctions.udf.CIQ(A63,"IQ_CASH_OPER",IQ_FY-7), _xll.ciqfunctions.udf.CIQ(A63, "IQ_CASH_OPER",IQ_FY-6))</f>
        <v>1077.5999999999999</v>
      </c>
      <c r="K66" s="17">
        <f>IF(A71=A72,_xll.ciqfunctions.udf.CIQ(A63,"IQ_CAPEX",IQ_FY-7), _xll.ciqfunctions.udf.CIQ(A63, "IQ_CAPEX",IQ_FY-6))</f>
        <v>-190.8</v>
      </c>
      <c r="L66" s="15">
        <f t="shared" si="16"/>
        <v>1.4411810429892864</v>
      </c>
      <c r="M66" s="17">
        <f>IF(A71=A72,_xll.ciqfunctions.udf.CIQ(A63,"IQ_TOTAL_DEBT_ISSUED",IQ_FY-7), _xll.ciqfunctions.udf.CIQ(A63, "IQ_TOTAL_DEBT_ISSUED",IQ_FY-6))</f>
        <v>183.2</v>
      </c>
      <c r="N66" s="17">
        <f>IF(A71=A72,_xll.ciqfunctions.udf.CIQ(A63,"IQ_TOTAL_DEBT_REPAID",IQ_FY-7), _xll.ciqfunctions.udf.CIQ(A63, "IQ_TOTAL_DEBT_REPAID",IQ_FY-6))</f>
        <v>0</v>
      </c>
      <c r="O66" s="15">
        <f t="shared" si="17"/>
        <v>0.29772707157830092</v>
      </c>
      <c r="P66" s="15">
        <f t="shared" si="18"/>
        <v>1.7389081145675873</v>
      </c>
      <c r="Q66" s="25" t="s">
        <v>23</v>
      </c>
      <c r="R66" s="38" t="s">
        <v>24</v>
      </c>
      <c r="S66" s="1">
        <f>R62/(AVERAGE(H68:H73)*(1+H74)/(0.5-H74))</f>
        <v>47.240681660639545</v>
      </c>
      <c r="U66" s="25" t="s">
        <v>40</v>
      </c>
      <c r="V66" s="38" t="s">
        <v>24</v>
      </c>
      <c r="W66" s="1">
        <f>V62/(AVERAGE(H68:H73)*(1+H74)/(0.5-H74))</f>
        <v>47.240681660639545</v>
      </c>
      <c r="Y66" s="25" t="s">
        <v>47</v>
      </c>
      <c r="Z66" s="38" t="s">
        <v>24</v>
      </c>
      <c r="AA66" s="1">
        <f>Z62/(AVERAGE(H68:H73)*(1+H74)/(0.5-H74))</f>
        <v>47.240681660639545</v>
      </c>
    </row>
    <row r="67" spans="1:27">
      <c r="B67" s="13">
        <v>5</v>
      </c>
      <c r="C67" s="14" t="s">
        <v>25</v>
      </c>
      <c r="D67" s="15" cm="1">
        <f t="array" ref="D67">_xlfn.SINGLE(IF(A71=A72,_xll.ciqfunctions.udf.CIQ(A63,"IQ_TOTAL_REV",IQ_FY-6)/I67, _xll.ciqfunctions.udf.CIQ(A63, "IQ_TOTAL_REV",IQ_FY-5)/I67))</f>
        <v>11.475732033956106</v>
      </c>
      <c r="E67" s="16">
        <f t="shared" si="19"/>
        <v>0.12327354526808439</v>
      </c>
      <c r="F67" s="15">
        <f>IF(A71=A72,_xll.ciqfunctions.udf.CIQ(A63,"IQ_DILUT_EPS_EXCL",IQ_FY-6), _xll.ciqfunctions.udf.CIQ(A63, "IQ_DILUT_EPS_EXCL",IQ_FY-5))</f>
        <v>1.03</v>
      </c>
      <c r="G67" s="15">
        <f>IF(A71=A72,_xll.ciqfunctions.udf.CIQ(A63,"IQ_EBITDA_MARGIN",IQ_FY-6), _xll.ciqfunctions.udf.CIQ(A63, "IQ_EBITDA_MARGIN",IQ_FY-5))</f>
        <v>23.4407</v>
      </c>
      <c r="H67" s="15">
        <f>IF(A71=A72,_xll.ciqfunctions.udf.CIQ(A63,"IQ_TOTAL_DIV_PAID_CF",IQ_FY-6)/-I67, _xll.ciqfunctions.udf.CIQ(A63, "IQ_TOTAL_DIV_PAID_CF",IQ_FY-5)/-I67)</f>
        <v>0.3355333628515399</v>
      </c>
      <c r="I67" s="17">
        <f>IF(A71=A72,_xll.ciqfunctions.udf.CIQ(A63,"IQ_TOTAL_OUTSTANDING_FILING_DATE",IQ_FY-6), _xll.ciqfunctions.udf.CIQ(A63, "IQ_TOTAL_OUTSTANDING_FILING_DATE",IQ_FY-5))</f>
        <v>610.96756000000005</v>
      </c>
      <c r="J67" s="17">
        <f>IF(A71=A72,_xll.ciqfunctions.udf.CIQ(A63,"IQ_CASH_OPER",IQ_FY-6), _xll.ciqfunctions.udf.CIQ(A63, "IQ_CASH_OPER",IQ_FY-5))</f>
        <v>1144.2</v>
      </c>
      <c r="K67" s="17">
        <f>IF(A71=A72,_xll.ciqfunctions.udf.CIQ(A63,"IQ_CAPEX",IQ_FY-6), _xll.ciqfunctions.udf.CIQ(A63, "IQ_CAPEX",IQ_FY-5))</f>
        <v>-226.6</v>
      </c>
      <c r="L67" s="15">
        <f t="shared" si="16"/>
        <v>1.5018800670857222</v>
      </c>
      <c r="M67" s="17">
        <f>IF(A71=A72,_xll.ciqfunctions.udf.CIQ(A63,"IQ_TOTAL_DEBT_ISSUED",IQ_FY-6), _xll.ciqfunctions.udf.CIQ(A63, "IQ_TOTAL_DEBT_ISSUED",IQ_FY-5))</f>
        <v>903.4</v>
      </c>
      <c r="N67" s="17">
        <f>IF(A71=A72,_xll.ciqfunctions.udf.CIQ(A63,"IQ_TOTAL_DEBT_REPAID",IQ_FY-6), _xll.ciqfunctions.udf.CIQ(A63, "IQ_TOTAL_DEBT_REPAID",IQ_FY-5))</f>
        <v>-375</v>
      </c>
      <c r="O67" s="15">
        <f t="shared" si="17"/>
        <v>0.86485770210123747</v>
      </c>
      <c r="P67" s="15">
        <f t="shared" si="18"/>
        <v>2.3667377691869596</v>
      </c>
      <c r="Q67" s="18"/>
      <c r="R67" s="38" t="s">
        <v>50</v>
      </c>
      <c r="S67" s="3">
        <f>I74</f>
        <v>7.1548052162562215E-4</v>
      </c>
      <c r="U67" s="18"/>
      <c r="V67" s="38" t="s">
        <v>50</v>
      </c>
      <c r="W67" s="3">
        <f>I74</f>
        <v>7.1548052162562215E-4</v>
      </c>
      <c r="Y67" s="18"/>
      <c r="Z67" s="38" t="s">
        <v>50</v>
      </c>
      <c r="AA67" s="3">
        <f>I74</f>
        <v>7.1548052162562215E-4</v>
      </c>
    </row>
    <row r="68" spans="1:27">
      <c r="B68" s="13">
        <v>6</v>
      </c>
      <c r="C68" s="14" t="s">
        <v>26</v>
      </c>
      <c r="D68" s="15" cm="1">
        <f t="array" ref="D68">_xlfn.SINGLE(IF(A71=A72,_xll.ciqfunctions.udf.CIQ(A63,"IQ_TOTAL_REV",IQ_FY-5)/I68, _xll.ciqfunctions.udf.CIQ(A63, "IQ_TOTAL_REV",IQ_FY-4)/I68))</f>
        <v>13.757718756198898</v>
      </c>
      <c r="E68" s="16">
        <f t="shared" si="19"/>
        <v>0.19885325968665957</v>
      </c>
      <c r="F68" s="15">
        <f>IF(A71=A72,_xll.ciqfunctions.udf.CIQ(A63,"IQ_DILUT_EPS_EXCL",IQ_FY-5), _xll.ciqfunctions.udf.CIQ(A63, "IQ_DILUT_EPS_EXCL",IQ_FY-4))</f>
        <v>1.925</v>
      </c>
      <c r="G68" s="15">
        <f>IF(A71=A72,_xll.ciqfunctions.udf.CIQ(A63,"IQ_EBITDA_MARGIN",IQ_FY-5), _xll.ciqfunctions.udf.CIQ(A63, "IQ_EBITDA_MARGIN",IQ_FY-4))</f>
        <v>24.234300000000001</v>
      </c>
      <c r="H68" s="15">
        <f>IF(A71=A72,_xll.ciqfunctions.udf.CIQ(A63,"IQ_TOTAL_DIV_PAID_CF",IQ_FY-5)/-I68, _xll.ciqfunctions.udf.CIQ(A63, "IQ_TOTAL_DIV_PAID_CF",IQ_FY-4)/-I68)</f>
        <v>0.42554660429744701</v>
      </c>
      <c r="I68" s="17">
        <f>IF(A71=A72,_xll.ciqfunctions.udf.CIQ(A63,"IQ_TOTAL_OUTSTANDING_FILING_DATE",IQ_FY-5), _xll.ciqfunctions.udf.CIQ(A63, "IQ_TOTAL_OUTSTANDING_FILING_DATE",IQ_FY-4))</f>
        <v>596.17442000000005</v>
      </c>
      <c r="J68" s="17">
        <f>IF(A71=A72,_xll.ciqfunctions.udf.CIQ(A63,"IQ_CASH_OPER",IQ_FY-5), _xll.ciqfunctions.udf.CIQ(A63, "IQ_CASH_OPER",IQ_FY-4))</f>
        <v>1112.7</v>
      </c>
      <c r="K68" s="17">
        <f>IF(A71=A72,_xll.ciqfunctions.udf.CIQ(A63,"IQ_CAPEX",IQ_FY-5), _xll.ciqfunctions.udf.CIQ(A63, "IQ_CAPEX",IQ_FY-4))</f>
        <v>-310.60000000000002</v>
      </c>
      <c r="L68" s="15">
        <f t="shared" si="16"/>
        <v>1.3454116330586607</v>
      </c>
      <c r="M68" s="17">
        <f>IF(A71=A72,_xll.ciqfunctions.udf.CIQ(A63,"IQ_TOTAL_DEBT_ISSUED",IQ_FY-5), _xll.ciqfunctions.udf.CIQ(A63, "IQ_TOTAL_DEBT_ISSUED",IQ_FY-4))</f>
        <v>571.70000000000005</v>
      </c>
      <c r="N68" s="17">
        <f>IF(A71=A72,_xll.ciqfunctions.udf.CIQ(A63,"IQ_TOTAL_DEBT_REPAID",IQ_FY-5), _xll.ciqfunctions.udf.CIQ(A63, "IQ_TOTAL_DEBT_REPAID",IQ_FY-4))</f>
        <v>-559.79999999999995</v>
      </c>
      <c r="O68" s="15">
        <f t="shared" si="17"/>
        <v>1.9960601462907599E-2</v>
      </c>
      <c r="P68" s="15">
        <f t="shared" si="18"/>
        <v>1.3653722345215684</v>
      </c>
      <c r="Q68" s="25" t="s">
        <v>27</v>
      </c>
      <c r="R68" s="38" t="s">
        <v>51</v>
      </c>
      <c r="S68" s="4">
        <f>AVERAGE(F68:F73)/AVERAGE(D68:D73)</f>
        <v>0.14134033044809072</v>
      </c>
      <c r="U68" s="25" t="s">
        <v>58</v>
      </c>
      <c r="V68" s="38" t="s">
        <v>51</v>
      </c>
      <c r="W68" s="4">
        <f>AVERAGE(F68:F73)/AVERAGE(D68:D73)</f>
        <v>0.14134033044809072</v>
      </c>
      <c r="Y68" s="25" t="s">
        <v>56</v>
      </c>
      <c r="Z68" s="38" t="s">
        <v>51</v>
      </c>
      <c r="AA68" s="4">
        <f>AVERAGE(F68:F73)/AVERAGE(D68:D73)</f>
        <v>0.14134033044809072</v>
      </c>
    </row>
    <row r="69" spans="1:27">
      <c r="A69" s="18"/>
      <c r="B69" s="13">
        <v>7</v>
      </c>
      <c r="C69" s="14" t="s">
        <v>28</v>
      </c>
      <c r="D69" s="15" cm="1">
        <f t="array" ref="D69">_xlfn.SINGLE(IF(A71=A72,_xll.ciqfunctions.udf.CIQ(A63,"IQ_TOTAL_REV",IQ_FY-4)/I69, _xll.ciqfunctions.udf.CIQ(A63, "IQ_TOTAL_REV",IQ_FY-3)/I69))</f>
        <v>13.796323600289304</v>
      </c>
      <c r="E69" s="16">
        <f t="shared" si="19"/>
        <v>2.8060498091670512E-3</v>
      </c>
      <c r="F69" s="15">
        <f>IF(A71=A72,_xll.ciqfunctions.udf.CIQ(A63,"IQ_DILUT_EPS_EXCL",IQ_FY-4), _xll.ciqfunctions.udf.CIQ(A63, "IQ_DILUT_EPS_EXCL",IQ_FY-3))</f>
        <v>1.88</v>
      </c>
      <c r="G69" s="15">
        <f>IF(A71=A72,_xll.ciqfunctions.udf.CIQ(A63,"IQ_EBITDA_MARGIN",IQ_FY-4), _xll.ciqfunctions.udf.CIQ(A63, "IQ_EBITDA_MARGIN",IQ_FY-3))</f>
        <v>23.728899999999999</v>
      </c>
      <c r="H69" s="15">
        <f>IF(A71=A72,_xll.ciqfunctions.udf.CIQ(A63,"IQ_TOTAL_DIV_PAID_CF",IQ_FY-4)/-I69, _xll.ciqfunctions.udf.CIQ(A63, "IQ_TOTAL_DIV_PAID_CF",IQ_FY-3)/-I69)</f>
        <v>0.4688005989107959</v>
      </c>
      <c r="I69" s="17">
        <f>IF(A71=A72,_xll.ciqfunctions.udf.CIQ(A63,"IQ_TOTAL_OUTSTANDING_FILING_DATE",IQ_FY-4), _xll.ciqfunctions.udf.CIQ(A63, "IQ_TOTAL_OUTSTANDING_FILING_DATE",IQ_FY-3))</f>
        <v>596.20231000000001</v>
      </c>
      <c r="J69" s="17">
        <f>IF(A71=A72,_xll.ciqfunctions.udf.CIQ(A63,"IQ_CASH_OPER",IQ_FY-4), _xll.ciqfunctions.udf.CIQ(A63, "IQ_CASH_OPER",IQ_FY-3))</f>
        <v>1502.3</v>
      </c>
      <c r="K69" s="17">
        <f>IF(A71=A72,_xll.ciqfunctions.udf.CIQ(A63,"IQ_CAPEX",IQ_FY-4), _xll.ciqfunctions.udf.CIQ(A63, "IQ_CAPEX",IQ_FY-3))</f>
        <v>-295</v>
      </c>
      <c r="L69" s="15">
        <f t="shared" si="16"/>
        <v>2.0249837676744322</v>
      </c>
      <c r="M69" s="17">
        <f>IF(A71=A72,_xll.ciqfunctions.udf.CIQ(A63,"IQ_TOTAL_DEBT_ISSUED",IQ_FY-4), _xll.ciqfunctions.udf.CIQ(A63, "IQ_TOTAL_DEBT_ISSUED",IQ_FY-3))</f>
        <v>1398.8</v>
      </c>
      <c r="N69" s="17">
        <f>IF(A71=A72,_xll.ciqfunctions.udf.CIQ(A63,"IQ_TOTAL_DEBT_REPAID",IQ_FY-4), _xll.ciqfunctions.udf.CIQ(A63, "IQ_TOTAL_DEBT_REPAID",IQ_FY-3))</f>
        <v>-1340.5</v>
      </c>
      <c r="O69" s="15">
        <f t="shared" si="17"/>
        <v>9.7785598985686506E-2</v>
      </c>
      <c r="P69" s="15">
        <f t="shared" si="18"/>
        <v>2.1227693666601186</v>
      </c>
      <c r="Q69" s="18"/>
      <c r="R69" s="38" t="s">
        <v>29</v>
      </c>
      <c r="S69" s="4">
        <f>(AVERAGE(P68:P73)/_xlfn.STDEV.P(P68:P73))/(IF(A71=A72,(_xlfn.SINGLE(_xll.ciqfunctions.udf.CIQ(A63,"IQ_total_assets",IQ_FY)) - _xlfn.SINGLE(_xll.ciqfunctions.udf.CIQ(A63,"iq_gw_intan", IQ_FY)))/I73, (_xlfn.SINGLE(_xll.ciqfunctions.udf.CIQ(A63, "IQ_total_assets",IQ_LTM))-_xlfn.SINGLE(_xll.ciqfunctions.udf.CIQ(A63,"iq_gw_intan",IQ_LTM)))/I73))</f>
        <v>0.31857209444870693</v>
      </c>
      <c r="U69" s="18"/>
      <c r="V69" s="38" t="s">
        <v>29</v>
      </c>
      <c r="W69" s="4">
        <f>(AVERAGE(P68:P73)/_xlfn.STDEV.P(P68:P73))/(IF(A71=A72,(_xlfn.SINGLE(_xll.ciqfunctions.udf.CIQ(A63,"IQ_total_assets",IQ_FY)) - _xlfn.SINGLE(_xll.ciqfunctions.udf.CIQ(A63,"iq_gw_intan", IQ_FY)))/I73, (_xlfn.SINGLE(_xll.ciqfunctions.udf.CIQ(A63, "IQ_total_assets",IQ_LTM))-_xlfn.SINGLE(_xll.ciqfunctions.udf.CIQ(A63,"iq_gw_intan",IQ_LTM)))/I73))</f>
        <v>0.31857209444870693</v>
      </c>
      <c r="Y69" s="18"/>
      <c r="Z69" s="38" t="s">
        <v>29</v>
      </c>
      <c r="AA69" s="4">
        <f>(AVERAGE(P68:P73)/_xlfn.STDEV.P(P68:P73))/(IF(A71=A72,(_xlfn.SINGLE(_xll.ciqfunctions.udf.CIQ(A63,"IQ_total_assets",IQ_FY)) - _xlfn.SINGLE(_xll.ciqfunctions.udf.CIQ(A63,"iq_gw_intan", IQ_FY)))/I73, (_xlfn.SINGLE(_xll.ciqfunctions.udf.CIQ(A63, "IQ_total_assets",IQ_LTM))-_xlfn.SINGLE(_xll.ciqfunctions.udf.CIQ(A63,"iq_gw_intan",IQ_LTM)))/I73))</f>
        <v>0.31857209444870693</v>
      </c>
    </row>
    <row r="70" spans="1:27">
      <c r="A70" s="18"/>
      <c r="B70" s="13">
        <v>8</v>
      </c>
      <c r="C70" s="14" t="s">
        <v>30</v>
      </c>
      <c r="D70" s="15" cm="1">
        <f t="array" ref="D70">_xlfn.SINGLE(IF(A71=A72,_xll.ciqfunctions.udf.CIQ(A63,"IQ_TOTAL_REV",IQ_FY-3)/I70, _xll.ciqfunctions.udf.CIQ(A63, "IQ_TOTAL_REV",IQ_FY-2)/I70))</f>
        <v>14.351749840633472</v>
      </c>
      <c r="E70" s="16">
        <f t="shared" si="19"/>
        <v>4.0259003516887736E-2</v>
      </c>
      <c r="F70" s="15">
        <f>IF(A71=A72,_xll.ciqfunctions.udf.CIQ(A63,"IQ_DILUT_EPS_EXCL",IQ_FY-3), _xll.ciqfunctions.udf.CIQ(A63, "IQ_DILUT_EPS_EXCL",IQ_FY-2))</f>
        <v>1.96</v>
      </c>
      <c r="G70" s="15">
        <f>IF(A71=A72,_xll.ciqfunctions.udf.CIQ(A63,"IQ_EBITDA_MARGIN",IQ_FY-3), _xll.ciqfunctions.udf.CIQ(A63, "IQ_EBITDA_MARGIN",IQ_FY-2))</f>
        <v>22.691199999999998</v>
      </c>
      <c r="H70" s="15">
        <f>IF(A71=A72,_xll.ciqfunctions.udf.CIQ(A63,"IQ_TOTAL_DIV_PAID_CF",IQ_FY-3)/-I70, _xll.ciqfunctions.udf.CIQ(A63, "IQ_TOTAL_DIV_PAID_CF",IQ_FY-2)/-I70)</f>
        <v>0.49670082831205409</v>
      </c>
      <c r="I70" s="17">
        <f>IF(A71=A72,_xll.ciqfunctions.udf.CIQ(A63,"IQ_TOTAL_OUTSTANDING_FILING_DATE",IQ_FY-3), _xll.ciqfunctions.udf.CIQ(A63, "IQ_TOTAL_OUTSTANDING_FILING_DATE",IQ_FY-2))</f>
        <v>599.15341999999998</v>
      </c>
      <c r="J70" s="17">
        <f>IF(A71=A72,_xll.ciqfunctions.udf.CIQ(A63,"IQ_CASH_OPER",IQ_FY-3), _xll.ciqfunctions.udf.CIQ(A63, "IQ_CASH_OPER",IQ_FY-2))</f>
        <v>1592</v>
      </c>
      <c r="K70" s="17">
        <f>IF(A71=A72,_xll.ciqfunctions.udf.CIQ(A63,"IQ_CAPEX",IQ_FY-3), _xll.ciqfunctions.udf.CIQ(A63, "IQ_CAPEX",IQ_FY-2))</f>
        <v>-276.8</v>
      </c>
      <c r="L70" s="15">
        <f t="shared" si="16"/>
        <v>2.1950972089919807</v>
      </c>
      <c r="M70" s="17">
        <f>IF(A71=A72,_xll.ciqfunctions.udf.CIQ(A63,"IQ_TOTAL_DEBT_ISSUED",IQ_FY-3), _xll.ciqfunctions.udf.CIQ(A63, "IQ_TOTAL_DEBT_ISSUED",IQ_FY-2))</f>
        <v>2509.6999999999998</v>
      </c>
      <c r="N70" s="17">
        <f>IF(A71=A72,_xll.ciqfunctions.udf.CIQ(A63,"IQ_TOTAL_DEBT_REPAID",IQ_FY-3), _xll.ciqfunctions.udf.CIQ(A63, "IQ_TOTAL_DEBT_REPAID",IQ_FY-2))</f>
        <v>-2358.3000000000002</v>
      </c>
      <c r="O70" s="15">
        <f t="shared" si="17"/>
        <v>0.25268987031735485</v>
      </c>
      <c r="P70" s="15">
        <f t="shared" si="18"/>
        <v>2.4477870793093355</v>
      </c>
      <c r="Q70" s="18"/>
      <c r="R70" s="39" t="s">
        <v>31</v>
      </c>
      <c r="S70" s="5">
        <f>IF(NOT(D63&gt;0),FALSE,SLOPE(G63:G73,B63:B73))</f>
        <v>0.1050118181818181</v>
      </c>
      <c r="U70" s="18"/>
      <c r="V70" s="39" t="s">
        <v>31</v>
      </c>
      <c r="W70" s="5">
        <f>IF(NOT(D63&gt;0),FALSE,SLOPE(G63:G73,B63:B73))</f>
        <v>0.1050118181818181</v>
      </c>
      <c r="Y70" s="18"/>
      <c r="Z70" s="39" t="s">
        <v>31</v>
      </c>
      <c r="AA70" s="5">
        <f>IF(NOT(L63&gt;0),FALSE,SLOPE(O63:O73,J63:J73))</f>
        <v>-8.0191550798537246E-4</v>
      </c>
    </row>
    <row r="71" spans="1:27">
      <c r="A71" s="19">
        <f>_xll.ciqfunctions.udf.CIQ(A63,"IQ_TOTAL_REV",IQ_FY)</f>
        <v>12623</v>
      </c>
      <c r="B71" s="13">
        <v>9</v>
      </c>
      <c r="C71" s="14" t="s">
        <v>32</v>
      </c>
      <c r="D71" s="15" cm="1">
        <f t="array" ref="D71">_xlfn.SINGLE(IF(A71=A72,_xll.ciqfunctions.udf.CIQ(A63,"IQ_TOTAL_REV",IQ_FY-2)/I71, _xll.ciqfunctions.udf.CIQ(A63, "IQ_TOTAL_REV",IQ_FY-1)/I71))</f>
        <v>18.159254978175852</v>
      </c>
      <c r="E71" s="16">
        <f t="shared" si="19"/>
        <v>0.26529901787741311</v>
      </c>
      <c r="F71" s="15">
        <f>IF(A71=A72,_xll.ciqfunctions.udf.CIQ(A63,"IQ_DILUT_EPS_EXCL",IQ_FY-2), _xll.ciqfunctions.udf.CIQ(A63, "IQ_DILUT_EPS_EXCL",IQ_FY-1))</f>
        <v>2.5099999999999998</v>
      </c>
      <c r="G71" s="15">
        <f>IF(A71=A72,_xll.ciqfunctions.udf.CIQ(A63,"IQ_EBITDA_MARGIN",IQ_FY-2), _xll.ciqfunctions.udf.CIQ(A63, "IQ_EBITDA_MARGIN",IQ_FY-1))</f>
        <v>23.575099999999999</v>
      </c>
      <c r="H71" s="15">
        <f>IF(A71=A72,_xll.ciqfunctions.udf.CIQ(A63,"IQ_TOTAL_DIV_PAID_CF",IQ_FY-2)/-I71, _xll.ciqfunctions.udf.CIQ(A63, "IQ_TOTAL_DIV_PAID_CF",IQ_FY-1)/-I71)</f>
        <v>0.5788562011836349</v>
      </c>
      <c r="I71" s="17">
        <f>IF(A71=A72,_xll.ciqfunctions.udf.CIQ(A63,"IQ_TOTAL_OUTSTANDING_FILING_DATE",IQ_FY-2), _xll.ciqfunctions.udf.CIQ(A63, "IQ_TOTAL_OUTSTANDING_FILING_DATE",IQ_FY-1))</f>
        <v>598.93976999999995</v>
      </c>
      <c r="J71" s="17">
        <f>IF(A71=A72,_xll.ciqfunctions.udf.CIQ(A63,"IQ_CASH_OPER",IQ_FY-2), _xll.ciqfunctions.udf.CIQ(A63, "IQ_CASH_OPER",IQ_FY-1))</f>
        <v>1540.1</v>
      </c>
      <c r="K71" s="17">
        <f>IF(A71=A72,_xll.ciqfunctions.udf.CIQ(A63,"IQ_CAPEX",IQ_FY-2), _xll.ciqfunctions.udf.CIQ(A63, "IQ_CAPEX",IQ_FY-1))</f>
        <v>-360.4</v>
      </c>
      <c r="L71" s="15">
        <f t="shared" si="16"/>
        <v>1.9696471316306143</v>
      </c>
      <c r="M71" s="17">
        <f>IF(A71=A72,_xll.ciqfunctions.udf.CIQ(A63,"IQ_TOTAL_DEBT_ISSUED",IQ_FY-2), _xll.ciqfunctions.udf.CIQ(A63, "IQ_TOTAL_DEBT_ISSUED",IQ_FY-1))</f>
        <v>1548.4</v>
      </c>
      <c r="N71" s="17">
        <f>IF(A71=A72,_xll.ciqfunctions.udf.CIQ(A63,"IQ_TOTAL_DEBT_REPAID",IQ_FY-2), _xll.ciqfunctions.udf.CIQ(A63, "IQ_TOTAL_DEBT_REPAID",IQ_FY-1))</f>
        <v>-912.6</v>
      </c>
      <c r="O71" s="15">
        <f t="shared" si="17"/>
        <v>1.0615424652799397</v>
      </c>
      <c r="P71" s="15">
        <f t="shared" si="18"/>
        <v>3.0311895969105542</v>
      </c>
      <c r="Q71" s="25" t="s">
        <v>33</v>
      </c>
      <c r="R71" s="38" t="s">
        <v>52</v>
      </c>
      <c r="S71" s="4">
        <f>(AVERAGE(O68:O73)/AVERAGE(P68:P73))</f>
        <v>1.5572483824669485E-2</v>
      </c>
      <c r="U71" s="25" t="s">
        <v>54</v>
      </c>
      <c r="V71" s="38" t="s">
        <v>52</v>
      </c>
      <c r="W71" s="4">
        <f>(AVERAGE(O68:O73)/AVERAGE(P68:P73))</f>
        <v>1.5572483824669485E-2</v>
      </c>
      <c r="Y71" s="25" t="s">
        <v>60</v>
      </c>
      <c r="Z71" s="38" t="s">
        <v>52</v>
      </c>
      <c r="AA71" s="4">
        <f>(AVERAGE(O68:O73)/AVERAGE(P68:P73))</f>
        <v>1.5572483824669485E-2</v>
      </c>
    </row>
    <row r="72" spans="1:27">
      <c r="A72" s="19">
        <f>_xll.ciqfunctions.udf.CIQ(A63,"IQ_TOTAL_REV",IQ_LTM)</f>
        <v>12466.4</v>
      </c>
      <c r="B72" s="13">
        <v>10</v>
      </c>
      <c r="C72" s="14" t="s">
        <v>34</v>
      </c>
      <c r="D72" s="15" cm="1">
        <f t="array" ref="D72">_xlfn.SINGLE(IF(A71=A72,_xll.ciqfunctions.udf.CIQ(A63,"IQ_TOTAL_REV",IQ_FY-1)/I72, _xll.ciqfunctions.udf.CIQ(A63, "IQ_TOTAL_REV",IQ_FY)/I72))</f>
        <v>21.229236892266425</v>
      </c>
      <c r="E72" s="16">
        <f t="shared" si="19"/>
        <v>0.1690588032262412</v>
      </c>
      <c r="F72" s="15">
        <f>IF(A71=A72,_xll.ciqfunctions.udf.CIQ(A63,"IQ_DILUT_EPS_EXCL",IQ_FY-1), _xll.ciqfunctions.udf.CIQ(A63, "IQ_DILUT_EPS_EXCL",IQ_FY))</f>
        <v>3.06</v>
      </c>
      <c r="G72" s="15">
        <f>IF(A71=A72,_xll.ciqfunctions.udf.CIQ(A63,"IQ_EBITDA_MARGIN",IQ_FY-1), _xll.ciqfunctions.udf.CIQ(A63, "IQ_EBITDA_MARGIN",IQ_FY))</f>
        <v>23.754999999999999</v>
      </c>
      <c r="H72" s="15">
        <f>IF(A71=A72,_xll.ciqfunctions.udf.CIQ(A63,"IQ_TOTAL_DIV_PAID_CF",IQ_FY-1)/-I72, _xll.ciqfunctions.udf.CIQ(A63, "IQ_TOTAL_DIV_PAID_CF",IQ_FY)/-I72)</f>
        <v>0.80288661113586235</v>
      </c>
      <c r="I72" s="17">
        <f>IF(A71=A72,_xll.ciqfunctions.udf.CIQ(A63,"IQ_TOTAL_OUTSTANDING_FILING_DATE",IQ_FY-1), _xll.ciqfunctions.udf.CIQ(A63, "IQ_TOTAL_OUTSTANDING_FILING_DATE",IQ_FY))</f>
        <v>594.60451</v>
      </c>
      <c r="J72" s="17">
        <f>IF(A71=A72,_xll.ciqfunctions.udf.CIQ(A63,"IQ_CASH_OPER",IQ_FY-1), _xll.ciqfunctions.udf.CIQ(A63, "IQ_CASH_OPER",IQ_FY))</f>
        <v>2174.6</v>
      </c>
      <c r="K72" s="17">
        <f>IF(A71=A72,_xll.ciqfunctions.udf.CIQ(A63,"IQ_CAPEX",IQ_FY-1), _xll.ciqfunctions.udf.CIQ(A63, "IQ_CAPEX",IQ_FY))</f>
        <v>-383.8</v>
      </c>
      <c r="L72" s="15">
        <f t="shared" si="16"/>
        <v>3.0117497763345251</v>
      </c>
      <c r="M72" s="17">
        <f>IF(A71=A72,_xll.ciqfunctions.udf.CIQ(A63,"IQ_TOTAL_DEBT_ISSUED",IQ_FY-1), _xll.ciqfunctions.udf.CIQ(A63, "IQ_TOTAL_DEBT_ISSUED",IQ_FY))</f>
        <v>50.7</v>
      </c>
      <c r="N72" s="17">
        <f>IF(A71=A72,_xll.ciqfunctions.udf.CIQ(A63,"IQ_TOTAL_DEBT_REPAID",IQ_FY-1), _xll.ciqfunctions.udf.CIQ(A63, "IQ_TOTAL_DEBT_REPAID",IQ_FY))</f>
        <v>-214.5</v>
      </c>
      <c r="O72" s="15">
        <f t="shared" si="17"/>
        <v>-0.27547722434866834</v>
      </c>
      <c r="P72" s="15">
        <f t="shared" si="18"/>
        <v>2.7362725519858566</v>
      </c>
      <c r="Q72" s="25" t="s">
        <v>44</v>
      </c>
      <c r="R72" s="38" t="s">
        <v>35</v>
      </c>
      <c r="S72" s="1">
        <f>_xll.ciqfunctions.udf.CIQ(A63,"IQ_TEV_EBITDA")</f>
        <v>18.391490000000001</v>
      </c>
      <c r="U72" s="25" t="s">
        <v>55</v>
      </c>
      <c r="V72" s="38" t="s">
        <v>53</v>
      </c>
      <c r="W72" s="1">
        <f>V62/(AVERAGE(D68:D73)/_xlfn.STDEV.P(E68:E73))</f>
        <v>0.56627136611206685</v>
      </c>
      <c r="Y72" s="25" t="s">
        <v>57</v>
      </c>
      <c r="Z72" s="38" t="s">
        <v>53</v>
      </c>
      <c r="AA72" s="1">
        <f>Z62/(AVERAGE(D68:D73)/_xlfn.STDEV.P(E68:E73))</f>
        <v>0.56627136611206685</v>
      </c>
    </row>
    <row r="73" spans="1:27">
      <c r="B73" s="13">
        <v>11</v>
      </c>
      <c r="C73" s="20" t="s">
        <v>36</v>
      </c>
      <c r="D73" s="21" cm="1">
        <f t="array" ref="D73">_xlfn.SINGLE(IF(A71=A72,_xll.ciqfunctions.udf.CIQ(A63,"IQ_TOTAL_REV",IQ_FY)/I73, _xll.ciqfunctions.udf.CIQ(A63, "IQ_TOTAL_REV",IQ_LTM)/I73))</f>
        <v>20.836013450747782</v>
      </c>
      <c r="E73" s="22">
        <f t="shared" si="19"/>
        <v>-1.8522730869421397E-2</v>
      </c>
      <c r="F73" s="21">
        <f>IF(A71=A72,_xll.ciqfunctions.udf.CIQ(A63,"IQ_DILUT_EPS_EXCL",IQ_FY), _xll.ciqfunctions.udf.CIQ(A63, "IQ_DILUT_EPS_EXCL",IQ_LTM))</f>
        <v>3.1001300000000001</v>
      </c>
      <c r="G73" s="21">
        <f>IF(A71=A72,_xll.ciqfunctions.udf.CIQ(A63,"IQ_EBITDA_MARGIN",IQ_FY), _xll.ciqfunctions.udf.CIQ(A63, "IQ_EBITDA_MARGIN",IQ_LTM))</f>
        <v>23.757400000000001</v>
      </c>
      <c r="H73" s="21">
        <f>IF(A71=A72,_xll.ciqfunctions.udf.CIQ(A63,"IQ_TOTAL_DIV_PAID_CF",IQ_FY)/-I73, _xll.ciqfunctions.udf.CIQ(A63, "IQ_TOTAL_DIV_PAID_CF",IQ_LTM)/-I73)</f>
        <v>0.82565862194935224</v>
      </c>
      <c r="I73" s="23">
        <f>IF(A71=A72,_xll.ciqfunctions.udf.CIQ(A63,"IQ_TOTAL_OUTSTANDING_FILING_DATE",IQ_FY),_xll.ciqfunctions.udf.CIQ(A63,"IQ_sharesoutstanding"))</f>
        <v>598.31023000000005</v>
      </c>
      <c r="J73" s="23">
        <f>IF(A71=A72,_xll.ciqfunctions.udf.CIQ(A63,"IQ_CASH_OPER",IQ_FY), _xll.ciqfunctions.udf.CIQ(A63, "IQ_CASH_OPER",IQ_LTM))</f>
        <v>2392.1999999999998</v>
      </c>
      <c r="K73" s="23">
        <f>IF(A71=A72,_xll.ciqfunctions.udf.CIQ(A63,"IQ_CAPEX",IQ_FY), _xll.ciqfunctions.udf.CIQ(A63, "IQ_CAPEX",IQ_LTM))</f>
        <v>-361.4</v>
      </c>
      <c r="L73" s="21">
        <f t="shared" si="16"/>
        <v>3.3942257681270127</v>
      </c>
      <c r="M73" s="23">
        <f>IF(A71=A72,_xll.ciqfunctions.udf.CIQ(A63,"IQ_TOTAL_DEBT_ISSUED",IQ_FY), _xll.ciqfunctions.udf.CIQ(A63, "IQ_TOTAL_DEBT_ISSUED",IQ_LTM))</f>
        <v>245</v>
      </c>
      <c r="N73" s="23">
        <f>IF(A71=A72,_xll.ciqfunctions.udf.CIQ(A63,"IQ_TOTAL_DEBT_REPAID",IQ_FY), _xll.ciqfunctions.udf.CIQ(A63, "IQ_TOTAL_DEBT_REPAID",IQ_LTM))</f>
        <v>-805</v>
      </c>
      <c r="O73" s="21">
        <f t="shared" si="17"/>
        <v>-0.93596928803975143</v>
      </c>
      <c r="P73" s="21">
        <f t="shared" si="18"/>
        <v>2.4582564800872611</v>
      </c>
      <c r="Q73" s="25" t="s">
        <v>45</v>
      </c>
      <c r="S73" s="45"/>
      <c r="U73" s="25"/>
      <c r="W73" s="45"/>
      <c r="Y73" s="25"/>
      <c r="AA73" s="45"/>
    </row>
    <row r="74" spans="1:27">
      <c r="B74" s="24"/>
      <c r="C74" s="25" t="s">
        <v>37</v>
      </c>
      <c r="E74" s="26">
        <f>((D73/D68)^(1/5))-1</f>
        <v>8.6559818071924699E-2</v>
      </c>
      <c r="F74" s="27">
        <f>((F73/F68)^(1/5))-1</f>
        <v>9.999277947725127E-2</v>
      </c>
      <c r="G74" s="28"/>
      <c r="H74" s="27">
        <f>((H73/H68)^(1/5))-1</f>
        <v>0.14174910069652147</v>
      </c>
      <c r="I74" s="27">
        <f>((I73/I68)^(1/5))-1</f>
        <v>7.1548052162562215E-4</v>
      </c>
      <c r="J74" s="27"/>
      <c r="K74" s="27"/>
      <c r="L74" s="26">
        <f>((L73/L68)^(1/5))-1</f>
        <v>0.20330884644218705</v>
      </c>
      <c r="M74" s="26"/>
      <c r="N74" s="26"/>
      <c r="O74" s="26"/>
      <c r="P74" s="26">
        <f>((P73/P68)^(1/5))-1</f>
        <v>0.12479978620162724</v>
      </c>
      <c r="Q74" s="18"/>
      <c r="R74" s="36"/>
      <c r="S74" s="45"/>
      <c r="U74" s="18"/>
      <c r="V74" s="36"/>
      <c r="W74" s="45"/>
      <c r="Y74" s="18"/>
      <c r="Z74" s="36"/>
      <c r="AA74" s="45"/>
    </row>
    <row r="75" spans="1:27">
      <c r="A75" s="29"/>
      <c r="B75" s="30"/>
      <c r="C75" s="31" t="s">
        <v>38</v>
      </c>
      <c r="D75" s="29"/>
      <c r="E75" s="32">
        <f>((D73/D63)^(1/10))-1</f>
        <v>0.1106919652954288</v>
      </c>
      <c r="F75" s="33">
        <f>((F73/F63)^(1/10))-1</f>
        <v>0.12205819767548998</v>
      </c>
      <c r="G75" s="34"/>
      <c r="H75" s="33">
        <f>((H73/H63)^(1/10))-1</f>
        <v>0.18363835817201735</v>
      </c>
      <c r="I75" s="33">
        <f>((I73/I63)^(1/10))-1</f>
        <v>-5.588522565010301E-3</v>
      </c>
      <c r="J75" s="33"/>
      <c r="K75" s="33"/>
      <c r="L75" s="32">
        <f>((L73/L63)^(1/10))-1</f>
        <v>0.13401237853998405</v>
      </c>
      <c r="M75" s="32"/>
      <c r="N75" s="32"/>
      <c r="O75" s="32"/>
      <c r="P75" s="32">
        <f>((P73/P63)^(1/10))-1</f>
        <v>4.1908740960147739E-2</v>
      </c>
      <c r="Q75" s="40"/>
      <c r="R75" s="41"/>
      <c r="S75" s="46"/>
      <c r="U75" s="40"/>
      <c r="V75" s="41"/>
      <c r="W75" s="46"/>
      <c r="Y75" s="40"/>
      <c r="Z75" s="41"/>
      <c r="AA75" s="46"/>
    </row>
    <row r="76" spans="1:27">
      <c r="B76" s="24"/>
      <c r="C76" s="25"/>
      <c r="E76" s="26"/>
      <c r="F76" s="27"/>
      <c r="G76" s="28"/>
      <c r="H76" s="27"/>
      <c r="I76" s="27"/>
      <c r="J76" s="27"/>
      <c r="K76" s="27"/>
      <c r="L76" s="26"/>
      <c r="M76" s="17"/>
      <c r="N76" s="17"/>
      <c r="O76" s="17"/>
      <c r="P76" s="35"/>
      <c r="Q76" s="18"/>
      <c r="R76" s="36"/>
    </row>
    <row r="77" spans="1:27">
      <c r="A77" s="9" t="s">
        <v>0</v>
      </c>
      <c r="B77" s="10"/>
      <c r="C77" s="9" t="s">
        <v>1</v>
      </c>
      <c r="D77" s="9" t="s">
        <v>2</v>
      </c>
      <c r="E77" s="9" t="s">
        <v>3</v>
      </c>
      <c r="F77" s="11" t="s">
        <v>4</v>
      </c>
      <c r="G77" s="11" t="s">
        <v>5</v>
      </c>
      <c r="H77" s="9" t="s">
        <v>6</v>
      </c>
      <c r="I77" s="11" t="s">
        <v>7</v>
      </c>
      <c r="J77" s="11" t="s">
        <v>8</v>
      </c>
      <c r="K77" s="11" t="s">
        <v>9</v>
      </c>
      <c r="L77" s="11" t="s">
        <v>10</v>
      </c>
      <c r="M77" s="11" t="s">
        <v>11</v>
      </c>
      <c r="N77" s="11" t="s">
        <v>12</v>
      </c>
      <c r="O77" s="11" t="s">
        <v>13</v>
      </c>
      <c r="P77" s="11" t="s">
        <v>14</v>
      </c>
      <c r="Q77" s="37" t="s">
        <v>15</v>
      </c>
      <c r="R77" s="42">
        <f>_xll.ciqfunctions.udf.CIQ(A78,("IQ_LASTSALEPRICE"))</f>
        <v>27.93</v>
      </c>
      <c r="S77" s="44"/>
      <c r="U77" s="37" t="s">
        <v>15</v>
      </c>
      <c r="V77" s="42">
        <f>_xll.ciqfunctions.udf.CIQ(A78,("IQ_LASTSALEPRICE"))</f>
        <v>27.93</v>
      </c>
      <c r="W77" s="44"/>
      <c r="Y77" s="37" t="s">
        <v>15</v>
      </c>
      <c r="Z77" s="42">
        <f>_xll.ciqfunctions.udf.CIQ(A78,("IQ_LASTSALEPRICE"))</f>
        <v>27.93</v>
      </c>
      <c r="AA77" s="44"/>
    </row>
    <row r="78" spans="1:27">
      <c r="A78" s="12" t="str">
        <f>Analysis!B7</f>
        <v>NYSE:GLW</v>
      </c>
      <c r="B78" s="13">
        <v>1</v>
      </c>
      <c r="C78" s="14" t="s">
        <v>16</v>
      </c>
      <c r="D78" s="15">
        <f>IF(A86=A87,_xll.ciqfunctions.udf.CIQ(A78,"IQ_TOTAL_REV",IQ_FY-10)/I78,_xll.ciqfunctions.udf.CIQ(A78, "IQ_TOTAL_REV",IQ_FY-9)/I78)</f>
        <v>5.6165943058149477</v>
      </c>
      <c r="E78" s="16"/>
      <c r="F78" s="15">
        <f>IF(A86=A87,_xll.ciqfunctions.udf.CIQ(A78,"IQ_DILUT_EPS_EXCL",IQ_FY-10), _xll.ciqfunctions.udf.CIQ(A78, "IQ_DILUT_EPS_EXCL",IQ_FY-9))</f>
        <v>1.34</v>
      </c>
      <c r="G78" s="15">
        <f>IF(A86=A87,_xll.ciqfunctions.udf.CIQ(A78,"IQ_EBITDA_MARGIN",IQ_FY-10), _xll.ciqfunctions.udf.CIQ(A78, "IQ_EBITDA_MARGIN",IQ_FY-9))</f>
        <v>31.449000000000002</v>
      </c>
      <c r="H78" s="15">
        <f>IF(A86=A87,_xll.ciqfunctions.udf.CIQ(A78,"IQ_TOTAL_DIV_PAID_CF",IQ_FY-10)/-I78, _xll.ciqfunctions.udf.CIQ(A78, "IQ_TOTAL_DIV_PAID_CF",IQ_FY-9)/-I78)</f>
        <v>0.40657275573490986</v>
      </c>
      <c r="I78" s="17">
        <f>IF(A86=A87,_xll.ciqfunctions.udf.CIQ(A78,"IQ_TOTAL_OUTSTANDING_FILING_DATE",IQ_FY-10), _xll.ciqfunctions.udf.CIQ(A78, "IQ_TOTAL_OUTSTANDING_FILING_DATE",IQ_FY-9))</f>
        <v>1392.1247599999999</v>
      </c>
      <c r="J78" s="17">
        <f>IF(A86=A87,_xll.ciqfunctions.udf.CIQ(A78,"IQ_CASH_OPER",IQ_FY-10), _xll.ciqfunctions.udf.CIQ(A78, "IQ_CASH_OPER",IQ_FY-9))</f>
        <v>2787</v>
      </c>
      <c r="K78" s="17">
        <f>IF(A86=A87,_xll.ciqfunctions.udf.CIQ(A78,"IQ_CAPEX",IQ_FY-10), _xll.ciqfunctions.udf.CIQ(A78, "IQ_CAPEX",IQ_FY-9))</f>
        <v>-1019</v>
      </c>
      <c r="L78" s="15">
        <f t="shared" ref="L78:L88" si="20">(J78+K78)/I78</f>
        <v>1.2700011168539234</v>
      </c>
      <c r="M78" s="17">
        <f>IF(A86=A87,_xll.ciqfunctions.udf.CIQ(A78,"IQ_TOTAL_DEBT_ISSUED",IQ_FY-10), _xll.ciqfunctions.udf.CIQ(A78, "IQ_TOTAL_DEBT_ISSUED",IQ_FY-9))</f>
        <v>524</v>
      </c>
      <c r="N78" s="17">
        <f>IF(A86=A87,_xll.ciqfunctions.udf.CIQ(A78,"IQ_TOTAL_DEBT_REPAID",IQ_FY-10), _xll.ciqfunctions.udf.CIQ(A78, "IQ_TOTAL_DEBT_REPAID",IQ_FY-9))</f>
        <v>-576</v>
      </c>
      <c r="O78" s="15">
        <f t="shared" ref="O78:O88" si="21">(M78+N78)/I78</f>
        <v>-3.7352974025115393E-2</v>
      </c>
      <c r="P78" s="15">
        <f t="shared" ref="P78:P88" si="22">L78+O78</f>
        <v>1.2326481428288081</v>
      </c>
      <c r="W78" s="43"/>
      <c r="AA78" s="43"/>
    </row>
    <row r="79" spans="1:27">
      <c r="A79" s="18" t="str">
        <f>_xll.ciqfunctions.udf.CIQ(A78,"IQ_COMPANY_NAME")</f>
        <v>Corning Incorporated</v>
      </c>
      <c r="B79" s="13">
        <v>2</v>
      </c>
      <c r="C79" s="14" t="s">
        <v>17</v>
      </c>
      <c r="D79" s="15">
        <f>IF(A86=A87,_xll.ciqfunctions.udf.CIQ(A78,"IQ_TOTAL_REV",IQ_FY-9)/I79, _xll.ciqfunctions.udf.CIQ(A78, "IQ_TOTAL_REV",IQ_FY-8)/I79)</f>
        <v>7.6415403825755481</v>
      </c>
      <c r="E79" s="16">
        <f t="shared" ref="E79:E88" si="23">(D79-D78)/D78</f>
        <v>0.36052916883531044</v>
      </c>
      <c r="F79" s="15">
        <f>IF(A86=A87,_xll.ciqfunctions.udf.CIQ(A78,"IQ_DILUT_EPS_EXCL",IQ_FY-9), _xll.ciqfunctions.udf.CIQ(A78, "IQ_DILUT_EPS_EXCL",IQ_FY-8))</f>
        <v>1.73231</v>
      </c>
      <c r="G79" s="15">
        <f>IF(A86=A87,_xll.ciqfunctions.udf.CIQ(A78,"IQ_EBITDA_MARGIN",IQ_FY-9), _xll.ciqfunctions.udf.CIQ(A78, "IQ_EBITDA_MARGIN",IQ_FY-8))</f>
        <v>31.3535</v>
      </c>
      <c r="H79" s="15">
        <f>IF(A86=A87,_xll.ciqfunctions.udf.CIQ(A78,"IQ_TOTAL_DIV_PAID_CF",IQ_FY-9)/-I79, _xll.ciqfunctions.udf.CIQ(A78, "IQ_TOTAL_DIV_PAID_CF",IQ_FY-8)/-I79)</f>
        <v>0.4648636506538496</v>
      </c>
      <c r="I79" s="17">
        <f>IF(A86=A87,_xll.ciqfunctions.udf.CIQ(A78,"IQ_TOTAL_OUTSTANDING_FILING_DATE",IQ_FY-9), _xll.ciqfunctions.udf.CIQ(A78, "IQ_TOTAL_OUTSTANDING_FILING_DATE",IQ_FY-8))</f>
        <v>1271.3405299999999</v>
      </c>
      <c r="J79" s="17">
        <f>IF(A86=A87,_xll.ciqfunctions.udf.CIQ(A78,"IQ_CASH_OPER",IQ_FY-9), _xll.ciqfunctions.udf.CIQ(A78, "IQ_CASH_OPER",IQ_FY-8))</f>
        <v>4709</v>
      </c>
      <c r="K79" s="17">
        <f>IF(A86=A87,_xll.ciqfunctions.udf.CIQ(A78,"IQ_CAPEX",IQ_FY-9), _xll.ciqfunctions.udf.CIQ(A78, "IQ_CAPEX",IQ_FY-8))</f>
        <v>-1076</v>
      </c>
      <c r="L79" s="15">
        <f t="shared" si="20"/>
        <v>2.8576136088416848</v>
      </c>
      <c r="M79" s="17">
        <f>IF(A86=A87,_xll.ciqfunctions.udf.CIQ(A78,"IQ_TOTAL_DEBT_ISSUED",IQ_FY-9), _xll.ciqfunctions.udf.CIQ(A78, "IQ_TOTAL_DEBT_ISSUED",IQ_FY-8))</f>
        <v>30</v>
      </c>
      <c r="N79" s="17">
        <f>IF(A86=A87,_xll.ciqfunctions.udf.CIQ(A78,"IQ_TOTAL_DEBT_REPAID",IQ_FY-9), _xll.ciqfunctions.udf.CIQ(A78, "IQ_TOTAL_DEBT_REPAID",IQ_FY-8))</f>
        <v>-58</v>
      </c>
      <c r="O79" s="15">
        <f t="shared" si="21"/>
        <v>-2.2023996985292369E-2</v>
      </c>
      <c r="P79" s="15">
        <f t="shared" si="22"/>
        <v>2.8355896118563924</v>
      </c>
      <c r="Q79" s="25" t="s">
        <v>18</v>
      </c>
      <c r="R79" s="39" t="s">
        <v>19</v>
      </c>
      <c r="S79" s="1">
        <f>R77/((AVERAGE(P83:P88))*(1+E89)^3)</f>
        <v>18.360479518092134</v>
      </c>
      <c r="U79" s="25" t="s">
        <v>48</v>
      </c>
      <c r="V79" s="39" t="s">
        <v>19</v>
      </c>
      <c r="W79" s="1">
        <f>V77/((AVERAGE(P83:P88))*(1+E89)^3)</f>
        <v>18.360479518092134</v>
      </c>
      <c r="Y79" s="25" t="s">
        <v>39</v>
      </c>
      <c r="Z79" s="39" t="s">
        <v>19</v>
      </c>
      <c r="AA79" s="1">
        <f>Z77/((AVERAGE(P83:P88))*(1+E89)^3)</f>
        <v>18.360479518092134</v>
      </c>
    </row>
    <row r="80" spans="1:27">
      <c r="B80" s="13">
        <v>3</v>
      </c>
      <c r="C80" s="14" t="s">
        <v>20</v>
      </c>
      <c r="D80" s="15" cm="1">
        <f t="array" ref="D80">_xlfn.SINGLE(IF(A86=A87,_xll.ciqfunctions.udf.CIQ(A78,"IQ_TOTAL_REV",IQ_FY-8)/I80, _xll.ciqfunctions.udf.CIQ(A78, "IQ_TOTAL_REV",IQ_FY-7)/I80))</f>
        <v>8.1871813039033814</v>
      </c>
      <c r="E80" s="16">
        <f t="shared" si="23"/>
        <v>7.1404572116378365E-2</v>
      </c>
      <c r="F80" s="15">
        <f>IF(A86=A87,_xll.ciqfunctions.udf.CIQ(A78,"IQ_DILUT_EPS_EXCL",IQ_FY-8), _xll.ciqfunctions.udf.CIQ(A78, "IQ_DILUT_EPS_EXCL",IQ_FY-7))</f>
        <v>0.99702000000000002</v>
      </c>
      <c r="G80" s="15">
        <f>IF(A86=A87,_xll.ciqfunctions.udf.CIQ(A78,"IQ_EBITDA_MARGIN",IQ_FY-8), _xll.ciqfunctions.udf.CIQ(A78, "IQ_EBITDA_MARGIN",IQ_FY-7))</f>
        <v>27.625900000000001</v>
      </c>
      <c r="H80" s="15">
        <f>IF(A86=A87,_xll.ciqfunctions.udf.CIQ(A78,"IQ_TOTAL_DIV_PAID_CF",IQ_FY-8)/-I80, _xll.ciqfunctions.udf.CIQ(A78, "IQ_TOTAL_DIV_PAID_CF",IQ_FY-7)/-I80)</f>
        <v>0.61015213536937718</v>
      </c>
      <c r="I80" s="17">
        <f>IF(A86=A87,_xll.ciqfunctions.udf.CIQ(A78,"IQ_TOTAL_OUTSTANDING_FILING_DATE",IQ_FY-8), _xll.ciqfunctions.udf.CIQ(A78, "IQ_TOTAL_OUTSTANDING_FILING_DATE",IQ_FY-7))</f>
        <v>1112.8372099999999</v>
      </c>
      <c r="J80" s="17">
        <f>IF(A86=A87,_xll.ciqfunctions.udf.CIQ(A78,"IQ_CASH_OPER",IQ_FY-8), _xll.ciqfunctions.udf.CIQ(A78, "IQ_CASH_OPER",IQ_FY-7))</f>
        <v>2829</v>
      </c>
      <c r="K80" s="17">
        <f>IF(A86=A87,_xll.ciqfunctions.udf.CIQ(A78,"IQ_CAPEX",IQ_FY-8), _xll.ciqfunctions.udf.CIQ(A78, "IQ_CAPEX",IQ_FY-7))</f>
        <v>-1250</v>
      </c>
      <c r="L80" s="15">
        <f t="shared" si="20"/>
        <v>1.418895761043073</v>
      </c>
      <c r="M80" s="17">
        <f>IF(A86=A87,_xll.ciqfunctions.udf.CIQ(A78,"IQ_TOTAL_DEBT_ISSUED",IQ_FY-8), _xll.ciqfunctions.udf.CIQ(A78, "IQ_TOTAL_DEBT_ISSUED",IQ_FY-7))</f>
        <v>1230</v>
      </c>
      <c r="N80" s="17">
        <f>IF(A86=A87,_xll.ciqfunctions.udf.CIQ(A78,"IQ_TOTAL_DEBT_REPAID",IQ_FY-8), _xll.ciqfunctions.udf.CIQ(A78, "IQ_TOTAL_DEBT_REPAID",IQ_FY-7))</f>
        <v>-18</v>
      </c>
      <c r="O80" s="15">
        <f t="shared" si="21"/>
        <v>1.0891080825739103</v>
      </c>
      <c r="P80" s="15">
        <f t="shared" si="22"/>
        <v>2.5080038436169834</v>
      </c>
      <c r="Q80" s="25" t="s">
        <v>21</v>
      </c>
      <c r="R80" s="38" t="s">
        <v>49</v>
      </c>
      <c r="S80" s="2">
        <f>(R77*I88)/1000</f>
        <v>23.829174398400003</v>
      </c>
      <c r="U80" s="25" t="s">
        <v>59</v>
      </c>
      <c r="V80" s="38" t="s">
        <v>49</v>
      </c>
      <c r="W80" s="2">
        <f>(V77*I88)/1000</f>
        <v>23.829174398400003</v>
      </c>
      <c r="Y80" s="25" t="s">
        <v>46</v>
      </c>
      <c r="Z80" s="38" t="s">
        <v>49</v>
      </c>
      <c r="AA80" s="2">
        <f>(Z77*I88)/1000</f>
        <v>23.829174398400003</v>
      </c>
    </row>
    <row r="81" spans="1:27">
      <c r="A81" s="18"/>
      <c r="B81" s="13">
        <v>4</v>
      </c>
      <c r="C81" s="14" t="s">
        <v>22</v>
      </c>
      <c r="D81" s="15" cm="1">
        <f t="array" ref="D81">_xlfn.SINGLE(IF(A86=A87,_xll.ciqfunctions.udf.CIQ(A78,"IQ_TOTAL_REV",IQ_FY-7)/I81, _xll.ciqfunctions.udf.CIQ(A78, "IQ_TOTAL_REV",IQ_FY-6)/I81))</f>
        <v>10.117514990488404</v>
      </c>
      <c r="E81" s="16">
        <f t="shared" si="23"/>
        <v>0.23577512393242134</v>
      </c>
      <c r="F81" s="15">
        <f>IF(A86=A87,_xll.ciqfunctions.udf.CIQ(A78,"IQ_DILUT_EPS_EXCL",IQ_FY-7), _xll.ciqfunctions.udf.CIQ(A78, "IQ_DILUT_EPS_EXCL",IQ_FY-6))</f>
        <v>3.2299000000000002</v>
      </c>
      <c r="G81" s="15">
        <f>IF(A86=A87,_xll.ciqfunctions.udf.CIQ(A78,"IQ_EBITDA_MARGIN",IQ_FY-7), _xll.ciqfunctions.udf.CIQ(A78, "IQ_EBITDA_MARGIN",IQ_FY-6))</f>
        <v>28.114999999999998</v>
      </c>
      <c r="H81" s="15">
        <f>IF(A86=A87,_xll.ciqfunctions.udf.CIQ(A78,"IQ_TOTAL_DIV_PAID_CF",IQ_FY-7)/-I81, _xll.ciqfunctions.udf.CIQ(A78, "IQ_TOTAL_DIV_PAID_CF",IQ_FY-6)/-I81)</f>
        <v>0.69497307442651979</v>
      </c>
      <c r="I81" s="17">
        <f>IF(A86=A87,_xll.ciqfunctions.udf.CIQ(A78,"IQ_TOTAL_OUTSTANDING_FILING_DATE",IQ_FY-7), _xll.ciqfunctions.udf.CIQ(A78, "IQ_TOTAL_OUTSTANDING_FILING_DATE",IQ_FY-6))</f>
        <v>928.09351000000004</v>
      </c>
      <c r="J81" s="17">
        <f>IF(A86=A87,_xll.ciqfunctions.udf.CIQ(A78,"IQ_CASH_OPER",IQ_FY-7), _xll.ciqfunctions.udf.CIQ(A78, "IQ_CASH_OPER",IQ_FY-6))</f>
        <v>2537</v>
      </c>
      <c r="K81" s="17">
        <f>IF(A86=A87,_xll.ciqfunctions.udf.CIQ(A78,"IQ_CAPEX",IQ_FY-7), _xll.ciqfunctions.udf.CIQ(A78, "IQ_CAPEX",IQ_FY-6))</f>
        <v>-1130</v>
      </c>
      <c r="L81" s="15">
        <f t="shared" si="20"/>
        <v>1.516011032121106</v>
      </c>
      <c r="M81" s="17">
        <f>IF(A86=A87,_xll.ciqfunctions.udf.CIQ(A78,"IQ_TOTAL_DEBT_ISSUED",IQ_FY-7), _xll.ciqfunctions.udf.CIQ(A78, "IQ_TOTAL_DEBT_ISSUED",IQ_FY-6))</f>
        <v>0</v>
      </c>
      <c r="N81" s="17">
        <f>IF(A86=A87,_xll.ciqfunctions.udf.CIQ(A78,"IQ_TOTAL_DEBT_REPAID",IQ_FY-7), _xll.ciqfunctions.udf.CIQ(A78, "IQ_TOTAL_DEBT_REPAID",IQ_FY-6))</f>
        <v>-566</v>
      </c>
      <c r="O81" s="15">
        <f t="shared" si="21"/>
        <v>-0.60985234127970578</v>
      </c>
      <c r="P81" s="15">
        <f t="shared" si="22"/>
        <v>0.90615869084140022</v>
      </c>
      <c r="Q81" s="25" t="s">
        <v>23</v>
      </c>
      <c r="R81" s="38" t="s">
        <v>24</v>
      </c>
      <c r="S81" s="1">
        <f>R77/(AVERAGE(H83:H88)*(1+H89)/(0.5-H89))</f>
        <v>11.458799098594962</v>
      </c>
      <c r="U81" s="25" t="s">
        <v>40</v>
      </c>
      <c r="V81" s="38" t="s">
        <v>24</v>
      </c>
      <c r="W81" s="1">
        <f>V77/(AVERAGE(H83:H88)*(1+H89)/(0.5-H89))</f>
        <v>11.458799098594962</v>
      </c>
      <c r="Y81" s="25" t="s">
        <v>47</v>
      </c>
      <c r="Z81" s="38" t="s">
        <v>24</v>
      </c>
      <c r="AA81" s="1">
        <f>Z77/(AVERAGE(H83:H88)*(1+H89)/(0.5-H89))</f>
        <v>11.458799098594962</v>
      </c>
    </row>
    <row r="82" spans="1:27">
      <c r="B82" s="13">
        <v>5</v>
      </c>
      <c r="C82" s="14" t="s">
        <v>25</v>
      </c>
      <c r="D82" s="15" cm="1">
        <f t="array" ref="D82">_xlfn.SINGLE(IF(A86=A87,_xll.ciqfunctions.udf.CIQ(A78,"IQ_TOTAL_REV",IQ_FY-6)/I82, _xll.ciqfunctions.udf.CIQ(A78, "IQ_TOTAL_REV",IQ_FY-5)/I82))</f>
        <v>11.797729811694659</v>
      </c>
      <c r="E82" s="16">
        <f t="shared" si="23"/>
        <v>0.1660699117111113</v>
      </c>
      <c r="F82" s="15">
        <f>IF(A86=A87,_xll.ciqfunctions.udf.CIQ(A78,"IQ_DILUT_EPS_EXCL",IQ_FY-6), _xll.ciqfunctions.udf.CIQ(A78, "IQ_DILUT_EPS_EXCL",IQ_FY-5))</f>
        <v>-0.66479999999999995</v>
      </c>
      <c r="G82" s="15">
        <f>IF(A86=A87,_xll.ciqfunctions.udf.CIQ(A78,"IQ_EBITDA_MARGIN",IQ_FY-6), _xll.ciqfunctions.udf.CIQ(A78, "IQ_EBITDA_MARGIN",IQ_FY-5))</f>
        <v>27.3428</v>
      </c>
      <c r="H82" s="15">
        <f>IF(A86=A87,_xll.ciqfunctions.udf.CIQ(A78,"IQ_TOTAL_DIV_PAID_CF",IQ_FY-6)/-I82, _xll.ciqfunctions.udf.CIQ(A78, "IQ_TOTAL_DIV_PAID_CF",IQ_FY-5)/-I82)</f>
        <v>0.75922519843942493</v>
      </c>
      <c r="I82" s="17">
        <f>IF(A86=A87,_xll.ciqfunctions.udf.CIQ(A78,"IQ_TOTAL_OUTSTANDING_FILING_DATE",IQ_FY-6), _xll.ciqfunctions.udf.CIQ(A78, "IQ_TOTAL_OUTSTANDING_FILING_DATE",IQ_FY-5))</f>
        <v>857.45309999999995</v>
      </c>
      <c r="J82" s="17">
        <f>IF(A86=A87,_xll.ciqfunctions.udf.CIQ(A78,"IQ_CASH_OPER",IQ_FY-6), _xll.ciqfunctions.udf.CIQ(A78, "IQ_CASH_OPER",IQ_FY-5))</f>
        <v>2004</v>
      </c>
      <c r="K82" s="17">
        <f>IF(A86=A87,_xll.ciqfunctions.udf.CIQ(A78,"IQ_CAPEX",IQ_FY-6), _xll.ciqfunctions.udf.CIQ(A78, "IQ_CAPEX",IQ_FY-5))</f>
        <v>-1804</v>
      </c>
      <c r="L82" s="15">
        <f t="shared" si="20"/>
        <v>0.23324890889076033</v>
      </c>
      <c r="M82" s="17">
        <f>IF(A86=A87,_xll.ciqfunctions.udf.CIQ(A78,"IQ_TOTAL_DEBT_ISSUED",IQ_FY-6), _xll.ciqfunctions.udf.CIQ(A78, "IQ_TOTAL_DEBT_ISSUED",IQ_FY-5))</f>
        <v>1445</v>
      </c>
      <c r="N82" s="17">
        <f>IF(A86=A87,_xll.ciqfunctions.udf.CIQ(A78,"IQ_TOTAL_DEBT_REPAID",IQ_FY-6), _xll.ciqfunctions.udf.CIQ(A78, "IQ_TOTAL_DEBT_REPAID",IQ_FY-5))</f>
        <v>-252</v>
      </c>
      <c r="O82" s="15">
        <f t="shared" si="21"/>
        <v>1.3913297415333854</v>
      </c>
      <c r="P82" s="15">
        <f t="shared" si="22"/>
        <v>1.6245786504241457</v>
      </c>
      <c r="Q82" s="18"/>
      <c r="R82" s="38" t="s">
        <v>50</v>
      </c>
      <c r="S82" s="3">
        <f>I89</f>
        <v>1.6340049486306407E-2</v>
      </c>
      <c r="U82" s="18"/>
      <c r="V82" s="38" t="s">
        <v>50</v>
      </c>
      <c r="W82" s="3">
        <f>I89</f>
        <v>1.6340049486306407E-2</v>
      </c>
      <c r="Y82" s="18"/>
      <c r="Z82" s="38" t="s">
        <v>50</v>
      </c>
      <c r="AA82" s="3">
        <f>I89</f>
        <v>1.6340049486306407E-2</v>
      </c>
    </row>
    <row r="83" spans="1:27">
      <c r="B83" s="13">
        <v>6</v>
      </c>
      <c r="C83" s="14" t="s">
        <v>26</v>
      </c>
      <c r="D83" s="15" cm="1">
        <f t="array" ref="D83">_xlfn.SINGLE(IF(A86=A87,_xll.ciqfunctions.udf.CIQ(A78,"IQ_TOTAL_REV",IQ_FY-5)/I83, _xll.ciqfunctions.udf.CIQ(A78, "IQ_TOTAL_REV",IQ_FY-4)/I83))</f>
        <v>14.349972857706343</v>
      </c>
      <c r="E83" s="16">
        <f t="shared" si="23"/>
        <v>0.21633340369277984</v>
      </c>
      <c r="F83" s="15">
        <f>IF(A86=A87,_xll.ciqfunctions.udf.CIQ(A78,"IQ_DILUT_EPS_EXCL",IQ_FY-5), _xll.ciqfunctions.udf.CIQ(A78, "IQ_DILUT_EPS_EXCL",IQ_FY-4))</f>
        <v>1.1328400000000001</v>
      </c>
      <c r="G83" s="15">
        <f>IF(A86=A87,_xll.ciqfunctions.udf.CIQ(A78,"IQ_EBITDA_MARGIN",IQ_FY-5), _xll.ciqfunctions.udf.CIQ(A78, "IQ_EBITDA_MARGIN",IQ_FY-4))</f>
        <v>25.659800000000001</v>
      </c>
      <c r="H83" s="15">
        <f>IF(A86=A87,_xll.ciqfunctions.udf.CIQ(A78,"IQ_TOTAL_DIV_PAID_CF",IQ_FY-5)/-I83, _xll.ciqfunctions.udf.CIQ(A78, "IQ_TOTAL_DIV_PAID_CF",IQ_FY-4)/-I83)</f>
        <v>0.87065822918767444</v>
      </c>
      <c r="I83" s="17">
        <f>IF(A86=A87,_xll.ciqfunctions.udf.CIQ(A78,"IQ_TOTAL_OUTSTANDING_FILING_DATE",IQ_FY-5), _xll.ciqfunctions.udf.CIQ(A78, "IQ_TOTAL_OUTSTANDING_FILING_DATE",IQ_FY-4))</f>
        <v>786.76107000000002</v>
      </c>
      <c r="J83" s="17">
        <f>IF(A86=A87,_xll.ciqfunctions.udf.CIQ(A78,"IQ_CASH_OPER",IQ_FY-5), _xll.ciqfunctions.udf.CIQ(A78, "IQ_CASH_OPER",IQ_FY-4))</f>
        <v>2919</v>
      </c>
      <c r="K83" s="17">
        <f>IF(A86=A87,_xll.ciqfunctions.udf.CIQ(A78,"IQ_CAPEX",IQ_FY-5), _xll.ciqfunctions.udf.CIQ(A78, "IQ_CAPEX",IQ_FY-4))</f>
        <v>-2310</v>
      </c>
      <c r="L83" s="15">
        <f t="shared" si="20"/>
        <v>0.77405965193473536</v>
      </c>
      <c r="M83" s="17">
        <f>IF(A86=A87,_xll.ciqfunctions.udf.CIQ(A78,"IQ_TOTAL_DEBT_ISSUED",IQ_FY-5), _xll.ciqfunctions.udf.CIQ(A78, "IQ_TOTAL_DEBT_ISSUED",IQ_FY-4))</f>
        <v>1485</v>
      </c>
      <c r="N83" s="17">
        <f>IF(A86=A87,_xll.ciqfunctions.udf.CIQ(A78,"IQ_TOTAL_DEBT_REPAID",IQ_FY-5), _xll.ciqfunctions.udf.CIQ(A78, "IQ_TOTAL_DEBT_REPAID",IQ_FY-4))</f>
        <v>-629</v>
      </c>
      <c r="O83" s="15">
        <f t="shared" si="21"/>
        <v>1.0880050280067874</v>
      </c>
      <c r="P83" s="15">
        <f t="shared" si="22"/>
        <v>1.8620646799415228</v>
      </c>
      <c r="Q83" s="25" t="s">
        <v>27</v>
      </c>
      <c r="R83" s="38" t="s">
        <v>51</v>
      </c>
      <c r="S83" s="4">
        <f>AVERAGE(F83:F88)/AVERAGE(D83:D88)</f>
        <v>6.7272969106310407E-2</v>
      </c>
      <c r="U83" s="25" t="s">
        <v>58</v>
      </c>
      <c r="V83" s="38" t="s">
        <v>51</v>
      </c>
      <c r="W83" s="4">
        <f>AVERAGE(F83:F88)/AVERAGE(D83:D88)</f>
        <v>6.7272969106310407E-2</v>
      </c>
      <c r="Y83" s="25" t="s">
        <v>56</v>
      </c>
      <c r="Z83" s="38" t="s">
        <v>51</v>
      </c>
      <c r="AA83" s="4">
        <f>AVERAGE(F83:F88)/AVERAGE(D83:D88)</f>
        <v>6.7272969106310407E-2</v>
      </c>
    </row>
    <row r="84" spans="1:27">
      <c r="A84" s="18"/>
      <c r="B84" s="13">
        <v>7</v>
      </c>
      <c r="C84" s="14" t="s">
        <v>28</v>
      </c>
      <c r="D84" s="15" cm="1">
        <f t="array" ref="D84">_xlfn.SINGLE(IF(A86=A87,_xll.ciqfunctions.udf.CIQ(A78,"IQ_TOTAL_REV",IQ_FY-4)/I84, _xll.ciqfunctions.udf.CIQ(A78, "IQ_TOTAL_REV",IQ_FY-3)/I84))</f>
        <v>15.063612037307104</v>
      </c>
      <c r="E84" s="16">
        <f t="shared" si="23"/>
        <v>4.9731047346024564E-2</v>
      </c>
      <c r="F84" s="15">
        <f>IF(A86=A87,_xll.ciqfunctions.udf.CIQ(A78,"IQ_DILUT_EPS_EXCL",IQ_FY-4), _xll.ciqfunctions.udf.CIQ(A78, "IQ_DILUT_EPS_EXCL",IQ_FY-3))</f>
        <v>1.06785</v>
      </c>
      <c r="G84" s="15">
        <f>IF(A86=A87,_xll.ciqfunctions.udf.CIQ(A78,"IQ_EBITDA_MARGIN",IQ_FY-4), _xll.ciqfunctions.udf.CIQ(A78, "IQ_EBITDA_MARGIN",IQ_FY-3))</f>
        <v>27.4971</v>
      </c>
      <c r="H84" s="15">
        <f>IF(A86=A87,_xll.ciqfunctions.udf.CIQ(A78,"IQ_TOTAL_DIV_PAID_CF",IQ_FY-4)/-I84, _xll.ciqfunctions.udf.CIQ(A78, "IQ_TOTAL_DIV_PAID_CF",IQ_FY-3)/-I84)</f>
        <v>0.97167696528574032</v>
      </c>
      <c r="I84" s="17">
        <f>IF(A86=A87,_xll.ciqfunctions.udf.CIQ(A78,"IQ_TOTAL_OUTSTANDING_FILING_DATE",IQ_FY-4), _xll.ciqfunctions.udf.CIQ(A78, "IQ_TOTAL_OUTSTANDING_FILING_DATE",IQ_FY-3))</f>
        <v>763.62827000000004</v>
      </c>
      <c r="J84" s="17">
        <f>IF(A86=A87,_xll.ciqfunctions.udf.CIQ(A78,"IQ_CASH_OPER",IQ_FY-4), _xll.ciqfunctions.udf.CIQ(A78, "IQ_CASH_OPER",IQ_FY-3))</f>
        <v>2031</v>
      </c>
      <c r="K84" s="17">
        <f>IF(A86=A87,_xll.ciqfunctions.udf.CIQ(A78,"IQ_CAPEX",IQ_FY-4), _xll.ciqfunctions.udf.CIQ(A78, "IQ_CAPEX",IQ_FY-3))</f>
        <v>-1978</v>
      </c>
      <c r="L84" s="15">
        <f t="shared" si="20"/>
        <v>6.9405497520410031E-2</v>
      </c>
      <c r="M84" s="17">
        <f>IF(A86=A87,_xll.ciqfunctions.udf.CIQ(A78,"IQ_TOTAL_DEBT_ISSUED",IQ_FY-4), _xll.ciqfunctions.udf.CIQ(A78, "IQ_TOTAL_DEBT_ISSUED",IQ_FY-3))</f>
        <v>1831</v>
      </c>
      <c r="N84" s="17">
        <f>IF(A86=A87,_xll.ciqfunctions.udf.CIQ(A78,"IQ_TOTAL_DEBT_REPAID",IQ_FY-4), _xll.ciqfunctions.udf.CIQ(A78, "IQ_TOTAL_DEBT_REPAID",IQ_FY-3))</f>
        <v>-300</v>
      </c>
      <c r="O84" s="15">
        <f t="shared" si="21"/>
        <v>2.0049022019575045</v>
      </c>
      <c r="P84" s="15">
        <f t="shared" si="22"/>
        <v>2.0743076994779144</v>
      </c>
      <c r="Q84" s="18"/>
      <c r="R84" s="38" t="s">
        <v>29</v>
      </c>
      <c r="S84" s="4">
        <f>(AVERAGE(P83:P88)/_xlfn.STDEV.P(P83:P88))/(IF(A86=A87,(_xlfn.SINGLE(_xll.ciqfunctions.udf.CIQ(A78,"IQ_total_assets",IQ_FY)) - _xlfn.SINGLE(_xll.ciqfunctions.udf.CIQ(A78,"iq_gw_intan", IQ_FY)))/I88, (_xlfn.SINGLE(_xll.ciqfunctions.udf.CIQ(A78, "IQ_total_assets",IQ_LTM))-_xlfn.SINGLE(_xll.ciqfunctions.udf.CIQ(A78,"iq_gw_intan",IQ_LTM)))/I88))</f>
        <v>0.13244782601255151</v>
      </c>
      <c r="U84" s="18"/>
      <c r="V84" s="38" t="s">
        <v>29</v>
      </c>
      <c r="W84" s="4">
        <f>(AVERAGE(P83:P88)/_xlfn.STDEV.P(P83:P88))/(IF(A86=A87,(_xlfn.SINGLE(_xll.ciqfunctions.udf.CIQ(A78,"IQ_total_assets",IQ_FY)) - _xlfn.SINGLE(_xll.ciqfunctions.udf.CIQ(A78,"iq_gw_intan", IQ_FY)))/I88, (_xlfn.SINGLE(_xll.ciqfunctions.udf.CIQ(A78, "IQ_total_assets",IQ_LTM))-_xlfn.SINGLE(_xll.ciqfunctions.udf.CIQ(A78,"iq_gw_intan",IQ_LTM)))/I88))</f>
        <v>0.13244782601255151</v>
      </c>
      <c r="Y84" s="18"/>
      <c r="Z84" s="38" t="s">
        <v>29</v>
      </c>
      <c r="AA84" s="4">
        <f>(AVERAGE(P83:P88)/_xlfn.STDEV.P(P83:P88))/(IF(A86=A87,(_xlfn.SINGLE(_xll.ciqfunctions.udf.CIQ(A78,"IQ_total_assets",IQ_FY)) - _xlfn.SINGLE(_xll.ciqfunctions.udf.CIQ(A78,"iq_gw_intan", IQ_FY)))/I88, (_xlfn.SINGLE(_xll.ciqfunctions.udf.CIQ(A78, "IQ_total_assets",IQ_LTM))-_xlfn.SINGLE(_xll.ciqfunctions.udf.CIQ(A78,"iq_gw_intan",IQ_LTM)))/I88))</f>
        <v>0.13244782601255151</v>
      </c>
    </row>
    <row r="85" spans="1:27">
      <c r="A85" s="18"/>
      <c r="B85" s="13">
        <v>8</v>
      </c>
      <c r="C85" s="14" t="s">
        <v>30</v>
      </c>
      <c r="D85" s="15" cm="1">
        <f t="array" ref="D85">_xlfn.SINGLE(IF(A86=A87,_xll.ciqfunctions.udf.CIQ(A78,"IQ_TOTAL_REV",IQ_FY-3)/I85, _xll.ciqfunctions.udf.CIQ(A78, "IQ_TOTAL_REV",IQ_FY-2)/I85))</f>
        <v>14.710401289673882</v>
      </c>
      <c r="E85" s="16">
        <f t="shared" si="23"/>
        <v>-2.3447945071769432E-2</v>
      </c>
      <c r="F85" s="15">
        <f>IF(A86=A87,_xll.ciqfunctions.udf.CIQ(A78,"IQ_DILUT_EPS_EXCL",IQ_FY-3), _xll.ciqfunctions.udf.CIQ(A78, "IQ_DILUT_EPS_EXCL",IQ_FY-2))</f>
        <v>0.54</v>
      </c>
      <c r="G85" s="15">
        <f>IF(A86=A87,_xll.ciqfunctions.udf.CIQ(A78,"IQ_EBITDA_MARGIN",IQ_FY-3), _xll.ciqfunctions.udf.CIQ(A78, "IQ_EBITDA_MARGIN",IQ_FY-2))</f>
        <v>25.347200000000001</v>
      </c>
      <c r="H85" s="15">
        <f>IF(A86=A87,_xll.ciqfunctions.udf.CIQ(A78,"IQ_TOTAL_DIV_PAID_CF",IQ_FY-3)/-I85, _xll.ciqfunctions.udf.CIQ(A78, "IQ_TOTAL_DIV_PAID_CF",IQ_FY-2)/-I85)</f>
        <v>1.0242489440832829</v>
      </c>
      <c r="I85" s="17">
        <f>IF(A86=A87,_xll.ciqfunctions.udf.CIQ(A78,"IQ_TOTAL_OUTSTANDING_FILING_DATE",IQ_FY-3), _xll.ciqfunctions.udf.CIQ(A78, "IQ_TOTAL_OUTSTANDING_FILING_DATE",IQ_FY-2))</f>
        <v>768.36788999999999</v>
      </c>
      <c r="J85" s="17">
        <f>IF(A86=A87,_xll.ciqfunctions.udf.CIQ(A78,"IQ_CASH_OPER",IQ_FY-3), _xll.ciqfunctions.udf.CIQ(A78, "IQ_CASH_OPER",IQ_FY-2))</f>
        <v>2180</v>
      </c>
      <c r="K85" s="17">
        <f>IF(A86=A87,_xll.ciqfunctions.udf.CIQ(A78,"IQ_CAPEX",IQ_FY-3), _xll.ciqfunctions.udf.CIQ(A78, "IQ_CAPEX",IQ_FY-2))</f>
        <v>-1377</v>
      </c>
      <c r="L85" s="15">
        <f t="shared" si="20"/>
        <v>1.045072302539868</v>
      </c>
      <c r="M85" s="17">
        <f>IF(A86=A87,_xll.ciqfunctions.udf.CIQ(A78,"IQ_TOTAL_DEBT_ISSUED",IQ_FY-3), _xll.ciqfunctions.udf.CIQ(A78, "IQ_TOTAL_DEBT_ISSUED",IQ_FY-2))</f>
        <v>243</v>
      </c>
      <c r="N85" s="17">
        <f>IF(A86=A87,_xll.ciqfunctions.udf.CIQ(A78,"IQ_TOTAL_DEBT_REPAID",IQ_FY-3), _xll.ciqfunctions.udf.CIQ(A78, "IQ_TOTAL_DEBT_REPAID",IQ_FY-2))</f>
        <v>-221</v>
      </c>
      <c r="O85" s="15">
        <f t="shared" si="21"/>
        <v>2.8632117877804602E-2</v>
      </c>
      <c r="P85" s="15">
        <f t="shared" si="22"/>
        <v>1.0737044204176727</v>
      </c>
      <c r="Q85" s="18"/>
      <c r="R85" s="39" t="s">
        <v>31</v>
      </c>
      <c r="S85" s="5">
        <f>IF(NOT(D78&gt;0),FALSE,SLOPE(G78:G88,B78:B88))</f>
        <v>-0.83563454545454552</v>
      </c>
      <c r="U85" s="18"/>
      <c r="V85" s="39" t="s">
        <v>31</v>
      </c>
      <c r="W85" s="5">
        <f>IF(NOT(D78&gt;0),FALSE,SLOPE(G78:G88,B78:B88))</f>
        <v>-0.83563454545454552</v>
      </c>
      <c r="Y85" s="18"/>
      <c r="Z85" s="39" t="s">
        <v>31</v>
      </c>
      <c r="AA85" s="5">
        <f>IF(NOT(L78&gt;0),FALSE,SLOPE(O78:O88,J78:J88))</f>
        <v>-5.3846808183399895E-4</v>
      </c>
    </row>
    <row r="86" spans="1:27">
      <c r="A86" s="19">
        <f>_xll.ciqfunctions.udf.CIQ(A78,"IQ_TOTAL_REV",IQ_FY)</f>
        <v>14189</v>
      </c>
      <c r="B86" s="13">
        <v>9</v>
      </c>
      <c r="C86" s="14" t="s">
        <v>32</v>
      </c>
      <c r="D86" s="15" cm="1">
        <f t="array" ref="D86">_xlfn.SINGLE(IF(A86=A87,_xll.ciqfunctions.udf.CIQ(A78,"IQ_TOTAL_REV",IQ_FY-2)/I86, _xll.ciqfunctions.udf.CIQ(A78, "IQ_TOTAL_REV",IQ_FY-1)/I86))</f>
        <v>16.648351745789292</v>
      </c>
      <c r="E86" s="16">
        <f t="shared" si="23"/>
        <v>0.1317401488887848</v>
      </c>
      <c r="F86" s="15">
        <f>IF(A86=A87,_xll.ciqfunctions.udf.CIQ(A78,"IQ_DILUT_EPS_EXCL",IQ_FY-2), _xll.ciqfunctions.udf.CIQ(A78, "IQ_DILUT_EPS_EXCL",IQ_FY-1))</f>
        <v>1.28</v>
      </c>
      <c r="G86" s="15">
        <f>IF(A86=A87,_xll.ciqfunctions.udf.CIQ(A78,"IQ_EBITDA_MARGIN",IQ_FY-2), _xll.ciqfunctions.udf.CIQ(A78, "IQ_EBITDA_MARGIN",IQ_FY-1))</f>
        <v>26.8001</v>
      </c>
      <c r="H86" s="15">
        <f>IF(A86=A87,_xll.ciqfunctions.udf.CIQ(A78,"IQ_TOTAL_DIV_PAID_CF",IQ_FY-2)/-I86, _xll.ciqfunctions.udf.CIQ(A78, "IQ_TOTAL_DIV_PAID_CF",IQ_FY-1)/-I86)</f>
        <v>1.0297340129656636</v>
      </c>
      <c r="I86" s="17">
        <f>IF(A86=A87,_xll.ciqfunctions.udf.CIQ(A78,"IQ_TOTAL_OUTSTANDING_FILING_DATE",IQ_FY-2), _xll.ciqfunctions.udf.CIQ(A78, "IQ_TOTAL_OUTSTANDING_FILING_DATE",IQ_FY-1))</f>
        <v>845.84950000000003</v>
      </c>
      <c r="J86" s="17">
        <f>IF(A86=A87,_xll.ciqfunctions.udf.CIQ(A78,"IQ_CASH_OPER",IQ_FY-2), _xll.ciqfunctions.udf.CIQ(A78, "IQ_CASH_OPER",IQ_FY-1))</f>
        <v>3412</v>
      </c>
      <c r="K86" s="17">
        <f>IF(A86=A87,_xll.ciqfunctions.udf.CIQ(A78,"IQ_CAPEX",IQ_FY-2), _xll.ciqfunctions.udf.CIQ(A78, "IQ_CAPEX",IQ_FY-1))</f>
        <v>-1637</v>
      </c>
      <c r="L86" s="15">
        <f t="shared" si="20"/>
        <v>2.098482058569521</v>
      </c>
      <c r="M86" s="17">
        <f>IF(A86=A87,_xll.ciqfunctions.udf.CIQ(A78,"IQ_TOTAL_DEBT_ISSUED",IQ_FY-2), _xll.ciqfunctions.udf.CIQ(A78, "IQ_TOTAL_DEBT_ISSUED",IQ_FY-1))</f>
        <v>22</v>
      </c>
      <c r="N86" s="17">
        <f>IF(A86=A87,_xll.ciqfunctions.udf.CIQ(A78,"IQ_TOTAL_DEBT_REPAID",IQ_FY-2), _xll.ciqfunctions.udf.CIQ(A78, "IQ_TOTAL_DEBT_REPAID",IQ_FY-1))</f>
        <v>-860</v>
      </c>
      <c r="O86" s="15">
        <f t="shared" si="21"/>
        <v>-0.99071998032746955</v>
      </c>
      <c r="P86" s="15">
        <f t="shared" si="22"/>
        <v>1.1077620782420514</v>
      </c>
      <c r="Q86" s="25" t="s">
        <v>33</v>
      </c>
      <c r="R86" s="38" t="s">
        <v>52</v>
      </c>
      <c r="S86" s="4">
        <f>(AVERAGE(O83:O88)/AVERAGE(P83:P88))</f>
        <v>0.35893872554896761</v>
      </c>
      <c r="U86" s="25" t="s">
        <v>54</v>
      </c>
      <c r="V86" s="38" t="s">
        <v>52</v>
      </c>
      <c r="W86" s="4">
        <f>(AVERAGE(O83:O88)/AVERAGE(P83:P88))</f>
        <v>0.35893872554896761</v>
      </c>
      <c r="Y86" s="25" t="s">
        <v>60</v>
      </c>
      <c r="Z86" s="38" t="s">
        <v>52</v>
      </c>
      <c r="AA86" s="4">
        <f>(AVERAGE(O83:O88)/AVERAGE(P83:P88))</f>
        <v>0.35893872554896761</v>
      </c>
    </row>
    <row r="87" spans="1:27">
      <c r="A87" s="19">
        <f>_xll.ciqfunctions.udf.CIQ(A78,"IQ_TOTAL_REV",IQ_LTM)</f>
        <v>13000</v>
      </c>
      <c r="B87" s="13">
        <v>10</v>
      </c>
      <c r="C87" s="14" t="s">
        <v>34</v>
      </c>
      <c r="D87" s="15" cm="1">
        <f t="array" ref="D87">_xlfn.SINGLE(IF(A86=A87,_xll.ciqfunctions.udf.CIQ(A78,"IQ_TOTAL_REV",IQ_FY-1)/I87, _xll.ciqfunctions.udf.CIQ(A78, "IQ_TOTAL_REV",IQ_FY)/I87))</f>
        <v>16.760705299550978</v>
      </c>
      <c r="E87" s="16">
        <f t="shared" si="23"/>
        <v>6.7486292623594102E-3</v>
      </c>
      <c r="F87" s="15">
        <f>IF(A86=A87,_xll.ciqfunctions.udf.CIQ(A78,"IQ_DILUT_EPS_EXCL",IQ_FY-1), _xll.ciqfunctions.udf.CIQ(A78, "IQ_DILUT_EPS_EXCL",IQ_FY))</f>
        <v>1.54</v>
      </c>
      <c r="G87" s="15">
        <f>IF(A86=A87,_xll.ciqfunctions.udf.CIQ(A78,"IQ_EBITDA_MARGIN",IQ_FY-1), _xll.ciqfunctions.udf.CIQ(A78, "IQ_EBITDA_MARGIN",IQ_FY))</f>
        <v>23.659099999999999</v>
      </c>
      <c r="H87" s="15">
        <f>IF(A86=A87,_xll.ciqfunctions.udf.CIQ(A78,"IQ_TOTAL_DIV_PAID_CF",IQ_FY-1)/-I87, _xll.ciqfunctions.udf.CIQ(A78, "IQ_TOTAL_DIV_PAID_CF",IQ_FY)/-I87)</f>
        <v>1.1009216533357891</v>
      </c>
      <c r="I87" s="17">
        <f>IF(A86=A87,_xll.ciqfunctions.udf.CIQ(A78,"IQ_TOTAL_OUTSTANDING_FILING_DATE",IQ_FY-1), _xll.ciqfunctions.udf.CIQ(A78, "IQ_TOTAL_OUTSTANDING_FILING_DATE",IQ_FY))</f>
        <v>846.56341999999995</v>
      </c>
      <c r="J87" s="17">
        <f>IF(A86=A87,_xll.ciqfunctions.udf.CIQ(A78,"IQ_CASH_OPER",IQ_FY-1), _xll.ciqfunctions.udf.CIQ(A78, "IQ_CASH_OPER",IQ_FY))</f>
        <v>2615</v>
      </c>
      <c r="K87" s="17">
        <f>IF(A86=A87,_xll.ciqfunctions.udf.CIQ(A78,"IQ_CAPEX",IQ_FY-1), _xll.ciqfunctions.udf.CIQ(A78, "IQ_CAPEX",IQ_FY))</f>
        <v>-1604</v>
      </c>
      <c r="L87" s="15">
        <f t="shared" si="20"/>
        <v>1.1942401196593164</v>
      </c>
      <c r="M87" s="17">
        <f>IF(A86=A87,_xll.ciqfunctions.udf.CIQ(A78,"IQ_TOTAL_DEBT_ISSUED",IQ_FY-1), _xll.ciqfunctions.udf.CIQ(A78, "IQ_TOTAL_DEBT_ISSUED",IQ_FY))</f>
        <v>127</v>
      </c>
      <c r="N87" s="17">
        <f>IF(A86=A87,_xll.ciqfunctions.udf.CIQ(A78,"IQ_TOTAL_DEBT_REPAID",IQ_FY-1), _xll.ciqfunctions.udf.CIQ(A78, "IQ_TOTAL_DEBT_REPAID",IQ_FY))</f>
        <v>-87</v>
      </c>
      <c r="O87" s="15">
        <f t="shared" si="21"/>
        <v>4.7249856366342879E-2</v>
      </c>
      <c r="P87" s="15">
        <f t="shared" si="22"/>
        <v>1.2414899760256592</v>
      </c>
      <c r="Q87" s="25" t="s">
        <v>44</v>
      </c>
      <c r="R87" s="38" t="s">
        <v>35</v>
      </c>
      <c r="S87" s="1">
        <f>_xll.ciqfunctions.udf.CIQ(A78,"IQ_TEV_EBITDA")</f>
        <v>10.744590000000001</v>
      </c>
      <c r="U87" s="25" t="s">
        <v>55</v>
      </c>
      <c r="V87" s="38" t="s">
        <v>53</v>
      </c>
      <c r="W87" s="1">
        <f>V77/(AVERAGE(D83:D88)/_xlfn.STDEV.P(E83:E88))</f>
        <v>0.18280898205915616</v>
      </c>
      <c r="Y87" s="25" t="s">
        <v>57</v>
      </c>
      <c r="Z87" s="38" t="s">
        <v>53</v>
      </c>
      <c r="AA87" s="1">
        <f>Z77/(AVERAGE(D83:D88)/_xlfn.STDEV.P(E83:E88))</f>
        <v>0.18280898205915616</v>
      </c>
    </row>
    <row r="88" spans="1:27">
      <c r="B88" s="13">
        <v>11</v>
      </c>
      <c r="C88" s="20" t="s">
        <v>36</v>
      </c>
      <c r="D88" s="21" cm="1">
        <f t="array" ref="D88">_xlfn.SINGLE(IF(A86=A87,_xll.ciqfunctions.udf.CIQ(A78,"IQ_TOTAL_REV",IQ_FY)/I88, _xll.ciqfunctions.udf.CIQ(A78, "IQ_TOTAL_REV",IQ_LTM)/I88))</f>
        <v>15.237204358384297</v>
      </c>
      <c r="E88" s="22">
        <f t="shared" si="23"/>
        <v>-9.0897185645731488E-2</v>
      </c>
      <c r="F88" s="21">
        <f>IF(A86=A87,_xll.ciqfunctions.udf.CIQ(A78,"IQ_DILUT_EPS_EXCL",IQ_FY), _xll.ciqfunctions.udf.CIQ(A78, "IQ_DILUT_EPS_EXCL",IQ_LTM))</f>
        <v>0.68023999999999996</v>
      </c>
      <c r="G88" s="21">
        <f>IF(A86=A87,_xll.ciqfunctions.udf.CIQ(A78,"IQ_EBITDA_MARGIN",IQ_FY), _xll.ciqfunctions.udf.CIQ(A78, "IQ_EBITDA_MARGIN",IQ_LTM))</f>
        <v>20.792300000000001</v>
      </c>
      <c r="H88" s="21">
        <f>IF(A86=A87,_xll.ciqfunctions.udf.CIQ(A78,"IQ_TOTAL_DIV_PAID_CF",IQ_FY)/-I88, _xll.ciqfunctions.udf.CIQ(A78, "IQ_TOTAL_DIV_PAID_CF",IQ_LTM)/-I88)</f>
        <v>1.1451345121647276</v>
      </c>
      <c r="I88" s="23">
        <f>IF(A86=A87,_xll.ciqfunctions.udf.CIQ(A78,"IQ_TOTAL_OUTSTANDING_FILING_DATE",IQ_FY),_xll.ciqfunctions.udf.CIQ(A78,"IQ_sharesoutstanding"))</f>
        <v>853.17488000000003</v>
      </c>
      <c r="J88" s="23">
        <f>IF(A86=A87,_xll.ciqfunctions.udf.CIQ(A78,"IQ_CASH_OPER",IQ_FY), _xll.ciqfunctions.udf.CIQ(A78, "IQ_CASH_OPER",IQ_LTM))</f>
        <v>1909</v>
      </c>
      <c r="K88" s="23">
        <f>IF(A86=A87,_xll.ciqfunctions.udf.CIQ(A78,"IQ_CAPEX",IQ_FY), _xll.ciqfunctions.udf.CIQ(A78, "IQ_CAPEX",IQ_LTM))</f>
        <v>-1514</v>
      </c>
      <c r="L88" s="21">
        <f t="shared" si="20"/>
        <v>0.46297659396629209</v>
      </c>
      <c r="M88" s="23">
        <f>IF(A86=A87,_xll.ciqfunctions.udf.CIQ(A78,"IQ_TOTAL_DEBT_ISSUED",IQ_FY), _xll.ciqfunctions.udf.CIQ(A78, "IQ_TOTAL_DEBT_ISSUED",IQ_LTM))</f>
        <v>1018</v>
      </c>
      <c r="N88" s="23">
        <f>IF(A86=A87,_xll.ciqfunctions.udf.CIQ(A78,"IQ_TOTAL_DEBT_REPAID",IQ_FY), _xll.ciqfunctions.udf.CIQ(A78, "IQ_TOTAL_DEBT_REPAID",IQ_LTM))</f>
        <v>-180</v>
      </c>
      <c r="O88" s="21">
        <f t="shared" si="21"/>
        <v>0.98221363479431079</v>
      </c>
      <c r="P88" s="21">
        <f t="shared" si="22"/>
        <v>1.4451902287606029</v>
      </c>
      <c r="Q88" s="25" t="s">
        <v>45</v>
      </c>
      <c r="S88" s="45"/>
      <c r="U88" s="25"/>
      <c r="W88" s="45"/>
      <c r="Y88" s="25"/>
      <c r="AA88" s="45"/>
    </row>
    <row r="89" spans="1:27">
      <c r="B89" s="24"/>
      <c r="C89" s="25" t="s">
        <v>37</v>
      </c>
      <c r="E89" s="26">
        <f>((D88/D83)^(1/5))-1</f>
        <v>1.2070677977285893E-2</v>
      </c>
      <c r="F89" s="27">
        <f>((F88/F83)^(1/5))-1</f>
        <v>-9.6977195015425344E-2</v>
      </c>
      <c r="G89" s="28"/>
      <c r="H89" s="27">
        <f>((H88/H83)^(1/5))-1</f>
        <v>5.6335216968045776E-2</v>
      </c>
      <c r="I89" s="27">
        <f>((I88/I83)^(1/5))-1</f>
        <v>1.6340049486306407E-2</v>
      </c>
      <c r="J89" s="27"/>
      <c r="K89" s="27"/>
      <c r="L89" s="26">
        <f>((L88/L83)^(1/5))-1</f>
        <v>-9.7687609635075723E-2</v>
      </c>
      <c r="M89" s="26"/>
      <c r="N89" s="26"/>
      <c r="O89" s="26"/>
      <c r="P89" s="26">
        <f>((P88/P83)^(1/5))-1</f>
        <v>-4.9425738467922198E-2</v>
      </c>
      <c r="Q89" s="18"/>
      <c r="R89" s="36"/>
      <c r="S89" s="45"/>
      <c r="U89" s="18"/>
      <c r="V89" s="36"/>
      <c r="W89" s="45"/>
      <c r="Y89" s="18"/>
      <c r="Z89" s="36"/>
      <c r="AA89" s="45"/>
    </row>
    <row r="90" spans="1:27">
      <c r="A90" s="29"/>
      <c r="B90" s="30"/>
      <c r="C90" s="31" t="s">
        <v>38</v>
      </c>
      <c r="D90" s="29"/>
      <c r="E90" s="32">
        <f>((D88/D78)^(1/10))-1</f>
        <v>0.10495152005853869</v>
      </c>
      <c r="F90" s="33">
        <f>((F88/F78)^(1/10))-1</f>
        <v>-6.5550713471848043E-2</v>
      </c>
      <c r="G90" s="34"/>
      <c r="H90" s="33">
        <f>((H88/H78)^(1/10))-1</f>
        <v>0.10910285447277213</v>
      </c>
      <c r="I90" s="33">
        <f>((I88/I78)^(1/10))-1</f>
        <v>-4.7782869485516022E-2</v>
      </c>
      <c r="J90" s="33"/>
      <c r="K90" s="33"/>
      <c r="L90" s="32">
        <f>((L88/L78)^(1/10))-1</f>
        <v>-9.5985298412797571E-2</v>
      </c>
      <c r="M90" s="32"/>
      <c r="N90" s="32"/>
      <c r="O90" s="32"/>
      <c r="P90" s="32">
        <f>((P88/P78)^(1/10))-1</f>
        <v>1.6034813918238688E-2</v>
      </c>
      <c r="Q90" s="40"/>
      <c r="R90" s="41"/>
      <c r="S90" s="46"/>
      <c r="U90" s="40"/>
      <c r="V90" s="41"/>
      <c r="W90" s="46"/>
      <c r="Y90" s="40"/>
      <c r="Z90" s="41"/>
      <c r="AA90" s="46"/>
    </row>
    <row r="91" spans="1:27">
      <c r="B91" s="24"/>
      <c r="C91" s="25"/>
      <c r="E91" s="26"/>
      <c r="F91" s="27"/>
      <c r="G91" s="28"/>
      <c r="H91" s="27"/>
      <c r="I91" s="27"/>
      <c r="J91" s="27"/>
      <c r="K91" s="27"/>
      <c r="L91" s="26"/>
      <c r="M91" s="17"/>
      <c r="N91" s="17"/>
      <c r="O91" s="17"/>
      <c r="P91" s="35"/>
      <c r="Q91" s="18"/>
      <c r="R91" s="36"/>
    </row>
    <row r="92" spans="1:27">
      <c r="A92" s="9" t="s">
        <v>0</v>
      </c>
      <c r="B92" s="10"/>
      <c r="C92" s="9" t="s">
        <v>1</v>
      </c>
      <c r="D92" s="9" t="s">
        <v>2</v>
      </c>
      <c r="E92" s="9" t="s">
        <v>3</v>
      </c>
      <c r="F92" s="11" t="s">
        <v>4</v>
      </c>
      <c r="G92" s="11" t="s">
        <v>5</v>
      </c>
      <c r="H92" s="9" t="s">
        <v>6</v>
      </c>
      <c r="I92" s="11" t="s">
        <v>7</v>
      </c>
      <c r="J92" s="11" t="s">
        <v>8</v>
      </c>
      <c r="K92" s="11" t="s">
        <v>9</v>
      </c>
      <c r="L92" s="11" t="s">
        <v>10</v>
      </c>
      <c r="M92" s="11" t="s">
        <v>11</v>
      </c>
      <c r="N92" s="11" t="s">
        <v>12</v>
      </c>
      <c r="O92" s="11" t="s">
        <v>13</v>
      </c>
      <c r="P92" s="11" t="s">
        <v>14</v>
      </c>
      <c r="Q92" s="37" t="s">
        <v>15</v>
      </c>
      <c r="R92" s="42">
        <f>_xll.ciqfunctions.udf.CIQ(A93,("IQ_LASTSALEPRICE"))</f>
        <v>136.48500000000001</v>
      </c>
      <c r="S92" s="44"/>
      <c r="U92" s="37" t="s">
        <v>15</v>
      </c>
      <c r="V92" s="42">
        <f>_xll.ciqfunctions.udf.CIQ(A93,("IQ_LASTSALEPRICE"))</f>
        <v>136.48500000000001</v>
      </c>
      <c r="W92" s="44"/>
      <c r="Y92" s="37" t="s">
        <v>15</v>
      </c>
      <c r="Z92" s="42">
        <f>_xll.ciqfunctions.udf.CIQ(A93,("IQ_LASTSALEPRICE"))</f>
        <v>136.48500000000001</v>
      </c>
      <c r="AA92" s="44"/>
    </row>
    <row r="93" spans="1:27">
      <c r="A93" s="12" t="str">
        <f>Analysis!B8</f>
        <v>NYSE:KEYS</v>
      </c>
      <c r="B93" s="13">
        <v>1</v>
      </c>
      <c r="C93" s="14" t="s">
        <v>16</v>
      </c>
      <c r="D93" s="15">
        <f>IF(A101=A102,_xll.ciqfunctions.udf.CIQ(A93,"IQ_TOTAL_REV",IQ_FY-10)/I93,_xll.ciqfunctions.udf.CIQ(A93, "IQ_TOTAL_REV",IQ_FY-9)/I93)</f>
        <v>17.293413173652695</v>
      </c>
      <c r="E93" s="16"/>
      <c r="F93" s="15">
        <f>IF(A101=A102,_xll.ciqfunctions.udf.CIQ(A93,"IQ_DILUT_EPS_EXCL",IQ_FY-10), _xll.ciqfunctions.udf.CIQ(A93, "IQ_DILUT_EPS_EXCL",IQ_FY-9))</f>
        <v>2.7365300000000001</v>
      </c>
      <c r="G93" s="15">
        <f>IF(A101=A102,_xll.ciqfunctions.udf.CIQ(A93,"IQ_EBITDA_MARGIN",IQ_FY-10), _xll.ciqfunctions.udf.CIQ(A93, "IQ_EBITDA_MARGIN",IQ_FY-9))</f>
        <v>19.9099</v>
      </c>
      <c r="H93" s="15">
        <f>IF(A101=A102,_xll.ciqfunctions.udf.CIQ(A93,"IQ_TOTAL_DIV_PAID_CF",IQ_FY-10)/-I93, _xll.ciqfunctions.udf.CIQ(A93, "IQ_TOTAL_DIV_PAID_CF",IQ_FY-9)/-I93)</f>
        <v>0</v>
      </c>
      <c r="I93" s="17">
        <f>IF(A101=A102,_xll.ciqfunctions.udf.CIQ(A93,"IQ_TOTAL_OUTSTANDING_FILING_DATE",IQ_FY-10), _xll.ciqfunctions.udf.CIQ(A93, "IQ_TOTAL_OUTSTANDING_FILING_DATE",IQ_FY-9))</f>
        <v>167</v>
      </c>
      <c r="J93" s="17">
        <f>IF(A101=A102,_xll.ciqfunctions.udf.CIQ(A93,"IQ_CASH_OPER",IQ_FY-10), _xll.ciqfunctions.udf.CIQ(A93, "IQ_CASH_OPER",IQ_FY-9))</f>
        <v>566</v>
      </c>
      <c r="K93" s="17">
        <f>IF(A101=A102,_xll.ciqfunctions.udf.CIQ(A93,"IQ_CAPEX",IQ_FY-10), _xll.ciqfunctions.udf.CIQ(A93, "IQ_CAPEX",IQ_FY-9))</f>
        <v>-69</v>
      </c>
      <c r="L93" s="15">
        <f t="shared" ref="L93:L103" si="24">(J93+K93)/I93</f>
        <v>2.9760479041916166</v>
      </c>
      <c r="M93" s="17">
        <f>IF(A101=A102,_xll.ciqfunctions.udf.CIQ(A93,"IQ_TOTAL_DEBT_ISSUED",IQ_FY-10), _xll.ciqfunctions.udf.CIQ(A93, "IQ_TOTAL_DEBT_ISSUED",IQ_FY-9))</f>
        <v>0</v>
      </c>
      <c r="N93" s="17">
        <f>IF(A101=A102,_xll.ciqfunctions.udf.CIQ(A93,"IQ_TOTAL_DEBT_REPAID",IQ_FY-10), _xll.ciqfunctions.udf.CIQ(A93, "IQ_TOTAL_DEBT_REPAID",IQ_FY-9))</f>
        <v>0</v>
      </c>
      <c r="O93" s="15">
        <f t="shared" ref="O93:O103" si="25">(M93+N93)/I93</f>
        <v>0</v>
      </c>
      <c r="P93" s="15">
        <f t="shared" ref="P93:P103" si="26">L93+O93</f>
        <v>2.9760479041916166</v>
      </c>
      <c r="W93" s="43"/>
      <c r="AA93" s="43"/>
    </row>
    <row r="94" spans="1:27">
      <c r="A94" s="18" t="str">
        <f>_xll.ciqfunctions.udf.CIQ(A93,"IQ_COMPANY_NAME")</f>
        <v>Keysight Technologies, Inc.</v>
      </c>
      <c r="B94" s="13">
        <v>2</v>
      </c>
      <c r="C94" s="14" t="s">
        <v>17</v>
      </c>
      <c r="D94" s="15">
        <f>IF(A101=A102,_xll.ciqfunctions.udf.CIQ(A93,"IQ_TOTAL_REV",IQ_FY-9)/I94, _xll.ciqfunctions.udf.CIQ(A93, "IQ_TOTAL_REV",IQ_FY-8)/I94)</f>
        <v>17.475431170365908</v>
      </c>
      <c r="E94" s="16">
        <f t="shared" ref="E94:E103" si="27">(D94-D93)/D93</f>
        <v>1.0525278895812546E-2</v>
      </c>
      <c r="F94" s="15">
        <f>IF(A101=A102,_xll.ciqfunctions.udf.CIQ(A93,"IQ_DILUT_EPS_EXCL",IQ_FY-9), _xll.ciqfunctions.udf.CIQ(A93, "IQ_DILUT_EPS_EXCL",IQ_FY-8))</f>
        <v>2.3473099999999998</v>
      </c>
      <c r="G94" s="15">
        <f>IF(A101=A102,_xll.ciqfunctions.udf.CIQ(A93,"IQ_EBITDA_MARGIN",IQ_FY-9), _xll.ciqfunctions.udf.CIQ(A93, "IQ_EBITDA_MARGIN",IQ_FY-8))</f>
        <v>21.4115</v>
      </c>
      <c r="H94" s="15">
        <f>IF(A101=A102,_xll.ciqfunctions.udf.CIQ(A93,"IQ_TOTAL_DIV_PAID_CF",IQ_FY-9)/-I94, _xll.ciqfunctions.udf.CIQ(A93, "IQ_TOTAL_DIV_PAID_CF",IQ_FY-8)/-I94)</f>
        <v>0</v>
      </c>
      <c r="I94" s="17">
        <f>IF(A101=A102,_xll.ciqfunctions.udf.CIQ(A93,"IQ_TOTAL_OUTSTANDING_FILING_DATE",IQ_FY-9), _xll.ciqfunctions.udf.CIQ(A93, "IQ_TOTAL_OUTSTANDING_FILING_DATE",IQ_FY-8))</f>
        <v>167.83563000000001</v>
      </c>
      <c r="J94" s="17">
        <f>IF(A101=A102,_xll.ciqfunctions.udf.CIQ(A93,"IQ_CASH_OPER",IQ_FY-9), _xll.ciqfunctions.udf.CIQ(A93, "IQ_CASH_OPER",IQ_FY-8))</f>
        <v>563</v>
      </c>
      <c r="K94" s="17">
        <f>IF(A101=A102,_xll.ciqfunctions.udf.CIQ(A93,"IQ_CAPEX",IQ_FY-9), _xll.ciqfunctions.udf.CIQ(A93, "IQ_CAPEX",IQ_FY-8))</f>
        <v>-70</v>
      </c>
      <c r="L94" s="15">
        <f t="shared" si="24"/>
        <v>2.9373977384897354</v>
      </c>
      <c r="M94" s="17">
        <f>IF(A101=A102,_xll.ciqfunctions.udf.CIQ(A93,"IQ_TOTAL_DEBT_ISSUED",IQ_FY-9), _xll.ciqfunctions.udf.CIQ(A93, "IQ_TOTAL_DEBT_ISSUED",IQ_FY-8))</f>
        <v>1101</v>
      </c>
      <c r="N94" s="17">
        <f>IF(A101=A102,_xll.ciqfunctions.udf.CIQ(A93,"IQ_TOTAL_DEBT_REPAID",IQ_FY-9), _xll.ciqfunctions.udf.CIQ(A93, "IQ_TOTAL_DEBT_REPAID",IQ_FY-8))</f>
        <v>-37</v>
      </c>
      <c r="O94" s="15">
        <f t="shared" si="25"/>
        <v>6.339535889965676</v>
      </c>
      <c r="P94" s="15">
        <f t="shared" si="26"/>
        <v>9.2769336284554118</v>
      </c>
      <c r="Q94" s="25" t="s">
        <v>18</v>
      </c>
      <c r="R94" s="39" t="s">
        <v>19</v>
      </c>
      <c r="S94" s="1">
        <f>R92/((AVERAGE(P98:P103))*(1+E104)^3)</f>
        <v>22.064250594921262</v>
      </c>
      <c r="U94" s="25" t="s">
        <v>48</v>
      </c>
      <c r="V94" s="39" t="s">
        <v>19</v>
      </c>
      <c r="W94" s="1">
        <f>V92/((AVERAGE(P98:P103))*(1+E104)^3)</f>
        <v>22.064250594921262</v>
      </c>
      <c r="Y94" s="25" t="s">
        <v>39</v>
      </c>
      <c r="Z94" s="39" t="s">
        <v>19</v>
      </c>
      <c r="AA94" s="1">
        <f>Z92/((AVERAGE(P98:P103))*(1+E104)^3)</f>
        <v>22.064250594921262</v>
      </c>
    </row>
    <row r="95" spans="1:27">
      <c r="B95" s="13">
        <v>3</v>
      </c>
      <c r="C95" s="14" t="s">
        <v>20</v>
      </c>
      <c r="D95" s="15" cm="1">
        <f t="array" ref="D95">_xlfn.SINGLE(IF(A101=A102,_xll.ciqfunctions.udf.CIQ(A93,"IQ_TOTAL_REV",IQ_FY-8)/I95, _xll.ciqfunctions.udf.CIQ(A93, "IQ_TOTAL_REV",IQ_FY-7)/I95))</f>
        <v>16.716365075580097</v>
      </c>
      <c r="E95" s="16">
        <f t="shared" si="27"/>
        <v>-4.343618691783719E-2</v>
      </c>
      <c r="F95" s="15">
        <f>IF(A101=A102,_xll.ciqfunctions.udf.CIQ(A93,"IQ_DILUT_EPS_EXCL",IQ_FY-8), _xll.ciqfunctions.udf.CIQ(A93, "IQ_DILUT_EPS_EXCL",IQ_FY-7))</f>
        <v>3</v>
      </c>
      <c r="G95" s="15">
        <f>IF(A101=A102,_xll.ciqfunctions.udf.CIQ(A93,"IQ_EBITDA_MARGIN",IQ_FY-8), _xll.ciqfunctions.udf.CIQ(A93, "IQ_EBITDA_MARGIN",IQ_FY-7))</f>
        <v>20.3081</v>
      </c>
      <c r="H95" s="15">
        <f>IF(A101=A102,_xll.ciqfunctions.udf.CIQ(A93,"IQ_TOTAL_DIV_PAID_CF",IQ_FY-8)/-I95, _xll.ciqfunctions.udf.CIQ(A93, "IQ_TOTAL_DIV_PAID_CF",IQ_FY-7)/-I95)</f>
        <v>0</v>
      </c>
      <c r="I95" s="17">
        <f>IF(A101=A102,_xll.ciqfunctions.udf.CIQ(A93,"IQ_TOTAL_OUTSTANDING_FILING_DATE",IQ_FY-8), _xll.ciqfunctions.udf.CIQ(A93, "IQ_TOTAL_OUTSTANDING_FILING_DATE",IQ_FY-7))</f>
        <v>170.85054</v>
      </c>
      <c r="J95" s="17">
        <f>IF(A101=A102,_xll.ciqfunctions.udf.CIQ(A93,"IQ_CASH_OPER",IQ_FY-8), _xll.ciqfunctions.udf.CIQ(A93, "IQ_CASH_OPER",IQ_FY-7))</f>
        <v>376</v>
      </c>
      <c r="K95" s="17">
        <f>IF(A101=A102,_xll.ciqfunctions.udf.CIQ(A93,"IQ_CAPEX",IQ_FY-8), _xll.ciqfunctions.udf.CIQ(A93, "IQ_CAPEX",IQ_FY-7))</f>
        <v>-92</v>
      </c>
      <c r="L95" s="15">
        <f t="shared" si="24"/>
        <v>1.6622715971515221</v>
      </c>
      <c r="M95" s="17">
        <f>IF(A101=A102,_xll.ciqfunctions.udf.CIQ(A93,"IQ_TOTAL_DEBT_ISSUED",IQ_FY-8), _xll.ciqfunctions.udf.CIQ(A93, "IQ_TOTAL_DEBT_ISSUED",IQ_FY-7))</f>
        <v>0</v>
      </c>
      <c r="N95" s="17">
        <f>IF(A101=A102,_xll.ciqfunctions.udf.CIQ(A93,"IQ_TOTAL_DEBT_REPAID",IQ_FY-8), _xll.ciqfunctions.udf.CIQ(A93, "IQ_TOTAL_DEBT_REPAID",IQ_FY-7))</f>
        <v>0</v>
      </c>
      <c r="O95" s="15">
        <f t="shared" si="25"/>
        <v>0</v>
      </c>
      <c r="P95" s="15">
        <f t="shared" si="26"/>
        <v>1.6622715971515221</v>
      </c>
      <c r="Q95" s="25" t="s">
        <v>21</v>
      </c>
      <c r="R95" s="38" t="s">
        <v>49</v>
      </c>
      <c r="S95" s="2">
        <f>(R92*I103)/1000</f>
        <v>23.830281000000003</v>
      </c>
      <c r="U95" s="25" t="s">
        <v>59</v>
      </c>
      <c r="V95" s="38" t="s">
        <v>49</v>
      </c>
      <c r="W95" s="2">
        <f>(V92*I103)/1000</f>
        <v>23.830281000000003</v>
      </c>
      <c r="Y95" s="25" t="s">
        <v>46</v>
      </c>
      <c r="Z95" s="38" t="s">
        <v>49</v>
      </c>
      <c r="AA95" s="2">
        <f>(Z92*I103)/1000</f>
        <v>23.830281000000003</v>
      </c>
    </row>
    <row r="96" spans="1:27">
      <c r="A96" s="18"/>
      <c r="B96" s="13">
        <v>4</v>
      </c>
      <c r="C96" s="14" t="s">
        <v>22</v>
      </c>
      <c r="D96" s="15" cm="1">
        <f t="array" ref="D96">_xlfn.SINGLE(IF(A101=A102,_xll.ciqfunctions.udf.CIQ(A93,"IQ_TOTAL_REV",IQ_FY-7)/I96, _xll.ciqfunctions.udf.CIQ(A93, "IQ_TOTAL_REV",IQ_FY-6)/I96))</f>
        <v>17.01999388493434</v>
      </c>
      <c r="E96" s="16">
        <f t="shared" si="27"/>
        <v>1.8163566539821291E-2</v>
      </c>
      <c r="F96" s="15">
        <f>IF(A101=A102,_xll.ciqfunctions.udf.CIQ(A93,"IQ_DILUT_EPS_EXCL",IQ_FY-7), _xll.ciqfunctions.udf.CIQ(A93, "IQ_DILUT_EPS_EXCL",IQ_FY-6))</f>
        <v>1.95</v>
      </c>
      <c r="G96" s="15">
        <f>IF(A101=A102,_xll.ciqfunctions.udf.CIQ(A93,"IQ_EBITDA_MARGIN",IQ_FY-7), _xll.ciqfunctions.udf.CIQ(A93, "IQ_EBITDA_MARGIN",IQ_FY-6))</f>
        <v>18.1631</v>
      </c>
      <c r="H96" s="15">
        <f>IF(A101=A102,_xll.ciqfunctions.udf.CIQ(A93,"IQ_TOTAL_DIV_PAID_CF",IQ_FY-7)/-I96, _xll.ciqfunctions.udf.CIQ(A93, "IQ_TOTAL_DIV_PAID_CF",IQ_FY-6)/-I96)</f>
        <v>0</v>
      </c>
      <c r="I96" s="17">
        <f>IF(A101=A102,_xll.ciqfunctions.udf.CIQ(A93,"IQ_TOTAL_OUTSTANDING_FILING_DATE",IQ_FY-7), _xll.ciqfunctions.udf.CIQ(A93, "IQ_TOTAL_OUTSTANDING_FILING_DATE",IQ_FY-6))</f>
        <v>171.44542000000001</v>
      </c>
      <c r="J96" s="17">
        <f>IF(A101=A102,_xll.ciqfunctions.udf.CIQ(A93,"IQ_CASH_OPER",IQ_FY-7), _xll.ciqfunctions.udf.CIQ(A93, "IQ_CASH_OPER",IQ_FY-6))</f>
        <v>420</v>
      </c>
      <c r="K96" s="17">
        <f>IF(A101=A102,_xll.ciqfunctions.udf.CIQ(A93,"IQ_CAPEX",IQ_FY-7), _xll.ciqfunctions.udf.CIQ(A93, "IQ_CAPEX",IQ_FY-6))</f>
        <v>-91</v>
      </c>
      <c r="L96" s="15">
        <f t="shared" si="24"/>
        <v>1.9189780631060309</v>
      </c>
      <c r="M96" s="17">
        <f>IF(A101=A102,_xll.ciqfunctions.udf.CIQ(A93,"IQ_TOTAL_DEBT_ISSUED",IQ_FY-7), _xll.ciqfunctions.udf.CIQ(A93, "IQ_TOTAL_DEBT_ISSUED",IQ_FY-6))</f>
        <v>0</v>
      </c>
      <c r="N96" s="17">
        <f>IF(A101=A102,_xll.ciqfunctions.udf.CIQ(A93,"IQ_TOTAL_DEBT_REPAID",IQ_FY-7), _xll.ciqfunctions.udf.CIQ(A93, "IQ_TOTAL_DEBT_REPAID",IQ_FY-6))</f>
        <v>-1</v>
      </c>
      <c r="O96" s="15">
        <f t="shared" si="25"/>
        <v>-5.8327600702310972E-3</v>
      </c>
      <c r="P96" s="15">
        <f t="shared" si="26"/>
        <v>1.9131453030357999</v>
      </c>
      <c r="Q96" s="25" t="s">
        <v>23</v>
      </c>
      <c r="R96" s="38" t="s">
        <v>24</v>
      </c>
      <c r="S96" s="1" t="e">
        <f>R92/(AVERAGE(H98:H103)*(1+H104)/(0.5-H104))</f>
        <v>#DIV/0!</v>
      </c>
      <c r="U96" s="25" t="s">
        <v>40</v>
      </c>
      <c r="V96" s="38" t="s">
        <v>24</v>
      </c>
      <c r="W96" s="1" t="e">
        <f>V92/(AVERAGE(H98:H103)*(1+H104)/(0.5-H104))</f>
        <v>#DIV/0!</v>
      </c>
      <c r="Y96" s="25" t="s">
        <v>47</v>
      </c>
      <c r="Z96" s="38" t="s">
        <v>24</v>
      </c>
      <c r="AA96" s="1" t="e">
        <f>Z92/(AVERAGE(H98:H103)*(1+H104)/(0.5-H104))</f>
        <v>#DIV/0!</v>
      </c>
    </row>
    <row r="97" spans="1:27">
      <c r="B97" s="13">
        <v>5</v>
      </c>
      <c r="C97" s="14" t="s">
        <v>25</v>
      </c>
      <c r="D97" s="15" cm="1">
        <f t="array" ref="D97">_xlfn.SINGLE(IF(A101=A102,_xll.ciqfunctions.udf.CIQ(A93,"IQ_TOTAL_REV",IQ_FY-6)/I97, _xll.ciqfunctions.udf.CIQ(A93, "IQ_TOTAL_REV",IQ_FY-5)/I97))</f>
        <v>17.027593083775066</v>
      </c>
      <c r="E97" s="16">
        <f t="shared" si="27"/>
        <v>4.4648657879087916E-4</v>
      </c>
      <c r="F97" s="15">
        <f>IF(A101=A102,_xll.ciqfunctions.udf.CIQ(A93,"IQ_DILUT_EPS_EXCL",IQ_FY-6), _xll.ciqfunctions.udf.CIQ(A93, "IQ_DILUT_EPS_EXCL",IQ_FY-5))</f>
        <v>0.56000000000000005</v>
      </c>
      <c r="G97" s="15">
        <f>IF(A101=A102,_xll.ciqfunctions.udf.CIQ(A93,"IQ_EBITDA_MARGIN",IQ_FY-6), _xll.ciqfunctions.udf.CIQ(A93, "IQ_EBITDA_MARGIN",IQ_FY-5))</f>
        <v>13.2643</v>
      </c>
      <c r="H97" s="15">
        <f>IF(A101=A102,_xll.ciqfunctions.udf.CIQ(A93,"IQ_TOTAL_DIV_PAID_CF",IQ_FY-6)/-I97, _xll.ciqfunctions.udf.CIQ(A93, "IQ_TOTAL_DIV_PAID_CF",IQ_FY-5)/-I97)</f>
        <v>0</v>
      </c>
      <c r="I97" s="17">
        <f>IF(A101=A102,_xll.ciqfunctions.udf.CIQ(A93,"IQ_TOTAL_OUTSTANDING_FILING_DATE",IQ_FY-6), _xll.ciqfunctions.udf.CIQ(A93, "IQ_TOTAL_OUTSTANDING_FILING_DATE",IQ_FY-5))</f>
        <v>187.28424999999999</v>
      </c>
      <c r="J97" s="17">
        <f>IF(A101=A102,_xll.ciqfunctions.udf.CIQ(A93,"IQ_CASH_OPER",IQ_FY-6), _xll.ciqfunctions.udf.CIQ(A93, "IQ_CASH_OPER",IQ_FY-5))</f>
        <v>328</v>
      </c>
      <c r="K97" s="17">
        <f>IF(A101=A102,_xll.ciqfunctions.udf.CIQ(A93,"IQ_CAPEX",IQ_FY-6), _xll.ciqfunctions.udf.CIQ(A93, "IQ_CAPEX",IQ_FY-5))</f>
        <v>-72</v>
      </c>
      <c r="L97" s="15">
        <f t="shared" si="24"/>
        <v>1.3669061867188512</v>
      </c>
      <c r="M97" s="17">
        <f>IF(A101=A102,_xll.ciqfunctions.udf.CIQ(A93,"IQ_TOTAL_DEBT_ISSUED",IQ_FY-6), _xll.ciqfunctions.udf.CIQ(A93, "IQ_TOTAL_DEBT_ISSUED",IQ_FY-5))</f>
        <v>1281</v>
      </c>
      <c r="N97" s="17">
        <f>IF(A101=A102,_xll.ciqfunctions.udf.CIQ(A93,"IQ_TOTAL_DEBT_REPAID",IQ_FY-6), _xll.ciqfunctions.udf.CIQ(A93, "IQ_TOTAL_DEBT_REPAID",IQ_FY-5))</f>
        <v>-323</v>
      </c>
      <c r="O97" s="15">
        <f t="shared" si="25"/>
        <v>5.115219245611951</v>
      </c>
      <c r="P97" s="15">
        <f t="shared" si="26"/>
        <v>6.4821254323308022</v>
      </c>
      <c r="Q97" s="18"/>
      <c r="R97" s="38" t="s">
        <v>50</v>
      </c>
      <c r="S97" s="3">
        <f>I104</f>
        <v>-1.4304104075678725E-2</v>
      </c>
      <c r="U97" s="18"/>
      <c r="V97" s="38" t="s">
        <v>50</v>
      </c>
      <c r="W97" s="3">
        <f>I104</f>
        <v>-1.4304104075678725E-2</v>
      </c>
      <c r="Y97" s="18"/>
      <c r="Z97" s="38" t="s">
        <v>50</v>
      </c>
      <c r="AA97" s="3">
        <f>I104</f>
        <v>-1.4304104075678725E-2</v>
      </c>
    </row>
    <row r="98" spans="1:27">
      <c r="B98" s="13">
        <v>6</v>
      </c>
      <c r="C98" s="14" t="s">
        <v>26</v>
      </c>
      <c r="D98" s="15" cm="1">
        <f t="array" ref="D98">_xlfn.SINGLE(IF(A101=A102,_xll.ciqfunctions.udf.CIQ(A93,"IQ_TOTAL_REV",IQ_FY-5)/I98, _xll.ciqfunctions.udf.CIQ(A93, "IQ_TOTAL_REV",IQ_FY-4)/I98))</f>
        <v>20.667041281215866</v>
      </c>
      <c r="E98" s="16">
        <f t="shared" si="27"/>
        <v>0.21373826468220505</v>
      </c>
      <c r="F98" s="15">
        <f>IF(A101=A102,_xll.ciqfunctions.udf.CIQ(A93,"IQ_DILUT_EPS_EXCL",IQ_FY-5), _xll.ciqfunctions.udf.CIQ(A93, "IQ_DILUT_EPS_EXCL",IQ_FY-4))</f>
        <v>0.86</v>
      </c>
      <c r="G98" s="15">
        <f>IF(A101=A102,_xll.ciqfunctions.udf.CIQ(A93,"IQ_EBITDA_MARGIN",IQ_FY-5), _xll.ciqfunctions.udf.CIQ(A93, "IQ_EBITDA_MARGIN",IQ_FY-4))</f>
        <v>19.210899999999999</v>
      </c>
      <c r="H98" s="15">
        <f>IF(A101=A102,_xll.ciqfunctions.udf.CIQ(A93,"IQ_TOTAL_DIV_PAID_CF",IQ_FY-5)/-I98, _xll.ciqfunctions.udf.CIQ(A93, "IQ_TOTAL_DIV_PAID_CF",IQ_FY-4)/-I98)</f>
        <v>0</v>
      </c>
      <c r="I98" s="17">
        <f>IF(A101=A102,_xll.ciqfunctions.udf.CIQ(A93,"IQ_TOTAL_OUTSTANDING_FILING_DATE",IQ_FY-5), _xll.ciqfunctions.udf.CIQ(A93, "IQ_TOTAL_OUTSTANDING_FILING_DATE",IQ_FY-4))</f>
        <v>187.64176</v>
      </c>
      <c r="J98" s="17">
        <f>IF(A101=A102,_xll.ciqfunctions.udf.CIQ(A93,"IQ_CASH_OPER",IQ_FY-5), _xll.ciqfunctions.udf.CIQ(A93, "IQ_CASH_OPER",IQ_FY-4))</f>
        <v>555</v>
      </c>
      <c r="K98" s="17">
        <f>IF(A101=A102,_xll.ciqfunctions.udf.CIQ(A93,"IQ_CAPEX",IQ_FY-5), _xll.ciqfunctions.udf.CIQ(A93, "IQ_CAPEX",IQ_FY-4))</f>
        <v>-132</v>
      </c>
      <c r="L98" s="15">
        <f t="shared" si="24"/>
        <v>2.2542956322729011</v>
      </c>
      <c r="M98" s="17">
        <f>IF(A101=A102,_xll.ciqfunctions.udf.CIQ(A93,"IQ_TOTAL_DEBT_ISSUED",IQ_FY-5), _xll.ciqfunctions.udf.CIQ(A93, "IQ_TOTAL_DEBT_ISSUED",IQ_FY-4))</f>
        <v>40</v>
      </c>
      <c r="N98" s="17">
        <f>IF(A101=A102,_xll.ciqfunctions.udf.CIQ(A93,"IQ_TOTAL_DEBT_REPAID",IQ_FY-5), _xll.ciqfunctions.udf.CIQ(A93, "IQ_TOTAL_DEBT_REPAID",IQ_FY-4))</f>
        <v>-300</v>
      </c>
      <c r="O98" s="15">
        <f t="shared" si="25"/>
        <v>-1.3856190647540292</v>
      </c>
      <c r="P98" s="15">
        <f t="shared" si="26"/>
        <v>0.8686765675188719</v>
      </c>
      <c r="Q98" s="25" t="s">
        <v>27</v>
      </c>
      <c r="R98" s="38" t="s">
        <v>51</v>
      </c>
      <c r="S98" s="4">
        <f>AVERAGE(F98:F103)/AVERAGE(D98:D103)</f>
        <v>0.15692720222835799</v>
      </c>
      <c r="U98" s="25" t="s">
        <v>58</v>
      </c>
      <c r="V98" s="38" t="s">
        <v>51</v>
      </c>
      <c r="W98" s="4">
        <f>AVERAGE(F98:F103)/AVERAGE(D98:D103)</f>
        <v>0.15692720222835799</v>
      </c>
      <c r="Y98" s="25" t="s">
        <v>56</v>
      </c>
      <c r="Z98" s="38" t="s">
        <v>51</v>
      </c>
      <c r="AA98" s="4">
        <f>AVERAGE(F98:F103)/AVERAGE(D98:D103)</f>
        <v>0.15692720222835799</v>
      </c>
    </row>
    <row r="99" spans="1:27">
      <c r="A99" s="18"/>
      <c r="B99" s="13">
        <v>7</v>
      </c>
      <c r="C99" s="14" t="s">
        <v>28</v>
      </c>
      <c r="D99" s="15" cm="1">
        <f t="array" ref="D99">_xlfn.SINGLE(IF(A101=A102,_xll.ciqfunctions.udf.CIQ(A93,"IQ_TOTAL_REV",IQ_FY-4)/I99, _xll.ciqfunctions.udf.CIQ(A93, "IQ_TOTAL_REV",IQ_FY-3)/I99))</f>
        <v>22.833937312112859</v>
      </c>
      <c r="E99" s="16">
        <f t="shared" si="27"/>
        <v>0.1048479074199397</v>
      </c>
      <c r="F99" s="15">
        <f>IF(A101=A102,_xll.ciqfunctions.udf.CIQ(A93,"IQ_DILUT_EPS_EXCL",IQ_FY-4), _xll.ciqfunctions.udf.CIQ(A93, "IQ_DILUT_EPS_EXCL",IQ_FY-3))</f>
        <v>3.25</v>
      </c>
      <c r="G99" s="15">
        <f>IF(A101=A102,_xll.ciqfunctions.udf.CIQ(A93,"IQ_EBITDA_MARGIN",IQ_FY-4), _xll.ciqfunctions.udf.CIQ(A93, "IQ_EBITDA_MARGIN",IQ_FY-3))</f>
        <v>24.680399999999999</v>
      </c>
      <c r="H99" s="15">
        <f>IF(A101=A102,_xll.ciqfunctions.udf.CIQ(A93,"IQ_TOTAL_DIV_PAID_CF",IQ_FY-4)/-I99, _xll.ciqfunctions.udf.CIQ(A93, "IQ_TOTAL_DIV_PAID_CF",IQ_FY-3)/-I99)</f>
        <v>0</v>
      </c>
      <c r="I99" s="17">
        <f>IF(A101=A102,_xll.ciqfunctions.udf.CIQ(A93,"IQ_TOTAL_OUTSTANDING_FILING_DATE",IQ_FY-4), _xll.ciqfunctions.udf.CIQ(A93, "IQ_TOTAL_OUTSTANDING_FILING_DATE",IQ_FY-3))</f>
        <v>188.44757000000001</v>
      </c>
      <c r="J99" s="17">
        <f>IF(A101=A102,_xll.ciqfunctions.udf.CIQ(A93,"IQ_CASH_OPER",IQ_FY-4), _xll.ciqfunctions.udf.CIQ(A93, "IQ_CASH_OPER",IQ_FY-3))</f>
        <v>998</v>
      </c>
      <c r="K99" s="17">
        <f>IF(A101=A102,_xll.ciqfunctions.udf.CIQ(A93,"IQ_CAPEX",IQ_FY-4), _xll.ciqfunctions.udf.CIQ(A93, "IQ_CAPEX",IQ_FY-3))</f>
        <v>-120</v>
      </c>
      <c r="L99" s="15">
        <f t="shared" si="24"/>
        <v>4.6591208366337646</v>
      </c>
      <c r="M99" s="17">
        <f>IF(A101=A102,_xll.ciqfunctions.udf.CIQ(A93,"IQ_TOTAL_DEBT_ISSUED",IQ_FY-4), _xll.ciqfunctions.udf.CIQ(A93, "IQ_TOTAL_DEBT_ISSUED",IQ_FY-3))</f>
        <v>500</v>
      </c>
      <c r="N99" s="17">
        <f>IF(A101=A102,_xll.ciqfunctions.udf.CIQ(A93,"IQ_TOTAL_DEBT_REPAID",IQ_FY-4), _xll.ciqfunctions.udf.CIQ(A93, "IQ_TOTAL_DEBT_REPAID",IQ_FY-3))</f>
        <v>-500</v>
      </c>
      <c r="O99" s="15">
        <f t="shared" si="25"/>
        <v>0</v>
      </c>
      <c r="P99" s="15">
        <f t="shared" si="26"/>
        <v>4.6591208366337646</v>
      </c>
      <c r="Q99" s="18"/>
      <c r="R99" s="38" t="s">
        <v>29</v>
      </c>
      <c r="S99" s="4">
        <f>(AVERAGE(P98:P103)/_xlfn.STDEV.P(P98:P103))/(IF(A101=A102,(_xlfn.SINGLE(_xll.ciqfunctions.udf.CIQ(A93,"IQ_total_assets",IQ_FY)) - _xlfn.SINGLE(_xll.ciqfunctions.udf.CIQ(A93,"iq_gw_intan", IQ_FY)))/I103, (_xlfn.SINGLE(_xll.ciqfunctions.udf.CIQ(A93, "IQ_total_assets",IQ_LTM))-_xlfn.SINGLE(_xll.ciqfunctions.udf.CIQ(A93,"iq_gw_intan",IQ_LTM)))/I103))</f>
        <v>6.3066903667178806E-2</v>
      </c>
      <c r="U99" s="18"/>
      <c r="V99" s="38" t="s">
        <v>29</v>
      </c>
      <c r="W99" s="4">
        <f>(AVERAGE(P98:P103)/_xlfn.STDEV.P(P98:P103))/(IF(A101=A102,(_xlfn.SINGLE(_xll.ciqfunctions.udf.CIQ(A93,"IQ_total_assets",IQ_FY)) - _xlfn.SINGLE(_xll.ciqfunctions.udf.CIQ(A93,"iq_gw_intan", IQ_FY)))/I103, (_xlfn.SINGLE(_xll.ciqfunctions.udf.CIQ(A93, "IQ_total_assets",IQ_LTM))-_xlfn.SINGLE(_xll.ciqfunctions.udf.CIQ(A93,"iq_gw_intan",IQ_LTM)))/I103))</f>
        <v>6.3066903667178806E-2</v>
      </c>
      <c r="Y99" s="18"/>
      <c r="Z99" s="38" t="s">
        <v>29</v>
      </c>
      <c r="AA99" s="4">
        <f>(AVERAGE(P98:P103)/_xlfn.STDEV.P(P98:P103))/(IF(A101=A102,(_xlfn.SINGLE(_xll.ciqfunctions.udf.CIQ(A93,"IQ_total_assets",IQ_FY)) - _xlfn.SINGLE(_xll.ciqfunctions.udf.CIQ(A93,"iq_gw_intan", IQ_FY)))/I103, (_xlfn.SINGLE(_xll.ciqfunctions.udf.CIQ(A93, "IQ_total_assets",IQ_LTM))-_xlfn.SINGLE(_xll.ciqfunctions.udf.CIQ(A93,"iq_gw_intan",IQ_LTM)))/I103))</f>
        <v>6.3066903667178806E-2</v>
      </c>
    </row>
    <row r="100" spans="1:27">
      <c r="A100" s="18"/>
      <c r="B100" s="13">
        <v>8</v>
      </c>
      <c r="C100" s="14" t="s">
        <v>30</v>
      </c>
      <c r="D100" s="15" cm="1">
        <f t="array" ref="D100">_xlfn.SINGLE(IF(A101=A102,_xll.ciqfunctions.udf.CIQ(A93,"IQ_TOTAL_REV",IQ_FY-3)/I100, _xll.ciqfunctions.udf.CIQ(A93, "IQ_TOTAL_REV",IQ_FY-2)/I100))</f>
        <v>22.682078084598722</v>
      </c>
      <c r="E100" s="16">
        <f t="shared" si="27"/>
        <v>-6.6505931692113201E-3</v>
      </c>
      <c r="F100" s="15">
        <f>IF(A101=A102,_xll.ciqfunctions.udf.CIQ(A93,"IQ_DILUT_EPS_EXCL",IQ_FY-3), _xll.ciqfunctions.udf.CIQ(A93, "IQ_DILUT_EPS_EXCL",IQ_FY-2))</f>
        <v>3.31</v>
      </c>
      <c r="G100" s="15">
        <f>IF(A101=A102,_xll.ciqfunctions.udf.CIQ(A93,"IQ_EBITDA_MARGIN",IQ_FY-3), _xll.ciqfunctions.udf.CIQ(A93, "IQ_EBITDA_MARGIN",IQ_FY-2))</f>
        <v>26.154900000000001</v>
      </c>
      <c r="H100" s="15">
        <f>IF(A101=A102,_xll.ciqfunctions.udf.CIQ(A93,"IQ_TOTAL_DIV_PAID_CF",IQ_FY-3)/-I100, _xll.ciqfunctions.udf.CIQ(A93, "IQ_TOTAL_DIV_PAID_CF",IQ_FY-2)/-I100)</f>
        <v>0</v>
      </c>
      <c r="I100" s="17">
        <f>IF(A101=A102,_xll.ciqfunctions.udf.CIQ(A93,"IQ_TOTAL_OUTSTANDING_FILING_DATE",IQ_FY-3), _xll.ciqfunctions.udf.CIQ(A93, "IQ_TOTAL_OUTSTANDING_FILING_DATE",IQ_FY-2))</f>
        <v>186.09406000000001</v>
      </c>
      <c r="J100" s="17">
        <f>IF(A101=A102,_xll.ciqfunctions.udf.CIQ(A93,"IQ_CASH_OPER",IQ_FY-3), _xll.ciqfunctions.udf.CIQ(A93, "IQ_CASH_OPER",IQ_FY-2))</f>
        <v>1016</v>
      </c>
      <c r="K100" s="17">
        <f>IF(A101=A102,_xll.ciqfunctions.udf.CIQ(A93,"IQ_CAPEX",IQ_FY-3), _xll.ciqfunctions.udf.CIQ(A93, "IQ_CAPEX",IQ_FY-2))</f>
        <v>-117</v>
      </c>
      <c r="L100" s="15">
        <f t="shared" si="24"/>
        <v>4.830890357274165</v>
      </c>
      <c r="M100" s="17">
        <f>IF(A101=A102,_xll.ciqfunctions.udf.CIQ(A93,"IQ_TOTAL_DEBT_ISSUED",IQ_FY-3), _xll.ciqfunctions.udf.CIQ(A93, "IQ_TOTAL_DEBT_ISSUED",IQ_FY-2))</f>
        <v>0</v>
      </c>
      <c r="N100" s="17">
        <f>IF(A101=A102,_xll.ciqfunctions.udf.CIQ(A93,"IQ_TOTAL_DEBT_REPAID",IQ_FY-3), _xll.ciqfunctions.udf.CIQ(A93, "IQ_TOTAL_DEBT_REPAID",IQ_FY-2))</f>
        <v>0</v>
      </c>
      <c r="O100" s="15">
        <f t="shared" si="25"/>
        <v>0</v>
      </c>
      <c r="P100" s="15">
        <f t="shared" si="26"/>
        <v>4.830890357274165</v>
      </c>
      <c r="Q100" s="18"/>
      <c r="R100" s="39" t="s">
        <v>31</v>
      </c>
      <c r="S100" s="5">
        <f>IF(NOT(D93&gt;0),FALSE,SLOPE(G93:G103,B93:B103))</f>
        <v>1.1559981818181817</v>
      </c>
      <c r="U100" s="18"/>
      <c r="V100" s="39" t="s">
        <v>31</v>
      </c>
      <c r="W100" s="5">
        <f>IF(NOT(D93&gt;0),FALSE,SLOPE(G93:G103,B93:B103))</f>
        <v>1.1559981818181817</v>
      </c>
      <c r="Y100" s="18"/>
      <c r="Z100" s="39" t="s">
        <v>31</v>
      </c>
      <c r="AA100" s="5">
        <f>IF(NOT(L93&gt;0),FALSE,SLOPE(O93:O103,J93:J103))</f>
        <v>-2.2261124390502095E-3</v>
      </c>
    </row>
    <row r="101" spans="1:27">
      <c r="A101" s="19">
        <f>_xll.ciqfunctions.udf.CIQ(A93,"IQ_TOTAL_REV",IQ_FY)</f>
        <v>5464</v>
      </c>
      <c r="B101" s="13">
        <v>9</v>
      </c>
      <c r="C101" s="14" t="s">
        <v>32</v>
      </c>
      <c r="D101" s="15" cm="1">
        <f t="array" ref="D101">_xlfn.SINGLE(IF(A101=A102,_xll.ciqfunctions.udf.CIQ(A93,"IQ_TOTAL_REV",IQ_FY-2)/I101, _xll.ciqfunctions.udf.CIQ(A93, "IQ_TOTAL_REV",IQ_FY-1)/I101))</f>
        <v>26.993733913570225</v>
      </c>
      <c r="E101" s="16">
        <f t="shared" si="27"/>
        <v>0.19009086437715533</v>
      </c>
      <c r="F101" s="15">
        <f>IF(A101=A102,_xll.ciqfunctions.udf.CIQ(A93,"IQ_DILUT_EPS_EXCL",IQ_FY-2), _xll.ciqfunctions.udf.CIQ(A93, "IQ_DILUT_EPS_EXCL",IQ_FY-1))</f>
        <v>4.78</v>
      </c>
      <c r="G101" s="15">
        <f>IF(A101=A102,_xll.ciqfunctions.udf.CIQ(A93,"IQ_EBITDA_MARGIN",IQ_FY-2), _xll.ciqfunctions.udf.CIQ(A93, "IQ_EBITDA_MARGIN",IQ_FY-1))</f>
        <v>27.97</v>
      </c>
      <c r="H101" s="15">
        <f>IF(A101=A102,_xll.ciqfunctions.udf.CIQ(A93,"IQ_TOTAL_DIV_PAID_CF",IQ_FY-2)/-I101, _xll.ciqfunctions.udf.CIQ(A93, "IQ_TOTAL_DIV_PAID_CF",IQ_FY-1)/-I101)</f>
        <v>0</v>
      </c>
      <c r="I101" s="17">
        <f>IF(A101=A102,_xll.ciqfunctions.udf.CIQ(A93,"IQ_TOTAL_OUTSTANDING_FILING_DATE",IQ_FY-2), _xll.ciqfunctions.udf.CIQ(A93, "IQ_TOTAL_OUTSTANDING_FILING_DATE",IQ_FY-1))</f>
        <v>183.04248000000001</v>
      </c>
      <c r="J101" s="17">
        <f>IF(A101=A102,_xll.ciqfunctions.udf.CIQ(A93,"IQ_CASH_OPER",IQ_FY-2), _xll.ciqfunctions.udf.CIQ(A93, "IQ_CASH_OPER",IQ_FY-1))</f>
        <v>1322</v>
      </c>
      <c r="K101" s="17">
        <f>IF(A101=A102,_xll.ciqfunctions.udf.CIQ(A93,"IQ_CAPEX",IQ_FY-2), _xll.ciqfunctions.udf.CIQ(A93, "IQ_CAPEX",IQ_FY-1))</f>
        <v>-174</v>
      </c>
      <c r="L101" s="15">
        <f t="shared" si="24"/>
        <v>6.2717681709732078</v>
      </c>
      <c r="M101" s="17">
        <f>IF(A101=A102,_xll.ciqfunctions.udf.CIQ(A93,"IQ_TOTAL_DEBT_ISSUED",IQ_FY-2), _xll.ciqfunctions.udf.CIQ(A93, "IQ_TOTAL_DEBT_ISSUED",IQ_FY-1))</f>
        <v>0</v>
      </c>
      <c r="N101" s="17">
        <f>IF(A101=A102,_xll.ciqfunctions.udf.CIQ(A93,"IQ_TOTAL_DEBT_REPAID",IQ_FY-2), _xll.ciqfunctions.udf.CIQ(A93, "IQ_TOTAL_DEBT_REPAID",IQ_FY-1))</f>
        <v>0</v>
      </c>
      <c r="O101" s="15">
        <f t="shared" si="25"/>
        <v>0</v>
      </c>
      <c r="P101" s="15">
        <f t="shared" si="26"/>
        <v>6.2717681709732078</v>
      </c>
      <c r="Q101" s="25" t="s">
        <v>33</v>
      </c>
      <c r="R101" s="38" t="s">
        <v>52</v>
      </c>
      <c r="S101" s="4">
        <f>(AVERAGE(O98:O103)/AVERAGE(P98:P103))</f>
        <v>-4.788613038364873E-2</v>
      </c>
      <c r="U101" s="25" t="s">
        <v>54</v>
      </c>
      <c r="V101" s="38" t="s">
        <v>52</v>
      </c>
      <c r="W101" s="4">
        <f>(AVERAGE(O98:O103)/AVERAGE(P98:P103))</f>
        <v>-4.788613038364873E-2</v>
      </c>
      <c r="Y101" s="25" t="s">
        <v>60</v>
      </c>
      <c r="Z101" s="38" t="s">
        <v>52</v>
      </c>
      <c r="AA101" s="4">
        <f>(AVERAGE(O98:O103)/AVERAGE(P98:P103))</f>
        <v>-4.788613038364873E-2</v>
      </c>
    </row>
    <row r="102" spans="1:27">
      <c r="A102" s="19">
        <f>_xll.ciqfunctions.udf.CIQ(A93,"IQ_TOTAL_REV",IQ_LTM)</f>
        <v>5464</v>
      </c>
      <c r="B102" s="13">
        <v>10</v>
      </c>
      <c r="C102" s="14" t="s">
        <v>34</v>
      </c>
      <c r="D102" s="15" cm="1">
        <f t="array" ref="D102">_xlfn.SINGLE(IF(A101=A102,_xll.ciqfunctions.udf.CIQ(A93,"IQ_TOTAL_REV",IQ_FY-1)/I102, _xll.ciqfunctions.udf.CIQ(A93, "IQ_TOTAL_REV",IQ_FY)/I102))</f>
        <v>30.313968822250857</v>
      </c>
      <c r="E102" s="16">
        <f t="shared" si="27"/>
        <v>0.12300020883778112</v>
      </c>
      <c r="F102" s="15">
        <f>IF(A101=A102,_xll.ciqfunctions.udf.CIQ(A93,"IQ_DILUT_EPS_EXCL",IQ_FY-1), _xll.ciqfunctions.udf.CIQ(A93, "IQ_DILUT_EPS_EXCL",IQ_FY))</f>
        <v>6.18</v>
      </c>
      <c r="G102" s="15">
        <f>IF(A101=A102,_xll.ciqfunctions.udf.CIQ(A93,"IQ_EBITDA_MARGIN",IQ_FY-1), _xll.ciqfunctions.udf.CIQ(A93, "IQ_EBITDA_MARGIN",IQ_FY))</f>
        <v>29.575600000000001</v>
      </c>
      <c r="H102" s="15">
        <f>IF(A101=A102,_xll.ciqfunctions.udf.CIQ(A93,"IQ_TOTAL_DIV_PAID_CF",IQ_FY-1)/-I102, _xll.ciqfunctions.udf.CIQ(A93, "IQ_TOTAL_DIV_PAID_CF",IQ_FY)/-I102)</f>
        <v>0</v>
      </c>
      <c r="I102" s="17">
        <f>IF(A101=A102,_xll.ciqfunctions.udf.CIQ(A93,"IQ_TOTAL_OUTSTANDING_FILING_DATE",IQ_FY-1), _xll.ciqfunctions.udf.CIQ(A93, "IQ_TOTAL_OUTSTANDING_FILING_DATE",IQ_FY))</f>
        <v>178.79545999999999</v>
      </c>
      <c r="J102" s="17">
        <f>IF(A101=A102,_xll.ciqfunctions.udf.CIQ(A93,"IQ_CASH_OPER",IQ_FY-1), _xll.ciqfunctions.udf.CIQ(A93, "IQ_CASH_OPER",IQ_FY))</f>
        <v>1144</v>
      </c>
      <c r="K102" s="17">
        <f>IF(A101=A102,_xll.ciqfunctions.udf.CIQ(A93,"IQ_CAPEX",IQ_FY-1), _xll.ciqfunctions.udf.CIQ(A93, "IQ_CAPEX",IQ_FY))</f>
        <v>-185</v>
      </c>
      <c r="L102" s="15">
        <f t="shared" si="24"/>
        <v>5.3636708672580395</v>
      </c>
      <c r="M102" s="17">
        <f>IF(A101=A102,_xll.ciqfunctions.udf.CIQ(A93,"IQ_TOTAL_DEBT_ISSUED",IQ_FY-1), _xll.ciqfunctions.udf.CIQ(A93, "IQ_TOTAL_DEBT_ISSUED",IQ_FY))</f>
        <v>0</v>
      </c>
      <c r="N102" s="17">
        <f>IF(A101=A102,_xll.ciqfunctions.udf.CIQ(A93,"IQ_TOTAL_DEBT_REPAID",IQ_FY-1), _xll.ciqfunctions.udf.CIQ(A93, "IQ_TOTAL_DEBT_REPAID",IQ_FY))</f>
        <v>0</v>
      </c>
      <c r="O102" s="15">
        <f t="shared" si="25"/>
        <v>0</v>
      </c>
      <c r="P102" s="15">
        <f t="shared" si="26"/>
        <v>5.3636708672580395</v>
      </c>
      <c r="Q102" s="25" t="s">
        <v>44</v>
      </c>
      <c r="R102" s="38" t="s">
        <v>35</v>
      </c>
      <c r="S102" s="1">
        <f>_xll.ciqfunctions.udf.CIQ(A93,"IQ_TEV_EBITDA")</f>
        <v>14.182510000000001</v>
      </c>
      <c r="U102" s="25" t="s">
        <v>55</v>
      </c>
      <c r="V102" s="38" t="s">
        <v>53</v>
      </c>
      <c r="W102" s="1">
        <f>V92/(AVERAGE(D98:D103)/_xlfn.STDEV.P(E98:E103))</f>
        <v>0.4155114885411802</v>
      </c>
      <c r="Y102" s="25" t="s">
        <v>57</v>
      </c>
      <c r="Z102" s="38" t="s">
        <v>53</v>
      </c>
      <c r="AA102" s="1">
        <f>Z92/(AVERAGE(D98:D103)/_xlfn.STDEV.P(E98:E103))</f>
        <v>0.4155114885411802</v>
      </c>
    </row>
    <row r="103" spans="1:27">
      <c r="B103" s="13">
        <v>11</v>
      </c>
      <c r="C103" s="20" t="s">
        <v>36</v>
      </c>
      <c r="D103" s="21" cm="1">
        <f t="array" ref="D103">_xlfn.SINGLE(IF(A101=A102,_xll.ciqfunctions.udf.CIQ(A93,"IQ_TOTAL_REV",IQ_FY)/I103, _xll.ciqfunctions.udf.CIQ(A93, "IQ_TOTAL_REV",IQ_LTM)/I103))</f>
        <v>31.294387170675833</v>
      </c>
      <c r="E103" s="22">
        <f t="shared" si="27"/>
        <v>3.2342130922340201E-2</v>
      </c>
      <c r="F103" s="21">
        <f>IF(A101=A102,_xll.ciqfunctions.udf.CIQ(A93,"IQ_DILUT_EPS_EXCL",IQ_FY), _xll.ciqfunctions.udf.CIQ(A93, "IQ_DILUT_EPS_EXCL",IQ_LTM))</f>
        <v>5.91</v>
      </c>
      <c r="G103" s="21">
        <f>IF(A101=A102,_xll.ciqfunctions.udf.CIQ(A93,"IQ_EBITDA_MARGIN",IQ_FY), _xll.ciqfunctions.udf.CIQ(A93, "IQ_EBITDA_MARGIN",IQ_LTM))</f>
        <v>28.733499999999999</v>
      </c>
      <c r="H103" s="21">
        <f>IF(A101=A102,_xll.ciqfunctions.udf.CIQ(A93,"IQ_TOTAL_DIV_PAID_CF",IQ_FY)/-I103, _xll.ciqfunctions.udf.CIQ(A93, "IQ_TOTAL_DIV_PAID_CF",IQ_LTM)/-I103)</f>
        <v>0</v>
      </c>
      <c r="I103" s="23">
        <f>IF(A101=A102,_xll.ciqfunctions.udf.CIQ(A93,"IQ_TOTAL_OUTSTANDING_FILING_DATE",IQ_FY),_xll.ciqfunctions.udf.CIQ(A93,"IQ_sharesoutstanding"))</f>
        <v>174.6</v>
      </c>
      <c r="J103" s="23">
        <f>IF(A101=A102,_xll.ciqfunctions.udf.CIQ(A93,"IQ_CASH_OPER",IQ_FY), _xll.ciqfunctions.udf.CIQ(A93, "IQ_CASH_OPER",IQ_LTM))</f>
        <v>1408</v>
      </c>
      <c r="K103" s="23">
        <f>IF(A101=A102,_xll.ciqfunctions.udf.CIQ(A93,"IQ_CAPEX",IQ_FY), _xll.ciqfunctions.udf.CIQ(A93, "IQ_CAPEX",IQ_LTM))</f>
        <v>-196</v>
      </c>
      <c r="L103" s="21">
        <f t="shared" si="24"/>
        <v>6.9415807560137459</v>
      </c>
      <c r="M103" s="23">
        <f>IF(A101=A102,_xll.ciqfunctions.udf.CIQ(A93,"IQ_TOTAL_DEBT_ISSUED",IQ_FY), _xll.ciqfunctions.udf.CIQ(A93, "IQ_TOTAL_DEBT_ISSUED",IQ_LTM))</f>
        <v>0</v>
      </c>
      <c r="N103" s="23">
        <f>IF(A101=A102,_xll.ciqfunctions.udf.CIQ(A93,"IQ_TOTAL_DEBT_REPAID",IQ_FY), _xll.ciqfunctions.udf.CIQ(A93, "IQ_TOTAL_DEBT_REPAID",IQ_LTM))</f>
        <v>0</v>
      </c>
      <c r="O103" s="21">
        <f t="shared" si="25"/>
        <v>0</v>
      </c>
      <c r="P103" s="21">
        <f t="shared" si="26"/>
        <v>6.9415807560137459</v>
      </c>
      <c r="Q103" s="25" t="s">
        <v>45</v>
      </c>
      <c r="S103" s="45"/>
      <c r="U103" s="25"/>
      <c r="W103" s="45"/>
      <c r="Y103" s="25"/>
      <c r="AA103" s="45"/>
    </row>
    <row r="104" spans="1:27">
      <c r="B104" s="24"/>
      <c r="C104" s="25" t="s">
        <v>37</v>
      </c>
      <c r="E104" s="26">
        <f>((D103/D98)^(1/5))-1</f>
        <v>8.6519759605544699E-2</v>
      </c>
      <c r="F104" s="27">
        <f>((F103/F98)^(1/5))-1</f>
        <v>0.47034011419669075</v>
      </c>
      <c r="G104" s="28"/>
      <c r="H104" s="27" t="e">
        <f>((H103/H98)^(1/5))-1</f>
        <v>#DIV/0!</v>
      </c>
      <c r="I104" s="27">
        <f>((I103/I98)^(1/5))-1</f>
        <v>-1.4304104075678725E-2</v>
      </c>
      <c r="J104" s="27"/>
      <c r="K104" s="27"/>
      <c r="L104" s="26">
        <f>((L103/L98)^(1/5))-1</f>
        <v>0.25224556478354176</v>
      </c>
      <c r="M104" s="26"/>
      <c r="N104" s="26"/>
      <c r="O104" s="26"/>
      <c r="P104" s="26">
        <f>((P103/P98)^(1/5))-1</f>
        <v>0.51537477877751114</v>
      </c>
      <c r="Q104" s="18"/>
      <c r="R104" s="36"/>
      <c r="S104" s="45"/>
      <c r="U104" s="18"/>
      <c r="V104" s="36"/>
      <c r="W104" s="45"/>
      <c r="Y104" s="18"/>
      <c r="Z104" s="36"/>
      <c r="AA104" s="45"/>
    </row>
    <row r="105" spans="1:27">
      <c r="A105" s="29"/>
      <c r="B105" s="30"/>
      <c r="C105" s="31" t="s">
        <v>38</v>
      </c>
      <c r="D105" s="29"/>
      <c r="E105" s="32">
        <f>((D103/D93)^(1/10))-1</f>
        <v>6.1105518930751668E-2</v>
      </c>
      <c r="F105" s="33">
        <f>((F103/F93)^(1/10))-1</f>
        <v>8.0037231007185072E-2</v>
      </c>
      <c r="G105" s="34"/>
      <c r="H105" s="33" t="e">
        <f>((H103/H93)^(1/10))-1</f>
        <v>#DIV/0!</v>
      </c>
      <c r="I105" s="33">
        <f>((I103/I93)^(1/10))-1</f>
        <v>4.4603007607451062E-3</v>
      </c>
      <c r="J105" s="33"/>
      <c r="K105" s="33"/>
      <c r="L105" s="32">
        <f>((L103/L93)^(1/10))-1</f>
        <v>8.8383242064070444E-2</v>
      </c>
      <c r="M105" s="32"/>
      <c r="N105" s="32"/>
      <c r="O105" s="32"/>
      <c r="P105" s="32">
        <f>((P103/P93)^(1/10))-1</f>
        <v>8.8383242064070444E-2</v>
      </c>
      <c r="Q105" s="40"/>
      <c r="R105" s="41"/>
      <c r="S105" s="46"/>
      <c r="U105" s="40"/>
      <c r="V105" s="41"/>
      <c r="W105" s="46"/>
      <c r="Y105" s="40"/>
      <c r="Z105" s="41"/>
      <c r="AA105" s="46"/>
    </row>
    <row r="106" spans="1:27">
      <c r="B106" s="24"/>
      <c r="C106" s="25"/>
      <c r="E106" s="26"/>
      <c r="F106" s="27"/>
      <c r="G106" s="28"/>
      <c r="H106" s="27"/>
      <c r="I106" s="27"/>
      <c r="J106" s="27"/>
      <c r="K106" s="27"/>
      <c r="L106" s="26"/>
      <c r="M106" s="17"/>
      <c r="N106" s="17"/>
      <c r="O106" s="17"/>
      <c r="P106" s="35"/>
      <c r="Q106" s="18"/>
      <c r="R106" s="36"/>
    </row>
    <row r="107" spans="1:27">
      <c r="A107" s="9" t="s">
        <v>0</v>
      </c>
      <c r="B107" s="10"/>
      <c r="C107" s="9" t="s">
        <v>1</v>
      </c>
      <c r="D107" s="9" t="s">
        <v>2</v>
      </c>
      <c r="E107" s="9" t="s">
        <v>3</v>
      </c>
      <c r="F107" s="11" t="s">
        <v>4</v>
      </c>
      <c r="G107" s="11" t="s">
        <v>5</v>
      </c>
      <c r="H107" s="9" t="s">
        <v>6</v>
      </c>
      <c r="I107" s="11" t="s">
        <v>7</v>
      </c>
      <c r="J107" s="11" t="s">
        <v>8</v>
      </c>
      <c r="K107" s="11" t="s">
        <v>9</v>
      </c>
      <c r="L107" s="11" t="s">
        <v>10</v>
      </c>
      <c r="M107" s="11" t="s">
        <v>11</v>
      </c>
      <c r="N107" s="11" t="s">
        <v>12</v>
      </c>
      <c r="O107" s="11" t="s">
        <v>13</v>
      </c>
      <c r="P107" s="11" t="s">
        <v>14</v>
      </c>
      <c r="Q107" s="37" t="s">
        <v>15</v>
      </c>
      <c r="R107" s="42">
        <f>_xll.ciqfunctions.udf.CIQ(A108,("IQ_LASTSALEPRICE"))</f>
        <v>399.16</v>
      </c>
      <c r="S107" s="44"/>
      <c r="U107" s="37" t="s">
        <v>15</v>
      </c>
      <c r="V107" s="42">
        <f>_xll.ciqfunctions.udf.CIQ(A108,("IQ_LASTSALEPRICE"))</f>
        <v>399.16</v>
      </c>
      <c r="W107" s="44"/>
      <c r="Y107" s="37" t="s">
        <v>15</v>
      </c>
      <c r="Z107" s="42">
        <f>_xll.ciqfunctions.udf.CIQ(A108,("IQ_LASTSALEPRICE"))</f>
        <v>399.16</v>
      </c>
      <c r="AA107" s="44"/>
    </row>
    <row r="108" spans="1:27">
      <c r="A108" s="12" t="str">
        <f>Analysis!B9</f>
        <v>NYSE:TDY</v>
      </c>
      <c r="B108" s="13">
        <v>1</v>
      </c>
      <c r="C108" s="14" t="s">
        <v>16</v>
      </c>
      <c r="D108" s="15">
        <f>IF(A116=A117,_xll.ciqfunctions.udf.CIQ(A108,"IQ_TOTAL_REV",IQ_FY-10)/I108,_xll.ciqfunctions.udf.CIQ(A108, "IQ_TOTAL_REV",IQ_FY-9)/I108)</f>
        <v>62.130926594592374</v>
      </c>
      <c r="E108" s="16"/>
      <c r="F108" s="15">
        <f>IF(A116=A117,_xll.ciqfunctions.udf.CIQ(A108,"IQ_DILUT_EPS_EXCL",IQ_FY-10), _xll.ciqfunctions.udf.CIQ(A108, "IQ_DILUT_EPS_EXCL",IQ_FY-9))</f>
        <v>4.87</v>
      </c>
      <c r="G108" s="15">
        <f>IF(A116=A117,_xll.ciqfunctions.udf.CIQ(A108,"IQ_EBITDA_MARGIN",IQ_FY-10), _xll.ciqfunctions.udf.CIQ(A108, "IQ_EBITDA_MARGIN",IQ_FY-9))</f>
        <v>15.197100000000001</v>
      </c>
      <c r="H108" s="15">
        <f>IF(A116=A117,_xll.ciqfunctions.udf.CIQ(A108,"IQ_TOTAL_DIV_PAID_CF",IQ_FY-10)/-I108, _xll.ciqfunctions.udf.CIQ(A108, "IQ_TOTAL_DIV_PAID_CF",IQ_FY-9)/-I108)</f>
        <v>0</v>
      </c>
      <c r="I108" s="17">
        <f>IF(A116=A117,_xll.ciqfunctions.udf.CIQ(A108,"IQ_TOTAL_OUTSTANDING_FILING_DATE",IQ_FY-10), _xll.ciqfunctions.udf.CIQ(A108, "IQ_TOTAL_OUTSTANDING_FILING_DATE",IQ_FY-9))</f>
        <v>37.639870000000002</v>
      </c>
      <c r="J108" s="17">
        <f>IF(A116=A117,_xll.ciqfunctions.udf.CIQ(A108,"IQ_CASH_OPER",IQ_FY-10), _xll.ciqfunctions.udf.CIQ(A108, "IQ_CASH_OPER",IQ_FY-9))</f>
        <v>203.3</v>
      </c>
      <c r="K108" s="17">
        <f>IF(A116=A117,_xll.ciqfunctions.udf.CIQ(A108,"IQ_CAPEX",IQ_FY-10), _xll.ciqfunctions.udf.CIQ(A108, "IQ_CAPEX",IQ_FY-9))</f>
        <v>-72.599999999999994</v>
      </c>
      <c r="L108" s="15">
        <f t="shared" ref="L108:L118" si="28">(J108+K108)/I108</f>
        <v>3.4723818121582251</v>
      </c>
      <c r="M108" s="17">
        <f>IF(A116=A117,_xll.ciqfunctions.udf.CIQ(A108,"IQ_TOTAL_DEBT_ISSUED",IQ_FY-10), _xll.ciqfunctions.udf.CIQ(A108, "IQ_TOTAL_DEBT_ISSUED",IQ_FY-9))</f>
        <v>0</v>
      </c>
      <c r="N108" s="17">
        <f>IF(A116=A117,_xll.ciqfunctions.udf.CIQ(A108,"IQ_TOTAL_DEBT_REPAID",IQ_FY-10), _xll.ciqfunctions.udf.CIQ(A108, "IQ_TOTAL_DEBT_REPAID",IQ_FY-9))</f>
        <v>-5</v>
      </c>
      <c r="O108" s="15">
        <f t="shared" ref="O108:O118" si="29">(M108+N108)/I108</f>
        <v>-0.1328378658055939</v>
      </c>
      <c r="P108" s="15">
        <f t="shared" ref="P108:P118" si="30">L108+O108</f>
        <v>3.3395439463526313</v>
      </c>
      <c r="W108" s="43"/>
      <c r="AA108" s="43"/>
    </row>
    <row r="109" spans="1:27">
      <c r="A109" s="18" t="str">
        <f>_xll.ciqfunctions.udf.CIQ(A108,"IQ_COMPANY_NAME")</f>
        <v>Teledyne Technologies Incorporated</v>
      </c>
      <c r="B109" s="13">
        <v>2</v>
      </c>
      <c r="C109" s="14" t="s">
        <v>17</v>
      </c>
      <c r="D109" s="15">
        <f>IF(A116=A117,_xll.ciqfunctions.udf.CIQ(A108,"IQ_TOTAL_REV",IQ_FY-9)/I109, _xll.ciqfunctions.udf.CIQ(A108, "IQ_TOTAL_REV",IQ_FY-8)/I109)</f>
        <v>67.883811497373969</v>
      </c>
      <c r="E109" s="16">
        <f t="shared" ref="E109:E118" si="31">(D109-D108)/D108</f>
        <v>9.2592935887138419E-2</v>
      </c>
      <c r="F109" s="15">
        <f>IF(A116=A117,_xll.ciqfunctions.udf.CIQ(A108,"IQ_DILUT_EPS_EXCL",IQ_FY-9), _xll.ciqfunctions.udf.CIQ(A108, "IQ_DILUT_EPS_EXCL",IQ_FY-8))</f>
        <v>5.75</v>
      </c>
      <c r="G109" s="15">
        <f>IF(A116=A117,_xll.ciqfunctions.udf.CIQ(A108,"IQ_EBITDA_MARGIN",IQ_FY-9), _xll.ciqfunctions.udf.CIQ(A108, "IQ_EBITDA_MARGIN",IQ_FY-8))</f>
        <v>16.424299999999999</v>
      </c>
      <c r="H109" s="15">
        <f>IF(A116=A117,_xll.ciqfunctions.udf.CIQ(A108,"IQ_TOTAL_DIV_PAID_CF",IQ_FY-9)/-I109, _xll.ciqfunctions.udf.CIQ(A108, "IQ_TOTAL_DIV_PAID_CF",IQ_FY-8)/-I109)</f>
        <v>0</v>
      </c>
      <c r="I109" s="17">
        <f>IF(A116=A117,_xll.ciqfunctions.udf.CIQ(A108,"IQ_TOTAL_OUTSTANDING_FILING_DATE",IQ_FY-9), _xll.ciqfunctions.udf.CIQ(A108, "IQ_TOTAL_OUTSTANDING_FILING_DATE",IQ_FY-8))</f>
        <v>35.26614</v>
      </c>
      <c r="J109" s="17">
        <f>IF(A116=A117,_xll.ciqfunctions.udf.CIQ(A108,"IQ_CASH_OPER",IQ_FY-9), _xll.ciqfunctions.udf.CIQ(A108, "IQ_CASH_OPER",IQ_FY-8))</f>
        <v>287.89999999999998</v>
      </c>
      <c r="K109" s="17">
        <f>IF(A116=A117,_xll.ciqfunctions.udf.CIQ(A108,"IQ_CAPEX",IQ_FY-9), _xll.ciqfunctions.udf.CIQ(A108, "IQ_CAPEX",IQ_FY-8))</f>
        <v>-43.5</v>
      </c>
      <c r="L109" s="15">
        <f t="shared" si="28"/>
        <v>6.9301602046609005</v>
      </c>
      <c r="M109" s="17">
        <f>IF(A116=A117,_xll.ciqfunctions.udf.CIQ(A108,"IQ_TOTAL_DEBT_ISSUED",IQ_FY-9), _xll.ciqfunctions.udf.CIQ(A108, "IQ_TOTAL_DEBT_ISSUED",IQ_FY-8))</f>
        <v>154.5</v>
      </c>
      <c r="N109" s="17">
        <f>IF(A116=A117,_xll.ciqfunctions.udf.CIQ(A108,"IQ_TOTAL_DEBT_REPAID",IQ_FY-9), _xll.ciqfunctions.udf.CIQ(A108, "IQ_TOTAL_DEBT_REPAID",IQ_FY-8))</f>
        <v>0</v>
      </c>
      <c r="O109" s="15">
        <f t="shared" si="29"/>
        <v>4.3809727971362902</v>
      </c>
      <c r="P109" s="15">
        <f t="shared" si="30"/>
        <v>11.311133001797192</v>
      </c>
      <c r="Q109" s="25" t="s">
        <v>18</v>
      </c>
      <c r="R109" s="39" t="s">
        <v>19</v>
      </c>
      <c r="S109" s="1">
        <f>R107/((AVERAGE(P113:P118))*(1+E119)^3)</f>
        <v>17.155646114863192</v>
      </c>
      <c r="U109" s="25" t="s">
        <v>48</v>
      </c>
      <c r="V109" s="39" t="s">
        <v>19</v>
      </c>
      <c r="W109" s="1">
        <f>V107/((AVERAGE(P113:P118))*(1+E119)^3)</f>
        <v>17.155646114863192</v>
      </c>
      <c r="Y109" s="25" t="s">
        <v>39</v>
      </c>
      <c r="Z109" s="39" t="s">
        <v>19</v>
      </c>
      <c r="AA109" s="1">
        <f>Z107/((AVERAGE(P113:P118))*(1+E119)^3)</f>
        <v>17.155646114863192</v>
      </c>
    </row>
    <row r="110" spans="1:27">
      <c r="B110" s="13">
        <v>3</v>
      </c>
      <c r="C110" s="14" t="s">
        <v>20</v>
      </c>
      <c r="D110" s="15" cm="1">
        <f t="array" ref="D110">_xlfn.SINGLE(IF(A116=A117,_xll.ciqfunctions.udf.CIQ(A108,"IQ_TOTAL_REV",IQ_FY-8)/I110, _xll.ciqfunctions.udf.CIQ(A108, "IQ_TOTAL_REV",IQ_FY-7)/I110))</f>
        <v>66.674751619795217</v>
      </c>
      <c r="E110" s="16">
        <f t="shared" si="31"/>
        <v>-1.7810724691343004E-2</v>
      </c>
      <c r="F110" s="15">
        <f>IF(A116=A117,_xll.ciqfunctions.udf.CIQ(A108,"IQ_DILUT_EPS_EXCL",IQ_FY-8), _xll.ciqfunctions.udf.CIQ(A108, "IQ_DILUT_EPS_EXCL",IQ_FY-7))</f>
        <v>5.44</v>
      </c>
      <c r="G110" s="15">
        <f>IF(A116=A117,_xll.ciqfunctions.udf.CIQ(A108,"IQ_EBITDA_MARGIN",IQ_FY-8), _xll.ciqfunctions.udf.CIQ(A108, "IQ_EBITDA_MARGIN",IQ_FY-7))</f>
        <v>16.552800000000001</v>
      </c>
      <c r="H110" s="15">
        <f>IF(A116=A117,_xll.ciqfunctions.udf.CIQ(A108,"IQ_TOTAL_DIV_PAID_CF",IQ_FY-8)/-I110, _xll.ciqfunctions.udf.CIQ(A108, "IQ_TOTAL_DIV_PAID_CF",IQ_FY-7)/-I110)</f>
        <v>0</v>
      </c>
      <c r="I110" s="17">
        <f>IF(A116=A117,_xll.ciqfunctions.udf.CIQ(A108,"IQ_TOTAL_OUTSTANDING_FILING_DATE",IQ_FY-8), _xll.ciqfunctions.udf.CIQ(A108, "IQ_TOTAL_OUTSTANDING_FILING_DATE",IQ_FY-7))</f>
        <v>34.467320000000001</v>
      </c>
      <c r="J110" s="17">
        <f>IF(A116=A117,_xll.ciqfunctions.udf.CIQ(A108,"IQ_CASH_OPER",IQ_FY-8), _xll.ciqfunctions.udf.CIQ(A108, "IQ_CASH_OPER",IQ_FY-7))</f>
        <v>210.2</v>
      </c>
      <c r="K110" s="17">
        <f>IF(A116=A117,_xll.ciqfunctions.udf.CIQ(A108,"IQ_CAPEX",IQ_FY-8), _xll.ciqfunctions.udf.CIQ(A108, "IQ_CAPEX",IQ_FY-7))</f>
        <v>-47</v>
      </c>
      <c r="L110" s="15">
        <f t="shared" si="28"/>
        <v>4.7349199183458417</v>
      </c>
      <c r="M110" s="17">
        <f>IF(A116=A117,_xll.ciqfunctions.udf.CIQ(A108,"IQ_TOTAL_DEBT_ISSUED",IQ_FY-8), _xll.ciqfunctions.udf.CIQ(A108, "IQ_TOTAL_DEBT_ISSUED",IQ_FY-7))</f>
        <v>180.2</v>
      </c>
      <c r="N110" s="17">
        <f>IF(A116=A117,_xll.ciqfunctions.udf.CIQ(A108,"IQ_TOTAL_DEBT_REPAID",IQ_FY-8), _xll.ciqfunctions.udf.CIQ(A108, "IQ_TOTAL_DEBT_REPAID",IQ_FY-7))</f>
        <v>-102.8</v>
      </c>
      <c r="O110" s="15">
        <f t="shared" si="29"/>
        <v>2.245605402450785</v>
      </c>
      <c r="P110" s="15">
        <f t="shared" si="30"/>
        <v>6.9805253207966267</v>
      </c>
      <c r="Q110" s="25" t="s">
        <v>21</v>
      </c>
      <c r="R110" s="38" t="s">
        <v>49</v>
      </c>
      <c r="S110" s="2">
        <f>(R107*I118)/1000</f>
        <v>18.834244852000001</v>
      </c>
      <c r="U110" s="25" t="s">
        <v>59</v>
      </c>
      <c r="V110" s="38" t="s">
        <v>49</v>
      </c>
      <c r="W110" s="2">
        <f>(V107*I118)/1000</f>
        <v>18.834244852000001</v>
      </c>
      <c r="Y110" s="25" t="s">
        <v>46</v>
      </c>
      <c r="Z110" s="38" t="s">
        <v>49</v>
      </c>
      <c r="AA110" s="2">
        <f>(Z107*I118)/1000</f>
        <v>18.834244852000001</v>
      </c>
    </row>
    <row r="111" spans="1:27">
      <c r="A111" s="18"/>
      <c r="B111" s="13">
        <v>4</v>
      </c>
      <c r="C111" s="14" t="s">
        <v>22</v>
      </c>
      <c r="D111" s="15" cm="1">
        <f t="array" ref="D111">_xlfn.SINGLE(IF(A116=A117,_xll.ciqfunctions.udf.CIQ(A108,"IQ_TOTAL_REV",IQ_FY-7)/I111, _xll.ciqfunctions.udf.CIQ(A108, "IQ_TOTAL_REV",IQ_FY-6)/I111))</f>
        <v>61.047672214975037</v>
      </c>
      <c r="E111" s="16">
        <f t="shared" si="31"/>
        <v>-8.4395956012073739E-2</v>
      </c>
      <c r="F111" s="15">
        <f>IF(A116=A117,_xll.ciqfunctions.udf.CIQ(A108,"IQ_DILUT_EPS_EXCL",IQ_FY-7), _xll.ciqfunctions.udf.CIQ(A108, "IQ_DILUT_EPS_EXCL",IQ_FY-6))</f>
        <v>5.37</v>
      </c>
      <c r="G111" s="15">
        <f>IF(A116=A117,_xll.ciqfunctions.udf.CIQ(A108,"IQ_EBITDA_MARGIN",IQ_FY-7), _xll.ciqfunctions.udf.CIQ(A108, "IQ_EBITDA_MARGIN",IQ_FY-6))</f>
        <v>16.758900000000001</v>
      </c>
      <c r="H111" s="15">
        <f>IF(A116=A117,_xll.ciqfunctions.udf.CIQ(A108,"IQ_TOTAL_DIV_PAID_CF",IQ_FY-7)/-I111, _xll.ciqfunctions.udf.CIQ(A108, "IQ_TOTAL_DIV_PAID_CF",IQ_FY-6)/-I111)</f>
        <v>0</v>
      </c>
      <c r="I111" s="17">
        <f>IF(A116=A117,_xll.ciqfunctions.udf.CIQ(A108,"IQ_TOTAL_OUTSTANDING_FILING_DATE",IQ_FY-7), _xll.ciqfunctions.udf.CIQ(A108, "IQ_TOTAL_OUTSTANDING_FILING_DATE",IQ_FY-6))</f>
        <v>35.216740000000001</v>
      </c>
      <c r="J111" s="17">
        <f>IF(A116=A117,_xll.ciqfunctions.udf.CIQ(A108,"IQ_CASH_OPER",IQ_FY-7), _xll.ciqfunctions.udf.CIQ(A108, "IQ_CASH_OPER",IQ_FY-6))</f>
        <v>317</v>
      </c>
      <c r="K111" s="17">
        <f>IF(A116=A117,_xll.ciqfunctions.udf.CIQ(A108,"IQ_CAPEX",IQ_FY-7), _xll.ciqfunctions.udf.CIQ(A108, "IQ_CAPEX",IQ_FY-6))</f>
        <v>-87.6</v>
      </c>
      <c r="L111" s="15">
        <f t="shared" si="28"/>
        <v>6.5139476283153979</v>
      </c>
      <c r="M111" s="17">
        <f>IF(A116=A117,_xll.ciqfunctions.udf.CIQ(A108,"IQ_TOTAL_DEBT_ISSUED",IQ_FY-7), _xll.ciqfunctions.udf.CIQ(A108, "IQ_TOTAL_DEBT_ISSUED",IQ_FY-6))</f>
        <v>6.1</v>
      </c>
      <c r="N111" s="17">
        <f>IF(A116=A117,_xll.ciqfunctions.udf.CIQ(A108,"IQ_TOTAL_DEBT_REPAID",IQ_FY-7), _xll.ciqfunctions.udf.CIQ(A108, "IQ_TOTAL_DEBT_REPAID",IQ_FY-6))</f>
        <v>-169.2</v>
      </c>
      <c r="O111" s="15">
        <f t="shared" si="29"/>
        <v>-4.6313202187368843</v>
      </c>
      <c r="P111" s="15">
        <f t="shared" si="30"/>
        <v>1.8826274095785136</v>
      </c>
      <c r="Q111" s="25" t="s">
        <v>23</v>
      </c>
      <c r="R111" s="38" t="s">
        <v>24</v>
      </c>
      <c r="S111" s="1" t="e">
        <f>R107/(AVERAGE(H113:H118)*(1+H119)/(0.5-H119))</f>
        <v>#DIV/0!</v>
      </c>
      <c r="U111" s="25" t="s">
        <v>40</v>
      </c>
      <c r="V111" s="38" t="s">
        <v>24</v>
      </c>
      <c r="W111" s="1" t="e">
        <f>V107/(AVERAGE(H113:H118)*(1+H119)/(0.5-H119))</f>
        <v>#DIV/0!</v>
      </c>
      <c r="Y111" s="25" t="s">
        <v>47</v>
      </c>
      <c r="Z111" s="38" t="s">
        <v>24</v>
      </c>
      <c r="AA111" s="1" t="e">
        <f>Z107/(AVERAGE(H113:H118)*(1+H119)/(0.5-H119))</f>
        <v>#DIV/0!</v>
      </c>
    </row>
    <row r="112" spans="1:27">
      <c r="B112" s="13">
        <v>5</v>
      </c>
      <c r="C112" s="14" t="s">
        <v>25</v>
      </c>
      <c r="D112" s="15" cm="1">
        <f t="array" ref="D112">_xlfn.SINGLE(IF(A116=A117,_xll.ciqfunctions.udf.CIQ(A108,"IQ_TOTAL_REV",IQ_FY-6)/I112, _xll.ciqfunctions.udf.CIQ(A108, "IQ_TOTAL_REV",IQ_FY-5)/I112))</f>
        <v>72.942684609031929</v>
      </c>
      <c r="E112" s="16">
        <f t="shared" si="31"/>
        <v>0.19484792724232713</v>
      </c>
      <c r="F112" s="15">
        <f>IF(A116=A117,_xll.ciqfunctions.udf.CIQ(A108,"IQ_DILUT_EPS_EXCL",IQ_FY-6), _xll.ciqfunctions.udf.CIQ(A108, "IQ_DILUT_EPS_EXCL",IQ_FY-5))</f>
        <v>6.26</v>
      </c>
      <c r="G112" s="15">
        <f>IF(A116=A117,_xll.ciqfunctions.udf.CIQ(A108,"IQ_EBITDA_MARGIN",IQ_FY-6), _xll.ciqfunctions.udf.CIQ(A108, "IQ_EBITDA_MARGIN",IQ_FY-5))</f>
        <v>18.1081</v>
      </c>
      <c r="H112" s="15">
        <f>IF(A116=A117,_xll.ciqfunctions.udf.CIQ(A108,"IQ_TOTAL_DIV_PAID_CF",IQ_FY-6)/-I112, _xll.ciqfunctions.udf.CIQ(A108, "IQ_TOTAL_DIV_PAID_CF",IQ_FY-5)/-I112)</f>
        <v>0</v>
      </c>
      <c r="I112" s="17">
        <f>IF(A116=A117,_xll.ciqfunctions.udf.CIQ(A108,"IQ_TOTAL_OUTSTANDING_FILING_DATE",IQ_FY-6), _xll.ciqfunctions.udf.CIQ(A108, "IQ_TOTAL_OUTSTANDING_FILING_DATE",IQ_FY-5))</f>
        <v>35.69652</v>
      </c>
      <c r="J112" s="17">
        <f>IF(A116=A117,_xll.ciqfunctions.udf.CIQ(A108,"IQ_CASH_OPER",IQ_FY-6), _xll.ciqfunctions.udf.CIQ(A108, "IQ_CASH_OPER",IQ_FY-5))</f>
        <v>374.7</v>
      </c>
      <c r="K112" s="17">
        <f>IF(A116=A117,_xll.ciqfunctions.udf.CIQ(A108,"IQ_CAPEX",IQ_FY-6), _xll.ciqfunctions.udf.CIQ(A108, "IQ_CAPEX",IQ_FY-5))</f>
        <v>-58.5</v>
      </c>
      <c r="L112" s="15">
        <f t="shared" si="28"/>
        <v>8.8580063266671374</v>
      </c>
      <c r="M112" s="17">
        <f>IF(A116=A117,_xll.ciqfunctions.udf.CIQ(A108,"IQ_TOTAL_DEBT_ISSUED",IQ_FY-6), _xll.ciqfunctions.udf.CIQ(A108, "IQ_TOTAL_DEBT_ISSUED",IQ_FY-5))</f>
        <v>533</v>
      </c>
      <c r="N112" s="17">
        <f>IF(A116=A117,_xll.ciqfunctions.udf.CIQ(A108,"IQ_TOTAL_DEBT_REPAID",IQ_FY-6), _xll.ciqfunctions.udf.CIQ(A108, "IQ_TOTAL_DEBT_REPAID",IQ_FY-5))</f>
        <v>-139.30000000000001</v>
      </c>
      <c r="O112" s="15">
        <f t="shared" si="29"/>
        <v>11.029086308693396</v>
      </c>
      <c r="P112" s="15">
        <f t="shared" si="30"/>
        <v>19.887092635360531</v>
      </c>
      <c r="Q112" s="18"/>
      <c r="R112" s="38" t="s">
        <v>50</v>
      </c>
      <c r="S112" s="3">
        <f>I119</f>
        <v>5.4377820739459848E-2</v>
      </c>
      <c r="U112" s="18"/>
      <c r="V112" s="38" t="s">
        <v>50</v>
      </c>
      <c r="W112" s="3">
        <f>I119</f>
        <v>5.4377820739459848E-2</v>
      </c>
      <c r="Y112" s="18"/>
      <c r="Z112" s="38" t="s">
        <v>50</v>
      </c>
      <c r="AA112" s="3">
        <f>I119</f>
        <v>5.4377820739459848E-2</v>
      </c>
    </row>
    <row r="113" spans="1:27">
      <c r="B113" s="13">
        <v>6</v>
      </c>
      <c r="C113" s="14" t="s">
        <v>26</v>
      </c>
      <c r="D113" s="15" cm="1">
        <f t="array" ref="D113">_xlfn.SINGLE(IF(A116=A117,_xll.ciqfunctions.udf.CIQ(A108,"IQ_TOTAL_REV",IQ_FY-5)/I113, _xll.ciqfunctions.udf.CIQ(A108, "IQ_TOTAL_REV",IQ_FY-4)/I113))</f>
        <v>80.139676900507283</v>
      </c>
      <c r="E113" s="16">
        <f t="shared" si="31"/>
        <v>9.8666402670134323E-2</v>
      </c>
      <c r="F113" s="15">
        <f>IF(A116=A117,_xll.ciqfunctions.udf.CIQ(A108,"IQ_DILUT_EPS_EXCL",IQ_FY-5), _xll.ciqfunctions.udf.CIQ(A108, "IQ_DILUT_EPS_EXCL",IQ_FY-4))</f>
        <v>9.01</v>
      </c>
      <c r="G113" s="15">
        <f>IF(A116=A117,_xll.ciqfunctions.udf.CIQ(A108,"IQ_EBITDA_MARGIN",IQ_FY-5), _xll.ciqfunctions.udf.CIQ(A108, "IQ_EBITDA_MARGIN",IQ_FY-4))</f>
        <v>18.9847</v>
      </c>
      <c r="H113" s="15">
        <f>IF(A116=A117,_xll.ciqfunctions.udf.CIQ(A108,"IQ_TOTAL_DIV_PAID_CF",IQ_FY-5)/-I113, _xll.ciqfunctions.udf.CIQ(A108, "IQ_TOTAL_DIV_PAID_CF",IQ_FY-4)/-I113)</f>
        <v>0</v>
      </c>
      <c r="I113" s="17">
        <f>IF(A116=A117,_xll.ciqfunctions.udf.CIQ(A108,"IQ_TOTAL_OUTSTANDING_FILING_DATE",IQ_FY-5), _xll.ciqfunctions.udf.CIQ(A108, "IQ_TOTAL_OUTSTANDING_FILING_DATE",IQ_FY-4))</f>
        <v>36.20928</v>
      </c>
      <c r="J113" s="17">
        <f>IF(A116=A117,_xll.ciqfunctions.udf.CIQ(A108,"IQ_CASH_OPER",IQ_FY-5), _xll.ciqfunctions.udf.CIQ(A108, "IQ_CASH_OPER",IQ_FY-4))</f>
        <v>446.9</v>
      </c>
      <c r="K113" s="17">
        <f>IF(A116=A117,_xll.ciqfunctions.udf.CIQ(A108,"IQ_CAPEX",IQ_FY-5), _xll.ciqfunctions.udf.CIQ(A108, "IQ_CAPEX",IQ_FY-4))</f>
        <v>-86.8</v>
      </c>
      <c r="L113" s="15">
        <f t="shared" si="28"/>
        <v>9.9449643848206861</v>
      </c>
      <c r="M113" s="17">
        <f>IF(A116=A117,_xll.ciqfunctions.udf.CIQ(A108,"IQ_TOTAL_DEBT_ISSUED",IQ_FY-5), _xll.ciqfunctions.udf.CIQ(A108, "IQ_TOTAL_DEBT_ISSUED",IQ_FY-4))</f>
        <v>11.5</v>
      </c>
      <c r="N113" s="17">
        <f>IF(A116=A117,_xll.ciqfunctions.udf.CIQ(A108,"IQ_TOTAL_DEBT_REPAID",IQ_FY-5), _xll.ciqfunctions.udf.CIQ(A108, "IQ_TOTAL_DEBT_REPAID",IQ_FY-4))</f>
        <v>-318</v>
      </c>
      <c r="O113" s="15">
        <f t="shared" si="29"/>
        <v>-8.4646808773883375</v>
      </c>
      <c r="P113" s="15">
        <f t="shared" si="30"/>
        <v>1.4802835074323486</v>
      </c>
      <c r="Q113" s="25" t="s">
        <v>27</v>
      </c>
      <c r="R113" s="38" t="s">
        <v>51</v>
      </c>
      <c r="S113" s="4">
        <f>AVERAGE(F113:F118)/AVERAGE(D113:D118)</f>
        <v>0.125929406934259</v>
      </c>
      <c r="U113" s="25" t="s">
        <v>58</v>
      </c>
      <c r="V113" s="38" t="s">
        <v>51</v>
      </c>
      <c r="W113" s="4">
        <f>AVERAGE(F113:F118)/AVERAGE(D113:D118)</f>
        <v>0.125929406934259</v>
      </c>
      <c r="Y113" s="25" t="s">
        <v>56</v>
      </c>
      <c r="Z113" s="38" t="s">
        <v>51</v>
      </c>
      <c r="AA113" s="4">
        <f>AVERAGE(F113:F118)/AVERAGE(D113:D118)</f>
        <v>0.125929406934259</v>
      </c>
    </row>
    <row r="114" spans="1:27">
      <c r="A114" s="18"/>
      <c r="B114" s="13">
        <v>7</v>
      </c>
      <c r="C114" s="14" t="s">
        <v>28</v>
      </c>
      <c r="D114" s="15" cm="1">
        <f t="array" ref="D114">_xlfn.SINGLE(IF(A116=A117,_xll.ciqfunctions.udf.CIQ(A108,"IQ_TOTAL_REV",IQ_FY-4)/I114, _xll.ciqfunctions.udf.CIQ(A108, "IQ_TOTAL_REV",IQ_FY-3)/I114))</f>
        <v>86.364197241019326</v>
      </c>
      <c r="E114" s="16">
        <f t="shared" si="31"/>
        <v>7.7670893884932077E-2</v>
      </c>
      <c r="F114" s="15">
        <f>IF(A116=A117,_xll.ciqfunctions.udf.CIQ(A108,"IQ_DILUT_EPS_EXCL",IQ_FY-4), _xll.ciqfunctions.udf.CIQ(A108, "IQ_DILUT_EPS_EXCL",IQ_FY-3))</f>
        <v>10.73</v>
      </c>
      <c r="G114" s="15">
        <f>IF(A116=A117,_xll.ciqfunctions.udf.CIQ(A108,"IQ_EBITDA_MARGIN",IQ_FY-4), _xll.ciqfunctions.udf.CIQ(A108, "IQ_EBITDA_MARGIN",IQ_FY-3))</f>
        <v>19.433499999999999</v>
      </c>
      <c r="H114" s="15">
        <f>IF(A116=A117,_xll.ciqfunctions.udf.CIQ(A108,"IQ_TOTAL_DIV_PAID_CF",IQ_FY-4)/-I114, _xll.ciqfunctions.udf.CIQ(A108, "IQ_TOTAL_DIV_PAID_CF",IQ_FY-3)/-I114)</f>
        <v>0</v>
      </c>
      <c r="I114" s="17">
        <f>IF(A116=A117,_xll.ciqfunctions.udf.CIQ(A108,"IQ_TOTAL_OUTSTANDING_FILING_DATE",IQ_FY-4), _xll.ciqfunctions.udf.CIQ(A108, "IQ_TOTAL_OUTSTANDING_FILING_DATE",IQ_FY-3))</f>
        <v>36.630920000000003</v>
      </c>
      <c r="J114" s="17">
        <f>IF(A116=A117,_xll.ciqfunctions.udf.CIQ(A108,"IQ_CASH_OPER",IQ_FY-4), _xll.ciqfunctions.udf.CIQ(A108, "IQ_CASH_OPER",IQ_FY-3))</f>
        <v>482.1</v>
      </c>
      <c r="K114" s="17">
        <f>IF(A116=A117,_xll.ciqfunctions.udf.CIQ(A108,"IQ_CAPEX",IQ_FY-4), _xll.ciqfunctions.udf.CIQ(A108, "IQ_CAPEX",IQ_FY-3))</f>
        <v>-88.4</v>
      </c>
      <c r="L114" s="15">
        <f t="shared" si="28"/>
        <v>10.747750807241532</v>
      </c>
      <c r="M114" s="17">
        <f>IF(A116=A117,_xll.ciqfunctions.udf.CIQ(A108,"IQ_TOTAL_DEBT_ISSUED",IQ_FY-4), _xll.ciqfunctions.udf.CIQ(A108, "IQ_TOTAL_DEBT_ISSUED",IQ_FY-3))</f>
        <v>246</v>
      </c>
      <c r="N114" s="17">
        <f>IF(A116=A117,_xll.ciqfunctions.udf.CIQ(A108,"IQ_TOTAL_DEBT_REPAID",IQ_FY-4), _xll.ciqfunctions.udf.CIQ(A108, "IQ_TOTAL_DEBT_REPAID",IQ_FY-3))</f>
        <v>-137.19999999999999</v>
      </c>
      <c r="O114" s="15">
        <f t="shared" si="29"/>
        <v>2.9701683714195548</v>
      </c>
      <c r="P114" s="15">
        <f t="shared" si="30"/>
        <v>13.717919178661088</v>
      </c>
      <c r="Q114" s="18"/>
      <c r="R114" s="38" t="s">
        <v>29</v>
      </c>
      <c r="S114" s="4">
        <f>(AVERAGE(P113:P118)/_xlfn.STDEV.P(P113:P118))/(IF(A116=A117,(_xlfn.SINGLE(_xll.ciqfunctions.udf.CIQ(A108,"IQ_total_assets",IQ_FY)) - _xlfn.SINGLE(_xll.ciqfunctions.udf.CIQ(A108,"iq_gw_intan", IQ_FY)))/I118, (_xlfn.SINGLE(_xll.ciqfunctions.udf.CIQ(A108, "IQ_total_assets",IQ_LTM))-_xlfn.SINGLE(_xll.ciqfunctions.udf.CIQ(A108,"iq_gw_intan",IQ_LTM)))/I118))</f>
        <v>8.2802764692125452E-3</v>
      </c>
      <c r="U114" s="18"/>
      <c r="V114" s="38" t="s">
        <v>29</v>
      </c>
      <c r="W114" s="4">
        <f>(AVERAGE(P113:P118)/_xlfn.STDEV.P(P113:P118))/(IF(A116=A117,(_xlfn.SINGLE(_xll.ciqfunctions.udf.CIQ(A108,"IQ_total_assets",IQ_FY)) - _xlfn.SINGLE(_xll.ciqfunctions.udf.CIQ(A108,"iq_gw_intan", IQ_FY)))/I118, (_xlfn.SINGLE(_xll.ciqfunctions.udf.CIQ(A108, "IQ_total_assets",IQ_LTM))-_xlfn.SINGLE(_xll.ciqfunctions.udf.CIQ(A108,"iq_gw_intan",IQ_LTM)))/I118))</f>
        <v>8.2802764692125452E-3</v>
      </c>
      <c r="Y114" s="18"/>
      <c r="Z114" s="38" t="s">
        <v>29</v>
      </c>
      <c r="AA114" s="4">
        <f>(AVERAGE(P113:P118)/_xlfn.STDEV.P(P113:P118))/(IF(A116=A117,(_xlfn.SINGLE(_xll.ciqfunctions.udf.CIQ(A108,"IQ_total_assets",IQ_FY)) - _xlfn.SINGLE(_xll.ciqfunctions.udf.CIQ(A108,"iq_gw_intan", IQ_FY)))/I118, (_xlfn.SINGLE(_xll.ciqfunctions.udf.CIQ(A108, "IQ_total_assets",IQ_LTM))-_xlfn.SINGLE(_xll.ciqfunctions.udf.CIQ(A108,"iq_gw_intan",IQ_LTM)))/I118))</f>
        <v>8.2802764692125452E-3</v>
      </c>
    </row>
    <row r="115" spans="1:27">
      <c r="A115" s="18"/>
      <c r="B115" s="13">
        <v>8</v>
      </c>
      <c r="C115" s="14" t="s">
        <v>30</v>
      </c>
      <c r="D115" s="15" cm="1">
        <f t="array" ref="D115">_xlfn.SINGLE(IF(A116=A117,_xll.ciqfunctions.udf.CIQ(A108,"IQ_TOTAL_REV",IQ_FY-3)/I115, _xll.ciqfunctions.udf.CIQ(A108, "IQ_TOTAL_REV",IQ_FY-2)/I115))</f>
        <v>83.365770763309229</v>
      </c>
      <c r="E115" s="16">
        <f t="shared" si="31"/>
        <v>-3.4718396899380569E-2</v>
      </c>
      <c r="F115" s="15">
        <f>IF(A116=A117,_xll.ciqfunctions.udf.CIQ(A108,"IQ_DILUT_EPS_EXCL",IQ_FY-3), _xll.ciqfunctions.udf.CIQ(A108, "IQ_DILUT_EPS_EXCL",IQ_FY-2))</f>
        <v>10.62</v>
      </c>
      <c r="G115" s="15">
        <f>IF(A116=A117,_xll.ciqfunctions.udf.CIQ(A108,"IQ_EBITDA_MARGIN",IQ_FY-3), _xll.ciqfunctions.udf.CIQ(A108, "IQ_EBITDA_MARGIN",IQ_FY-2))</f>
        <v>19.7135</v>
      </c>
      <c r="H115" s="15">
        <f>IF(A116=A117,_xll.ciqfunctions.udf.CIQ(A108,"IQ_TOTAL_DIV_PAID_CF",IQ_FY-3)/-I115, _xll.ciqfunctions.udf.CIQ(A108, "IQ_TOTAL_DIV_PAID_CF",IQ_FY-2)/-I115)</f>
        <v>0</v>
      </c>
      <c r="I115" s="17">
        <f>IF(A116=A117,_xll.ciqfunctions.udf.CIQ(A108,"IQ_TOTAL_OUTSTANDING_FILING_DATE",IQ_FY-3), _xll.ciqfunctions.udf.CIQ(A108, "IQ_TOTAL_OUTSTANDING_FILING_DATE",IQ_FY-2))</f>
        <v>37.01999</v>
      </c>
      <c r="J115" s="17">
        <f>IF(A116=A117,_xll.ciqfunctions.udf.CIQ(A108,"IQ_CASH_OPER",IQ_FY-3), _xll.ciqfunctions.udf.CIQ(A108, "IQ_CASH_OPER",IQ_FY-2))</f>
        <v>618.9</v>
      </c>
      <c r="K115" s="17">
        <f>IF(A116=A117,_xll.ciqfunctions.udf.CIQ(A108,"IQ_CAPEX",IQ_FY-3), _xll.ciqfunctions.udf.CIQ(A108, "IQ_CAPEX",IQ_FY-2))</f>
        <v>-71.400000000000006</v>
      </c>
      <c r="L115" s="15">
        <f t="shared" si="28"/>
        <v>14.78930707436712</v>
      </c>
      <c r="M115" s="17">
        <f>IF(A116=A117,_xll.ciqfunctions.udf.CIQ(A108,"IQ_TOTAL_DEBT_ISSUED",IQ_FY-3), _xll.ciqfunctions.udf.CIQ(A108, "IQ_TOTAL_DEBT_ISSUED",IQ_FY-2))</f>
        <v>2.7</v>
      </c>
      <c r="N115" s="17">
        <f>IF(A116=A117,_xll.ciqfunctions.udf.CIQ(A108,"IQ_TOTAL_DEBT_REPAID",IQ_FY-3), _xll.ciqfunctions.udf.CIQ(A108, "IQ_TOTAL_DEBT_REPAID",IQ_FY-2))</f>
        <v>-100.8</v>
      </c>
      <c r="O115" s="15">
        <f t="shared" si="29"/>
        <v>-2.6499196785304369</v>
      </c>
      <c r="P115" s="15">
        <f t="shared" si="30"/>
        <v>12.139387395836682</v>
      </c>
      <c r="Q115" s="18"/>
      <c r="R115" s="39" t="s">
        <v>31</v>
      </c>
      <c r="S115" s="5">
        <f>IF(NOT(D108&gt;0),FALSE,SLOPE(G108:G118,B108:B118))</f>
        <v>1.032369090909091</v>
      </c>
      <c r="U115" s="18"/>
      <c r="V115" s="39" t="s">
        <v>31</v>
      </c>
      <c r="W115" s="5">
        <f>IF(NOT(D108&gt;0),FALSE,SLOPE(G108:G118,B108:B118))</f>
        <v>1.032369090909091</v>
      </c>
      <c r="Y115" s="18"/>
      <c r="Z115" s="39" t="s">
        <v>31</v>
      </c>
      <c r="AA115" s="5">
        <f>IF(NOT(L108&gt;0),FALSE,SLOPE(O108:O118,J108:J118))</f>
        <v>2.3973328833152115E-2</v>
      </c>
    </row>
    <row r="116" spans="1:27">
      <c r="A116" s="19">
        <f>_xll.ciqfunctions.udf.CIQ(A108,"IQ_TOTAL_REV",IQ_FY)</f>
        <v>5458.6</v>
      </c>
      <c r="B116" s="13">
        <v>9</v>
      </c>
      <c r="C116" s="14" t="s">
        <v>32</v>
      </c>
      <c r="D116" s="15" cm="1">
        <f t="array" ref="D116">_xlfn.SINGLE(IF(A116=A117,_xll.ciqfunctions.udf.CIQ(A108,"IQ_TOTAL_REV",IQ_FY-2)/I116, _xll.ciqfunctions.udf.CIQ(A108, "IQ_TOTAL_REV",IQ_FY-1)/I116))</f>
        <v>97.77138535842623</v>
      </c>
      <c r="E116" s="16">
        <f t="shared" si="31"/>
        <v>0.17280011284268207</v>
      </c>
      <c r="F116" s="15">
        <f>IF(A116=A117,_xll.ciqfunctions.udf.CIQ(A108,"IQ_DILUT_EPS_EXCL",IQ_FY-2), _xll.ciqfunctions.udf.CIQ(A108, "IQ_DILUT_EPS_EXCL",IQ_FY-1))</f>
        <v>10.050000000000001</v>
      </c>
      <c r="G116" s="15">
        <f>IF(A116=A117,_xll.ciqfunctions.udf.CIQ(A108,"IQ_EBITDA_MARGIN",IQ_FY-2), _xll.ciqfunctions.udf.CIQ(A108, "IQ_EBITDA_MARGIN",IQ_FY-1))</f>
        <v>26.361499999999999</v>
      </c>
      <c r="H116" s="15">
        <f>IF(A116=A117,_xll.ciqfunctions.udf.CIQ(A108,"IQ_TOTAL_DIV_PAID_CF",IQ_FY-2)/-I116, _xll.ciqfunctions.udf.CIQ(A108, "IQ_TOTAL_DIV_PAID_CF",IQ_FY-1)/-I116)</f>
        <v>0</v>
      </c>
      <c r="I116" s="17">
        <f>IF(A116=A117,_xll.ciqfunctions.udf.CIQ(A108,"IQ_TOTAL_OUTSTANDING_FILING_DATE",IQ_FY-2), _xll.ciqfunctions.udf.CIQ(A108, "IQ_TOTAL_OUTSTANDING_FILING_DATE",IQ_FY-1))</f>
        <v>47.194789999999998</v>
      </c>
      <c r="J116" s="17">
        <f>IF(A116=A117,_xll.ciqfunctions.udf.CIQ(A108,"IQ_CASH_OPER",IQ_FY-2), _xll.ciqfunctions.udf.CIQ(A108, "IQ_CASH_OPER",IQ_FY-1))</f>
        <v>824.6</v>
      </c>
      <c r="K116" s="17">
        <f>IF(A116=A117,_xll.ciqfunctions.udf.CIQ(A108,"IQ_CAPEX",IQ_FY-2), _xll.ciqfunctions.udf.CIQ(A108, "IQ_CAPEX",IQ_FY-1))</f>
        <v>-101.6</v>
      </c>
      <c r="L116" s="15">
        <f t="shared" si="28"/>
        <v>15.319487595982524</v>
      </c>
      <c r="M116" s="17">
        <f>IF(A116=A117,_xll.ciqfunctions.udf.CIQ(A108,"IQ_TOTAL_DEBT_ISSUED",IQ_FY-2), _xll.ciqfunctions.udf.CIQ(A108, "IQ_TOTAL_DEBT_ISSUED",IQ_FY-1))</f>
        <v>3975.9</v>
      </c>
      <c r="N116" s="17">
        <f>IF(A116=A117,_xll.ciqfunctions.udf.CIQ(A108,"IQ_TOTAL_DEBT_REPAID",IQ_FY-2), _xll.ciqfunctions.udf.CIQ(A108, "IQ_TOTAL_DEBT_REPAID",IQ_FY-1))</f>
        <v>-1141.7</v>
      </c>
      <c r="O116" s="15">
        <f t="shared" si="29"/>
        <v>60.053238927432453</v>
      </c>
      <c r="P116" s="15">
        <f t="shared" si="30"/>
        <v>75.372726523414983</v>
      </c>
      <c r="Q116" s="25" t="s">
        <v>33</v>
      </c>
      <c r="R116" s="38" t="s">
        <v>52</v>
      </c>
      <c r="S116" s="4">
        <f>(AVERAGE(O113:O118)/AVERAGE(P113:P118))</f>
        <v>0.30741356357957078</v>
      </c>
      <c r="U116" s="25" t="s">
        <v>54</v>
      </c>
      <c r="V116" s="38" t="s">
        <v>52</v>
      </c>
      <c r="W116" s="4">
        <f>(AVERAGE(O113:O118)/AVERAGE(P113:P118))</f>
        <v>0.30741356357957078</v>
      </c>
      <c r="Y116" s="25" t="s">
        <v>60</v>
      </c>
      <c r="Z116" s="38" t="s">
        <v>52</v>
      </c>
      <c r="AA116" s="4">
        <f>(AVERAGE(O113:O118)/AVERAGE(P113:P118))</f>
        <v>0.30741356357957078</v>
      </c>
    </row>
    <row r="117" spans="1:27">
      <c r="A117" s="19">
        <f>_xll.ciqfunctions.udf.CIQ(A108,"IQ_TOTAL_REV",IQ_LTM)</f>
        <v>5628.7</v>
      </c>
      <c r="B117" s="13">
        <v>10</v>
      </c>
      <c r="C117" s="14" t="s">
        <v>34</v>
      </c>
      <c r="D117" s="15" cm="1">
        <f t="array" ref="D117">_xlfn.SINGLE(IF(A116=A117,_xll.ciqfunctions.udf.CIQ(A108,"IQ_TOTAL_REV",IQ_FY-1)/I117, _xll.ciqfunctions.udf.CIQ(A108, "IQ_TOTAL_REV",IQ_FY)/I117))</f>
        <v>116.1521643144786</v>
      </c>
      <c r="E117" s="16">
        <f t="shared" si="31"/>
        <v>0.18799753004081021</v>
      </c>
      <c r="F117" s="15">
        <f>IF(A116=A117,_xll.ciqfunctions.udf.CIQ(A108,"IQ_DILUT_EPS_EXCL",IQ_FY-1), _xll.ciqfunctions.udf.CIQ(A108, "IQ_DILUT_EPS_EXCL",IQ_FY))</f>
        <v>16.53</v>
      </c>
      <c r="G117" s="15">
        <f>IF(A116=A117,_xll.ciqfunctions.udf.CIQ(A108,"IQ_EBITDA_MARGIN",IQ_FY-1), _xll.ciqfunctions.udf.CIQ(A108, "IQ_EBITDA_MARGIN",IQ_FY))</f>
        <v>24.101400000000002</v>
      </c>
      <c r="H117" s="15">
        <f>IF(A116=A117,_xll.ciqfunctions.udf.CIQ(A108,"IQ_TOTAL_DIV_PAID_CF",IQ_FY-1)/-I117, _xll.ciqfunctions.udf.CIQ(A108, "IQ_TOTAL_DIV_PAID_CF",IQ_FY)/-I117)</f>
        <v>0</v>
      </c>
      <c r="I117" s="17">
        <f>IF(A116=A117,_xll.ciqfunctions.udf.CIQ(A108,"IQ_TOTAL_OUTSTANDING_FILING_DATE",IQ_FY-1), _xll.ciqfunctions.udf.CIQ(A108, "IQ_TOTAL_OUTSTANDING_FILING_DATE",IQ_FY))</f>
        <v>46.995249999999999</v>
      </c>
      <c r="J117" s="17">
        <f>IF(A116=A117,_xll.ciqfunctions.udf.CIQ(A108,"IQ_CASH_OPER",IQ_FY-1), _xll.ciqfunctions.udf.CIQ(A108, "IQ_CASH_OPER",IQ_FY))</f>
        <v>486.8</v>
      </c>
      <c r="K117" s="17">
        <f>IF(A116=A117,_xll.ciqfunctions.udf.CIQ(A108,"IQ_CAPEX",IQ_FY-1), _xll.ciqfunctions.udf.CIQ(A108, "IQ_CAPEX",IQ_FY))</f>
        <v>-92.6</v>
      </c>
      <c r="L117" s="15">
        <f t="shared" si="28"/>
        <v>8.3880817742218632</v>
      </c>
      <c r="M117" s="17">
        <f>IF(A116=A117,_xll.ciqfunctions.udf.CIQ(A108,"IQ_TOTAL_DEBT_ISSUED",IQ_FY-1), _xll.ciqfunctions.udf.CIQ(A108, "IQ_TOTAL_DEBT_ISSUED",IQ_FY))</f>
        <v>0</v>
      </c>
      <c r="N117" s="17">
        <f>IF(A116=A117,_xll.ciqfunctions.udf.CIQ(A108,"IQ_TOTAL_DEBT_REPAID",IQ_FY-1), _xll.ciqfunctions.udf.CIQ(A108, "IQ_TOTAL_DEBT_REPAID",IQ_FY))</f>
        <v>-174.8</v>
      </c>
      <c r="O117" s="15">
        <f t="shared" si="29"/>
        <v>-3.7195248455960979</v>
      </c>
      <c r="P117" s="15">
        <f t="shared" si="30"/>
        <v>4.6685569286257653</v>
      </c>
      <c r="Q117" s="25" t="s">
        <v>44</v>
      </c>
      <c r="R117" s="38" t="s">
        <v>35</v>
      </c>
      <c r="S117" s="1">
        <f>_xll.ciqfunctions.udf.CIQ(A108,"IQ_TEV_EBITDA")</f>
        <v>15.69999</v>
      </c>
      <c r="U117" s="25" t="s">
        <v>55</v>
      </c>
      <c r="V117" s="38" t="s">
        <v>53</v>
      </c>
      <c r="W117" s="1">
        <f>V107/(AVERAGE(D113:D118)/_xlfn.STDEV.P(E113:E118))</f>
        <v>0.31899134863560269</v>
      </c>
      <c r="Y117" s="25" t="s">
        <v>57</v>
      </c>
      <c r="Z117" s="38" t="s">
        <v>53</v>
      </c>
      <c r="AA117" s="1">
        <f>Z107/(AVERAGE(D113:D118)/_xlfn.STDEV.P(E113:E118))</f>
        <v>0.31899134863560269</v>
      </c>
    </row>
    <row r="118" spans="1:27">
      <c r="B118" s="13">
        <v>11</v>
      </c>
      <c r="C118" s="20" t="s">
        <v>36</v>
      </c>
      <c r="D118" s="21" cm="1">
        <f t="array" ref="D118">_xlfn.SINGLE(IF(A116=A117,_xll.ciqfunctions.udf.CIQ(A108,"IQ_TOTAL_REV",IQ_FY)/I118, _xll.ciqfunctions.udf.CIQ(A108, "IQ_TOTAL_REV",IQ_LTM)/I118))</f>
        <v>119.29078705597365</v>
      </c>
      <c r="E118" s="22">
        <f t="shared" si="31"/>
        <v>2.7021646647903397E-2</v>
      </c>
      <c r="F118" s="21">
        <f>IF(A116=A117,_xll.ciqfunctions.udf.CIQ(A108,"IQ_DILUT_EPS_EXCL",IQ_FY), _xll.ciqfunctions.udf.CIQ(A108, "IQ_DILUT_EPS_EXCL",IQ_LTM))</f>
        <v>16.48742</v>
      </c>
      <c r="G118" s="21">
        <f>IF(A116=A117,_xll.ciqfunctions.udf.CIQ(A108,"IQ_EBITDA_MARGIN",IQ_FY), _xll.ciqfunctions.udf.CIQ(A108, "IQ_EBITDA_MARGIN",IQ_LTM))</f>
        <v>24.435400000000001</v>
      </c>
      <c r="H118" s="21">
        <f>IF(A116=A117,_xll.ciqfunctions.udf.CIQ(A108,"IQ_TOTAL_DIV_PAID_CF",IQ_FY)/-I118, _xll.ciqfunctions.udf.CIQ(A108, "IQ_TOTAL_DIV_PAID_CF",IQ_LTM)/-I118)</f>
        <v>0</v>
      </c>
      <c r="I118" s="23">
        <f>IF(A116=A117,_xll.ciqfunctions.udf.CIQ(A108,"IQ_TOTAL_OUTSTANDING_FILING_DATE",IQ_FY),_xll.ciqfunctions.udf.CIQ(A108,"IQ_sharesoutstanding"))</f>
        <v>47.184699999999999</v>
      </c>
      <c r="J118" s="23">
        <f>IF(A116=A117,_xll.ciqfunctions.udf.CIQ(A108,"IQ_CASH_OPER",IQ_FY), _xll.ciqfunctions.udf.CIQ(A108, "IQ_CASH_OPER",IQ_LTM))</f>
        <v>909.4</v>
      </c>
      <c r="K118" s="23">
        <f>IF(A116=A117,_xll.ciqfunctions.udf.CIQ(A108,"IQ_CAPEX",IQ_FY), _xll.ciqfunctions.udf.CIQ(A108, "IQ_CAPEX",IQ_LTM))</f>
        <v>-108.8</v>
      </c>
      <c r="L118" s="21">
        <f t="shared" si="28"/>
        <v>16.967364421094125</v>
      </c>
      <c r="M118" s="23">
        <f>IF(A116=A117,_xll.ciqfunctions.udf.CIQ(A108,"IQ_TOTAL_DEBT_ISSUED",IQ_FY), _xll.ciqfunctions.udf.CIQ(A108, "IQ_TOTAL_DEBT_ISSUED",IQ_LTM))</f>
        <v>0</v>
      </c>
      <c r="N118" s="23">
        <f>IF(A116=A117,_xll.ciqfunctions.udf.CIQ(A108,"IQ_TOTAL_DEBT_REPAID",IQ_FY), _xll.ciqfunctions.udf.CIQ(A108, "IQ_TOTAL_DEBT_REPAID",IQ_LTM))</f>
        <v>-678.8</v>
      </c>
      <c r="O118" s="21">
        <f t="shared" si="29"/>
        <v>-14.386019196900689</v>
      </c>
      <c r="P118" s="21">
        <f t="shared" si="30"/>
        <v>2.581345224193436</v>
      </c>
      <c r="Q118" s="25" t="s">
        <v>45</v>
      </c>
      <c r="S118" s="45"/>
      <c r="U118" s="25"/>
      <c r="W118" s="45"/>
      <c r="Y118" s="25"/>
      <c r="AA118" s="45"/>
    </row>
    <row r="119" spans="1:27">
      <c r="B119" s="24"/>
      <c r="C119" s="25" t="s">
        <v>37</v>
      </c>
      <c r="E119" s="26">
        <f>((D118/D113)^(1/5))-1</f>
        <v>8.2809016254859813E-2</v>
      </c>
      <c r="F119" s="27">
        <f>((F118/F113)^(1/5))-1</f>
        <v>0.1284584737410861</v>
      </c>
      <c r="G119" s="28"/>
      <c r="H119" s="27" t="e">
        <f>((H118/H113)^(1/5))-1</f>
        <v>#DIV/0!</v>
      </c>
      <c r="I119" s="27">
        <f>((I118/I113)^(1/5))-1</f>
        <v>5.4377820739459848E-2</v>
      </c>
      <c r="J119" s="27"/>
      <c r="K119" s="27"/>
      <c r="L119" s="26">
        <f>((L118/L113)^(1/5))-1</f>
        <v>0.11276185828476359</v>
      </c>
      <c r="M119" s="26"/>
      <c r="N119" s="26"/>
      <c r="O119" s="26"/>
      <c r="P119" s="26">
        <f>((P118/P113)^(1/5))-1</f>
        <v>0.11763562841883157</v>
      </c>
      <c r="Q119" s="18"/>
      <c r="R119" s="36"/>
      <c r="S119" s="45"/>
      <c r="U119" s="18"/>
      <c r="V119" s="36"/>
      <c r="W119" s="45"/>
      <c r="Y119" s="18"/>
      <c r="Z119" s="36"/>
      <c r="AA119" s="45"/>
    </row>
    <row r="120" spans="1:27">
      <c r="A120" s="29"/>
      <c r="B120" s="30"/>
      <c r="C120" s="31" t="s">
        <v>38</v>
      </c>
      <c r="D120" s="29"/>
      <c r="E120" s="32">
        <f>((D118/D108)^(1/10))-1</f>
        <v>6.740665783907307E-2</v>
      </c>
      <c r="F120" s="33">
        <f>((F118/F108)^(1/10))-1</f>
        <v>0.12969803672646196</v>
      </c>
      <c r="G120" s="34"/>
      <c r="H120" s="33" t="e">
        <f>((H118/H108)^(1/10))-1</f>
        <v>#DIV/0!</v>
      </c>
      <c r="I120" s="33">
        <f>((I118/I108)^(1/10))-1</f>
        <v>2.2857910756108435E-2</v>
      </c>
      <c r="J120" s="33"/>
      <c r="K120" s="33"/>
      <c r="L120" s="32">
        <f>((L118/L108)^(1/10))-1</f>
        <v>0.17192195769080865</v>
      </c>
      <c r="M120" s="32"/>
      <c r="N120" s="32"/>
      <c r="O120" s="32"/>
      <c r="P120" s="32">
        <f>((P118/P108)^(1/10))-1</f>
        <v>-2.5423594892928669E-2</v>
      </c>
      <c r="Q120" s="40"/>
      <c r="R120" s="41"/>
      <c r="S120" s="46"/>
      <c r="U120" s="40"/>
      <c r="V120" s="41"/>
      <c r="W120" s="46"/>
      <c r="Y120" s="40"/>
      <c r="Z120" s="41"/>
      <c r="AA120" s="46"/>
    </row>
    <row r="121" spans="1:27">
      <c r="B121" s="24"/>
      <c r="C121" s="25"/>
      <c r="E121" s="26"/>
      <c r="F121" s="27"/>
      <c r="G121" s="28"/>
      <c r="H121" s="27"/>
      <c r="I121" s="27"/>
      <c r="J121" s="27"/>
      <c r="K121" s="27"/>
      <c r="L121" s="26"/>
      <c r="M121" s="17"/>
      <c r="N121" s="17"/>
      <c r="O121" s="17"/>
      <c r="P121" s="35"/>
      <c r="Q121" s="18"/>
      <c r="R121" s="36"/>
    </row>
    <row r="122" spans="1:27">
      <c r="A122" s="9" t="s">
        <v>0</v>
      </c>
      <c r="B122" s="10"/>
      <c r="C122" s="9" t="s">
        <v>1</v>
      </c>
      <c r="D122" s="9" t="s">
        <v>2</v>
      </c>
      <c r="E122" s="9" t="s">
        <v>3</v>
      </c>
      <c r="F122" s="11" t="s">
        <v>4</v>
      </c>
      <c r="G122" s="11" t="s">
        <v>5</v>
      </c>
      <c r="H122" s="9" t="s">
        <v>6</v>
      </c>
      <c r="I122" s="11" t="s">
        <v>7</v>
      </c>
      <c r="J122" s="11" t="s">
        <v>8</v>
      </c>
      <c r="K122" s="11" t="s">
        <v>9</v>
      </c>
      <c r="L122" s="11" t="s">
        <v>10</v>
      </c>
      <c r="M122" s="11" t="s">
        <v>11</v>
      </c>
      <c r="N122" s="11" t="s">
        <v>12</v>
      </c>
      <c r="O122" s="11" t="s">
        <v>13</v>
      </c>
      <c r="P122" s="11" t="s">
        <v>14</v>
      </c>
      <c r="Q122" s="37" t="s">
        <v>15</v>
      </c>
      <c r="R122" s="42">
        <f>_xll.ciqfunctions.udf.CIQ(A123,("IQ_LASTSALEPRICE"))</f>
        <v>156.07570000000001</v>
      </c>
      <c r="S122" s="44"/>
      <c r="U122" s="37" t="s">
        <v>15</v>
      </c>
      <c r="V122" s="42">
        <f>_xll.ciqfunctions.udf.CIQ(A123,("IQ_LASTSALEPRICE"))</f>
        <v>156.07570000000001</v>
      </c>
      <c r="W122" s="44"/>
      <c r="Y122" s="37" t="s">
        <v>15</v>
      </c>
      <c r="Z122" s="42">
        <f>_xll.ciqfunctions.udf.CIQ(A123,("IQ_LASTSALEPRICE"))</f>
        <v>156.07570000000001</v>
      </c>
      <c r="AA122" s="44"/>
    </row>
    <row r="123" spans="1:27">
      <c r="A123" s="12" t="str">
        <f>Analysis!B10</f>
        <v>NYSE:IBM</v>
      </c>
      <c r="B123" s="13">
        <v>1</v>
      </c>
      <c r="C123" s="14" t="s">
        <v>16</v>
      </c>
      <c r="D123" s="15">
        <f>IF(A131=A132,_xll.ciqfunctions.udf.CIQ(A123,"IQ_TOTAL_REV",IQ_FY-10)/I123,_xll.ciqfunctions.udf.CIQ(A123, "IQ_TOTAL_REV",IQ_FY-9)/I123)</f>
        <v>94.46283462485421</v>
      </c>
      <c r="E123" s="16"/>
      <c r="F123" s="15">
        <f>IF(A131=A132,_xll.ciqfunctions.udf.CIQ(A123,"IQ_DILUT_EPS_EXCL",IQ_FY-10), _xll.ciqfunctions.udf.CIQ(A123, "IQ_DILUT_EPS_EXCL",IQ_FY-9))</f>
        <v>15.303129999999999</v>
      </c>
      <c r="G123" s="15">
        <f>IF(A131=A132,_xll.ciqfunctions.udf.CIQ(A123,"IQ_EBITDA_MARGIN",IQ_FY-10), _xll.ciqfunctions.udf.CIQ(A123, "IQ_EBITDA_MARGIN",IQ_FY-9))</f>
        <v>26.126300000000001</v>
      </c>
      <c r="H123" s="15">
        <f>IF(A131=A132,_xll.ciqfunctions.udf.CIQ(A123,"IQ_TOTAL_DIV_PAID_CF",IQ_FY-10)/-I123, _xll.ciqfunctions.udf.CIQ(A123, "IQ_TOTAL_DIV_PAID_CF",IQ_FY-9)/-I123)</f>
        <v>3.8968992244191036</v>
      </c>
      <c r="I123" s="17">
        <f>IF(A131=A132,_xll.ciqfunctions.udf.CIQ(A123,"IQ_TOTAL_OUTSTANDING_FILING_DATE",IQ_FY-10), _xll.ciqfunctions.udf.CIQ(A123, "IQ_TOTAL_OUTSTANDING_FILING_DATE",IQ_FY-9))</f>
        <v>1041.34076</v>
      </c>
      <c r="J123" s="17">
        <f>IF(A131=A132,_xll.ciqfunctions.udf.CIQ(A123,"IQ_CASH_OPER",IQ_FY-10), _xll.ciqfunctions.udf.CIQ(A123, "IQ_CASH_OPER",IQ_FY-9))</f>
        <v>17485</v>
      </c>
      <c r="K123" s="17">
        <f>IF(A131=A132,_xll.ciqfunctions.udf.CIQ(A123,"IQ_CAPEX",IQ_FY-10), _xll.ciqfunctions.udf.CIQ(A123, "IQ_CAPEX",IQ_FY-9))</f>
        <v>-3623</v>
      </c>
      <c r="L123" s="15">
        <f t="shared" ref="L123:L133" si="32">(J123+K123)/I123</f>
        <v>13.311684832158111</v>
      </c>
      <c r="M123" s="17">
        <f>IF(A131=A132,_xll.ciqfunctions.udf.CIQ(A123,"IQ_TOTAL_DEBT_ISSUED",IQ_FY-10), _xll.ciqfunctions.udf.CIQ(A123, "IQ_TOTAL_DEBT_ISSUED",IQ_FY-9))</f>
        <v>16974</v>
      </c>
      <c r="N123" s="17">
        <f>IF(A131=A132,_xll.ciqfunctions.udf.CIQ(A123,"IQ_TOTAL_DEBT_REPAID",IQ_FY-10), _xll.ciqfunctions.udf.CIQ(A123, "IQ_TOTAL_DEBT_REPAID",IQ_FY-9))</f>
        <v>-10013</v>
      </c>
      <c r="O123" s="15">
        <f t="shared" ref="O123:O133" si="33">(M123+N123)/I123</f>
        <v>6.6846514295666291</v>
      </c>
      <c r="P123" s="15">
        <f t="shared" ref="P123:P133" si="34">L123+O123</f>
        <v>19.996336261724739</v>
      </c>
      <c r="W123" s="43"/>
      <c r="AA123" s="43"/>
    </row>
    <row r="124" spans="1:27">
      <c r="A124" s="18" t="str">
        <f>_xll.ciqfunctions.udf.CIQ(A123,"IQ_COMPANY_NAME")</f>
        <v>International Business Machines Corporation</v>
      </c>
      <c r="B124" s="13">
        <v>2</v>
      </c>
      <c r="C124" s="14" t="s">
        <v>17</v>
      </c>
      <c r="D124" s="15">
        <f>IF(A131=A132,_xll.ciqfunctions.udf.CIQ(A123,"IQ_TOTAL_REV",IQ_FY-9)/I124, _xll.ciqfunctions.udf.CIQ(A123, "IQ_TOTAL_REV",IQ_FY-8)/I124)</f>
        <v>93.879735862792586</v>
      </c>
      <c r="E124" s="16">
        <f t="shared" ref="E124:E133" si="35">(D124-D123)/D123</f>
        <v>-6.1727849304683523E-3</v>
      </c>
      <c r="F124" s="15">
        <f>IF(A131=A132,_xll.ciqfunctions.udf.CIQ(A123,"IQ_DILUT_EPS_EXCL",IQ_FY-9), _xll.ciqfunctions.udf.CIQ(A123, "IQ_DILUT_EPS_EXCL",IQ_FY-8))</f>
        <v>15.593059999999999</v>
      </c>
      <c r="G124" s="15">
        <f>IF(A131=A132,_xll.ciqfunctions.udf.CIQ(A123,"IQ_EBITDA_MARGIN",IQ_FY-9), _xll.ciqfunctions.udf.CIQ(A123, "IQ_EBITDA_MARGIN",IQ_FY-8))</f>
        <v>26.533200000000001</v>
      </c>
      <c r="H124" s="15">
        <f>IF(A131=A132,_xll.ciqfunctions.udf.CIQ(A123,"IQ_TOTAL_DIV_PAID_CF",IQ_FY-9)/-I124, _xll.ciqfunctions.udf.CIQ(A123, "IQ_TOTAL_DIV_PAID_CF",IQ_FY-8)/-I124)</f>
        <v>4.3149491174421604</v>
      </c>
      <c r="I124" s="17">
        <f>IF(A131=A132,_xll.ciqfunctions.udf.CIQ(A123,"IQ_TOTAL_OUTSTANDING_FILING_DATE",IQ_FY-9), _xll.ciqfunctions.udf.CIQ(A123, "IQ_TOTAL_OUTSTANDING_FILING_DATE",IQ_FY-8))</f>
        <v>988.42417</v>
      </c>
      <c r="J124" s="17">
        <f>IF(A131=A132,_xll.ciqfunctions.udf.CIQ(A123,"IQ_CASH_OPER",IQ_FY-9), _xll.ciqfunctions.udf.CIQ(A123, "IQ_CASH_OPER",IQ_FY-8))</f>
        <v>16868</v>
      </c>
      <c r="K124" s="17">
        <f>IF(A131=A132,_xll.ciqfunctions.udf.CIQ(A123,"IQ_CAPEX",IQ_FY-9), _xll.ciqfunctions.udf.CIQ(A123, "IQ_CAPEX",IQ_FY-8))</f>
        <v>-3740</v>
      </c>
      <c r="L124" s="15">
        <f t="shared" si="32"/>
        <v>13.281747248248694</v>
      </c>
      <c r="M124" s="17">
        <f>IF(A131=A132,_xll.ciqfunctions.udf.CIQ(A123,"IQ_TOTAL_DEBT_ISSUED",IQ_FY-9), _xll.ciqfunctions.udf.CIQ(A123, "IQ_TOTAL_DEBT_ISSUED",IQ_FY-8))</f>
        <v>8180</v>
      </c>
      <c r="N124" s="17">
        <f>IF(A131=A132,_xll.ciqfunctions.udf.CIQ(A123,"IQ_TOTAL_DEBT_REPAID",IQ_FY-9), _xll.ciqfunctions.udf.CIQ(A123, "IQ_TOTAL_DEBT_REPAID",IQ_FY-8))</f>
        <v>-6397</v>
      </c>
      <c r="O124" s="15">
        <f t="shared" si="33"/>
        <v>1.8038814247126311</v>
      </c>
      <c r="P124" s="15">
        <f t="shared" si="34"/>
        <v>15.085628672961326</v>
      </c>
      <c r="Q124" s="25" t="s">
        <v>18</v>
      </c>
      <c r="R124" s="39" t="s">
        <v>19</v>
      </c>
      <c r="S124" s="1">
        <f>R122/((AVERAGE(P128:P133))*(1+E134)^3)</f>
        <v>12.406667893580385</v>
      </c>
      <c r="U124" s="25" t="s">
        <v>48</v>
      </c>
      <c r="V124" s="39" t="s">
        <v>19</v>
      </c>
      <c r="W124" s="1">
        <f>V122/((AVERAGE(P128:P133))*(1+E134)^3)</f>
        <v>12.406667893580385</v>
      </c>
      <c r="Y124" s="25" t="s">
        <v>39</v>
      </c>
      <c r="Z124" s="39" t="s">
        <v>19</v>
      </c>
      <c r="AA124" s="1">
        <f>Z122/((AVERAGE(P128:P133))*(1+E134)^3)</f>
        <v>12.406667893580385</v>
      </c>
    </row>
    <row r="125" spans="1:27">
      <c r="B125" s="13">
        <v>3</v>
      </c>
      <c r="C125" s="14" t="s">
        <v>20</v>
      </c>
      <c r="D125" s="15" cm="1">
        <f t="array" ref="D125">_xlfn.SINGLE(IF(A131=A132,_xll.ciqfunctions.udf.CIQ(A123,"IQ_TOTAL_REV",IQ_FY-8)/I125, _xll.ciqfunctions.udf.CIQ(A123, "IQ_TOTAL_REV",IQ_FY-7)/I125))</f>
        <v>85.068813729801192</v>
      </c>
      <c r="E125" s="16">
        <f t="shared" si="35"/>
        <v>-9.385329061714405E-2</v>
      </c>
      <c r="F125" s="15">
        <f>IF(A131=A132,_xll.ciqfunctions.udf.CIQ(A123,"IQ_DILUT_EPS_EXCL",IQ_FY-8), _xll.ciqfunctions.udf.CIQ(A123, "IQ_DILUT_EPS_EXCL",IQ_FY-7))</f>
        <v>13.59825</v>
      </c>
      <c r="G125" s="15">
        <f>IF(A131=A132,_xll.ciqfunctions.udf.CIQ(A123,"IQ_EBITDA_MARGIN",IQ_FY-8), _xll.ciqfunctions.udf.CIQ(A123, "IQ_EBITDA_MARGIN",IQ_FY-7))</f>
        <v>24.922599999999999</v>
      </c>
      <c r="H125" s="15">
        <f>IF(A131=A132,_xll.ciqfunctions.udf.CIQ(A123,"IQ_TOTAL_DIV_PAID_CF",IQ_FY-8)/-I125, _xll.ciqfunctions.udf.CIQ(A123, "IQ_TOTAL_DIV_PAID_CF",IQ_FY-7)/-I125)</f>
        <v>5.0963651146283562</v>
      </c>
      <c r="I125" s="17">
        <f>IF(A131=A132,_xll.ciqfunctions.udf.CIQ(A123,"IQ_TOTAL_OUTSTANDING_FILING_DATE",IQ_FY-8), _xll.ciqfunctions.udf.CIQ(A123, "IQ_TOTAL_OUTSTANDING_FILING_DATE",IQ_FY-7))</f>
        <v>960.88091999999995</v>
      </c>
      <c r="J125" s="17">
        <f>IF(A131=A132,_xll.ciqfunctions.udf.CIQ(A123,"IQ_CASH_OPER",IQ_FY-8), _xll.ciqfunctions.udf.CIQ(A123, "IQ_CASH_OPER",IQ_FY-7))</f>
        <v>17255</v>
      </c>
      <c r="K125" s="17">
        <f>IF(A131=A132,_xll.ciqfunctions.udf.CIQ(A123,"IQ_CAPEX",IQ_FY-8), _xll.ciqfunctions.udf.CIQ(A123, "IQ_CAPEX",IQ_FY-7))</f>
        <v>-3579</v>
      </c>
      <c r="L125" s="15">
        <f t="shared" si="32"/>
        <v>14.232772985022953</v>
      </c>
      <c r="M125" s="17">
        <f>IF(A131=A132,_xll.ciqfunctions.udf.CIQ(A123,"IQ_TOTAL_DEBT_ISSUED",IQ_FY-8), _xll.ciqfunctions.udf.CIQ(A123, "IQ_TOTAL_DEBT_ISSUED",IQ_FY-7))</f>
        <v>5641</v>
      </c>
      <c r="N125" s="17">
        <f>IF(A131=A132,_xll.ciqfunctions.udf.CIQ(A123,"IQ_TOTAL_DEBT_REPAID",IQ_FY-8), _xll.ciqfunctions.udf.CIQ(A123, "IQ_TOTAL_DEBT_REPAID",IQ_FY-7))</f>
        <v>-5622</v>
      </c>
      <c r="O125" s="15">
        <f t="shared" si="33"/>
        <v>1.9773521988551923E-2</v>
      </c>
      <c r="P125" s="15">
        <f t="shared" si="34"/>
        <v>14.252546507011505</v>
      </c>
      <c r="Q125" s="25" t="s">
        <v>21</v>
      </c>
      <c r="R125" s="38" t="s">
        <v>49</v>
      </c>
      <c r="S125" s="2">
        <f>(R122*I133)/1000</f>
        <v>142.51562155650601</v>
      </c>
      <c r="U125" s="25" t="s">
        <v>59</v>
      </c>
      <c r="V125" s="38" t="s">
        <v>49</v>
      </c>
      <c r="W125" s="2">
        <f>(V122*I133)/1000</f>
        <v>142.51562155650601</v>
      </c>
      <c r="Y125" s="25" t="s">
        <v>46</v>
      </c>
      <c r="Z125" s="38" t="s">
        <v>49</v>
      </c>
      <c r="AA125" s="2">
        <f>(Z122*I133)/1000</f>
        <v>142.51562155650601</v>
      </c>
    </row>
    <row r="126" spans="1:27">
      <c r="A126" s="18"/>
      <c r="B126" s="13">
        <v>4</v>
      </c>
      <c r="C126" s="14" t="s">
        <v>22</v>
      </c>
      <c r="D126" s="15" cm="1">
        <f t="array" ref="D126">_xlfn.SINGLE(IF(A131=A132,_xll.ciqfunctions.udf.CIQ(A123,"IQ_TOTAL_REV",IQ_FY-7)/I126, _xll.ciqfunctions.udf.CIQ(A123, "IQ_TOTAL_REV",IQ_FY-6)/I126))</f>
        <v>84.730636800793206</v>
      </c>
      <c r="E126" s="16">
        <f t="shared" si="35"/>
        <v>-3.9753337819205562E-3</v>
      </c>
      <c r="F126" s="15">
        <f>IF(A131=A132,_xll.ciqfunctions.udf.CIQ(A123,"IQ_DILUT_EPS_EXCL",IQ_FY-7), _xll.ciqfunctions.udf.CIQ(A123, "IQ_DILUT_EPS_EXCL",IQ_FY-6))</f>
        <v>12.39</v>
      </c>
      <c r="G126" s="15">
        <f>IF(A131=A132,_xll.ciqfunctions.udf.CIQ(A123,"IQ_EBITDA_MARGIN",IQ_FY-7), _xll.ciqfunctions.udf.CIQ(A123, "IQ_EBITDA_MARGIN",IQ_FY-6))</f>
        <v>23.212199999999999</v>
      </c>
      <c r="H126" s="15">
        <f>IF(A131=A132,_xll.ciqfunctions.udf.CIQ(A123,"IQ_TOTAL_DIV_PAID_CF",IQ_FY-7)/-I126, _xll.ciqfunctions.udf.CIQ(A123, "IQ_TOTAL_DIV_PAID_CF",IQ_FY-6)/-I126)</f>
        <v>5.572444938312155</v>
      </c>
      <c r="I126" s="17">
        <f>IF(A131=A132,_xll.ciqfunctions.udf.CIQ(A123,"IQ_TOTAL_OUTSTANDING_FILING_DATE",IQ_FY-7), _xll.ciqfunctions.udf.CIQ(A123, "IQ_TOTAL_OUTSTANDING_FILING_DATE",IQ_FY-6))</f>
        <v>943.21254999999996</v>
      </c>
      <c r="J126" s="17">
        <f>IF(A131=A132,_xll.ciqfunctions.udf.CIQ(A123,"IQ_CASH_OPER",IQ_FY-7), _xll.ciqfunctions.udf.CIQ(A123, "IQ_CASH_OPER",IQ_FY-6))</f>
        <v>17084</v>
      </c>
      <c r="K126" s="17">
        <f>IF(A131=A132,_xll.ciqfunctions.udf.CIQ(A123,"IQ_CAPEX",IQ_FY-7), _xll.ciqfunctions.udf.CIQ(A123, "IQ_CAPEX",IQ_FY-6))</f>
        <v>-3567</v>
      </c>
      <c r="L126" s="15">
        <f t="shared" si="32"/>
        <v>14.330810165746842</v>
      </c>
      <c r="M126" s="17">
        <f>IF(A131=A132,_xll.ciqfunctions.udf.CIQ(A123,"IQ_TOTAL_DEBT_ISSUED",IQ_FY-7), _xll.ciqfunctions.udf.CIQ(A123, "IQ_TOTAL_DEBT_ISSUED",IQ_FY-6))</f>
        <v>9158</v>
      </c>
      <c r="N126" s="17">
        <f>IF(A131=A132,_xll.ciqfunctions.udf.CIQ(A123,"IQ_TOTAL_DEBT_REPAID",IQ_FY-7), _xll.ciqfunctions.udf.CIQ(A123, "IQ_TOTAL_DEBT_REPAID",IQ_FY-6))</f>
        <v>-6395</v>
      </c>
      <c r="O126" s="15">
        <f t="shared" si="33"/>
        <v>2.9293503357223143</v>
      </c>
      <c r="P126" s="15">
        <f t="shared" si="34"/>
        <v>17.260160501469155</v>
      </c>
      <c r="Q126" s="25" t="s">
        <v>23</v>
      </c>
      <c r="R126" s="38" t="s">
        <v>24</v>
      </c>
      <c r="S126" s="1">
        <f>R122/(AVERAGE(H128:H133)*(1+H134)/(0.5-H134))</f>
        <v>11.772948751630482</v>
      </c>
      <c r="U126" s="25" t="s">
        <v>40</v>
      </c>
      <c r="V126" s="38" t="s">
        <v>24</v>
      </c>
      <c r="W126" s="1">
        <f>V122/(AVERAGE(H128:H133)*(1+H134)/(0.5-H134))</f>
        <v>11.772948751630482</v>
      </c>
      <c r="Y126" s="25" t="s">
        <v>47</v>
      </c>
      <c r="Z126" s="38" t="s">
        <v>24</v>
      </c>
      <c r="AA126" s="1">
        <f>Z122/(AVERAGE(H128:H133)*(1+H134)/(0.5-H134))</f>
        <v>11.772948751630482</v>
      </c>
    </row>
    <row r="127" spans="1:27">
      <c r="B127" s="13">
        <v>5</v>
      </c>
      <c r="C127" s="14" t="s">
        <v>25</v>
      </c>
      <c r="D127" s="15" cm="1">
        <f t="array" ref="D127">_xlfn.SINGLE(IF(A131=A132,_xll.ciqfunctions.udf.CIQ(A123,"IQ_TOTAL_REV",IQ_FY-6)/I127, _xll.ciqfunctions.udf.CIQ(A123, "IQ_TOTAL_REV",IQ_FY-5)/I127))</f>
        <v>85.9115920768797</v>
      </c>
      <c r="E127" s="16">
        <f t="shared" si="35"/>
        <v>1.3937759949367424E-2</v>
      </c>
      <c r="F127" s="15">
        <f>IF(A131=A132,_xll.ciqfunctions.udf.CIQ(A123,"IQ_DILUT_EPS_EXCL",IQ_FY-6), _xll.ciqfunctions.udf.CIQ(A123, "IQ_DILUT_EPS_EXCL",IQ_FY-5))</f>
        <v>6.1404800000000002</v>
      </c>
      <c r="G127" s="15">
        <f>IF(A131=A132,_xll.ciqfunctions.udf.CIQ(A123,"IQ_EBITDA_MARGIN",IQ_FY-6), _xll.ciqfunctions.udf.CIQ(A123, "IQ_EBITDA_MARGIN",IQ_FY-5))</f>
        <v>20.499300000000002</v>
      </c>
      <c r="H127" s="15">
        <f>IF(A131=A132,_xll.ciqfunctions.udf.CIQ(A123,"IQ_TOTAL_DIV_PAID_CF",IQ_FY-6)/-I127, _xll.ciqfunctions.udf.CIQ(A123, "IQ_TOTAL_DIV_PAID_CF",IQ_FY-5)/-I127)</f>
        <v>5.9771948846371528</v>
      </c>
      <c r="I127" s="17">
        <f>IF(A131=A132,_xll.ciqfunctions.udf.CIQ(A123,"IQ_TOTAL_OUTSTANDING_FILING_DATE",IQ_FY-6), _xll.ciqfunctions.udf.CIQ(A123, "IQ_TOTAL_OUTSTANDING_FILING_DATE",IQ_FY-5))</f>
        <v>921.16789000000006</v>
      </c>
      <c r="J127" s="17">
        <f>IF(A131=A132,_xll.ciqfunctions.udf.CIQ(A123,"IQ_CASH_OPER",IQ_FY-6), _xll.ciqfunctions.udf.CIQ(A123, "IQ_CASH_OPER",IQ_FY-5))</f>
        <v>16724</v>
      </c>
      <c r="K127" s="17">
        <f>IF(A131=A132,_xll.ciqfunctions.udf.CIQ(A123,"IQ_CAPEX",IQ_FY-6), _xll.ciqfunctions.udf.CIQ(A123, "IQ_CAPEX",IQ_FY-5))</f>
        <v>-3229</v>
      </c>
      <c r="L127" s="15">
        <f t="shared" si="32"/>
        <v>14.649881033087247</v>
      </c>
      <c r="M127" s="17">
        <f>IF(A131=A132,_xll.ciqfunctions.udf.CIQ(A123,"IQ_TOTAL_DEBT_ISSUED",IQ_FY-6), _xll.ciqfunctions.udf.CIQ(A123, "IQ_TOTAL_DEBT_ISSUED",IQ_FY-5))</f>
        <v>10263</v>
      </c>
      <c r="N127" s="17">
        <f>IF(A131=A132,_xll.ciqfunctions.udf.CIQ(A123,"IQ_TOTAL_DEBT_REPAID",IQ_FY-6), _xll.ciqfunctions.udf.CIQ(A123, "IQ_TOTAL_DEBT_REPAID",IQ_FY-5))</f>
        <v>-6816</v>
      </c>
      <c r="O127" s="15">
        <f t="shared" si="33"/>
        <v>3.7419888789219518</v>
      </c>
      <c r="P127" s="15">
        <f t="shared" si="34"/>
        <v>18.391869912009199</v>
      </c>
      <c r="Q127" s="18"/>
      <c r="R127" s="38" t="s">
        <v>50</v>
      </c>
      <c r="S127" s="3">
        <f>I134</f>
        <v>5.1722440913954948E-3</v>
      </c>
      <c r="U127" s="18"/>
      <c r="V127" s="38" t="s">
        <v>50</v>
      </c>
      <c r="W127" s="3">
        <f>I134</f>
        <v>5.1722440913954948E-3</v>
      </c>
      <c r="Y127" s="18"/>
      <c r="Z127" s="38" t="s">
        <v>50</v>
      </c>
      <c r="AA127" s="3">
        <f>I134</f>
        <v>5.1722440913954948E-3</v>
      </c>
    </row>
    <row r="128" spans="1:27">
      <c r="B128" s="13">
        <v>6</v>
      </c>
      <c r="C128" s="14" t="s">
        <v>26</v>
      </c>
      <c r="D128" s="15" cm="1">
        <f t="array" ref="D128">_xlfn.SINGLE(IF(A131=A132,_xll.ciqfunctions.udf.CIQ(A123,"IQ_TOTAL_REV",IQ_FY-5)/I128, _xll.ciqfunctions.udf.CIQ(A123, "IQ_TOTAL_REV",IQ_FY-4)/I128))</f>
        <v>89.441530236240212</v>
      </c>
      <c r="E128" s="16">
        <f t="shared" si="35"/>
        <v>4.108803100985111E-2</v>
      </c>
      <c r="F128" s="15">
        <f>IF(A131=A132,_xll.ciqfunctions.udf.CIQ(A123,"IQ_DILUT_EPS_EXCL",IQ_FY-5), _xll.ciqfunctions.udf.CIQ(A123, "IQ_DILUT_EPS_EXCL",IQ_FY-4))</f>
        <v>9.5141899999999993</v>
      </c>
      <c r="G128" s="15">
        <f>IF(A131=A132,_xll.ciqfunctions.udf.CIQ(A123,"IQ_EBITDA_MARGIN",IQ_FY-5), _xll.ciqfunctions.udf.CIQ(A123, "IQ_EBITDA_MARGIN",IQ_FY-4))</f>
        <v>22.2361</v>
      </c>
      <c r="H128" s="15">
        <f>IF(A131=A132,_xll.ciqfunctions.udf.CIQ(A123,"IQ_TOTAL_DIV_PAID_CF",IQ_FY-5)/-I128, _xll.ciqfunctions.udf.CIQ(A123, "IQ_TOTAL_DIV_PAID_CF",IQ_FY-4)/-I128)</f>
        <v>6.3672489391832876</v>
      </c>
      <c r="I128" s="17">
        <f>IF(A131=A132,_xll.ciqfunctions.udf.CIQ(A123,"IQ_TOTAL_OUTSTANDING_FILING_DATE",IQ_FY-5), _xll.ciqfunctions.udf.CIQ(A123, "IQ_TOTAL_OUTSTANDING_FILING_DATE",IQ_FY-4))</f>
        <v>889.86626000000001</v>
      </c>
      <c r="J128" s="17">
        <f>IF(A131=A132,_xll.ciqfunctions.udf.CIQ(A123,"IQ_CASH_OPER",IQ_FY-5), _xll.ciqfunctions.udf.CIQ(A123, "IQ_CASH_OPER",IQ_FY-4))</f>
        <v>15247</v>
      </c>
      <c r="K128" s="17">
        <f>IF(A131=A132,_xll.ciqfunctions.udf.CIQ(A123,"IQ_CAPEX",IQ_FY-5), _xll.ciqfunctions.udf.CIQ(A123, "IQ_CAPEX",IQ_FY-4))</f>
        <v>-3395</v>
      </c>
      <c r="L128" s="15">
        <f t="shared" si="32"/>
        <v>13.318855352488587</v>
      </c>
      <c r="M128" s="17">
        <f>IF(A131=A132,_xll.ciqfunctions.udf.CIQ(A123,"IQ_TOTAL_DEBT_ISSUED",IQ_FY-5), _xll.ciqfunctions.udf.CIQ(A123, "IQ_TOTAL_DEBT_ISSUED",IQ_FY-4))</f>
        <v>8232</v>
      </c>
      <c r="N128" s="17">
        <f>IF(A131=A132,_xll.ciqfunctions.udf.CIQ(A123,"IQ_TOTAL_DEBT_REPAID",IQ_FY-5), _xll.ciqfunctions.udf.CIQ(A123, "IQ_TOTAL_DEBT_REPAID",IQ_FY-4))</f>
        <v>-8533</v>
      </c>
      <c r="O128" s="15">
        <f t="shared" si="33"/>
        <v>-0.33825307636677898</v>
      </c>
      <c r="P128" s="15">
        <f t="shared" si="34"/>
        <v>12.980602276121807</v>
      </c>
      <c r="Q128" s="25" t="s">
        <v>27</v>
      </c>
      <c r="R128" s="38" t="s">
        <v>51</v>
      </c>
      <c r="S128" s="4">
        <f>AVERAGE(F128:F133)/AVERAGE(D128:D133)</f>
        <v>8.8741935584937287E-2</v>
      </c>
      <c r="U128" s="25" t="s">
        <v>58</v>
      </c>
      <c r="V128" s="38" t="s">
        <v>51</v>
      </c>
      <c r="W128" s="4">
        <f>AVERAGE(F128:F133)/AVERAGE(D128:D133)</f>
        <v>8.8741935584937287E-2</v>
      </c>
      <c r="Y128" s="25" t="s">
        <v>56</v>
      </c>
      <c r="Z128" s="38" t="s">
        <v>51</v>
      </c>
      <c r="AA128" s="4">
        <f>AVERAGE(F128:F133)/AVERAGE(D128:D133)</f>
        <v>8.8741935584937287E-2</v>
      </c>
    </row>
    <row r="129" spans="1:27">
      <c r="A129" s="18"/>
      <c r="B129" s="13">
        <v>7</v>
      </c>
      <c r="C129" s="14" t="s">
        <v>28</v>
      </c>
      <c r="D129" s="15" cm="1">
        <f t="array" ref="D129">_xlfn.SINGLE(IF(A131=A132,_xll.ciqfunctions.udf.CIQ(A123,"IQ_TOTAL_REV",IQ_FY-4)/I129, _xll.ciqfunctions.udf.CIQ(A123, "IQ_TOTAL_REV",IQ_FY-3)/I129))</f>
        <v>65.058415217631577</v>
      </c>
      <c r="E129" s="16">
        <f t="shared" si="35"/>
        <v>-0.27261513699738787</v>
      </c>
      <c r="F129" s="15">
        <f>IF(A131=A132,_xll.ciqfunctions.udf.CIQ(A123,"IQ_DILUT_EPS_EXCL",IQ_FY-4), _xll.ciqfunctions.udf.CIQ(A123, "IQ_DILUT_EPS_EXCL",IQ_FY-3))</f>
        <v>8</v>
      </c>
      <c r="G129" s="15">
        <f>IF(A131=A132,_xll.ciqfunctions.udf.CIQ(A123,"IQ_EBITDA_MARGIN",IQ_FY-4), _xll.ciqfunctions.udf.CIQ(A123, "IQ_EBITDA_MARGIN",IQ_FY-3))</f>
        <v>23.561</v>
      </c>
      <c r="H129" s="15">
        <f>IF(A131=A132,_xll.ciqfunctions.udf.CIQ(A123,"IQ_TOTAL_DIV_PAID_CF",IQ_FY-4)/-I129, _xll.ciqfunctions.udf.CIQ(A123, "IQ_TOTAL_DIV_PAID_CF",IQ_FY-3)/-I129)</f>
        <v>6.4332462772814818</v>
      </c>
      <c r="I129" s="17">
        <f>IF(A131=A132,_xll.ciqfunctions.udf.CIQ(A123,"IQ_TOTAL_OUTSTANDING_FILING_DATE",IQ_FY-4), _xll.ciqfunctions.udf.CIQ(A123, "IQ_TOTAL_OUTSTANDING_FILING_DATE",IQ_FY-3))</f>
        <v>887.11045000000001</v>
      </c>
      <c r="J129" s="17">
        <f>IF(A131=A132,_xll.ciqfunctions.udf.CIQ(A123,"IQ_CASH_OPER",IQ_FY-4), _xll.ciqfunctions.udf.CIQ(A123, "IQ_CASH_OPER",IQ_FY-3))</f>
        <v>14770</v>
      </c>
      <c r="K129" s="17">
        <f>IF(A131=A132,_xll.ciqfunctions.udf.CIQ(A123,"IQ_CAPEX",IQ_FY-4), _xll.ciqfunctions.udf.CIQ(A123, "IQ_CAPEX",IQ_FY-3))</f>
        <v>-2286</v>
      </c>
      <c r="L129" s="15">
        <f t="shared" si="32"/>
        <v>14.072655778093923</v>
      </c>
      <c r="M129" s="17">
        <f>IF(A131=A132,_xll.ciqfunctions.udf.CIQ(A123,"IQ_TOTAL_DEBT_ISSUED",IQ_FY-4), _xll.ciqfunctions.udf.CIQ(A123, "IQ_TOTAL_DEBT_ISSUED",IQ_FY-3))</f>
        <v>31825</v>
      </c>
      <c r="N129" s="17">
        <f>IF(A131=A132,_xll.ciqfunctions.udf.CIQ(A123,"IQ_TOTAL_DEBT_REPAID",IQ_FY-4), _xll.ciqfunctions.udf.CIQ(A123, "IQ_TOTAL_DEBT_REPAID",IQ_FY-3))</f>
        <v>-15541</v>
      </c>
      <c r="O129" s="15">
        <f t="shared" si="33"/>
        <v>18.356226104652471</v>
      </c>
      <c r="P129" s="15">
        <f t="shared" si="34"/>
        <v>32.428881882746396</v>
      </c>
      <c r="Q129" s="18"/>
      <c r="R129" s="38" t="s">
        <v>29</v>
      </c>
      <c r="S129" s="4">
        <f>(AVERAGE(P128:P133)/_xlfn.STDEV.P(P128:P133))/(IF(A131=A132,(_xlfn.SINGLE(_xll.ciqfunctions.udf.CIQ(A123,"IQ_total_assets",IQ_FY)) - _xlfn.SINGLE(_xll.ciqfunctions.udf.CIQ(A123,"iq_gw_intan", IQ_FY)))/I133, (_xlfn.SINGLE(_xll.ciqfunctions.udf.CIQ(A123, "IQ_total_assets",IQ_LTM))-_xlfn.SINGLE(_xll.ciqfunctions.udf.CIQ(A123,"iq_gw_intan",IQ_LTM)))/I133))</f>
        <v>2.6316268994075191E-2</v>
      </c>
      <c r="U129" s="18"/>
      <c r="V129" s="38" t="s">
        <v>29</v>
      </c>
      <c r="W129" s="4">
        <f>(AVERAGE(P128:P133)/_xlfn.STDEV.P(P128:P133))/(IF(A131=A132,(_xlfn.SINGLE(_xll.ciqfunctions.udf.CIQ(A123,"IQ_total_assets",IQ_FY)) - _xlfn.SINGLE(_xll.ciqfunctions.udf.CIQ(A123,"iq_gw_intan", IQ_FY)))/I133, (_xlfn.SINGLE(_xll.ciqfunctions.udf.CIQ(A123, "IQ_total_assets",IQ_LTM))-_xlfn.SINGLE(_xll.ciqfunctions.udf.CIQ(A123,"iq_gw_intan",IQ_LTM)))/I133))</f>
        <v>2.6316268994075191E-2</v>
      </c>
      <c r="Y129" s="18"/>
      <c r="Z129" s="38" t="s">
        <v>29</v>
      </c>
      <c r="AA129" s="4">
        <f>(AVERAGE(P128:P133)/_xlfn.STDEV.P(P128:P133))/(IF(A131=A132,(_xlfn.SINGLE(_xll.ciqfunctions.udf.CIQ(A123,"IQ_total_assets",IQ_FY)) - _xlfn.SINGLE(_xll.ciqfunctions.udf.CIQ(A123,"iq_gw_intan", IQ_FY)))/I133, (_xlfn.SINGLE(_xll.ciqfunctions.udf.CIQ(A123, "IQ_total_assets",IQ_LTM))-_xlfn.SINGLE(_xll.ciqfunctions.udf.CIQ(A123,"iq_gw_intan",IQ_LTM)))/I133))</f>
        <v>2.6316268994075191E-2</v>
      </c>
    </row>
    <row r="130" spans="1:27">
      <c r="A130" s="18"/>
      <c r="B130" s="13">
        <v>8</v>
      </c>
      <c r="C130" s="14" t="s">
        <v>30</v>
      </c>
      <c r="D130" s="15" cm="1">
        <f t="array" ref="D130">_xlfn.SINGLE(IF(A131=A132,_xll.ciqfunctions.udf.CIQ(A123,"IQ_TOTAL_REV",IQ_FY-3)/I130, _xll.ciqfunctions.udf.CIQ(A123, "IQ_TOTAL_REV",IQ_FY-2)/I130))</f>
        <v>61.749513137447003</v>
      </c>
      <c r="E130" s="16">
        <f t="shared" si="35"/>
        <v>-5.0860477758576314E-2</v>
      </c>
      <c r="F130" s="15">
        <f>IF(A131=A132,_xll.ciqfunctions.udf.CIQ(A123,"IQ_DILUT_EPS_EXCL",IQ_FY-3), _xll.ciqfunctions.udf.CIQ(A123, "IQ_DILUT_EPS_EXCL",IQ_FY-2))</f>
        <v>4.3834</v>
      </c>
      <c r="G130" s="15">
        <f>IF(A131=A132,_xll.ciqfunctions.udf.CIQ(A123,"IQ_EBITDA_MARGIN",IQ_FY-3), _xll.ciqfunctions.udf.CIQ(A123, "IQ_EBITDA_MARGIN",IQ_FY-2))</f>
        <v>20.582100000000001</v>
      </c>
      <c r="H130" s="15">
        <f>IF(A131=A132,_xll.ciqfunctions.udf.CIQ(A123,"IQ_TOTAL_DIV_PAID_CF",IQ_FY-3)/-I130, _xll.ciqfunctions.udf.CIQ(A123, "IQ_TOTAL_DIV_PAID_CF",IQ_FY-2)/-I130)</f>
        <v>6.4872855190884264</v>
      </c>
      <c r="I130" s="17">
        <f>IF(A131=A132,_xll.ciqfunctions.udf.CIQ(A123,"IQ_TOTAL_OUTSTANDING_FILING_DATE",IQ_FY-3), _xll.ciqfunctions.udf.CIQ(A123, "IQ_TOTAL_OUTSTANDING_FILING_DATE",IQ_FY-2))</f>
        <v>893.59409000000005</v>
      </c>
      <c r="J130" s="17">
        <f>IF(A131=A132,_xll.ciqfunctions.udf.CIQ(A123,"IQ_CASH_OPER",IQ_FY-3), _xll.ciqfunctions.udf.CIQ(A123, "IQ_CASH_OPER",IQ_FY-2))</f>
        <v>18197</v>
      </c>
      <c r="K130" s="17">
        <f>IF(A131=A132,_xll.ciqfunctions.udf.CIQ(A123,"IQ_CAPEX",IQ_FY-3), _xll.ciqfunctions.udf.CIQ(A123, "IQ_CAPEX",IQ_FY-2))</f>
        <v>-2618</v>
      </c>
      <c r="L130" s="15">
        <f t="shared" si="32"/>
        <v>17.434090236653198</v>
      </c>
      <c r="M130" s="17">
        <f>IF(A131=A132,_xll.ciqfunctions.udf.CIQ(A123,"IQ_TOTAL_DEBT_ISSUED",IQ_FY-3), _xll.ciqfunctions.udf.CIQ(A123, "IQ_TOTAL_DEBT_ISSUED",IQ_FY-2))</f>
        <v>10504</v>
      </c>
      <c r="N130" s="17">
        <f>IF(A131=A132,_xll.ciqfunctions.udf.CIQ(A123,"IQ_TOTAL_DEBT_REPAID",IQ_FY-3), _xll.ciqfunctions.udf.CIQ(A123, "IQ_TOTAL_DEBT_REPAID",IQ_FY-2))</f>
        <v>-14218</v>
      </c>
      <c r="O130" s="15">
        <f t="shared" si="33"/>
        <v>-4.156249511453237</v>
      </c>
      <c r="P130" s="15">
        <f t="shared" si="34"/>
        <v>13.277840725199962</v>
      </c>
      <c r="Q130" s="18"/>
      <c r="R130" s="39" t="s">
        <v>31</v>
      </c>
      <c r="S130" s="5">
        <f>IF(NOT(D123&gt;0),FALSE,SLOPE(G123:G133,B123:B133))</f>
        <v>-0.5141327272727273</v>
      </c>
      <c r="U130" s="18"/>
      <c r="V130" s="39" t="s">
        <v>31</v>
      </c>
      <c r="W130" s="5">
        <f>IF(NOT(D123&gt;0),FALSE,SLOPE(G123:G133,B123:B133))</f>
        <v>-0.5141327272727273</v>
      </c>
      <c r="Y130" s="18"/>
      <c r="Z130" s="39" t="s">
        <v>31</v>
      </c>
      <c r="AA130" s="5">
        <f>IF(NOT(L123&gt;0),FALSE,SLOPE(O123:O133,J123:J133))</f>
        <v>1.9169983013638323E-4</v>
      </c>
    </row>
    <row r="131" spans="1:27">
      <c r="A131" s="19">
        <f>_xll.ciqfunctions.udf.CIQ(A123,"IQ_TOTAL_REV",IQ_FY)</f>
        <v>60530</v>
      </c>
      <c r="B131" s="13">
        <v>9</v>
      </c>
      <c r="C131" s="14" t="s">
        <v>32</v>
      </c>
      <c r="D131" s="15" cm="1">
        <f t="array" ref="D131">_xlfn.SINGLE(IF(A131=A132,_xll.ciqfunctions.udf.CIQ(A123,"IQ_TOTAL_REV",IQ_FY-2)/I131, _xll.ciqfunctions.udf.CIQ(A123, "IQ_TOTAL_REV",IQ_FY-1)/I131))</f>
        <v>63.772226081909757</v>
      </c>
      <c r="E131" s="16">
        <f t="shared" si="35"/>
        <v>3.2756743198289473E-2</v>
      </c>
      <c r="F131" s="15">
        <f>IF(A131=A132,_xll.ciqfunctions.udf.CIQ(A123,"IQ_DILUT_EPS_EXCL",IQ_FY-2), _xll.ciqfunctions.udf.CIQ(A123, "IQ_DILUT_EPS_EXCL",IQ_FY-1))</f>
        <v>5.21</v>
      </c>
      <c r="G131" s="15">
        <f>IF(A131=A132,_xll.ciqfunctions.udf.CIQ(A123,"IQ_EBITDA_MARGIN",IQ_FY-2), _xll.ciqfunctions.udf.CIQ(A123, "IQ_EBITDA_MARGIN",IQ_FY-1))</f>
        <v>21.253299999999999</v>
      </c>
      <c r="H131" s="15">
        <f>IF(A131=A132,_xll.ciqfunctions.udf.CIQ(A123,"IQ_TOTAL_DIV_PAID_CF",IQ_FY-2)/-I131, _xll.ciqfunctions.udf.CIQ(A123, "IQ_TOTAL_DIV_PAID_CF",IQ_FY-1)/-I131)</f>
        <v>6.526114538102707</v>
      </c>
      <c r="I131" s="17">
        <f>IF(A131=A132,_xll.ciqfunctions.udf.CIQ(A123,"IQ_TOTAL_OUTSTANDING_FILING_DATE",IQ_FY-2), _xll.ciqfunctions.udf.CIQ(A123, "IQ_TOTAL_OUTSTANDING_FILING_DATE",IQ_FY-1))</f>
        <v>899.30998999999997</v>
      </c>
      <c r="J131" s="17">
        <f>IF(A131=A132,_xll.ciqfunctions.udf.CIQ(A123,"IQ_CASH_OPER",IQ_FY-2), _xll.ciqfunctions.udf.CIQ(A123, "IQ_CASH_OPER",IQ_FY-1))</f>
        <v>12796</v>
      </c>
      <c r="K131" s="17">
        <f>IF(A131=A132,_xll.ciqfunctions.udf.CIQ(A123,"IQ_CAPEX",IQ_FY-2), _xll.ciqfunctions.udf.CIQ(A123, "IQ_CAPEX",IQ_FY-1))</f>
        <v>-2062</v>
      </c>
      <c r="L131" s="15">
        <f t="shared" si="32"/>
        <v>11.935817592774656</v>
      </c>
      <c r="M131" s="17">
        <f>IF(A131=A132,_xll.ciqfunctions.udf.CIQ(A123,"IQ_TOTAL_DEBT_ISSUED",IQ_FY-2), _xll.ciqfunctions.udf.CIQ(A123, "IQ_TOTAL_DEBT_ISSUED",IQ_FY-1))</f>
        <v>522</v>
      </c>
      <c r="N131" s="17">
        <f>IF(A131=A132,_xll.ciqfunctions.udf.CIQ(A123,"IQ_TOTAL_DEBT_REPAID",IQ_FY-2), _xll.ciqfunctions.udf.CIQ(A123, "IQ_TOTAL_DEBT_REPAID",IQ_FY-1))</f>
        <v>-8637</v>
      </c>
      <c r="O131" s="15">
        <f t="shared" si="33"/>
        <v>-9.0235848486460153</v>
      </c>
      <c r="P131" s="15">
        <f t="shared" si="34"/>
        <v>2.9122327441286409</v>
      </c>
      <c r="Q131" s="25" t="s">
        <v>33</v>
      </c>
      <c r="R131" s="38" t="s">
        <v>52</v>
      </c>
      <c r="S131" s="4">
        <f>(AVERAGE(O128:O133)/AVERAGE(P128:P133))</f>
        <v>0.10875389868486411</v>
      </c>
      <c r="U131" s="25" t="s">
        <v>54</v>
      </c>
      <c r="V131" s="38" t="s">
        <v>52</v>
      </c>
      <c r="W131" s="4">
        <f>(AVERAGE(O128:O133)/AVERAGE(P128:P133))</f>
        <v>0.10875389868486411</v>
      </c>
      <c r="Y131" s="25" t="s">
        <v>60</v>
      </c>
      <c r="Z131" s="38" t="s">
        <v>52</v>
      </c>
      <c r="AA131" s="4">
        <f>(AVERAGE(O128:O133)/AVERAGE(P128:P133))</f>
        <v>0.10875389868486411</v>
      </c>
    </row>
    <row r="132" spans="1:27">
      <c r="A132" s="19">
        <f>_xll.ciqfunctions.udf.CIQ(A123,"IQ_TOTAL_REV",IQ_LTM)</f>
        <v>61171</v>
      </c>
      <c r="B132" s="13">
        <v>10</v>
      </c>
      <c r="C132" s="14" t="s">
        <v>34</v>
      </c>
      <c r="D132" s="15" cm="1">
        <f t="array" ref="D132">_xlfn.SINGLE(IF(A131=A132,_xll.ciqfunctions.udf.CIQ(A123,"IQ_TOTAL_REV",IQ_FY-1)/I132, _xll.ciqfunctions.udf.CIQ(A123, "IQ_TOTAL_REV",IQ_FY)/I132))</f>
        <v>66.728724122872535</v>
      </c>
      <c r="E132" s="16">
        <f t="shared" si="35"/>
        <v>4.6360276606393178E-2</v>
      </c>
      <c r="F132" s="15">
        <f>IF(A131=A132,_xll.ciqfunctions.udf.CIQ(A123,"IQ_DILUT_EPS_EXCL",IQ_FY-1), _xll.ciqfunctions.udf.CIQ(A123, "IQ_DILUT_EPS_EXCL",IQ_FY))</f>
        <v>1.95</v>
      </c>
      <c r="G132" s="15">
        <f>IF(A131=A132,_xll.ciqfunctions.udf.CIQ(A123,"IQ_EBITDA_MARGIN",IQ_FY-1), _xll.ciqfunctions.udf.CIQ(A123, "IQ_EBITDA_MARGIN",IQ_FY))</f>
        <v>20.4344</v>
      </c>
      <c r="H132" s="15">
        <f>IF(A131=A132,_xll.ciqfunctions.udf.CIQ(A123,"IQ_TOTAL_DIV_PAID_CF",IQ_FY-1)/-I132, _xll.ciqfunctions.udf.CIQ(A123, "IQ_TOTAL_DIV_PAID_CF",IQ_FY)/-I132)</f>
        <v>6.5571196280000965</v>
      </c>
      <c r="I132" s="17">
        <f>IF(A131=A132,_xll.ciqfunctions.udf.CIQ(A123,"IQ_TOTAL_OUTSTANDING_FILING_DATE",IQ_FY-1), _xll.ciqfunctions.udf.CIQ(A123, "IQ_TOTAL_OUTSTANDING_FILING_DATE",IQ_FY))</f>
        <v>907.10560999999996</v>
      </c>
      <c r="J132" s="17">
        <f>IF(A131=A132,_xll.ciqfunctions.udf.CIQ(A123,"IQ_CASH_OPER",IQ_FY-1), _xll.ciqfunctions.udf.CIQ(A123, "IQ_CASH_OPER",IQ_FY))</f>
        <v>10435</v>
      </c>
      <c r="K132" s="17">
        <f>IF(A131=A132,_xll.ciqfunctions.udf.CIQ(A123,"IQ_CAPEX",IQ_FY-1), _xll.ciqfunctions.udf.CIQ(A123, "IQ_CAPEX",IQ_FY))</f>
        <v>-1346</v>
      </c>
      <c r="L132" s="15">
        <f t="shared" si="32"/>
        <v>10.019781489390194</v>
      </c>
      <c r="M132" s="17">
        <f>IF(A131=A132,_xll.ciqfunctions.udf.CIQ(A123,"IQ_TOTAL_DEBT_ISSUED",IQ_FY-1), _xll.ciqfunctions.udf.CIQ(A123, "IQ_TOTAL_DEBT_ISSUED",IQ_FY))</f>
        <v>8021</v>
      </c>
      <c r="N132" s="17">
        <f>IF(A131=A132,_xll.ciqfunctions.udf.CIQ(A123,"IQ_TOTAL_DEBT_REPAID",IQ_FY-1), _xll.ciqfunctions.udf.CIQ(A123, "IQ_TOTAL_DEBT_REPAID",IQ_FY))</f>
        <v>-6800</v>
      </c>
      <c r="O132" s="15">
        <f t="shared" si="33"/>
        <v>1.3460395201392261</v>
      </c>
      <c r="P132" s="15">
        <f t="shared" si="34"/>
        <v>11.365821009529419</v>
      </c>
      <c r="Q132" s="25" t="s">
        <v>44</v>
      </c>
      <c r="R132" s="38" t="s">
        <v>35</v>
      </c>
      <c r="S132" s="1">
        <f>_xll.ciqfunctions.udf.CIQ(A123,"IQ_TEV_EBITDA")</f>
        <v>12.820029999999999</v>
      </c>
      <c r="U132" s="25" t="s">
        <v>55</v>
      </c>
      <c r="V132" s="38" t="s">
        <v>53</v>
      </c>
      <c r="W132" s="1">
        <f>V122/(AVERAGE(D128:D133)/_xlfn.STDEV.P(E128:E133))</f>
        <v>0.25340636173601411</v>
      </c>
      <c r="Y132" s="25" t="s">
        <v>57</v>
      </c>
      <c r="Z132" s="38" t="s">
        <v>53</v>
      </c>
      <c r="AA132" s="1">
        <f>Z122/(AVERAGE(D128:D133)/_xlfn.STDEV.P(E128:E133))</f>
        <v>0.25340636173601411</v>
      </c>
    </row>
    <row r="133" spans="1:27">
      <c r="B133" s="13">
        <v>11</v>
      </c>
      <c r="C133" s="20" t="s">
        <v>36</v>
      </c>
      <c r="D133" s="21" cm="1">
        <f t="array" ref="D133">_xlfn.SINGLE(IF(A131=A132,_xll.ciqfunctions.udf.CIQ(A123,"IQ_TOTAL_REV",IQ_FY)/I133, _xll.ciqfunctions.udf.CIQ(A123, "IQ_TOTAL_REV",IQ_LTM)/I133))</f>
        <v>66.991299202344564</v>
      </c>
      <c r="E133" s="22">
        <f t="shared" si="35"/>
        <v>3.934963284904564E-3</v>
      </c>
      <c r="F133" s="21">
        <f>IF(A131=A132,_xll.ciqfunctions.udf.CIQ(A123,"IQ_DILUT_EPS_EXCL",IQ_FY), _xll.ciqfunctions.udf.CIQ(A123, "IQ_DILUT_EPS_EXCL",IQ_LTM))</f>
        <v>7.6586499999999997</v>
      </c>
      <c r="G133" s="21">
        <f>IF(A131=A132,_xll.ciqfunctions.udf.CIQ(A123,"IQ_EBITDA_MARGIN",IQ_FY), _xll.ciqfunctions.udf.CIQ(A123, "IQ_EBITDA_MARGIN",IQ_LTM))</f>
        <v>22.335699999999999</v>
      </c>
      <c r="H133" s="21">
        <f>IF(A131=A132,_xll.ciqfunctions.udf.CIQ(A123,"IQ_TOTAL_DIV_PAID_CF",IQ_FY)/-I133, _xll.ciqfunctions.udf.CIQ(A123, "IQ_TOTAL_DIV_PAID_CF",IQ_LTM)/-I133)</f>
        <v>6.5884104559563337</v>
      </c>
      <c r="I133" s="23">
        <f>IF(A131=A132,_xll.ciqfunctions.udf.CIQ(A123,"IQ_TOTAL_OUTSTANDING_FILING_DATE",IQ_FY),_xll.ciqfunctions.udf.CIQ(A123,"IQ_sharesoutstanding"))</f>
        <v>913.11857999999995</v>
      </c>
      <c r="J133" s="23">
        <f>IF(A131=A132,_xll.ciqfunctions.udf.CIQ(A123,"IQ_CASH_OPER",IQ_FY), _xll.ciqfunctions.udf.CIQ(A123, "IQ_CASH_OPER",IQ_LTM))</f>
        <v>13433</v>
      </c>
      <c r="K133" s="23">
        <f>IF(A131=A132,_xll.ciqfunctions.udf.CIQ(A123,"IQ_CAPEX",IQ_FY), _xll.ciqfunctions.udf.CIQ(A123, "IQ_CAPEX",IQ_LTM))</f>
        <v>-1354</v>
      </c>
      <c r="L133" s="21">
        <f t="shared" si="32"/>
        <v>13.228292868599826</v>
      </c>
      <c r="M133" s="23">
        <f>IF(A131=A132,_xll.ciqfunctions.udf.CIQ(A123,"IQ_TOTAL_DEBT_ISSUED",IQ_FY), _xll.ciqfunctions.udf.CIQ(A123, "IQ_TOTAL_DEBT_ISSUED",IQ_LTM))</f>
        <v>9595</v>
      </c>
      <c r="N133" s="23">
        <f>IF(A131=A132,_xll.ciqfunctions.udf.CIQ(A123,"IQ_TOTAL_DEBT_REPAID",IQ_FY), _xll.ciqfunctions.udf.CIQ(A123, "IQ_TOTAL_DEBT_REPAID",IQ_LTM))</f>
        <v>-6327</v>
      </c>
      <c r="O133" s="21">
        <f t="shared" si="33"/>
        <v>3.5789437117794716</v>
      </c>
      <c r="P133" s="21">
        <f t="shared" si="34"/>
        <v>16.807236580379296</v>
      </c>
      <c r="Q133" s="25" t="s">
        <v>45</v>
      </c>
      <c r="S133" s="45"/>
      <c r="U133" s="25"/>
      <c r="W133" s="45"/>
      <c r="Y133" s="25"/>
      <c r="AA133" s="45"/>
    </row>
    <row r="134" spans="1:27">
      <c r="B134" s="24"/>
      <c r="C134" s="25" t="s">
        <v>37</v>
      </c>
      <c r="E134" s="26">
        <f>((D133/D128)^(1/5))-1</f>
        <v>-5.6165526431005142E-2</v>
      </c>
      <c r="F134" s="27">
        <f>((F133/F128)^(1/5))-1</f>
        <v>-4.2461862155708019E-2</v>
      </c>
      <c r="G134" s="28"/>
      <c r="H134" s="27">
        <f>((H133/H128)^(1/5))-1</f>
        <v>6.8522933290309229E-3</v>
      </c>
      <c r="I134" s="27">
        <f>((I133/I128)^(1/5))-1</f>
        <v>5.1722440913954948E-3</v>
      </c>
      <c r="J134" s="27"/>
      <c r="K134" s="27"/>
      <c r="L134" s="26">
        <f>((L133/L128)^(1/5))-1</f>
        <v>-1.3636278127069357E-3</v>
      </c>
      <c r="M134" s="26"/>
      <c r="N134" s="26"/>
      <c r="O134" s="26"/>
      <c r="P134" s="26">
        <f>((P133/P128)^(1/5))-1</f>
        <v>5.3028908662631213E-2</v>
      </c>
      <c r="Q134" s="18"/>
      <c r="R134" s="36"/>
      <c r="S134" s="45"/>
      <c r="U134" s="18"/>
      <c r="V134" s="36"/>
      <c r="W134" s="45"/>
      <c r="Y134" s="18"/>
      <c r="Z134" s="36"/>
      <c r="AA134" s="45"/>
    </row>
    <row r="135" spans="1:27">
      <c r="A135" s="29"/>
      <c r="B135" s="30"/>
      <c r="C135" s="31" t="s">
        <v>38</v>
      </c>
      <c r="D135" s="29"/>
      <c r="E135" s="32">
        <f>((D133/D123)^(1/10))-1</f>
        <v>-3.3780623227537943E-2</v>
      </c>
      <c r="F135" s="33">
        <f>((F133/F123)^(1/10))-1</f>
        <v>-6.6880649843961804E-2</v>
      </c>
      <c r="G135" s="34"/>
      <c r="H135" s="33">
        <f>((H133/H123)^(1/10))-1</f>
        <v>5.3916362781889715E-2</v>
      </c>
      <c r="I135" s="33">
        <f>((I133/I123)^(1/10))-1</f>
        <v>-1.3053909156857446E-2</v>
      </c>
      <c r="J135" s="33"/>
      <c r="K135" s="33"/>
      <c r="L135" s="32">
        <f>((L133/L123)^(1/10))-1</f>
        <v>-6.2822992127964383E-4</v>
      </c>
      <c r="M135" s="32"/>
      <c r="N135" s="32"/>
      <c r="O135" s="32"/>
      <c r="P135" s="32">
        <f>((P133/P123)^(1/10))-1</f>
        <v>-1.7223895903055508E-2</v>
      </c>
      <c r="Q135" s="40"/>
      <c r="R135" s="41"/>
      <c r="S135" s="46"/>
      <c r="U135" s="40"/>
      <c r="V135" s="41"/>
      <c r="W135" s="46"/>
      <c r="Y135" s="40"/>
      <c r="Z135" s="41"/>
      <c r="AA135" s="46"/>
    </row>
    <row r="136" spans="1:27">
      <c r="B136" s="24"/>
      <c r="C136" s="25"/>
      <c r="E136" s="26"/>
      <c r="F136" s="27"/>
      <c r="G136" s="28"/>
      <c r="H136" s="27"/>
      <c r="I136" s="27"/>
      <c r="J136" s="27"/>
      <c r="K136" s="27"/>
      <c r="L136" s="26"/>
      <c r="M136" s="17"/>
      <c r="N136" s="17"/>
      <c r="O136" s="17"/>
      <c r="P136" s="35"/>
      <c r="Q136" s="18"/>
      <c r="R136" s="36"/>
    </row>
    <row r="137" spans="1:27">
      <c r="A137" s="9" t="s">
        <v>0</v>
      </c>
      <c r="B137" s="10"/>
      <c r="C137" s="9" t="s">
        <v>1</v>
      </c>
      <c r="D137" s="9" t="s">
        <v>2</v>
      </c>
      <c r="E137" s="9" t="s">
        <v>3</v>
      </c>
      <c r="F137" s="11" t="s">
        <v>4</v>
      </c>
      <c r="G137" s="11" t="s">
        <v>5</v>
      </c>
      <c r="H137" s="9" t="s">
        <v>6</v>
      </c>
      <c r="I137" s="11" t="s">
        <v>7</v>
      </c>
      <c r="J137" s="11" t="s">
        <v>8</v>
      </c>
      <c r="K137" s="11" t="s">
        <v>9</v>
      </c>
      <c r="L137" s="11" t="s">
        <v>10</v>
      </c>
      <c r="M137" s="11" t="s">
        <v>11</v>
      </c>
      <c r="N137" s="11" t="s">
        <v>12</v>
      </c>
      <c r="O137" s="11" t="s">
        <v>13</v>
      </c>
      <c r="P137" s="11" t="s">
        <v>14</v>
      </c>
      <c r="Q137" s="37" t="s">
        <v>15</v>
      </c>
      <c r="R137" s="42">
        <f>_xll.ciqfunctions.udf.CIQ(A138,("IQ_LASTSALEPRICE"))</f>
        <v>70.989999999999995</v>
      </c>
      <c r="S137" s="44"/>
      <c r="U137" s="37" t="s">
        <v>15</v>
      </c>
      <c r="V137" s="42">
        <f>_xll.ciqfunctions.udf.CIQ(A138,("IQ_LASTSALEPRICE"))</f>
        <v>70.989999999999995</v>
      </c>
      <c r="W137" s="44"/>
      <c r="Y137" s="37" t="s">
        <v>15</v>
      </c>
      <c r="Z137" s="42">
        <f>_xll.ciqfunctions.udf.CIQ(A138,("IQ_LASTSALEPRICE"))</f>
        <v>70.989999999999995</v>
      </c>
      <c r="AA137" s="44"/>
    </row>
    <row r="138" spans="1:27">
      <c r="A138" s="12" t="str">
        <f>Analysis!B11</f>
        <v>NasdaqGS:CTSH</v>
      </c>
      <c r="B138" s="13">
        <v>1</v>
      </c>
      <c r="C138" s="14" t="s">
        <v>16</v>
      </c>
      <c r="D138" s="15">
        <f>IF(A146=A147,_xll.ciqfunctions.udf.CIQ(A138,"IQ_TOTAL_REV",IQ_FY-10)/I138,_xll.ciqfunctions.udf.CIQ(A138, "IQ_TOTAL_REV",IQ_FY-9)/I138)</f>
        <v>14.558529851892411</v>
      </c>
      <c r="E138" s="16"/>
      <c r="F138" s="15">
        <f>IF(A146=A147,_xll.ciqfunctions.udf.CIQ(A138,"IQ_DILUT_EPS_EXCL",IQ_FY-10), _xll.ciqfunctions.udf.CIQ(A138, "IQ_DILUT_EPS_EXCL",IQ_FY-9))</f>
        <v>2.02</v>
      </c>
      <c r="G138" s="15">
        <f>IF(A146=A147,_xll.ciqfunctions.udf.CIQ(A138,"IQ_EBITDA_MARGIN",IQ_FY-10), _xll.ciqfunctions.udf.CIQ(A138, "IQ_EBITDA_MARGIN",IQ_FY-9))</f>
        <v>21.008199999999999</v>
      </c>
      <c r="H138" s="15">
        <f>IF(A146=A147,_xll.ciqfunctions.udf.CIQ(A138,"IQ_TOTAL_DIV_PAID_CF",IQ_FY-10)/-I138, _xll.ciqfunctions.udf.CIQ(A138, "IQ_TOTAL_DIV_PAID_CF",IQ_FY-9)/-I138)</f>
        <v>0</v>
      </c>
      <c r="I138" s="17">
        <f>IF(A146=A147,_xll.ciqfunctions.udf.CIQ(A138,"IQ_TOTAL_OUTSTANDING_FILING_DATE",IQ_FY-10), _xll.ciqfunctions.udf.CIQ(A138, "IQ_TOTAL_OUTSTANDING_FILING_DATE",IQ_FY-9))</f>
        <v>607.42397000000005</v>
      </c>
      <c r="J138" s="17">
        <f>IF(A146=A147,_xll.ciqfunctions.udf.CIQ(A138,"IQ_CASH_OPER",IQ_FY-10), _xll.ciqfunctions.udf.CIQ(A138, "IQ_CASH_OPER",IQ_FY-9))</f>
        <v>1423.8</v>
      </c>
      <c r="K138" s="17">
        <f>IF(A146=A147,_xll.ciqfunctions.udf.CIQ(A138,"IQ_CAPEX",IQ_FY-10), _xll.ciqfunctions.udf.CIQ(A138, "IQ_CAPEX",IQ_FY-9))</f>
        <v>-261.60000000000002</v>
      </c>
      <c r="L138" s="15">
        <f t="shared" ref="L138:L148" si="36">(J138+K138)/I138</f>
        <v>1.9133258768171426</v>
      </c>
      <c r="M138" s="17">
        <f>IF(A146=A147,_xll.ciqfunctions.udf.CIQ(A138,"IQ_TOTAL_DEBT_ISSUED",IQ_FY-10), _xll.ciqfunctions.udf.CIQ(A138, "IQ_TOTAL_DEBT_ISSUED",IQ_FY-9))</f>
        <v>0</v>
      </c>
      <c r="N138" s="17">
        <f>IF(A146=A147,_xll.ciqfunctions.udf.CIQ(A138,"IQ_TOTAL_DEBT_REPAID",IQ_FY-10), _xll.ciqfunctions.udf.CIQ(A138, "IQ_TOTAL_DEBT_REPAID",IQ_FY-9))</f>
        <v>0</v>
      </c>
      <c r="O138" s="15">
        <f t="shared" ref="O138:O148" si="37">(M138+N138)/I138</f>
        <v>0</v>
      </c>
      <c r="P138" s="15">
        <f t="shared" ref="P138:P148" si="38">L138+O138</f>
        <v>1.9133258768171426</v>
      </c>
      <c r="W138" s="43"/>
      <c r="AA138" s="43"/>
    </row>
    <row r="139" spans="1:27">
      <c r="A139" s="18" t="str">
        <f>_xll.ciqfunctions.udf.CIQ(A138,"IQ_COMPANY_NAME")</f>
        <v>Cognizant Technology Solutions Corporation</v>
      </c>
      <c r="B139" s="13">
        <v>2</v>
      </c>
      <c r="C139" s="14" t="s">
        <v>17</v>
      </c>
      <c r="D139" s="15">
        <f>IF(A146=A147,_xll.ciqfunctions.udf.CIQ(A138,"IQ_TOTAL_REV",IQ_FY-9)/I139, _xll.ciqfunctions.udf.CIQ(A138, "IQ_TOTAL_REV",IQ_FY-8)/I139)</f>
        <v>16.835172035511238</v>
      </c>
      <c r="E139" s="16">
        <f t="shared" ref="E139:E148" si="39">(D139-D138)/D138</f>
        <v>0.15637857714890732</v>
      </c>
      <c r="F139" s="15">
        <f>IF(A146=A147,_xll.ciqfunctions.udf.CIQ(A138,"IQ_DILUT_EPS_EXCL",IQ_FY-9), _xll.ciqfunctions.udf.CIQ(A138, "IQ_DILUT_EPS_EXCL",IQ_FY-8))</f>
        <v>2.35</v>
      </c>
      <c r="G139" s="15">
        <f>IF(A146=A147,_xll.ciqfunctions.udf.CIQ(A138,"IQ_EBITDA_MARGIN",IQ_FY-9), _xll.ciqfunctions.udf.CIQ(A138, "IQ_EBITDA_MARGIN",IQ_FY-8))</f>
        <v>20.393599999999999</v>
      </c>
      <c r="H139" s="15">
        <f>IF(A146=A147,_xll.ciqfunctions.udf.CIQ(A138,"IQ_TOTAL_DIV_PAID_CF",IQ_FY-9)/-I139, _xll.ciqfunctions.udf.CIQ(A138, "IQ_TOTAL_DIV_PAID_CF",IQ_FY-8)/-I139)</f>
        <v>0</v>
      </c>
      <c r="I139" s="17">
        <f>IF(A146=A147,_xll.ciqfunctions.udf.CIQ(A138,"IQ_TOTAL_OUTSTANDING_FILING_DATE",IQ_FY-9), _xll.ciqfunctions.udf.CIQ(A138, "IQ_TOTAL_OUTSTANDING_FILING_DATE",IQ_FY-8))</f>
        <v>609.61658</v>
      </c>
      <c r="J139" s="17">
        <f>IF(A146=A147,_xll.ciqfunctions.udf.CIQ(A138,"IQ_CASH_OPER",IQ_FY-9), _xll.ciqfunctions.udf.CIQ(A138, "IQ_CASH_OPER",IQ_FY-8))</f>
        <v>1473</v>
      </c>
      <c r="K139" s="17">
        <f>IF(A146=A147,_xll.ciqfunctions.udf.CIQ(A138,"IQ_CAPEX",IQ_FY-9), _xll.ciqfunctions.udf.CIQ(A138, "IQ_CAPEX",IQ_FY-8))</f>
        <v>-212</v>
      </c>
      <c r="L139" s="15">
        <f t="shared" si="36"/>
        <v>2.0685132940445943</v>
      </c>
      <c r="M139" s="17">
        <f>IF(A146=A147,_xll.ciqfunctions.udf.CIQ(A138,"IQ_TOTAL_DEBT_ISSUED",IQ_FY-9), _xll.ciqfunctions.udf.CIQ(A138, "IQ_TOTAL_DEBT_ISSUED",IQ_FY-8))</f>
        <v>1650</v>
      </c>
      <c r="N139" s="17">
        <f>IF(A146=A147,_xll.ciqfunctions.udf.CIQ(A138,"IQ_TOTAL_DEBT_REPAID",IQ_FY-9), _xll.ciqfunctions.udf.CIQ(A138, "IQ_TOTAL_DEBT_REPAID",IQ_FY-8))</f>
        <v>-15</v>
      </c>
      <c r="O139" s="15">
        <f t="shared" si="37"/>
        <v>2.6820136683290339</v>
      </c>
      <c r="P139" s="15">
        <f t="shared" si="38"/>
        <v>4.7505269623736286</v>
      </c>
      <c r="Q139" s="25" t="s">
        <v>18</v>
      </c>
      <c r="R139" s="39" t="s">
        <v>19</v>
      </c>
      <c r="S139" s="1">
        <f>R137/((AVERAGE(P143:P148))*(1+E149)^3)</f>
        <v>13.959683874385711</v>
      </c>
      <c r="U139" s="25" t="s">
        <v>48</v>
      </c>
      <c r="V139" s="39" t="s">
        <v>19</v>
      </c>
      <c r="W139" s="1">
        <f>V137/((AVERAGE(P143:P148))*(1+E149)^3)</f>
        <v>13.959683874385711</v>
      </c>
      <c r="Y139" s="25" t="s">
        <v>39</v>
      </c>
      <c r="Z139" s="39" t="s">
        <v>19</v>
      </c>
      <c r="AA139" s="1">
        <f>Z137/((AVERAGE(P143:P148))*(1+E149)^3)</f>
        <v>13.959683874385711</v>
      </c>
    </row>
    <row r="140" spans="1:27">
      <c r="B140" s="13">
        <v>3</v>
      </c>
      <c r="C140" s="14" t="s">
        <v>20</v>
      </c>
      <c r="D140" s="15" cm="1">
        <f t="array" ref="D140">_xlfn.SINGLE(IF(A146=A147,_xll.ciqfunctions.udf.CIQ(A138,"IQ_TOTAL_REV",IQ_FY-8)/I140, _xll.ciqfunctions.udf.CIQ(A138, "IQ_TOTAL_REV",IQ_FY-7)/I140))</f>
        <v>20.383489012723182</v>
      </c>
      <c r="E140" s="16">
        <f t="shared" si="39"/>
        <v>0.21076808539451261</v>
      </c>
      <c r="F140" s="15">
        <f>IF(A146=A147,_xll.ciqfunctions.udf.CIQ(A138,"IQ_DILUT_EPS_EXCL",IQ_FY-8), _xll.ciqfunctions.udf.CIQ(A138, "IQ_DILUT_EPS_EXCL",IQ_FY-7))</f>
        <v>2.65</v>
      </c>
      <c r="G140" s="15">
        <f>IF(A146=A147,_xll.ciqfunctions.udf.CIQ(A138,"IQ_EBITDA_MARGIN",IQ_FY-8), _xll.ciqfunctions.udf.CIQ(A138, "IQ_EBITDA_MARGIN",IQ_FY-7))</f>
        <v>19.909700000000001</v>
      </c>
      <c r="H140" s="15">
        <f>IF(A146=A147,_xll.ciqfunctions.udf.CIQ(A138,"IQ_TOTAL_DIV_PAID_CF",IQ_FY-8)/-I140, _xll.ciqfunctions.udf.CIQ(A138, "IQ_TOTAL_DIV_PAID_CF",IQ_FY-7)/-I140)</f>
        <v>0</v>
      </c>
      <c r="I140" s="17">
        <f>IF(A146=A147,_xll.ciqfunctions.udf.CIQ(A138,"IQ_TOTAL_OUTSTANDING_FILING_DATE",IQ_FY-8), _xll.ciqfunctions.udf.CIQ(A138, "IQ_TOTAL_OUTSTANDING_FILING_DATE",IQ_FY-7))</f>
        <v>609.12045000000001</v>
      </c>
      <c r="J140" s="17">
        <f>IF(A146=A147,_xll.ciqfunctions.udf.CIQ(A138,"IQ_CASH_OPER",IQ_FY-8), _xll.ciqfunctions.udf.CIQ(A138, "IQ_CASH_OPER",IQ_FY-7))</f>
        <v>2187</v>
      </c>
      <c r="K140" s="17">
        <f>IF(A146=A147,_xll.ciqfunctions.udf.CIQ(A138,"IQ_CAPEX",IQ_FY-8), _xll.ciqfunctions.udf.CIQ(A138, "IQ_CAPEX",IQ_FY-7))</f>
        <v>-273</v>
      </c>
      <c r="L140" s="15">
        <f t="shared" si="36"/>
        <v>3.1422356612719207</v>
      </c>
      <c r="M140" s="17">
        <f>IF(A146=A147,_xll.ciqfunctions.udf.CIQ(A138,"IQ_TOTAL_DEBT_ISSUED",IQ_FY-8), _xll.ciqfunctions.udf.CIQ(A138, "IQ_TOTAL_DEBT_ISSUED",IQ_FY-7))</f>
        <v>0</v>
      </c>
      <c r="N140" s="17">
        <f>IF(A146=A147,_xll.ciqfunctions.udf.CIQ(A138,"IQ_TOTAL_DEBT_REPAID",IQ_FY-8), _xll.ciqfunctions.udf.CIQ(A138, "IQ_TOTAL_DEBT_REPAID",IQ_FY-7))</f>
        <v>-353</v>
      </c>
      <c r="O140" s="15">
        <f t="shared" si="37"/>
        <v>-0.57952413188557372</v>
      </c>
      <c r="P140" s="15">
        <f t="shared" si="38"/>
        <v>2.5627115293863469</v>
      </c>
      <c r="Q140" s="25" t="s">
        <v>21</v>
      </c>
      <c r="R140" s="38" t="s">
        <v>49</v>
      </c>
      <c r="S140" s="2">
        <f>(R137*I148)/1000</f>
        <v>35.595276924499998</v>
      </c>
      <c r="U140" s="25" t="s">
        <v>59</v>
      </c>
      <c r="V140" s="38" t="s">
        <v>49</v>
      </c>
      <c r="W140" s="2">
        <f>(V137*I148)/1000</f>
        <v>35.595276924499998</v>
      </c>
      <c r="Y140" s="25" t="s">
        <v>46</v>
      </c>
      <c r="Z140" s="38" t="s">
        <v>49</v>
      </c>
      <c r="AA140" s="2">
        <f>(Z137*I148)/1000</f>
        <v>35.595276924499998</v>
      </c>
    </row>
    <row r="141" spans="1:27">
      <c r="A141" s="18"/>
      <c r="B141" s="13">
        <v>4</v>
      </c>
      <c r="C141" s="14" t="s">
        <v>22</v>
      </c>
      <c r="D141" s="15" cm="1">
        <f t="array" ref="D141">_xlfn.SINGLE(IF(A146=A147,_xll.ciqfunctions.udf.CIQ(A138,"IQ_TOTAL_REV",IQ_FY-7)/I141, _xll.ciqfunctions.udf.CIQ(A138, "IQ_TOTAL_REV",IQ_FY-6)/I141))</f>
        <v>22.159344400179062</v>
      </c>
      <c r="E141" s="16">
        <f t="shared" si="39"/>
        <v>8.7122248126775964E-2</v>
      </c>
      <c r="F141" s="15">
        <f>IF(A146=A147,_xll.ciqfunctions.udf.CIQ(A138,"IQ_DILUT_EPS_EXCL",IQ_FY-7), _xll.ciqfunctions.udf.CIQ(A138, "IQ_DILUT_EPS_EXCL",IQ_FY-6))</f>
        <v>2.5499999999999998</v>
      </c>
      <c r="G141" s="15">
        <f>IF(A146=A147,_xll.ciqfunctions.udf.CIQ(A138,"IQ_EBITDA_MARGIN",IQ_FY-7), _xll.ciqfunctions.udf.CIQ(A138, "IQ_EBITDA_MARGIN",IQ_FY-6))</f>
        <v>19.782</v>
      </c>
      <c r="H141" s="15">
        <f>IF(A146=A147,_xll.ciqfunctions.udf.CIQ(A138,"IQ_TOTAL_DIV_PAID_CF",IQ_FY-7)/-I141, _xll.ciqfunctions.udf.CIQ(A138, "IQ_TOTAL_DIV_PAID_CF",IQ_FY-6)/-I141)</f>
        <v>0</v>
      </c>
      <c r="I141" s="17">
        <f>IF(A146=A147,_xll.ciqfunctions.udf.CIQ(A138,"IQ_TOTAL_OUTSTANDING_FILING_DATE",IQ_FY-7), _xll.ciqfunctions.udf.CIQ(A138, "IQ_TOTAL_OUTSTANDING_FILING_DATE",IQ_FY-6))</f>
        <v>608.63714000000004</v>
      </c>
      <c r="J141" s="17">
        <f>IF(A146=A147,_xll.ciqfunctions.udf.CIQ(A138,"IQ_CASH_OPER",IQ_FY-7), _xll.ciqfunctions.udf.CIQ(A138, "IQ_CASH_OPER",IQ_FY-6))</f>
        <v>1645</v>
      </c>
      <c r="K141" s="17">
        <f>IF(A146=A147,_xll.ciqfunctions.udf.CIQ(A138,"IQ_CAPEX",IQ_FY-7), _xll.ciqfunctions.udf.CIQ(A138, "IQ_CAPEX",IQ_FY-6))</f>
        <v>-300</v>
      </c>
      <c r="L141" s="15">
        <f t="shared" si="36"/>
        <v>2.2098552842174564</v>
      </c>
      <c r="M141" s="17">
        <f>IF(A146=A147,_xll.ciqfunctions.udf.CIQ(A138,"IQ_TOTAL_DEBT_ISSUED",IQ_FY-7), _xll.ciqfunctions.udf.CIQ(A138, "IQ_TOTAL_DEBT_ISSUED",IQ_FY-6))</f>
        <v>0</v>
      </c>
      <c r="N141" s="17">
        <f>IF(A146=A147,_xll.ciqfunctions.udf.CIQ(A138,"IQ_TOTAL_DEBT_REPAID",IQ_FY-7), _xll.ciqfunctions.udf.CIQ(A138, "IQ_TOTAL_DEBT_REPAID",IQ_FY-6))</f>
        <v>-407</v>
      </c>
      <c r="O141" s="15">
        <f t="shared" si="37"/>
        <v>-0.66870713804944593</v>
      </c>
      <c r="P141" s="15">
        <f t="shared" si="38"/>
        <v>1.5411481461680103</v>
      </c>
      <c r="Q141" s="25" t="s">
        <v>23</v>
      </c>
      <c r="R141" s="38" t="s">
        <v>24</v>
      </c>
      <c r="S141" s="1">
        <f>R137/(AVERAGE(H143:H148)*(1+H149)/(0.5-H149))</f>
        <v>29.163782705788837</v>
      </c>
      <c r="U141" s="25" t="s">
        <v>40</v>
      </c>
      <c r="V141" s="38" t="s">
        <v>24</v>
      </c>
      <c r="W141" s="1">
        <f>V137/(AVERAGE(H143:H148)*(1+H149)/(0.5-H149))</f>
        <v>29.163782705788837</v>
      </c>
      <c r="Y141" s="25" t="s">
        <v>47</v>
      </c>
      <c r="Z141" s="38" t="s">
        <v>24</v>
      </c>
      <c r="AA141" s="1">
        <f>Z137/(AVERAGE(H143:H148)*(1+H149)/(0.5-H149))</f>
        <v>29.163782705788837</v>
      </c>
    </row>
    <row r="142" spans="1:27">
      <c r="B142" s="13">
        <v>5</v>
      </c>
      <c r="C142" s="14" t="s">
        <v>25</v>
      </c>
      <c r="D142" s="15" cm="1">
        <f t="array" ref="D142">_xlfn.SINGLE(IF(A146=A147,_xll.ciqfunctions.udf.CIQ(A138,"IQ_TOTAL_REV",IQ_FY-6)/I142, _xll.ciqfunctions.udf.CIQ(A138, "IQ_TOTAL_REV",IQ_FY-5)/I142))</f>
        <v>25.184876293027006</v>
      </c>
      <c r="E142" s="16">
        <f t="shared" si="39"/>
        <v>0.13653526197388294</v>
      </c>
      <c r="F142" s="15">
        <f>IF(A146=A147,_xll.ciqfunctions.udf.CIQ(A138,"IQ_DILUT_EPS_EXCL",IQ_FY-6), _xll.ciqfunctions.udf.CIQ(A138, "IQ_DILUT_EPS_EXCL",IQ_FY-5))</f>
        <v>2.5299999999999998</v>
      </c>
      <c r="G142" s="15">
        <f>IF(A146=A147,_xll.ciqfunctions.udf.CIQ(A138,"IQ_EBITDA_MARGIN",IQ_FY-6), _xll.ciqfunctions.udf.CIQ(A138, "IQ_EBITDA_MARGIN",IQ_FY-5))</f>
        <v>20.229500000000002</v>
      </c>
      <c r="H142" s="15">
        <f>IF(A146=A147,_xll.ciqfunctions.udf.CIQ(A138,"IQ_TOTAL_DIV_PAID_CF",IQ_FY-6)/-I142, _xll.ciqfunctions.udf.CIQ(A138, "IQ_TOTAL_DIV_PAID_CF",IQ_FY-5)/-I142)</f>
        <v>0.45064093299474384</v>
      </c>
      <c r="I142" s="17">
        <f>IF(A146=A147,_xll.ciqfunctions.udf.CIQ(A138,"IQ_TOTAL_OUTSTANDING_FILING_DATE",IQ_FY-6), _xll.ciqfunctions.udf.CIQ(A138, "IQ_TOTAL_OUTSTANDING_FILING_DATE",IQ_FY-5))</f>
        <v>588.05133000000001</v>
      </c>
      <c r="J142" s="17">
        <f>IF(A146=A147,_xll.ciqfunctions.udf.CIQ(A138,"IQ_CASH_OPER",IQ_FY-6), _xll.ciqfunctions.udf.CIQ(A138, "IQ_CASH_OPER",IQ_FY-5))</f>
        <v>2407</v>
      </c>
      <c r="K142" s="17">
        <f>IF(A146=A147,_xll.ciqfunctions.udf.CIQ(A138,"IQ_CAPEX",IQ_FY-6), _xll.ciqfunctions.udf.CIQ(A138, "IQ_CAPEX",IQ_FY-5))</f>
        <v>-284</v>
      </c>
      <c r="L142" s="15">
        <f t="shared" si="36"/>
        <v>3.6102290594258157</v>
      </c>
      <c r="M142" s="17">
        <f>IF(A146=A147,_xll.ciqfunctions.udf.CIQ(A138,"IQ_TOTAL_DEBT_ISSUED",IQ_FY-6), _xll.ciqfunctions.udf.CIQ(A138, "IQ_TOTAL_DEBT_ISSUED",IQ_FY-5))</f>
        <v>75</v>
      </c>
      <c r="N142" s="17">
        <f>IF(A146=A147,_xll.ciqfunctions.udf.CIQ(A138,"IQ_TOTAL_DEBT_REPAID",IQ_FY-6), _xll.ciqfunctions.udf.CIQ(A138, "IQ_TOTAL_DEBT_REPAID",IQ_FY-5))</f>
        <v>-95</v>
      </c>
      <c r="O142" s="15">
        <f t="shared" si="37"/>
        <v>-3.4010636452433497E-2</v>
      </c>
      <c r="P142" s="15">
        <f t="shared" si="38"/>
        <v>3.5762184229733824</v>
      </c>
      <c r="Q142" s="18"/>
      <c r="R142" s="38" t="s">
        <v>50</v>
      </c>
      <c r="S142" s="3">
        <f>I149</f>
        <v>-2.7050105768551602E-2</v>
      </c>
      <c r="U142" s="18"/>
      <c r="V142" s="38" t="s">
        <v>50</v>
      </c>
      <c r="W142" s="3">
        <f>I149</f>
        <v>-2.7050105768551602E-2</v>
      </c>
      <c r="Y142" s="18"/>
      <c r="Z142" s="38" t="s">
        <v>50</v>
      </c>
      <c r="AA142" s="3">
        <f>I149</f>
        <v>-2.7050105768551602E-2</v>
      </c>
    </row>
    <row r="143" spans="1:27">
      <c r="B143" s="13">
        <v>6</v>
      </c>
      <c r="C143" s="14" t="s">
        <v>26</v>
      </c>
      <c r="D143" s="15" cm="1">
        <f t="array" ref="D143">_xlfn.SINGLE(IF(A146=A147,_xll.ciqfunctions.udf.CIQ(A138,"IQ_TOTAL_REV",IQ_FY-5)/I143, _xll.ciqfunctions.udf.CIQ(A138, "IQ_TOTAL_REV",IQ_FY-4)/I143))</f>
        <v>28.038637085408975</v>
      </c>
      <c r="E143" s="16">
        <f t="shared" si="39"/>
        <v>0.1133124800447043</v>
      </c>
      <c r="F143" s="15">
        <f>IF(A146=A147,_xll.ciqfunctions.udf.CIQ(A138,"IQ_DILUT_EPS_EXCL",IQ_FY-5), _xll.ciqfunctions.udf.CIQ(A138, "IQ_DILUT_EPS_EXCL",IQ_FY-4))</f>
        <v>3.6</v>
      </c>
      <c r="G143" s="15">
        <f>IF(A146=A147,_xll.ciqfunctions.udf.CIQ(A138,"IQ_EBITDA_MARGIN",IQ_FY-5), _xll.ciqfunctions.udf.CIQ(A138, "IQ_EBITDA_MARGIN",IQ_FY-4))</f>
        <v>20.489899999999999</v>
      </c>
      <c r="H143" s="15">
        <f>IF(A146=A147,_xll.ciqfunctions.udf.CIQ(A138,"IQ_TOTAL_DIV_PAID_CF",IQ_FY-5)/-I143, _xll.ciqfunctions.udf.CIQ(A138, "IQ_TOTAL_DIV_PAID_CF",IQ_FY-4)/-I143)</f>
        <v>0.81377253680442785</v>
      </c>
      <c r="I143" s="17">
        <f>IF(A146=A147,_xll.ciqfunctions.udf.CIQ(A138,"IQ_TOTAL_OUTSTANDING_FILING_DATE",IQ_FY-5), _xll.ciqfunctions.udf.CIQ(A138, "IQ_TOTAL_OUTSTANDING_FILING_DATE",IQ_FY-4))</f>
        <v>575.09928000000002</v>
      </c>
      <c r="J143" s="17">
        <f>IF(A146=A147,_xll.ciqfunctions.udf.CIQ(A138,"IQ_CASH_OPER",IQ_FY-5), _xll.ciqfunctions.udf.CIQ(A138, "IQ_CASH_OPER",IQ_FY-4))</f>
        <v>2592</v>
      </c>
      <c r="K143" s="17">
        <f>IF(A146=A147,_xll.ciqfunctions.udf.CIQ(A138,"IQ_CAPEX",IQ_FY-5), _xll.ciqfunctions.udf.CIQ(A138, "IQ_CAPEX",IQ_FY-4))</f>
        <v>-377</v>
      </c>
      <c r="L143" s="15">
        <f t="shared" si="36"/>
        <v>3.8515089081662559</v>
      </c>
      <c r="M143" s="17">
        <f>IF(A146=A147,_xll.ciqfunctions.udf.CIQ(A138,"IQ_TOTAL_DEBT_ISSUED",IQ_FY-5), _xll.ciqfunctions.udf.CIQ(A138, "IQ_TOTAL_DEBT_ISSUED",IQ_FY-4))</f>
        <v>25</v>
      </c>
      <c r="N143" s="17">
        <f>IF(A146=A147,_xll.ciqfunctions.udf.CIQ(A138,"IQ_TOTAL_DEBT_REPAID",IQ_FY-5), _xll.ciqfunctions.udf.CIQ(A138, "IQ_TOTAL_DEBT_REPAID",IQ_FY-4))</f>
        <v>-166</v>
      </c>
      <c r="O143" s="15">
        <f t="shared" si="37"/>
        <v>-0.24517505916543661</v>
      </c>
      <c r="P143" s="15">
        <f t="shared" si="38"/>
        <v>3.6063338490008192</v>
      </c>
      <c r="Q143" s="25" t="s">
        <v>27</v>
      </c>
      <c r="R143" s="38" t="s">
        <v>51</v>
      </c>
      <c r="S143" s="4">
        <f>AVERAGE(F143:F148)/AVERAGE(D143:D148)</f>
        <v>0.10889425638396617</v>
      </c>
      <c r="U143" s="25" t="s">
        <v>58</v>
      </c>
      <c r="V143" s="38" t="s">
        <v>51</v>
      </c>
      <c r="W143" s="4">
        <f>AVERAGE(F143:F148)/AVERAGE(D143:D148)</f>
        <v>0.10889425638396617</v>
      </c>
      <c r="Y143" s="25" t="s">
        <v>56</v>
      </c>
      <c r="Z143" s="38" t="s">
        <v>51</v>
      </c>
      <c r="AA143" s="4">
        <f>AVERAGE(F143:F148)/AVERAGE(D143:D148)</f>
        <v>0.10889425638396617</v>
      </c>
    </row>
    <row r="144" spans="1:27">
      <c r="A144" s="18"/>
      <c r="B144" s="13">
        <v>7</v>
      </c>
      <c r="C144" s="14" t="s">
        <v>28</v>
      </c>
      <c r="D144" s="15" cm="1">
        <f t="array" ref="D144">_xlfn.SINGLE(IF(A146=A147,_xll.ciqfunctions.udf.CIQ(A138,"IQ_TOTAL_REV",IQ_FY-4)/I144, _xll.ciqfunctions.udf.CIQ(A138, "IQ_TOTAL_REV",IQ_FY-3)/I144))</f>
        <v>30.590347780156542</v>
      </c>
      <c r="E144" s="16">
        <f t="shared" si="39"/>
        <v>9.1006944701868223E-2</v>
      </c>
      <c r="F144" s="15">
        <f>IF(A146=A147,_xll.ciqfunctions.udf.CIQ(A138,"IQ_DILUT_EPS_EXCL",IQ_FY-4), _xll.ciqfunctions.udf.CIQ(A138, "IQ_DILUT_EPS_EXCL",IQ_FY-3))</f>
        <v>3.29</v>
      </c>
      <c r="G144" s="15">
        <f>IF(A146=A147,_xll.ciqfunctions.udf.CIQ(A138,"IQ_EBITDA_MARGIN",IQ_FY-4), _xll.ciqfunctions.udf.CIQ(A138, "IQ_EBITDA_MARGIN",IQ_FY-3))</f>
        <v>19.609100000000002</v>
      </c>
      <c r="H144" s="15">
        <f>IF(A146=A147,_xll.ciqfunctions.udf.CIQ(A138,"IQ_TOTAL_DIV_PAID_CF",IQ_FY-4)/-I144, _xll.ciqfunctions.udf.CIQ(A138, "IQ_TOTAL_DIV_PAID_CF",IQ_FY-3)/-I144)</f>
        <v>0.82568238958534901</v>
      </c>
      <c r="I144" s="17">
        <f>IF(A146=A147,_xll.ciqfunctions.udf.CIQ(A138,"IQ_TOTAL_OUTSTANDING_FILING_DATE",IQ_FY-4), _xll.ciqfunctions.udf.CIQ(A138, "IQ_TOTAL_OUTSTANDING_FILING_DATE",IQ_FY-3))</f>
        <v>548.63711000000001</v>
      </c>
      <c r="J144" s="17">
        <f>IF(A146=A147,_xll.ciqfunctions.udf.CIQ(A138,"IQ_CASH_OPER",IQ_FY-4), _xll.ciqfunctions.udf.CIQ(A138, "IQ_CASH_OPER",IQ_FY-3))</f>
        <v>2499</v>
      </c>
      <c r="K144" s="17">
        <f>IF(A146=A147,_xll.ciqfunctions.udf.CIQ(A138,"IQ_CAPEX",IQ_FY-4), _xll.ciqfunctions.udf.CIQ(A138, "IQ_CAPEX",IQ_FY-3))</f>
        <v>-392</v>
      </c>
      <c r="L144" s="15">
        <f t="shared" si="36"/>
        <v>3.8404255957093385</v>
      </c>
      <c r="M144" s="17">
        <f>IF(A146=A147,_xll.ciqfunctions.udf.CIQ(A138,"IQ_TOTAL_DEBT_ISSUED",IQ_FY-4), _xll.ciqfunctions.udf.CIQ(A138, "IQ_TOTAL_DEBT_ISSUED",IQ_FY-3))</f>
        <v>0</v>
      </c>
      <c r="N144" s="17">
        <f>IF(A146=A147,_xll.ciqfunctions.udf.CIQ(A138,"IQ_TOTAL_DEBT_REPAID",IQ_FY-4), _xll.ciqfunctions.udf.CIQ(A138, "IQ_TOTAL_DEBT_REPAID",IQ_FY-3))</f>
        <v>-28</v>
      </c>
      <c r="O144" s="15">
        <f t="shared" si="37"/>
        <v>-5.1035556089160647E-2</v>
      </c>
      <c r="P144" s="15">
        <f t="shared" si="38"/>
        <v>3.7893900396201778</v>
      </c>
      <c r="Q144" s="18"/>
      <c r="R144" s="38" t="s">
        <v>29</v>
      </c>
      <c r="S144" s="4">
        <f>(AVERAGE(P143:P148)/_xlfn.STDEV.P(P143:P148))/(IF(A146=A147,(_xlfn.SINGLE(_xll.ciqfunctions.udf.CIQ(A138,"IQ_total_assets",IQ_FY)) - _xlfn.SINGLE(_xll.ciqfunctions.udf.CIQ(A138,"iq_gw_intan", IQ_FY)))/I148, (_xlfn.SINGLE(_xll.ciqfunctions.udf.CIQ(A138, "IQ_total_assets",IQ_LTM))-_xlfn.SINGLE(_xll.ciqfunctions.udf.CIQ(A138,"iq_gw_intan",IQ_LTM)))/I148))</f>
        <v>0.33400448715731224</v>
      </c>
      <c r="U144" s="18"/>
      <c r="V144" s="38" t="s">
        <v>29</v>
      </c>
      <c r="W144" s="4">
        <f>(AVERAGE(P143:P148)/_xlfn.STDEV.P(P143:P148))/(IF(A146=A147,(_xlfn.SINGLE(_xll.ciqfunctions.udf.CIQ(A138,"IQ_total_assets",IQ_FY)) - _xlfn.SINGLE(_xll.ciqfunctions.udf.CIQ(A138,"iq_gw_intan", IQ_FY)))/I148, (_xlfn.SINGLE(_xll.ciqfunctions.udf.CIQ(A138, "IQ_total_assets",IQ_LTM))-_xlfn.SINGLE(_xll.ciqfunctions.udf.CIQ(A138,"iq_gw_intan",IQ_LTM)))/I148))</f>
        <v>0.33400448715731224</v>
      </c>
      <c r="Y144" s="18"/>
      <c r="Z144" s="38" t="s">
        <v>29</v>
      </c>
      <c r="AA144" s="4">
        <f>(AVERAGE(P143:P148)/_xlfn.STDEV.P(P143:P148))/(IF(A146=A147,(_xlfn.SINGLE(_xll.ciqfunctions.udf.CIQ(A138,"IQ_total_assets",IQ_FY)) - _xlfn.SINGLE(_xll.ciqfunctions.udf.CIQ(A138,"iq_gw_intan", IQ_FY)))/I148, (_xlfn.SINGLE(_xll.ciqfunctions.udf.CIQ(A138, "IQ_total_assets",IQ_LTM))-_xlfn.SINGLE(_xll.ciqfunctions.udf.CIQ(A138,"iq_gw_intan",IQ_LTM)))/I148))</f>
        <v>0.33400448715731224</v>
      </c>
    </row>
    <row r="145" spans="1:27">
      <c r="A145" s="18"/>
      <c r="B145" s="13">
        <v>8</v>
      </c>
      <c r="C145" s="14" t="s">
        <v>30</v>
      </c>
      <c r="D145" s="15" cm="1">
        <f t="array" ref="D145">_xlfn.SINGLE(IF(A146=A147,_xll.ciqfunctions.udf.CIQ(A138,"IQ_TOTAL_REV",IQ_FY-3)/I145, _xll.ciqfunctions.udf.CIQ(A138, "IQ_TOTAL_REV",IQ_FY-2)/I145))</f>
        <v>31.382496203550961</v>
      </c>
      <c r="E145" s="16">
        <f t="shared" si="39"/>
        <v>2.5895371608304265E-2</v>
      </c>
      <c r="F145" s="15">
        <f>IF(A146=A147,_xll.ciqfunctions.udf.CIQ(A138,"IQ_DILUT_EPS_EXCL",IQ_FY-3), _xll.ciqfunctions.udf.CIQ(A138, "IQ_DILUT_EPS_EXCL",IQ_FY-2))</f>
        <v>2.57</v>
      </c>
      <c r="G145" s="15">
        <f>IF(A146=A147,_xll.ciqfunctions.udf.CIQ(A138,"IQ_EBITDA_MARGIN",IQ_FY-3), _xll.ciqfunctions.udf.CIQ(A138, "IQ_EBITDA_MARGIN",IQ_FY-2))</f>
        <v>17.1631</v>
      </c>
      <c r="H145" s="15">
        <f>IF(A146=A147,_xll.ciqfunctions.udf.CIQ(A138,"IQ_TOTAL_DIV_PAID_CF",IQ_FY-3)/-I145, _xll.ciqfunctions.udf.CIQ(A138, "IQ_TOTAL_DIV_PAID_CF",IQ_FY-2)/-I145)</f>
        <v>0.90461194917754384</v>
      </c>
      <c r="I145" s="17">
        <f>IF(A146=A147,_xll.ciqfunctions.udf.CIQ(A138,"IQ_TOTAL_OUTSTANDING_FILING_DATE",IQ_FY-3), _xll.ciqfunctions.udf.CIQ(A138, "IQ_TOTAL_OUTSTANDING_FILING_DATE",IQ_FY-2))</f>
        <v>530.61425999999994</v>
      </c>
      <c r="J145" s="17">
        <f>IF(A146=A147,_xll.ciqfunctions.udf.CIQ(A138,"IQ_CASH_OPER",IQ_FY-3), _xll.ciqfunctions.udf.CIQ(A138, "IQ_CASH_OPER",IQ_FY-2))</f>
        <v>3299</v>
      </c>
      <c r="K145" s="17">
        <f>IF(A146=A147,_xll.ciqfunctions.udf.CIQ(A138,"IQ_CAPEX",IQ_FY-3), _xll.ciqfunctions.udf.CIQ(A138, "IQ_CAPEX",IQ_FY-2))</f>
        <v>-398</v>
      </c>
      <c r="L145" s="15">
        <f t="shared" si="36"/>
        <v>5.467248467841781</v>
      </c>
      <c r="M145" s="17">
        <f>IF(A146=A147,_xll.ciqfunctions.udf.CIQ(A138,"IQ_TOTAL_DEBT_ISSUED",IQ_FY-3), _xll.ciqfunctions.udf.CIQ(A138, "IQ_TOTAL_DEBT_ISSUED",IQ_FY-2))</f>
        <v>1740</v>
      </c>
      <c r="N145" s="17">
        <f>IF(A146=A147,_xll.ciqfunctions.udf.CIQ(A138,"IQ_TOTAL_DEBT_REPAID",IQ_FY-3), _xll.ciqfunctions.udf.CIQ(A138, "IQ_TOTAL_DEBT_REPAID",IQ_FY-2))</f>
        <v>-1790</v>
      </c>
      <c r="O145" s="15">
        <f t="shared" si="37"/>
        <v>-9.4230411372660819E-2</v>
      </c>
      <c r="P145" s="15">
        <f t="shared" si="38"/>
        <v>5.3730180564691201</v>
      </c>
      <c r="Q145" s="18"/>
      <c r="R145" s="39" t="s">
        <v>31</v>
      </c>
      <c r="S145" s="5">
        <f>IF(NOT(D138&gt;0),FALSE,SLOPE(G138:G148,B138:B148))</f>
        <v>-0.32977454545454543</v>
      </c>
      <c r="U145" s="18"/>
      <c r="V145" s="39" t="s">
        <v>31</v>
      </c>
      <c r="W145" s="5">
        <f>IF(NOT(D138&gt;0),FALSE,SLOPE(G138:G148,B138:B148))</f>
        <v>-0.32977454545454543</v>
      </c>
      <c r="Y145" s="18"/>
      <c r="Z145" s="39" t="s">
        <v>31</v>
      </c>
      <c r="AA145" s="5">
        <f>IF(NOT(L138&gt;0),FALSE,SLOPE(O138:O148,J138:J148))</f>
        <v>-6.0901407917661303E-4</v>
      </c>
    </row>
    <row r="146" spans="1:27">
      <c r="A146" s="19">
        <f>_xll.ciqfunctions.udf.CIQ(A138,"IQ_TOTAL_REV",IQ_FY)</f>
        <v>19428</v>
      </c>
      <c r="B146" s="13">
        <v>9</v>
      </c>
      <c r="C146" s="14" t="s">
        <v>32</v>
      </c>
      <c r="D146" s="15" cm="1">
        <f t="array" ref="D146">_xlfn.SINGLE(IF(A146=A147,_xll.ciqfunctions.udf.CIQ(A138,"IQ_TOTAL_REV",IQ_FY-2)/I146, _xll.ciqfunctions.udf.CIQ(A138, "IQ_TOTAL_REV",IQ_FY-1)/I146))</f>
        <v>35.282690379207033</v>
      </c>
      <c r="E146" s="16">
        <f t="shared" si="39"/>
        <v>0.12427928455272978</v>
      </c>
      <c r="F146" s="15">
        <f>IF(A146=A147,_xll.ciqfunctions.udf.CIQ(A138,"IQ_DILUT_EPS_EXCL",IQ_FY-2), _xll.ciqfunctions.udf.CIQ(A138, "IQ_DILUT_EPS_EXCL",IQ_FY-1))</f>
        <v>4.05</v>
      </c>
      <c r="G146" s="15">
        <f>IF(A146=A147,_xll.ciqfunctions.udf.CIQ(A138,"IQ_EBITDA_MARGIN",IQ_FY-2), _xll.ciqfunctions.udf.CIQ(A138, "IQ_EBITDA_MARGIN",IQ_FY-1))</f>
        <v>18.090399999999999</v>
      </c>
      <c r="H146" s="15">
        <f>IF(A146=A147,_xll.ciqfunctions.udf.CIQ(A138,"IQ_TOTAL_DIV_PAID_CF",IQ_FY-2)/-I146, _xll.ciqfunctions.udf.CIQ(A138, "IQ_TOTAL_DIV_PAID_CF",IQ_FY-1)/-I146)</f>
        <v>0.97038360636604426</v>
      </c>
      <c r="I146" s="17">
        <f>IF(A146=A147,_xll.ciqfunctions.udf.CIQ(A138,"IQ_TOTAL_OUTSTANDING_FILING_DATE",IQ_FY-2), _xll.ciqfunctions.udf.CIQ(A138, "IQ_TOTAL_OUTSTANDING_FILING_DATE",IQ_FY-1))</f>
        <v>524.53483000000006</v>
      </c>
      <c r="J146" s="17">
        <f>IF(A146=A147,_xll.ciqfunctions.udf.CIQ(A138,"IQ_CASH_OPER",IQ_FY-2), _xll.ciqfunctions.udf.CIQ(A138, "IQ_CASH_OPER",IQ_FY-1))</f>
        <v>2495</v>
      </c>
      <c r="K146" s="17">
        <f>IF(A146=A147,_xll.ciqfunctions.udf.CIQ(A138,"IQ_CAPEX",IQ_FY-2), _xll.ciqfunctions.udf.CIQ(A138, "IQ_CAPEX",IQ_FY-1))</f>
        <v>-279</v>
      </c>
      <c r="L146" s="15">
        <f t="shared" si="36"/>
        <v>4.2246956222144485</v>
      </c>
      <c r="M146" s="17">
        <f>IF(A146=A147,_xll.ciqfunctions.udf.CIQ(A138,"IQ_TOTAL_DEBT_ISSUED",IQ_FY-2), _xll.ciqfunctions.udf.CIQ(A138, "IQ_TOTAL_DEBT_ISSUED",IQ_FY-1))</f>
        <v>0</v>
      </c>
      <c r="N146" s="17">
        <f>IF(A146=A147,_xll.ciqfunctions.udf.CIQ(A138,"IQ_TOTAL_DEBT_REPAID",IQ_FY-2), _xll.ciqfunctions.udf.CIQ(A138, "IQ_TOTAL_DEBT_REPAID",IQ_FY-1))</f>
        <v>-53</v>
      </c>
      <c r="O146" s="15">
        <f t="shared" si="37"/>
        <v>-0.10104190793202425</v>
      </c>
      <c r="P146" s="15">
        <f t="shared" si="38"/>
        <v>4.1236537142824243</v>
      </c>
      <c r="Q146" s="25" t="s">
        <v>33</v>
      </c>
      <c r="R146" s="38" t="s">
        <v>52</v>
      </c>
      <c r="S146" s="4">
        <f>(AVERAGE(O143:O148)/AVERAGE(P143:P148))</f>
        <v>-2.2692356704508657E-2</v>
      </c>
      <c r="U146" s="25" t="s">
        <v>54</v>
      </c>
      <c r="V146" s="38" t="s">
        <v>52</v>
      </c>
      <c r="W146" s="4">
        <f>(AVERAGE(O143:O148)/AVERAGE(P143:P148))</f>
        <v>-2.2692356704508657E-2</v>
      </c>
      <c r="Y146" s="25" t="s">
        <v>60</v>
      </c>
      <c r="Z146" s="38" t="s">
        <v>52</v>
      </c>
      <c r="AA146" s="4">
        <f>(AVERAGE(O143:O148)/AVERAGE(P143:P148))</f>
        <v>-2.2692356704508657E-2</v>
      </c>
    </row>
    <row r="147" spans="1:27">
      <c r="A147" s="19">
        <f>_xll.ciqfunctions.udf.CIQ(A138,"IQ_TOTAL_REV",IQ_LTM)</f>
        <v>19434</v>
      </c>
      <c r="B147" s="13">
        <v>10</v>
      </c>
      <c r="C147" s="14" t="s">
        <v>34</v>
      </c>
      <c r="D147" s="15" cm="1">
        <f t="array" ref="D147">_xlfn.SINGLE(IF(A146=A147,_xll.ciqfunctions.udf.CIQ(A138,"IQ_TOTAL_REV",IQ_FY-1)/I147, _xll.ciqfunctions.udf.CIQ(A138, "IQ_TOTAL_REV",IQ_FY)/I147))</f>
        <v>38.14687851994195</v>
      </c>
      <c r="E147" s="16">
        <f t="shared" si="39"/>
        <v>8.11782806229214E-2</v>
      </c>
      <c r="F147" s="15">
        <f>IF(A146=A147,_xll.ciqfunctions.udf.CIQ(A138,"IQ_DILUT_EPS_EXCL",IQ_FY-1), _xll.ciqfunctions.udf.CIQ(A138, "IQ_DILUT_EPS_EXCL",IQ_FY))</f>
        <v>4.41</v>
      </c>
      <c r="G147" s="15">
        <f>IF(A146=A147,_xll.ciqfunctions.udf.CIQ(A138,"IQ_EBITDA_MARGIN",IQ_FY-1), _xll.ciqfunctions.udf.CIQ(A138, "IQ_EBITDA_MARGIN",IQ_FY))</f>
        <v>18.313700000000001</v>
      </c>
      <c r="H147" s="15">
        <f>IF(A146=A147,_xll.ciqfunctions.udf.CIQ(A138,"IQ_TOTAL_DIV_PAID_CF",IQ_FY-1)/-I147, _xll.ciqfunctions.udf.CIQ(A138, "IQ_TOTAL_DIV_PAID_CF",IQ_FY)/-I147)</f>
        <v>1.107414015094053</v>
      </c>
      <c r="I147" s="17">
        <f>IF(A146=A147,_xll.ciqfunctions.udf.CIQ(A138,"IQ_TOTAL_OUTSTANDING_FILING_DATE",IQ_FY-1), _xll.ciqfunctions.udf.CIQ(A138, "IQ_TOTAL_OUTSTANDING_FILING_DATE",IQ_FY))</f>
        <v>509.29462000000001</v>
      </c>
      <c r="J147" s="17">
        <f>IF(A146=A147,_xll.ciqfunctions.udf.CIQ(A138,"IQ_CASH_OPER",IQ_FY-1), _xll.ciqfunctions.udf.CIQ(A138, "IQ_CASH_OPER",IQ_FY))</f>
        <v>2568</v>
      </c>
      <c r="K147" s="17">
        <f>IF(A146=A147,_xll.ciqfunctions.udf.CIQ(A138,"IQ_CAPEX",IQ_FY-1), _xll.ciqfunctions.udf.CIQ(A138, "IQ_CAPEX",IQ_FY))</f>
        <v>-332</v>
      </c>
      <c r="L147" s="15">
        <f t="shared" si="36"/>
        <v>4.3903860598409619</v>
      </c>
      <c r="M147" s="17">
        <f>IF(A146=A147,_xll.ciqfunctions.udf.CIQ(A138,"IQ_TOTAL_DEBT_ISSUED",IQ_FY-1), _xll.ciqfunctions.udf.CIQ(A138, "IQ_TOTAL_DEBT_ISSUED",IQ_FY))</f>
        <v>650</v>
      </c>
      <c r="N147" s="17">
        <f>IF(A146=A147,_xll.ciqfunctions.udf.CIQ(A138,"IQ_TOTAL_DEBT_REPAID",IQ_FY-1), _xll.ciqfunctions.udf.CIQ(A138, "IQ_TOTAL_DEBT_REPAID",IQ_FY))</f>
        <v>-686</v>
      </c>
      <c r="O147" s="15">
        <f t="shared" si="37"/>
        <v>-7.0686000963450193E-2</v>
      </c>
      <c r="P147" s="15">
        <f t="shared" si="38"/>
        <v>4.3197000588775119</v>
      </c>
      <c r="Q147" s="25" t="s">
        <v>44</v>
      </c>
      <c r="R147" s="38" t="s">
        <v>35</v>
      </c>
      <c r="S147" s="1">
        <f>_xll.ciqfunctions.udf.CIQ(A138,"IQ_TEV_EBITDA")</f>
        <v>9.42713</v>
      </c>
      <c r="U147" s="25" t="s">
        <v>55</v>
      </c>
      <c r="V147" s="38" t="s">
        <v>53</v>
      </c>
      <c r="W147" s="1">
        <f>V137/(AVERAGE(D143:D148)/_xlfn.STDEV.P(E143:E148))</f>
        <v>8.6335835348241588E-2</v>
      </c>
      <c r="Y147" s="25" t="s">
        <v>57</v>
      </c>
      <c r="Z147" s="38" t="s">
        <v>53</v>
      </c>
      <c r="AA147" s="1">
        <f>Z137/(AVERAGE(D143:D148)/_xlfn.STDEV.P(E143:E148))</f>
        <v>8.6335835348241588E-2</v>
      </c>
    </row>
    <row r="148" spans="1:27">
      <c r="B148" s="13">
        <v>11</v>
      </c>
      <c r="C148" s="20" t="s">
        <v>36</v>
      </c>
      <c r="D148" s="21" cm="1">
        <f t="array" ref="D148">_xlfn.SINGLE(IF(A146=A147,_xll.ciqfunctions.udf.CIQ(A138,"IQ_TOTAL_REV",IQ_FY)/I148, _xll.ciqfunctions.udf.CIQ(A138, "IQ_TOTAL_REV",IQ_LTM)/I148))</f>
        <v>38.758503352179758</v>
      </c>
      <c r="E148" s="22">
        <f t="shared" si="39"/>
        <v>1.6033417568309574E-2</v>
      </c>
      <c r="F148" s="21">
        <f>IF(A146=A147,_xll.ciqfunctions.udf.CIQ(A138,"IQ_DILUT_EPS_EXCL",IQ_FY), _xll.ciqfunctions.udf.CIQ(A138, "IQ_DILUT_EPS_EXCL",IQ_LTM))</f>
        <v>4.0983700000000001</v>
      </c>
      <c r="G148" s="21">
        <f>IF(A146=A147,_xll.ciqfunctions.udf.CIQ(A138,"IQ_EBITDA_MARGIN",IQ_FY), _xll.ciqfunctions.udf.CIQ(A138, "IQ_EBITDA_MARGIN",IQ_LTM))</f>
        <v>17.680299999999999</v>
      </c>
      <c r="H148" s="21">
        <f>IF(A146=A147,_xll.ciqfunctions.udf.CIQ(A138,"IQ_TOTAL_DIV_PAID_CF",IQ_FY)/-I148, _xll.ciqfunctions.udf.CIQ(A138, "IQ_TOTAL_DIV_PAID_CF",IQ_LTM)/-I148)</f>
        <v>1.1647095789684563</v>
      </c>
      <c r="I148" s="23">
        <f>IF(A146=A147,_xll.ciqfunctions.udf.CIQ(A138,"IQ_TOTAL_OUTSTANDING_FILING_DATE",IQ_FY),_xll.ciqfunctions.udf.CIQ(A138,"IQ_sharesoutstanding"))</f>
        <v>501.41255000000001</v>
      </c>
      <c r="J148" s="23">
        <f>IF(A146=A147,_xll.ciqfunctions.udf.CIQ(A138,"IQ_CASH_OPER",IQ_FY), _xll.ciqfunctions.udf.CIQ(A138, "IQ_CASH_OPER",IQ_LTM))</f>
        <v>2295</v>
      </c>
      <c r="K148" s="23">
        <f>IF(A146=A147,_xll.ciqfunctions.udf.CIQ(A138,"IQ_CAPEX",IQ_FY), _xll.ciqfunctions.udf.CIQ(A138, "IQ_CAPEX",IQ_LTM))</f>
        <v>-329</v>
      </c>
      <c r="L148" s="21">
        <f t="shared" si="36"/>
        <v>3.9209230004314808</v>
      </c>
      <c r="M148" s="23">
        <f>IF(A146=A147,_xll.ciqfunctions.udf.CIQ(A138,"IQ_TOTAL_DEBT_ISSUED",IQ_FY), _xll.ciqfunctions.udf.CIQ(A138, "IQ_TOTAL_DEBT_ISSUED",IQ_LTM))</f>
        <v>650</v>
      </c>
      <c r="N148" s="23">
        <f>IF(A146=A147,_xll.ciqfunctions.udf.CIQ(A138,"IQ_TOTAL_DEBT_REPAID",IQ_FY), _xll.ciqfunctions.udf.CIQ(A138, "IQ_TOTAL_DEBT_REPAID",IQ_LTM))</f>
        <v>-654</v>
      </c>
      <c r="O148" s="21">
        <f t="shared" si="37"/>
        <v>-7.9774628696469597E-3</v>
      </c>
      <c r="P148" s="21">
        <f t="shared" si="38"/>
        <v>3.9129455375618338</v>
      </c>
      <c r="Q148" s="25" t="s">
        <v>45</v>
      </c>
      <c r="S148" s="45"/>
      <c r="U148" s="25"/>
      <c r="W148" s="45"/>
      <c r="Y148" s="25"/>
      <c r="AA148" s="45"/>
    </row>
    <row r="149" spans="1:27">
      <c r="B149" s="24"/>
      <c r="C149" s="25" t="s">
        <v>37</v>
      </c>
      <c r="E149" s="26">
        <f>((D148/D143)^(1/5))-1</f>
        <v>6.6895835277469562E-2</v>
      </c>
      <c r="F149" s="27">
        <f>((F148/F143)^(1/5))-1</f>
        <v>2.6270233601148441E-2</v>
      </c>
      <c r="G149" s="28"/>
      <c r="H149" s="27">
        <f>((H148/H143)^(1/5))-1</f>
        <v>7.4342913747886818E-2</v>
      </c>
      <c r="I149" s="27">
        <f>((I148/I143)^(1/5))-1</f>
        <v>-2.7050105768551602E-2</v>
      </c>
      <c r="J149" s="27"/>
      <c r="K149" s="27"/>
      <c r="L149" s="26">
        <f>((L148/L143)^(1/5))-1</f>
        <v>3.5788066230550974E-3</v>
      </c>
      <c r="M149" s="26"/>
      <c r="N149" s="26"/>
      <c r="O149" s="26"/>
      <c r="P149" s="26">
        <f>((P148/P143)^(1/5))-1</f>
        <v>1.6453638967997453E-2</v>
      </c>
      <c r="Q149" s="18"/>
      <c r="R149" s="36"/>
      <c r="S149" s="45"/>
      <c r="U149" s="18"/>
      <c r="V149" s="36"/>
      <c r="W149" s="45"/>
      <c r="Y149" s="18"/>
      <c r="Z149" s="36"/>
      <c r="AA149" s="45"/>
    </row>
    <row r="150" spans="1:27">
      <c r="A150" s="29"/>
      <c r="B150" s="30"/>
      <c r="C150" s="31" t="s">
        <v>38</v>
      </c>
      <c r="D150" s="29"/>
      <c r="E150" s="32">
        <f>((D148/D138)^(1/10))-1</f>
        <v>0.10287158567093124</v>
      </c>
      <c r="F150" s="33">
        <f>((F148/F138)^(1/10))-1</f>
        <v>7.3311986382931904E-2</v>
      </c>
      <c r="G150" s="34"/>
      <c r="H150" s="33" t="e">
        <f>((H148/H138)^(1/10))-1</f>
        <v>#DIV/0!</v>
      </c>
      <c r="I150" s="33">
        <f>((I148/I138)^(1/10))-1</f>
        <v>-1.899701830720335E-2</v>
      </c>
      <c r="J150" s="33"/>
      <c r="K150" s="33"/>
      <c r="L150" s="32">
        <f>((L148/L138)^(1/10))-1</f>
        <v>7.4385001329109857E-2</v>
      </c>
      <c r="M150" s="32"/>
      <c r="N150" s="32"/>
      <c r="O150" s="32"/>
      <c r="P150" s="32">
        <f>((P148/P138)^(1/10))-1</f>
        <v>7.4166207852079946E-2</v>
      </c>
      <c r="Q150" s="40"/>
      <c r="R150" s="41"/>
      <c r="S150" s="46"/>
      <c r="U150" s="40"/>
      <c r="V150" s="41"/>
      <c r="W150" s="46"/>
      <c r="Y150" s="40"/>
      <c r="Z150" s="41"/>
      <c r="AA150" s="46"/>
    </row>
    <row r="151" spans="1:27">
      <c r="B151" s="24"/>
      <c r="C151" s="25"/>
      <c r="E151" s="26"/>
      <c r="F151" s="27"/>
      <c r="G151" s="28"/>
      <c r="H151" s="27"/>
      <c r="I151" s="27"/>
      <c r="J151" s="27"/>
      <c r="K151" s="27"/>
      <c r="L151" s="26"/>
      <c r="M151" s="17"/>
      <c r="N151" s="17"/>
      <c r="O151" s="17"/>
      <c r="P151" s="35"/>
      <c r="Q151" s="18"/>
      <c r="R151" s="36"/>
    </row>
    <row r="152" spans="1:27">
      <c r="A152" s="9" t="s">
        <v>0</v>
      </c>
      <c r="B152" s="10"/>
      <c r="C152" s="9" t="s">
        <v>1</v>
      </c>
      <c r="D152" s="9" t="s">
        <v>2</v>
      </c>
      <c r="E152" s="9" t="s">
        <v>3</v>
      </c>
      <c r="F152" s="11" t="s">
        <v>4</v>
      </c>
      <c r="G152" s="11" t="s">
        <v>5</v>
      </c>
      <c r="H152" s="9" t="s">
        <v>6</v>
      </c>
      <c r="I152" s="11" t="s">
        <v>7</v>
      </c>
      <c r="J152" s="11" t="s">
        <v>8</v>
      </c>
      <c r="K152" s="11" t="s">
        <v>9</v>
      </c>
      <c r="L152" s="11" t="s">
        <v>10</v>
      </c>
      <c r="M152" s="11" t="s">
        <v>11</v>
      </c>
      <c r="N152" s="11" t="s">
        <v>12</v>
      </c>
      <c r="O152" s="11" t="s">
        <v>13</v>
      </c>
      <c r="P152" s="11" t="s">
        <v>14</v>
      </c>
      <c r="Q152" s="37" t="s">
        <v>15</v>
      </c>
      <c r="R152" s="42">
        <f>_xll.ciqfunctions.udf.CIQ(A153,("IQ_LASTSALEPRICE"))</f>
        <v>113.77</v>
      </c>
      <c r="S152" s="44"/>
      <c r="U152" s="37" t="s">
        <v>15</v>
      </c>
      <c r="V152" s="42">
        <f>_xll.ciqfunctions.udf.CIQ(A153,("IQ_LASTSALEPRICE"))</f>
        <v>113.77</v>
      </c>
      <c r="W152" s="44"/>
      <c r="Y152" s="37" t="s">
        <v>15</v>
      </c>
      <c r="Z152" s="42">
        <f>_xll.ciqfunctions.udf.CIQ(A153,("IQ_LASTSALEPRICE"))</f>
        <v>113.77</v>
      </c>
      <c r="AA152" s="44"/>
    </row>
    <row r="153" spans="1:27">
      <c r="A153" s="12" t="str">
        <f>Analysis!B12</f>
        <v>NasdaqGS:AKAM</v>
      </c>
      <c r="B153" s="13">
        <v>1</v>
      </c>
      <c r="C153" s="14" t="s">
        <v>16</v>
      </c>
      <c r="D153" s="15">
        <f>IF(A161=A162,_xll.ciqfunctions.udf.CIQ(A153,"IQ_TOTAL_REV",IQ_FY-10)/I153,_xll.ciqfunctions.udf.CIQ(A153, "IQ_TOTAL_REV",IQ_FY-9)/I153)</f>
        <v>8.8381201475803781</v>
      </c>
      <c r="E153" s="16"/>
      <c r="F153" s="15">
        <f>IF(A161=A162,_xll.ciqfunctions.udf.CIQ(A153,"IQ_DILUT_EPS_EXCL",IQ_FY-10), _xll.ciqfunctions.udf.CIQ(A153, "IQ_DILUT_EPS_EXCL",IQ_FY-9))</f>
        <v>1.61</v>
      </c>
      <c r="G153" s="15">
        <f>IF(A161=A162,_xll.ciqfunctions.udf.CIQ(A153,"IQ_EBITDA_MARGIN",IQ_FY-10), _xll.ciqfunctions.udf.CIQ(A153, "IQ_EBITDA_MARGIN",IQ_FY-9))</f>
        <v>35.423699999999997</v>
      </c>
      <c r="H153" s="15">
        <f>IF(A161=A162,_xll.ciqfunctions.udf.CIQ(A153,"IQ_TOTAL_DIV_PAID_CF",IQ_FY-10)/-I153, _xll.ciqfunctions.udf.CIQ(A153, "IQ_TOTAL_DIV_PAID_CF",IQ_FY-9)/-I153)</f>
        <v>0</v>
      </c>
      <c r="I153" s="17">
        <f>IF(A161=A162,_xll.ciqfunctions.udf.CIQ(A153,"IQ_TOTAL_OUTSTANDING_FILING_DATE",IQ_FY-10), _xll.ciqfunctions.udf.CIQ(A153, "IQ_TOTAL_OUTSTANDING_FILING_DATE",IQ_FY-9))</f>
        <v>178.53593000000001</v>
      </c>
      <c r="J153" s="17">
        <f>IF(A161=A162,_xll.ciqfunctions.udf.CIQ(A153,"IQ_CASH_OPER",IQ_FY-10), _xll.ciqfunctions.udf.CIQ(A153, "IQ_CASH_OPER",IQ_FY-9))</f>
        <v>563.90800000000002</v>
      </c>
      <c r="K153" s="17">
        <f>IF(A161=A162,_xll.ciqfunctions.udf.CIQ(A153,"IQ_CAPEX",IQ_FY-10), _xll.ciqfunctions.udf.CIQ(A153, "IQ_CAPEX",IQ_FY-9))</f>
        <v>-187.964</v>
      </c>
      <c r="L153" s="15">
        <f t="shared" ref="L153:L163" si="40">(J153+K153)/I153</f>
        <v>2.105704997307825</v>
      </c>
      <c r="M153" s="17">
        <f>IF(A161=A162,_xll.ciqfunctions.udf.CIQ(A153,"IQ_TOTAL_DEBT_ISSUED",IQ_FY-10), _xll.ciqfunctions.udf.CIQ(A153, "IQ_TOTAL_DEBT_ISSUED",IQ_FY-9))</f>
        <v>0</v>
      </c>
      <c r="N153" s="17">
        <f>IF(A161=A162,_xll.ciqfunctions.udf.CIQ(A153,"IQ_TOTAL_DEBT_REPAID",IQ_FY-10), _xll.ciqfunctions.udf.CIQ(A153, "IQ_TOTAL_DEBT_REPAID",IQ_FY-9))</f>
        <v>0</v>
      </c>
      <c r="O153" s="15">
        <f t="shared" ref="O153:O163" si="41">(M153+N153)/I153</f>
        <v>0</v>
      </c>
      <c r="P153" s="15">
        <f t="shared" ref="P153:P163" si="42">L153+O153</f>
        <v>2.105704997307825</v>
      </c>
      <c r="W153" s="43"/>
      <c r="AA153" s="43"/>
    </row>
    <row r="154" spans="1:27">
      <c r="A154" s="18" t="str">
        <f>_xll.ciqfunctions.udf.CIQ(A153,"IQ_COMPANY_NAME")</f>
        <v>Akamai Technologies, Inc.</v>
      </c>
      <c r="B154" s="13">
        <v>2</v>
      </c>
      <c r="C154" s="14" t="s">
        <v>17</v>
      </c>
      <c r="D154" s="15">
        <f>IF(A161=A162,_xll.ciqfunctions.udf.CIQ(A153,"IQ_TOTAL_REV",IQ_FY-9)/I154, _xll.ciqfunctions.udf.CIQ(A153, "IQ_TOTAL_REV",IQ_FY-8)/I154)</f>
        <v>10.981562484709961</v>
      </c>
      <c r="E154" s="16">
        <f t="shared" ref="E154:E163" si="43">(D154-D153)/D153</f>
        <v>0.24252242573511471</v>
      </c>
      <c r="F154" s="15">
        <f>IF(A161=A162,_xll.ciqfunctions.udf.CIQ(A153,"IQ_DILUT_EPS_EXCL",IQ_FY-9), _xll.ciqfunctions.udf.CIQ(A153, "IQ_DILUT_EPS_EXCL",IQ_FY-8))</f>
        <v>1.84</v>
      </c>
      <c r="G154" s="15">
        <f>IF(A161=A162,_xll.ciqfunctions.udf.CIQ(A153,"IQ_EBITDA_MARGIN",IQ_FY-9), _xll.ciqfunctions.udf.CIQ(A153, "IQ_EBITDA_MARGIN",IQ_FY-8))</f>
        <v>34.8245</v>
      </c>
      <c r="H154" s="15">
        <f>IF(A161=A162,_xll.ciqfunctions.udf.CIQ(A153,"IQ_TOTAL_DIV_PAID_CF",IQ_FY-9)/-I154, _xll.ciqfunctions.udf.CIQ(A153, "IQ_TOTAL_DIV_PAID_CF",IQ_FY-8)/-I154)</f>
        <v>0</v>
      </c>
      <c r="I154" s="17">
        <f>IF(A161=A162,_xll.ciqfunctions.udf.CIQ(A153,"IQ_TOTAL_OUTSTANDING_FILING_DATE",IQ_FY-9), _xll.ciqfunctions.udf.CIQ(A153, "IQ_TOTAL_OUTSTANDING_FILING_DATE",IQ_FY-8))</f>
        <v>178.83375000000001</v>
      </c>
      <c r="J154" s="17">
        <f>IF(A161=A162,_xll.ciqfunctions.udf.CIQ(A153,"IQ_CASH_OPER",IQ_FY-9), _xll.ciqfunctions.udf.CIQ(A153, "IQ_CASH_OPER",IQ_FY-8))</f>
        <v>658.07</v>
      </c>
      <c r="K154" s="17">
        <f>IF(A161=A162,_xll.ciqfunctions.udf.CIQ(A153,"IQ_CAPEX",IQ_FY-9), _xll.ciqfunctions.udf.CIQ(A153, "IQ_CAPEX",IQ_FY-8))</f>
        <v>-207.15899999999999</v>
      </c>
      <c r="L154" s="15">
        <f t="shared" si="40"/>
        <v>2.5213976668274305</v>
      </c>
      <c r="M154" s="17">
        <f>IF(A161=A162,_xll.ciqfunctions.udf.CIQ(A153,"IQ_TOTAL_DEBT_ISSUED",IQ_FY-9), _xll.ciqfunctions.udf.CIQ(A153, "IQ_TOTAL_DEBT_ISSUED",IQ_FY-8))</f>
        <v>678.73500000000001</v>
      </c>
      <c r="N154" s="17">
        <f>IF(A161=A162,_xll.ciqfunctions.udf.CIQ(A153,"IQ_TOTAL_DEBT_REPAID",IQ_FY-9), _xll.ciqfunctions.udf.CIQ(A153, "IQ_TOTAL_DEBT_REPAID",IQ_FY-8))</f>
        <v>-17.861999999999998</v>
      </c>
      <c r="O154" s="15">
        <f t="shared" si="41"/>
        <v>3.6954601690117217</v>
      </c>
      <c r="P154" s="15">
        <f t="shared" si="42"/>
        <v>6.2168578358391517</v>
      </c>
      <c r="Q154" s="25" t="s">
        <v>18</v>
      </c>
      <c r="R154" s="39" t="s">
        <v>19</v>
      </c>
      <c r="S154" s="1">
        <f>R152/((AVERAGE(P158:P163))*(1+E164)^3)</f>
        <v>10.63113358765289</v>
      </c>
      <c r="U154" s="25" t="s">
        <v>48</v>
      </c>
      <c r="V154" s="39" t="s">
        <v>19</v>
      </c>
      <c r="W154" s="1">
        <f>V152/((AVERAGE(P158:P163))*(1+E164)^3)</f>
        <v>10.63113358765289</v>
      </c>
      <c r="Y154" s="25" t="s">
        <v>39</v>
      </c>
      <c r="Z154" s="39" t="s">
        <v>19</v>
      </c>
      <c r="AA154" s="1">
        <f>Z152/((AVERAGE(P158:P163))*(1+E164)^3)</f>
        <v>10.63113358765289</v>
      </c>
    </row>
    <row r="155" spans="1:27">
      <c r="B155" s="13">
        <v>3</v>
      </c>
      <c r="C155" s="14" t="s">
        <v>20</v>
      </c>
      <c r="D155" s="15" cm="1">
        <f t="array" ref="D155">_xlfn.SINGLE(IF(A161=A162,_xll.ciqfunctions.udf.CIQ(A153,"IQ_TOTAL_REV",IQ_FY-8)/I155, _xll.ciqfunctions.udf.CIQ(A153, "IQ_TOTAL_REV",IQ_FY-7)/I155))</f>
        <v>12.432694250380754</v>
      </c>
      <c r="E155" s="16">
        <f t="shared" si="43"/>
        <v>0.13214255873799904</v>
      </c>
      <c r="F155" s="15">
        <f>IF(A161=A162,_xll.ciqfunctions.udf.CIQ(A153,"IQ_DILUT_EPS_EXCL",IQ_FY-8), _xll.ciqfunctions.udf.CIQ(A153, "IQ_DILUT_EPS_EXCL",IQ_FY-7))</f>
        <v>1.78</v>
      </c>
      <c r="G155" s="15">
        <f>IF(A161=A162,_xll.ciqfunctions.udf.CIQ(A153,"IQ_EBITDA_MARGIN",IQ_FY-8), _xll.ciqfunctions.udf.CIQ(A153, "IQ_EBITDA_MARGIN",IQ_FY-7))</f>
        <v>31.512599999999999</v>
      </c>
      <c r="H155" s="15">
        <f>IF(A161=A162,_xll.ciqfunctions.udf.CIQ(A153,"IQ_TOTAL_DIV_PAID_CF",IQ_FY-8)/-I155, _xll.ciqfunctions.udf.CIQ(A153, "IQ_TOTAL_DIV_PAID_CF",IQ_FY-7)/-I155)</f>
        <v>0</v>
      </c>
      <c r="I155" s="17">
        <f>IF(A161=A162,_xll.ciqfunctions.udf.CIQ(A153,"IQ_TOTAL_OUTSTANDING_FILING_DATE",IQ_FY-8), _xll.ciqfunctions.udf.CIQ(A153, "IQ_TOTAL_OUTSTANDING_FILING_DATE",IQ_FY-7))</f>
        <v>176.74753000000001</v>
      </c>
      <c r="J155" s="17">
        <f>IF(A161=A162,_xll.ciqfunctions.udf.CIQ(A153,"IQ_CASH_OPER",IQ_FY-8), _xll.ciqfunctions.udf.CIQ(A153, "IQ_CASH_OPER",IQ_FY-7))</f>
        <v>793.452</v>
      </c>
      <c r="K155" s="17">
        <f>IF(A161=A162,_xll.ciqfunctions.udf.CIQ(A153,"IQ_CAPEX",IQ_FY-8), _xll.ciqfunctions.udf.CIQ(A153, "IQ_CAPEX",IQ_FY-7))</f>
        <v>-311.67599999999999</v>
      </c>
      <c r="L155" s="15">
        <f t="shared" si="40"/>
        <v>2.7257863235769122</v>
      </c>
      <c r="M155" s="17">
        <f>IF(A161=A162,_xll.ciqfunctions.udf.CIQ(A153,"IQ_TOTAL_DEBT_ISSUED",IQ_FY-8), _xll.ciqfunctions.udf.CIQ(A153, "IQ_TOTAL_DEBT_ISSUED",IQ_FY-7))</f>
        <v>0</v>
      </c>
      <c r="N155" s="17">
        <f>IF(A161=A162,_xll.ciqfunctions.udf.CIQ(A153,"IQ_TOTAL_DEBT_REPAID",IQ_FY-8), _xll.ciqfunctions.udf.CIQ(A153, "IQ_TOTAL_DEBT_REPAID",IQ_FY-7))</f>
        <v>0</v>
      </c>
      <c r="O155" s="15">
        <f t="shared" si="41"/>
        <v>0</v>
      </c>
      <c r="P155" s="15">
        <f t="shared" si="42"/>
        <v>2.7257863235769122</v>
      </c>
      <c r="Q155" s="25" t="s">
        <v>21</v>
      </c>
      <c r="R155" s="38" t="s">
        <v>49</v>
      </c>
      <c r="S155" s="2">
        <f>(R152*I163)/1000</f>
        <v>17.160107718899997</v>
      </c>
      <c r="U155" s="25" t="s">
        <v>59</v>
      </c>
      <c r="V155" s="38" t="s">
        <v>49</v>
      </c>
      <c r="W155" s="2">
        <f>(V152*I163)/1000</f>
        <v>17.160107718899997</v>
      </c>
      <c r="Y155" s="25" t="s">
        <v>46</v>
      </c>
      <c r="Z155" s="38" t="s">
        <v>49</v>
      </c>
      <c r="AA155" s="2">
        <f>(Z152*I163)/1000</f>
        <v>17.160107718899997</v>
      </c>
    </row>
    <row r="156" spans="1:27">
      <c r="A156" s="18"/>
      <c r="B156" s="13">
        <v>4</v>
      </c>
      <c r="C156" s="14" t="s">
        <v>22</v>
      </c>
      <c r="D156" s="15" cm="1">
        <f t="array" ref="D156">_xlfn.SINGLE(IF(A161=A162,_xll.ciqfunctions.udf.CIQ(A153,"IQ_TOTAL_REV",IQ_FY-7)/I156, _xll.ciqfunctions.udf.CIQ(A153, "IQ_TOTAL_REV",IQ_FY-6)/I156))</f>
        <v>13.557223438734546</v>
      </c>
      <c r="E156" s="16">
        <f t="shared" si="43"/>
        <v>9.0449356004982828E-2</v>
      </c>
      <c r="F156" s="15">
        <f>IF(A161=A162,_xll.ciqfunctions.udf.CIQ(A153,"IQ_DILUT_EPS_EXCL",IQ_FY-7), _xll.ciqfunctions.udf.CIQ(A153, "IQ_DILUT_EPS_EXCL",IQ_FY-6))</f>
        <v>1.82</v>
      </c>
      <c r="G156" s="15">
        <f>IF(A161=A162,_xll.ciqfunctions.udf.CIQ(A153,"IQ_EBITDA_MARGIN",IQ_FY-7), _xll.ciqfunctions.udf.CIQ(A153, "IQ_EBITDA_MARGIN",IQ_FY-6))</f>
        <v>30.830500000000001</v>
      </c>
      <c r="H156" s="15">
        <f>IF(A161=A162,_xll.ciqfunctions.udf.CIQ(A153,"IQ_TOTAL_DIV_PAID_CF",IQ_FY-7)/-I156, _xll.ciqfunctions.udf.CIQ(A153, "IQ_TOTAL_DIV_PAID_CF",IQ_FY-6)/-I156)</f>
        <v>0</v>
      </c>
      <c r="I156" s="17">
        <f>IF(A161=A162,_xll.ciqfunctions.udf.CIQ(A153,"IQ_TOTAL_OUTSTANDING_FILING_DATE",IQ_FY-7), _xll.ciqfunctions.udf.CIQ(A153, "IQ_TOTAL_OUTSTANDING_FILING_DATE",IQ_FY-6))</f>
        <v>173.19092000000001</v>
      </c>
      <c r="J156" s="17">
        <f>IF(A161=A162,_xll.ciqfunctions.udf.CIQ(A153,"IQ_CASH_OPER",IQ_FY-7), _xll.ciqfunctions.udf.CIQ(A153, "IQ_CASH_OPER",IQ_FY-6))</f>
        <v>871.81200000000001</v>
      </c>
      <c r="K156" s="17">
        <f>IF(A161=A162,_xll.ciqfunctions.udf.CIQ(A153,"IQ_CAPEX",IQ_FY-7), _xll.ciqfunctions.udf.CIQ(A153, "IQ_CAPEX",IQ_FY-6))</f>
        <v>-180.94900000000001</v>
      </c>
      <c r="L156" s="15">
        <f t="shared" si="40"/>
        <v>3.9890255216612975</v>
      </c>
      <c r="M156" s="17">
        <f>IF(A161=A162,_xll.ciqfunctions.udf.CIQ(A153,"IQ_TOTAL_DEBT_ISSUED",IQ_FY-7), _xll.ciqfunctions.udf.CIQ(A153, "IQ_TOTAL_DEBT_ISSUED",IQ_FY-6))</f>
        <v>0</v>
      </c>
      <c r="N156" s="17">
        <f>IF(A161=A162,_xll.ciqfunctions.udf.CIQ(A153,"IQ_TOTAL_DEBT_REPAID",IQ_FY-7), _xll.ciqfunctions.udf.CIQ(A153, "IQ_TOTAL_DEBT_REPAID",IQ_FY-6))</f>
        <v>0</v>
      </c>
      <c r="O156" s="15">
        <f t="shared" si="41"/>
        <v>0</v>
      </c>
      <c r="P156" s="15">
        <f t="shared" si="42"/>
        <v>3.9890255216612975</v>
      </c>
      <c r="Q156" s="25" t="s">
        <v>23</v>
      </c>
      <c r="R156" s="38" t="s">
        <v>24</v>
      </c>
      <c r="S156" s="1" t="e">
        <f>R152/(AVERAGE(H158:H163)*(1+H164)/(0.5-H164))</f>
        <v>#DIV/0!</v>
      </c>
      <c r="U156" s="25" t="s">
        <v>40</v>
      </c>
      <c r="V156" s="38" t="s">
        <v>24</v>
      </c>
      <c r="W156" s="1" t="e">
        <f>V152/(AVERAGE(H158:H163)*(1+H164)/(0.5-H164))</f>
        <v>#DIV/0!</v>
      </c>
      <c r="Y156" s="25" t="s">
        <v>47</v>
      </c>
      <c r="Z156" s="38" t="s">
        <v>24</v>
      </c>
      <c r="AA156" s="1" t="e">
        <f>Z152/(AVERAGE(H158:H163)*(1+H164)/(0.5-H164))</f>
        <v>#DIV/0!</v>
      </c>
    </row>
    <row r="157" spans="1:27">
      <c r="B157" s="13">
        <v>5</v>
      </c>
      <c r="C157" s="14" t="s">
        <v>25</v>
      </c>
      <c r="D157" s="15" cm="1">
        <f t="array" ref="D157">_xlfn.SINGLE(IF(A161=A162,_xll.ciqfunctions.udf.CIQ(A153,"IQ_TOTAL_REV",IQ_FY-6)/I157, _xll.ciqfunctions.udf.CIQ(A153, "IQ_TOTAL_REV",IQ_FY-5)/I157))</f>
        <v>14.638662145075513</v>
      </c>
      <c r="E157" s="16">
        <f t="shared" si="43"/>
        <v>7.976845046686859E-2</v>
      </c>
      <c r="F157" s="15">
        <f>IF(A161=A162,_xll.ciqfunctions.udf.CIQ(A153,"IQ_DILUT_EPS_EXCL",IQ_FY-6), _xll.ciqfunctions.udf.CIQ(A153, "IQ_DILUT_EPS_EXCL",IQ_FY-5))</f>
        <v>1.29</v>
      </c>
      <c r="G157" s="15">
        <f>IF(A161=A162,_xll.ciqfunctions.udf.CIQ(A153,"IQ_EBITDA_MARGIN",IQ_FY-6), _xll.ciqfunctions.udf.CIQ(A153, "IQ_EBITDA_MARGIN",IQ_FY-5))</f>
        <v>26.506799999999998</v>
      </c>
      <c r="H157" s="15">
        <f>IF(A161=A162,_xll.ciqfunctions.udf.CIQ(A153,"IQ_TOTAL_DIV_PAID_CF",IQ_FY-6)/-I157, _xll.ciqfunctions.udf.CIQ(A153, "IQ_TOTAL_DIV_PAID_CF",IQ_FY-5)/-I157)</f>
        <v>0</v>
      </c>
      <c r="I157" s="17">
        <f>IF(A161=A162,_xll.ciqfunctions.udf.CIQ(A153,"IQ_TOTAL_OUTSTANDING_FILING_DATE",IQ_FY-6), _xll.ciqfunctions.udf.CIQ(A153, "IQ_TOTAL_OUTSTANDING_FILING_DATE",IQ_FY-5))</f>
        <v>170.03158999999999</v>
      </c>
      <c r="J157" s="17">
        <f>IF(A161=A162,_xll.ciqfunctions.udf.CIQ(A153,"IQ_CASH_OPER",IQ_FY-6), _xll.ciqfunctions.udf.CIQ(A153, "IQ_CASH_OPER",IQ_FY-5))</f>
        <v>800.98299999999995</v>
      </c>
      <c r="K157" s="17">
        <f>IF(A161=A162,_xll.ciqfunctions.udf.CIQ(A153,"IQ_CAPEX",IQ_FY-6), _xll.ciqfunctions.udf.CIQ(A153, "IQ_CAPEX",IQ_FY-5))</f>
        <v>-254.14599999999999</v>
      </c>
      <c r="L157" s="15">
        <f t="shared" si="40"/>
        <v>3.216090609986062</v>
      </c>
      <c r="M157" s="17">
        <f>IF(A161=A162,_xll.ciqfunctions.udf.CIQ(A153,"IQ_TOTAL_DEBT_ISSUED",IQ_FY-6), _xll.ciqfunctions.udf.CIQ(A153, "IQ_TOTAL_DEBT_ISSUED",IQ_FY-5))</f>
        <v>0</v>
      </c>
      <c r="N157" s="17">
        <f>IF(A161=A162,_xll.ciqfunctions.udf.CIQ(A153,"IQ_TOTAL_DEBT_REPAID",IQ_FY-6), _xll.ciqfunctions.udf.CIQ(A153, "IQ_TOTAL_DEBT_REPAID",IQ_FY-5))</f>
        <v>0</v>
      </c>
      <c r="O157" s="15">
        <f t="shared" si="41"/>
        <v>0</v>
      </c>
      <c r="P157" s="15">
        <f t="shared" si="42"/>
        <v>3.216090609986062</v>
      </c>
      <c r="Q157" s="18"/>
      <c r="R157" s="38" t="s">
        <v>50</v>
      </c>
      <c r="S157" s="3">
        <f>I164</f>
        <v>-1.5654031566113447E-2</v>
      </c>
      <c r="U157" s="18"/>
      <c r="V157" s="38" t="s">
        <v>50</v>
      </c>
      <c r="W157" s="3">
        <f>I164</f>
        <v>-1.5654031566113447E-2</v>
      </c>
      <c r="Y157" s="18"/>
      <c r="Z157" s="38" t="s">
        <v>50</v>
      </c>
      <c r="AA157" s="3">
        <f>I164</f>
        <v>-1.5654031566113447E-2</v>
      </c>
    </row>
    <row r="158" spans="1:27">
      <c r="B158" s="13">
        <v>6</v>
      </c>
      <c r="C158" s="14" t="s">
        <v>26</v>
      </c>
      <c r="D158" s="15" cm="1">
        <f t="array" ref="D158">_xlfn.SINGLE(IF(A161=A162,_xll.ciqfunctions.udf.CIQ(A153,"IQ_TOTAL_REV",IQ_FY-5)/I158, _xll.ciqfunctions.udf.CIQ(A153, "IQ_TOTAL_REV",IQ_FY-4)/I158))</f>
        <v>16.631532511296623</v>
      </c>
      <c r="E158" s="16">
        <f t="shared" si="43"/>
        <v>0.13613746573770866</v>
      </c>
      <c r="F158" s="15">
        <f>IF(A161=A162,_xll.ciqfunctions.udf.CIQ(A153,"IQ_DILUT_EPS_EXCL",IQ_FY-5), _xll.ciqfunctions.udf.CIQ(A153, "IQ_DILUT_EPS_EXCL",IQ_FY-4))</f>
        <v>1.76</v>
      </c>
      <c r="G158" s="15">
        <f>IF(A161=A162,_xll.ciqfunctions.udf.CIQ(A153,"IQ_EBITDA_MARGIN",IQ_FY-5), _xll.ciqfunctions.udf.CIQ(A153, "IQ_EBITDA_MARGIN",IQ_FY-4))</f>
        <v>25.907299999999999</v>
      </c>
      <c r="H158" s="15">
        <f>IF(A161=A162,_xll.ciqfunctions.udf.CIQ(A153,"IQ_TOTAL_DIV_PAID_CF",IQ_FY-5)/-I158, _xll.ciqfunctions.udf.CIQ(A153, "IQ_TOTAL_DIV_PAID_CF",IQ_FY-4)/-I158)</f>
        <v>0</v>
      </c>
      <c r="I158" s="17">
        <f>IF(A161=A162,_xll.ciqfunctions.udf.CIQ(A153,"IQ_TOTAL_OUTSTANDING_FILING_DATE",IQ_FY-5), _xll.ciqfunctions.udf.CIQ(A153, "IQ_TOTAL_OUTSTANDING_FILING_DATE",IQ_FY-4))</f>
        <v>163.21250000000001</v>
      </c>
      <c r="J158" s="17">
        <f>IF(A161=A162,_xll.ciqfunctions.udf.CIQ(A153,"IQ_CASH_OPER",IQ_FY-5), _xll.ciqfunctions.udf.CIQ(A153, "IQ_CASH_OPER",IQ_FY-4))</f>
        <v>1008.327</v>
      </c>
      <c r="K158" s="17">
        <f>IF(A161=A162,_xll.ciqfunctions.udf.CIQ(A153,"IQ_CAPEX",IQ_FY-5), _xll.ciqfunctions.udf.CIQ(A153, "IQ_CAPEX",IQ_FY-4))</f>
        <v>-217.60900000000001</v>
      </c>
      <c r="L158" s="15">
        <f t="shared" si="40"/>
        <v>4.8447147124147962</v>
      </c>
      <c r="M158" s="17">
        <f>IF(A161=A162,_xll.ciqfunctions.udf.CIQ(A153,"IQ_TOTAL_DEBT_ISSUED",IQ_FY-5), _xll.ciqfunctions.udf.CIQ(A153, "IQ_TOTAL_DEBT_ISSUED",IQ_FY-4))</f>
        <v>1132.1849999999999</v>
      </c>
      <c r="N158" s="17">
        <f>IF(A161=A162,_xll.ciqfunctions.udf.CIQ(A153,"IQ_TOTAL_DEBT_REPAID",IQ_FY-5), _xll.ciqfunctions.udf.CIQ(A153, "IQ_TOTAL_DEBT_REPAID",IQ_FY-4))</f>
        <v>0</v>
      </c>
      <c r="O158" s="15">
        <f t="shared" si="41"/>
        <v>6.9368767710806463</v>
      </c>
      <c r="P158" s="15">
        <f t="shared" si="42"/>
        <v>11.781591483495443</v>
      </c>
      <c r="Q158" s="25" t="s">
        <v>27</v>
      </c>
      <c r="R158" s="38" t="s">
        <v>51</v>
      </c>
      <c r="S158" s="4">
        <f>AVERAGE(F158:F163)/AVERAGE(D158:D163)</f>
        <v>0.14984777805117266</v>
      </c>
      <c r="U158" s="25" t="s">
        <v>58</v>
      </c>
      <c r="V158" s="38" t="s">
        <v>51</v>
      </c>
      <c r="W158" s="4">
        <f>AVERAGE(F158:F163)/AVERAGE(D158:D163)</f>
        <v>0.14984777805117266</v>
      </c>
      <c r="Y158" s="25" t="s">
        <v>56</v>
      </c>
      <c r="Z158" s="38" t="s">
        <v>51</v>
      </c>
      <c r="AA158" s="4">
        <f>AVERAGE(F158:F163)/AVERAGE(D158:D163)</f>
        <v>0.14984777805117266</v>
      </c>
    </row>
    <row r="159" spans="1:27">
      <c r="A159" s="18"/>
      <c r="B159" s="13">
        <v>7</v>
      </c>
      <c r="C159" s="14" t="s">
        <v>28</v>
      </c>
      <c r="D159" s="15" cm="1">
        <f t="array" ref="D159">_xlfn.SINGLE(IF(A161=A162,_xll.ciqfunctions.udf.CIQ(A153,"IQ_TOTAL_REV",IQ_FY-4)/I159, _xll.ciqfunctions.udf.CIQ(A153, "IQ_TOTAL_REV",IQ_FY-3)/I159))</f>
        <v>17.874868746875038</v>
      </c>
      <c r="E159" s="16">
        <f t="shared" si="43"/>
        <v>7.475776719517005E-2</v>
      </c>
      <c r="F159" s="15">
        <f>IF(A161=A162,_xll.ciqfunctions.udf.CIQ(A153,"IQ_DILUT_EPS_EXCL",IQ_FY-4), _xll.ciqfunctions.udf.CIQ(A153, "IQ_DILUT_EPS_EXCL",IQ_FY-3))</f>
        <v>2.9</v>
      </c>
      <c r="G159" s="15">
        <f>IF(A161=A162,_xll.ciqfunctions.udf.CIQ(A153,"IQ_EBITDA_MARGIN",IQ_FY-4), _xll.ciqfunctions.udf.CIQ(A153, "IQ_EBITDA_MARGIN",IQ_FY-3))</f>
        <v>29.561699999999998</v>
      </c>
      <c r="H159" s="15">
        <f>IF(A161=A162,_xll.ciqfunctions.udf.CIQ(A153,"IQ_TOTAL_DIV_PAID_CF",IQ_FY-4)/-I159, _xll.ciqfunctions.udf.CIQ(A153, "IQ_TOTAL_DIV_PAID_CF",IQ_FY-3)/-I159)</f>
        <v>0</v>
      </c>
      <c r="I159" s="17">
        <f>IF(A161=A162,_xll.ciqfunctions.udf.CIQ(A153,"IQ_TOTAL_OUTSTANDING_FILING_DATE",IQ_FY-4), _xll.ciqfunctions.udf.CIQ(A153, "IQ_TOTAL_OUTSTANDING_FILING_DATE",IQ_FY-3))</f>
        <v>161.88185999999999</v>
      </c>
      <c r="J159" s="17">
        <f>IF(A161=A162,_xll.ciqfunctions.udf.CIQ(A153,"IQ_CASH_OPER",IQ_FY-4), _xll.ciqfunctions.udf.CIQ(A153, "IQ_CASH_OPER",IQ_FY-3))</f>
        <v>1058.3040000000001</v>
      </c>
      <c r="K159" s="17">
        <f>IF(A161=A162,_xll.ciqfunctions.udf.CIQ(A153,"IQ_CAPEX",IQ_FY-4), _xll.ciqfunctions.udf.CIQ(A153, "IQ_CAPEX",IQ_FY-3))</f>
        <v>-359.66699999999997</v>
      </c>
      <c r="L159" s="15">
        <f t="shared" si="40"/>
        <v>4.3157213538317398</v>
      </c>
      <c r="M159" s="17">
        <f>IF(A161=A162,_xll.ciqfunctions.udf.CIQ(A153,"IQ_TOTAL_DEBT_ISSUED",IQ_FY-4), _xll.ciqfunctions.udf.CIQ(A153, "IQ_TOTAL_DEBT_ISSUED",IQ_FY-3))</f>
        <v>1135.6289999999999</v>
      </c>
      <c r="N159" s="17">
        <f>IF(A161=A162,_xll.ciqfunctions.udf.CIQ(A153,"IQ_TOTAL_DEBT_REPAID",IQ_FY-4), _xll.ciqfunctions.udf.CIQ(A153, "IQ_TOTAL_DEBT_REPAID",IQ_FY-3))</f>
        <v>-690</v>
      </c>
      <c r="O159" s="15">
        <f t="shared" si="41"/>
        <v>2.7528038039592575</v>
      </c>
      <c r="P159" s="15">
        <f t="shared" si="42"/>
        <v>7.0685251577909973</v>
      </c>
      <c r="Q159" s="18"/>
      <c r="R159" s="38" t="s">
        <v>29</v>
      </c>
      <c r="S159" s="4">
        <f>(AVERAGE(P158:P163)/_xlfn.STDEV.P(P158:P163))/(IF(A161=A162,(_xlfn.SINGLE(_xll.ciqfunctions.udf.CIQ(A153,"IQ_total_assets",IQ_FY)) - _xlfn.SINGLE(_xll.ciqfunctions.udf.CIQ(A153,"iq_gw_intan", IQ_FY)))/I163, (_xlfn.SINGLE(_xll.ciqfunctions.udf.CIQ(A153, "IQ_total_assets",IQ_LTM))-_xlfn.SINGLE(_xll.ciqfunctions.udf.CIQ(A153,"iq_gw_intan",IQ_LTM)))/I163))</f>
        <v>5.8309757082768185E-2</v>
      </c>
      <c r="U159" s="18"/>
      <c r="V159" s="38" t="s">
        <v>29</v>
      </c>
      <c r="W159" s="4">
        <f>(AVERAGE(P158:P163)/_xlfn.STDEV.P(P158:P163))/(IF(A161=A162,(_xlfn.SINGLE(_xll.ciqfunctions.udf.CIQ(A153,"IQ_total_assets",IQ_FY)) - _xlfn.SINGLE(_xll.ciqfunctions.udf.CIQ(A153,"iq_gw_intan", IQ_FY)))/I163, (_xlfn.SINGLE(_xll.ciqfunctions.udf.CIQ(A153, "IQ_total_assets",IQ_LTM))-_xlfn.SINGLE(_xll.ciqfunctions.udf.CIQ(A153,"iq_gw_intan",IQ_LTM)))/I163))</f>
        <v>5.8309757082768185E-2</v>
      </c>
      <c r="Y159" s="18"/>
      <c r="Z159" s="38" t="s">
        <v>29</v>
      </c>
      <c r="AA159" s="4">
        <f>(AVERAGE(P158:P163)/_xlfn.STDEV.P(P158:P163))/(IF(A161=A162,(_xlfn.SINGLE(_xll.ciqfunctions.udf.CIQ(A153,"IQ_total_assets",IQ_FY)) - _xlfn.SINGLE(_xll.ciqfunctions.udf.CIQ(A153,"iq_gw_intan", IQ_FY)))/I163, (_xlfn.SINGLE(_xll.ciqfunctions.udf.CIQ(A153, "IQ_total_assets",IQ_LTM))-_xlfn.SINGLE(_xll.ciqfunctions.udf.CIQ(A153,"iq_gw_intan",IQ_LTM)))/I163))</f>
        <v>5.8309757082768185E-2</v>
      </c>
    </row>
    <row r="160" spans="1:27">
      <c r="A160" s="18"/>
      <c r="B160" s="13">
        <v>8</v>
      </c>
      <c r="C160" s="14" t="s">
        <v>30</v>
      </c>
      <c r="D160" s="15" cm="1">
        <f t="array" ref="D160">_xlfn.SINGLE(IF(A161=A162,_xll.ciqfunctions.udf.CIQ(A153,"IQ_TOTAL_REV",IQ_FY-3)/I160, _xll.ciqfunctions.udf.CIQ(A153, "IQ_TOTAL_REV",IQ_FY-2)/I160))</f>
        <v>19.594067575062827</v>
      </c>
      <c r="E160" s="16">
        <f t="shared" si="43"/>
        <v>9.6179661654206369E-2</v>
      </c>
      <c r="F160" s="15">
        <f>IF(A161=A162,_xll.ciqfunctions.udf.CIQ(A153,"IQ_DILUT_EPS_EXCL",IQ_FY-3), _xll.ciqfunctions.udf.CIQ(A153, "IQ_DILUT_EPS_EXCL",IQ_FY-2))</f>
        <v>3.37</v>
      </c>
      <c r="G160" s="15">
        <f>IF(A161=A162,_xll.ciqfunctions.udf.CIQ(A153,"IQ_EBITDA_MARGIN",IQ_FY-3), _xll.ciqfunctions.udf.CIQ(A153, "IQ_EBITDA_MARGIN",IQ_FY-2))</f>
        <v>32.569899999999997</v>
      </c>
      <c r="H160" s="15">
        <f>IF(A161=A162,_xll.ciqfunctions.udf.CIQ(A153,"IQ_TOTAL_DIV_PAID_CF",IQ_FY-3)/-I160, _xll.ciqfunctions.udf.CIQ(A153, "IQ_TOTAL_DIV_PAID_CF",IQ_FY-2)/-I160)</f>
        <v>0</v>
      </c>
      <c r="I160" s="17">
        <f>IF(A161=A162,_xll.ciqfunctions.udf.CIQ(A153,"IQ_TOTAL_OUTSTANDING_FILING_DATE",IQ_FY-3), _xll.ciqfunctions.udf.CIQ(A153, "IQ_TOTAL_OUTSTANDING_FILING_DATE",IQ_FY-2))</f>
        <v>163.22027</v>
      </c>
      <c r="J160" s="17">
        <f>IF(A161=A162,_xll.ciqfunctions.udf.CIQ(A153,"IQ_CASH_OPER",IQ_FY-3), _xll.ciqfunctions.udf.CIQ(A153, "IQ_CASH_OPER",IQ_FY-2))</f>
        <v>1215</v>
      </c>
      <c r="K160" s="17">
        <f>IF(A161=A162,_xll.ciqfunctions.udf.CIQ(A153,"IQ_CAPEX",IQ_FY-3), _xll.ciqfunctions.udf.CIQ(A153, "IQ_CAPEX",IQ_FY-2))</f>
        <v>-550.68899999999996</v>
      </c>
      <c r="L160" s="15">
        <f t="shared" si="40"/>
        <v>4.0700275768444696</v>
      </c>
      <c r="M160" s="17">
        <f>IF(A161=A162,_xll.ciqfunctions.udf.CIQ(A153,"IQ_TOTAL_DEBT_ISSUED",IQ_FY-3), _xll.ciqfunctions.udf.CIQ(A153, "IQ_TOTAL_DEBT_ISSUED",IQ_FY-2))</f>
        <v>0</v>
      </c>
      <c r="N160" s="17">
        <f>IF(A161=A162,_xll.ciqfunctions.udf.CIQ(A153,"IQ_TOTAL_DEBT_REPAID",IQ_FY-3), _xll.ciqfunctions.udf.CIQ(A153, "IQ_TOTAL_DEBT_REPAID",IQ_FY-2))</f>
        <v>0</v>
      </c>
      <c r="O160" s="15">
        <f t="shared" si="41"/>
        <v>0</v>
      </c>
      <c r="P160" s="15">
        <f t="shared" si="42"/>
        <v>4.0700275768444696</v>
      </c>
      <c r="Q160" s="18"/>
      <c r="R160" s="39" t="s">
        <v>31</v>
      </c>
      <c r="S160" s="5">
        <f>IF(NOT(D153&gt;0),FALSE,SLOPE(G153:G163,B153:B163))</f>
        <v>-0.25766272727272715</v>
      </c>
      <c r="U160" s="18"/>
      <c r="V160" s="39" t="s">
        <v>31</v>
      </c>
      <c r="W160" s="5">
        <f>IF(NOT(D153&gt;0),FALSE,SLOPE(G153:G163,B153:B163))</f>
        <v>-0.25766272727272715</v>
      </c>
      <c r="Y160" s="18"/>
      <c r="Z160" s="39" t="s">
        <v>31</v>
      </c>
      <c r="AA160" s="5">
        <f>IF(NOT(L153&gt;0),FALSE,SLOPE(O153:O163,J153:J163))</f>
        <v>2.1956067769458168E-3</v>
      </c>
    </row>
    <row r="161" spans="1:27">
      <c r="A161" s="19">
        <f>_xll.ciqfunctions.udf.CIQ(A153,"IQ_TOTAL_REV",IQ_FY)</f>
        <v>3616.654</v>
      </c>
      <c r="B161" s="13">
        <v>9</v>
      </c>
      <c r="C161" s="14" t="s">
        <v>32</v>
      </c>
      <c r="D161" s="15" cm="1">
        <f t="array" ref="D161">_xlfn.SINGLE(IF(A161=A162,_xll.ciqfunctions.udf.CIQ(A153,"IQ_TOTAL_REV",IQ_FY-2)/I161, _xll.ciqfunctions.udf.CIQ(A153, "IQ_TOTAL_REV",IQ_FY-1)/I161))</f>
        <v>21.585875253029901</v>
      </c>
      <c r="E161" s="16">
        <f t="shared" si="43"/>
        <v>0.1016536086923589</v>
      </c>
      <c r="F161" s="15">
        <f>IF(A161=A162,_xll.ciqfunctions.udf.CIQ(A153,"IQ_DILUT_EPS_EXCL",IQ_FY-2), _xll.ciqfunctions.udf.CIQ(A153, "IQ_DILUT_EPS_EXCL",IQ_FY-1))</f>
        <v>3.93</v>
      </c>
      <c r="G161" s="15">
        <f>IF(A161=A162,_xll.ciqfunctions.udf.CIQ(A153,"IQ_EBITDA_MARGIN",IQ_FY-2), _xll.ciqfunctions.udf.CIQ(A153, "IQ_EBITDA_MARGIN",IQ_FY-1))</f>
        <v>34.486800000000002</v>
      </c>
      <c r="H161" s="15">
        <f>IF(A161=A162,_xll.ciqfunctions.udf.CIQ(A153,"IQ_TOTAL_DIV_PAID_CF",IQ_FY-2)/-I161, _xll.ciqfunctions.udf.CIQ(A153, "IQ_TOTAL_DIV_PAID_CF",IQ_FY-1)/-I161)</f>
        <v>0</v>
      </c>
      <c r="I161" s="17">
        <f>IF(A161=A162,_xll.ciqfunctions.udf.CIQ(A153,"IQ_TOTAL_OUTSTANDING_FILING_DATE",IQ_FY-2), _xll.ciqfunctions.udf.CIQ(A153, "IQ_TOTAL_OUTSTANDING_FILING_DATE",IQ_FY-1))</f>
        <v>160.34666000000001</v>
      </c>
      <c r="J161" s="17">
        <f>IF(A161=A162,_xll.ciqfunctions.udf.CIQ(A153,"IQ_CASH_OPER",IQ_FY-2), _xll.ciqfunctions.udf.CIQ(A153, "IQ_CASH_OPER",IQ_FY-1))</f>
        <v>1404.5630000000001</v>
      </c>
      <c r="K161" s="17">
        <f>IF(A161=A162,_xll.ciqfunctions.udf.CIQ(A153,"IQ_CAPEX",IQ_FY-2), _xll.ciqfunctions.udf.CIQ(A153, "IQ_CAPEX",IQ_FY-1))</f>
        <v>-328.96899999999999</v>
      </c>
      <c r="L161" s="15">
        <f t="shared" si="40"/>
        <v>6.7079289334745109</v>
      </c>
      <c r="M161" s="17">
        <f>IF(A161=A162,_xll.ciqfunctions.udf.CIQ(A153,"IQ_TOTAL_DEBT_ISSUED",IQ_FY-2), _xll.ciqfunctions.udf.CIQ(A153, "IQ_TOTAL_DEBT_ISSUED",IQ_FY-1))</f>
        <v>0</v>
      </c>
      <c r="N161" s="17">
        <f>IF(A161=A162,_xll.ciqfunctions.udf.CIQ(A153,"IQ_TOTAL_DEBT_REPAID",IQ_FY-2), _xll.ciqfunctions.udf.CIQ(A153, "IQ_TOTAL_DEBT_REPAID",IQ_FY-1))</f>
        <v>0</v>
      </c>
      <c r="O161" s="15">
        <f t="shared" si="41"/>
        <v>0</v>
      </c>
      <c r="P161" s="15">
        <f t="shared" si="42"/>
        <v>6.7079289334745109</v>
      </c>
      <c r="Q161" s="25" t="s">
        <v>33</v>
      </c>
      <c r="R161" s="38" t="s">
        <v>52</v>
      </c>
      <c r="S161" s="4">
        <f>(AVERAGE(O158:O163)/AVERAGE(P158:P163))</f>
        <v>0.36755290163827692</v>
      </c>
      <c r="U161" s="25" t="s">
        <v>54</v>
      </c>
      <c r="V161" s="38" t="s">
        <v>52</v>
      </c>
      <c r="W161" s="4">
        <f>(AVERAGE(O158:O163)/AVERAGE(P158:P163))</f>
        <v>0.36755290163827692</v>
      </c>
      <c r="Y161" s="25" t="s">
        <v>60</v>
      </c>
      <c r="Z161" s="38" t="s">
        <v>52</v>
      </c>
      <c r="AA161" s="4">
        <f>(AVERAGE(O158:O163)/AVERAGE(P158:P163))</f>
        <v>0.36755290163827692</v>
      </c>
    </row>
    <row r="162" spans="1:27">
      <c r="A162" s="19">
        <f>_xll.ciqfunctions.udf.CIQ(A153,"IQ_TOTAL_REV",IQ_LTM)</f>
        <v>3744.6819999999998</v>
      </c>
      <c r="B162" s="13">
        <v>10</v>
      </c>
      <c r="C162" s="14" t="s">
        <v>34</v>
      </c>
      <c r="D162" s="15" cm="1">
        <f t="array" ref="D162">_xlfn.SINGLE(IF(A161=A162,_xll.ciqfunctions.udf.CIQ(A153,"IQ_TOTAL_REV",IQ_FY-1)/I162, _xll.ciqfunctions.udf.CIQ(A153, "IQ_TOTAL_REV",IQ_FY)/I162))</f>
        <v>23.142765747656753</v>
      </c>
      <c r="E162" s="16">
        <f t="shared" si="43"/>
        <v>7.2125428150443871E-2</v>
      </c>
      <c r="F162" s="15">
        <f>IF(A161=A162,_xll.ciqfunctions.udf.CIQ(A153,"IQ_DILUT_EPS_EXCL",IQ_FY-1), _xll.ciqfunctions.udf.CIQ(A153, "IQ_DILUT_EPS_EXCL",IQ_FY))</f>
        <v>3.26</v>
      </c>
      <c r="G162" s="15">
        <f>IF(A161=A162,_xll.ciqfunctions.udf.CIQ(A153,"IQ_EBITDA_MARGIN",IQ_FY-1), _xll.ciqfunctions.udf.CIQ(A153, "IQ_EBITDA_MARGIN",IQ_FY))</f>
        <v>31.682700000000001</v>
      </c>
      <c r="H162" s="15">
        <f>IF(A161=A162,_xll.ciqfunctions.udf.CIQ(A153,"IQ_TOTAL_DIV_PAID_CF",IQ_FY-1)/-I162, _xll.ciqfunctions.udf.CIQ(A153, "IQ_TOTAL_DIV_PAID_CF",IQ_FY)/-I162)</f>
        <v>0</v>
      </c>
      <c r="I162" s="17">
        <f>IF(A161=A162,_xll.ciqfunctions.udf.CIQ(A153,"IQ_TOTAL_OUTSTANDING_FILING_DATE",IQ_FY-1), _xll.ciqfunctions.udf.CIQ(A153, "IQ_TOTAL_OUTSTANDING_FILING_DATE",IQ_FY))</f>
        <v>156.27579</v>
      </c>
      <c r="J162" s="17">
        <f>IF(A161=A162,_xll.ciqfunctions.udf.CIQ(A153,"IQ_CASH_OPER",IQ_FY-1), _xll.ciqfunctions.udf.CIQ(A153, "IQ_CASH_OPER",IQ_FY))</f>
        <v>1274.6759999999999</v>
      </c>
      <c r="K162" s="17">
        <f>IF(A161=A162,_xll.ciqfunctions.udf.CIQ(A153,"IQ_CAPEX",IQ_FY-1), _xll.ciqfunctions.udf.CIQ(A153, "IQ_CAPEX",IQ_FY))</f>
        <v>-241.26599999999999</v>
      </c>
      <c r="L162" s="15">
        <f t="shared" si="40"/>
        <v>6.6127325288197225</v>
      </c>
      <c r="M162" s="17">
        <f>IF(A161=A162,_xll.ciqfunctions.udf.CIQ(A153,"IQ_TOTAL_DEBT_ISSUED",IQ_FY-1), _xll.ciqfunctions.udf.CIQ(A153, "IQ_TOTAL_DEBT_ISSUED",IQ_FY))</f>
        <v>0</v>
      </c>
      <c r="N162" s="17">
        <f>IF(A161=A162,_xll.ciqfunctions.udf.CIQ(A153,"IQ_TOTAL_DEBT_REPAID",IQ_FY-1), _xll.ciqfunctions.udf.CIQ(A153, "IQ_TOTAL_DEBT_REPAID",IQ_FY))</f>
        <v>0</v>
      </c>
      <c r="O162" s="15">
        <f t="shared" si="41"/>
        <v>0</v>
      </c>
      <c r="P162" s="15">
        <f t="shared" si="42"/>
        <v>6.6127325288197225</v>
      </c>
      <c r="Q162" s="25" t="s">
        <v>44</v>
      </c>
      <c r="R162" s="38" t="s">
        <v>35</v>
      </c>
      <c r="S162" s="1">
        <f>_xll.ciqfunctions.udf.CIQ(A153,"IQ_TEV_EBITDA")</f>
        <v>14.18432</v>
      </c>
      <c r="U162" s="25" t="s">
        <v>55</v>
      </c>
      <c r="V162" s="38" t="s">
        <v>53</v>
      </c>
      <c r="W162" s="1">
        <f>V152/(AVERAGE(D158:D163)/_xlfn.STDEV.P(E158:E163))</f>
        <v>0.12588949424685764</v>
      </c>
      <c r="Y162" s="25" t="s">
        <v>57</v>
      </c>
      <c r="Z162" s="38" t="s">
        <v>53</v>
      </c>
      <c r="AA162" s="1">
        <f>Z152/(AVERAGE(D158:D163)/_xlfn.STDEV.P(E158:E163))</f>
        <v>0.12588949424685764</v>
      </c>
    </row>
    <row r="163" spans="1:27">
      <c r="B163" s="13">
        <v>11</v>
      </c>
      <c r="C163" s="20" t="s">
        <v>36</v>
      </c>
      <c r="D163" s="21" cm="1">
        <f t="array" ref="D163">_xlfn.SINGLE(IF(A161=A162,_xll.ciqfunctions.udf.CIQ(A153,"IQ_TOTAL_REV",IQ_FY)/I163, _xll.ciqfunctions.udf.CIQ(A153, "IQ_TOTAL_REV",IQ_LTM)/I163))</f>
        <v>24.826911236155667</v>
      </c>
      <c r="E163" s="22">
        <f t="shared" si="43"/>
        <v>7.2772006028252526E-2</v>
      </c>
      <c r="F163" s="21">
        <f>IF(A161=A162,_xll.ciqfunctions.udf.CIQ(A153,"IQ_DILUT_EPS_EXCL",IQ_FY), _xll.ciqfunctions.udf.CIQ(A153, "IQ_DILUT_EPS_EXCL",IQ_LTM))</f>
        <v>3.30958</v>
      </c>
      <c r="G163" s="21">
        <f>IF(A161=A162,_xll.ciqfunctions.udf.CIQ(A153,"IQ_EBITDA_MARGIN",IQ_FY), _xll.ciqfunctions.udf.CIQ(A153, "IQ_EBITDA_MARGIN",IQ_LTM))</f>
        <v>29.177299999999999</v>
      </c>
      <c r="H163" s="21">
        <f>IF(A161=A162,_xll.ciqfunctions.udf.CIQ(A153,"IQ_TOTAL_DIV_PAID_CF",IQ_FY)/-I163, _xll.ciqfunctions.udf.CIQ(A153, "IQ_TOTAL_DIV_PAID_CF",IQ_LTM)/-I163)</f>
        <v>0</v>
      </c>
      <c r="I163" s="23">
        <f>IF(A161=A162,_xll.ciqfunctions.udf.CIQ(A153,"IQ_TOTAL_OUTSTANDING_FILING_DATE",IQ_FY),_xll.ciqfunctions.udf.CIQ(A153,"IQ_sharesoutstanding"))</f>
        <v>150.83157</v>
      </c>
      <c r="J163" s="23">
        <f>IF(A161=A162,_xll.ciqfunctions.udf.CIQ(A153,"IQ_CASH_OPER",IQ_FY), _xll.ciqfunctions.udf.CIQ(A153, "IQ_CASH_OPER",IQ_LTM))</f>
        <v>1300.7439999999999</v>
      </c>
      <c r="K163" s="23">
        <f>IF(A161=A162,_xll.ciqfunctions.udf.CIQ(A153,"IQ_CAPEX",IQ_FY), _xll.ciqfunctions.udf.CIQ(A153, "IQ_CAPEX",IQ_LTM))</f>
        <v>-489.10199999999998</v>
      </c>
      <c r="L163" s="21">
        <f t="shared" si="40"/>
        <v>5.381114842204453</v>
      </c>
      <c r="M163" s="23">
        <f>IF(A161=A162,_xll.ciqfunctions.udf.CIQ(A153,"IQ_TOTAL_DEBT_ISSUED",IQ_FY), _xll.ciqfunctions.udf.CIQ(A153, "IQ_TOTAL_DEBT_ISSUED",IQ_LTM))</f>
        <v>1302.5830000000001</v>
      </c>
      <c r="N163" s="23">
        <f>IF(A161=A162,_xll.ciqfunctions.udf.CIQ(A153,"IQ_TOTAL_DEBT_REPAID",IQ_FY), _xll.ciqfunctions.udf.CIQ(A153, "IQ_TOTAL_DEBT_REPAID",IQ_LTM))</f>
        <v>35</v>
      </c>
      <c r="O163" s="21">
        <f t="shared" si="41"/>
        <v>8.8680572641390665</v>
      </c>
      <c r="P163" s="21">
        <f t="shared" si="42"/>
        <v>14.249172106343519</v>
      </c>
      <c r="Q163" s="25" t="s">
        <v>45</v>
      </c>
      <c r="S163" s="45"/>
      <c r="U163" s="25"/>
      <c r="W163" s="45"/>
      <c r="Y163" s="25"/>
      <c r="AA163" s="45"/>
    </row>
    <row r="164" spans="1:27">
      <c r="B164" s="24"/>
      <c r="C164" s="25" t="s">
        <v>37</v>
      </c>
      <c r="E164" s="26">
        <f>((D163/D158)^(1/5))-1</f>
        <v>8.3423083545496768E-2</v>
      </c>
      <c r="F164" s="27">
        <f>((F163/F158)^(1/5))-1</f>
        <v>0.13462420230152206</v>
      </c>
      <c r="G164" s="28"/>
      <c r="H164" s="27" t="e">
        <f>((H163/H158)^(1/5))-1</f>
        <v>#DIV/0!</v>
      </c>
      <c r="I164" s="27">
        <f>((I163/I158)^(1/5))-1</f>
        <v>-1.5654031566113447E-2</v>
      </c>
      <c r="J164" s="27"/>
      <c r="K164" s="27"/>
      <c r="L164" s="26">
        <f>((L163/L158)^(1/5))-1</f>
        <v>2.1223524593052101E-2</v>
      </c>
      <c r="M164" s="26"/>
      <c r="N164" s="26"/>
      <c r="O164" s="26"/>
      <c r="P164" s="26">
        <f>((P163/P158)^(1/5))-1</f>
        <v>3.876458451057907E-2</v>
      </c>
      <c r="Q164" s="18"/>
      <c r="R164" s="36"/>
      <c r="S164" s="45"/>
      <c r="U164" s="18"/>
      <c r="V164" s="36"/>
      <c r="W164" s="45"/>
      <c r="Y164" s="18"/>
      <c r="Z164" s="36"/>
      <c r="AA164" s="45"/>
    </row>
    <row r="165" spans="1:27">
      <c r="A165" s="29"/>
      <c r="B165" s="30"/>
      <c r="C165" s="31" t="s">
        <v>38</v>
      </c>
      <c r="D165" s="29"/>
      <c r="E165" s="32">
        <f>((D163/D153)^(1/10))-1</f>
        <v>0.10880781703988962</v>
      </c>
      <c r="F165" s="33">
        <f>((F163/F153)^(1/10))-1</f>
        <v>7.4718440449137002E-2</v>
      </c>
      <c r="G165" s="34"/>
      <c r="H165" s="33" t="e">
        <f>((H163/H153)^(1/10))-1</f>
        <v>#DIV/0!</v>
      </c>
      <c r="I165" s="33">
        <f>((I163/I153)^(1/10))-1</f>
        <v>-1.6721230567204759E-2</v>
      </c>
      <c r="J165" s="33"/>
      <c r="K165" s="33"/>
      <c r="L165" s="32">
        <f>((L163/L153)^(1/10))-1</f>
        <v>9.8366992596477854E-2</v>
      </c>
      <c r="M165" s="32"/>
      <c r="N165" s="32"/>
      <c r="O165" s="32"/>
      <c r="P165" s="32">
        <f>((P163/P153)^(1/10))-1</f>
        <v>0.21070743774794698</v>
      </c>
      <c r="Q165" s="40"/>
      <c r="R165" s="41"/>
      <c r="S165" s="46"/>
      <c r="U165" s="40"/>
      <c r="V165" s="41"/>
      <c r="W165" s="46"/>
      <c r="Y165" s="40"/>
      <c r="Z165" s="41"/>
      <c r="AA165" s="46"/>
    </row>
    <row r="166" spans="1:27">
      <c r="B166" s="24"/>
      <c r="C166" s="25"/>
      <c r="E166" s="26"/>
      <c r="F166" s="27"/>
      <c r="G166" s="28"/>
      <c r="H166" s="27"/>
      <c r="I166" s="27"/>
      <c r="J166" s="27"/>
      <c r="K166" s="27"/>
      <c r="L166" s="26"/>
      <c r="M166" s="17"/>
      <c r="N166" s="17"/>
      <c r="O166" s="17"/>
      <c r="P166" s="35"/>
      <c r="Q166" s="18"/>
      <c r="R166" s="36"/>
    </row>
    <row r="167" spans="1:27">
      <c r="A167" s="9" t="s">
        <v>0</v>
      </c>
      <c r="B167" s="10"/>
      <c r="C167" s="9" t="s">
        <v>1</v>
      </c>
      <c r="D167" s="9" t="s">
        <v>2</v>
      </c>
      <c r="E167" s="9" t="s">
        <v>3</v>
      </c>
      <c r="F167" s="11" t="s">
        <v>4</v>
      </c>
      <c r="G167" s="11" t="s">
        <v>5</v>
      </c>
      <c r="H167" s="9" t="s">
        <v>6</v>
      </c>
      <c r="I167" s="11" t="s">
        <v>7</v>
      </c>
      <c r="J167" s="11" t="s">
        <v>8</v>
      </c>
      <c r="K167" s="11" t="s">
        <v>9</v>
      </c>
      <c r="L167" s="11" t="s">
        <v>10</v>
      </c>
      <c r="M167" s="11" t="s">
        <v>11</v>
      </c>
      <c r="N167" s="11" t="s">
        <v>12</v>
      </c>
      <c r="O167" s="11" t="s">
        <v>13</v>
      </c>
      <c r="P167" s="11" t="s">
        <v>14</v>
      </c>
      <c r="Q167" s="37" t="s">
        <v>15</v>
      </c>
      <c r="R167" s="42">
        <f>_xll.ciqfunctions.udf.CIQ(A168,("IQ_LASTSALEPRICE"))</f>
        <v>213.66</v>
      </c>
      <c r="S167" s="44"/>
      <c r="U167" s="37" t="s">
        <v>15</v>
      </c>
      <c r="V167" s="42">
        <f>_xll.ciqfunctions.udf.CIQ(A168,("IQ_LASTSALEPRICE"))</f>
        <v>213.66</v>
      </c>
      <c r="W167" s="44"/>
      <c r="Y167" s="37" t="s">
        <v>15</v>
      </c>
      <c r="Z167" s="42">
        <f>_xll.ciqfunctions.udf.CIQ(A168,("IQ_LASTSALEPRICE"))</f>
        <v>213.66</v>
      </c>
      <c r="AA167" s="44"/>
    </row>
    <row r="168" spans="1:27">
      <c r="A168" s="12" t="str">
        <f>Analysis!B13</f>
        <v>NasdaqGS:VRSN</v>
      </c>
      <c r="B168" s="13">
        <v>1</v>
      </c>
      <c r="C168" s="14" t="s">
        <v>16</v>
      </c>
      <c r="D168" s="15">
        <f>IF(A176=A177,_xll.ciqfunctions.udf.CIQ(A168,"IQ_TOTAL_REV",IQ_FY-10)/I168,_xll.ciqfunctions.udf.CIQ(A168, "IQ_TOTAL_REV",IQ_FY-9)/I168)</f>
        <v>7.2203035486126526</v>
      </c>
      <c r="E168" s="16"/>
      <c r="F168" s="15">
        <f>IF(A176=A177,_xll.ciqfunctions.udf.CIQ(A168,"IQ_DILUT_EPS_EXCL",IQ_FY-10), _xll.ciqfunctions.udf.CIQ(A168, "IQ_DILUT_EPS_EXCL",IQ_FY-9))</f>
        <v>3.49</v>
      </c>
      <c r="G168" s="15">
        <f>IF(A176=A177,_xll.ciqfunctions.udf.CIQ(A168,"IQ_EBITDA_MARGIN",IQ_FY-10), _xll.ciqfunctions.udf.CIQ(A168, "IQ_EBITDA_MARGIN",IQ_FY-9))</f>
        <v>61.018999999999998</v>
      </c>
      <c r="H168" s="15">
        <f>IF(A176=A177,_xll.ciqfunctions.udf.CIQ(A168,"IQ_TOTAL_DIV_PAID_CF",IQ_FY-10)/-I168, _xll.ciqfunctions.udf.CIQ(A168, "IQ_TOTAL_DIV_PAID_CF",IQ_FY-9)/-I168)</f>
        <v>0</v>
      </c>
      <c r="I168" s="17">
        <f>IF(A176=A177,_xll.ciqfunctions.udf.CIQ(A168,"IQ_TOTAL_OUTSTANDING_FILING_DATE",IQ_FY-10), _xll.ciqfunctions.udf.CIQ(A168, "IQ_TOTAL_OUTSTANDING_FILING_DATE",IQ_FY-9))</f>
        <v>133.66293999999999</v>
      </c>
      <c r="J168" s="17">
        <f>IF(A176=A177,_xll.ciqfunctions.udf.CIQ(A168,"IQ_CASH_OPER",IQ_FY-10), _xll.ciqfunctions.udf.CIQ(A168, "IQ_CASH_OPER",IQ_FY-9))</f>
        <v>579.39700000000005</v>
      </c>
      <c r="K168" s="17">
        <f>IF(A176=A177,_xll.ciqfunctions.udf.CIQ(A168,"IQ_CAPEX",IQ_FY-10), _xll.ciqfunctions.udf.CIQ(A168, "IQ_CAPEX",IQ_FY-9))</f>
        <v>-65.593999999999994</v>
      </c>
      <c r="L168" s="15">
        <f t="shared" ref="L168:L178" si="44">(J168+K168)/I168</f>
        <v>3.8440198906293706</v>
      </c>
      <c r="M168" s="17">
        <f>IF(A176=A177,_xll.ciqfunctions.udf.CIQ(A168,"IQ_TOTAL_DEBT_ISSUED",IQ_FY-10), _xll.ciqfunctions.udf.CIQ(A168, "IQ_TOTAL_DEBT_ISSUED",IQ_FY-9))</f>
        <v>738.29700000000003</v>
      </c>
      <c r="N168" s="17">
        <f>IF(A176=A177,_xll.ciqfunctions.udf.CIQ(A168,"IQ_TOTAL_DEBT_REPAID",IQ_FY-10), _xll.ciqfunctions.udf.CIQ(A168, "IQ_TOTAL_DEBT_REPAID",IQ_FY-9))</f>
        <v>-100</v>
      </c>
      <c r="O168" s="15">
        <f t="shared" ref="O168:O178" si="45">(M168+N168)/I168</f>
        <v>4.7754224170140214</v>
      </c>
      <c r="P168" s="15">
        <f t="shared" ref="P168:P178" si="46">L168+O168</f>
        <v>8.6194423076433928</v>
      </c>
      <c r="W168" s="43"/>
      <c r="AA168" s="43"/>
    </row>
    <row r="169" spans="1:27">
      <c r="A169" s="18" t="str">
        <f>_xll.ciqfunctions.udf.CIQ(A168,"IQ_COMPANY_NAME")</f>
        <v>VeriSign, Inc.</v>
      </c>
      <c r="B169" s="13">
        <v>2</v>
      </c>
      <c r="C169" s="14" t="s">
        <v>17</v>
      </c>
      <c r="D169" s="15">
        <f>IF(A176=A177,_xll.ciqfunctions.udf.CIQ(A168,"IQ_TOTAL_REV",IQ_FY-9)/I169, _xll.ciqfunctions.udf.CIQ(A168, "IQ_TOTAL_REV",IQ_FY-8)/I169)</f>
        <v>8.642027592081261</v>
      </c>
      <c r="E169" s="16">
        <f t="shared" ref="E169:E178" si="47">(D169-D168)/D168</f>
        <v>0.19690640897525508</v>
      </c>
      <c r="F169" s="15">
        <f>IF(A176=A177,_xll.ciqfunctions.udf.CIQ(A168,"IQ_DILUT_EPS_EXCL",IQ_FY-9), _xll.ciqfunctions.udf.CIQ(A168, "IQ_DILUT_EPS_EXCL",IQ_FY-8))</f>
        <v>2.52</v>
      </c>
      <c r="G169" s="15">
        <f>IF(A176=A177,_xll.ciqfunctions.udf.CIQ(A168,"IQ_EBITDA_MARGIN",IQ_FY-9), _xll.ciqfunctions.udf.CIQ(A168, "IQ_EBITDA_MARGIN",IQ_FY-8))</f>
        <v>62.182499999999997</v>
      </c>
      <c r="H169" s="15">
        <f>IF(A176=A177,_xll.ciqfunctions.udf.CIQ(A168,"IQ_TOTAL_DIV_PAID_CF",IQ_FY-9)/-I169, _xll.ciqfunctions.udf.CIQ(A168, "IQ_TOTAL_DIV_PAID_CF",IQ_FY-8)/-I169)</f>
        <v>0</v>
      </c>
      <c r="I169" s="17">
        <f>IF(A176=A177,_xll.ciqfunctions.udf.CIQ(A168,"IQ_TOTAL_OUTSTANDING_FILING_DATE",IQ_FY-9), _xll.ciqfunctions.udf.CIQ(A168, "IQ_TOTAL_OUTSTANDING_FILING_DATE",IQ_FY-8))</f>
        <v>116.88426</v>
      </c>
      <c r="J169" s="17">
        <f>IF(A176=A177,_xll.ciqfunctions.udf.CIQ(A168,"IQ_CASH_OPER",IQ_FY-9), _xll.ciqfunctions.udf.CIQ(A168, "IQ_CASH_OPER",IQ_FY-8))</f>
        <v>600.94899999999996</v>
      </c>
      <c r="K169" s="17">
        <f>IF(A176=A177,_xll.ciqfunctions.udf.CIQ(A168,"IQ_CAPEX",IQ_FY-9), _xll.ciqfunctions.udf.CIQ(A168, "IQ_CAPEX",IQ_FY-8))</f>
        <v>-39.326999999999998</v>
      </c>
      <c r="L169" s="15">
        <f t="shared" si="44"/>
        <v>4.8049412298969933</v>
      </c>
      <c r="M169" s="17">
        <f>IF(A176=A177,_xll.ciqfunctions.udf.CIQ(A168,"IQ_TOTAL_DEBT_ISSUED",IQ_FY-9), _xll.ciqfunctions.udf.CIQ(A168, "IQ_TOTAL_DEBT_ISSUED",IQ_FY-8))</f>
        <v>0</v>
      </c>
      <c r="N169" s="17">
        <f>IF(A176=A177,_xll.ciqfunctions.udf.CIQ(A168,"IQ_TOTAL_DEBT_REPAID",IQ_FY-9), _xll.ciqfunctions.udf.CIQ(A168, "IQ_TOTAL_DEBT_REPAID",IQ_FY-8))</f>
        <v>0</v>
      </c>
      <c r="O169" s="15">
        <f t="shared" si="45"/>
        <v>0</v>
      </c>
      <c r="P169" s="15">
        <f t="shared" si="46"/>
        <v>4.8049412298969933</v>
      </c>
      <c r="Q169" s="25" t="s">
        <v>18</v>
      </c>
      <c r="R169" s="39" t="s">
        <v>19</v>
      </c>
      <c r="S169" s="1">
        <f>R167/((AVERAGE(P173:P178))*(1+E179)^3)</f>
        <v>34.801486262480985</v>
      </c>
      <c r="U169" s="25" t="s">
        <v>48</v>
      </c>
      <c r="V169" s="39" t="s">
        <v>19</v>
      </c>
      <c r="W169" s="1">
        <f>V167/((AVERAGE(P173:P178))*(1+E179)^3)</f>
        <v>34.801486262480985</v>
      </c>
      <c r="Y169" s="25" t="s">
        <v>39</v>
      </c>
      <c r="Z169" s="39" t="s">
        <v>19</v>
      </c>
      <c r="AA169" s="1">
        <f>Z167/((AVERAGE(P173:P178))*(1+E179)^3)</f>
        <v>34.801486262480985</v>
      </c>
    </row>
    <row r="170" spans="1:27">
      <c r="B170" s="13">
        <v>3</v>
      </c>
      <c r="C170" s="14" t="s">
        <v>20</v>
      </c>
      <c r="D170" s="15" cm="1">
        <f t="array" ref="D170">_xlfn.SINGLE(IF(A176=A177,_xll.ciqfunctions.udf.CIQ(A168,"IQ_TOTAL_REV",IQ_FY-8)/I170, _xll.ciqfunctions.udf.CIQ(A168, "IQ_TOTAL_REV",IQ_FY-7)/I170))</f>
        <v>9.6773548201743793</v>
      </c>
      <c r="E170" s="16">
        <f t="shared" si="47"/>
        <v>0.11980142588780837</v>
      </c>
      <c r="F170" s="15">
        <f>IF(A176=A177,_xll.ciqfunctions.udf.CIQ(A168,"IQ_DILUT_EPS_EXCL",IQ_FY-8), _xll.ciqfunctions.udf.CIQ(A168, "IQ_DILUT_EPS_EXCL",IQ_FY-7))</f>
        <v>2.82</v>
      </c>
      <c r="G170" s="15">
        <f>IF(A176=A177,_xll.ciqfunctions.udf.CIQ(A168,"IQ_EBITDA_MARGIN",IQ_FY-8), _xll.ciqfunctions.udf.CIQ(A168, "IQ_EBITDA_MARGIN",IQ_FY-7))</f>
        <v>63.003399999999999</v>
      </c>
      <c r="H170" s="15">
        <f>IF(A176=A177,_xll.ciqfunctions.udf.CIQ(A168,"IQ_TOTAL_DIV_PAID_CF",IQ_FY-8)/-I170, _xll.ciqfunctions.udf.CIQ(A168, "IQ_TOTAL_DIV_PAID_CF",IQ_FY-7)/-I170)</f>
        <v>0</v>
      </c>
      <c r="I170" s="17">
        <f>IF(A176=A177,_xll.ciqfunctions.udf.CIQ(A168,"IQ_TOTAL_OUTSTANDING_FILING_DATE",IQ_FY-8), _xll.ciqfunctions.udf.CIQ(A168, "IQ_TOTAL_OUTSTANDING_FILING_DATE",IQ_FY-7))</f>
        <v>109.46854999999999</v>
      </c>
      <c r="J170" s="17">
        <f>IF(A176=A177,_xll.ciqfunctions.udf.CIQ(A168,"IQ_CASH_OPER",IQ_FY-8), _xll.ciqfunctions.udf.CIQ(A168, "IQ_CASH_OPER",IQ_FY-7))</f>
        <v>669.94600000000003</v>
      </c>
      <c r="K170" s="17">
        <f>IF(A176=A177,_xll.ciqfunctions.udf.CIQ(A168,"IQ_CAPEX",IQ_FY-8), _xll.ciqfunctions.udf.CIQ(A168, "IQ_CAPEX",IQ_FY-7))</f>
        <v>-40.655999999999999</v>
      </c>
      <c r="L170" s="15">
        <f t="shared" si="44"/>
        <v>5.7485917188087363</v>
      </c>
      <c r="M170" s="17">
        <f>IF(A176=A177,_xll.ciqfunctions.udf.CIQ(A168,"IQ_TOTAL_DEBT_ISSUED",IQ_FY-8), _xll.ciqfunctions.udf.CIQ(A168, "IQ_TOTAL_DEBT_ISSUED",IQ_FY-7))</f>
        <v>492.23700000000002</v>
      </c>
      <c r="N170" s="17">
        <f>IF(A176=A177,_xll.ciqfunctions.udf.CIQ(A168,"IQ_TOTAL_DEBT_REPAID",IQ_FY-8), _xll.ciqfunctions.udf.CIQ(A168, "IQ_TOTAL_DEBT_REPAID",IQ_FY-7))</f>
        <v>0</v>
      </c>
      <c r="O170" s="15">
        <f t="shared" si="45"/>
        <v>4.4966065596009086</v>
      </c>
      <c r="P170" s="15">
        <f t="shared" si="46"/>
        <v>10.245198278409646</v>
      </c>
      <c r="Q170" s="25" t="s">
        <v>21</v>
      </c>
      <c r="R170" s="38" t="s">
        <v>49</v>
      </c>
      <c r="S170" s="2">
        <f>(R167*I178)/1000</f>
        <v>21.814685999999998</v>
      </c>
      <c r="U170" s="25" t="s">
        <v>59</v>
      </c>
      <c r="V170" s="38" t="s">
        <v>49</v>
      </c>
      <c r="W170" s="2">
        <f>(V167*I178)/1000</f>
        <v>21.814685999999998</v>
      </c>
      <c r="Y170" s="25" t="s">
        <v>46</v>
      </c>
      <c r="Z170" s="38" t="s">
        <v>49</v>
      </c>
      <c r="AA170" s="2">
        <f>(Z167*I178)/1000</f>
        <v>21.814685999999998</v>
      </c>
    </row>
    <row r="171" spans="1:27">
      <c r="A171" s="18"/>
      <c r="B171" s="13">
        <v>4</v>
      </c>
      <c r="C171" s="14" t="s">
        <v>22</v>
      </c>
      <c r="D171" s="15" cm="1">
        <f t="array" ref="D171">_xlfn.SINGLE(IF(A176=A177,_xll.ciqfunctions.udf.CIQ(A168,"IQ_TOTAL_REV",IQ_FY-7)/I171, _xll.ciqfunctions.udf.CIQ(A168, "IQ_TOTAL_REV",IQ_FY-6)/I171))</f>
        <v>11.16176277295046</v>
      </c>
      <c r="E171" s="16">
        <f t="shared" si="47"/>
        <v>0.153389844679616</v>
      </c>
      <c r="F171" s="15">
        <f>IF(A176=A177,_xll.ciqfunctions.udf.CIQ(A168,"IQ_DILUT_EPS_EXCL",IQ_FY-7), _xll.ciqfunctions.udf.CIQ(A168, "IQ_DILUT_EPS_EXCL",IQ_FY-6))</f>
        <v>3.42</v>
      </c>
      <c r="G171" s="15">
        <f>IF(A176=A177,_xll.ciqfunctions.udf.CIQ(A168,"IQ_EBITDA_MARGIN",IQ_FY-7), _xll.ciqfunctions.udf.CIQ(A168, "IQ_EBITDA_MARGIN",IQ_FY-6))</f>
        <v>65.203999999999994</v>
      </c>
      <c r="H171" s="15">
        <f>IF(A176=A177,_xll.ciqfunctions.udf.CIQ(A168,"IQ_TOTAL_DIV_PAID_CF",IQ_FY-7)/-I171, _xll.ciqfunctions.udf.CIQ(A168, "IQ_TOTAL_DIV_PAID_CF",IQ_FY-6)/-I171)</f>
        <v>0</v>
      </c>
      <c r="I171" s="17">
        <f>IF(A176=A177,_xll.ciqfunctions.udf.CIQ(A168,"IQ_TOTAL_OUTSTANDING_FILING_DATE",IQ_FY-7), _xll.ciqfunctions.udf.CIQ(A168, "IQ_TOTAL_OUTSTANDING_FILING_DATE",IQ_FY-6))</f>
        <v>102.32855000000001</v>
      </c>
      <c r="J171" s="17">
        <f>IF(A176=A177,_xll.ciqfunctions.udf.CIQ(A168,"IQ_CASH_OPER",IQ_FY-7), _xll.ciqfunctions.udf.CIQ(A168, "IQ_CASH_OPER",IQ_FY-6))</f>
        <v>693.00699999999995</v>
      </c>
      <c r="K171" s="17">
        <f>IF(A176=A177,_xll.ciqfunctions.udf.CIQ(A168,"IQ_CAPEX",IQ_FY-7), _xll.ciqfunctions.udf.CIQ(A168, "IQ_CAPEX",IQ_FY-6))</f>
        <v>-26.574000000000002</v>
      </c>
      <c r="L171" s="15">
        <f t="shared" si="44"/>
        <v>6.5126790128463652</v>
      </c>
      <c r="M171" s="17">
        <f>IF(A176=A177,_xll.ciqfunctions.udf.CIQ(A168,"IQ_TOTAL_DEBT_ISSUED",IQ_FY-7), _xll.ciqfunctions.udf.CIQ(A168, "IQ_TOTAL_DEBT_ISSUED",IQ_FY-6))</f>
        <v>0</v>
      </c>
      <c r="N171" s="17">
        <f>IF(A176=A177,_xll.ciqfunctions.udf.CIQ(A168,"IQ_TOTAL_DEBT_REPAID",IQ_FY-7), _xll.ciqfunctions.udf.CIQ(A168, "IQ_TOTAL_DEBT_REPAID",IQ_FY-6))</f>
        <v>0</v>
      </c>
      <c r="O171" s="15">
        <f t="shared" si="45"/>
        <v>0</v>
      </c>
      <c r="P171" s="15">
        <f t="shared" si="46"/>
        <v>6.5126790128463652</v>
      </c>
      <c r="Q171" s="25" t="s">
        <v>23</v>
      </c>
      <c r="R171" s="38" t="s">
        <v>24</v>
      </c>
      <c r="S171" s="1" t="e">
        <f>R167/(AVERAGE(H173:H178)*(1+H179)/(0.5-H179))</f>
        <v>#DIV/0!</v>
      </c>
      <c r="U171" s="25" t="s">
        <v>40</v>
      </c>
      <c r="V171" s="38" t="s">
        <v>24</v>
      </c>
      <c r="W171" s="1" t="e">
        <f>V167/(AVERAGE(H173:H178)*(1+H179)/(0.5-H179))</f>
        <v>#DIV/0!</v>
      </c>
      <c r="Y171" s="25" t="s">
        <v>47</v>
      </c>
      <c r="Z171" s="38" t="s">
        <v>24</v>
      </c>
      <c r="AA171" s="1" t="e">
        <f>Z167/(AVERAGE(H173:H178)*(1+H179)/(0.5-H179))</f>
        <v>#DIV/0!</v>
      </c>
    </row>
    <row r="172" spans="1:27">
      <c r="B172" s="13">
        <v>5</v>
      </c>
      <c r="C172" s="14" t="s">
        <v>25</v>
      </c>
      <c r="D172" s="15" cm="1">
        <f t="array" ref="D172">_xlfn.SINGLE(IF(A176=A177,_xll.ciqfunctions.udf.CIQ(A168,"IQ_TOTAL_REV",IQ_FY-6)/I172, _xll.ciqfunctions.udf.CIQ(A168, "IQ_TOTAL_REV",IQ_FY-5)/I172))</f>
        <v>11.996382227321041</v>
      </c>
      <c r="E172" s="16">
        <f t="shared" si="47"/>
        <v>7.4774878426300748E-2</v>
      </c>
      <c r="F172" s="15">
        <f>IF(A176=A177,_xll.ciqfunctions.udf.CIQ(A168,"IQ_DILUT_EPS_EXCL",IQ_FY-6), _xll.ciqfunctions.udf.CIQ(A168, "IQ_DILUT_EPS_EXCL",IQ_FY-5))</f>
        <v>3.68</v>
      </c>
      <c r="G172" s="15">
        <f>IF(A176=A177,_xll.ciqfunctions.udf.CIQ(A168,"IQ_EBITDA_MARGIN",IQ_FY-6), _xll.ciqfunctions.udf.CIQ(A168, "IQ_EBITDA_MARGIN",IQ_FY-5))</f>
        <v>65.024699999999996</v>
      </c>
      <c r="H172" s="15">
        <f>IF(A176=A177,_xll.ciqfunctions.udf.CIQ(A168,"IQ_TOTAL_DIV_PAID_CF",IQ_FY-6)/-I172, _xll.ciqfunctions.udf.CIQ(A168, "IQ_TOTAL_DIV_PAID_CF",IQ_FY-5)/-I172)</f>
        <v>0</v>
      </c>
      <c r="I172" s="17">
        <f>IF(A176=A177,_xll.ciqfunctions.udf.CIQ(A168,"IQ_TOTAL_OUTSTANDING_FILING_DATE",IQ_FY-6), _xll.ciqfunctions.udf.CIQ(A168, "IQ_TOTAL_OUTSTANDING_FILING_DATE",IQ_FY-5))</f>
        <v>97.120530000000002</v>
      </c>
      <c r="J172" s="17">
        <f>IF(A176=A177,_xll.ciqfunctions.udf.CIQ(A168,"IQ_CASH_OPER",IQ_FY-6), _xll.ciqfunctions.udf.CIQ(A168, "IQ_CASH_OPER",IQ_FY-5))</f>
        <v>702.76099999999997</v>
      </c>
      <c r="K172" s="17">
        <f>IF(A176=A177,_xll.ciqfunctions.udf.CIQ(A168,"IQ_CAPEX",IQ_FY-6), _xll.ciqfunctions.udf.CIQ(A168, "IQ_CAPEX",IQ_FY-5))</f>
        <v>-49.499000000000002</v>
      </c>
      <c r="L172" s="15">
        <f t="shared" si="44"/>
        <v>6.7263018436987521</v>
      </c>
      <c r="M172" s="17">
        <f>IF(A176=A177,_xll.ciqfunctions.udf.CIQ(A168,"IQ_TOTAL_DEBT_ISSUED",IQ_FY-6), _xll.ciqfunctions.udf.CIQ(A168, "IQ_TOTAL_DEBT_ISSUED",IQ_FY-5))</f>
        <v>543.18499999999995</v>
      </c>
      <c r="N172" s="17">
        <f>IF(A176=A177,_xll.ciqfunctions.udf.CIQ(A168,"IQ_TOTAL_DEBT_REPAID",IQ_FY-6), _xll.ciqfunctions.udf.CIQ(A168, "IQ_TOTAL_DEBT_REPAID",IQ_FY-5))</f>
        <v>0</v>
      </c>
      <c r="O172" s="15">
        <f t="shared" si="45"/>
        <v>5.5928957554082537</v>
      </c>
      <c r="P172" s="15">
        <f t="shared" si="46"/>
        <v>12.319197599107007</v>
      </c>
      <c r="Q172" s="18"/>
      <c r="R172" s="38" t="s">
        <v>50</v>
      </c>
      <c r="S172" s="3">
        <f>I179</f>
        <v>-3.1330845322722234E-2</v>
      </c>
      <c r="U172" s="18"/>
      <c r="V172" s="38" t="s">
        <v>50</v>
      </c>
      <c r="W172" s="3">
        <f>I179</f>
        <v>-3.1330845322722234E-2</v>
      </c>
      <c r="Y172" s="18"/>
      <c r="Z172" s="38" t="s">
        <v>50</v>
      </c>
      <c r="AA172" s="3">
        <f>I179</f>
        <v>-3.1330845322722234E-2</v>
      </c>
    </row>
    <row r="173" spans="1:27">
      <c r="B173" s="13">
        <v>6</v>
      </c>
      <c r="C173" s="14" t="s">
        <v>26</v>
      </c>
      <c r="D173" s="15" cm="1">
        <f t="array" ref="D173">_xlfn.SINGLE(IF(A176=A177,_xll.ciqfunctions.udf.CIQ(A168,"IQ_TOTAL_REV",IQ_FY-5)/I173, _xll.ciqfunctions.udf.CIQ(A168, "IQ_TOTAL_REV",IQ_FY-4)/I173))</f>
        <v>10.148849412709106</v>
      </c>
      <c r="E173" s="16">
        <f t="shared" si="47"/>
        <v>-0.15400749822761478</v>
      </c>
      <c r="F173" s="15">
        <f>IF(A176=A177,_xll.ciqfunctions.udf.CIQ(A168,"IQ_DILUT_EPS_EXCL",IQ_FY-5), _xll.ciqfunctions.udf.CIQ(A168, "IQ_DILUT_EPS_EXCL",IQ_FY-4))</f>
        <v>4.75</v>
      </c>
      <c r="G173" s="15">
        <f>IF(A176=A177,_xll.ciqfunctions.udf.CIQ(A168,"IQ_EBITDA_MARGIN",IQ_FY-5), _xll.ciqfunctions.udf.CIQ(A168, "IQ_EBITDA_MARGIN",IQ_FY-4))</f>
        <v>67.142300000000006</v>
      </c>
      <c r="H173" s="15">
        <f>IF(A176=A177,_xll.ciqfunctions.udf.CIQ(A168,"IQ_TOTAL_DIV_PAID_CF",IQ_FY-5)/-I173, _xll.ciqfunctions.udf.CIQ(A168, "IQ_TOTAL_DIV_PAID_CF",IQ_FY-4)/-I173)</f>
        <v>0</v>
      </c>
      <c r="I173" s="17">
        <f>IF(A176=A177,_xll.ciqfunctions.udf.CIQ(A168,"IQ_TOTAL_OUTSTANDING_FILING_DATE",IQ_FY-5), _xll.ciqfunctions.udf.CIQ(A168, "IQ_TOTAL_OUTSTANDING_FILING_DATE",IQ_FY-4))</f>
        <v>119.71495</v>
      </c>
      <c r="J173" s="17">
        <f>IF(A176=A177,_xll.ciqfunctions.udf.CIQ(A168,"IQ_CASH_OPER",IQ_FY-5), _xll.ciqfunctions.udf.CIQ(A168, "IQ_CASH_OPER",IQ_FY-4))</f>
        <v>697.76700000000005</v>
      </c>
      <c r="K173" s="17">
        <f>IF(A176=A177,_xll.ciqfunctions.udf.CIQ(A168,"IQ_CAPEX",IQ_FY-5), _xll.ciqfunctions.udf.CIQ(A168, "IQ_CAPEX",IQ_FY-4))</f>
        <v>-37.006999999999998</v>
      </c>
      <c r="L173" s="15">
        <f t="shared" si="44"/>
        <v>5.5194443133459945</v>
      </c>
      <c r="M173" s="17">
        <f>IF(A176=A177,_xll.ciqfunctions.udf.CIQ(A168,"IQ_TOTAL_DEBT_ISSUED",IQ_FY-5), _xll.ciqfunctions.udf.CIQ(A168, "IQ_TOTAL_DEBT_ISSUED",IQ_FY-4))</f>
        <v>0</v>
      </c>
      <c r="N173" s="17">
        <f>IF(A176=A177,_xll.ciqfunctions.udf.CIQ(A168,"IQ_TOTAL_DEBT_REPAID",IQ_FY-5), _xll.ciqfunctions.udf.CIQ(A168, "IQ_TOTAL_DEBT_REPAID",IQ_FY-4))</f>
        <v>-1250.009</v>
      </c>
      <c r="O173" s="15">
        <f t="shared" si="45"/>
        <v>-10.441544685939391</v>
      </c>
      <c r="P173" s="15">
        <f t="shared" si="46"/>
        <v>-4.9221003725933965</v>
      </c>
      <c r="Q173" s="25" t="s">
        <v>27</v>
      </c>
      <c r="R173" s="38" t="s">
        <v>51</v>
      </c>
      <c r="S173" s="4">
        <f>AVERAGE(F173:F178)/AVERAGE(D173:D178)</f>
        <v>0.5165052472018663</v>
      </c>
      <c r="U173" s="25" t="s">
        <v>58</v>
      </c>
      <c r="V173" s="38" t="s">
        <v>51</v>
      </c>
      <c r="W173" s="4">
        <f>AVERAGE(F173:F178)/AVERAGE(D173:D178)</f>
        <v>0.5165052472018663</v>
      </c>
      <c r="Y173" s="25" t="s">
        <v>56</v>
      </c>
      <c r="Z173" s="38" t="s">
        <v>51</v>
      </c>
      <c r="AA173" s="4">
        <f>AVERAGE(F173:F178)/AVERAGE(D173:D178)</f>
        <v>0.5165052472018663</v>
      </c>
    </row>
    <row r="174" spans="1:27">
      <c r="A174" s="18"/>
      <c r="B174" s="13">
        <v>7</v>
      </c>
      <c r="C174" s="14" t="s">
        <v>28</v>
      </c>
      <c r="D174" s="15" cm="1">
        <f t="array" ref="D174">_xlfn.SINGLE(IF(A176=A177,_xll.ciqfunctions.udf.CIQ(A168,"IQ_TOTAL_REV",IQ_FY-4)/I174, _xll.ciqfunctions.udf.CIQ(A168, "IQ_TOTAL_REV",IQ_FY-3)/I174))</f>
        <v>10.579667669205742</v>
      </c>
      <c r="E174" s="16">
        <f t="shared" si="47"/>
        <v>4.2449960480952134E-2</v>
      </c>
      <c r="F174" s="15">
        <f>IF(A176=A177,_xll.ciqfunctions.udf.CIQ(A168,"IQ_DILUT_EPS_EXCL",IQ_FY-4), _xll.ciqfunctions.udf.CIQ(A168, "IQ_DILUT_EPS_EXCL",IQ_FY-3))</f>
        <v>5.15</v>
      </c>
      <c r="G174" s="15">
        <f>IF(A176=A177,_xll.ciqfunctions.udf.CIQ(A168,"IQ_EBITDA_MARGIN",IQ_FY-4), _xll.ciqfunctions.udf.CIQ(A168, "IQ_EBITDA_MARGIN",IQ_FY-3))</f>
        <v>69.2119</v>
      </c>
      <c r="H174" s="15">
        <f>IF(A176=A177,_xll.ciqfunctions.udf.CIQ(A168,"IQ_TOTAL_DIV_PAID_CF",IQ_FY-4)/-I174, _xll.ciqfunctions.udf.CIQ(A168, "IQ_TOTAL_DIV_PAID_CF",IQ_FY-3)/-I174)</f>
        <v>0</v>
      </c>
      <c r="I174" s="17">
        <f>IF(A176=A177,_xll.ciqfunctions.udf.CIQ(A168,"IQ_TOTAL_OUTSTANDING_FILING_DATE",IQ_FY-4), _xll.ciqfunctions.udf.CIQ(A168, "IQ_TOTAL_OUTSTANDING_FILING_DATE",IQ_FY-3))</f>
        <v>116.41773999999999</v>
      </c>
      <c r="J174" s="17">
        <f>IF(A176=A177,_xll.ciqfunctions.udf.CIQ(A168,"IQ_CASH_OPER",IQ_FY-4), _xll.ciqfunctions.udf.CIQ(A168, "IQ_CASH_OPER",IQ_FY-3))</f>
        <v>753.89200000000005</v>
      </c>
      <c r="K174" s="17">
        <f>IF(A176=A177,_xll.ciqfunctions.udf.CIQ(A168,"IQ_CAPEX",IQ_FY-4), _xll.ciqfunctions.udf.CIQ(A168, "IQ_CAPEX",IQ_FY-3))</f>
        <v>-40.316000000000003</v>
      </c>
      <c r="L174" s="15">
        <f t="shared" si="44"/>
        <v>6.1294438459293232</v>
      </c>
      <c r="M174" s="17">
        <f>IF(A176=A177,_xll.ciqfunctions.udf.CIQ(A168,"IQ_TOTAL_DEBT_ISSUED",IQ_FY-4), _xll.ciqfunctions.udf.CIQ(A168, "IQ_TOTAL_DEBT_ISSUED",IQ_FY-3))</f>
        <v>0</v>
      </c>
      <c r="N174" s="17">
        <f>IF(A176=A177,_xll.ciqfunctions.udf.CIQ(A168,"IQ_TOTAL_DEBT_REPAID",IQ_FY-4), _xll.ciqfunctions.udf.CIQ(A168, "IQ_TOTAL_DEBT_REPAID",IQ_FY-3))</f>
        <v>0</v>
      </c>
      <c r="O174" s="15">
        <f t="shared" si="45"/>
        <v>0</v>
      </c>
      <c r="P174" s="15">
        <f t="shared" si="46"/>
        <v>6.1294438459293232</v>
      </c>
      <c r="Q174" s="18"/>
      <c r="R174" s="38" t="s">
        <v>29</v>
      </c>
      <c r="S174" s="4">
        <f>(AVERAGE(P173:P178)/_xlfn.STDEV.P(P173:P178))/(IF(A176=A177,(_xlfn.SINGLE(_xll.ciqfunctions.udf.CIQ(A168,"IQ_total_assets",IQ_FY)) - _xlfn.SINGLE(_xll.ciqfunctions.udf.CIQ(A168,"iq_gw_intan", IQ_FY)))/I178, (_xlfn.SINGLE(_xll.ciqfunctions.udf.CIQ(A168, "IQ_total_assets",IQ_LTM))-_xlfn.SINGLE(_xll.ciqfunctions.udf.CIQ(A168,"iq_gw_intan",IQ_LTM)))/I178))</f>
        <v>6.877233814128747E-2</v>
      </c>
      <c r="U174" s="18"/>
      <c r="V174" s="38" t="s">
        <v>29</v>
      </c>
      <c r="W174" s="4">
        <f>(AVERAGE(P173:P178)/_xlfn.STDEV.P(P173:P178))/(IF(A176=A177,(_xlfn.SINGLE(_xll.ciqfunctions.udf.CIQ(A168,"IQ_total_assets",IQ_FY)) - _xlfn.SINGLE(_xll.ciqfunctions.udf.CIQ(A168,"iq_gw_intan", IQ_FY)))/I178, (_xlfn.SINGLE(_xll.ciqfunctions.udf.CIQ(A168, "IQ_total_assets",IQ_LTM))-_xlfn.SINGLE(_xll.ciqfunctions.udf.CIQ(A168,"iq_gw_intan",IQ_LTM)))/I178))</f>
        <v>6.877233814128747E-2</v>
      </c>
      <c r="Y174" s="18"/>
      <c r="Z174" s="38" t="s">
        <v>29</v>
      </c>
      <c r="AA174" s="4">
        <f>(AVERAGE(P173:P178)/_xlfn.STDEV.P(P173:P178))/(IF(A176=A177,(_xlfn.SINGLE(_xll.ciqfunctions.udf.CIQ(A168,"IQ_total_assets",IQ_FY)) - _xlfn.SINGLE(_xll.ciqfunctions.udf.CIQ(A168,"iq_gw_intan", IQ_FY)))/I178, (_xlfn.SINGLE(_xll.ciqfunctions.udf.CIQ(A168, "IQ_total_assets",IQ_LTM))-_xlfn.SINGLE(_xll.ciqfunctions.udf.CIQ(A168,"iq_gw_intan",IQ_LTM)))/I178))</f>
        <v>6.877233814128747E-2</v>
      </c>
    </row>
    <row r="175" spans="1:27">
      <c r="A175" s="18"/>
      <c r="B175" s="13">
        <v>8</v>
      </c>
      <c r="C175" s="14" t="s">
        <v>30</v>
      </c>
      <c r="D175" s="15" cm="1">
        <f t="array" ref="D175">_xlfn.SINGLE(IF(A176=A177,_xll.ciqfunctions.udf.CIQ(A168,"IQ_TOTAL_REV",IQ_FY-3)/I175, _xll.ciqfunctions.udf.CIQ(A168, "IQ_TOTAL_REV",IQ_FY-2)/I175))</f>
        <v>11.186214438607832</v>
      </c>
      <c r="E175" s="16">
        <f t="shared" si="47"/>
        <v>5.7331363173870484E-2</v>
      </c>
      <c r="F175" s="15">
        <f>IF(A176=A177,_xll.ciqfunctions.udf.CIQ(A168,"IQ_DILUT_EPS_EXCL",IQ_FY-3), _xll.ciqfunctions.udf.CIQ(A168, "IQ_DILUT_EPS_EXCL",IQ_FY-2))</f>
        <v>7.07</v>
      </c>
      <c r="G175" s="15">
        <f>IF(A176=A177,_xll.ciqfunctions.udf.CIQ(A168,"IQ_EBITDA_MARGIN",IQ_FY-3), _xll.ciqfunctions.udf.CIQ(A168, "IQ_EBITDA_MARGIN",IQ_FY-2))</f>
        <v>68.816599999999994</v>
      </c>
      <c r="H175" s="15">
        <f>IF(A176=A177,_xll.ciqfunctions.udf.CIQ(A168,"IQ_TOTAL_DIV_PAID_CF",IQ_FY-3)/-I175, _xll.ciqfunctions.udf.CIQ(A168, "IQ_TOTAL_DIV_PAID_CF",IQ_FY-2)/-I175)</f>
        <v>0</v>
      </c>
      <c r="I175" s="17">
        <f>IF(A176=A177,_xll.ciqfunctions.udf.CIQ(A168,"IQ_TOTAL_OUTSTANDING_FILING_DATE",IQ_FY-3), _xll.ciqfunctions.udf.CIQ(A168, "IQ_TOTAL_OUTSTANDING_FILING_DATE",IQ_FY-2))</f>
        <v>113.09456</v>
      </c>
      <c r="J175" s="17">
        <f>IF(A176=A177,_xll.ciqfunctions.udf.CIQ(A168,"IQ_CASH_OPER",IQ_FY-3), _xll.ciqfunctions.udf.CIQ(A168, "IQ_CASH_OPER",IQ_FY-2))</f>
        <v>730.2</v>
      </c>
      <c r="K175" s="17">
        <f>IF(A176=A177,_xll.ciqfunctions.udf.CIQ(A168,"IQ_CAPEX",IQ_FY-3), _xll.ciqfunctions.udf.CIQ(A168, "IQ_CAPEX",IQ_FY-2))</f>
        <v>-43.4</v>
      </c>
      <c r="L175" s="15">
        <f t="shared" si="44"/>
        <v>6.0727943059330176</v>
      </c>
      <c r="M175" s="17">
        <f>IF(A176=A177,_xll.ciqfunctions.udf.CIQ(A168,"IQ_TOTAL_DEBT_ISSUED",IQ_FY-3), _xll.ciqfunctions.udf.CIQ(A168, "IQ_TOTAL_DEBT_ISSUED",IQ_FY-2))</f>
        <v>0</v>
      </c>
      <c r="N175" s="17">
        <f>IF(A176=A177,_xll.ciqfunctions.udf.CIQ(A168,"IQ_TOTAL_DEBT_REPAID",IQ_FY-3), _xll.ciqfunctions.udf.CIQ(A168, "IQ_TOTAL_DEBT_REPAID",IQ_FY-2))</f>
        <v>0</v>
      </c>
      <c r="O175" s="15">
        <f t="shared" si="45"/>
        <v>0</v>
      </c>
      <c r="P175" s="15">
        <f t="shared" si="46"/>
        <v>6.0727943059330176</v>
      </c>
      <c r="Q175" s="18"/>
      <c r="R175" s="39" t="s">
        <v>31</v>
      </c>
      <c r="S175" s="5">
        <f>IF(NOT(D168&gt;0),FALSE,SLOPE(G168:G178,B168:B178))</f>
        <v>0.93153000000000041</v>
      </c>
      <c r="U175" s="18"/>
      <c r="V175" s="39" t="s">
        <v>31</v>
      </c>
      <c r="W175" s="5">
        <f>IF(NOT(D168&gt;0),FALSE,SLOPE(G168:G178,B168:B178))</f>
        <v>0.93153000000000041</v>
      </c>
      <c r="Y175" s="18"/>
      <c r="Z175" s="39" t="s">
        <v>31</v>
      </c>
      <c r="AA175" s="5">
        <f>IF(NOT(L168&gt;0),FALSE,SLOPE(O168:O178,J168:J178))</f>
        <v>-9.5868656218362283E-3</v>
      </c>
    </row>
    <row r="176" spans="1:27">
      <c r="A176" s="19">
        <f>_xll.ciqfunctions.udf.CIQ(A168,"IQ_TOTAL_REV",IQ_FY)</f>
        <v>1424.9</v>
      </c>
      <c r="B176" s="13">
        <v>9</v>
      </c>
      <c r="C176" s="14" t="s">
        <v>32</v>
      </c>
      <c r="D176" s="15" cm="1">
        <f t="array" ref="D176">_xlfn.SINGLE(IF(A176=A177,_xll.ciqfunctions.udf.CIQ(A168,"IQ_TOTAL_REV",IQ_FY-2)/I176, _xll.ciqfunctions.udf.CIQ(A168, "IQ_TOTAL_REV",IQ_FY-1)/I176))</f>
        <v>12.050747480380773</v>
      </c>
      <c r="E176" s="16">
        <f t="shared" si="47"/>
        <v>7.7285577396863758E-2</v>
      </c>
      <c r="F176" s="15">
        <f>IF(A176=A177,_xll.ciqfunctions.udf.CIQ(A168,"IQ_DILUT_EPS_EXCL",IQ_FY-2), _xll.ciqfunctions.udf.CIQ(A168, "IQ_DILUT_EPS_EXCL",IQ_FY-1))</f>
        <v>7</v>
      </c>
      <c r="G176" s="15">
        <f>IF(A176=A177,_xll.ciqfunctions.udf.CIQ(A168,"IQ_EBITDA_MARGIN",IQ_FY-2), _xll.ciqfunctions.udf.CIQ(A168, "IQ_EBITDA_MARGIN",IQ_FY-1))</f>
        <v>68.898700000000005</v>
      </c>
      <c r="H176" s="15">
        <f>IF(A176=A177,_xll.ciqfunctions.udf.CIQ(A168,"IQ_TOTAL_DIV_PAID_CF",IQ_FY-2)/-I176, _xll.ciqfunctions.udf.CIQ(A168, "IQ_TOTAL_DIV_PAID_CF",IQ_FY-1)/-I176)</f>
        <v>0</v>
      </c>
      <c r="I176" s="17">
        <f>IF(A176=A177,_xll.ciqfunctions.udf.CIQ(A168,"IQ_TOTAL_OUTSTANDING_FILING_DATE",IQ_FY-2), _xll.ciqfunctions.udf.CIQ(A168, "IQ_TOTAL_OUTSTANDING_FILING_DATE",IQ_FY-1))</f>
        <v>110.16744</v>
      </c>
      <c r="J176" s="17">
        <f>IF(A176=A177,_xll.ciqfunctions.udf.CIQ(A168,"IQ_CASH_OPER",IQ_FY-2), _xll.ciqfunctions.udf.CIQ(A168, "IQ_CASH_OPER",IQ_FY-1))</f>
        <v>807.2</v>
      </c>
      <c r="K176" s="17">
        <f>IF(A176=A177,_xll.ciqfunctions.udf.CIQ(A168,"IQ_CAPEX",IQ_FY-2), _xll.ciqfunctions.udf.CIQ(A168, "IQ_CAPEX",IQ_FY-1))</f>
        <v>-53</v>
      </c>
      <c r="L176" s="15">
        <f t="shared" si="44"/>
        <v>6.8459428666037807</v>
      </c>
      <c r="M176" s="17">
        <f>IF(A176=A177,_xll.ciqfunctions.udf.CIQ(A168,"IQ_TOTAL_DEBT_ISSUED",IQ_FY-2), _xll.ciqfunctions.udf.CIQ(A168, "IQ_TOTAL_DEBT_ISSUED",IQ_FY-1))</f>
        <v>741.1</v>
      </c>
      <c r="N176" s="17">
        <f>IF(A176=A177,_xll.ciqfunctions.udf.CIQ(A168,"IQ_TOTAL_DEBT_REPAID",IQ_FY-2), _xll.ciqfunctions.udf.CIQ(A168, "IQ_TOTAL_DEBT_REPAID",IQ_FY-1))</f>
        <v>-750</v>
      </c>
      <c r="O176" s="15">
        <f t="shared" si="45"/>
        <v>-8.0786119746451196E-2</v>
      </c>
      <c r="P176" s="15">
        <f t="shared" si="46"/>
        <v>6.7651567468573299</v>
      </c>
      <c r="Q176" s="25" t="s">
        <v>33</v>
      </c>
      <c r="R176" s="38" t="s">
        <v>52</v>
      </c>
      <c r="S176" s="4">
        <f>(AVERAGE(O173:O178)/AVERAGE(P173:P178))</f>
        <v>-0.35404712892598994</v>
      </c>
      <c r="U176" s="25" t="s">
        <v>54</v>
      </c>
      <c r="V176" s="38" t="s">
        <v>52</v>
      </c>
      <c r="W176" s="4">
        <f>(AVERAGE(O173:O178)/AVERAGE(P173:P178))</f>
        <v>-0.35404712892598994</v>
      </c>
      <c r="Y176" s="25" t="s">
        <v>60</v>
      </c>
      <c r="Z176" s="38" t="s">
        <v>52</v>
      </c>
      <c r="AA176" s="4">
        <f>(AVERAGE(O173:O178)/AVERAGE(P173:P178))</f>
        <v>-0.35404712892598994</v>
      </c>
    </row>
    <row r="177" spans="1:27">
      <c r="A177" s="19">
        <f>_xll.ciqfunctions.udf.CIQ(A168,"IQ_TOTAL_REV",IQ_LTM)</f>
        <v>1481.9</v>
      </c>
      <c r="B177" s="13">
        <v>10</v>
      </c>
      <c r="C177" s="14" t="s">
        <v>34</v>
      </c>
      <c r="D177" s="15" cm="1">
        <f t="array" ref="D177">_xlfn.SINGLE(IF(A176=A177,_xll.ciqfunctions.udf.CIQ(A168,"IQ_TOTAL_REV",IQ_FY-1)/I177, _xll.ciqfunctions.udf.CIQ(A168, "IQ_TOTAL_REV",IQ_FY)/I177))</f>
        <v>13.586092433293087</v>
      </c>
      <c r="E177" s="16">
        <f t="shared" si="47"/>
        <v>0.1274066156818848</v>
      </c>
      <c r="F177" s="15">
        <f>IF(A176=A177,_xll.ciqfunctions.udf.CIQ(A168,"IQ_DILUT_EPS_EXCL",IQ_FY-1), _xll.ciqfunctions.udf.CIQ(A168, "IQ_DILUT_EPS_EXCL",IQ_FY))</f>
        <v>6.24</v>
      </c>
      <c r="G177" s="15">
        <f>IF(A176=A177,_xll.ciqfunctions.udf.CIQ(A168,"IQ_EBITDA_MARGIN",IQ_FY-1), _xll.ciqfunctions.udf.CIQ(A168, "IQ_EBITDA_MARGIN",IQ_FY))</f>
        <v>69.478499999999997</v>
      </c>
      <c r="H177" s="15">
        <f>IF(A176=A177,_xll.ciqfunctions.udf.CIQ(A168,"IQ_TOTAL_DIV_PAID_CF",IQ_FY-1)/-I177, _xll.ciqfunctions.udf.CIQ(A168, "IQ_TOTAL_DIV_PAID_CF",IQ_FY)/-I177)</f>
        <v>0</v>
      </c>
      <c r="I177" s="17">
        <f>IF(A176=A177,_xll.ciqfunctions.udf.CIQ(A168,"IQ_TOTAL_OUTSTANDING_FILING_DATE",IQ_FY-1), _xll.ciqfunctions.udf.CIQ(A168, "IQ_TOTAL_OUTSTANDING_FILING_DATE",IQ_FY))</f>
        <v>104.87931</v>
      </c>
      <c r="J177" s="17">
        <f>IF(A176=A177,_xll.ciqfunctions.udf.CIQ(A168,"IQ_CASH_OPER",IQ_FY-1), _xll.ciqfunctions.udf.CIQ(A168, "IQ_CASH_OPER",IQ_FY))</f>
        <v>831.1</v>
      </c>
      <c r="K177" s="17">
        <f>IF(A176=A177,_xll.ciqfunctions.udf.CIQ(A168,"IQ_CAPEX",IQ_FY-1), _xll.ciqfunctions.udf.CIQ(A168, "IQ_CAPEX",IQ_FY))</f>
        <v>-27.4</v>
      </c>
      <c r="L177" s="15">
        <f t="shared" si="44"/>
        <v>7.663093893352273</v>
      </c>
      <c r="M177" s="17">
        <f>IF(A176=A177,_xll.ciqfunctions.udf.CIQ(A168,"IQ_TOTAL_DEBT_ISSUED",IQ_FY-1), _xll.ciqfunctions.udf.CIQ(A168, "IQ_TOTAL_DEBT_ISSUED",IQ_FY))</f>
        <v>0</v>
      </c>
      <c r="N177" s="17">
        <f>IF(A176=A177,_xll.ciqfunctions.udf.CIQ(A168,"IQ_TOTAL_DEBT_REPAID",IQ_FY-1), _xll.ciqfunctions.udf.CIQ(A168, "IQ_TOTAL_DEBT_REPAID",IQ_FY))</f>
        <v>0</v>
      </c>
      <c r="O177" s="15">
        <f t="shared" si="45"/>
        <v>0</v>
      </c>
      <c r="P177" s="15">
        <f t="shared" si="46"/>
        <v>7.663093893352273</v>
      </c>
      <c r="Q177" s="25" t="s">
        <v>44</v>
      </c>
      <c r="R177" s="38" t="s">
        <v>35</v>
      </c>
      <c r="S177" s="1">
        <f>_xll.ciqfunctions.udf.CIQ(A168,"IQ_TEV_EBITDA")</f>
        <v>21.85605</v>
      </c>
      <c r="U177" s="25" t="s">
        <v>55</v>
      </c>
      <c r="V177" s="38" t="s">
        <v>53</v>
      </c>
      <c r="W177" s="1">
        <f>V167/(AVERAGE(D173:D178)/_xlfn.STDEV.P(E173:E178))</f>
        <v>1.5861275204202308</v>
      </c>
      <c r="Y177" s="25" t="s">
        <v>57</v>
      </c>
      <c r="Z177" s="38" t="s">
        <v>53</v>
      </c>
      <c r="AA177" s="1">
        <f>Z167/(AVERAGE(D173:D178)/_xlfn.STDEV.P(E173:E178))</f>
        <v>1.5861275204202308</v>
      </c>
    </row>
    <row r="178" spans="1:27">
      <c r="B178" s="13">
        <v>11</v>
      </c>
      <c r="C178" s="20" t="s">
        <v>36</v>
      </c>
      <c r="D178" s="21" cm="1">
        <f t="array" ref="D178">_xlfn.SINGLE(IF(A176=A177,_xll.ciqfunctions.udf.CIQ(A168,"IQ_TOTAL_REV",IQ_FY)/I178, _xll.ciqfunctions.udf.CIQ(A168, "IQ_TOTAL_REV",IQ_LTM)/I178))</f>
        <v>14.514201762977475</v>
      </c>
      <c r="E178" s="22">
        <f t="shared" si="47"/>
        <v>6.8313191172616375E-2</v>
      </c>
      <c r="F178" s="21">
        <f>IF(A176=A177,_xll.ciqfunctions.udf.CIQ(A168,"IQ_DILUT_EPS_EXCL",IQ_FY), _xll.ciqfunctions.udf.CIQ(A168, "IQ_DILUT_EPS_EXCL",IQ_LTM))</f>
        <v>7.0123499999999996</v>
      </c>
      <c r="G178" s="21">
        <f>IF(A176=A177,_xll.ciqfunctions.udf.CIQ(A168,"IQ_EBITDA_MARGIN",IQ_FY), _xll.ciqfunctions.udf.CIQ(A168, "IQ_EBITDA_MARGIN",IQ_LTM))</f>
        <v>69.856200000000001</v>
      </c>
      <c r="H178" s="21">
        <f>IF(A176=A177,_xll.ciqfunctions.udf.CIQ(A168,"IQ_TOTAL_DIV_PAID_CF",IQ_FY)/-I178, _xll.ciqfunctions.udf.CIQ(A168, "IQ_TOTAL_DIV_PAID_CF",IQ_LTM)/-I178)</f>
        <v>0</v>
      </c>
      <c r="I178" s="23">
        <f>IF(A176=A177,_xll.ciqfunctions.udf.CIQ(A168,"IQ_TOTAL_OUTSTANDING_FILING_DATE",IQ_FY),_xll.ciqfunctions.udf.CIQ(A168,"IQ_sharesoutstanding"))</f>
        <v>102.1</v>
      </c>
      <c r="J178" s="23">
        <f>IF(A176=A177,_xll.ciqfunctions.udf.CIQ(A168,"IQ_CASH_OPER",IQ_FY), _xll.ciqfunctions.udf.CIQ(A168, "IQ_CASH_OPER",IQ_LTM))</f>
        <v>866.5</v>
      </c>
      <c r="K178" s="23">
        <f>IF(A176=A177,_xll.ciqfunctions.udf.CIQ(A168,"IQ_CAPEX",IQ_FY), _xll.ciqfunctions.udf.CIQ(A168, "IQ_CAPEX",IQ_LTM))</f>
        <v>-48.5</v>
      </c>
      <c r="L178" s="21">
        <f t="shared" si="44"/>
        <v>8.0117531831537718</v>
      </c>
      <c r="M178" s="23">
        <f>IF(A176=A177,_xll.ciqfunctions.udf.CIQ(A168,"IQ_TOTAL_DEBT_ISSUED",IQ_FY), _xll.ciqfunctions.udf.CIQ(A168, "IQ_TOTAL_DEBT_ISSUED",IQ_LTM))</f>
        <v>0</v>
      </c>
      <c r="N178" s="23">
        <f>IF(A176=A177,_xll.ciqfunctions.udf.CIQ(A168,"IQ_TOTAL_DEBT_REPAID",IQ_FY), _xll.ciqfunctions.udf.CIQ(A168, "IQ_TOTAL_DEBT_REPAID",IQ_LTM))</f>
        <v>0</v>
      </c>
      <c r="O178" s="21">
        <f t="shared" si="45"/>
        <v>0</v>
      </c>
      <c r="P178" s="21">
        <f t="shared" si="46"/>
        <v>8.0117531831537718</v>
      </c>
      <c r="Q178" s="25" t="s">
        <v>45</v>
      </c>
      <c r="S178" s="45"/>
      <c r="U178" s="25"/>
      <c r="W178" s="45"/>
      <c r="Y178" s="25"/>
      <c r="AA178" s="45"/>
    </row>
    <row r="179" spans="1:27">
      <c r="B179" s="24"/>
      <c r="C179" s="25" t="s">
        <v>37</v>
      </c>
      <c r="E179" s="26">
        <f>((D178/D173)^(1/5))-1</f>
        <v>7.4175566282119743E-2</v>
      </c>
      <c r="F179" s="27">
        <f>((F178/F173)^(1/5))-1</f>
        <v>8.1020662196629178E-2</v>
      </c>
      <c r="G179" s="28"/>
      <c r="H179" s="27" t="e">
        <f>((H178/H173)^(1/5))-1</f>
        <v>#DIV/0!</v>
      </c>
      <c r="I179" s="27">
        <f>((I178/I173)^(1/5))-1</f>
        <v>-3.1330845322722234E-2</v>
      </c>
      <c r="J179" s="27"/>
      <c r="K179" s="27"/>
      <c r="L179" s="26">
        <f>((L178/L173)^(1/5))-1</f>
        <v>7.7373877193854579E-2</v>
      </c>
      <c r="M179" s="26"/>
      <c r="N179" s="26"/>
      <c r="O179" s="26"/>
      <c r="P179" s="26">
        <f>((P178/P173)^(1/5))-1</f>
        <v>-2.1023396255514282</v>
      </c>
      <c r="Q179" s="18"/>
      <c r="R179" s="36"/>
      <c r="S179" s="45"/>
      <c r="U179" s="18"/>
      <c r="V179" s="36"/>
      <c r="W179" s="45"/>
      <c r="Y179" s="18"/>
      <c r="Z179" s="36"/>
      <c r="AA179" s="45"/>
    </row>
    <row r="180" spans="1:27">
      <c r="A180" s="29"/>
      <c r="B180" s="30"/>
      <c r="C180" s="31" t="s">
        <v>38</v>
      </c>
      <c r="D180" s="29"/>
      <c r="E180" s="32">
        <f>((D178/D168)^(1/10))-1</f>
        <v>7.2318429223099168E-2</v>
      </c>
      <c r="F180" s="33">
        <f>((F178/F168)^(1/10))-1</f>
        <v>7.2269161266143023E-2</v>
      </c>
      <c r="G180" s="34"/>
      <c r="H180" s="33" t="e">
        <f>((H178/H168)^(1/10))-1</f>
        <v>#DIV/0!</v>
      </c>
      <c r="I180" s="33">
        <f>((I178/I168)^(1/10))-1</f>
        <v>-2.6577291963247873E-2</v>
      </c>
      <c r="J180" s="33"/>
      <c r="K180" s="33"/>
      <c r="L180" s="32">
        <f>((L178/L168)^(1/10))-1</f>
        <v>7.6202988088978962E-2</v>
      </c>
      <c r="M180" s="32"/>
      <c r="N180" s="32"/>
      <c r="O180" s="32"/>
      <c r="P180" s="32">
        <f>((P178/P168)^(1/10))-1</f>
        <v>-7.2844164529060063E-3</v>
      </c>
      <c r="Q180" s="40"/>
      <c r="R180" s="41"/>
      <c r="S180" s="46"/>
      <c r="U180" s="40"/>
      <c r="V180" s="41"/>
      <c r="W180" s="46"/>
      <c r="Y180" s="40"/>
      <c r="Z180" s="41"/>
      <c r="AA180" s="46"/>
    </row>
    <row r="181" spans="1:27">
      <c r="B181" s="24"/>
      <c r="C181" s="25"/>
      <c r="E181" s="26"/>
      <c r="F181" s="27"/>
      <c r="G181" s="28"/>
      <c r="H181" s="27"/>
      <c r="I181" s="27"/>
      <c r="J181" s="27"/>
      <c r="K181" s="27"/>
      <c r="L181" s="26"/>
      <c r="M181" s="17"/>
      <c r="N181" s="17"/>
      <c r="O181" s="17"/>
      <c r="P181" s="35"/>
      <c r="Q181" s="18"/>
      <c r="R181" s="36"/>
    </row>
    <row r="182" spans="1:27">
      <c r="A182" s="9" t="s">
        <v>0</v>
      </c>
      <c r="B182" s="10"/>
      <c r="C182" s="9" t="s">
        <v>1</v>
      </c>
      <c r="D182" s="9" t="s">
        <v>2</v>
      </c>
      <c r="E182" s="9" t="s">
        <v>3</v>
      </c>
      <c r="F182" s="11" t="s">
        <v>4</v>
      </c>
      <c r="G182" s="11" t="s">
        <v>5</v>
      </c>
      <c r="H182" s="9" t="s">
        <v>6</v>
      </c>
      <c r="I182" s="11" t="s">
        <v>7</v>
      </c>
      <c r="J182" s="11" t="s">
        <v>8</v>
      </c>
      <c r="K182" s="11" t="s">
        <v>9</v>
      </c>
      <c r="L182" s="11" t="s">
        <v>10</v>
      </c>
      <c r="M182" s="11" t="s">
        <v>11</v>
      </c>
      <c r="N182" s="11" t="s">
        <v>12</v>
      </c>
      <c r="O182" s="11" t="s">
        <v>13</v>
      </c>
      <c r="P182" s="11" t="s">
        <v>14</v>
      </c>
      <c r="Q182" s="37" t="s">
        <v>15</v>
      </c>
      <c r="R182" s="42">
        <f>_xll.ciqfunctions.udf.CIQ(A183,("IQ_LASTSALEPRICE"))</f>
        <v>256.505</v>
      </c>
      <c r="S182" s="44"/>
      <c r="U182" s="37" t="s">
        <v>15</v>
      </c>
      <c r="V182" s="42">
        <f>_xll.ciqfunctions.udf.CIQ(A183,("IQ_LASTSALEPRICE"))</f>
        <v>256.505</v>
      </c>
      <c r="W182" s="44"/>
      <c r="Y182" s="37" t="s">
        <v>15</v>
      </c>
      <c r="Z182" s="42">
        <f>_xll.ciqfunctions.udf.CIQ(A183,("IQ_LASTSALEPRICE"))</f>
        <v>256.505</v>
      </c>
      <c r="AA182" s="44"/>
    </row>
    <row r="183" spans="1:27">
      <c r="A183" s="12" t="str">
        <f>Analysis!B14</f>
        <v>NYSE:EPAM</v>
      </c>
      <c r="B183" s="13">
        <v>1</v>
      </c>
      <c r="C183" s="14" t="s">
        <v>16</v>
      </c>
      <c r="D183" s="15">
        <f>IF(A191=A192,_xll.ciqfunctions.udf.CIQ(A183,"IQ_TOTAL_REV",IQ_FY-10)/I183,_xll.ciqfunctions.udf.CIQ(A183, "IQ_TOTAL_REV",IQ_FY-9)/I183)</f>
        <v>11.8491441598166</v>
      </c>
      <c r="E183" s="16"/>
      <c r="F183" s="15">
        <f>IF(A191=A192,_xll.ciqfunctions.udf.CIQ(A183,"IQ_DILUT_EPS_EXCL",IQ_FY-10), _xll.ciqfunctions.udf.CIQ(A183, "IQ_DILUT_EPS_EXCL",IQ_FY-9))</f>
        <v>1.28</v>
      </c>
      <c r="G183" s="15">
        <f>IF(A191=A192,_xll.ciqfunctions.udf.CIQ(A183,"IQ_EBITDA_MARGIN",IQ_FY-10), _xll.ciqfunctions.udf.CIQ(A183, "IQ_EBITDA_MARGIN",IQ_FY-9))</f>
        <v>17.298999999999999</v>
      </c>
      <c r="H183" s="15">
        <f>IF(A191=A192,_xll.ciqfunctions.udf.CIQ(A183,"IQ_TOTAL_DIV_PAID_CF",IQ_FY-10)/-I183, _xll.ciqfunctions.udf.CIQ(A183, "IQ_TOTAL_DIV_PAID_CF",IQ_FY-9)/-I183)</f>
        <v>0</v>
      </c>
      <c r="I183" s="17">
        <f>IF(A191=A192,_xll.ciqfunctions.udf.CIQ(A183,"IQ_TOTAL_OUTSTANDING_FILING_DATE",IQ_FY-10), _xll.ciqfunctions.udf.CIQ(A183, "IQ_TOTAL_OUTSTANDING_FILING_DATE",IQ_FY-9))</f>
        <v>46.848700000000001</v>
      </c>
      <c r="J183" s="17">
        <f>IF(A191=A192,_xll.ciqfunctions.udf.CIQ(A183,"IQ_CASH_OPER",IQ_FY-10), _xll.ciqfunctions.udf.CIQ(A183, "IQ_CASH_OPER",IQ_FY-9))</f>
        <v>58.225000000000001</v>
      </c>
      <c r="K183" s="17">
        <f>IF(A191=A192,_xll.ciqfunctions.udf.CIQ(A183,"IQ_CAPEX",IQ_FY-10), _xll.ciqfunctions.udf.CIQ(A183, "IQ_CAPEX",IQ_FY-9))</f>
        <v>-15.92</v>
      </c>
      <c r="L183" s="15">
        <f t="shared" ref="L183:L193" si="48">(J183+K183)/I183</f>
        <v>0.90301331733858137</v>
      </c>
      <c r="M183" s="17">
        <f>IF(A191=A192,_xll.ciqfunctions.udf.CIQ(A183,"IQ_TOTAL_DEBT_ISSUED",IQ_FY-10), _xll.ciqfunctions.udf.CIQ(A183, "IQ_TOTAL_DEBT_ISSUED",IQ_FY-9))</f>
        <v>0</v>
      </c>
      <c r="N183" s="17">
        <f>IF(A191=A192,_xll.ciqfunctions.udf.CIQ(A183,"IQ_TOTAL_DEBT_REPAID",IQ_FY-10), _xll.ciqfunctions.udf.CIQ(A183, "IQ_TOTAL_DEBT_REPAID",IQ_FY-9))</f>
        <v>0</v>
      </c>
      <c r="O183" s="15">
        <f t="shared" ref="O183:O193" si="49">(M183+N183)/I183</f>
        <v>0</v>
      </c>
      <c r="P183" s="15">
        <f t="shared" ref="P183:P193" si="50">L183+O183</f>
        <v>0.90301331733858137</v>
      </c>
      <c r="W183" s="43"/>
      <c r="AA183" s="43"/>
    </row>
    <row r="184" spans="1:27">
      <c r="A184" s="18" t="str">
        <f>_xll.ciqfunctions.udf.CIQ(A183,"IQ_COMPANY_NAME")</f>
        <v>EPAM Systems, Inc.</v>
      </c>
      <c r="B184" s="13">
        <v>2</v>
      </c>
      <c r="C184" s="14" t="s">
        <v>17</v>
      </c>
      <c r="D184" s="15">
        <f>IF(A191=A192,_xll.ciqfunctions.udf.CIQ(A183,"IQ_TOTAL_REV",IQ_FY-9)/I184, _xll.ciqfunctions.udf.CIQ(A183, "IQ_TOTAL_REV",IQ_FY-8)/I184)</f>
        <v>14.941801787751166</v>
      </c>
      <c r="E184" s="16">
        <f t="shared" ref="E184:E193" si="51">(D184-D183)/D183</f>
        <v>0.26100261641026684</v>
      </c>
      <c r="F184" s="15">
        <f>IF(A191=A192,_xll.ciqfunctions.udf.CIQ(A183,"IQ_DILUT_EPS_EXCL",IQ_FY-9), _xll.ciqfunctions.udf.CIQ(A183, "IQ_DILUT_EPS_EXCL",IQ_FY-8))</f>
        <v>1.4</v>
      </c>
      <c r="G184" s="15">
        <f>IF(A191=A192,_xll.ciqfunctions.udf.CIQ(A183,"IQ_EBITDA_MARGIN",IQ_FY-9), _xll.ciqfunctions.udf.CIQ(A183, "IQ_EBITDA_MARGIN",IQ_FY-8))</f>
        <v>15.998699999999999</v>
      </c>
      <c r="H184" s="15">
        <f>IF(A191=A192,_xll.ciqfunctions.udf.CIQ(A183,"IQ_TOTAL_DIV_PAID_CF",IQ_FY-9)/-I184, _xll.ciqfunctions.udf.CIQ(A183, "IQ_TOTAL_DIV_PAID_CF",IQ_FY-8)/-I184)</f>
        <v>0</v>
      </c>
      <c r="I184" s="17">
        <f>IF(A191=A192,_xll.ciqfunctions.udf.CIQ(A183,"IQ_TOTAL_OUTSTANDING_FILING_DATE",IQ_FY-9), _xll.ciqfunctions.udf.CIQ(A183, "IQ_TOTAL_OUTSTANDING_FILING_DATE",IQ_FY-8))</f>
        <v>48.858029999999999</v>
      </c>
      <c r="J184" s="17">
        <f>IF(A191=A192,_xll.ciqfunctions.udf.CIQ(A183,"IQ_CASH_OPER",IQ_FY-9), _xll.ciqfunctions.udf.CIQ(A183, "IQ_CASH_OPER",IQ_FY-8))</f>
        <v>104.874</v>
      </c>
      <c r="K184" s="17">
        <f>IF(A191=A192,_xll.ciqfunctions.udf.CIQ(A183,"IQ_CAPEX",IQ_FY-9), _xll.ciqfunctions.udf.CIQ(A183, "IQ_CAPEX",IQ_FY-8))</f>
        <v>-15.84</v>
      </c>
      <c r="L184" s="15">
        <f t="shared" si="48"/>
        <v>1.8223002441973202</v>
      </c>
      <c r="M184" s="17">
        <f>IF(A191=A192,_xll.ciqfunctions.udf.CIQ(A183,"IQ_TOTAL_DEBT_ISSUED",IQ_FY-9), _xll.ciqfunctions.udf.CIQ(A183, "IQ_TOTAL_DEBT_ISSUED",IQ_FY-8))</f>
        <v>0</v>
      </c>
      <c r="N184" s="17">
        <f>IF(A191=A192,_xll.ciqfunctions.udf.CIQ(A183,"IQ_TOTAL_DEBT_REPAID",IQ_FY-9), _xll.ciqfunctions.udf.CIQ(A183, "IQ_TOTAL_DEBT_REPAID",IQ_FY-8))</f>
        <v>0</v>
      </c>
      <c r="O184" s="15">
        <f t="shared" si="49"/>
        <v>0</v>
      </c>
      <c r="P184" s="15">
        <f t="shared" si="50"/>
        <v>1.8223002441973202</v>
      </c>
      <c r="Q184" s="25" t="s">
        <v>18</v>
      </c>
      <c r="R184" s="39" t="s">
        <v>19</v>
      </c>
      <c r="S184" s="1">
        <f>R182/((AVERAGE(P188:P193))*(1+E194)^3)</f>
        <v>22.501727515380065</v>
      </c>
      <c r="U184" s="25" t="s">
        <v>48</v>
      </c>
      <c r="V184" s="39" t="s">
        <v>19</v>
      </c>
      <c r="W184" s="1">
        <f>V182/((AVERAGE(P188:P193))*(1+E194)^3)</f>
        <v>22.501727515380065</v>
      </c>
      <c r="Y184" s="25" t="s">
        <v>39</v>
      </c>
      <c r="Z184" s="39" t="s">
        <v>19</v>
      </c>
      <c r="AA184" s="1">
        <f>Z182/((AVERAGE(P188:P193))*(1+E194)^3)</f>
        <v>22.501727515380065</v>
      </c>
    </row>
    <row r="185" spans="1:27">
      <c r="B185" s="13">
        <v>3</v>
      </c>
      <c r="C185" s="14" t="s">
        <v>20</v>
      </c>
      <c r="D185" s="15" cm="1">
        <f t="array" ref="D185">_xlfn.SINGLE(IF(A191=A192,_xll.ciqfunctions.udf.CIQ(A183,"IQ_TOTAL_REV",IQ_FY-8)/I185, _xll.ciqfunctions.udf.CIQ(A183, "IQ_TOTAL_REV",IQ_FY-7)/I185))</f>
        <v>18.14808991298078</v>
      </c>
      <c r="E185" s="16">
        <f t="shared" si="51"/>
        <v>0.21458510631950903</v>
      </c>
      <c r="F185" s="15">
        <f>IF(A191=A192,_xll.ciqfunctions.udf.CIQ(A183,"IQ_DILUT_EPS_EXCL",IQ_FY-8), _xll.ciqfunctions.udf.CIQ(A183, "IQ_DILUT_EPS_EXCL",IQ_FY-7))</f>
        <v>1.62</v>
      </c>
      <c r="G185" s="15">
        <f>IF(A191=A192,_xll.ciqfunctions.udf.CIQ(A183,"IQ_EBITDA_MARGIN",IQ_FY-8), _xll.ciqfunctions.udf.CIQ(A183, "IQ_EBITDA_MARGIN",IQ_FY-7))</f>
        <v>16.015999999999998</v>
      </c>
      <c r="H185" s="15">
        <f>IF(A191=A192,_xll.ciqfunctions.udf.CIQ(A183,"IQ_TOTAL_DIV_PAID_CF",IQ_FY-8)/-I185, _xll.ciqfunctions.udf.CIQ(A183, "IQ_TOTAL_DIV_PAID_CF",IQ_FY-7)/-I185)</f>
        <v>0</v>
      </c>
      <c r="I185" s="17">
        <f>IF(A191=A192,_xll.ciqfunctions.udf.CIQ(A183,"IQ_TOTAL_OUTSTANDING_FILING_DATE",IQ_FY-8), _xll.ciqfunctions.udf.CIQ(A183, "IQ_TOTAL_OUTSTANDING_FILING_DATE",IQ_FY-7))</f>
        <v>50.370480000000001</v>
      </c>
      <c r="J185" s="17">
        <f>IF(A191=A192,_xll.ciqfunctions.udf.CIQ(A183,"IQ_CASH_OPER",IQ_FY-8), _xll.ciqfunctions.udf.CIQ(A183, "IQ_CASH_OPER",IQ_FY-7))</f>
        <v>76.393000000000001</v>
      </c>
      <c r="K185" s="17">
        <f>IF(A191=A192,_xll.ciqfunctions.udf.CIQ(A183,"IQ_CAPEX",IQ_FY-8), _xll.ciqfunctions.udf.CIQ(A183, "IQ_CAPEX",IQ_FY-7))</f>
        <v>-17.963999999999999</v>
      </c>
      <c r="L185" s="15">
        <f t="shared" si="48"/>
        <v>1.1599849753268183</v>
      </c>
      <c r="M185" s="17">
        <f>IF(A191=A192,_xll.ciqfunctions.udf.CIQ(A183,"IQ_TOTAL_DEBT_ISSUED",IQ_FY-8), _xll.ciqfunctions.udf.CIQ(A183, "IQ_TOTAL_DEBT_ISSUED",IQ_FY-7))</f>
        <v>35</v>
      </c>
      <c r="N185" s="17">
        <f>IF(A191=A192,_xll.ciqfunctions.udf.CIQ(A183,"IQ_TOTAL_DEBT_REPAID",IQ_FY-8), _xll.ciqfunctions.udf.CIQ(A183, "IQ_TOTAL_DEBT_REPAID",IQ_FY-7))</f>
        <v>0</v>
      </c>
      <c r="O185" s="15">
        <f t="shared" si="49"/>
        <v>0.69485142885277251</v>
      </c>
      <c r="P185" s="15">
        <f t="shared" si="50"/>
        <v>1.8548364041795908</v>
      </c>
      <c r="Q185" s="25" t="s">
        <v>21</v>
      </c>
      <c r="R185" s="38" t="s">
        <v>49</v>
      </c>
      <c r="S185" s="2">
        <f>(R182*I193)/1000</f>
        <v>14.8004616224</v>
      </c>
      <c r="U185" s="25" t="s">
        <v>59</v>
      </c>
      <c r="V185" s="38" t="s">
        <v>49</v>
      </c>
      <c r="W185" s="2">
        <f>(V182*I193)/1000</f>
        <v>14.8004616224</v>
      </c>
      <c r="Y185" s="25" t="s">
        <v>46</v>
      </c>
      <c r="Z185" s="38" t="s">
        <v>49</v>
      </c>
      <c r="AA185" s="2">
        <f>(Z182*I193)/1000</f>
        <v>14.8004616224</v>
      </c>
    </row>
    <row r="186" spans="1:27">
      <c r="A186" s="18"/>
      <c r="B186" s="13">
        <v>4</v>
      </c>
      <c r="C186" s="14" t="s">
        <v>22</v>
      </c>
      <c r="D186" s="15" cm="1">
        <f t="array" ref="D186">_xlfn.SINGLE(IF(A191=A192,_xll.ciqfunctions.udf.CIQ(A183,"IQ_TOTAL_REV",IQ_FY-7)/I186, _xll.ciqfunctions.udf.CIQ(A183, "IQ_TOTAL_REV",IQ_FY-6)/I186))</f>
        <v>22.665601244121781</v>
      </c>
      <c r="E186" s="16">
        <f t="shared" si="51"/>
        <v>0.24892489252600419</v>
      </c>
      <c r="F186" s="15">
        <f>IF(A191=A192,_xll.ciqfunctions.udf.CIQ(A183,"IQ_DILUT_EPS_EXCL",IQ_FY-7), _xll.ciqfunctions.udf.CIQ(A183, "IQ_DILUT_EPS_EXCL",IQ_FY-6))</f>
        <v>1.87</v>
      </c>
      <c r="G186" s="15">
        <f>IF(A191=A192,_xll.ciqfunctions.udf.CIQ(A183,"IQ_EBITDA_MARGIN",IQ_FY-7), _xll.ciqfunctions.udf.CIQ(A183, "IQ_EBITDA_MARGIN",IQ_FY-6))</f>
        <v>13.6462</v>
      </c>
      <c r="H186" s="15">
        <f>IF(A191=A192,_xll.ciqfunctions.udf.CIQ(A183,"IQ_TOTAL_DIV_PAID_CF",IQ_FY-7)/-I186, _xll.ciqfunctions.udf.CIQ(A183, "IQ_TOTAL_DIV_PAID_CF",IQ_FY-6)/-I186)</f>
        <v>0</v>
      </c>
      <c r="I186" s="17">
        <f>IF(A191=A192,_xll.ciqfunctions.udf.CIQ(A183,"IQ_TOTAL_OUTSTANDING_FILING_DATE",IQ_FY-7), _xll.ciqfunctions.udf.CIQ(A183, "IQ_TOTAL_OUTSTANDING_FILING_DATE",IQ_FY-6))</f>
        <v>51.184699999999999</v>
      </c>
      <c r="J186" s="17">
        <f>IF(A191=A192,_xll.ciqfunctions.udf.CIQ(A183,"IQ_CASH_OPER",IQ_FY-7), _xll.ciqfunctions.udf.CIQ(A183, "IQ_CASH_OPER",IQ_FY-6))</f>
        <v>167.21700000000001</v>
      </c>
      <c r="K186" s="17">
        <f>IF(A191=A192,_xll.ciqfunctions.udf.CIQ(A183,"IQ_CAPEX",IQ_FY-7), _xll.ciqfunctions.udf.CIQ(A183, "IQ_CAPEX",IQ_FY-6))</f>
        <v>-29.317</v>
      </c>
      <c r="L186" s="15">
        <f t="shared" si="48"/>
        <v>2.69416446711615</v>
      </c>
      <c r="M186" s="17">
        <f>IF(A191=A192,_xll.ciqfunctions.udf.CIQ(A183,"IQ_TOTAL_DEBT_ISSUED",IQ_FY-7), _xll.ciqfunctions.udf.CIQ(A183, "IQ_TOTAL_DEBT_ISSUED",IQ_FY-6))</f>
        <v>20</v>
      </c>
      <c r="N186" s="17">
        <f>IF(A191=A192,_xll.ciqfunctions.udf.CIQ(A183,"IQ_TOTAL_DEBT_REPAID",IQ_FY-7), _xll.ciqfunctions.udf.CIQ(A183, "IQ_TOTAL_DEBT_REPAID",IQ_FY-6))</f>
        <v>-30.129000000000001</v>
      </c>
      <c r="O186" s="15">
        <f t="shared" si="49"/>
        <v>-0.19789116669629794</v>
      </c>
      <c r="P186" s="15">
        <f t="shared" si="50"/>
        <v>2.4962733004198521</v>
      </c>
      <c r="Q186" s="25" t="s">
        <v>23</v>
      </c>
      <c r="R186" s="38" t="s">
        <v>24</v>
      </c>
      <c r="S186" s="1" t="e">
        <f>R182/(AVERAGE(H188:H193)*(1+H194)/(0.5-H194))</f>
        <v>#DIV/0!</v>
      </c>
      <c r="U186" s="25" t="s">
        <v>40</v>
      </c>
      <c r="V186" s="38" t="s">
        <v>24</v>
      </c>
      <c r="W186" s="1" t="e">
        <f>V182/(AVERAGE(H188:H193)*(1+H194)/(0.5-H194))</f>
        <v>#DIV/0!</v>
      </c>
      <c r="Y186" s="25" t="s">
        <v>47</v>
      </c>
      <c r="Z186" s="38" t="s">
        <v>24</v>
      </c>
      <c r="AA186" s="1" t="e">
        <f>Z182/(AVERAGE(H188:H193)*(1+H194)/(0.5-H194))</f>
        <v>#DIV/0!</v>
      </c>
    </row>
    <row r="187" spans="1:27">
      <c r="B187" s="13">
        <v>5</v>
      </c>
      <c r="C187" s="14" t="s">
        <v>25</v>
      </c>
      <c r="D187" s="15" cm="1">
        <f t="array" ref="D187">_xlfn.SINGLE(IF(A191=A192,_xll.ciqfunctions.udf.CIQ(A183,"IQ_TOTAL_REV",IQ_FY-6)/I187, _xll.ciqfunctions.udf.CIQ(A183, "IQ_TOTAL_REV",IQ_FY-5)/I187))</f>
        <v>27.346392324409788</v>
      </c>
      <c r="E187" s="16">
        <f t="shared" si="51"/>
        <v>0.20651519586324443</v>
      </c>
      <c r="F187" s="15">
        <f>IF(A191=A192,_xll.ciqfunctions.udf.CIQ(A183,"IQ_DILUT_EPS_EXCL",IQ_FY-6), _xll.ciqfunctions.udf.CIQ(A183, "IQ_DILUT_EPS_EXCL",IQ_FY-5))</f>
        <v>1.32</v>
      </c>
      <c r="G187" s="15">
        <f>IF(A191=A192,_xll.ciqfunctions.udf.CIQ(A183,"IQ_EBITDA_MARGIN",IQ_FY-6), _xll.ciqfunctions.udf.CIQ(A183, "IQ_EBITDA_MARGIN",IQ_FY-5))</f>
        <v>13.892799999999999</v>
      </c>
      <c r="H187" s="15">
        <f>IF(A191=A192,_xll.ciqfunctions.udf.CIQ(A183,"IQ_TOTAL_DIV_PAID_CF",IQ_FY-6)/-I187, _xll.ciqfunctions.udf.CIQ(A183, "IQ_TOTAL_DIV_PAID_CF",IQ_FY-5)/-I187)</f>
        <v>0</v>
      </c>
      <c r="I187" s="17">
        <f>IF(A191=A192,_xll.ciqfunctions.udf.CIQ(A183,"IQ_TOTAL_OUTSTANDING_FILING_DATE",IQ_FY-6), _xll.ciqfunctions.udf.CIQ(A183, "IQ_TOTAL_OUTSTANDING_FILING_DATE",IQ_FY-5))</f>
        <v>53.039830000000002</v>
      </c>
      <c r="J187" s="17">
        <f>IF(A191=A192,_xll.ciqfunctions.udf.CIQ(A183,"IQ_CASH_OPER",IQ_FY-6), _xll.ciqfunctions.udf.CIQ(A183, "IQ_CASH_OPER",IQ_FY-5))</f>
        <v>192.82</v>
      </c>
      <c r="K187" s="17">
        <f>IF(A191=A192,_xll.ciqfunctions.udf.CIQ(A183,"IQ_CAPEX",IQ_FY-6), _xll.ciqfunctions.udf.CIQ(A183, "IQ_CAPEX",IQ_FY-5))</f>
        <v>-29.806000000000001</v>
      </c>
      <c r="L187" s="15">
        <f t="shared" si="48"/>
        <v>3.0734261403175682</v>
      </c>
      <c r="M187" s="17">
        <f>IF(A191=A192,_xll.ciqfunctions.udf.CIQ(A183,"IQ_TOTAL_DEBT_ISSUED",IQ_FY-6), _xll.ciqfunctions.udf.CIQ(A183, "IQ_TOTAL_DEBT_ISSUED",IQ_FY-5))</f>
        <v>25</v>
      </c>
      <c r="N187" s="17">
        <f>IF(A191=A192,_xll.ciqfunctions.udf.CIQ(A183,"IQ_TOTAL_DEBT_REPAID",IQ_FY-6), _xll.ciqfunctions.udf.CIQ(A183, "IQ_TOTAL_DEBT_REPAID",IQ_FY-5))</f>
        <v>-25.103000000000002</v>
      </c>
      <c r="O187" s="15">
        <f t="shared" si="49"/>
        <v>-1.9419368425577822E-3</v>
      </c>
      <c r="P187" s="15">
        <f t="shared" si="50"/>
        <v>3.0714842034750105</v>
      </c>
      <c r="Q187" s="18"/>
      <c r="R187" s="38" t="s">
        <v>50</v>
      </c>
      <c r="S187" s="3">
        <f>I194</f>
        <v>1.2679898095769193E-2</v>
      </c>
      <c r="U187" s="18"/>
      <c r="V187" s="38" t="s">
        <v>50</v>
      </c>
      <c r="W187" s="3">
        <f>I194</f>
        <v>1.2679898095769193E-2</v>
      </c>
      <c r="Y187" s="18"/>
      <c r="Z187" s="38" t="s">
        <v>50</v>
      </c>
      <c r="AA187" s="3">
        <f>I194</f>
        <v>1.2679898095769193E-2</v>
      </c>
    </row>
    <row r="188" spans="1:27">
      <c r="B188" s="13">
        <v>6</v>
      </c>
      <c r="C188" s="14" t="s">
        <v>26</v>
      </c>
      <c r="D188" s="15" cm="1">
        <f t="array" ref="D188">_xlfn.SINGLE(IF(A191=A192,_xll.ciqfunctions.udf.CIQ(A183,"IQ_TOTAL_REV",IQ_FY-5)/I188, _xll.ciqfunctions.udf.CIQ(A183, "IQ_TOTAL_REV",IQ_FY-4)/I188))</f>
        <v>34.016225203701026</v>
      </c>
      <c r="E188" s="16">
        <f t="shared" si="51"/>
        <v>0.24390174762971015</v>
      </c>
      <c r="F188" s="15">
        <f>IF(A191=A192,_xll.ciqfunctions.udf.CIQ(A183,"IQ_DILUT_EPS_EXCL",IQ_FY-5), _xll.ciqfunctions.udf.CIQ(A183, "IQ_DILUT_EPS_EXCL",IQ_FY-4))</f>
        <v>4.24</v>
      </c>
      <c r="G188" s="15">
        <f>IF(A191=A192,_xll.ciqfunctions.udf.CIQ(A183,"IQ_EBITDA_MARGIN",IQ_FY-5), _xll.ciqfunctions.udf.CIQ(A183, "IQ_EBITDA_MARGIN",IQ_FY-4))</f>
        <v>15.346</v>
      </c>
      <c r="H188" s="15">
        <f>IF(A191=A192,_xll.ciqfunctions.udf.CIQ(A183,"IQ_TOTAL_DIV_PAID_CF",IQ_FY-5)/-I188, _xll.ciqfunctions.udf.CIQ(A183, "IQ_TOTAL_DIV_PAID_CF",IQ_FY-4)/-I188)</f>
        <v>0</v>
      </c>
      <c r="I188" s="17">
        <f>IF(A191=A192,_xll.ciqfunctions.udf.CIQ(A183,"IQ_TOTAL_OUTSTANDING_FILING_DATE",IQ_FY-5), _xll.ciqfunctions.udf.CIQ(A183, "IQ_TOTAL_OUTSTANDING_FILING_DATE",IQ_FY-4))</f>
        <v>54.177439999999997</v>
      </c>
      <c r="J188" s="17">
        <f>IF(A191=A192,_xll.ciqfunctions.udf.CIQ(A183,"IQ_CASH_OPER",IQ_FY-5), _xll.ciqfunctions.udf.CIQ(A183, "IQ_CASH_OPER",IQ_FY-4))</f>
        <v>292.21800000000002</v>
      </c>
      <c r="K188" s="17">
        <f>IF(A191=A192,_xll.ciqfunctions.udf.CIQ(A183,"IQ_CAPEX",IQ_FY-5), _xll.ciqfunctions.udf.CIQ(A183, "IQ_CAPEX",IQ_FY-4))</f>
        <v>-37.573999999999998</v>
      </c>
      <c r="L188" s="15">
        <f t="shared" si="48"/>
        <v>4.700185169325092</v>
      </c>
      <c r="M188" s="17">
        <f>IF(A191=A192,_xll.ciqfunctions.udf.CIQ(A183,"IQ_TOTAL_DEBT_ISSUED",IQ_FY-5), _xll.ciqfunctions.udf.CIQ(A183, "IQ_TOTAL_DEBT_ISSUED",IQ_FY-4))</f>
        <v>0</v>
      </c>
      <c r="N188" s="17">
        <f>IF(A191=A192,_xll.ciqfunctions.udf.CIQ(A183,"IQ_TOTAL_DEBT_REPAID",IQ_FY-5), _xll.ciqfunctions.udf.CIQ(A183, "IQ_TOTAL_DEBT_REPAID",IQ_FY-4))</f>
        <v>-3.4940000000000002</v>
      </c>
      <c r="O188" s="15">
        <f t="shared" si="49"/>
        <v>-6.4491788463980584E-2</v>
      </c>
      <c r="P188" s="15">
        <f t="shared" si="50"/>
        <v>4.6356933808611114</v>
      </c>
      <c r="Q188" s="25" t="s">
        <v>27</v>
      </c>
      <c r="R188" s="38" t="s">
        <v>51</v>
      </c>
      <c r="S188" s="4">
        <f>AVERAGE(F188:F193)/AVERAGE(D188:D193)</f>
        <v>0.10594809135284079</v>
      </c>
      <c r="U188" s="25" t="s">
        <v>58</v>
      </c>
      <c r="V188" s="38" t="s">
        <v>51</v>
      </c>
      <c r="W188" s="4">
        <f>AVERAGE(F188:F193)/AVERAGE(D188:D193)</f>
        <v>0.10594809135284079</v>
      </c>
      <c r="Y188" s="25" t="s">
        <v>56</v>
      </c>
      <c r="Z188" s="38" t="s">
        <v>51</v>
      </c>
      <c r="AA188" s="4">
        <f>AVERAGE(F188:F193)/AVERAGE(D188:D193)</f>
        <v>0.10594809135284079</v>
      </c>
    </row>
    <row r="189" spans="1:27">
      <c r="A189" s="18"/>
      <c r="B189" s="13">
        <v>7</v>
      </c>
      <c r="C189" s="14" t="s">
        <v>28</v>
      </c>
      <c r="D189" s="15" cm="1">
        <f t="array" ref="D189">_xlfn.SINGLE(IF(A191=A192,_xll.ciqfunctions.udf.CIQ(A183,"IQ_TOTAL_REV",IQ_FY-4)/I189, _xll.ciqfunctions.udf.CIQ(A183, "IQ_TOTAL_REV",IQ_FY-3)/I189))</f>
        <v>41.509808867956416</v>
      </c>
      <c r="E189" s="16">
        <f t="shared" si="51"/>
        <v>0.22029439243717361</v>
      </c>
      <c r="F189" s="15">
        <f>IF(A191=A192,_xll.ciqfunctions.udf.CIQ(A183,"IQ_DILUT_EPS_EXCL",IQ_FY-4), _xll.ciqfunctions.udf.CIQ(A183, "IQ_DILUT_EPS_EXCL",IQ_FY-3))</f>
        <v>4.53</v>
      </c>
      <c r="G189" s="15">
        <f>IF(A191=A192,_xll.ciqfunctions.udf.CIQ(A183,"IQ_EBITDA_MARGIN",IQ_FY-4), _xll.ciqfunctions.udf.CIQ(A183, "IQ_EBITDA_MARGIN",IQ_FY-3))</f>
        <v>15.157400000000001</v>
      </c>
      <c r="H189" s="15">
        <f>IF(A191=A192,_xll.ciqfunctions.udf.CIQ(A183,"IQ_TOTAL_DIV_PAID_CF",IQ_FY-4)/-I189, _xll.ciqfunctions.udf.CIQ(A183, "IQ_TOTAL_DIV_PAID_CF",IQ_FY-3)/-I189)</f>
        <v>0</v>
      </c>
      <c r="I189" s="17">
        <f>IF(A191=A192,_xll.ciqfunctions.udf.CIQ(A183,"IQ_TOTAL_OUTSTANDING_FILING_DATE",IQ_FY-4), _xll.ciqfunctions.udf.CIQ(A183, "IQ_TOTAL_OUTSTANDING_FILING_DATE",IQ_FY-3))</f>
        <v>55.259180000000001</v>
      </c>
      <c r="J189" s="17">
        <f>IF(A191=A192,_xll.ciqfunctions.udf.CIQ(A183,"IQ_CASH_OPER",IQ_FY-4), _xll.ciqfunctions.udf.CIQ(A183, "IQ_CASH_OPER",IQ_FY-3))</f>
        <v>287.45299999999997</v>
      </c>
      <c r="K189" s="17">
        <f>IF(A191=A192,_xll.ciqfunctions.udf.CIQ(A183,"IQ_CAPEX",IQ_FY-4), _xll.ciqfunctions.udf.CIQ(A183, "IQ_CAPEX",IQ_FY-3))</f>
        <v>-99.308000000000007</v>
      </c>
      <c r="L189" s="15">
        <f t="shared" si="48"/>
        <v>3.4047736502785595</v>
      </c>
      <c r="M189" s="17">
        <f>IF(A191=A192,_xll.ciqfunctions.udf.CIQ(A183,"IQ_TOTAL_DEBT_ISSUED",IQ_FY-4), _xll.ciqfunctions.udf.CIQ(A183, "IQ_TOTAL_DEBT_ISSUED",IQ_FY-3))</f>
        <v>0</v>
      </c>
      <c r="N189" s="17">
        <f>IF(A191=A192,_xll.ciqfunctions.udf.CIQ(A183,"IQ_TOTAL_DEBT_REPAID",IQ_FY-4), _xll.ciqfunctions.udf.CIQ(A183, "IQ_TOTAL_DEBT_REPAID",IQ_FY-3))</f>
        <v>-8.9999999999999993E-3</v>
      </c>
      <c r="O189" s="15">
        <f t="shared" si="49"/>
        <v>-1.6286886631325327E-4</v>
      </c>
      <c r="P189" s="15">
        <f t="shared" si="50"/>
        <v>3.4046107814122464</v>
      </c>
      <c r="Q189" s="18"/>
      <c r="R189" s="38" t="s">
        <v>29</v>
      </c>
      <c r="S189" s="4">
        <f>(AVERAGE(P188:P193)/_xlfn.STDEV.P(P188:P193))/(IF(A191=A192,(_xlfn.SINGLE(_xll.ciqfunctions.udf.CIQ(A183,"IQ_total_assets",IQ_FY)) - _xlfn.SINGLE(_xll.ciqfunctions.udf.CIQ(A183,"iq_gw_intan", IQ_FY)))/I193, (_xlfn.SINGLE(_xll.ciqfunctions.udf.CIQ(A183, "IQ_total_assets",IQ_LTM))-_xlfn.SINGLE(_xll.ciqfunctions.udf.CIQ(A183,"iq_gw_intan",IQ_LTM)))/I193))</f>
        <v>5.1952118917262792E-2</v>
      </c>
      <c r="U189" s="18"/>
      <c r="V189" s="38" t="s">
        <v>29</v>
      </c>
      <c r="W189" s="4">
        <f>(AVERAGE(P188:P193)/_xlfn.STDEV.P(P188:P193))/(IF(A191=A192,(_xlfn.SINGLE(_xll.ciqfunctions.udf.CIQ(A183,"IQ_total_assets",IQ_FY)) - _xlfn.SINGLE(_xll.ciqfunctions.udf.CIQ(A183,"iq_gw_intan", IQ_FY)))/I193, (_xlfn.SINGLE(_xll.ciqfunctions.udf.CIQ(A183, "IQ_total_assets",IQ_LTM))-_xlfn.SINGLE(_xll.ciqfunctions.udf.CIQ(A183,"iq_gw_intan",IQ_LTM)))/I193))</f>
        <v>5.1952118917262792E-2</v>
      </c>
      <c r="Y189" s="18"/>
      <c r="Z189" s="38" t="s">
        <v>29</v>
      </c>
      <c r="AA189" s="4">
        <f>(AVERAGE(P188:P193)/_xlfn.STDEV.P(P188:P193))/(IF(A191=A192,(_xlfn.SINGLE(_xll.ciqfunctions.udf.CIQ(A183,"IQ_total_assets",IQ_FY)) - _xlfn.SINGLE(_xll.ciqfunctions.udf.CIQ(A183,"iq_gw_intan", IQ_FY)))/I193, (_xlfn.SINGLE(_xll.ciqfunctions.udf.CIQ(A183, "IQ_total_assets",IQ_LTM))-_xlfn.SINGLE(_xll.ciqfunctions.udf.CIQ(A183,"iq_gw_intan",IQ_LTM)))/I193))</f>
        <v>5.1952118917262792E-2</v>
      </c>
    </row>
    <row r="190" spans="1:27">
      <c r="A190" s="18"/>
      <c r="B190" s="13">
        <v>8</v>
      </c>
      <c r="C190" s="14" t="s">
        <v>30</v>
      </c>
      <c r="D190" s="15" cm="1">
        <f t="array" ref="D190">_xlfn.SINGLE(IF(A191=A192,_xll.ciqfunctions.udf.CIQ(A183,"IQ_TOTAL_REV",IQ_FY-3)/I190, _xll.ciqfunctions.udf.CIQ(A183, "IQ_TOTAL_REV",IQ_FY-2)/I190))</f>
        <v>47.338974066322464</v>
      </c>
      <c r="E190" s="16">
        <f t="shared" si="51"/>
        <v>0.14042862054385138</v>
      </c>
      <c r="F190" s="15">
        <f>IF(A191=A192,_xll.ciqfunctions.udf.CIQ(A183,"IQ_DILUT_EPS_EXCL",IQ_FY-3), _xll.ciqfunctions.udf.CIQ(A183, "IQ_DILUT_EPS_EXCL",IQ_FY-2))</f>
        <v>5.6</v>
      </c>
      <c r="G190" s="15">
        <f>IF(A191=A192,_xll.ciqfunctions.udf.CIQ(A183,"IQ_EBITDA_MARGIN",IQ_FY-3), _xll.ciqfunctions.udf.CIQ(A183, "IQ_EBITDA_MARGIN",IQ_FY-2))</f>
        <v>16.587</v>
      </c>
      <c r="H190" s="15">
        <f>IF(A191=A192,_xll.ciqfunctions.udf.CIQ(A183,"IQ_TOTAL_DIV_PAID_CF",IQ_FY-3)/-I190, _xll.ciqfunctions.udf.CIQ(A183, "IQ_TOTAL_DIV_PAID_CF",IQ_FY-2)/-I190)</f>
        <v>0</v>
      </c>
      <c r="I190" s="17">
        <f>IF(A191=A192,_xll.ciqfunctions.udf.CIQ(A183,"IQ_TOTAL_OUTSTANDING_FILING_DATE",IQ_FY-3), _xll.ciqfunctions.udf.CIQ(A183, "IQ_TOTAL_OUTSTANDING_FILING_DATE",IQ_FY-2))</f>
        <v>56.179459999999999</v>
      </c>
      <c r="J190" s="17">
        <f>IF(A191=A192,_xll.ciqfunctions.udf.CIQ(A183,"IQ_CASH_OPER",IQ_FY-3), _xll.ciqfunctions.udf.CIQ(A183, "IQ_CASH_OPER",IQ_FY-2))</f>
        <v>544.40700000000004</v>
      </c>
      <c r="K190" s="17">
        <f>IF(A191=A192,_xll.ciqfunctions.udf.CIQ(A183,"IQ_CAPEX",IQ_FY-3), _xll.ciqfunctions.udf.CIQ(A183, "IQ_CAPEX",IQ_FY-2))</f>
        <v>-68.793000000000006</v>
      </c>
      <c r="L190" s="15">
        <f t="shared" si="48"/>
        <v>8.4659767110613036</v>
      </c>
      <c r="M190" s="17">
        <f>IF(A191=A192,_xll.ciqfunctions.udf.CIQ(A183,"IQ_TOTAL_DEBT_ISSUED",IQ_FY-3), _xll.ciqfunctions.udf.CIQ(A183, "IQ_TOTAL_DEBT_ISSUED",IQ_FY-2))</f>
        <v>0</v>
      </c>
      <c r="N190" s="17">
        <f>IF(A191=A192,_xll.ciqfunctions.udf.CIQ(A183,"IQ_TOTAL_DEBT_REPAID",IQ_FY-3), _xll.ciqfunctions.udf.CIQ(A183, "IQ_TOTAL_DEBT_REPAID",IQ_FY-2))</f>
        <v>-1.7999999999999999E-2</v>
      </c>
      <c r="O190" s="15">
        <f t="shared" si="49"/>
        <v>-3.204017980948909E-4</v>
      </c>
      <c r="P190" s="15">
        <f t="shared" si="50"/>
        <v>8.465656309263208</v>
      </c>
      <c r="Q190" s="18"/>
      <c r="R190" s="39" t="s">
        <v>31</v>
      </c>
      <c r="S190" s="5">
        <f>IF(NOT(D183&gt;0),FALSE,SLOPE(G183:G193,B183:B193))</f>
        <v>-2.9313636363636292E-2</v>
      </c>
      <c r="U190" s="18"/>
      <c r="V190" s="39" t="s">
        <v>31</v>
      </c>
      <c r="W190" s="5">
        <f>IF(NOT(D183&gt;0),FALSE,SLOPE(G183:G193,B183:B193))</f>
        <v>-2.9313636363636292E-2</v>
      </c>
      <c r="Y190" s="18"/>
      <c r="Z190" s="39" t="s">
        <v>31</v>
      </c>
      <c r="AA190" s="5">
        <f>IF(NOT(L183&gt;0),FALSE,SLOPE(O183:O193,J183:J193))</f>
        <v>-5.0052650663793695E-4</v>
      </c>
    </row>
    <row r="191" spans="1:27">
      <c r="A191" s="19">
        <f>_xll.ciqfunctions.udf.CIQ(A183,"IQ_TOTAL_REV",IQ_FY)</f>
        <v>4824.6980000000003</v>
      </c>
      <c r="B191" s="13">
        <v>9</v>
      </c>
      <c r="C191" s="14" t="s">
        <v>32</v>
      </c>
      <c r="D191" s="15" cm="1">
        <f t="array" ref="D191">_xlfn.SINGLE(IF(A191=A192,_xll.ciqfunctions.udf.CIQ(A183,"IQ_TOTAL_REV",IQ_FY-2)/I191, _xll.ciqfunctions.udf.CIQ(A183, "IQ_TOTAL_REV",IQ_FY-1)/I191))</f>
        <v>66.073144634162546</v>
      </c>
      <c r="E191" s="16">
        <f t="shared" si="51"/>
        <v>0.39574517482346122</v>
      </c>
      <c r="F191" s="15">
        <f>IF(A191=A192,_xll.ciqfunctions.udf.CIQ(A183,"IQ_DILUT_EPS_EXCL",IQ_FY-2), _xll.ciqfunctions.udf.CIQ(A183, "IQ_DILUT_EPS_EXCL",IQ_FY-1))</f>
        <v>8.15</v>
      </c>
      <c r="G191" s="15">
        <f>IF(A191=A192,_xll.ciqfunctions.udf.CIQ(A183,"IQ_EBITDA_MARGIN",IQ_FY-2), _xll.ciqfunctions.udf.CIQ(A183, "IQ_EBITDA_MARGIN",IQ_FY-1))</f>
        <v>16.715699999999998</v>
      </c>
      <c r="H191" s="15">
        <f>IF(A191=A192,_xll.ciqfunctions.udf.CIQ(A183,"IQ_TOTAL_DIV_PAID_CF",IQ_FY-2)/-I191, _xll.ciqfunctions.udf.CIQ(A183, "IQ_TOTAL_DIV_PAID_CF",IQ_FY-1)/-I191)</f>
        <v>0</v>
      </c>
      <c r="I191" s="17">
        <f>IF(A191=A192,_xll.ciqfunctions.udf.CIQ(A183,"IQ_TOTAL_OUTSTANDING_FILING_DATE",IQ_FY-2), _xll.ciqfunctions.udf.CIQ(A183, "IQ_TOTAL_OUTSTANDING_FILING_DATE",IQ_FY-1))</f>
        <v>56.878540000000001</v>
      </c>
      <c r="J191" s="17">
        <f>IF(A191=A192,_xll.ciqfunctions.udf.CIQ(A183,"IQ_CASH_OPER",IQ_FY-2), _xll.ciqfunctions.udf.CIQ(A183, "IQ_CASH_OPER",IQ_FY-1))</f>
        <v>572.327</v>
      </c>
      <c r="K191" s="17">
        <f>IF(A191=A192,_xll.ciqfunctions.udf.CIQ(A183,"IQ_CAPEX",IQ_FY-2), _xll.ciqfunctions.udf.CIQ(A183, "IQ_CAPEX",IQ_FY-1))</f>
        <v>-111.501</v>
      </c>
      <c r="L191" s="15">
        <f t="shared" si="48"/>
        <v>8.1019308864116422</v>
      </c>
      <c r="M191" s="17">
        <f>IF(A191=A192,_xll.ciqfunctions.udf.CIQ(A183,"IQ_TOTAL_DEBT_ISSUED",IQ_FY-2), _xll.ciqfunctions.udf.CIQ(A183, "IQ_TOTAL_DEBT_ISSUED",IQ_FY-1))</f>
        <v>31.109000000000002</v>
      </c>
      <c r="N191" s="17">
        <f>IF(A191=A192,_xll.ciqfunctions.udf.CIQ(A183,"IQ_TOTAL_DEBT_REPAID",IQ_FY-2), _xll.ciqfunctions.udf.CIQ(A183, "IQ_TOTAL_DEBT_REPAID",IQ_FY-1))</f>
        <v>-31.053999999999998</v>
      </c>
      <c r="O191" s="15">
        <f t="shared" si="49"/>
        <v>9.6697278094696646E-4</v>
      </c>
      <c r="P191" s="15">
        <f t="shared" si="50"/>
        <v>8.1028978591925895</v>
      </c>
      <c r="Q191" s="25" t="s">
        <v>33</v>
      </c>
      <c r="R191" s="38" t="s">
        <v>52</v>
      </c>
      <c r="S191" s="4">
        <f>(AVERAGE(O188:O193)/AVERAGE(P188:P193))</f>
        <v>-1.1074885578875336E-2</v>
      </c>
      <c r="U191" s="25" t="s">
        <v>54</v>
      </c>
      <c r="V191" s="38" t="s">
        <v>52</v>
      </c>
      <c r="W191" s="4">
        <f>(AVERAGE(O188:O193)/AVERAGE(P188:P193))</f>
        <v>-1.1074885578875336E-2</v>
      </c>
      <c r="Y191" s="25" t="s">
        <v>60</v>
      </c>
      <c r="Z191" s="38" t="s">
        <v>52</v>
      </c>
      <c r="AA191" s="4">
        <f>(AVERAGE(O188:O193)/AVERAGE(P188:P193))</f>
        <v>-1.1074885578875336E-2</v>
      </c>
    </row>
    <row r="192" spans="1:27">
      <c r="A192" s="19">
        <f>_xll.ciqfunctions.udf.CIQ(A183,"IQ_TOTAL_REV",IQ_LTM)</f>
        <v>4764.5860000000002</v>
      </c>
      <c r="B192" s="13">
        <v>10</v>
      </c>
      <c r="C192" s="14" t="s">
        <v>34</v>
      </c>
      <c r="D192" s="15" cm="1">
        <f t="array" ref="D192">_xlfn.SINGLE(IF(A191=A192,_xll.ciqfunctions.udf.CIQ(A183,"IQ_TOTAL_REV",IQ_FY-1)/I192, _xll.ciqfunctions.udf.CIQ(A183, "IQ_TOTAL_REV",IQ_FY)/I192))</f>
        <v>83.648858082606552</v>
      </c>
      <c r="E192" s="16">
        <f t="shared" si="51"/>
        <v>0.26600388926178997</v>
      </c>
      <c r="F192" s="15">
        <f>IF(A191=A192,_xll.ciqfunctions.udf.CIQ(A183,"IQ_DILUT_EPS_EXCL",IQ_FY-1), _xll.ciqfunctions.udf.CIQ(A183, "IQ_DILUT_EPS_EXCL",IQ_FY))</f>
        <v>7.09</v>
      </c>
      <c r="G192" s="15">
        <f>IF(A191=A192,_xll.ciqfunctions.udf.CIQ(A183,"IQ_EBITDA_MARGIN",IQ_FY-1), _xll.ciqfunctions.udf.CIQ(A183, "IQ_EBITDA_MARGIN",IQ_FY))</f>
        <v>16.223500000000001</v>
      </c>
      <c r="H192" s="15">
        <f>IF(A191=A192,_xll.ciqfunctions.udf.CIQ(A183,"IQ_TOTAL_DIV_PAID_CF",IQ_FY-1)/-I192, _xll.ciqfunctions.udf.CIQ(A183, "IQ_TOTAL_DIV_PAID_CF",IQ_FY)/-I192)</f>
        <v>0</v>
      </c>
      <c r="I192" s="17">
        <f>IF(A191=A192,_xll.ciqfunctions.udf.CIQ(A183,"IQ_TOTAL_OUTSTANDING_FILING_DATE",IQ_FY-1), _xll.ciqfunctions.udf.CIQ(A183, "IQ_TOTAL_OUTSTANDING_FILING_DATE",IQ_FY))</f>
        <v>57.677990000000001</v>
      </c>
      <c r="J192" s="17">
        <f>IF(A191=A192,_xll.ciqfunctions.udf.CIQ(A183,"IQ_CASH_OPER",IQ_FY-1), _xll.ciqfunctions.udf.CIQ(A183, "IQ_CASH_OPER",IQ_FY))</f>
        <v>464.10399999999998</v>
      </c>
      <c r="K192" s="17">
        <f>IF(A191=A192,_xll.ciqfunctions.udf.CIQ(A183,"IQ_CAPEX",IQ_FY-1), _xll.ciqfunctions.udf.CIQ(A183, "IQ_CAPEX",IQ_FY))</f>
        <v>-81.629000000000005</v>
      </c>
      <c r="L192" s="15">
        <f t="shared" si="48"/>
        <v>6.6312123567412797</v>
      </c>
      <c r="M192" s="17">
        <f>IF(A191=A192,_xll.ciqfunctions.udf.CIQ(A183,"IQ_TOTAL_DEBT_ISSUED",IQ_FY-1), _xll.ciqfunctions.udf.CIQ(A183, "IQ_TOTAL_DEBT_ISSUED",IQ_FY))</f>
        <v>1.7629999999999999</v>
      </c>
      <c r="N192" s="17">
        <f>IF(A191=A192,_xll.ciqfunctions.udf.CIQ(A183,"IQ_TOTAL_DEBT_REPAID",IQ_FY-1), _xll.ciqfunctions.udf.CIQ(A183, "IQ_TOTAL_DEBT_REPAID",IQ_FY))</f>
        <v>-15.542</v>
      </c>
      <c r="O192" s="15">
        <f t="shared" si="49"/>
        <v>-0.23889528743980154</v>
      </c>
      <c r="P192" s="15">
        <f t="shared" si="50"/>
        <v>6.3923170693014786</v>
      </c>
      <c r="Q192" s="25" t="s">
        <v>44</v>
      </c>
      <c r="R192" s="38" t="s">
        <v>35</v>
      </c>
      <c r="S192" s="1">
        <f>_xll.ciqfunctions.udf.CIQ(A183,"IQ_TEV_EBITDA")</f>
        <v>17.035299999999999</v>
      </c>
      <c r="U192" s="25" t="s">
        <v>55</v>
      </c>
      <c r="V192" s="38" t="s">
        <v>53</v>
      </c>
      <c r="W192" s="1">
        <f>V182/(AVERAGE(D188:D193)/_xlfn.STDEV.P(E188:E193))</f>
        <v>0.5406122063258888</v>
      </c>
      <c r="Y192" s="25" t="s">
        <v>57</v>
      </c>
      <c r="Z192" s="38" t="s">
        <v>53</v>
      </c>
      <c r="AA192" s="1">
        <f>Z182/(AVERAGE(D188:D193)/_xlfn.STDEV.P(E188:E193))</f>
        <v>0.5406122063258888</v>
      </c>
    </row>
    <row r="193" spans="1:27">
      <c r="B193" s="13">
        <v>11</v>
      </c>
      <c r="C193" s="20" t="s">
        <v>36</v>
      </c>
      <c r="D193" s="21" cm="1">
        <f t="array" ref="D193">_xlfn.SINGLE(IF(A191=A192,_xll.ciqfunctions.udf.CIQ(A183,"IQ_TOTAL_REV",IQ_FY)/I193, _xll.ciqfunctions.udf.CIQ(A183, "IQ_TOTAL_REV",IQ_LTM)/I193))</f>
        <v>82.574460385771488</v>
      </c>
      <c r="E193" s="22">
        <f t="shared" si="51"/>
        <v>-1.2844140630994072E-2</v>
      </c>
      <c r="F193" s="21">
        <f>IF(A191=A192,_xll.ciqfunctions.udf.CIQ(A183,"IQ_DILUT_EPS_EXCL",IQ_FY), _xll.ciqfunctions.udf.CIQ(A183, "IQ_DILUT_EPS_EXCL",IQ_LTM))</f>
        <v>8.0186799999999998</v>
      </c>
      <c r="G193" s="21">
        <f>IF(A191=A192,_xll.ciqfunctions.udf.CIQ(A183,"IQ_EBITDA_MARGIN",IQ_FY), _xll.ciqfunctions.udf.CIQ(A183, "IQ_EBITDA_MARGIN",IQ_LTM))</f>
        <v>14.6252</v>
      </c>
      <c r="H193" s="21">
        <f>IF(A191=A192,_xll.ciqfunctions.udf.CIQ(A183,"IQ_TOTAL_DIV_PAID_CF",IQ_FY)/-I193, _xll.ciqfunctions.udf.CIQ(A183, "IQ_TOTAL_DIV_PAID_CF",IQ_LTM)/-I193)</f>
        <v>0</v>
      </c>
      <c r="I193" s="23">
        <f>IF(A191=A192,_xll.ciqfunctions.udf.CIQ(A183,"IQ_TOTAL_OUTSTANDING_FILING_DATE",IQ_FY),_xll.ciqfunctions.udf.CIQ(A183,"IQ_sharesoutstanding"))</f>
        <v>57.700479999999999</v>
      </c>
      <c r="J193" s="23">
        <f>IF(A191=A192,_xll.ciqfunctions.udf.CIQ(A183,"IQ_CASH_OPER",IQ_FY), _xll.ciqfunctions.udf.CIQ(A183, "IQ_CASH_OPER",IQ_LTM))</f>
        <v>577.33399999999995</v>
      </c>
      <c r="K193" s="23">
        <f>IF(A191=A192,_xll.ciqfunctions.udf.CIQ(A183,"IQ_CAPEX",IQ_FY), _xll.ciqfunctions.udf.CIQ(A183, "IQ_CAPEX",IQ_LTM))</f>
        <v>-39.914999999999999</v>
      </c>
      <c r="L193" s="21">
        <f t="shared" si="48"/>
        <v>9.3139433155495404</v>
      </c>
      <c r="M193" s="23">
        <f>IF(A191=A192,_xll.ciqfunctions.udf.CIQ(A183,"IQ_TOTAL_DEBT_ISSUED",IQ_FY), _xll.ciqfunctions.udf.CIQ(A183, "IQ_TOTAL_DEBT_ISSUED",IQ_LTM))</f>
        <v>-1.587</v>
      </c>
      <c r="N193" s="23">
        <f>IF(A191=A192,_xll.ciqfunctions.udf.CIQ(A183,"IQ_TOTAL_DEBT_REPAID",IQ_FY), _xll.ciqfunctions.udf.CIQ(A183, "IQ_TOTAL_DEBT_REPAID",IQ_LTM))</f>
        <v>-6.6070000000000002</v>
      </c>
      <c r="O193" s="21">
        <f t="shared" si="49"/>
        <v>-0.1420092172543452</v>
      </c>
      <c r="P193" s="21">
        <f t="shared" si="50"/>
        <v>9.1719340982951945</v>
      </c>
      <c r="Q193" s="25" t="s">
        <v>45</v>
      </c>
      <c r="S193" s="45"/>
      <c r="U193" s="25"/>
      <c r="W193" s="45"/>
      <c r="Y193" s="25"/>
      <c r="AA193" s="45"/>
    </row>
    <row r="194" spans="1:27">
      <c r="B194" s="24"/>
      <c r="C194" s="25" t="s">
        <v>37</v>
      </c>
      <c r="E194" s="26">
        <f>((D193/D188)^(1/5))-1</f>
        <v>0.19407587846152285</v>
      </c>
      <c r="F194" s="27">
        <f>((F193/F188)^(1/5))-1</f>
        <v>0.13591910810774332</v>
      </c>
      <c r="G194" s="28"/>
      <c r="H194" s="27" t="e">
        <f>((H193/H188)^(1/5))-1</f>
        <v>#DIV/0!</v>
      </c>
      <c r="I194" s="27">
        <f>((I193/I188)^(1/5))-1</f>
        <v>1.2679898095769193E-2</v>
      </c>
      <c r="J194" s="27"/>
      <c r="K194" s="27"/>
      <c r="L194" s="26">
        <f>((L193/L188)^(1/5))-1</f>
        <v>0.14657831696059032</v>
      </c>
      <c r="M194" s="26"/>
      <c r="N194" s="26"/>
      <c r="O194" s="26"/>
      <c r="P194" s="26">
        <f>((P193/P188)^(1/5))-1</f>
        <v>0.146223332200484</v>
      </c>
      <c r="Q194" s="18"/>
      <c r="R194" s="36"/>
      <c r="S194" s="45"/>
      <c r="U194" s="18"/>
      <c r="V194" s="36"/>
      <c r="W194" s="45"/>
      <c r="Y194" s="18"/>
      <c r="Z194" s="36"/>
      <c r="AA194" s="45"/>
    </row>
    <row r="195" spans="1:27">
      <c r="A195" s="29"/>
      <c r="B195" s="30"/>
      <c r="C195" s="31" t="s">
        <v>38</v>
      </c>
      <c r="D195" s="29"/>
      <c r="E195" s="32">
        <f>((D193/D183)^(1/10))-1</f>
        <v>0.21427170756080893</v>
      </c>
      <c r="F195" s="33">
        <f>((F193/F183)^(1/10))-1</f>
        <v>0.20140460227580581</v>
      </c>
      <c r="G195" s="34"/>
      <c r="H195" s="33" t="e">
        <f>((H193/H183)^(1/10))-1</f>
        <v>#DIV/0!</v>
      </c>
      <c r="I195" s="33">
        <f>((I193/I183)^(1/10))-1</f>
        <v>2.1052770766272433E-2</v>
      </c>
      <c r="J195" s="33"/>
      <c r="K195" s="33"/>
      <c r="L195" s="32">
        <f>((L193/L183)^(1/10))-1</f>
        <v>0.26282724638777499</v>
      </c>
      <c r="M195" s="32"/>
      <c r="N195" s="32"/>
      <c r="O195" s="32"/>
      <c r="P195" s="32">
        <f>((P193/P183)^(1/10))-1</f>
        <v>0.26088848055767455</v>
      </c>
      <c r="Q195" s="40"/>
      <c r="R195" s="41"/>
      <c r="S195" s="46"/>
      <c r="U195" s="40"/>
      <c r="V195" s="41"/>
      <c r="W195" s="46"/>
      <c r="Y195" s="40"/>
      <c r="Z195" s="41"/>
      <c r="AA195" s="46"/>
    </row>
    <row r="196" spans="1:27">
      <c r="B196" s="24"/>
      <c r="C196" s="25"/>
      <c r="E196" s="26"/>
      <c r="F196" s="27"/>
      <c r="G196" s="28"/>
      <c r="H196" s="27"/>
      <c r="I196" s="27"/>
      <c r="J196" s="27"/>
      <c r="K196" s="27"/>
      <c r="L196" s="26"/>
      <c r="M196" s="17"/>
      <c r="N196" s="17"/>
      <c r="O196" s="17"/>
      <c r="P196" s="35"/>
      <c r="Q196" s="18"/>
      <c r="R196" s="36"/>
    </row>
    <row r="197" spans="1:27">
      <c r="A197" s="9" t="s">
        <v>0</v>
      </c>
      <c r="B197" s="10"/>
      <c r="C197" s="9" t="s">
        <v>1</v>
      </c>
      <c r="D197" s="9" t="s">
        <v>2</v>
      </c>
      <c r="E197" s="9" t="s">
        <v>3</v>
      </c>
      <c r="F197" s="11" t="s">
        <v>4</v>
      </c>
      <c r="G197" s="11" t="s">
        <v>5</v>
      </c>
      <c r="H197" s="9" t="s">
        <v>6</v>
      </c>
      <c r="I197" s="11" t="s">
        <v>7</v>
      </c>
      <c r="J197" s="11" t="s">
        <v>8</v>
      </c>
      <c r="K197" s="11" t="s">
        <v>9</v>
      </c>
      <c r="L197" s="11" t="s">
        <v>10</v>
      </c>
      <c r="M197" s="11" t="s">
        <v>11</v>
      </c>
      <c r="N197" s="11" t="s">
        <v>12</v>
      </c>
      <c r="O197" s="11" t="s">
        <v>13</v>
      </c>
      <c r="P197" s="11" t="s">
        <v>14</v>
      </c>
      <c r="Q197" s="37" t="s">
        <v>15</v>
      </c>
      <c r="R197" s="42">
        <f>_xll.ciqfunctions.udf.CIQ(A198,("IQ_LASTSALEPRICE"))</f>
        <v>431.98500000000001</v>
      </c>
      <c r="S197" s="44"/>
      <c r="U197" s="37" t="s">
        <v>15</v>
      </c>
      <c r="V197" s="42">
        <f>_xll.ciqfunctions.udf.CIQ(A198,("IQ_LASTSALEPRICE"))</f>
        <v>431.98500000000001</v>
      </c>
      <c r="W197" s="44"/>
      <c r="Y197" s="37" t="s">
        <v>15</v>
      </c>
      <c r="Z197" s="42">
        <f>_xll.ciqfunctions.udf.CIQ(A198,("IQ_LASTSALEPRICE"))</f>
        <v>431.98500000000001</v>
      </c>
      <c r="AA197" s="44"/>
    </row>
    <row r="198" spans="1:27">
      <c r="A198" s="12" t="str">
        <f>Analysis!B15</f>
        <v>NYSE:IT</v>
      </c>
      <c r="B198" s="13">
        <v>1</v>
      </c>
      <c r="C198" s="14" t="s">
        <v>16</v>
      </c>
      <c r="D198" s="15">
        <f>IF(A206=A207,_xll.ciqfunctions.udf.CIQ(A198,"IQ_TOTAL_REV",IQ_FY-10)/I198,_xll.ciqfunctions.udf.CIQ(A198, "IQ_TOTAL_REV",IQ_FY-9)/I198)</f>
        <v>19.400183997041609</v>
      </c>
      <c r="E198" s="16"/>
      <c r="F198" s="15">
        <f>IF(A206=A207,_xll.ciqfunctions.udf.CIQ(A198,"IQ_DILUT_EPS_EXCL",IQ_FY-10), _xll.ciqfunctions.udf.CIQ(A198, "IQ_DILUT_EPS_EXCL",IQ_FY-9))</f>
        <v>1.93</v>
      </c>
      <c r="G198" s="15">
        <f>IF(A206=A207,_xll.ciqfunctions.udf.CIQ(A198,"IQ_EBITDA_MARGIN",IQ_FY-10), _xll.ciqfunctions.udf.CIQ(A198, "IQ_EBITDA_MARGIN",IQ_FY-9))</f>
        <v>16.930199999999999</v>
      </c>
      <c r="H198" s="15">
        <f>IF(A206=A207,_xll.ciqfunctions.udf.CIQ(A198,"IQ_TOTAL_DIV_PAID_CF",IQ_FY-10)/-I198, _xll.ciqfunctions.udf.CIQ(A198, "IQ_TOTAL_DIV_PAID_CF",IQ_FY-9)/-I198)</f>
        <v>0</v>
      </c>
      <c r="I198" s="17">
        <f>IF(A206=A207,_xll.ciqfunctions.udf.CIQ(A198,"IQ_TOTAL_OUTSTANDING_FILING_DATE",IQ_FY-10), _xll.ciqfunctions.udf.CIQ(A198, "IQ_TOTAL_OUTSTANDING_FILING_DATE",IQ_FY-9))</f>
        <v>91.968869999999995</v>
      </c>
      <c r="J198" s="17">
        <f>IF(A206=A207,_xll.ciqfunctions.udf.CIQ(A198,"IQ_CASH_OPER",IQ_FY-10), _xll.ciqfunctions.udf.CIQ(A198, "IQ_CASH_OPER",IQ_FY-9))</f>
        <v>315.654</v>
      </c>
      <c r="K198" s="17">
        <f>IF(A206=A207,_xll.ciqfunctions.udf.CIQ(A198,"IQ_CAPEX",IQ_FY-10), _xll.ciqfunctions.udf.CIQ(A198, "IQ_CAPEX",IQ_FY-9))</f>
        <v>-36.497999999999998</v>
      </c>
      <c r="L198" s="15">
        <f t="shared" ref="L198:L208" si="52">(J198+K198)/I198</f>
        <v>3.0353314115961196</v>
      </c>
      <c r="M198" s="17">
        <f>IF(A206=A207,_xll.ciqfunctions.udf.CIQ(A198,"IQ_TOTAL_DEBT_ISSUED",IQ_FY-10), _xll.ciqfunctions.udf.CIQ(A198, "IQ_TOTAL_DEBT_ISSUED",IQ_FY-9))</f>
        <v>205.625</v>
      </c>
      <c r="N198" s="17">
        <f>IF(A206=A207,_xll.ciqfunctions.udf.CIQ(A198,"IQ_TOTAL_DEBT_REPAID",IQ_FY-10), _xll.ciqfunctions.udf.CIQ(A198, "IQ_TOTAL_DEBT_REPAID",IQ_FY-9))</f>
        <v>-205.625</v>
      </c>
      <c r="O198" s="15">
        <f t="shared" ref="O198:O208" si="53">(M198+N198)/I198</f>
        <v>0</v>
      </c>
      <c r="P198" s="15">
        <f t="shared" ref="P198:P208" si="54">L198+O198</f>
        <v>3.0353314115961196</v>
      </c>
      <c r="W198" s="43"/>
      <c r="AA198" s="43"/>
    </row>
    <row r="199" spans="1:27">
      <c r="A199" s="18" t="str">
        <f>_xll.ciqfunctions.udf.CIQ(A198,"IQ_COMPANY_NAME")</f>
        <v>Gartner, Inc.</v>
      </c>
      <c r="B199" s="13">
        <v>2</v>
      </c>
      <c r="C199" s="14" t="s">
        <v>17</v>
      </c>
      <c r="D199" s="15">
        <f>IF(A206=A207,_xll.ciqfunctions.udf.CIQ(A198,"IQ_TOTAL_REV",IQ_FY-9)/I199, _xll.ciqfunctions.udf.CIQ(A198, "IQ_TOTAL_REV",IQ_FY-8)/I199)</f>
        <v>23.096251739696104</v>
      </c>
      <c r="E199" s="16">
        <f t="shared" ref="E199:E208" si="55">(D199-D198)/D198</f>
        <v>0.19051714886921278</v>
      </c>
      <c r="F199" s="15">
        <f>IF(A206=A207,_xll.ciqfunctions.udf.CIQ(A198,"IQ_DILUT_EPS_EXCL",IQ_FY-9), _xll.ciqfunctions.udf.CIQ(A198, "IQ_DILUT_EPS_EXCL",IQ_FY-8))</f>
        <v>2.0299999999999998</v>
      </c>
      <c r="G199" s="15">
        <f>IF(A206=A207,_xll.ciqfunctions.udf.CIQ(A198,"IQ_EBITDA_MARGIN",IQ_FY-9), _xll.ciqfunctions.udf.CIQ(A198, "IQ_EBITDA_MARGIN",IQ_FY-8))</f>
        <v>17.1877</v>
      </c>
      <c r="H199" s="15">
        <f>IF(A206=A207,_xll.ciqfunctions.udf.CIQ(A198,"IQ_TOTAL_DIV_PAID_CF",IQ_FY-9)/-I199, _xll.ciqfunctions.udf.CIQ(A198, "IQ_TOTAL_DIV_PAID_CF",IQ_FY-8)/-I199)</f>
        <v>0</v>
      </c>
      <c r="I199" s="17">
        <f>IF(A206=A207,_xll.ciqfunctions.udf.CIQ(A198,"IQ_TOTAL_OUTSTANDING_FILING_DATE",IQ_FY-9), _xll.ciqfunctions.udf.CIQ(A198, "IQ_TOTAL_OUTSTANDING_FILING_DATE",IQ_FY-8))</f>
        <v>87.522469999999998</v>
      </c>
      <c r="J199" s="17">
        <f>IF(A206=A207,_xll.ciqfunctions.udf.CIQ(A198,"IQ_CASH_OPER",IQ_FY-9), _xll.ciqfunctions.udf.CIQ(A198, "IQ_CASH_OPER",IQ_FY-8))</f>
        <v>346.779</v>
      </c>
      <c r="K199" s="17">
        <f>IF(A206=A207,_xll.ciqfunctions.udf.CIQ(A198,"IQ_CAPEX",IQ_FY-9), _xll.ciqfunctions.udf.CIQ(A198, "IQ_CAPEX",IQ_FY-8))</f>
        <v>-38.485999999999997</v>
      </c>
      <c r="L199" s="15">
        <f t="shared" si="52"/>
        <v>3.5224440078073664</v>
      </c>
      <c r="M199" s="17">
        <f>IF(A206=A207,_xll.ciqfunctions.udf.CIQ(A198,"IQ_TOTAL_DEBT_ISSUED",IQ_FY-9), _xll.ciqfunctions.udf.CIQ(A198, "IQ_TOTAL_DEBT_ISSUED",IQ_FY-8))</f>
        <v>400</v>
      </c>
      <c r="N199" s="17">
        <f>IF(A206=A207,_xll.ciqfunctions.udf.CIQ(A198,"IQ_TOTAL_DEBT_REPAID",IQ_FY-9), _xll.ciqfunctions.udf.CIQ(A198, "IQ_TOTAL_DEBT_REPAID",IQ_FY-8))</f>
        <v>-200</v>
      </c>
      <c r="O199" s="15">
        <f t="shared" si="53"/>
        <v>2.2851274649812785</v>
      </c>
      <c r="P199" s="15">
        <f t="shared" si="54"/>
        <v>5.8075714727886449</v>
      </c>
      <c r="Q199" s="25" t="s">
        <v>18</v>
      </c>
      <c r="R199" s="39" t="s">
        <v>19</v>
      </c>
      <c r="S199" s="1">
        <f>R197/((AVERAGE(P203:P208))*(1+E209)^3)</f>
        <v>38.128631625388415</v>
      </c>
      <c r="U199" s="25" t="s">
        <v>48</v>
      </c>
      <c r="V199" s="39" t="s">
        <v>19</v>
      </c>
      <c r="W199" s="1">
        <f>V197/((AVERAGE(P203:P208))*(1+E209)^3)</f>
        <v>38.128631625388415</v>
      </c>
      <c r="Y199" s="25" t="s">
        <v>39</v>
      </c>
      <c r="Z199" s="39" t="s">
        <v>19</v>
      </c>
      <c r="AA199" s="1">
        <f>Z197/((AVERAGE(P203:P208))*(1+E209)^3)</f>
        <v>38.128631625388415</v>
      </c>
    </row>
    <row r="200" spans="1:27">
      <c r="B200" s="13">
        <v>3</v>
      </c>
      <c r="C200" s="14" t="s">
        <v>20</v>
      </c>
      <c r="D200" s="15" cm="1">
        <f t="array" ref="D200">_xlfn.SINGLE(IF(A206=A207,_xll.ciqfunctions.udf.CIQ(A198,"IQ_TOTAL_REV",IQ_FY-8)/I200, _xll.ciqfunctions.udf.CIQ(A198, "IQ_TOTAL_REV",IQ_FY-7)/I200))</f>
        <v>26.26980492229719</v>
      </c>
      <c r="E200" s="16">
        <f t="shared" si="55"/>
        <v>0.13740555040567995</v>
      </c>
      <c r="F200" s="15">
        <f>IF(A206=A207,_xll.ciqfunctions.udf.CIQ(A198,"IQ_DILUT_EPS_EXCL",IQ_FY-8), _xll.ciqfunctions.udf.CIQ(A198, "IQ_DILUT_EPS_EXCL",IQ_FY-7))</f>
        <v>2.06</v>
      </c>
      <c r="G200" s="15">
        <f>IF(A206=A207,_xll.ciqfunctions.udf.CIQ(A198,"IQ_EBITDA_MARGIN",IQ_FY-8), _xll.ciqfunctions.udf.CIQ(A198, "IQ_EBITDA_MARGIN",IQ_FY-7))</f>
        <v>16.324200000000001</v>
      </c>
      <c r="H200" s="15">
        <f>IF(A206=A207,_xll.ciqfunctions.udf.CIQ(A198,"IQ_TOTAL_DIV_PAID_CF",IQ_FY-8)/-I200, _xll.ciqfunctions.udf.CIQ(A198, "IQ_TOTAL_DIV_PAID_CF",IQ_FY-7)/-I200)</f>
        <v>0</v>
      </c>
      <c r="I200" s="17">
        <f>IF(A206=A207,_xll.ciqfunctions.udf.CIQ(A198,"IQ_TOTAL_OUTSTANDING_FILING_DATE",IQ_FY-8), _xll.ciqfunctions.udf.CIQ(A198, "IQ_TOTAL_OUTSTANDING_FILING_DATE",IQ_FY-7))</f>
        <v>82.340010000000007</v>
      </c>
      <c r="J200" s="17">
        <f>IF(A206=A207,_xll.ciqfunctions.udf.CIQ(A198,"IQ_CASH_OPER",IQ_FY-8), _xll.ciqfunctions.udf.CIQ(A198, "IQ_CASH_OPER",IQ_FY-7))</f>
        <v>345.56099999999998</v>
      </c>
      <c r="K200" s="17">
        <f>IF(A206=A207,_xll.ciqfunctions.udf.CIQ(A198,"IQ_CAPEX",IQ_FY-8), _xll.ciqfunctions.udf.CIQ(A198, "IQ_CAPEX",IQ_FY-7))</f>
        <v>-46.128</v>
      </c>
      <c r="L200" s="15">
        <f t="shared" si="52"/>
        <v>3.6365431580588825</v>
      </c>
      <c r="M200" s="17">
        <f>IF(A206=A207,_xll.ciqfunctions.udf.CIQ(A198,"IQ_TOTAL_DEBT_ISSUED",IQ_FY-8), _xll.ciqfunctions.udf.CIQ(A198, "IQ_TOTAL_DEBT_ISSUED",IQ_FY-7))</f>
        <v>440</v>
      </c>
      <c r="N200" s="17">
        <f>IF(A206=A207,_xll.ciqfunctions.udf.CIQ(A198,"IQ_TOTAL_DEBT_REPAID",IQ_FY-8), _xll.ciqfunctions.udf.CIQ(A198, "IQ_TOTAL_DEBT_REPAID",IQ_FY-7))</f>
        <v>-20</v>
      </c>
      <c r="O200" s="15">
        <f t="shared" si="53"/>
        <v>5.1008009350496799</v>
      </c>
      <c r="P200" s="15">
        <f t="shared" si="54"/>
        <v>8.7373440931085629</v>
      </c>
      <c r="Q200" s="25" t="s">
        <v>21</v>
      </c>
      <c r="R200" s="38" t="s">
        <v>49</v>
      </c>
      <c r="S200" s="2">
        <f>(R197*I208)/1000</f>
        <v>33.672630290850002</v>
      </c>
      <c r="U200" s="25" t="s">
        <v>59</v>
      </c>
      <c r="V200" s="38" t="s">
        <v>49</v>
      </c>
      <c r="W200" s="2">
        <f>(V197*I208)/1000</f>
        <v>33.672630290850002</v>
      </c>
      <c r="Y200" s="25" t="s">
        <v>46</v>
      </c>
      <c r="Z200" s="38" t="s">
        <v>49</v>
      </c>
      <c r="AA200" s="2">
        <f>(Z197*I208)/1000</f>
        <v>33.672630290850002</v>
      </c>
    </row>
    <row r="201" spans="1:27">
      <c r="A201" s="18"/>
      <c r="B201" s="13">
        <v>4</v>
      </c>
      <c r="C201" s="14" t="s">
        <v>22</v>
      </c>
      <c r="D201" s="15" cm="1">
        <f t="array" ref="D201">_xlfn.SINGLE(IF(A206=A207,_xll.ciqfunctions.udf.CIQ(A198,"IQ_TOTAL_REV",IQ_FY-7)/I201, _xll.ciqfunctions.udf.CIQ(A198, "IQ_TOTAL_REV",IQ_FY-6)/I201))</f>
        <v>29.575980897459353</v>
      </c>
      <c r="E201" s="16">
        <f t="shared" si="55"/>
        <v>0.12585460702663834</v>
      </c>
      <c r="F201" s="15">
        <f>IF(A206=A207,_xll.ciqfunctions.udf.CIQ(A198,"IQ_DILUT_EPS_EXCL",IQ_FY-7), _xll.ciqfunctions.udf.CIQ(A198, "IQ_DILUT_EPS_EXCL",IQ_FY-6))</f>
        <v>2.31</v>
      </c>
      <c r="G201" s="15">
        <f>IF(A206=A207,_xll.ciqfunctions.udf.CIQ(A198,"IQ_EBITDA_MARGIN",IQ_FY-7), _xll.ciqfunctions.udf.CIQ(A198, "IQ_EBITDA_MARGIN",IQ_FY-6))</f>
        <v>16.400099999999998</v>
      </c>
      <c r="H201" s="15">
        <f>IF(A206=A207,_xll.ciqfunctions.udf.CIQ(A198,"IQ_TOTAL_DIV_PAID_CF",IQ_FY-7)/-I201, _xll.ciqfunctions.udf.CIQ(A198, "IQ_TOTAL_DIV_PAID_CF",IQ_FY-6)/-I201)</f>
        <v>0</v>
      </c>
      <c r="I201" s="17">
        <f>IF(A206=A207,_xll.ciqfunctions.udf.CIQ(A198,"IQ_TOTAL_OUTSTANDING_FILING_DATE",IQ_FY-7), _xll.ciqfunctions.udf.CIQ(A198, "IQ_TOTAL_OUTSTANDING_FILING_DATE",IQ_FY-6))</f>
        <v>82.652879999999996</v>
      </c>
      <c r="J201" s="17">
        <f>IF(A206=A207,_xll.ciqfunctions.udf.CIQ(A198,"IQ_CASH_OPER",IQ_FY-7), _xll.ciqfunctions.udf.CIQ(A198, "IQ_CASH_OPER",IQ_FY-6))</f>
        <v>365.63200000000001</v>
      </c>
      <c r="K201" s="17">
        <f>IF(A206=A207,_xll.ciqfunctions.udf.CIQ(A198,"IQ_CAPEX",IQ_FY-7), _xll.ciqfunctions.udf.CIQ(A198, "IQ_CAPEX",IQ_FY-6))</f>
        <v>-49.863</v>
      </c>
      <c r="L201" s="15">
        <f t="shared" si="52"/>
        <v>3.8204234383605269</v>
      </c>
      <c r="M201" s="17">
        <f>IF(A206=A207,_xll.ciqfunctions.udf.CIQ(A198,"IQ_TOTAL_DEBT_ISSUED",IQ_FY-7), _xll.ciqfunctions.udf.CIQ(A198, "IQ_TOTAL_DEBT_ISSUED",IQ_FY-6))</f>
        <v>715</v>
      </c>
      <c r="N201" s="17">
        <f>IF(A206=A207,_xll.ciqfunctions.udf.CIQ(A198,"IQ_TOTAL_DEBT_REPAID",IQ_FY-7), _xll.ciqfunctions.udf.CIQ(A198, "IQ_TOTAL_DEBT_REPAID",IQ_FY-6))</f>
        <v>-835</v>
      </c>
      <c r="O201" s="15">
        <f t="shared" si="53"/>
        <v>-1.4518550351784476</v>
      </c>
      <c r="P201" s="15">
        <f t="shared" si="54"/>
        <v>2.3685684031820795</v>
      </c>
      <c r="Q201" s="25" t="s">
        <v>23</v>
      </c>
      <c r="R201" s="38" t="s">
        <v>24</v>
      </c>
      <c r="S201" s="1" t="e">
        <f>R197/(AVERAGE(H203:H208)*(1+H209)/(0.5-H209))</f>
        <v>#DIV/0!</v>
      </c>
      <c r="U201" s="25" t="s">
        <v>40</v>
      </c>
      <c r="V201" s="38" t="s">
        <v>24</v>
      </c>
      <c r="W201" s="1" t="e">
        <f>V197/(AVERAGE(H203:H208)*(1+H209)/(0.5-H209))</f>
        <v>#DIV/0!</v>
      </c>
      <c r="Y201" s="25" t="s">
        <v>47</v>
      </c>
      <c r="Z201" s="38" t="s">
        <v>24</v>
      </c>
      <c r="AA201" s="1" t="e">
        <f>Z197/(AVERAGE(H203:H208)*(1+H209)/(0.5-H209))</f>
        <v>#DIV/0!</v>
      </c>
    </row>
    <row r="202" spans="1:27">
      <c r="B202" s="13">
        <v>5</v>
      </c>
      <c r="C202" s="14" t="s">
        <v>25</v>
      </c>
      <c r="D202" s="15" cm="1">
        <f t="array" ref="D202">_xlfn.SINGLE(IF(A206=A207,_xll.ciqfunctions.udf.CIQ(A198,"IQ_TOTAL_REV",IQ_FY-6)/I202, _xll.ciqfunctions.udf.CIQ(A198, "IQ_TOTAL_REV",IQ_FY-5)/I202))</f>
        <v>36.456619351690811</v>
      </c>
      <c r="E202" s="16">
        <f t="shared" si="55"/>
        <v>0.23264278125167853</v>
      </c>
      <c r="F202" s="15">
        <f>IF(A206=A207,_xll.ciqfunctions.udf.CIQ(A198,"IQ_DILUT_EPS_EXCL",IQ_FY-6), _xll.ciqfunctions.udf.CIQ(A198, "IQ_DILUT_EPS_EXCL",IQ_FY-5))</f>
        <v>3.7069999999999999E-2</v>
      </c>
      <c r="G202" s="15">
        <f>IF(A206=A207,_xll.ciqfunctions.udf.CIQ(A198,"IQ_EBITDA_MARGIN",IQ_FY-6), _xll.ciqfunctions.udf.CIQ(A198, "IQ_EBITDA_MARGIN",IQ_FY-5))</f>
        <v>11.5246</v>
      </c>
      <c r="H202" s="15">
        <f>IF(A206=A207,_xll.ciqfunctions.udf.CIQ(A198,"IQ_TOTAL_DIV_PAID_CF",IQ_FY-6)/-I202, _xll.ciqfunctions.udf.CIQ(A198, "IQ_TOTAL_DIV_PAID_CF",IQ_FY-5)/-I202)</f>
        <v>0</v>
      </c>
      <c r="I202" s="17">
        <f>IF(A206=A207,_xll.ciqfunctions.udf.CIQ(A198,"IQ_TOTAL_OUTSTANDING_FILING_DATE",IQ_FY-6), _xll.ciqfunctions.udf.CIQ(A198, "IQ_TOTAL_OUTSTANDING_FILING_DATE",IQ_FY-5))</f>
        <v>90.833820000000003</v>
      </c>
      <c r="J202" s="17">
        <f>IF(A206=A207,_xll.ciqfunctions.udf.CIQ(A198,"IQ_CASH_OPER",IQ_FY-6), _xll.ciqfunctions.udf.CIQ(A198, "IQ_CASH_OPER",IQ_FY-5))</f>
        <v>254.517</v>
      </c>
      <c r="K202" s="17">
        <f>IF(A206=A207,_xll.ciqfunctions.udf.CIQ(A198,"IQ_CAPEX",IQ_FY-6), _xll.ciqfunctions.udf.CIQ(A198, "IQ_CAPEX",IQ_FY-5))</f>
        <v>-110.765</v>
      </c>
      <c r="L202" s="15">
        <f t="shared" si="52"/>
        <v>1.5825823465312809</v>
      </c>
      <c r="M202" s="17">
        <f>IF(A206=A207,_xll.ciqfunctions.udf.CIQ(A198,"IQ_TOTAL_DEBT_ISSUED",IQ_FY-6), _xll.ciqfunctions.udf.CIQ(A198, "IQ_TOTAL_DEBT_ISSUED",IQ_FY-5))</f>
        <v>3025</v>
      </c>
      <c r="N202" s="17">
        <f>IF(A206=A207,_xll.ciqfunctions.udf.CIQ(A198,"IQ_TOTAL_DEBT_REPAID",IQ_FY-6), _xll.ciqfunctions.udf.CIQ(A198, "IQ_TOTAL_DEBT_REPAID",IQ_FY-5))</f>
        <v>-404.43799999999999</v>
      </c>
      <c r="O202" s="15">
        <f t="shared" si="53"/>
        <v>28.850069280362753</v>
      </c>
      <c r="P202" s="15">
        <f t="shared" si="54"/>
        <v>30.432651626894035</v>
      </c>
      <c r="Q202" s="18"/>
      <c r="R202" s="38" t="s">
        <v>50</v>
      </c>
      <c r="S202" s="3">
        <f>I209</f>
        <v>-2.7718955188806849E-2</v>
      </c>
      <c r="U202" s="18"/>
      <c r="V202" s="38" t="s">
        <v>50</v>
      </c>
      <c r="W202" s="3">
        <f>I209</f>
        <v>-2.7718955188806849E-2</v>
      </c>
      <c r="Y202" s="18"/>
      <c r="Z202" s="38" t="s">
        <v>50</v>
      </c>
      <c r="AA202" s="3">
        <f>I209</f>
        <v>-2.7718955188806849E-2</v>
      </c>
    </row>
    <row r="203" spans="1:27">
      <c r="B203" s="13">
        <v>6</v>
      </c>
      <c r="C203" s="14" t="s">
        <v>26</v>
      </c>
      <c r="D203" s="15" cm="1">
        <f t="array" ref="D203">_xlfn.SINGLE(IF(A206=A207,_xll.ciqfunctions.udf.CIQ(A198,"IQ_TOTAL_REV",IQ_FY-5)/I203, _xll.ciqfunctions.udf.CIQ(A198, "IQ_TOTAL_REV",IQ_FY-4)/I203))</f>
        <v>44.313642785214064</v>
      </c>
      <c r="E203" s="16">
        <f t="shared" si="55"/>
        <v>0.21551706036502954</v>
      </c>
      <c r="F203" s="15">
        <f>IF(A206=A207,_xll.ciqfunctions.udf.CIQ(A198,"IQ_DILUT_EPS_EXCL",IQ_FY-5), _xll.ciqfunctions.udf.CIQ(A198, "IQ_DILUT_EPS_EXCL",IQ_FY-4))</f>
        <v>1.33</v>
      </c>
      <c r="G203" s="15">
        <f>IF(A206=A207,_xll.ciqfunctions.udf.CIQ(A198,"IQ_EBITDA_MARGIN",IQ_FY-5), _xll.ciqfunctions.udf.CIQ(A198, "IQ_EBITDA_MARGIN",IQ_FY-4))</f>
        <v>15.309100000000001</v>
      </c>
      <c r="H203" s="15">
        <f>IF(A206=A207,_xll.ciqfunctions.udf.CIQ(A198,"IQ_TOTAL_DIV_PAID_CF",IQ_FY-5)/-I203, _xll.ciqfunctions.udf.CIQ(A198, "IQ_TOTAL_DIV_PAID_CF",IQ_FY-4)/-I203)</f>
        <v>0</v>
      </c>
      <c r="I203" s="17">
        <f>IF(A206=A207,_xll.ciqfunctions.udf.CIQ(A198,"IQ_TOTAL_OUTSTANDING_FILING_DATE",IQ_FY-5), _xll.ciqfunctions.udf.CIQ(A198, "IQ_TOTAL_OUTSTANDING_FILING_DATE",IQ_FY-4))</f>
        <v>89.711740000000006</v>
      </c>
      <c r="J203" s="17">
        <f>IF(A206=A207,_xll.ciqfunctions.udf.CIQ(A198,"IQ_CASH_OPER",IQ_FY-5), _xll.ciqfunctions.udf.CIQ(A198, "IQ_CASH_OPER",IQ_FY-4))</f>
        <v>471.15800000000002</v>
      </c>
      <c r="K203" s="17">
        <f>IF(A206=A207,_xll.ciqfunctions.udf.CIQ(A198,"IQ_CAPEX",IQ_FY-5), _xll.ciqfunctions.udf.CIQ(A198, "IQ_CAPEX",IQ_FY-4))</f>
        <v>-126.873</v>
      </c>
      <c r="L203" s="15">
        <f t="shared" si="52"/>
        <v>3.8376805532921332</v>
      </c>
      <c r="M203" s="17">
        <f>IF(A206=A207,_xll.ciqfunctions.udf.CIQ(A198,"IQ_TOTAL_DEBT_ISSUED",IQ_FY-5), _xll.ciqfunctions.udf.CIQ(A198, "IQ_TOTAL_DEBT_ISSUED",IQ_FY-4))</f>
        <v>248</v>
      </c>
      <c r="N203" s="17">
        <f>IF(A206=A207,_xll.ciqfunctions.udf.CIQ(A198,"IQ_TOTAL_DEBT_REPAID",IQ_FY-5), _xll.ciqfunctions.udf.CIQ(A198, "IQ_TOTAL_DEBT_REPAID",IQ_FY-4))</f>
        <v>-1258.972</v>
      </c>
      <c r="O203" s="15">
        <f t="shared" si="53"/>
        <v>-11.269115948481213</v>
      </c>
      <c r="P203" s="15">
        <f t="shared" si="54"/>
        <v>-7.4314353951890801</v>
      </c>
      <c r="Q203" s="25" t="s">
        <v>27</v>
      </c>
      <c r="R203" s="38" t="s">
        <v>51</v>
      </c>
      <c r="S203" s="4">
        <f>AVERAGE(F203:F208)/AVERAGE(D203:D208)</f>
        <v>0.11087036704879968</v>
      </c>
      <c r="U203" s="25" t="s">
        <v>58</v>
      </c>
      <c r="V203" s="38" t="s">
        <v>51</v>
      </c>
      <c r="W203" s="4">
        <f>AVERAGE(F203:F208)/AVERAGE(D203:D208)</f>
        <v>0.11087036704879968</v>
      </c>
      <c r="Y203" s="25" t="s">
        <v>56</v>
      </c>
      <c r="Z203" s="38" t="s">
        <v>51</v>
      </c>
      <c r="AA203" s="4">
        <f>AVERAGE(F203:F208)/AVERAGE(D203:D208)</f>
        <v>0.11087036704879968</v>
      </c>
    </row>
    <row r="204" spans="1:27">
      <c r="A204" s="18"/>
      <c r="B204" s="13">
        <v>7</v>
      </c>
      <c r="C204" s="14" t="s">
        <v>28</v>
      </c>
      <c r="D204" s="15" cm="1">
        <f t="array" ref="D204">_xlfn.SINGLE(IF(A206=A207,_xll.ciqfunctions.udf.CIQ(A198,"IQ_TOTAL_REV",IQ_FY-4)/I204, _xll.ciqfunctions.udf.CIQ(A198, "IQ_TOTAL_REV",IQ_FY-3)/I204))</f>
        <v>47.645839396168043</v>
      </c>
      <c r="E204" s="16">
        <f t="shared" si="55"/>
        <v>7.519572757999074E-2</v>
      </c>
      <c r="F204" s="15">
        <f>IF(A206=A207,_xll.ciqfunctions.udf.CIQ(A198,"IQ_DILUT_EPS_EXCL",IQ_FY-4), _xll.ciqfunctions.udf.CIQ(A198, "IQ_DILUT_EPS_EXCL",IQ_FY-3))</f>
        <v>2.56</v>
      </c>
      <c r="G204" s="15">
        <f>IF(A206=A207,_xll.ciqfunctions.udf.CIQ(A198,"IQ_EBITDA_MARGIN",IQ_FY-4), _xll.ciqfunctions.udf.CIQ(A198, "IQ_EBITDA_MARGIN",IQ_FY-3))</f>
        <v>13.4444</v>
      </c>
      <c r="H204" s="15">
        <f>IF(A206=A207,_xll.ciqfunctions.udf.CIQ(A198,"IQ_TOTAL_DIV_PAID_CF",IQ_FY-4)/-I204, _xll.ciqfunctions.udf.CIQ(A198, "IQ_TOTAL_DIV_PAID_CF",IQ_FY-3)/-I204)</f>
        <v>0</v>
      </c>
      <c r="I204" s="17">
        <f>IF(A206=A207,_xll.ciqfunctions.udf.CIQ(A198,"IQ_TOTAL_OUTSTANDING_FILING_DATE",IQ_FY-4), _xll.ciqfunctions.udf.CIQ(A198, "IQ_TOTAL_OUTSTANDING_FILING_DATE",IQ_FY-3))</f>
        <v>89.101609999999994</v>
      </c>
      <c r="J204" s="17">
        <f>IF(A206=A207,_xll.ciqfunctions.udf.CIQ(A198,"IQ_CASH_OPER",IQ_FY-4), _xll.ciqfunctions.udf.CIQ(A198, "IQ_CASH_OPER",IQ_FY-3))</f>
        <v>565.43600000000004</v>
      </c>
      <c r="K204" s="17">
        <f>IF(A206=A207,_xll.ciqfunctions.udf.CIQ(A198,"IQ_CAPEX",IQ_FY-4), _xll.ciqfunctions.udf.CIQ(A198, "IQ_CAPEX",IQ_FY-3))</f>
        <v>-149.01599999999999</v>
      </c>
      <c r="L204" s="15">
        <f t="shared" si="52"/>
        <v>4.673540691352267</v>
      </c>
      <c r="M204" s="17">
        <f>IF(A206=A207,_xll.ciqfunctions.udf.CIQ(A198,"IQ_TOTAL_DEBT_ISSUED",IQ_FY-4), _xll.ciqfunctions.udf.CIQ(A198, "IQ_TOTAL_DEBT_ISSUED",IQ_FY-3))</f>
        <v>314</v>
      </c>
      <c r="N204" s="17">
        <f>IF(A206=A207,_xll.ciqfunctions.udf.CIQ(A198,"IQ_TOTAL_DEBT_REPAID",IQ_FY-4), _xll.ciqfunctions.udf.CIQ(A198, "IQ_TOTAL_DEBT_REPAID",IQ_FY-3))</f>
        <v>-418.57900000000001</v>
      </c>
      <c r="O204" s="15">
        <f t="shared" si="53"/>
        <v>-1.1737049420319119</v>
      </c>
      <c r="P204" s="15">
        <f t="shared" si="54"/>
        <v>3.4998357493203551</v>
      </c>
      <c r="Q204" s="18"/>
      <c r="R204" s="38" t="s">
        <v>29</v>
      </c>
      <c r="S204" s="4">
        <f>(AVERAGE(P203:P208)/_xlfn.STDEV.P(P203:P208))/(IF(A206=A207,(_xlfn.SINGLE(_xll.ciqfunctions.udf.CIQ(A198,"IQ_total_assets",IQ_FY)) - _xlfn.SINGLE(_xll.ciqfunctions.udf.CIQ(A198,"iq_gw_intan", IQ_FY)))/I208, (_xlfn.SINGLE(_xll.ciqfunctions.udf.CIQ(A198, "IQ_total_assets",IQ_LTM))-_xlfn.SINGLE(_xll.ciqfunctions.udf.CIQ(A198,"iq_gw_intan",IQ_LTM)))/I208))</f>
        <v>1.9088794368949516E-2</v>
      </c>
      <c r="U204" s="18"/>
      <c r="V204" s="38" t="s">
        <v>29</v>
      </c>
      <c r="W204" s="4">
        <f>(AVERAGE(P203:P208)/_xlfn.STDEV.P(P203:P208))/(IF(A206=A207,(_xlfn.SINGLE(_xll.ciqfunctions.udf.CIQ(A198,"IQ_total_assets",IQ_FY)) - _xlfn.SINGLE(_xll.ciqfunctions.udf.CIQ(A198,"iq_gw_intan", IQ_FY)))/I208, (_xlfn.SINGLE(_xll.ciqfunctions.udf.CIQ(A198, "IQ_total_assets",IQ_LTM))-_xlfn.SINGLE(_xll.ciqfunctions.udf.CIQ(A198,"iq_gw_intan",IQ_LTM)))/I208))</f>
        <v>1.9088794368949516E-2</v>
      </c>
      <c r="Y204" s="18"/>
      <c r="Z204" s="38" t="s">
        <v>29</v>
      </c>
      <c r="AA204" s="4">
        <f>(AVERAGE(P203:P208)/_xlfn.STDEV.P(P203:P208))/(IF(A206=A207,(_xlfn.SINGLE(_xll.ciqfunctions.udf.CIQ(A198,"IQ_total_assets",IQ_FY)) - _xlfn.SINGLE(_xll.ciqfunctions.udf.CIQ(A198,"iq_gw_intan", IQ_FY)))/I208, (_xlfn.SINGLE(_xll.ciqfunctions.udf.CIQ(A198, "IQ_total_assets",IQ_LTM))-_xlfn.SINGLE(_xll.ciqfunctions.udf.CIQ(A198,"iq_gw_intan",IQ_LTM)))/I208))</f>
        <v>1.9088794368949516E-2</v>
      </c>
    </row>
    <row r="205" spans="1:27">
      <c r="A205" s="18"/>
      <c r="B205" s="13">
        <v>8</v>
      </c>
      <c r="C205" s="14" t="s">
        <v>30</v>
      </c>
      <c r="D205" s="15" cm="1">
        <f t="array" ref="D205">_xlfn.SINGLE(IF(A206=A207,_xll.ciqfunctions.udf.CIQ(A198,"IQ_TOTAL_REV",IQ_FY-3)/I205, _xll.ciqfunctions.udf.CIQ(A198, "IQ_TOTAL_REV",IQ_FY-2)/I205))</f>
        <v>46.205268054942692</v>
      </c>
      <c r="E205" s="16">
        <f t="shared" si="55"/>
        <v>-3.0234987135964061E-2</v>
      </c>
      <c r="F205" s="15">
        <f>IF(A206=A207,_xll.ciqfunctions.udf.CIQ(A198,"IQ_DILUT_EPS_EXCL",IQ_FY-3), _xll.ciqfunctions.udf.CIQ(A198, "IQ_DILUT_EPS_EXCL",IQ_FY-2))</f>
        <v>2.96</v>
      </c>
      <c r="G205" s="15">
        <f>IF(A206=A207,_xll.ciqfunctions.udf.CIQ(A198,"IQ_EBITDA_MARGIN",IQ_FY-3), _xll.ciqfunctions.udf.CIQ(A198, "IQ_EBITDA_MARGIN",IQ_FY-2))</f>
        <v>16.729600000000001</v>
      </c>
      <c r="H205" s="15">
        <f>IF(A206=A207,_xll.ciqfunctions.udf.CIQ(A198,"IQ_TOTAL_DIV_PAID_CF",IQ_FY-3)/-I205, _xll.ciqfunctions.udf.CIQ(A198, "IQ_TOTAL_DIV_PAID_CF",IQ_FY-2)/-I205)</f>
        <v>0</v>
      </c>
      <c r="I205" s="17">
        <f>IF(A206=A207,_xll.ciqfunctions.udf.CIQ(A198,"IQ_TOTAL_OUTSTANDING_FILING_DATE",IQ_FY-3), _xll.ciqfunctions.udf.CIQ(A198, "IQ_TOTAL_OUTSTANDING_FILING_DATE",IQ_FY-2))</f>
        <v>88.721549999999993</v>
      </c>
      <c r="J205" s="17">
        <f>IF(A206=A207,_xll.ciqfunctions.udf.CIQ(A198,"IQ_CASH_OPER",IQ_FY-3), _xll.ciqfunctions.udf.CIQ(A198, "IQ_CASH_OPER",IQ_FY-2))</f>
        <v>903.27800000000002</v>
      </c>
      <c r="K205" s="17">
        <f>IF(A206=A207,_xll.ciqfunctions.udf.CIQ(A198,"IQ_CAPEX",IQ_FY-3), _xll.ciqfunctions.udf.CIQ(A198, "IQ_CAPEX",IQ_FY-2))</f>
        <v>-83.888000000000005</v>
      </c>
      <c r="L205" s="15">
        <f t="shared" si="52"/>
        <v>9.2355239510581146</v>
      </c>
      <c r="M205" s="17">
        <f>IF(A206=A207,_xll.ciqfunctions.udf.CIQ(A198,"IQ_TOTAL_DEBT_ISSUED",IQ_FY-3), _xll.ciqfunctions.udf.CIQ(A198, "IQ_TOTAL_DEBT_ISSUED",IQ_FY-2))</f>
        <v>2332</v>
      </c>
      <c r="N205" s="17">
        <f>IF(A206=A207,_xll.ciqfunctions.udf.CIQ(A198,"IQ_TOTAL_DEBT_REPAID",IQ_FY-3), _xll.ciqfunctions.udf.CIQ(A198, "IQ_TOTAL_DEBT_REPAID",IQ_FY-2))</f>
        <v>-2533.4690000000001</v>
      </c>
      <c r="O205" s="15">
        <f t="shared" si="53"/>
        <v>-2.2708011751372701</v>
      </c>
      <c r="P205" s="15">
        <f t="shared" si="54"/>
        <v>6.9647227759208441</v>
      </c>
      <c r="Q205" s="18"/>
      <c r="R205" s="39" t="s">
        <v>31</v>
      </c>
      <c r="S205" s="5">
        <f>IF(NOT(D198&gt;0),FALSE,SLOPE(G198:G208,B198:B208))</f>
        <v>0.75476818181818184</v>
      </c>
      <c r="U205" s="18"/>
      <c r="V205" s="39" t="s">
        <v>31</v>
      </c>
      <c r="W205" s="5">
        <f>IF(NOT(D198&gt;0),FALSE,SLOPE(G198:G208,B198:B208))</f>
        <v>0.75476818181818184</v>
      </c>
      <c r="Y205" s="18"/>
      <c r="Z205" s="39" t="s">
        <v>31</v>
      </c>
      <c r="AA205" s="5">
        <f>IF(NOT(L198&gt;0),FALSE,SLOPE(O198:O208,J198:J208))</f>
        <v>-5.139370131078025E-3</v>
      </c>
    </row>
    <row r="206" spans="1:27">
      <c r="A206" s="19">
        <f>_xll.ciqfunctions.udf.CIQ(A198,"IQ_TOTAL_REV",IQ_FY)</f>
        <v>5475.8459999999995</v>
      </c>
      <c r="B206" s="13">
        <v>9</v>
      </c>
      <c r="C206" s="14" t="s">
        <v>32</v>
      </c>
      <c r="D206" s="15" cm="1">
        <f t="array" ref="D206">_xlfn.SINGLE(IF(A206=A207,_xll.ciqfunctions.udf.CIQ(A198,"IQ_TOTAL_REV",IQ_FY-2)/I206, _xll.ciqfunctions.udf.CIQ(A198, "IQ_TOTAL_REV",IQ_FY-1)/I206))</f>
        <v>57.529609636469253</v>
      </c>
      <c r="E206" s="16">
        <f t="shared" si="55"/>
        <v>0.24508767199577294</v>
      </c>
      <c r="F206" s="15">
        <f>IF(A206=A207,_xll.ciqfunctions.udf.CIQ(A198,"IQ_DILUT_EPS_EXCL",IQ_FY-2), _xll.ciqfunctions.udf.CIQ(A198, "IQ_DILUT_EPS_EXCL",IQ_FY-1))</f>
        <v>9.2100000000000009</v>
      </c>
      <c r="G206" s="15">
        <f>IF(A206=A207,_xll.ciqfunctions.udf.CIQ(A198,"IQ_EBITDA_MARGIN",IQ_FY-2), _xll.ciqfunctions.udf.CIQ(A198, "IQ_EBITDA_MARGIN",IQ_FY-1))</f>
        <v>24.250900000000001</v>
      </c>
      <c r="H206" s="15">
        <f>IF(A206=A207,_xll.ciqfunctions.udf.CIQ(A198,"IQ_TOTAL_DIV_PAID_CF",IQ_FY-2)/-I206, _xll.ciqfunctions.udf.CIQ(A198, "IQ_TOTAL_DIV_PAID_CF",IQ_FY-1)/-I206)</f>
        <v>0</v>
      </c>
      <c r="I206" s="17">
        <f>IF(A206=A207,_xll.ciqfunctions.udf.CIQ(A198,"IQ_TOTAL_OUTSTANDING_FILING_DATE",IQ_FY-2), _xll.ciqfunctions.udf.CIQ(A198, "IQ_TOTAL_OUTSTANDING_FILING_DATE",IQ_FY-1))</f>
        <v>82.287400000000005</v>
      </c>
      <c r="J206" s="17">
        <f>IF(A206=A207,_xll.ciqfunctions.udf.CIQ(A198,"IQ_CASH_OPER",IQ_FY-2), _xll.ciqfunctions.udf.CIQ(A198, "IQ_CASH_OPER",IQ_FY-1))</f>
        <v>1312.47</v>
      </c>
      <c r="K206" s="17">
        <f>IF(A206=A207,_xll.ciqfunctions.udf.CIQ(A198,"IQ_CAPEX",IQ_FY-2), _xll.ciqfunctions.udf.CIQ(A198, "IQ_CAPEX",IQ_FY-1))</f>
        <v>-59.834000000000003</v>
      </c>
      <c r="L206" s="15">
        <f t="shared" si="52"/>
        <v>15.222695090621405</v>
      </c>
      <c r="M206" s="17">
        <f>IF(A206=A207,_xll.ciqfunctions.udf.CIQ(A198,"IQ_TOTAL_DEBT_ISSUED",IQ_FY-2), _xll.ciqfunctions.udf.CIQ(A198, "IQ_TOTAL_DEBT_ISSUED",IQ_FY-1))</f>
        <v>600</v>
      </c>
      <c r="N206" s="17">
        <f>IF(A206=A207,_xll.ciqfunctions.udf.CIQ(A198,"IQ_TOTAL_DEBT_REPAID",IQ_FY-2), _xll.ciqfunctions.udf.CIQ(A198, "IQ_TOTAL_DEBT_REPAID",IQ_FY-1))</f>
        <v>-112.91500000000001</v>
      </c>
      <c r="O206" s="15">
        <f t="shared" si="53"/>
        <v>5.9193145001543366</v>
      </c>
      <c r="P206" s="15">
        <f t="shared" si="54"/>
        <v>21.142009590775743</v>
      </c>
      <c r="Q206" s="25" t="s">
        <v>33</v>
      </c>
      <c r="R206" s="38" t="s">
        <v>52</v>
      </c>
      <c r="S206" s="4">
        <f>(AVERAGE(O203:O208)/AVERAGE(P203:P208))</f>
        <v>-0.18042646813247032</v>
      </c>
      <c r="U206" s="25" t="s">
        <v>54</v>
      </c>
      <c r="V206" s="38" t="s">
        <v>52</v>
      </c>
      <c r="W206" s="4">
        <f>(AVERAGE(O203:O208)/AVERAGE(P203:P208))</f>
        <v>-0.18042646813247032</v>
      </c>
      <c r="Y206" s="25" t="s">
        <v>60</v>
      </c>
      <c r="Z206" s="38" t="s">
        <v>52</v>
      </c>
      <c r="AA206" s="4">
        <f>(AVERAGE(O203:O208)/AVERAGE(P203:P208))</f>
        <v>-0.18042646813247032</v>
      </c>
    </row>
    <row r="207" spans="1:27">
      <c r="A207" s="19">
        <f>_xll.ciqfunctions.udf.CIQ(A198,"IQ_TOTAL_REV",IQ_LTM)</f>
        <v>5825.5550000000003</v>
      </c>
      <c r="B207" s="13">
        <v>10</v>
      </c>
      <c r="C207" s="14" t="s">
        <v>34</v>
      </c>
      <c r="D207" s="15" cm="1">
        <f t="array" ref="D207">_xlfn.SINGLE(IF(A206=A207,_xll.ciqfunctions.udf.CIQ(A198,"IQ_TOTAL_REV",IQ_FY-1)/I207, _xll.ciqfunctions.udf.CIQ(A198, "IQ_TOTAL_REV",IQ_FY)/I207))</f>
        <v>69.261376716088677</v>
      </c>
      <c r="E207" s="16">
        <f t="shared" si="55"/>
        <v>0.20392572022916014</v>
      </c>
      <c r="F207" s="15">
        <f>IF(A206=A207,_xll.ciqfunctions.udf.CIQ(A198,"IQ_DILUT_EPS_EXCL",IQ_FY-1), _xll.ciqfunctions.udf.CIQ(A198, "IQ_DILUT_EPS_EXCL",IQ_FY))</f>
        <v>9.9600000000000009</v>
      </c>
      <c r="G207" s="15">
        <f>IF(A206=A207,_xll.ciqfunctions.udf.CIQ(A198,"IQ_EBITDA_MARGIN",IQ_FY-1), _xll.ciqfunctions.udf.CIQ(A198, "IQ_EBITDA_MARGIN",IQ_FY))</f>
        <v>24.005099999999999</v>
      </c>
      <c r="H207" s="15">
        <f>IF(A206=A207,_xll.ciqfunctions.udf.CIQ(A198,"IQ_TOTAL_DIV_PAID_CF",IQ_FY-1)/-I207, _xll.ciqfunctions.udf.CIQ(A198, "IQ_TOTAL_DIV_PAID_CF",IQ_FY)/-I207)</f>
        <v>0</v>
      </c>
      <c r="I207" s="17">
        <f>IF(A206=A207,_xll.ciqfunctions.udf.CIQ(A198,"IQ_TOTAL_OUTSTANDING_FILING_DATE",IQ_FY-1), _xll.ciqfunctions.udf.CIQ(A198, "IQ_TOTAL_OUTSTANDING_FILING_DATE",IQ_FY))</f>
        <v>79.060599999999994</v>
      </c>
      <c r="J207" s="17">
        <f>IF(A206=A207,_xll.ciqfunctions.udf.CIQ(A198,"IQ_CASH_OPER",IQ_FY-1), _xll.ciqfunctions.udf.CIQ(A198, "IQ_CASH_OPER",IQ_FY))</f>
        <v>1101.422</v>
      </c>
      <c r="K207" s="17">
        <f>IF(A206=A207,_xll.ciqfunctions.udf.CIQ(A198,"IQ_CAPEX",IQ_FY-1), _xll.ciqfunctions.udf.CIQ(A198, "IQ_CAPEX",IQ_FY))</f>
        <v>-108.05</v>
      </c>
      <c r="L207" s="15">
        <f t="shared" si="52"/>
        <v>12.564690882689989</v>
      </c>
      <c r="M207" s="17">
        <f>IF(A206=A207,_xll.ciqfunctions.udf.CIQ(A198,"IQ_TOTAL_DEBT_ISSUED",IQ_FY-1), _xll.ciqfunctions.udf.CIQ(A198, "IQ_TOTAL_DEBT_ISSUED",IQ_FY))</f>
        <v>0</v>
      </c>
      <c r="N207" s="17">
        <f>IF(A206=A207,_xll.ciqfunctions.udf.CIQ(A198,"IQ_TOTAL_DEBT_REPAID",IQ_FY-1), _xll.ciqfunctions.udf.CIQ(A198, "IQ_TOTAL_DEBT_REPAID",IQ_FY))</f>
        <v>-5.931</v>
      </c>
      <c r="O207" s="15">
        <f t="shared" si="53"/>
        <v>-7.5018403604323783E-2</v>
      </c>
      <c r="P207" s="15">
        <f t="shared" si="54"/>
        <v>12.489672479085666</v>
      </c>
      <c r="Q207" s="25" t="s">
        <v>44</v>
      </c>
      <c r="R207" s="38" t="s">
        <v>35</v>
      </c>
      <c r="S207" s="1">
        <f>_xll.ciqfunctions.udf.CIQ(A198,"IQ_TEV_EBITDA")</f>
        <v>24.877500000000001</v>
      </c>
      <c r="U207" s="25" t="s">
        <v>55</v>
      </c>
      <c r="V207" s="38" t="s">
        <v>53</v>
      </c>
      <c r="W207" s="1">
        <f>V197/(AVERAGE(D203:D208)/_xlfn.STDEV.P(E203:E208))</f>
        <v>0.74556741509708746</v>
      </c>
      <c r="Y207" s="25" t="s">
        <v>57</v>
      </c>
      <c r="Z207" s="38" t="s">
        <v>53</v>
      </c>
      <c r="AA207" s="1">
        <f>Z197/(AVERAGE(D203:D208)/_xlfn.STDEV.P(E203:E208))</f>
        <v>0.74556741509708746</v>
      </c>
    </row>
    <row r="208" spans="1:27">
      <c r="B208" s="13">
        <v>11</v>
      </c>
      <c r="C208" s="20" t="s">
        <v>36</v>
      </c>
      <c r="D208" s="21" cm="1">
        <f t="array" ref="D208">_xlfn.SINGLE(IF(A206=A207,_xll.ciqfunctions.udf.CIQ(A198,"IQ_TOTAL_REV",IQ_FY)/I208, _xll.ciqfunctions.udf.CIQ(A198, "IQ_TOTAL_REV",IQ_LTM)/I208))</f>
        <v>74.735841986149595</v>
      </c>
      <c r="E208" s="22">
        <f t="shared" si="55"/>
        <v>7.9040664936555594E-2</v>
      </c>
      <c r="F208" s="21">
        <f>IF(A206=A207,_xll.ciqfunctions.udf.CIQ(A198,"IQ_DILUT_EPS_EXCL",IQ_FY), _xll.ciqfunctions.udf.CIQ(A198, "IQ_DILUT_EPS_EXCL",IQ_LTM))</f>
        <v>11.641730000000001</v>
      </c>
      <c r="G208" s="21">
        <f>IF(A206=A207,_xll.ciqfunctions.udf.CIQ(A198,"IQ_EBITDA_MARGIN",IQ_FY), _xll.ciqfunctions.udf.CIQ(A198, "IQ_EBITDA_MARGIN",IQ_LTM))</f>
        <v>22.8094</v>
      </c>
      <c r="H208" s="21">
        <f>IF(A206=A207,_xll.ciqfunctions.udf.CIQ(A198,"IQ_TOTAL_DIV_PAID_CF",IQ_FY)/-I208, _xll.ciqfunctions.udf.CIQ(A198, "IQ_TOTAL_DIV_PAID_CF",IQ_LTM)/-I208)</f>
        <v>0</v>
      </c>
      <c r="I208" s="23">
        <f>IF(A206=A207,_xll.ciqfunctions.udf.CIQ(A198,"IQ_TOTAL_OUTSTANDING_FILING_DATE",IQ_FY),_xll.ciqfunctions.udf.CIQ(A198,"IQ_sharesoutstanding"))</f>
        <v>77.948610000000002</v>
      </c>
      <c r="J208" s="23">
        <f>IF(A206=A207,_xll.ciqfunctions.udf.CIQ(A198,"IQ_CASH_OPER",IQ_FY), _xll.ciqfunctions.udf.CIQ(A198, "IQ_CASH_OPER",IQ_LTM))</f>
        <v>1134.5160000000001</v>
      </c>
      <c r="K208" s="23">
        <f>IF(A206=A207,_xll.ciqfunctions.udf.CIQ(A198,"IQ_CAPEX",IQ_FY), _xll.ciqfunctions.udf.CIQ(A198, "IQ_CAPEX",IQ_LTM))</f>
        <v>-112.73399999999999</v>
      </c>
      <c r="L208" s="21">
        <f t="shared" si="52"/>
        <v>13.108405653417041</v>
      </c>
      <c r="M208" s="23">
        <f>IF(A206=A207,_xll.ciqfunctions.udf.CIQ(A198,"IQ_TOTAL_DEBT_ISSUED",IQ_FY), _xll.ciqfunctions.udf.CIQ(A198, "IQ_TOTAL_DEBT_ISSUED",IQ_LTM))</f>
        <v>0</v>
      </c>
      <c r="N208" s="23">
        <f>IF(A206=A207,_xll.ciqfunctions.udf.CIQ(A198,"IQ_TOTAL_DEBT_REPAID",IQ_FY), _xll.ciqfunctions.udf.CIQ(A198, "IQ_TOTAL_DEBT_REPAID",IQ_LTM))</f>
        <v>-7.335</v>
      </c>
      <c r="O208" s="21">
        <f t="shared" si="53"/>
        <v>-9.410045926412286E-2</v>
      </c>
      <c r="P208" s="21">
        <f t="shared" si="54"/>
        <v>13.014305194152918</v>
      </c>
      <c r="Q208" s="25" t="s">
        <v>45</v>
      </c>
      <c r="S208" s="45"/>
      <c r="U208" s="25"/>
      <c r="W208" s="45"/>
      <c r="Y208" s="25"/>
      <c r="AA208" s="45"/>
    </row>
    <row r="209" spans="1:27">
      <c r="B209" s="24"/>
      <c r="C209" s="25" t="s">
        <v>37</v>
      </c>
      <c r="E209" s="26">
        <f>((D208/D203)^(1/5))-1</f>
        <v>0.11019251725619972</v>
      </c>
      <c r="F209" s="27">
        <f>((F208/F203)^(1/5))-1</f>
        <v>0.54323895129432098</v>
      </c>
      <c r="G209" s="28"/>
      <c r="H209" s="27" t="e">
        <f>((H208/H203)^(1/5))-1</f>
        <v>#DIV/0!</v>
      </c>
      <c r="I209" s="27">
        <f>((I208/I203)^(1/5))-1</f>
        <v>-2.7718955188806849E-2</v>
      </c>
      <c r="J209" s="27"/>
      <c r="K209" s="27"/>
      <c r="L209" s="26">
        <f>((L208/L203)^(1/5))-1</f>
        <v>0.27848668758542705</v>
      </c>
      <c r="M209" s="26"/>
      <c r="N209" s="26"/>
      <c r="O209" s="26"/>
      <c r="P209" s="26">
        <f>((P208/P203)^(1/5))-1</f>
        <v>-2.1185867124072564</v>
      </c>
      <c r="Q209" s="18"/>
      <c r="R209" s="36"/>
      <c r="S209" s="45"/>
      <c r="U209" s="18"/>
      <c r="V209" s="36"/>
      <c r="W209" s="45"/>
      <c r="Y209" s="18"/>
      <c r="Z209" s="36"/>
      <c r="AA209" s="45"/>
    </row>
    <row r="210" spans="1:27">
      <c r="A210" s="29"/>
      <c r="B210" s="30"/>
      <c r="C210" s="31" t="s">
        <v>38</v>
      </c>
      <c r="D210" s="29"/>
      <c r="E210" s="32">
        <f>((D208/D198)^(1/10))-1</f>
        <v>0.14438539950809859</v>
      </c>
      <c r="F210" s="33">
        <f>((F208/F198)^(1/10))-1</f>
        <v>0.19686735437538805</v>
      </c>
      <c r="G210" s="34"/>
      <c r="H210" s="33" t="e">
        <f>((H208/H198)^(1/10))-1</f>
        <v>#DIV/0!</v>
      </c>
      <c r="I210" s="33">
        <f>((I208/I198)^(1/10))-1</f>
        <v>-1.6404003285330426E-2</v>
      </c>
      <c r="J210" s="33"/>
      <c r="K210" s="33"/>
      <c r="L210" s="32">
        <f>((L208/L198)^(1/10))-1</f>
        <v>0.15753565067670938</v>
      </c>
      <c r="M210" s="32"/>
      <c r="N210" s="32"/>
      <c r="O210" s="32"/>
      <c r="P210" s="32">
        <f>((P208/P198)^(1/10))-1</f>
        <v>0.15670200152091773</v>
      </c>
      <c r="Q210" s="40"/>
      <c r="R210" s="41"/>
      <c r="S210" s="46"/>
      <c r="U210" s="40"/>
      <c r="V210" s="41"/>
      <c r="W210" s="46"/>
      <c r="Y210" s="40"/>
      <c r="Z210" s="41"/>
      <c r="AA210" s="46"/>
    </row>
    <row r="211" spans="1:27">
      <c r="B211" s="24"/>
      <c r="C211" s="25"/>
      <c r="E211" s="26"/>
      <c r="F211" s="27"/>
      <c r="G211" s="28"/>
      <c r="H211" s="27"/>
      <c r="I211" s="27"/>
      <c r="J211" s="27"/>
      <c r="K211" s="27"/>
      <c r="L211" s="26"/>
      <c r="M211" s="17"/>
      <c r="N211" s="17"/>
      <c r="O211" s="17"/>
      <c r="P211" s="35"/>
      <c r="Q211" s="18"/>
      <c r="R211" s="36"/>
    </row>
    <row r="212" spans="1:27">
      <c r="A212" s="9" t="s">
        <v>0</v>
      </c>
      <c r="B212" s="10"/>
      <c r="C212" s="9" t="s">
        <v>1</v>
      </c>
      <c r="D212" s="9" t="s">
        <v>2</v>
      </c>
      <c r="E212" s="9" t="s">
        <v>3</v>
      </c>
      <c r="F212" s="11" t="s">
        <v>4</v>
      </c>
      <c r="G212" s="11" t="s">
        <v>5</v>
      </c>
      <c r="H212" s="9" t="s">
        <v>6</v>
      </c>
      <c r="I212" s="11" t="s">
        <v>7</v>
      </c>
      <c r="J212" s="11" t="s">
        <v>8</v>
      </c>
      <c r="K212" s="11" t="s">
        <v>9</v>
      </c>
      <c r="L212" s="11" t="s">
        <v>10</v>
      </c>
      <c r="M212" s="11" t="s">
        <v>11</v>
      </c>
      <c r="N212" s="11" t="s">
        <v>12</v>
      </c>
      <c r="O212" s="11" t="s">
        <v>13</v>
      </c>
      <c r="P212" s="11" t="s">
        <v>14</v>
      </c>
      <c r="Q212" s="37" t="s">
        <v>15</v>
      </c>
      <c r="R212" s="42">
        <f>_xll.ciqfunctions.udf.CIQ(A213,("IQ_LASTSALEPRICE"))</f>
        <v>403.09</v>
      </c>
      <c r="S212" s="44"/>
      <c r="U212" s="37" t="s">
        <v>15</v>
      </c>
      <c r="V212" s="42">
        <f>_xll.ciqfunctions.udf.CIQ(A213,("IQ_LASTSALEPRICE"))</f>
        <v>403.09</v>
      </c>
      <c r="W212" s="44"/>
      <c r="Y212" s="37" t="s">
        <v>15</v>
      </c>
      <c r="Z212" s="42">
        <f>_xll.ciqfunctions.udf.CIQ(A213,("IQ_LASTSALEPRICE"))</f>
        <v>403.09</v>
      </c>
      <c r="AA212" s="44"/>
    </row>
    <row r="213" spans="1:27">
      <c r="A213" s="12" t="str">
        <f>Analysis!B16</f>
        <v>NasdaqGM:MDB</v>
      </c>
      <c r="B213" s="13">
        <v>1</v>
      </c>
      <c r="C213" s="14" t="s">
        <v>16</v>
      </c>
      <c r="D213" s="15" t="e">
        <f>IF(A221=A222,_xll.ciqfunctions.udf.CIQ(A213,"IQ_TOTAL_REV",IQ_FY-10)/I213,_xll.ciqfunctions.udf.CIQ(A213, "IQ_TOTAL_REV",IQ_FY-9)/I213)</f>
        <v>#DIV/0!</v>
      </c>
      <c r="E213" s="16"/>
      <c r="F213" s="15">
        <f>IF(A221=A222,_xll.ciqfunctions.udf.CIQ(A213,"IQ_DILUT_EPS_EXCL",IQ_FY-10), _xll.ciqfunctions.udf.CIQ(A213, "IQ_DILUT_EPS_EXCL",IQ_FY-9))</f>
        <v>0</v>
      </c>
      <c r="G213" s="15">
        <f>IF(A221=A222,_xll.ciqfunctions.udf.CIQ(A213,"IQ_EBITDA_MARGIN",IQ_FY-10), _xll.ciqfunctions.udf.CIQ(A213, "IQ_EBITDA_MARGIN",IQ_FY-9))</f>
        <v>0</v>
      </c>
      <c r="H213" s="15" t="e">
        <f>IF(A221=A222,_xll.ciqfunctions.udf.CIQ(A213,"IQ_TOTAL_DIV_PAID_CF",IQ_FY-10)/-I213, _xll.ciqfunctions.udf.CIQ(A213, "IQ_TOTAL_DIV_PAID_CF",IQ_FY-9)/-I213)</f>
        <v>#DIV/0!</v>
      </c>
      <c r="I213" s="17">
        <f>IF(A221=A222,_xll.ciqfunctions.udf.CIQ(A213,"IQ_TOTAL_OUTSTANDING_FILING_DATE",IQ_FY-10), _xll.ciqfunctions.udf.CIQ(A213, "IQ_TOTAL_OUTSTANDING_FILING_DATE",IQ_FY-9))</f>
        <v>0</v>
      </c>
      <c r="J213" s="17">
        <f>IF(A221=A222,_xll.ciqfunctions.udf.CIQ(A213,"IQ_CASH_OPER",IQ_FY-10), _xll.ciqfunctions.udf.CIQ(A213, "IQ_CASH_OPER",IQ_FY-9))</f>
        <v>0</v>
      </c>
      <c r="K213" s="17">
        <f>IF(A221=A222,_xll.ciqfunctions.udf.CIQ(A213,"IQ_CAPEX",IQ_FY-10), _xll.ciqfunctions.udf.CIQ(A213, "IQ_CAPEX",IQ_FY-9))</f>
        <v>0</v>
      </c>
      <c r="L213" s="15" t="e">
        <f t="shared" ref="L213:L223" si="56">(J213+K213)/I213</f>
        <v>#DIV/0!</v>
      </c>
      <c r="M213" s="17">
        <f>IF(A221=A222,_xll.ciqfunctions.udf.CIQ(A213,"IQ_TOTAL_DEBT_ISSUED",IQ_FY-10), _xll.ciqfunctions.udf.CIQ(A213, "IQ_TOTAL_DEBT_ISSUED",IQ_FY-9))</f>
        <v>0</v>
      </c>
      <c r="N213" s="17">
        <f>IF(A221=A222,_xll.ciqfunctions.udf.CIQ(A213,"IQ_TOTAL_DEBT_REPAID",IQ_FY-10), _xll.ciqfunctions.udf.CIQ(A213, "IQ_TOTAL_DEBT_REPAID",IQ_FY-9))</f>
        <v>0</v>
      </c>
      <c r="O213" s="15" t="e">
        <f t="shared" ref="O213:O223" si="57">(M213+N213)/I213</f>
        <v>#DIV/0!</v>
      </c>
      <c r="P213" s="15" t="e">
        <f t="shared" ref="P213:P223" si="58">L213+O213</f>
        <v>#DIV/0!</v>
      </c>
      <c r="W213" s="43"/>
      <c r="AA213" s="43"/>
    </row>
    <row r="214" spans="1:27">
      <c r="A214" s="18" t="str">
        <f>_xll.ciqfunctions.udf.CIQ(A213,"IQ_COMPANY_NAME")</f>
        <v>MongoDB, Inc.</v>
      </c>
      <c r="B214" s="13">
        <v>2</v>
      </c>
      <c r="C214" s="14" t="s">
        <v>17</v>
      </c>
      <c r="D214" s="15" t="e">
        <f>IF(A221=A222,_xll.ciqfunctions.udf.CIQ(A213,"IQ_TOTAL_REV",IQ_FY-9)/I214, _xll.ciqfunctions.udf.CIQ(A213, "IQ_TOTAL_REV",IQ_FY-8)/I214)</f>
        <v>#DIV/0!</v>
      </c>
      <c r="E214" s="16" t="e">
        <f t="shared" ref="E214:E223" si="59">(D214-D213)/D213</f>
        <v>#DIV/0!</v>
      </c>
      <c r="F214" s="15">
        <f>IF(A221=A222,_xll.ciqfunctions.udf.CIQ(A213,"IQ_DILUT_EPS_EXCL",IQ_FY-9), _xll.ciqfunctions.udf.CIQ(A213, "IQ_DILUT_EPS_EXCL",IQ_FY-8))</f>
        <v>0</v>
      </c>
      <c r="G214" s="15">
        <f>IF(A221=A222,_xll.ciqfunctions.udf.CIQ(A213,"IQ_EBITDA_MARGIN",IQ_FY-9), _xll.ciqfunctions.udf.CIQ(A213, "IQ_EBITDA_MARGIN",IQ_FY-8))</f>
        <v>0</v>
      </c>
      <c r="H214" s="15" t="e">
        <f>IF(A221=A222,_xll.ciqfunctions.udf.CIQ(A213,"IQ_TOTAL_DIV_PAID_CF",IQ_FY-9)/-I214, _xll.ciqfunctions.udf.CIQ(A213, "IQ_TOTAL_DIV_PAID_CF",IQ_FY-8)/-I214)</f>
        <v>#DIV/0!</v>
      </c>
      <c r="I214" s="17">
        <f>IF(A221=A222,_xll.ciqfunctions.udf.CIQ(A213,"IQ_TOTAL_OUTSTANDING_FILING_DATE",IQ_FY-9), _xll.ciqfunctions.udf.CIQ(A213, "IQ_TOTAL_OUTSTANDING_FILING_DATE",IQ_FY-8))</f>
        <v>0</v>
      </c>
      <c r="J214" s="17">
        <f>IF(A221=A222,_xll.ciqfunctions.udf.CIQ(A213,"IQ_CASH_OPER",IQ_FY-9), _xll.ciqfunctions.udf.CIQ(A213, "IQ_CASH_OPER",IQ_FY-8))</f>
        <v>0</v>
      </c>
      <c r="K214" s="17">
        <f>IF(A221=A222,_xll.ciqfunctions.udf.CIQ(A213,"IQ_CAPEX",IQ_FY-9), _xll.ciqfunctions.udf.CIQ(A213, "IQ_CAPEX",IQ_FY-8))</f>
        <v>0</v>
      </c>
      <c r="L214" s="15" t="e">
        <f t="shared" si="56"/>
        <v>#DIV/0!</v>
      </c>
      <c r="M214" s="17">
        <f>IF(A221=A222,_xll.ciqfunctions.udf.CIQ(A213,"IQ_TOTAL_DEBT_ISSUED",IQ_FY-9), _xll.ciqfunctions.udf.CIQ(A213, "IQ_TOTAL_DEBT_ISSUED",IQ_FY-8))</f>
        <v>0</v>
      </c>
      <c r="N214" s="17">
        <f>IF(A221=A222,_xll.ciqfunctions.udf.CIQ(A213,"IQ_TOTAL_DEBT_REPAID",IQ_FY-9), _xll.ciqfunctions.udf.CIQ(A213, "IQ_TOTAL_DEBT_REPAID",IQ_FY-8))</f>
        <v>0</v>
      </c>
      <c r="O214" s="15" t="e">
        <f t="shared" si="57"/>
        <v>#DIV/0!</v>
      </c>
      <c r="P214" s="15" t="e">
        <f t="shared" si="58"/>
        <v>#DIV/0!</v>
      </c>
      <c r="Q214" s="25" t="s">
        <v>18</v>
      </c>
      <c r="R214" s="39" t="s">
        <v>19</v>
      </c>
      <c r="S214" s="1">
        <f>R212/((AVERAGE(P218:P223))*(1+E224)^3)</f>
        <v>72.644636045629298</v>
      </c>
      <c r="U214" s="25" t="s">
        <v>48</v>
      </c>
      <c r="V214" s="39" t="s">
        <v>19</v>
      </c>
      <c r="W214" s="1">
        <f>V212/((AVERAGE(P218:P223))*(1+E224)^3)</f>
        <v>72.644636045629298</v>
      </c>
      <c r="Y214" s="25" t="s">
        <v>39</v>
      </c>
      <c r="Z214" s="39" t="s">
        <v>19</v>
      </c>
      <c r="AA214" s="1">
        <f>Z212/((AVERAGE(P218:P223))*(1+E224)^3)</f>
        <v>72.644636045629298</v>
      </c>
    </row>
    <row r="215" spans="1:27">
      <c r="B215" s="13">
        <v>3</v>
      </c>
      <c r="C215" s="14" t="s">
        <v>20</v>
      </c>
      <c r="D215" s="15" cm="1">
        <f t="array" ref="D215">_xlfn.SINGLE(IF(A221=A222,_xll.ciqfunctions.udf.CIQ(A213,"IQ_TOTAL_REV",IQ_FY-8)/I215, _xll.ciqfunctions.udf.CIQ(A213, "IQ_TOTAL_REV",IQ_FY-7)/I215))</f>
        <v>5.6434292710257106</v>
      </c>
      <c r="E215" s="16" t="e">
        <f t="shared" si="59"/>
        <v>#DIV/0!</v>
      </c>
      <c r="F215" s="15">
        <f>IF(A221=A222,_xll.ciqfunctions.udf.CIQ(A213,"IQ_DILUT_EPS_EXCL",IQ_FY-8), _xll.ciqfunctions.udf.CIQ(A213, "IQ_DILUT_EPS_EXCL",IQ_FY-7))</f>
        <v>-6.5374999999999996</v>
      </c>
      <c r="G215" s="15">
        <f>IF(A221=A222,_xll.ciqfunctions.udf.CIQ(A213,"IQ_EBITDA_MARGIN",IQ_FY-8), _xll.ciqfunctions.udf.CIQ(A213, "IQ_EBITDA_MARGIN",IQ_FY-7))</f>
        <v>-106.5955</v>
      </c>
      <c r="H215" s="15">
        <f>IF(A221=A222,_xll.ciqfunctions.udf.CIQ(A213,"IQ_TOTAL_DIV_PAID_CF",IQ_FY-8)/-I215, _xll.ciqfunctions.udf.CIQ(A213, "IQ_TOTAL_DIV_PAID_CF",IQ_FY-7)/-I215)</f>
        <v>0</v>
      </c>
      <c r="I215" s="17">
        <f>IF(A221=A222,_xll.ciqfunctions.udf.CIQ(A213,"IQ_TOTAL_OUTSTANDING_FILING_DATE",IQ_FY-8), _xll.ciqfunctions.udf.CIQ(A213, "IQ_TOTAL_OUTSTANDING_FILING_DATE",IQ_FY-7))</f>
        <v>11.56584</v>
      </c>
      <c r="J215" s="17">
        <f>IF(A221=A222,_xll.ciqfunctions.udf.CIQ(A213,"IQ_CASH_OPER",IQ_FY-8), _xll.ciqfunctions.udf.CIQ(A213, "IQ_CASH_OPER",IQ_FY-7))</f>
        <v>-46.960999999999999</v>
      </c>
      <c r="K215" s="17">
        <f>IF(A221=A222,_xll.ciqfunctions.udf.CIQ(A213,"IQ_CAPEX",IQ_FY-8), _xll.ciqfunctions.udf.CIQ(A213, "IQ_CAPEX",IQ_FY-7))</f>
        <v>-0.46800000000000003</v>
      </c>
      <c r="L215" s="15">
        <f t="shared" si="56"/>
        <v>-4.1007829954417492</v>
      </c>
      <c r="M215" s="17">
        <f>IF(A221=A222,_xll.ciqfunctions.udf.CIQ(A213,"IQ_TOTAL_DEBT_ISSUED",IQ_FY-8), _xll.ciqfunctions.udf.CIQ(A213, "IQ_TOTAL_DEBT_ISSUED",IQ_FY-7))</f>
        <v>0</v>
      </c>
      <c r="N215" s="17">
        <f>IF(A221=A222,_xll.ciqfunctions.udf.CIQ(A213,"IQ_TOTAL_DEBT_REPAID",IQ_FY-8), _xll.ciqfunctions.udf.CIQ(A213, "IQ_TOTAL_DEBT_REPAID",IQ_FY-7))</f>
        <v>0</v>
      </c>
      <c r="O215" s="15">
        <f t="shared" si="57"/>
        <v>0</v>
      </c>
      <c r="P215" s="15">
        <f t="shared" si="58"/>
        <v>-4.1007829954417492</v>
      </c>
      <c r="Q215" s="25" t="s">
        <v>21</v>
      </c>
      <c r="R215" s="38" t="s">
        <v>49</v>
      </c>
      <c r="S215" s="2">
        <f>(R212*I223)/1000</f>
        <v>28.758302875799998</v>
      </c>
      <c r="U215" s="25" t="s">
        <v>59</v>
      </c>
      <c r="V215" s="38" t="s">
        <v>49</v>
      </c>
      <c r="W215" s="2">
        <f>(V212*I223)/1000</f>
        <v>28.758302875799998</v>
      </c>
      <c r="Y215" s="25" t="s">
        <v>46</v>
      </c>
      <c r="Z215" s="38" t="s">
        <v>49</v>
      </c>
      <c r="AA215" s="2">
        <f>(Z212*I223)/1000</f>
        <v>28.758302875799998</v>
      </c>
    </row>
    <row r="216" spans="1:27">
      <c r="A216" s="18"/>
      <c r="B216" s="13">
        <v>4</v>
      </c>
      <c r="C216" s="14" t="s">
        <v>22</v>
      </c>
      <c r="D216" s="15" cm="1">
        <f t="array" ref="D216">_xlfn.SINGLE(IF(A221=A222,_xll.ciqfunctions.udf.CIQ(A213,"IQ_TOTAL_REV",IQ_FY-7)/I216, _xll.ciqfunctions.udf.CIQ(A213, "IQ_TOTAL_REV",IQ_FY-6)/I216))</f>
        <v>8.7680106800105708</v>
      </c>
      <c r="E216" s="16">
        <f t="shared" si="59"/>
        <v>0.55366715146532841</v>
      </c>
      <c r="F216" s="15">
        <f>IF(A221=A222,_xll.ciqfunctions.udf.CIQ(A213,"IQ_DILUT_EPS_EXCL",IQ_FY-7), _xll.ciqfunctions.udf.CIQ(A213, "IQ_DILUT_EPS_EXCL",IQ_FY-6))</f>
        <v>-5.7373599999999998</v>
      </c>
      <c r="G216" s="15">
        <f>IF(A221=A222,_xll.ciqfunctions.udf.CIQ(A213,"IQ_EBITDA_MARGIN",IQ_FY-7), _xll.ciqfunctions.udf.CIQ(A213, "IQ_EBITDA_MARGIN",IQ_FY-6))</f>
        <v>-57.905099999999997</v>
      </c>
      <c r="H216" s="15">
        <f>IF(A221=A222,_xll.ciqfunctions.udf.CIQ(A213,"IQ_TOTAL_DIV_PAID_CF",IQ_FY-7)/-I216, _xll.ciqfunctions.udf.CIQ(A213, "IQ_TOTAL_DIV_PAID_CF",IQ_FY-6)/-I216)</f>
        <v>0</v>
      </c>
      <c r="I216" s="17">
        <f>IF(A221=A222,_xll.ciqfunctions.udf.CIQ(A213,"IQ_TOTAL_OUTSTANDING_FILING_DATE",IQ_FY-7), _xll.ciqfunctions.udf.CIQ(A213, "IQ_TOTAL_OUTSTANDING_FILING_DATE",IQ_FY-6))</f>
        <v>13.09362</v>
      </c>
      <c r="J216" s="17">
        <f>IF(A221=A222,_xll.ciqfunctions.udf.CIQ(A213,"IQ_CASH_OPER",IQ_FY-7), _xll.ciqfunctions.udf.CIQ(A213, "IQ_CASH_OPER",IQ_FY-6))</f>
        <v>-38.078000000000003</v>
      </c>
      <c r="K216" s="17">
        <f>IF(A221=A222,_xll.ciqfunctions.udf.CIQ(A213,"IQ_CAPEX",IQ_FY-7), _xll.ciqfunctions.udf.CIQ(A213, "IQ_CAPEX",IQ_FY-6))</f>
        <v>-1.6830000000000001</v>
      </c>
      <c r="L216" s="15">
        <f t="shared" si="56"/>
        <v>-3.0366697674134429</v>
      </c>
      <c r="M216" s="17">
        <f>IF(A221=A222,_xll.ciqfunctions.udf.CIQ(A213,"IQ_TOTAL_DEBT_ISSUED",IQ_FY-7), _xll.ciqfunctions.udf.CIQ(A213, "IQ_TOTAL_DEBT_ISSUED",IQ_FY-6))</f>
        <v>0</v>
      </c>
      <c r="N216" s="17">
        <f>IF(A221=A222,_xll.ciqfunctions.udf.CIQ(A213,"IQ_TOTAL_DEBT_REPAID",IQ_FY-7), _xll.ciqfunctions.udf.CIQ(A213, "IQ_TOTAL_DEBT_REPAID",IQ_FY-6))</f>
        <v>0</v>
      </c>
      <c r="O216" s="15">
        <f t="shared" si="57"/>
        <v>0</v>
      </c>
      <c r="P216" s="15">
        <f t="shared" si="58"/>
        <v>-3.0366697674134429</v>
      </c>
      <c r="Q216" s="25" t="s">
        <v>23</v>
      </c>
      <c r="R216" s="38" t="s">
        <v>24</v>
      </c>
      <c r="S216" s="1" t="e">
        <f>R212/(AVERAGE(H218:H223)*(1+H224)/(0.5-H224))</f>
        <v>#DIV/0!</v>
      </c>
      <c r="U216" s="25" t="s">
        <v>40</v>
      </c>
      <c r="V216" s="38" t="s">
        <v>24</v>
      </c>
      <c r="W216" s="1" t="e">
        <f>V212/(AVERAGE(H218:H223)*(1+H224)/(0.5-H224))</f>
        <v>#DIV/0!</v>
      </c>
      <c r="Y216" s="25" t="s">
        <v>47</v>
      </c>
      <c r="Z216" s="38" t="s">
        <v>24</v>
      </c>
      <c r="AA216" s="1" t="e">
        <f>Z212/(AVERAGE(H218:H223)*(1+H224)/(0.5-H224))</f>
        <v>#DIV/0!</v>
      </c>
    </row>
    <row r="217" spans="1:27">
      <c r="B217" s="13">
        <v>5</v>
      </c>
      <c r="C217" s="14" t="s">
        <v>25</v>
      </c>
      <c r="D217" s="15" cm="1">
        <f t="array" ref="D217">_xlfn.SINGLE(IF(A221=A222,_xll.ciqfunctions.udf.CIQ(A213,"IQ_TOTAL_REV",IQ_FY-6)/I217, _xll.ciqfunctions.udf.CIQ(A213, "IQ_TOTAL_REV",IQ_FY-5)/I217))</f>
        <v>3.2827525390082419</v>
      </c>
      <c r="E217" s="16">
        <f t="shared" si="59"/>
        <v>-0.62559893471704986</v>
      </c>
      <c r="F217" s="15">
        <f>IF(A221=A222,_xll.ciqfunctions.udf.CIQ(A213,"IQ_DILUT_EPS_EXCL",IQ_FY-6), _xll.ciqfunctions.udf.CIQ(A213, "IQ_DILUT_EPS_EXCL",IQ_FY-5))</f>
        <v>-3.5404200000000001</v>
      </c>
      <c r="G217" s="15">
        <f>IF(A221=A222,_xll.ciqfunctions.udf.CIQ(A213,"IQ_EBITDA_MARGIN",IQ_FY-6), _xll.ciqfunctions.udf.CIQ(A213, "IQ_EBITDA_MARGIN",IQ_FY-5))</f>
        <v>-48.894100000000002</v>
      </c>
      <c r="H217" s="15">
        <f>IF(A221=A222,_xll.ciqfunctions.udf.CIQ(A213,"IQ_TOTAL_DIV_PAID_CF",IQ_FY-6)/-I217, _xll.ciqfunctions.udf.CIQ(A213, "IQ_TOTAL_DIV_PAID_CF",IQ_FY-5)/-I217)</f>
        <v>0</v>
      </c>
      <c r="I217" s="17">
        <f>IF(A221=A222,_xll.ciqfunctions.udf.CIQ(A213,"IQ_TOTAL_OUTSTANDING_FILING_DATE",IQ_FY-6), _xll.ciqfunctions.udf.CIQ(A213, "IQ_TOTAL_OUTSTANDING_FILING_DATE",IQ_FY-5))</f>
        <v>50.575850000000003</v>
      </c>
      <c r="J217" s="17">
        <f>IF(A221=A222,_xll.ciqfunctions.udf.CIQ(A213,"IQ_CASH_OPER",IQ_FY-6), _xll.ciqfunctions.udf.CIQ(A213, "IQ_CASH_OPER",IQ_FY-5))</f>
        <v>-44.881</v>
      </c>
      <c r="K217" s="17">
        <f>IF(A221=A222,_xll.ciqfunctions.udf.CIQ(A213,"IQ_CAPEX",IQ_FY-6), _xll.ciqfunctions.udf.CIQ(A213, "IQ_CAPEX",IQ_FY-5))</f>
        <v>-2.1349999999999998</v>
      </c>
      <c r="L217" s="15">
        <f t="shared" si="56"/>
        <v>-0.92961363971144317</v>
      </c>
      <c r="M217" s="17">
        <f>IF(A221=A222,_xll.ciqfunctions.udf.CIQ(A213,"IQ_TOTAL_DEBT_ISSUED",IQ_FY-6), _xll.ciqfunctions.udf.CIQ(A213, "IQ_TOTAL_DEBT_ISSUED",IQ_FY-5))</f>
        <v>0</v>
      </c>
      <c r="N217" s="17">
        <f>IF(A221=A222,_xll.ciqfunctions.udf.CIQ(A213,"IQ_TOTAL_DEBT_REPAID",IQ_FY-6), _xll.ciqfunctions.udf.CIQ(A213, "IQ_TOTAL_DEBT_REPAID",IQ_FY-5))</f>
        <v>0</v>
      </c>
      <c r="O217" s="15">
        <f t="shared" si="57"/>
        <v>0</v>
      </c>
      <c r="P217" s="15">
        <f t="shared" si="58"/>
        <v>-0.92961363971144317</v>
      </c>
      <c r="Q217" s="18"/>
      <c r="R217" s="38" t="s">
        <v>50</v>
      </c>
      <c r="S217" s="3">
        <f>I224</f>
        <v>5.3448071945361164E-2</v>
      </c>
      <c r="U217" s="18"/>
      <c r="V217" s="38" t="s">
        <v>50</v>
      </c>
      <c r="W217" s="3">
        <f>I224</f>
        <v>5.3448071945361164E-2</v>
      </c>
      <c r="Y217" s="18"/>
      <c r="Z217" s="38" t="s">
        <v>50</v>
      </c>
      <c r="AA217" s="3">
        <f>I224</f>
        <v>5.3448071945361164E-2</v>
      </c>
    </row>
    <row r="218" spans="1:27">
      <c r="B218" s="13">
        <v>6</v>
      </c>
      <c r="C218" s="14" t="s">
        <v>26</v>
      </c>
      <c r="D218" s="15" cm="1">
        <f t="array" ref="D218">_xlfn.SINGLE(IF(A221=A222,_xll.ciqfunctions.udf.CIQ(A213,"IQ_TOTAL_REV",IQ_FY-5)/I218, _xll.ciqfunctions.udf.CIQ(A213, "IQ_TOTAL_REV",IQ_FY-4)/I218))</f>
        <v>4.855586772501205</v>
      </c>
      <c r="E218" s="16">
        <f t="shared" si="59"/>
        <v>0.47912055959238847</v>
      </c>
      <c r="F218" s="15">
        <f>IF(A221=A222,_xll.ciqfunctions.udf.CIQ(A213,"IQ_DILUT_EPS_EXCL",IQ_FY-5), _xll.ciqfunctions.udf.CIQ(A213, "IQ_DILUT_EPS_EXCL",IQ_FY-4))</f>
        <v>-1.90279</v>
      </c>
      <c r="G218" s="15">
        <f>IF(A221=A222,_xll.ciqfunctions.udf.CIQ(A213,"IQ_EBITDA_MARGIN",IQ_FY-5), _xll.ciqfunctions.udf.CIQ(A213, "IQ_EBITDA_MARGIN",IQ_FY-4))</f>
        <v>-34.444699999999997</v>
      </c>
      <c r="H218" s="15">
        <f>IF(A221=A222,_xll.ciqfunctions.udf.CIQ(A213,"IQ_TOTAL_DIV_PAID_CF",IQ_FY-5)/-I218, _xll.ciqfunctions.udf.CIQ(A213, "IQ_TOTAL_DIV_PAID_CF",IQ_FY-4)/-I218)</f>
        <v>0</v>
      </c>
      <c r="I218" s="17">
        <f>IF(A221=A222,_xll.ciqfunctions.udf.CIQ(A213,"IQ_TOTAL_OUTSTANDING_FILING_DATE",IQ_FY-5), _xll.ciqfunctions.udf.CIQ(A213, "IQ_TOTAL_OUTSTANDING_FILING_DATE",IQ_FY-4))</f>
        <v>54.991500000000002</v>
      </c>
      <c r="J218" s="17">
        <f>IF(A221=A222,_xll.ciqfunctions.udf.CIQ(A213,"IQ_CASH_OPER",IQ_FY-5), _xll.ciqfunctions.udf.CIQ(A213, "IQ_CASH_OPER",IQ_FY-4))</f>
        <v>-41.988999999999997</v>
      </c>
      <c r="K218" s="17">
        <f>IF(A221=A222,_xll.ciqfunctions.udf.CIQ(A213,"IQ_CAPEX",IQ_FY-5), _xll.ciqfunctions.udf.CIQ(A213, "IQ_CAPEX",IQ_FY-4))</f>
        <v>-6.8479999999999999</v>
      </c>
      <c r="L218" s="15">
        <f t="shared" si="56"/>
        <v>-0.8880827036905703</v>
      </c>
      <c r="M218" s="17">
        <f>IF(A221=A222,_xll.ciqfunctions.udf.CIQ(A213,"IQ_TOTAL_DEBT_ISSUED",IQ_FY-5), _xll.ciqfunctions.udf.CIQ(A213, "IQ_TOTAL_DEBT_ISSUED",IQ_FY-4))</f>
        <v>291.14499999999998</v>
      </c>
      <c r="N218" s="17">
        <f>IF(A221=A222,_xll.ciqfunctions.udf.CIQ(A213,"IQ_TOTAL_DEBT_REPAID",IQ_FY-5), _xll.ciqfunctions.udf.CIQ(A213, "IQ_TOTAL_DEBT_REPAID",IQ_FY-4))</f>
        <v>0</v>
      </c>
      <c r="O218" s="15">
        <f t="shared" si="57"/>
        <v>5.2943636743860409</v>
      </c>
      <c r="P218" s="15">
        <f t="shared" si="58"/>
        <v>4.4062809706954704</v>
      </c>
      <c r="Q218" s="25" t="s">
        <v>27</v>
      </c>
      <c r="R218" s="38" t="s">
        <v>51</v>
      </c>
      <c r="S218" s="4">
        <f>AVERAGE(F218:F223)/AVERAGE(D218:D223)</f>
        <v>-0.30838941189943575</v>
      </c>
      <c r="U218" s="25" t="s">
        <v>58</v>
      </c>
      <c r="V218" s="38" t="s">
        <v>51</v>
      </c>
      <c r="W218" s="4">
        <f>AVERAGE(F218:F223)/AVERAGE(D218:D223)</f>
        <v>-0.30838941189943575</v>
      </c>
      <c r="Y218" s="25" t="s">
        <v>56</v>
      </c>
      <c r="Z218" s="38" t="s">
        <v>51</v>
      </c>
      <c r="AA218" s="4">
        <f>AVERAGE(F218:F223)/AVERAGE(D218:D223)</f>
        <v>-0.30838941189943575</v>
      </c>
    </row>
    <row r="219" spans="1:27">
      <c r="A219" s="18"/>
      <c r="B219" s="13">
        <v>7</v>
      </c>
      <c r="C219" s="14" t="s">
        <v>28</v>
      </c>
      <c r="D219" s="15" cm="1">
        <f t="array" ref="D219">_xlfn.SINGLE(IF(A221=A222,_xll.ciqfunctions.udf.CIQ(A213,"IQ_TOTAL_REV",IQ_FY-4)/I219, _xll.ciqfunctions.udf.CIQ(A213, "IQ_TOTAL_REV",IQ_FY-3)/I219))</f>
        <v>7.3258202505808532</v>
      </c>
      <c r="E219" s="16">
        <f t="shared" si="59"/>
        <v>0.50874046615115565</v>
      </c>
      <c r="F219" s="15">
        <f>IF(A221=A222,_xll.ciqfunctions.udf.CIQ(A213,"IQ_DILUT_EPS_EXCL",IQ_FY-4), _xll.ciqfunctions.udf.CIQ(A213, "IQ_DILUT_EPS_EXCL",IQ_FY-3))</f>
        <v>-3.13774</v>
      </c>
      <c r="G219" s="15">
        <f>IF(A221=A222,_xll.ciqfunctions.udf.CIQ(A213,"IQ_EBITDA_MARGIN",IQ_FY-4), _xll.ciqfunctions.udf.CIQ(A213, "IQ_EBITDA_MARGIN",IQ_FY-3))</f>
        <v>-31.0886</v>
      </c>
      <c r="H219" s="15">
        <f>IF(A221=A222,_xll.ciqfunctions.udf.CIQ(A213,"IQ_TOTAL_DIV_PAID_CF",IQ_FY-4)/-I219, _xll.ciqfunctions.udf.CIQ(A213, "IQ_TOTAL_DIV_PAID_CF",IQ_FY-3)/-I219)</f>
        <v>0</v>
      </c>
      <c r="I219" s="17">
        <f>IF(A221=A222,_xll.ciqfunctions.udf.CIQ(A213,"IQ_TOTAL_OUTSTANDING_FILING_DATE",IQ_FY-4), _xll.ciqfunctions.udf.CIQ(A213, "IQ_TOTAL_OUTSTANDING_FILING_DATE",IQ_FY-3))</f>
        <v>57.566249999999997</v>
      </c>
      <c r="J219" s="17">
        <f>IF(A221=A222,_xll.ciqfunctions.udf.CIQ(A213,"IQ_CASH_OPER",IQ_FY-4), _xll.ciqfunctions.udf.CIQ(A213, "IQ_CASH_OPER",IQ_FY-3))</f>
        <v>-29.54</v>
      </c>
      <c r="K219" s="17">
        <f>IF(A221=A222,_xll.ciqfunctions.udf.CIQ(A213,"IQ_CAPEX",IQ_FY-4), _xll.ciqfunctions.udf.CIQ(A213, "IQ_CAPEX",IQ_FY-3))</f>
        <v>-3.5640000000000001</v>
      </c>
      <c r="L219" s="15">
        <f t="shared" si="56"/>
        <v>-0.57505917095520376</v>
      </c>
      <c r="M219" s="17">
        <f>IF(A221=A222,_xll.ciqfunctions.udf.CIQ(A213,"IQ_TOTAL_DEBT_ISSUED",IQ_FY-4), _xll.ciqfunctions.udf.CIQ(A213, "IQ_TOTAL_DEBT_ISSUED",IQ_FY-3))</f>
        <v>1132.991</v>
      </c>
      <c r="N219" s="17">
        <f>IF(A221=A222,_xll.ciqfunctions.udf.CIQ(A213,"IQ_TOTAL_DEBT_REPAID",IQ_FY-4), _xll.ciqfunctions.udf.CIQ(A213, "IQ_TOTAL_DEBT_REPAID",IQ_FY-3))</f>
        <v>-480.98500000000001</v>
      </c>
      <c r="O219" s="15">
        <f t="shared" si="57"/>
        <v>11.326185047662475</v>
      </c>
      <c r="P219" s="15">
        <f t="shared" si="58"/>
        <v>10.751125876707272</v>
      </c>
      <c r="Q219" s="18"/>
      <c r="R219" s="38" t="s">
        <v>29</v>
      </c>
      <c r="S219" s="4">
        <f>(AVERAGE(P218:P223)/_xlfn.STDEV.P(P218:P223))/(IF(A221=A222,(_xlfn.SINGLE(_xll.ciqfunctions.udf.CIQ(A213,"IQ_total_assets",IQ_FY)) - _xlfn.SINGLE(_xll.ciqfunctions.udf.CIQ(A213,"iq_gw_intan", IQ_FY)))/I223, (_xlfn.SINGLE(_xll.ciqfunctions.udf.CIQ(A213, "IQ_total_assets",IQ_LTM))-_xlfn.SINGLE(_xll.ciqfunctions.udf.CIQ(A213,"iq_gw_intan",IQ_LTM)))/I223))</f>
        <v>1.5320973194429021E-2</v>
      </c>
      <c r="U219" s="18"/>
      <c r="V219" s="38" t="s">
        <v>29</v>
      </c>
      <c r="W219" s="4">
        <f>(AVERAGE(P218:P223)/_xlfn.STDEV.P(P218:P223))/(IF(A221=A222,(_xlfn.SINGLE(_xll.ciqfunctions.udf.CIQ(A213,"IQ_total_assets",IQ_FY)) - _xlfn.SINGLE(_xll.ciqfunctions.udf.CIQ(A213,"iq_gw_intan", IQ_FY)))/I223, (_xlfn.SINGLE(_xll.ciqfunctions.udf.CIQ(A213, "IQ_total_assets",IQ_LTM))-_xlfn.SINGLE(_xll.ciqfunctions.udf.CIQ(A213,"iq_gw_intan",IQ_LTM)))/I223))</f>
        <v>1.5320973194429021E-2</v>
      </c>
      <c r="Y219" s="18"/>
      <c r="Z219" s="38" t="s">
        <v>29</v>
      </c>
      <c r="AA219" s="4">
        <f>(AVERAGE(P218:P223)/_xlfn.STDEV.P(P218:P223))/(IF(A221=A222,(_xlfn.SINGLE(_xll.ciqfunctions.udf.CIQ(A213,"IQ_total_assets",IQ_FY)) - _xlfn.SINGLE(_xll.ciqfunctions.udf.CIQ(A213,"iq_gw_intan", IQ_FY)))/I223, (_xlfn.SINGLE(_xll.ciqfunctions.udf.CIQ(A213, "IQ_total_assets",IQ_LTM))-_xlfn.SINGLE(_xll.ciqfunctions.udf.CIQ(A213,"iq_gw_intan",IQ_LTM)))/I223))</f>
        <v>1.5320973194429021E-2</v>
      </c>
    </row>
    <row r="220" spans="1:27">
      <c r="A220" s="18"/>
      <c r="B220" s="13">
        <v>8</v>
      </c>
      <c r="C220" s="14" t="s">
        <v>30</v>
      </c>
      <c r="D220" s="15" cm="1">
        <f t="array" ref="D220">_xlfn.SINGLE(IF(A221=A222,_xll.ciqfunctions.udf.CIQ(A213,"IQ_TOTAL_REV",IQ_FY-3)/I220, _xll.ciqfunctions.udf.CIQ(A213, "IQ_TOTAL_REV",IQ_FY-2)/I220))</f>
        <v>9.6488714899692631</v>
      </c>
      <c r="E220" s="16">
        <f t="shared" si="59"/>
        <v>0.31710459169459132</v>
      </c>
      <c r="F220" s="15">
        <f>IF(A221=A222,_xll.ciqfunctions.udf.CIQ(A213,"IQ_DILUT_EPS_EXCL",IQ_FY-3), _xll.ciqfunctions.udf.CIQ(A213, "IQ_DILUT_EPS_EXCL",IQ_FY-2))</f>
        <v>-4.5256600000000002</v>
      </c>
      <c r="G220" s="15">
        <f>IF(A221=A222,_xll.ciqfunctions.udf.CIQ(A213,"IQ_EBITDA_MARGIN",IQ_FY-3), _xll.ciqfunctions.udf.CIQ(A213, "IQ_EBITDA_MARGIN",IQ_FY-2))</f>
        <v>-32.733400000000003</v>
      </c>
      <c r="H220" s="15">
        <f>IF(A221=A222,_xll.ciqfunctions.udf.CIQ(A213,"IQ_TOTAL_DIV_PAID_CF",IQ_FY-3)/-I220, _xll.ciqfunctions.udf.CIQ(A213, "IQ_TOTAL_DIV_PAID_CF",IQ_FY-2)/-I220)</f>
        <v>0</v>
      </c>
      <c r="I220" s="17">
        <f>IF(A221=A222,_xll.ciqfunctions.udf.CIQ(A213,"IQ_TOTAL_OUTSTANDING_FILING_DATE",IQ_FY-3), _xll.ciqfunctions.udf.CIQ(A213, "IQ_TOTAL_OUTSTANDING_FILING_DATE",IQ_FY-2))</f>
        <v>61.186430000000001</v>
      </c>
      <c r="J220" s="17">
        <f>IF(A221=A222,_xll.ciqfunctions.udf.CIQ(A213,"IQ_CASH_OPER",IQ_FY-3), _xll.ciqfunctions.udf.CIQ(A213, "IQ_CASH_OPER",IQ_FY-2))</f>
        <v>-42.673000000000002</v>
      </c>
      <c r="K220" s="17">
        <f>IF(A221=A222,_xll.ciqfunctions.udf.CIQ(A213,"IQ_CAPEX",IQ_FY-3), _xll.ciqfunctions.udf.CIQ(A213, "IQ_CAPEX",IQ_FY-2))</f>
        <v>-11.773</v>
      </c>
      <c r="L220" s="15">
        <f t="shared" si="56"/>
        <v>-0.889837828420452</v>
      </c>
      <c r="M220" s="17">
        <f>IF(A221=A222,_xll.ciqfunctions.udf.CIQ(A213,"IQ_TOTAL_DEBT_ISSUED",IQ_FY-3), _xll.ciqfunctions.udf.CIQ(A213, "IQ_TOTAL_DEBT_ISSUED",IQ_FY-2))</f>
        <v>0</v>
      </c>
      <c r="N220" s="17">
        <f>IF(A221=A222,_xll.ciqfunctions.udf.CIQ(A213,"IQ_TOTAL_DEBT_REPAID",IQ_FY-3), _xll.ciqfunctions.udf.CIQ(A213, "IQ_TOTAL_DEBT_REPAID",IQ_FY-2))</f>
        <v>-4.633</v>
      </c>
      <c r="O220" s="15">
        <f t="shared" si="57"/>
        <v>-7.5719403795907025E-2</v>
      </c>
      <c r="P220" s="15">
        <f t="shared" si="58"/>
        <v>-0.96555723221635903</v>
      </c>
      <c r="Q220" s="18"/>
      <c r="R220" s="39" t="s">
        <v>31</v>
      </c>
      <c r="S220" s="5" t="e">
        <f>IF(NOT(D213&gt;0),FALSE,SLOPE(G213:G223,B213:B223))</f>
        <v>#DIV/0!</v>
      </c>
      <c r="U220" s="18"/>
      <c r="V220" s="39" t="s">
        <v>31</v>
      </c>
      <c r="W220" s="5" t="e">
        <f>IF(NOT(D213&gt;0),FALSE,SLOPE(G213:G223,B213:B223))</f>
        <v>#DIV/0!</v>
      </c>
      <c r="Y220" s="18"/>
      <c r="Z220" s="39" t="s">
        <v>31</v>
      </c>
      <c r="AA220" s="5" t="e">
        <f>IF(NOT(L213&gt;0),FALSE,SLOPE(O213:O223,J213:J223))</f>
        <v>#DIV/0!</v>
      </c>
    </row>
    <row r="221" spans="1:27">
      <c r="A221" s="19">
        <f>_xll.ciqfunctions.udf.CIQ(A213,"IQ_TOTAL_REV",IQ_FY)</f>
        <v>1284.04</v>
      </c>
      <c r="B221" s="13">
        <v>9</v>
      </c>
      <c r="C221" s="14" t="s">
        <v>32</v>
      </c>
      <c r="D221" s="15" cm="1">
        <f t="array" ref="D221">_xlfn.SINGLE(IF(A221=A222,_xll.ciqfunctions.udf.CIQ(A213,"IQ_TOTAL_REV",IQ_FY-2)/I221, _xll.ciqfunctions.udf.CIQ(A213, "IQ_TOTAL_REV",IQ_FY-1)/I221))</f>
        <v>12.932208552364981</v>
      </c>
      <c r="E221" s="16">
        <f t="shared" si="59"/>
        <v>0.34028197658233889</v>
      </c>
      <c r="F221" s="15">
        <f>IF(A221=A222,_xll.ciqfunctions.udf.CIQ(A213,"IQ_DILUT_EPS_EXCL",IQ_FY-2), _xll.ciqfunctions.udf.CIQ(A213, "IQ_DILUT_EPS_EXCL",IQ_FY-1))</f>
        <v>-4.7529700000000004</v>
      </c>
      <c r="G221" s="15">
        <f>IF(A221=A222,_xll.ciqfunctions.udf.CIQ(A213,"IQ_EBITDA_MARGIN",IQ_FY-2), _xll.ciqfunctions.udf.CIQ(A213, "IQ_EBITDA_MARGIN",IQ_FY-1))</f>
        <v>-31.096800000000002</v>
      </c>
      <c r="H221" s="15">
        <f>IF(A221=A222,_xll.ciqfunctions.udf.CIQ(A213,"IQ_TOTAL_DIV_PAID_CF",IQ_FY-2)/-I221, _xll.ciqfunctions.udf.CIQ(A213, "IQ_TOTAL_DIV_PAID_CF",IQ_FY-1)/-I221)</f>
        <v>0</v>
      </c>
      <c r="I221" s="17">
        <f>IF(A221=A222,_xll.ciqfunctions.udf.CIQ(A213,"IQ_TOTAL_OUTSTANDING_FILING_DATE",IQ_FY-2), _xll.ciqfunctions.udf.CIQ(A213, "IQ_TOTAL_OUTSTANDING_FILING_DATE",IQ_FY-1))</f>
        <v>67.566339999999997</v>
      </c>
      <c r="J221" s="17">
        <f>IF(A221=A222,_xll.ciqfunctions.udf.CIQ(A213,"IQ_CASH_OPER",IQ_FY-2), _xll.ciqfunctions.udf.CIQ(A213, "IQ_CASH_OPER",IQ_FY-1))</f>
        <v>6.98</v>
      </c>
      <c r="K221" s="17">
        <f>IF(A221=A222,_xll.ciqfunctions.udf.CIQ(A213,"IQ_CAPEX",IQ_FY-2), _xll.ciqfunctions.udf.CIQ(A213, "IQ_CAPEX",IQ_FY-1))</f>
        <v>-8.0719999999999992</v>
      </c>
      <c r="L221" s="15">
        <f t="shared" si="56"/>
        <v>-1.6161893629283438E-2</v>
      </c>
      <c r="M221" s="17">
        <f>IF(A221=A222,_xll.ciqfunctions.udf.CIQ(A213,"IQ_TOTAL_DEBT_ISSUED",IQ_FY-2), _xll.ciqfunctions.udf.CIQ(A213, "IQ_TOTAL_DEBT_ISSUED",IQ_FY-1))</f>
        <v>0</v>
      </c>
      <c r="N221" s="17">
        <f>IF(A221=A222,_xll.ciqfunctions.udf.CIQ(A213,"IQ_TOTAL_DEBT_REPAID",IQ_FY-2), _xll.ciqfunctions.udf.CIQ(A213, "IQ_TOTAL_DEBT_REPAID",IQ_FY-1))</f>
        <v>-33.165999999999997</v>
      </c>
      <c r="O221" s="15">
        <f t="shared" si="57"/>
        <v>-0.49086571804836548</v>
      </c>
      <c r="P221" s="15">
        <f t="shared" si="58"/>
        <v>-0.50702761167764887</v>
      </c>
      <c r="Q221" s="25" t="s">
        <v>33</v>
      </c>
      <c r="R221" s="38" t="s">
        <v>52</v>
      </c>
      <c r="S221" s="4">
        <f>(AVERAGE(O218:O223)/AVERAGE(P218:P223))</f>
        <v>1.1457194082106885</v>
      </c>
      <c r="U221" s="25" t="s">
        <v>54</v>
      </c>
      <c r="V221" s="38" t="s">
        <v>52</v>
      </c>
      <c r="W221" s="4">
        <f>(AVERAGE(O218:O223)/AVERAGE(P218:P223))</f>
        <v>1.1457194082106885</v>
      </c>
      <c r="Y221" s="25" t="s">
        <v>60</v>
      </c>
      <c r="Z221" s="38" t="s">
        <v>52</v>
      </c>
      <c r="AA221" s="4">
        <f>(AVERAGE(O218:O223)/AVERAGE(P218:P223))</f>
        <v>1.1457194082106885</v>
      </c>
    </row>
    <row r="222" spans="1:27">
      <c r="A222" s="19">
        <f>_xll.ciqfunctions.udf.CIQ(A213,"IQ_TOTAL_REV",IQ_LTM)</f>
        <v>1487.0039999999999</v>
      </c>
      <c r="B222" s="13">
        <v>10</v>
      </c>
      <c r="C222" s="14" t="s">
        <v>34</v>
      </c>
      <c r="D222" s="15" cm="1">
        <f t="array" ref="D222">_xlfn.SINGLE(IF(A221=A222,_xll.ciqfunctions.udf.CIQ(A213,"IQ_TOTAL_REV",IQ_FY-1)/I222, _xll.ciqfunctions.udf.CIQ(A213, "IQ_TOTAL_REV",IQ_FY)/I222))</f>
        <v>18.333685527119872</v>
      </c>
      <c r="E222" s="16">
        <f t="shared" si="59"/>
        <v>0.41767629658022287</v>
      </c>
      <c r="F222" s="15">
        <f>IF(A221=A222,_xll.ciqfunctions.udf.CIQ(A213,"IQ_DILUT_EPS_EXCL",IQ_FY-1), _xll.ciqfunctions.udf.CIQ(A213, "IQ_DILUT_EPS_EXCL",IQ_FY))</f>
        <v>-5.0328799999999996</v>
      </c>
      <c r="G222" s="15">
        <f>IF(A221=A222,_xll.ciqfunctions.udf.CIQ(A213,"IQ_EBITDA_MARGIN",IQ_FY-1), _xll.ciqfunctions.udf.CIQ(A213, "IQ_EBITDA_MARGIN",IQ_FY))</f>
        <v>-25.433</v>
      </c>
      <c r="H222" s="15">
        <f>IF(A221=A222,_xll.ciqfunctions.udf.CIQ(A213,"IQ_TOTAL_DIV_PAID_CF",IQ_FY-1)/-I222, _xll.ciqfunctions.udf.CIQ(A213, "IQ_TOTAL_DIV_PAID_CF",IQ_FY)/-I222)</f>
        <v>0</v>
      </c>
      <c r="I222" s="17">
        <f>IF(A221=A222,_xll.ciqfunctions.udf.CIQ(A213,"IQ_TOTAL_OUTSTANDING_FILING_DATE",IQ_FY-1), _xll.ciqfunctions.udf.CIQ(A213, "IQ_TOTAL_OUTSTANDING_FILING_DATE",IQ_FY))</f>
        <v>70.037199999999999</v>
      </c>
      <c r="J222" s="17">
        <f>IF(A221=A222,_xll.ciqfunctions.udf.CIQ(A213,"IQ_CASH_OPER",IQ_FY-1), _xll.ciqfunctions.udf.CIQ(A213, "IQ_CASH_OPER",IQ_FY))</f>
        <v>-12.97</v>
      </c>
      <c r="K222" s="17">
        <f>IF(A221=A222,_xll.ciqfunctions.udf.CIQ(A213,"IQ_CAPEX",IQ_FY-1), _xll.ciqfunctions.udf.CIQ(A213, "IQ_CAPEX",IQ_FY))</f>
        <v>-7.2439999999999998</v>
      </c>
      <c r="L222" s="15">
        <f t="shared" si="56"/>
        <v>-0.28861804869412255</v>
      </c>
      <c r="M222" s="17">
        <f>IF(A221=A222,_xll.ciqfunctions.udf.CIQ(A213,"IQ_TOTAL_DEBT_ISSUED",IQ_FY-1), _xll.ciqfunctions.udf.CIQ(A213, "IQ_TOTAL_DEBT_ISSUED",IQ_FY))</f>
        <v>0</v>
      </c>
      <c r="N222" s="17">
        <f>IF(A221=A222,_xll.ciqfunctions.udf.CIQ(A213,"IQ_TOTAL_DEBT_REPAID",IQ_FY-1), _xll.ciqfunctions.udf.CIQ(A213, "IQ_TOTAL_DEBT_REPAID",IQ_FY))</f>
        <v>-4.51</v>
      </c>
      <c r="O222" s="15">
        <f t="shared" si="57"/>
        <v>-6.4394350430913849E-2</v>
      </c>
      <c r="P222" s="15">
        <f t="shared" si="58"/>
        <v>-0.3530123991250364</v>
      </c>
      <c r="Q222" s="25" t="s">
        <v>44</v>
      </c>
      <c r="R222" s="38" t="s">
        <v>35</v>
      </c>
      <c r="S222" s="1" t="str">
        <f>_xll.ciqfunctions.udf.CIQ(A213,"IQ_TEV_EBITDA")</f>
        <v>NM</v>
      </c>
      <c r="U222" s="25" t="s">
        <v>55</v>
      </c>
      <c r="V222" s="38" t="s">
        <v>53</v>
      </c>
      <c r="W222" s="1">
        <f>V212/(AVERAGE(D218:D223)/_xlfn.STDEV.P(E218:E223))</f>
        <v>4.0372639578303273</v>
      </c>
      <c r="Y222" s="25" t="s">
        <v>57</v>
      </c>
      <c r="Z222" s="38" t="s">
        <v>53</v>
      </c>
      <c r="AA222" s="1">
        <f>Z212/(AVERAGE(D218:D223)/_xlfn.STDEV.P(E218:E223))</f>
        <v>4.0372639578303273</v>
      </c>
    </row>
    <row r="223" spans="1:27">
      <c r="B223" s="13">
        <v>11</v>
      </c>
      <c r="C223" s="20" t="s">
        <v>36</v>
      </c>
      <c r="D223" s="21" cm="1">
        <f t="array" ref="D223">_xlfn.SINGLE(IF(A221=A222,_xll.ciqfunctions.udf.CIQ(A213,"IQ_TOTAL_REV",IQ_FY)/I223, _xll.ciqfunctions.udf.CIQ(A213, "IQ_TOTAL_REV",IQ_LTM)/I223))</f>
        <v>20.842552669002931</v>
      </c>
      <c r="E223" s="22">
        <f t="shared" si="59"/>
        <v>0.13684466978403489</v>
      </c>
      <c r="F223" s="21">
        <f>IF(A221=A222,_xll.ciqfunctions.udf.CIQ(A213,"IQ_DILUT_EPS_EXCL",IQ_FY), _xll.ciqfunctions.udf.CIQ(A213, "IQ_DILUT_EPS_EXCL",IQ_LTM))</f>
        <v>-3.4498799999999998</v>
      </c>
      <c r="G223" s="21">
        <f>IF(A221=A222,_xll.ciqfunctions.udf.CIQ(A213,"IQ_EBITDA_MARGIN",IQ_FY), _xll.ciqfunctions.udf.CIQ(A213, "IQ_EBITDA_MARGIN",IQ_LTM))</f>
        <v>-16.982900000000001</v>
      </c>
      <c r="H223" s="21">
        <f>IF(A221=A222,_xll.ciqfunctions.udf.CIQ(A213,"IQ_TOTAL_DIV_PAID_CF",IQ_FY)/-I223, _xll.ciqfunctions.udf.CIQ(A213, "IQ_TOTAL_DIV_PAID_CF",IQ_LTM)/-I223)</f>
        <v>0</v>
      </c>
      <c r="I223" s="23">
        <f>IF(A221=A222,_xll.ciqfunctions.udf.CIQ(A213,"IQ_TOTAL_OUTSTANDING_FILING_DATE",IQ_FY),_xll.ciqfunctions.udf.CIQ(A213,"IQ_sharesoutstanding"))</f>
        <v>71.344620000000006</v>
      </c>
      <c r="J223" s="23">
        <f>IF(A221=A222,_xll.ciqfunctions.udf.CIQ(A213,"IQ_CASH_OPER",IQ_FY), _xll.ciqfunctions.udf.CIQ(A213, "IQ_CASH_OPER",IQ_LTM))</f>
        <v>48.555</v>
      </c>
      <c r="K223" s="23">
        <f>IF(A221=A222,_xll.ciqfunctions.udf.CIQ(A213,"IQ_CAPEX",IQ_FY), _xll.ciqfunctions.udf.CIQ(A213, "IQ_CAPEX",IQ_LTM))</f>
        <v>-3.35</v>
      </c>
      <c r="L223" s="21">
        <f t="shared" si="56"/>
        <v>0.63361470002923825</v>
      </c>
      <c r="M223" s="23">
        <f>IF(A221=A222,_xll.ciqfunctions.udf.CIQ(A213,"IQ_TOTAL_DEBT_ISSUED",IQ_FY), _xll.ciqfunctions.udf.CIQ(A213, "IQ_TOTAL_DEBT_ISSUED",IQ_LTM))</f>
        <v>0</v>
      </c>
      <c r="N223" s="23">
        <f>IF(A221=A222,_xll.ciqfunctions.udf.CIQ(A213,"IQ_TOTAL_DEBT_REPAID",IQ_FY), _xll.ciqfunctions.udf.CIQ(A213, "IQ_TOTAL_DEBT_REPAID",IQ_LTM))</f>
        <v>-5.3310000000000004</v>
      </c>
      <c r="O223" s="21">
        <f t="shared" si="57"/>
        <v>-7.4721822051894038E-2</v>
      </c>
      <c r="P223" s="21">
        <f t="shared" si="58"/>
        <v>0.55889287797734422</v>
      </c>
      <c r="Q223" s="25" t="s">
        <v>45</v>
      </c>
      <c r="S223" s="45"/>
      <c r="U223" s="25"/>
      <c r="W223" s="45"/>
      <c r="Y223" s="25"/>
      <c r="AA223" s="45"/>
    </row>
    <row r="224" spans="1:27">
      <c r="B224" s="24"/>
      <c r="C224" s="25" t="s">
        <v>37</v>
      </c>
      <c r="E224" s="26">
        <f>((D223/D218)^(1/5))-1</f>
        <v>0.33826413011543477</v>
      </c>
      <c r="F224" s="27">
        <f>((F223/F218)^(1/5))-1</f>
        <v>0.12637402226529759</v>
      </c>
      <c r="G224" s="28"/>
      <c r="H224" s="27" t="e">
        <f>((H223/H218)^(1/5))-1</f>
        <v>#DIV/0!</v>
      </c>
      <c r="I224" s="27">
        <f>((I223/I218)^(1/5))-1</f>
        <v>5.3448071945361164E-2</v>
      </c>
      <c r="J224" s="27"/>
      <c r="K224" s="27"/>
      <c r="L224" s="26">
        <f>((L223/L218)^(1/5))-1</f>
        <v>-1.934704570985939</v>
      </c>
      <c r="M224" s="26"/>
      <c r="N224" s="26"/>
      <c r="O224" s="26"/>
      <c r="P224" s="26">
        <f>((P223/P218)^(1/5))-1</f>
        <v>-0.33831501807178932</v>
      </c>
      <c r="Q224" s="18"/>
      <c r="R224" s="36"/>
      <c r="S224" s="45"/>
      <c r="U224" s="18"/>
      <c r="V224" s="36"/>
      <c r="W224" s="45"/>
      <c r="Y224" s="18"/>
      <c r="Z224" s="36"/>
      <c r="AA224" s="45"/>
    </row>
    <row r="225" spans="1:27">
      <c r="A225" s="29"/>
      <c r="B225" s="30"/>
      <c r="C225" s="31" t="s">
        <v>38</v>
      </c>
      <c r="D225" s="29"/>
      <c r="E225" s="32" t="e">
        <f>((D223/D213)^(1/10))-1</f>
        <v>#DIV/0!</v>
      </c>
      <c r="F225" s="33" t="e">
        <f>((F223/F213)^(1/10))-1</f>
        <v>#DIV/0!</v>
      </c>
      <c r="G225" s="34"/>
      <c r="H225" s="33" t="e">
        <f>((H223/H213)^(1/10))-1</f>
        <v>#DIV/0!</v>
      </c>
      <c r="I225" s="33" t="e">
        <f>((I223/I213)^(1/10))-1</f>
        <v>#DIV/0!</v>
      </c>
      <c r="J225" s="33"/>
      <c r="K225" s="33"/>
      <c r="L225" s="32" t="e">
        <f>((L223/L213)^(1/10))-1</f>
        <v>#DIV/0!</v>
      </c>
      <c r="M225" s="32"/>
      <c r="N225" s="32"/>
      <c r="O225" s="32"/>
      <c r="P225" s="32" t="e">
        <f>((P223/P213)^(1/10))-1</f>
        <v>#DIV/0!</v>
      </c>
      <c r="Q225" s="40"/>
      <c r="R225" s="41"/>
      <c r="S225" s="46"/>
      <c r="U225" s="40"/>
      <c r="V225" s="41"/>
      <c r="W225" s="46"/>
      <c r="Y225" s="40"/>
      <c r="Z225" s="41"/>
      <c r="AA225" s="46"/>
    </row>
    <row r="226" spans="1:27">
      <c r="B226" s="24"/>
      <c r="C226" s="25"/>
      <c r="E226" s="26"/>
      <c r="F226" s="27"/>
      <c r="G226" s="28"/>
      <c r="H226" s="27"/>
      <c r="I226" s="27"/>
      <c r="J226" s="27"/>
      <c r="K226" s="27"/>
      <c r="L226" s="26"/>
      <c r="M226" s="17"/>
      <c r="N226" s="17"/>
      <c r="O226" s="17"/>
      <c r="P226" s="35"/>
      <c r="Q226" s="18"/>
      <c r="R226" s="36"/>
    </row>
    <row r="227" spans="1:27">
      <c r="A227" s="9" t="s">
        <v>0</v>
      </c>
      <c r="B227" s="10"/>
      <c r="C227" s="9" t="s">
        <v>1</v>
      </c>
      <c r="D227" s="9" t="s">
        <v>2</v>
      </c>
      <c r="E227" s="9" t="s">
        <v>3</v>
      </c>
      <c r="F227" s="11" t="s">
        <v>4</v>
      </c>
      <c r="G227" s="11" t="s">
        <v>5</v>
      </c>
      <c r="H227" s="9" t="s">
        <v>6</v>
      </c>
      <c r="I227" s="11" t="s">
        <v>7</v>
      </c>
      <c r="J227" s="11" t="s">
        <v>8</v>
      </c>
      <c r="K227" s="11" t="s">
        <v>9</v>
      </c>
      <c r="L227" s="11" t="s">
        <v>10</v>
      </c>
      <c r="M227" s="11" t="s">
        <v>11</v>
      </c>
      <c r="N227" s="11" t="s">
        <v>12</v>
      </c>
      <c r="O227" s="11" t="s">
        <v>13</v>
      </c>
      <c r="P227" s="11" t="s">
        <v>14</v>
      </c>
      <c r="Q227" s="37" t="s">
        <v>15</v>
      </c>
      <c r="R227" s="42">
        <f>_xll.ciqfunctions.udf.CIQ(A228,("IQ_LASTSALEPRICE"))</f>
        <v>171.01820000000001</v>
      </c>
      <c r="S227" s="44"/>
      <c r="U227" s="37" t="s">
        <v>15</v>
      </c>
      <c r="V227" s="42">
        <f>_xll.ciqfunctions.udf.CIQ(A228,("IQ_LASTSALEPRICE"))</f>
        <v>171.01820000000001</v>
      </c>
      <c r="W227" s="44"/>
      <c r="Y227" s="37" t="s">
        <v>15</v>
      </c>
      <c r="Z227" s="42">
        <f>_xll.ciqfunctions.udf.CIQ(A228,("IQ_LASTSALEPRICE"))</f>
        <v>171.01820000000001</v>
      </c>
      <c r="AA227" s="44"/>
    </row>
    <row r="228" spans="1:27">
      <c r="A228" s="12" t="str">
        <f>Analysis!B17</f>
        <v>NYSE:SNOW</v>
      </c>
      <c r="B228" s="13">
        <v>1</v>
      </c>
      <c r="C228" s="14" t="s">
        <v>16</v>
      </c>
      <c r="D228" s="15" t="e">
        <f>IF(A236=A237,_xll.ciqfunctions.udf.CIQ(A228,"IQ_TOTAL_REV",IQ_FY-10)/I228,_xll.ciqfunctions.udf.CIQ(A228, "IQ_TOTAL_REV",IQ_FY-9)/I228)</f>
        <v>#DIV/0!</v>
      </c>
      <c r="E228" s="16"/>
      <c r="F228" s="15">
        <f>IF(A236=A237,_xll.ciqfunctions.udf.CIQ(A228,"IQ_DILUT_EPS_EXCL",IQ_FY-10), _xll.ciqfunctions.udf.CIQ(A228, "IQ_DILUT_EPS_EXCL",IQ_FY-9))</f>
        <v>0</v>
      </c>
      <c r="G228" s="15">
        <f>IF(A236=A237,_xll.ciqfunctions.udf.CIQ(A228,"IQ_EBITDA_MARGIN",IQ_FY-10), _xll.ciqfunctions.udf.CIQ(A228, "IQ_EBITDA_MARGIN",IQ_FY-9))</f>
        <v>0</v>
      </c>
      <c r="H228" s="15" t="e">
        <f>IF(A236=A237,_xll.ciqfunctions.udf.CIQ(A228,"IQ_TOTAL_DIV_PAID_CF",IQ_FY-10)/-I228, _xll.ciqfunctions.udf.CIQ(A228, "IQ_TOTAL_DIV_PAID_CF",IQ_FY-9)/-I228)</f>
        <v>#DIV/0!</v>
      </c>
      <c r="I228" s="17">
        <f>IF(A236=A237,_xll.ciqfunctions.udf.CIQ(A228,"IQ_TOTAL_OUTSTANDING_FILING_DATE",IQ_FY-10), _xll.ciqfunctions.udf.CIQ(A228, "IQ_TOTAL_OUTSTANDING_FILING_DATE",IQ_FY-9))</f>
        <v>0</v>
      </c>
      <c r="J228" s="17">
        <f>IF(A236=A237,_xll.ciqfunctions.udf.CIQ(A228,"IQ_CASH_OPER",IQ_FY-10), _xll.ciqfunctions.udf.CIQ(A228, "IQ_CASH_OPER",IQ_FY-9))</f>
        <v>0</v>
      </c>
      <c r="K228" s="17">
        <f>IF(A236=A237,_xll.ciqfunctions.udf.CIQ(A228,"IQ_CAPEX",IQ_FY-10), _xll.ciqfunctions.udf.CIQ(A228, "IQ_CAPEX",IQ_FY-9))</f>
        <v>0</v>
      </c>
      <c r="L228" s="15" t="e">
        <f t="shared" ref="L228:L238" si="60">(J228+K228)/I228</f>
        <v>#DIV/0!</v>
      </c>
      <c r="M228" s="17">
        <f>IF(A236=A237,_xll.ciqfunctions.udf.CIQ(A228,"IQ_TOTAL_DEBT_ISSUED",IQ_FY-10), _xll.ciqfunctions.udf.CIQ(A228, "IQ_TOTAL_DEBT_ISSUED",IQ_FY-9))</f>
        <v>0</v>
      </c>
      <c r="N228" s="17">
        <f>IF(A236=A237,_xll.ciqfunctions.udf.CIQ(A228,"IQ_TOTAL_DEBT_REPAID",IQ_FY-10), _xll.ciqfunctions.udf.CIQ(A228, "IQ_TOTAL_DEBT_REPAID",IQ_FY-9))</f>
        <v>0</v>
      </c>
      <c r="O228" s="15" t="e">
        <f t="shared" ref="O228:O238" si="61">(M228+N228)/I228</f>
        <v>#DIV/0!</v>
      </c>
      <c r="P228" s="15" t="e">
        <f t="shared" ref="P228:P238" si="62">L228+O228</f>
        <v>#DIV/0!</v>
      </c>
      <c r="W228" s="43"/>
      <c r="AA228" s="43"/>
    </row>
    <row r="229" spans="1:27">
      <c r="A229" s="18" t="str">
        <f>_xll.ciqfunctions.udf.CIQ(A228,"IQ_COMPANY_NAME")</f>
        <v>Snowflake Inc.</v>
      </c>
      <c r="B229" s="13">
        <v>2</v>
      </c>
      <c r="C229" s="14" t="s">
        <v>17</v>
      </c>
      <c r="D229" s="15" t="e">
        <f>IF(A236=A237,_xll.ciqfunctions.udf.CIQ(A228,"IQ_TOTAL_REV",IQ_FY-9)/I229, _xll.ciqfunctions.udf.CIQ(A228, "IQ_TOTAL_REV",IQ_FY-8)/I229)</f>
        <v>#DIV/0!</v>
      </c>
      <c r="E229" s="16" t="e">
        <f t="shared" ref="E229:E238" si="63">(D229-D228)/D228</f>
        <v>#DIV/0!</v>
      </c>
      <c r="F229" s="15">
        <f>IF(A236=A237,_xll.ciqfunctions.udf.CIQ(A228,"IQ_DILUT_EPS_EXCL",IQ_FY-9), _xll.ciqfunctions.udf.CIQ(A228, "IQ_DILUT_EPS_EXCL",IQ_FY-8))</f>
        <v>0</v>
      </c>
      <c r="G229" s="15">
        <f>IF(A236=A237,_xll.ciqfunctions.udf.CIQ(A228,"IQ_EBITDA_MARGIN",IQ_FY-9), _xll.ciqfunctions.udf.CIQ(A228, "IQ_EBITDA_MARGIN",IQ_FY-8))</f>
        <v>0</v>
      </c>
      <c r="H229" s="15" t="e">
        <f>IF(A236=A237,_xll.ciqfunctions.udf.CIQ(A228,"IQ_TOTAL_DIV_PAID_CF",IQ_FY-9)/-I229, _xll.ciqfunctions.udf.CIQ(A228, "IQ_TOTAL_DIV_PAID_CF",IQ_FY-8)/-I229)</f>
        <v>#DIV/0!</v>
      </c>
      <c r="I229" s="17">
        <f>IF(A236=A237,_xll.ciqfunctions.udf.CIQ(A228,"IQ_TOTAL_OUTSTANDING_FILING_DATE",IQ_FY-9), _xll.ciqfunctions.udf.CIQ(A228, "IQ_TOTAL_OUTSTANDING_FILING_DATE",IQ_FY-8))</f>
        <v>0</v>
      </c>
      <c r="J229" s="17">
        <f>IF(A236=A237,_xll.ciqfunctions.udf.CIQ(A228,"IQ_CASH_OPER",IQ_FY-9), _xll.ciqfunctions.udf.CIQ(A228, "IQ_CASH_OPER",IQ_FY-8))</f>
        <v>0</v>
      </c>
      <c r="K229" s="17">
        <f>IF(A236=A237,_xll.ciqfunctions.udf.CIQ(A228,"IQ_CAPEX",IQ_FY-9), _xll.ciqfunctions.udf.CIQ(A228, "IQ_CAPEX",IQ_FY-8))</f>
        <v>0</v>
      </c>
      <c r="L229" s="15" t="e">
        <f t="shared" si="60"/>
        <v>#DIV/0!</v>
      </c>
      <c r="M229" s="17">
        <f>IF(A236=A237,_xll.ciqfunctions.udf.CIQ(A228,"IQ_TOTAL_DEBT_ISSUED",IQ_FY-9), _xll.ciqfunctions.udf.CIQ(A228, "IQ_TOTAL_DEBT_ISSUED",IQ_FY-8))</f>
        <v>0</v>
      </c>
      <c r="N229" s="17">
        <f>IF(A236=A237,_xll.ciqfunctions.udf.CIQ(A228,"IQ_TOTAL_DEBT_REPAID",IQ_FY-9), _xll.ciqfunctions.udf.CIQ(A228, "IQ_TOTAL_DEBT_REPAID",IQ_FY-8))</f>
        <v>0</v>
      </c>
      <c r="O229" s="15" t="e">
        <f t="shared" si="61"/>
        <v>#DIV/0!</v>
      </c>
      <c r="P229" s="15" t="e">
        <f t="shared" si="62"/>
        <v>#DIV/0!</v>
      </c>
      <c r="Q229" s="25" t="s">
        <v>18</v>
      </c>
      <c r="R229" s="39" t="s">
        <v>19</v>
      </c>
      <c r="S229" s="1">
        <f>R227/((AVERAGE(P233:P238))*(1+E239)^3)</f>
        <v>-144.09174003069515</v>
      </c>
      <c r="U229" s="25" t="s">
        <v>48</v>
      </c>
      <c r="V229" s="39" t="s">
        <v>19</v>
      </c>
      <c r="W229" s="1">
        <f>V227/((AVERAGE(P233:P238))*(1+E239)^3)</f>
        <v>-144.09174003069515</v>
      </c>
      <c r="Y229" s="25" t="s">
        <v>39</v>
      </c>
      <c r="Z229" s="39" t="s">
        <v>19</v>
      </c>
      <c r="AA229" s="1">
        <f>Z227/((AVERAGE(P233:P238))*(1+E239)^3)</f>
        <v>-144.09174003069515</v>
      </c>
    </row>
    <row r="230" spans="1:27">
      <c r="B230" s="13">
        <v>3</v>
      </c>
      <c r="C230" s="14" t="s">
        <v>20</v>
      </c>
      <c r="D230" s="15" t="e" cm="1">
        <f t="array" ref="D230">_xlfn.SINGLE(IF(A236=A237,_xll.ciqfunctions.udf.CIQ(A228,"IQ_TOTAL_REV",IQ_FY-8)/I230, _xll.ciqfunctions.udf.CIQ(A228, "IQ_TOTAL_REV",IQ_FY-7)/I230))</f>
        <v>#DIV/0!</v>
      </c>
      <c r="E230" s="16" t="e">
        <f t="shared" si="63"/>
        <v>#DIV/0!</v>
      </c>
      <c r="F230" s="15">
        <f>IF(A236=A237,_xll.ciqfunctions.udf.CIQ(A228,"IQ_DILUT_EPS_EXCL",IQ_FY-8), _xll.ciqfunctions.udf.CIQ(A228, "IQ_DILUT_EPS_EXCL",IQ_FY-7))</f>
        <v>0</v>
      </c>
      <c r="G230" s="15">
        <f>IF(A236=A237,_xll.ciqfunctions.udf.CIQ(A228,"IQ_EBITDA_MARGIN",IQ_FY-8), _xll.ciqfunctions.udf.CIQ(A228, "IQ_EBITDA_MARGIN",IQ_FY-7))</f>
        <v>0</v>
      </c>
      <c r="H230" s="15" t="e">
        <f>IF(A236=A237,_xll.ciqfunctions.udf.CIQ(A228,"IQ_TOTAL_DIV_PAID_CF",IQ_FY-8)/-I230, _xll.ciqfunctions.udf.CIQ(A228, "IQ_TOTAL_DIV_PAID_CF",IQ_FY-7)/-I230)</f>
        <v>#DIV/0!</v>
      </c>
      <c r="I230" s="17">
        <f>IF(A236=A237,_xll.ciqfunctions.udf.CIQ(A228,"IQ_TOTAL_OUTSTANDING_FILING_DATE",IQ_FY-8), _xll.ciqfunctions.udf.CIQ(A228, "IQ_TOTAL_OUTSTANDING_FILING_DATE",IQ_FY-7))</f>
        <v>0</v>
      </c>
      <c r="J230" s="17">
        <f>IF(A236=A237,_xll.ciqfunctions.udf.CIQ(A228,"IQ_CASH_OPER",IQ_FY-8), _xll.ciqfunctions.udf.CIQ(A228, "IQ_CASH_OPER",IQ_FY-7))</f>
        <v>0</v>
      </c>
      <c r="K230" s="17">
        <f>IF(A236=A237,_xll.ciqfunctions.udf.CIQ(A228,"IQ_CAPEX",IQ_FY-8), _xll.ciqfunctions.udf.CIQ(A228, "IQ_CAPEX",IQ_FY-7))</f>
        <v>0</v>
      </c>
      <c r="L230" s="15" t="e">
        <f t="shared" si="60"/>
        <v>#DIV/0!</v>
      </c>
      <c r="M230" s="17">
        <f>IF(A236=A237,_xll.ciqfunctions.udf.CIQ(A228,"IQ_TOTAL_DEBT_ISSUED",IQ_FY-8), _xll.ciqfunctions.udf.CIQ(A228, "IQ_TOTAL_DEBT_ISSUED",IQ_FY-7))</f>
        <v>0</v>
      </c>
      <c r="N230" s="17">
        <f>IF(A236=A237,_xll.ciqfunctions.udf.CIQ(A228,"IQ_TOTAL_DEBT_REPAID",IQ_FY-8), _xll.ciqfunctions.udf.CIQ(A228, "IQ_TOTAL_DEBT_REPAID",IQ_FY-7))</f>
        <v>0</v>
      </c>
      <c r="O230" s="15" t="e">
        <f t="shared" si="61"/>
        <v>#DIV/0!</v>
      </c>
      <c r="P230" s="15" t="e">
        <f t="shared" si="62"/>
        <v>#DIV/0!</v>
      </c>
      <c r="Q230" s="25" t="s">
        <v>21</v>
      </c>
      <c r="R230" s="38" t="s">
        <v>49</v>
      </c>
      <c r="S230" s="2">
        <f>(R227*I238)/1000</f>
        <v>56.384700539999997</v>
      </c>
      <c r="U230" s="25" t="s">
        <v>59</v>
      </c>
      <c r="V230" s="38" t="s">
        <v>49</v>
      </c>
      <c r="W230" s="2">
        <f>(V227*I238)/1000</f>
        <v>56.384700539999997</v>
      </c>
      <c r="Y230" s="25" t="s">
        <v>46</v>
      </c>
      <c r="Z230" s="38" t="s">
        <v>49</v>
      </c>
      <c r="AA230" s="2">
        <f>(Z227*I238)/1000</f>
        <v>56.384700539999997</v>
      </c>
    </row>
    <row r="231" spans="1:27">
      <c r="A231" s="18"/>
      <c r="B231" s="13">
        <v>4</v>
      </c>
      <c r="C231" s="14" t="s">
        <v>22</v>
      </c>
      <c r="D231" s="15" t="e" cm="1">
        <f t="array" ref="D231">_xlfn.SINGLE(IF(A236=A237,_xll.ciqfunctions.udf.CIQ(A228,"IQ_TOTAL_REV",IQ_FY-7)/I231, _xll.ciqfunctions.udf.CIQ(A228, "IQ_TOTAL_REV",IQ_FY-6)/I231))</f>
        <v>#DIV/0!</v>
      </c>
      <c r="E231" s="16" t="e">
        <f t="shared" si="63"/>
        <v>#DIV/0!</v>
      </c>
      <c r="F231" s="15">
        <f>IF(A236=A237,_xll.ciqfunctions.udf.CIQ(A228,"IQ_DILUT_EPS_EXCL",IQ_FY-7), _xll.ciqfunctions.udf.CIQ(A228, "IQ_DILUT_EPS_EXCL",IQ_FY-6))</f>
        <v>0</v>
      </c>
      <c r="G231" s="15">
        <f>IF(A236=A237,_xll.ciqfunctions.udf.CIQ(A228,"IQ_EBITDA_MARGIN",IQ_FY-7), _xll.ciqfunctions.udf.CIQ(A228, "IQ_EBITDA_MARGIN",IQ_FY-6))</f>
        <v>0</v>
      </c>
      <c r="H231" s="15" t="e">
        <f>IF(A236=A237,_xll.ciqfunctions.udf.CIQ(A228,"IQ_TOTAL_DIV_PAID_CF",IQ_FY-7)/-I231, _xll.ciqfunctions.udf.CIQ(A228, "IQ_TOTAL_DIV_PAID_CF",IQ_FY-6)/-I231)</f>
        <v>#DIV/0!</v>
      </c>
      <c r="I231" s="17">
        <f>IF(A236=A237,_xll.ciqfunctions.udf.CIQ(A228,"IQ_TOTAL_OUTSTANDING_FILING_DATE",IQ_FY-7), _xll.ciqfunctions.udf.CIQ(A228, "IQ_TOTAL_OUTSTANDING_FILING_DATE",IQ_FY-6))</f>
        <v>0</v>
      </c>
      <c r="J231" s="17">
        <f>IF(A236=A237,_xll.ciqfunctions.udf.CIQ(A228,"IQ_CASH_OPER",IQ_FY-7), _xll.ciqfunctions.udf.CIQ(A228, "IQ_CASH_OPER",IQ_FY-6))</f>
        <v>0</v>
      </c>
      <c r="K231" s="17">
        <f>IF(A236=A237,_xll.ciqfunctions.udf.CIQ(A228,"IQ_CAPEX",IQ_FY-7), _xll.ciqfunctions.udf.CIQ(A228, "IQ_CAPEX",IQ_FY-6))</f>
        <v>0</v>
      </c>
      <c r="L231" s="15" t="e">
        <f t="shared" si="60"/>
        <v>#DIV/0!</v>
      </c>
      <c r="M231" s="17">
        <f>IF(A236=A237,_xll.ciqfunctions.udf.CIQ(A228,"IQ_TOTAL_DEBT_ISSUED",IQ_FY-7), _xll.ciqfunctions.udf.CIQ(A228, "IQ_TOTAL_DEBT_ISSUED",IQ_FY-6))</f>
        <v>0</v>
      </c>
      <c r="N231" s="17">
        <f>IF(A236=A237,_xll.ciqfunctions.udf.CIQ(A228,"IQ_TOTAL_DEBT_REPAID",IQ_FY-7), _xll.ciqfunctions.udf.CIQ(A228, "IQ_TOTAL_DEBT_REPAID",IQ_FY-6))</f>
        <v>0</v>
      </c>
      <c r="O231" s="15" t="e">
        <f t="shared" si="61"/>
        <v>#DIV/0!</v>
      </c>
      <c r="P231" s="15" t="e">
        <f t="shared" si="62"/>
        <v>#DIV/0!</v>
      </c>
      <c r="Q231" s="25" t="s">
        <v>23</v>
      </c>
      <c r="R231" s="38" t="s">
        <v>24</v>
      </c>
      <c r="S231" s="1" t="e">
        <f>R227/(AVERAGE(H233:H238)*(1+H239)/(0.5-H239))</f>
        <v>#DIV/0!</v>
      </c>
      <c r="U231" s="25" t="s">
        <v>40</v>
      </c>
      <c r="V231" s="38" t="s">
        <v>24</v>
      </c>
      <c r="W231" s="1" t="e">
        <f>V227/(AVERAGE(H233:H238)*(1+H239)/(0.5-H239))</f>
        <v>#DIV/0!</v>
      </c>
      <c r="Y231" s="25" t="s">
        <v>47</v>
      </c>
      <c r="Z231" s="38" t="s">
        <v>24</v>
      </c>
      <c r="AA231" s="1" t="e">
        <f>Z227/(AVERAGE(H233:H238)*(1+H239)/(0.5-H239))</f>
        <v>#DIV/0!</v>
      </c>
    </row>
    <row r="232" spans="1:27">
      <c r="B232" s="13">
        <v>5</v>
      </c>
      <c r="C232" s="14" t="s">
        <v>25</v>
      </c>
      <c r="D232" s="15" t="e" cm="1">
        <f t="array" ref="D232">_xlfn.SINGLE(IF(A236=A237,_xll.ciqfunctions.udf.CIQ(A228,"IQ_TOTAL_REV",IQ_FY-6)/I232, _xll.ciqfunctions.udf.CIQ(A228, "IQ_TOTAL_REV",IQ_FY-5)/I232))</f>
        <v>#DIV/0!</v>
      </c>
      <c r="E232" s="16" t="e">
        <f t="shared" si="63"/>
        <v>#DIV/0!</v>
      </c>
      <c r="F232" s="15">
        <f>IF(A236=A237,_xll.ciqfunctions.udf.CIQ(A228,"IQ_DILUT_EPS_EXCL",IQ_FY-6), _xll.ciqfunctions.udf.CIQ(A228, "IQ_DILUT_EPS_EXCL",IQ_FY-5))</f>
        <v>0</v>
      </c>
      <c r="G232" s="15">
        <f>IF(A236=A237,_xll.ciqfunctions.udf.CIQ(A228,"IQ_EBITDA_MARGIN",IQ_FY-6), _xll.ciqfunctions.udf.CIQ(A228, "IQ_EBITDA_MARGIN",IQ_FY-5))</f>
        <v>0</v>
      </c>
      <c r="H232" s="15" t="e">
        <f>IF(A236=A237,_xll.ciqfunctions.udf.CIQ(A228,"IQ_TOTAL_DIV_PAID_CF",IQ_FY-6)/-I232, _xll.ciqfunctions.udf.CIQ(A228, "IQ_TOTAL_DIV_PAID_CF",IQ_FY-5)/-I232)</f>
        <v>#DIV/0!</v>
      </c>
      <c r="I232" s="17">
        <f>IF(A236=A237,_xll.ciqfunctions.udf.CIQ(A228,"IQ_TOTAL_OUTSTANDING_FILING_DATE",IQ_FY-6), _xll.ciqfunctions.udf.CIQ(A228, "IQ_TOTAL_OUTSTANDING_FILING_DATE",IQ_FY-5))</f>
        <v>0</v>
      </c>
      <c r="J232" s="17">
        <f>IF(A236=A237,_xll.ciqfunctions.udf.CIQ(A228,"IQ_CASH_OPER",IQ_FY-6), _xll.ciqfunctions.udf.CIQ(A228, "IQ_CASH_OPER",IQ_FY-5))</f>
        <v>0</v>
      </c>
      <c r="K232" s="17">
        <f>IF(A236=A237,_xll.ciqfunctions.udf.CIQ(A228,"IQ_CAPEX",IQ_FY-6), _xll.ciqfunctions.udf.CIQ(A228, "IQ_CAPEX",IQ_FY-5))</f>
        <v>0</v>
      </c>
      <c r="L232" s="15" t="e">
        <f t="shared" si="60"/>
        <v>#DIV/0!</v>
      </c>
      <c r="M232" s="17">
        <f>IF(A236=A237,_xll.ciqfunctions.udf.CIQ(A228,"IQ_TOTAL_DEBT_ISSUED",IQ_FY-6), _xll.ciqfunctions.udf.CIQ(A228, "IQ_TOTAL_DEBT_ISSUED",IQ_FY-5))</f>
        <v>0</v>
      </c>
      <c r="N232" s="17">
        <f>IF(A236=A237,_xll.ciqfunctions.udf.CIQ(A228,"IQ_TOTAL_DEBT_REPAID",IQ_FY-6), _xll.ciqfunctions.udf.CIQ(A228, "IQ_TOTAL_DEBT_REPAID",IQ_FY-5))</f>
        <v>0</v>
      </c>
      <c r="O232" s="15" t="e">
        <f t="shared" si="61"/>
        <v>#DIV/0!</v>
      </c>
      <c r="P232" s="15" t="e">
        <f t="shared" si="62"/>
        <v>#DIV/0!</v>
      </c>
      <c r="Q232" s="18"/>
      <c r="R232" s="38" t="s">
        <v>50</v>
      </c>
      <c r="S232" s="3">
        <f>I239</f>
        <v>0.53920703797834735</v>
      </c>
      <c r="U232" s="18"/>
      <c r="V232" s="38" t="s">
        <v>50</v>
      </c>
      <c r="W232" s="3">
        <f>I239</f>
        <v>0.53920703797834735</v>
      </c>
      <c r="Y232" s="18"/>
      <c r="Z232" s="38" t="s">
        <v>50</v>
      </c>
      <c r="AA232" s="3">
        <f>I239</f>
        <v>0.53920703797834735</v>
      </c>
    </row>
    <row r="233" spans="1:27">
      <c r="B233" s="13">
        <v>6</v>
      </c>
      <c r="C233" s="14" t="s">
        <v>26</v>
      </c>
      <c r="D233" s="15" cm="1">
        <f t="array" ref="D233">_xlfn.SINGLE(IF(A236=A237,_xll.ciqfunctions.udf.CIQ(A228,"IQ_TOTAL_REV",IQ_FY-5)/I233, _xll.ciqfunctions.udf.CIQ(A228, "IQ_TOTAL_REV",IQ_FY-4)/I233))</f>
        <v>2.5330280751413112</v>
      </c>
      <c r="E233" s="16" t="e">
        <f t="shared" si="63"/>
        <v>#DIV/0!</v>
      </c>
      <c r="F233" s="15">
        <f>IF(A236=A237,_xll.ciqfunctions.udf.CIQ(A228,"IQ_DILUT_EPS_EXCL",IQ_FY-5), _xll.ciqfunctions.udf.CIQ(A228, "IQ_DILUT_EPS_EXCL",IQ_FY-4))</f>
        <v>-4.6650299999999998</v>
      </c>
      <c r="G233" s="15">
        <f>IF(A236=A237,_xll.ciqfunctions.udf.CIQ(A228,"IQ_EBITDA_MARGIN",IQ_FY-5), _xll.ciqfunctions.udf.CIQ(A228, "IQ_EBITDA_MARGIN",IQ_FY-4))</f>
        <v>-190.45259999999999</v>
      </c>
      <c r="H233" s="15">
        <f>IF(A236=A237,_xll.ciqfunctions.udf.CIQ(A228,"IQ_TOTAL_DIV_PAID_CF",IQ_FY-5)/-I233, _xll.ciqfunctions.udf.CIQ(A228, "IQ_TOTAL_DIV_PAID_CF",IQ_FY-4)/-I233)</f>
        <v>0</v>
      </c>
      <c r="I233" s="17">
        <f>IF(A236=A237,_xll.ciqfunctions.udf.CIQ(A228,"IQ_TOTAL_OUTSTANDING_FILING_DATE",IQ_FY-5), _xll.ciqfunctions.udf.CIQ(A228, "IQ_TOTAL_OUTSTANDING_FILING_DATE",IQ_FY-4))</f>
        <v>38.162230000000001</v>
      </c>
      <c r="J233" s="17">
        <f>IF(A236=A237,_xll.ciqfunctions.udf.CIQ(A228,"IQ_CASH_OPER",IQ_FY-5), _xll.ciqfunctions.udf.CIQ(A228, "IQ_CASH_OPER",IQ_FY-4))</f>
        <v>-143.982</v>
      </c>
      <c r="K233" s="17">
        <f>IF(A236=A237,_xll.ciqfunctions.udf.CIQ(A228,"IQ_CAPEX",IQ_FY-5), _xll.ciqfunctions.udf.CIQ(A228, "IQ_CAPEX",IQ_FY-4))</f>
        <v>-2.0579999999999998</v>
      </c>
      <c r="L233" s="15">
        <f t="shared" si="60"/>
        <v>-3.8268203928334374</v>
      </c>
      <c r="M233" s="17">
        <f>IF(A236=A237,_xll.ciqfunctions.udf.CIQ(A228,"IQ_TOTAL_DEBT_ISSUED",IQ_FY-5), _xll.ciqfunctions.udf.CIQ(A228, "IQ_TOTAL_DEBT_ISSUED",IQ_FY-4))</f>
        <v>0</v>
      </c>
      <c r="N233" s="17">
        <f>IF(A236=A237,_xll.ciqfunctions.udf.CIQ(A228,"IQ_TOTAL_DEBT_REPAID",IQ_FY-5), _xll.ciqfunctions.udf.CIQ(A228, "IQ_TOTAL_DEBT_REPAID",IQ_FY-4))</f>
        <v>0</v>
      </c>
      <c r="O233" s="15">
        <f t="shared" si="61"/>
        <v>0</v>
      </c>
      <c r="P233" s="15">
        <f t="shared" si="62"/>
        <v>-3.8268203928334374</v>
      </c>
      <c r="Q233" s="25" t="s">
        <v>27</v>
      </c>
      <c r="R233" s="38" t="s">
        <v>51</v>
      </c>
      <c r="S233" s="4">
        <f>AVERAGE(F233:F238)/AVERAGE(D233:D238)</f>
        <v>-0.87655956743995245</v>
      </c>
      <c r="U233" s="25" t="s">
        <v>58</v>
      </c>
      <c r="V233" s="38" t="s">
        <v>51</v>
      </c>
      <c r="W233" s="4">
        <f>AVERAGE(F233:F238)/AVERAGE(D233:D238)</f>
        <v>-0.87655956743995245</v>
      </c>
      <c r="Y233" s="25" t="s">
        <v>56</v>
      </c>
      <c r="Z233" s="38" t="s">
        <v>51</v>
      </c>
      <c r="AA233" s="4">
        <f>AVERAGE(F233:F238)/AVERAGE(D233:D238)</f>
        <v>-0.87655956743995245</v>
      </c>
    </row>
    <row r="234" spans="1:27">
      <c r="A234" s="18"/>
      <c r="B234" s="13">
        <v>7</v>
      </c>
      <c r="C234" s="14" t="s">
        <v>28</v>
      </c>
      <c r="D234" s="15" cm="1">
        <f t="array" ref="D234">_xlfn.SINGLE(IF(A236=A237,_xll.ciqfunctions.udf.CIQ(A228,"IQ_TOTAL_REV",IQ_FY-4)/I234, _xll.ciqfunctions.udf.CIQ(A228, "IQ_TOTAL_REV",IQ_FY-3)/I234))</f>
        <v>4.7743272520838591</v>
      </c>
      <c r="E234" s="16">
        <f t="shared" si="63"/>
        <v>0.88482997837183919</v>
      </c>
      <c r="F234" s="15">
        <f>IF(A236=A237,_xll.ciqfunctions.udf.CIQ(A228,"IQ_DILUT_EPS_EXCL",IQ_FY-4), _xll.ciqfunctions.udf.CIQ(A228, "IQ_DILUT_EPS_EXCL",IQ_FY-3))</f>
        <v>-7.7715699999999996</v>
      </c>
      <c r="G234" s="15">
        <f>IF(A236=A237,_xll.ciqfunctions.udf.CIQ(A228,"IQ_EBITDA_MARGIN",IQ_FY-4), _xll.ciqfunctions.udf.CIQ(A228, "IQ_EBITDA_MARGIN",IQ_FY-3))</f>
        <v>-133.92580000000001</v>
      </c>
      <c r="H234" s="15">
        <f>IF(A236=A237,_xll.ciqfunctions.udf.CIQ(A228,"IQ_TOTAL_DIV_PAID_CF",IQ_FY-4)/-I234, _xll.ciqfunctions.udf.CIQ(A228, "IQ_TOTAL_DIV_PAID_CF",IQ_FY-3)/-I234)</f>
        <v>0</v>
      </c>
      <c r="I234" s="17">
        <f>IF(A236=A237,_xll.ciqfunctions.udf.CIQ(A228,"IQ_TOTAL_OUTSTANDING_FILING_DATE",IQ_FY-4), _xll.ciqfunctions.udf.CIQ(A228, "IQ_TOTAL_OUTSTANDING_FILING_DATE",IQ_FY-3))</f>
        <v>55.452419999999996</v>
      </c>
      <c r="J234" s="17">
        <f>IF(A236=A237,_xll.ciqfunctions.udf.CIQ(A228,"IQ_CASH_OPER",IQ_FY-4), _xll.ciqfunctions.udf.CIQ(A228, "IQ_CASH_OPER",IQ_FY-3))</f>
        <v>-176.55799999999999</v>
      </c>
      <c r="K234" s="17">
        <f>IF(A236=A237,_xll.ciqfunctions.udf.CIQ(A228,"IQ_CAPEX",IQ_FY-4), _xll.ciqfunctions.udf.CIQ(A228, "IQ_CAPEX",IQ_FY-3))</f>
        <v>-18.582999999999998</v>
      </c>
      <c r="L234" s="15">
        <f t="shared" si="60"/>
        <v>-3.5190709440633969</v>
      </c>
      <c r="M234" s="17">
        <f>IF(A236=A237,_xll.ciqfunctions.udf.CIQ(A228,"IQ_TOTAL_DEBT_ISSUED",IQ_FY-4), _xll.ciqfunctions.udf.CIQ(A228, "IQ_TOTAL_DEBT_ISSUED",IQ_FY-3))</f>
        <v>0</v>
      </c>
      <c r="N234" s="17">
        <f>IF(A236=A237,_xll.ciqfunctions.udf.CIQ(A228,"IQ_TOTAL_DEBT_REPAID",IQ_FY-4), _xll.ciqfunctions.udf.CIQ(A228, "IQ_TOTAL_DEBT_REPAID",IQ_FY-3))</f>
        <v>0</v>
      </c>
      <c r="O234" s="15">
        <f t="shared" si="61"/>
        <v>0</v>
      </c>
      <c r="P234" s="15">
        <f t="shared" si="62"/>
        <v>-3.5190709440633969</v>
      </c>
      <c r="Q234" s="18"/>
      <c r="R234" s="38" t="s">
        <v>29</v>
      </c>
      <c r="S234" s="4">
        <f>(AVERAGE(P233:P238)/_xlfn.STDEV.P(P233:P238))/(IF(A236=A237,(_xlfn.SINGLE(_xll.ciqfunctions.udf.CIQ(A228,"IQ_total_assets",IQ_FY)) - _xlfn.SINGLE(_xll.ciqfunctions.udf.CIQ(A228,"iq_gw_intan", IQ_FY)))/I238, (_xlfn.SINGLE(_xll.ciqfunctions.udf.CIQ(A228, "IQ_total_assets",IQ_LTM))-_xlfn.SINGLE(_xll.ciqfunctions.udf.CIQ(A228,"iq_gw_intan",IQ_LTM)))/I238))</f>
        <v>-1.4151094251101082E-2</v>
      </c>
      <c r="U234" s="18"/>
      <c r="V234" s="38" t="s">
        <v>29</v>
      </c>
      <c r="W234" s="4">
        <f>(AVERAGE(P233:P238)/_xlfn.STDEV.P(P233:P238))/(IF(A236=A237,(_xlfn.SINGLE(_xll.ciqfunctions.udf.CIQ(A228,"IQ_total_assets",IQ_FY)) - _xlfn.SINGLE(_xll.ciqfunctions.udf.CIQ(A228,"iq_gw_intan", IQ_FY)))/I238, (_xlfn.SINGLE(_xll.ciqfunctions.udf.CIQ(A228, "IQ_total_assets",IQ_LTM))-_xlfn.SINGLE(_xll.ciqfunctions.udf.CIQ(A228,"iq_gw_intan",IQ_LTM)))/I238))</f>
        <v>-1.4151094251101082E-2</v>
      </c>
      <c r="Y234" s="18"/>
      <c r="Z234" s="38" t="s">
        <v>29</v>
      </c>
      <c r="AA234" s="4">
        <f>(AVERAGE(P233:P238)/_xlfn.STDEV.P(P233:P238))/(IF(A236=A237,(_xlfn.SINGLE(_xll.ciqfunctions.udf.CIQ(A228,"IQ_total_assets",IQ_FY)) - _xlfn.SINGLE(_xll.ciqfunctions.udf.CIQ(A228,"iq_gw_intan", IQ_FY)))/I238, (_xlfn.SINGLE(_xll.ciqfunctions.udf.CIQ(A228, "IQ_total_assets",IQ_LTM))-_xlfn.SINGLE(_xll.ciqfunctions.udf.CIQ(A228,"iq_gw_intan",IQ_LTM)))/I238))</f>
        <v>-1.4151094251101082E-2</v>
      </c>
    </row>
    <row r="235" spans="1:27">
      <c r="A235" s="18"/>
      <c r="B235" s="13">
        <v>8</v>
      </c>
      <c r="C235" s="14" t="s">
        <v>30</v>
      </c>
      <c r="D235" s="15" cm="1">
        <f t="array" ref="D235">_xlfn.SINGLE(IF(A236=A237,_xll.ciqfunctions.udf.CIQ(A228,"IQ_TOTAL_REV",IQ_FY-3)/I235, _xll.ciqfunctions.udf.CIQ(A228, "IQ_TOTAL_REV",IQ_FY-2)/I235))</f>
        <v>2.0507412538967786</v>
      </c>
      <c r="E235" s="16">
        <f t="shared" si="63"/>
        <v>-0.57046487481525532</v>
      </c>
      <c r="F235" s="15">
        <f>IF(A236=A237,_xll.ciqfunctions.udf.CIQ(A228,"IQ_DILUT_EPS_EXCL",IQ_FY-3), _xll.ciqfunctions.udf.CIQ(A228, "IQ_DILUT_EPS_EXCL",IQ_FY-2))</f>
        <v>-3.80687</v>
      </c>
      <c r="G235" s="15">
        <f>IF(A236=A237,_xll.ciqfunctions.udf.CIQ(A228,"IQ_EBITDA_MARGIN",IQ_FY-3), _xll.ciqfunctions.udf.CIQ(A228, "IQ_EBITDA_MARGIN",IQ_FY-2))</f>
        <v>-90.703800000000001</v>
      </c>
      <c r="H235" s="15">
        <f>IF(A236=A237,_xll.ciqfunctions.udf.CIQ(A228,"IQ_TOTAL_DIV_PAID_CF",IQ_FY-3)/-I235, _xll.ciqfunctions.udf.CIQ(A228, "IQ_TOTAL_DIV_PAID_CF",IQ_FY-2)/-I235)</f>
        <v>0</v>
      </c>
      <c r="I235" s="17">
        <f>IF(A236=A237,_xll.ciqfunctions.udf.CIQ(A228,"IQ_TOTAL_OUTSTANDING_FILING_DATE",IQ_FY-3), _xll.ciqfunctions.udf.CIQ(A228, "IQ_TOTAL_OUTSTANDING_FILING_DATE",IQ_FY-2))</f>
        <v>288.7</v>
      </c>
      <c r="J235" s="17">
        <f>IF(A236=A237,_xll.ciqfunctions.udf.CIQ(A228,"IQ_CASH_OPER",IQ_FY-3), _xll.ciqfunctions.udf.CIQ(A228, "IQ_CASH_OPER",IQ_FY-2))</f>
        <v>-45.417000000000002</v>
      </c>
      <c r="K235" s="17">
        <f>IF(A236=A237,_xll.ciqfunctions.udf.CIQ(A228,"IQ_CAPEX",IQ_FY-3), _xll.ciqfunctions.udf.CIQ(A228, "IQ_CAPEX",IQ_FY-2))</f>
        <v>-35.036999999999999</v>
      </c>
      <c r="L235" s="15">
        <f t="shared" si="60"/>
        <v>-0.27867682715621755</v>
      </c>
      <c r="M235" s="17">
        <f>IF(A236=A237,_xll.ciqfunctions.udf.CIQ(A228,"IQ_TOTAL_DEBT_ISSUED",IQ_FY-3), _xll.ciqfunctions.udf.CIQ(A228, "IQ_TOTAL_DEBT_ISSUED",IQ_FY-2))</f>
        <v>2.09</v>
      </c>
      <c r="N235" s="17">
        <f>IF(A236=A237,_xll.ciqfunctions.udf.CIQ(A228,"IQ_TOTAL_DEBT_REPAID",IQ_FY-3), _xll.ciqfunctions.udf.CIQ(A228, "IQ_TOTAL_DEBT_REPAID",IQ_FY-2))</f>
        <v>0</v>
      </c>
      <c r="O235" s="15">
        <f t="shared" si="61"/>
        <v>7.2393488049878763E-3</v>
      </c>
      <c r="P235" s="15">
        <f t="shared" si="62"/>
        <v>-0.27143747835122967</v>
      </c>
      <c r="Q235" s="18"/>
      <c r="R235" s="39" t="s">
        <v>31</v>
      </c>
      <c r="S235" s="5" t="e">
        <f>IF(NOT(D228&gt;0),FALSE,SLOPE(G228:G238,B228:B238))</f>
        <v>#DIV/0!</v>
      </c>
      <c r="U235" s="18"/>
      <c r="V235" s="39" t="s">
        <v>31</v>
      </c>
      <c r="W235" s="5" t="e">
        <f>IF(NOT(D228&gt;0),FALSE,SLOPE(G228:G238,B228:B238))</f>
        <v>#DIV/0!</v>
      </c>
      <c r="Y235" s="18"/>
      <c r="Z235" s="39" t="s">
        <v>31</v>
      </c>
      <c r="AA235" s="5" t="e">
        <f>IF(NOT(L228&gt;0),FALSE,SLOPE(O228:O238,J228:J238))</f>
        <v>#DIV/0!</v>
      </c>
    </row>
    <row r="236" spans="1:27">
      <c r="A236" s="19">
        <f>_xll.ciqfunctions.udf.CIQ(A228,"IQ_TOTAL_REV",IQ_FY)</f>
        <v>2065.6590000000001</v>
      </c>
      <c r="B236" s="13">
        <v>9</v>
      </c>
      <c r="C236" s="14" t="s">
        <v>32</v>
      </c>
      <c r="D236" s="15" cm="1">
        <f t="array" ref="D236">_xlfn.SINGLE(IF(A236=A237,_xll.ciqfunctions.udf.CIQ(A228,"IQ_TOTAL_REV",IQ_FY-2)/I236, _xll.ciqfunctions.udf.CIQ(A228, "IQ_TOTAL_REV",IQ_FY-1)/I236))</f>
        <v>3.8758010171646533</v>
      </c>
      <c r="E236" s="16">
        <f t="shared" si="63"/>
        <v>0.88995126020892767</v>
      </c>
      <c r="F236" s="15">
        <f>IF(A236=A237,_xll.ciqfunctions.udf.CIQ(A228,"IQ_DILUT_EPS_EXCL",IQ_FY-2), _xll.ciqfunctions.udf.CIQ(A228, "IQ_DILUT_EPS_EXCL",IQ_FY-1))</f>
        <v>-2.2644299999999999</v>
      </c>
      <c r="G236" s="15">
        <f>IF(A236=A237,_xll.ciqfunctions.udf.CIQ(A228,"IQ_EBITDA_MARGIN",IQ_FY-2), _xll.ciqfunctions.udf.CIQ(A228, "IQ_EBITDA_MARGIN",IQ_FY-1))</f>
        <v>-57.223199999999999</v>
      </c>
      <c r="H236" s="15">
        <f>IF(A236=A237,_xll.ciqfunctions.udf.CIQ(A228,"IQ_TOTAL_DIV_PAID_CF",IQ_FY-2)/-I236, _xll.ciqfunctions.udf.CIQ(A228, "IQ_TOTAL_DIV_PAID_CF",IQ_FY-1)/-I236)</f>
        <v>0</v>
      </c>
      <c r="I236" s="17">
        <f>IF(A236=A237,_xll.ciqfunctions.udf.CIQ(A228,"IQ_TOTAL_OUTSTANDING_FILING_DATE",IQ_FY-2), _xll.ciqfunctions.udf.CIQ(A228, "IQ_TOTAL_OUTSTANDING_FILING_DATE",IQ_FY-1))</f>
        <v>314.60000000000002</v>
      </c>
      <c r="J236" s="17">
        <f>IF(A236=A237,_xll.ciqfunctions.udf.CIQ(A228,"IQ_CASH_OPER",IQ_FY-2), _xll.ciqfunctions.udf.CIQ(A228, "IQ_CASH_OPER",IQ_FY-1))</f>
        <v>110.179</v>
      </c>
      <c r="K236" s="17">
        <f>IF(A236=A237,_xll.ciqfunctions.udf.CIQ(A228,"IQ_CAPEX",IQ_FY-2), _xll.ciqfunctions.udf.CIQ(A228, "IQ_CAPEX",IQ_FY-1))</f>
        <v>-16.221</v>
      </c>
      <c r="L236" s="15">
        <f t="shared" si="60"/>
        <v>0.29865861411315953</v>
      </c>
      <c r="M236" s="17">
        <f>IF(A236=A237,_xll.ciqfunctions.udf.CIQ(A228,"IQ_TOTAL_DEBT_ISSUED",IQ_FY-2), _xll.ciqfunctions.udf.CIQ(A228, "IQ_TOTAL_DEBT_ISSUED",IQ_FY-1))</f>
        <v>0</v>
      </c>
      <c r="N236" s="17">
        <f>IF(A236=A237,_xll.ciqfunctions.udf.CIQ(A228,"IQ_TOTAL_DEBT_REPAID",IQ_FY-2), _xll.ciqfunctions.udf.CIQ(A228, "IQ_TOTAL_DEBT_REPAID",IQ_FY-1))</f>
        <v>0</v>
      </c>
      <c r="O236" s="15">
        <f t="shared" si="61"/>
        <v>0</v>
      </c>
      <c r="P236" s="15">
        <f t="shared" si="62"/>
        <v>0.29865861411315953</v>
      </c>
      <c r="Q236" s="25" t="s">
        <v>33</v>
      </c>
      <c r="R236" s="38" t="s">
        <v>52</v>
      </c>
      <c r="S236" s="4">
        <f>(AVERAGE(O233:O238)/AVERAGE(P233:P238))</f>
        <v>-1.9360375859943952E-3</v>
      </c>
      <c r="U236" s="25" t="s">
        <v>54</v>
      </c>
      <c r="V236" s="38" t="s">
        <v>52</v>
      </c>
      <c r="W236" s="4">
        <f>(AVERAGE(O233:O238)/AVERAGE(P233:P238))</f>
        <v>-1.9360375859943952E-3</v>
      </c>
      <c r="Y236" s="25" t="s">
        <v>60</v>
      </c>
      <c r="Z236" s="38" t="s">
        <v>52</v>
      </c>
      <c r="AA236" s="4">
        <f>(AVERAGE(O233:O238)/AVERAGE(P233:P238))</f>
        <v>-1.9360375859943952E-3</v>
      </c>
    </row>
    <row r="237" spans="1:27">
      <c r="A237" s="19">
        <f>_xll.ciqfunctions.udf.CIQ(A228,"IQ_TOTAL_REV",IQ_LTM)</f>
        <v>2443.6570000000002</v>
      </c>
      <c r="B237" s="13">
        <v>10</v>
      </c>
      <c r="C237" s="14" t="s">
        <v>34</v>
      </c>
      <c r="D237" s="15" cm="1">
        <f t="array" ref="D237">_xlfn.SINGLE(IF(A236=A237,_xll.ciqfunctions.udf.CIQ(A228,"IQ_TOTAL_REV",IQ_FY-1)/I237, _xll.ciqfunctions.udf.CIQ(A228, "IQ_TOTAL_REV",IQ_FY)/I237))</f>
        <v>6.3558738461538464</v>
      </c>
      <c r="E237" s="16">
        <f t="shared" si="63"/>
        <v>0.63988652100708032</v>
      </c>
      <c r="F237" s="15">
        <f>IF(A236=A237,_xll.ciqfunctions.udf.CIQ(A228,"IQ_DILUT_EPS_EXCL",IQ_FY-1), _xll.ciqfunctions.udf.CIQ(A228, "IQ_DILUT_EPS_EXCL",IQ_FY))</f>
        <v>-2.4996200000000002</v>
      </c>
      <c r="G237" s="15">
        <f>IF(A236=A237,_xll.ciqfunctions.udf.CIQ(A228,"IQ_EBITDA_MARGIN",IQ_FY-1), _xll.ciqfunctions.udf.CIQ(A228, "IQ_EBITDA_MARGIN",IQ_FY))</f>
        <v>-37.936100000000003</v>
      </c>
      <c r="H237" s="15">
        <f>IF(A236=A237,_xll.ciqfunctions.udf.CIQ(A228,"IQ_TOTAL_DIV_PAID_CF",IQ_FY-1)/-I237, _xll.ciqfunctions.udf.CIQ(A228, "IQ_TOTAL_DIV_PAID_CF",IQ_FY)/-I237)</f>
        <v>0</v>
      </c>
      <c r="I237" s="17">
        <f>IF(A236=A237,_xll.ciqfunctions.udf.CIQ(A228,"IQ_TOTAL_OUTSTANDING_FILING_DATE",IQ_FY-1), _xll.ciqfunctions.udf.CIQ(A228, "IQ_TOTAL_OUTSTANDING_FILING_DATE",IQ_FY))</f>
        <v>325</v>
      </c>
      <c r="J237" s="17">
        <f>IF(A236=A237,_xll.ciqfunctions.udf.CIQ(A228,"IQ_CASH_OPER",IQ_FY-1), _xll.ciqfunctions.udf.CIQ(A228, "IQ_CASH_OPER",IQ_FY))</f>
        <v>545.63900000000001</v>
      </c>
      <c r="K237" s="17">
        <f>IF(A236=A237,_xll.ciqfunctions.udf.CIQ(A228,"IQ_CAPEX",IQ_FY-1), _xll.ciqfunctions.udf.CIQ(A228, "IQ_CAPEX",IQ_FY))</f>
        <v>-25.128</v>
      </c>
      <c r="L237" s="15">
        <f t="shared" si="60"/>
        <v>1.6015723076923076</v>
      </c>
      <c r="M237" s="17">
        <f>IF(A236=A237,_xll.ciqfunctions.udf.CIQ(A228,"IQ_TOTAL_DEBT_ISSUED",IQ_FY-1), _xll.ciqfunctions.udf.CIQ(A228, "IQ_TOTAL_DEBT_ISSUED",IQ_FY))</f>
        <v>0</v>
      </c>
      <c r="N237" s="17">
        <f>IF(A236=A237,_xll.ciqfunctions.udf.CIQ(A228,"IQ_TOTAL_DEBT_REPAID",IQ_FY-1), _xll.ciqfunctions.udf.CIQ(A228, "IQ_TOTAL_DEBT_REPAID",IQ_FY))</f>
        <v>0</v>
      </c>
      <c r="O237" s="15">
        <f t="shared" si="61"/>
        <v>0</v>
      </c>
      <c r="P237" s="15">
        <f t="shared" si="62"/>
        <v>1.6015723076923076</v>
      </c>
      <c r="Q237" s="25" t="s">
        <v>44</v>
      </c>
      <c r="R237" s="38" t="s">
        <v>35</v>
      </c>
      <c r="S237" s="1" t="str">
        <f>_xll.ciqfunctions.udf.CIQ(A228,"IQ_TEV_EBITDA")</f>
        <v>NM</v>
      </c>
      <c r="U237" s="25" t="s">
        <v>55</v>
      </c>
      <c r="V237" s="38" t="s">
        <v>53</v>
      </c>
      <c r="W237" s="1" t="e">
        <f>V227/(AVERAGE(D233:D238)/_xlfn.STDEV.P(E233:E238))</f>
        <v>#DIV/0!</v>
      </c>
      <c r="Y237" s="25" t="s">
        <v>57</v>
      </c>
      <c r="Z237" s="38" t="s">
        <v>53</v>
      </c>
      <c r="AA237" s="1" t="e">
        <f>Z227/(AVERAGE(D233:D238)/_xlfn.STDEV.P(E233:E238))</f>
        <v>#DIV/0!</v>
      </c>
    </row>
    <row r="238" spans="1:27">
      <c r="B238" s="13">
        <v>11</v>
      </c>
      <c r="C238" s="20" t="s">
        <v>36</v>
      </c>
      <c r="D238" s="21" cm="1">
        <f t="array" ref="D238">_xlfn.SINGLE(IF(A236=A237,_xll.ciqfunctions.udf.CIQ(A228,"IQ_TOTAL_REV",IQ_FY)/I238, _xll.ciqfunctions.udf.CIQ(A228, "IQ_TOTAL_REV",IQ_LTM)/I238))</f>
        <v>7.4117591750075835</v>
      </c>
      <c r="E238" s="22">
        <f t="shared" si="63"/>
        <v>0.16612748371220251</v>
      </c>
      <c r="F238" s="21">
        <f>IF(A236=A237,_xll.ciqfunctions.udf.CIQ(A228,"IQ_DILUT_EPS_EXCL",IQ_FY), _xll.ciqfunctions.udf.CIQ(A228, "IQ_DILUT_EPS_EXCL",IQ_LTM))</f>
        <v>-2.66093</v>
      </c>
      <c r="G238" s="21">
        <f>IF(A236=A237,_xll.ciqfunctions.udf.CIQ(A228,"IQ_EBITDA_MARGIN",IQ_FY), _xll.ciqfunctions.udf.CIQ(A228, "IQ_EBITDA_MARGIN",IQ_LTM))</f>
        <v>-37.556199999999997</v>
      </c>
      <c r="H238" s="21">
        <f>IF(A236=A237,_xll.ciqfunctions.udf.CIQ(A228,"IQ_TOTAL_DIV_PAID_CF",IQ_FY)/-I238, _xll.ciqfunctions.udf.CIQ(A228, "IQ_TOTAL_DIV_PAID_CF",IQ_LTM)/-I238)</f>
        <v>0</v>
      </c>
      <c r="I238" s="23">
        <f>IF(A236=A237,_xll.ciqfunctions.udf.CIQ(A228,"IQ_TOTAL_OUTSTANDING_FILING_DATE",IQ_FY),_xll.ciqfunctions.udf.CIQ(A228,"IQ_sharesoutstanding"))</f>
        <v>329.7</v>
      </c>
      <c r="J238" s="23">
        <f>IF(A236=A237,_xll.ciqfunctions.udf.CIQ(A228,"IQ_CASH_OPER",IQ_FY), _xll.ciqfunctions.udf.CIQ(A228, "IQ_CASH_OPER",IQ_LTM))</f>
        <v>679.22799999999995</v>
      </c>
      <c r="K238" s="23">
        <f>IF(A236=A237,_xll.ciqfunctions.udf.CIQ(A228,"IQ_CAPEX",IQ_FY), _xll.ciqfunctions.udf.CIQ(A228, "IQ_CAPEX",IQ_LTM))</f>
        <v>-27.135000000000002</v>
      </c>
      <c r="L238" s="21">
        <f t="shared" si="60"/>
        <v>1.9778374279648165</v>
      </c>
      <c r="M238" s="23">
        <f>IF(A236=A237,_xll.ciqfunctions.udf.CIQ(A228,"IQ_TOTAL_DEBT_ISSUED",IQ_FY), _xll.ciqfunctions.udf.CIQ(A228, "IQ_TOTAL_DEBT_ISSUED",IQ_LTM))</f>
        <v>0</v>
      </c>
      <c r="N238" s="23">
        <f>IF(A236=A237,_xll.ciqfunctions.udf.CIQ(A228,"IQ_TOTAL_DEBT_REPAID",IQ_FY), _xll.ciqfunctions.udf.CIQ(A228, "IQ_TOTAL_DEBT_REPAID",IQ_LTM))</f>
        <v>0</v>
      </c>
      <c r="O238" s="21">
        <f t="shared" si="61"/>
        <v>0</v>
      </c>
      <c r="P238" s="21">
        <f t="shared" si="62"/>
        <v>1.9778374279648165</v>
      </c>
      <c r="Q238" s="25" t="s">
        <v>45</v>
      </c>
      <c r="S238" s="45"/>
      <c r="U238" s="25"/>
      <c r="W238" s="45"/>
      <c r="Y238" s="25"/>
      <c r="AA238" s="45"/>
    </row>
    <row r="239" spans="1:27">
      <c r="B239" s="24"/>
      <c r="C239" s="25" t="s">
        <v>37</v>
      </c>
      <c r="E239" s="26">
        <f>((D238/D233)^(1/5))-1</f>
        <v>0.23952776498482931</v>
      </c>
      <c r="F239" s="27">
        <f>((F238/F233)^(1/5))-1</f>
        <v>-0.106209361072924</v>
      </c>
      <c r="G239" s="28"/>
      <c r="H239" s="27" t="e">
        <f>((H238/H233)^(1/5))-1</f>
        <v>#DIV/0!</v>
      </c>
      <c r="I239" s="27">
        <f>((I238/I233)^(1/5))-1</f>
        <v>0.53920703797834735</v>
      </c>
      <c r="J239" s="27"/>
      <c r="K239" s="27"/>
      <c r="L239" s="26">
        <f>((L238/L233)^(1/5))-1</f>
        <v>-1.8763356960286528</v>
      </c>
      <c r="M239" s="26"/>
      <c r="N239" s="26"/>
      <c r="O239" s="26"/>
      <c r="P239" s="26">
        <f>((P238/P233)^(1/5))-1</f>
        <v>-1.8763356960286528</v>
      </c>
      <c r="Q239" s="18"/>
      <c r="R239" s="36"/>
      <c r="S239" s="45"/>
      <c r="U239" s="18"/>
      <c r="V239" s="36"/>
      <c r="W239" s="45"/>
      <c r="Y239" s="18"/>
      <c r="Z239" s="36"/>
      <c r="AA239" s="45"/>
    </row>
    <row r="240" spans="1:27">
      <c r="A240" s="29"/>
      <c r="B240" s="30"/>
      <c r="C240" s="31" t="s">
        <v>38</v>
      </c>
      <c r="D240" s="29"/>
      <c r="E240" s="32" t="e">
        <f>((D238/D228)^(1/10))-1</f>
        <v>#DIV/0!</v>
      </c>
      <c r="F240" s="33" t="e">
        <f>((F238/F228)^(1/10))-1</f>
        <v>#DIV/0!</v>
      </c>
      <c r="G240" s="34"/>
      <c r="H240" s="33" t="e">
        <f>((H238/H228)^(1/10))-1</f>
        <v>#DIV/0!</v>
      </c>
      <c r="I240" s="33" t="e">
        <f>((I238/I228)^(1/10))-1</f>
        <v>#DIV/0!</v>
      </c>
      <c r="J240" s="33"/>
      <c r="K240" s="33"/>
      <c r="L240" s="32" t="e">
        <f>((L238/L228)^(1/10))-1</f>
        <v>#DIV/0!</v>
      </c>
      <c r="M240" s="32"/>
      <c r="N240" s="32"/>
      <c r="O240" s="32"/>
      <c r="P240" s="32" t="e">
        <f>((P238/P228)^(1/10))-1</f>
        <v>#DIV/0!</v>
      </c>
      <c r="Q240" s="40"/>
      <c r="R240" s="41"/>
      <c r="S240" s="46"/>
      <c r="U240" s="40"/>
      <c r="V240" s="41"/>
      <c r="W240" s="46"/>
      <c r="Y240" s="40"/>
      <c r="Z240" s="41"/>
      <c r="AA240" s="46"/>
    </row>
    <row r="241" spans="1:27">
      <c r="B241" s="24"/>
      <c r="C241" s="25"/>
      <c r="E241" s="26"/>
      <c r="F241" s="27"/>
      <c r="G241" s="28"/>
      <c r="H241" s="27"/>
      <c r="I241" s="27"/>
      <c r="J241" s="27"/>
      <c r="K241" s="27"/>
      <c r="L241" s="26"/>
      <c r="M241" s="17"/>
      <c r="N241" s="17"/>
      <c r="O241" s="17"/>
      <c r="P241" s="35"/>
      <c r="Q241" s="18"/>
      <c r="R241" s="36"/>
    </row>
    <row r="242" spans="1:27">
      <c r="A242" s="9" t="s">
        <v>0</v>
      </c>
      <c r="B242" s="10"/>
      <c r="C242" s="9" t="s">
        <v>1</v>
      </c>
      <c r="D242" s="9" t="s">
        <v>2</v>
      </c>
      <c r="E242" s="9" t="s">
        <v>3</v>
      </c>
      <c r="F242" s="11" t="s">
        <v>4</v>
      </c>
      <c r="G242" s="11" t="s">
        <v>5</v>
      </c>
      <c r="H242" s="9" t="s">
        <v>6</v>
      </c>
      <c r="I242" s="11" t="s">
        <v>7</v>
      </c>
      <c r="J242" s="11" t="s">
        <v>8</v>
      </c>
      <c r="K242" s="11" t="s">
        <v>9</v>
      </c>
      <c r="L242" s="11" t="s">
        <v>10</v>
      </c>
      <c r="M242" s="11" t="s">
        <v>11</v>
      </c>
      <c r="N242" s="11" t="s">
        <v>12</v>
      </c>
      <c r="O242" s="11" t="s">
        <v>13</v>
      </c>
      <c r="P242" s="11" t="s">
        <v>14</v>
      </c>
      <c r="Q242" s="37" t="s">
        <v>15</v>
      </c>
      <c r="R242" s="42">
        <f>_xll.ciqfunctions.udf.CIQ(A243,("IQ_LASTSALEPRICE"))</f>
        <v>74.83</v>
      </c>
      <c r="S242" s="44"/>
      <c r="U242" s="37" t="s">
        <v>15</v>
      </c>
      <c r="V242" s="42">
        <f>_xll.ciqfunctions.udf.CIQ(A243,("IQ_LASTSALEPRICE"))</f>
        <v>74.83</v>
      </c>
      <c r="W242" s="44"/>
      <c r="Y242" s="37" t="s">
        <v>15</v>
      </c>
      <c r="Z242" s="42">
        <f>_xll.ciqfunctions.udf.CIQ(A243,("IQ_LASTSALEPRICE"))</f>
        <v>74.83</v>
      </c>
      <c r="AA242" s="44"/>
    </row>
    <row r="243" spans="1:27">
      <c r="A243" s="12" t="str">
        <f>Analysis!B18</f>
        <v>NYSE:NET</v>
      </c>
      <c r="B243" s="13">
        <v>1</v>
      </c>
      <c r="C243" s="14" t="s">
        <v>16</v>
      </c>
      <c r="D243" s="15" t="e">
        <f>IF(A251=A252,_xll.ciqfunctions.udf.CIQ(A243,"IQ_TOTAL_REV",IQ_FY-10)/I243,_xll.ciqfunctions.udf.CIQ(A243, "IQ_TOTAL_REV",IQ_FY-9)/I243)</f>
        <v>#DIV/0!</v>
      </c>
      <c r="E243" s="16"/>
      <c r="F243" s="15">
        <f>IF(A251=A252,_xll.ciqfunctions.udf.CIQ(A243,"IQ_DILUT_EPS_EXCL",IQ_FY-10), _xll.ciqfunctions.udf.CIQ(A243, "IQ_DILUT_EPS_EXCL",IQ_FY-9))</f>
        <v>0</v>
      </c>
      <c r="G243" s="15">
        <f>IF(A251=A252,_xll.ciqfunctions.udf.CIQ(A243,"IQ_EBITDA_MARGIN",IQ_FY-10), _xll.ciqfunctions.udf.CIQ(A243, "IQ_EBITDA_MARGIN",IQ_FY-9))</f>
        <v>0</v>
      </c>
      <c r="H243" s="15" t="e">
        <f>IF(A251=A252,_xll.ciqfunctions.udf.CIQ(A243,"IQ_TOTAL_DIV_PAID_CF",IQ_FY-10)/-I243, _xll.ciqfunctions.udf.CIQ(A243, "IQ_TOTAL_DIV_PAID_CF",IQ_FY-9)/-I243)</f>
        <v>#DIV/0!</v>
      </c>
      <c r="I243" s="17">
        <f>IF(A251=A252,_xll.ciqfunctions.udf.CIQ(A243,"IQ_TOTAL_OUTSTANDING_FILING_DATE",IQ_FY-10), _xll.ciqfunctions.udf.CIQ(A243, "IQ_TOTAL_OUTSTANDING_FILING_DATE",IQ_FY-9))</f>
        <v>0</v>
      </c>
      <c r="J243" s="17">
        <f>IF(A251=A252,_xll.ciqfunctions.udf.CIQ(A243,"IQ_CASH_OPER",IQ_FY-10), _xll.ciqfunctions.udf.CIQ(A243, "IQ_CASH_OPER",IQ_FY-9))</f>
        <v>0</v>
      </c>
      <c r="K243" s="17">
        <f>IF(A251=A252,_xll.ciqfunctions.udf.CIQ(A243,"IQ_CAPEX",IQ_FY-10), _xll.ciqfunctions.udf.CIQ(A243, "IQ_CAPEX",IQ_FY-9))</f>
        <v>0</v>
      </c>
      <c r="L243" s="15" t="e">
        <f t="shared" ref="L243:L253" si="64">(J243+K243)/I243</f>
        <v>#DIV/0!</v>
      </c>
      <c r="M243" s="17">
        <f>IF(A251=A252,_xll.ciqfunctions.udf.CIQ(A243,"IQ_TOTAL_DEBT_ISSUED",IQ_FY-10), _xll.ciqfunctions.udf.CIQ(A243, "IQ_TOTAL_DEBT_ISSUED",IQ_FY-9))</f>
        <v>0</v>
      </c>
      <c r="N243" s="17">
        <f>IF(A251=A252,_xll.ciqfunctions.udf.CIQ(A243,"IQ_TOTAL_DEBT_REPAID",IQ_FY-10), _xll.ciqfunctions.udf.CIQ(A243, "IQ_TOTAL_DEBT_REPAID",IQ_FY-9))</f>
        <v>0</v>
      </c>
      <c r="O243" s="15" t="e">
        <f t="shared" ref="O243:O253" si="65">(M243+N243)/I243</f>
        <v>#DIV/0!</v>
      </c>
      <c r="P243" s="15" t="e">
        <f t="shared" ref="P243:P253" si="66">L243+O243</f>
        <v>#DIV/0!</v>
      </c>
      <c r="W243" s="43"/>
      <c r="AA243" s="43"/>
    </row>
    <row r="244" spans="1:27">
      <c r="A244" s="18" t="str">
        <f>_xll.ciqfunctions.udf.CIQ(A243,"IQ_COMPANY_NAME")</f>
        <v>Cloudflare, Inc.</v>
      </c>
      <c r="B244" s="13">
        <v>2</v>
      </c>
      <c r="C244" s="14" t="s">
        <v>17</v>
      </c>
      <c r="D244" s="15" t="e">
        <f>IF(A251=A252,_xll.ciqfunctions.udf.CIQ(A243,"IQ_TOTAL_REV",IQ_FY-9)/I244, _xll.ciqfunctions.udf.CIQ(A243, "IQ_TOTAL_REV",IQ_FY-8)/I244)</f>
        <v>#DIV/0!</v>
      </c>
      <c r="E244" s="16" t="e">
        <f t="shared" ref="E244:E253" si="67">(D244-D243)/D243</f>
        <v>#DIV/0!</v>
      </c>
      <c r="F244" s="15">
        <f>IF(A251=A252,_xll.ciqfunctions.udf.CIQ(A243,"IQ_DILUT_EPS_EXCL",IQ_FY-9), _xll.ciqfunctions.udf.CIQ(A243, "IQ_DILUT_EPS_EXCL",IQ_FY-8))</f>
        <v>0</v>
      </c>
      <c r="G244" s="15">
        <f>IF(A251=A252,_xll.ciqfunctions.udf.CIQ(A243,"IQ_EBITDA_MARGIN",IQ_FY-9), _xll.ciqfunctions.udf.CIQ(A243, "IQ_EBITDA_MARGIN",IQ_FY-8))</f>
        <v>0</v>
      </c>
      <c r="H244" s="15" t="e">
        <f>IF(A251=A252,_xll.ciqfunctions.udf.CIQ(A243,"IQ_TOTAL_DIV_PAID_CF",IQ_FY-9)/-I244, _xll.ciqfunctions.udf.CIQ(A243, "IQ_TOTAL_DIV_PAID_CF",IQ_FY-8)/-I244)</f>
        <v>#DIV/0!</v>
      </c>
      <c r="I244" s="17">
        <f>IF(A251=A252,_xll.ciqfunctions.udf.CIQ(A243,"IQ_TOTAL_OUTSTANDING_FILING_DATE",IQ_FY-9), _xll.ciqfunctions.udf.CIQ(A243, "IQ_TOTAL_OUTSTANDING_FILING_DATE",IQ_FY-8))</f>
        <v>0</v>
      </c>
      <c r="J244" s="17">
        <f>IF(A251=A252,_xll.ciqfunctions.udf.CIQ(A243,"IQ_CASH_OPER",IQ_FY-9), _xll.ciqfunctions.udf.CIQ(A243, "IQ_CASH_OPER",IQ_FY-8))</f>
        <v>0</v>
      </c>
      <c r="K244" s="17">
        <f>IF(A251=A252,_xll.ciqfunctions.udf.CIQ(A243,"IQ_CAPEX",IQ_FY-9), _xll.ciqfunctions.udf.CIQ(A243, "IQ_CAPEX",IQ_FY-8))</f>
        <v>0</v>
      </c>
      <c r="L244" s="15" t="e">
        <f t="shared" si="64"/>
        <v>#DIV/0!</v>
      </c>
      <c r="M244" s="17">
        <f>IF(A251=A252,_xll.ciqfunctions.udf.CIQ(A243,"IQ_TOTAL_DEBT_ISSUED",IQ_FY-9), _xll.ciqfunctions.udf.CIQ(A243, "IQ_TOTAL_DEBT_ISSUED",IQ_FY-8))</f>
        <v>0</v>
      </c>
      <c r="N244" s="17">
        <f>IF(A251=A252,_xll.ciqfunctions.udf.CIQ(A243,"IQ_TOTAL_DEBT_REPAID",IQ_FY-9), _xll.ciqfunctions.udf.CIQ(A243, "IQ_TOTAL_DEBT_REPAID",IQ_FY-8))</f>
        <v>0</v>
      </c>
      <c r="O244" s="15" t="e">
        <f t="shared" si="65"/>
        <v>#DIV/0!</v>
      </c>
      <c r="P244" s="15" t="e">
        <f t="shared" si="66"/>
        <v>#DIV/0!</v>
      </c>
      <c r="Q244" s="25" t="s">
        <v>18</v>
      </c>
      <c r="R244" s="39" t="s">
        <v>19</v>
      </c>
      <c r="S244" s="1">
        <f>R242/((AVERAGE(P248:P253))*(1+E254)^3)</f>
        <v>108.56250060679862</v>
      </c>
      <c r="U244" s="25" t="s">
        <v>48</v>
      </c>
      <c r="V244" s="39" t="s">
        <v>19</v>
      </c>
      <c r="W244" s="1">
        <f>V242/((AVERAGE(P248:P253))*(1+E254)^3)</f>
        <v>108.56250060679862</v>
      </c>
      <c r="Y244" s="25" t="s">
        <v>39</v>
      </c>
      <c r="Z244" s="39" t="s">
        <v>19</v>
      </c>
      <c r="AA244" s="1">
        <f>Z242/((AVERAGE(P248:P253))*(1+E254)^3)</f>
        <v>108.56250060679862</v>
      </c>
    </row>
    <row r="245" spans="1:27">
      <c r="B245" s="13">
        <v>3</v>
      </c>
      <c r="C245" s="14" t="s">
        <v>20</v>
      </c>
      <c r="D245" s="15" t="e" cm="1">
        <f t="array" ref="D245">_xlfn.SINGLE(IF(A251=A252,_xll.ciqfunctions.udf.CIQ(A243,"IQ_TOTAL_REV",IQ_FY-8)/I245, _xll.ciqfunctions.udf.CIQ(A243, "IQ_TOTAL_REV",IQ_FY-7)/I245))</f>
        <v>#DIV/0!</v>
      </c>
      <c r="E245" s="16" t="e">
        <f t="shared" si="67"/>
        <v>#DIV/0!</v>
      </c>
      <c r="F245" s="15">
        <f>IF(A251=A252,_xll.ciqfunctions.udf.CIQ(A243,"IQ_DILUT_EPS_EXCL",IQ_FY-8), _xll.ciqfunctions.udf.CIQ(A243, "IQ_DILUT_EPS_EXCL",IQ_FY-7))</f>
        <v>0</v>
      </c>
      <c r="G245" s="15">
        <f>IF(A251=A252,_xll.ciqfunctions.udf.CIQ(A243,"IQ_EBITDA_MARGIN",IQ_FY-8), _xll.ciqfunctions.udf.CIQ(A243, "IQ_EBITDA_MARGIN",IQ_FY-7))</f>
        <v>0</v>
      </c>
      <c r="H245" s="15" t="e">
        <f>IF(A251=A252,_xll.ciqfunctions.udf.CIQ(A243,"IQ_TOTAL_DIV_PAID_CF",IQ_FY-8)/-I245, _xll.ciqfunctions.udf.CIQ(A243, "IQ_TOTAL_DIV_PAID_CF",IQ_FY-7)/-I245)</f>
        <v>#DIV/0!</v>
      </c>
      <c r="I245" s="17">
        <f>IF(A251=A252,_xll.ciqfunctions.udf.CIQ(A243,"IQ_TOTAL_OUTSTANDING_FILING_DATE",IQ_FY-8), _xll.ciqfunctions.udf.CIQ(A243, "IQ_TOTAL_OUTSTANDING_FILING_DATE",IQ_FY-7))</f>
        <v>0</v>
      </c>
      <c r="J245" s="17">
        <f>IF(A251=A252,_xll.ciqfunctions.udf.CIQ(A243,"IQ_CASH_OPER",IQ_FY-8), _xll.ciqfunctions.udf.CIQ(A243, "IQ_CASH_OPER",IQ_FY-7))</f>
        <v>0</v>
      </c>
      <c r="K245" s="17">
        <f>IF(A251=A252,_xll.ciqfunctions.udf.CIQ(A243,"IQ_CAPEX",IQ_FY-8), _xll.ciqfunctions.udf.CIQ(A243, "IQ_CAPEX",IQ_FY-7))</f>
        <v>0</v>
      </c>
      <c r="L245" s="15" t="e">
        <f t="shared" si="64"/>
        <v>#DIV/0!</v>
      </c>
      <c r="M245" s="17">
        <f>IF(A251=A252,_xll.ciqfunctions.udf.CIQ(A243,"IQ_TOTAL_DEBT_ISSUED",IQ_FY-8), _xll.ciqfunctions.udf.CIQ(A243, "IQ_TOTAL_DEBT_ISSUED",IQ_FY-7))</f>
        <v>0</v>
      </c>
      <c r="N245" s="17">
        <f>IF(A251=A252,_xll.ciqfunctions.udf.CIQ(A243,"IQ_TOTAL_DEBT_REPAID",IQ_FY-8), _xll.ciqfunctions.udf.CIQ(A243, "IQ_TOTAL_DEBT_REPAID",IQ_FY-7))</f>
        <v>0</v>
      </c>
      <c r="O245" s="15" t="e">
        <f t="shared" si="65"/>
        <v>#DIV/0!</v>
      </c>
      <c r="P245" s="15" t="e">
        <f t="shared" si="66"/>
        <v>#DIV/0!</v>
      </c>
      <c r="Q245" s="25" t="s">
        <v>21</v>
      </c>
      <c r="R245" s="38" t="s">
        <v>49</v>
      </c>
      <c r="S245" s="2">
        <f>(R242*I253)/1000</f>
        <v>25.125806038900002</v>
      </c>
      <c r="U245" s="25" t="s">
        <v>59</v>
      </c>
      <c r="V245" s="38" t="s">
        <v>49</v>
      </c>
      <c r="W245" s="2">
        <f>(V242*I253)/1000</f>
        <v>25.125806038900002</v>
      </c>
      <c r="Y245" s="25" t="s">
        <v>46</v>
      </c>
      <c r="Z245" s="38" t="s">
        <v>49</v>
      </c>
      <c r="AA245" s="2">
        <f>(Z242*I253)/1000</f>
        <v>25.125806038900002</v>
      </c>
    </row>
    <row r="246" spans="1:27">
      <c r="A246" s="18"/>
      <c r="B246" s="13">
        <v>4</v>
      </c>
      <c r="C246" s="14" t="s">
        <v>22</v>
      </c>
      <c r="D246" s="15" cm="1">
        <f t="array" ref="D246">_xlfn.SINGLE(IF(A251=A252,_xll.ciqfunctions.udf.CIQ(A243,"IQ_TOTAL_REV",IQ_FY-7)/I246, _xll.ciqfunctions.udf.CIQ(A243, "IQ_TOTAL_REV",IQ_FY-6)/I246))</f>
        <v>1.1197818306678464</v>
      </c>
      <c r="E246" s="16" t="e">
        <f t="shared" si="67"/>
        <v>#DIV/0!</v>
      </c>
      <c r="F246" s="15">
        <f>IF(A251=A252,_xll.ciqfunctions.udf.CIQ(A243,"IQ_DILUT_EPS_EXCL",IQ_FY-7), _xll.ciqfunctions.udf.CIQ(A243, "IQ_DILUT_EPS_EXCL",IQ_FY-6))</f>
        <v>-0.22892000000000001</v>
      </c>
      <c r="G246" s="15">
        <f>IF(A251=A252,_xll.ciqfunctions.udf.CIQ(A243,"IQ_EBITDA_MARGIN",IQ_FY-7), _xll.ciqfunctions.udf.CIQ(A243, "IQ_EBITDA_MARGIN",IQ_FY-6))</f>
        <v>-10.3926</v>
      </c>
      <c r="H246" s="15">
        <f>IF(A251=A252,_xll.ciqfunctions.udf.CIQ(A243,"IQ_TOTAL_DIV_PAID_CF",IQ_FY-7)/-I246, _xll.ciqfunctions.udf.CIQ(A243, "IQ_TOTAL_DIV_PAID_CF",IQ_FY-6)/-I246)</f>
        <v>0</v>
      </c>
      <c r="I246" s="17">
        <f>IF(A251=A252,_xll.ciqfunctions.udf.CIQ(A243,"IQ_TOTAL_OUTSTANDING_FILING_DATE",IQ_FY-7), _xll.ciqfunctions.udf.CIQ(A243, "IQ_TOTAL_OUTSTANDING_FILING_DATE",IQ_FY-6))</f>
        <v>75.721000000000004</v>
      </c>
      <c r="J246" s="17">
        <f>IF(A251=A252,_xll.ciqfunctions.udf.CIQ(A243,"IQ_CASH_OPER",IQ_FY-7), _xll.ciqfunctions.udf.CIQ(A243, "IQ_CASH_OPER",IQ_FY-6))</f>
        <v>-13.318</v>
      </c>
      <c r="K246" s="17">
        <f>IF(A251=A252,_xll.ciqfunctions.udf.CIQ(A243,"IQ_CAPEX",IQ_FY-7), _xll.ciqfunctions.udf.CIQ(A243, "IQ_CAPEX",IQ_FY-6))</f>
        <v>-15.898</v>
      </c>
      <c r="L246" s="15">
        <f t="shared" si="64"/>
        <v>-0.38583748233647203</v>
      </c>
      <c r="M246" s="17">
        <f>IF(A251=A252,_xll.ciqfunctions.udf.CIQ(A243,"IQ_TOTAL_DEBT_ISSUED",IQ_FY-7), _xll.ciqfunctions.udf.CIQ(A243, "IQ_TOTAL_DEBT_ISSUED",IQ_FY-6))</f>
        <v>8.7999999999999995E-2</v>
      </c>
      <c r="N246" s="17">
        <f>IF(A251=A252,_xll.ciqfunctions.udf.CIQ(A243,"IQ_TOTAL_DEBT_REPAID",IQ_FY-7), _xll.ciqfunctions.udf.CIQ(A243, "IQ_TOTAL_DEBT_REPAID",IQ_FY-6))</f>
        <v>-0.50700000000000001</v>
      </c>
      <c r="O246" s="15">
        <f t="shared" si="65"/>
        <v>-5.5334715600692018E-3</v>
      </c>
      <c r="P246" s="15">
        <f t="shared" si="66"/>
        <v>-0.39137095389654125</v>
      </c>
      <c r="Q246" s="25" t="s">
        <v>23</v>
      </c>
      <c r="R246" s="38" t="s">
        <v>24</v>
      </c>
      <c r="S246" s="1" t="e">
        <f>R242/(AVERAGE(H248:H253)*(1+H254)/(0.5-H254))</f>
        <v>#DIV/0!</v>
      </c>
      <c r="U246" s="25" t="s">
        <v>40</v>
      </c>
      <c r="V246" s="38" t="s">
        <v>24</v>
      </c>
      <c r="W246" s="1" t="e">
        <f>V242/(AVERAGE(H248:H253)*(1+H254)/(0.5-H254))</f>
        <v>#DIV/0!</v>
      </c>
      <c r="Y246" s="25" t="s">
        <v>47</v>
      </c>
      <c r="Z246" s="38" t="s">
        <v>24</v>
      </c>
      <c r="AA246" s="1" t="e">
        <f>Z242/(AVERAGE(H248:H253)*(1+H254)/(0.5-H254))</f>
        <v>#DIV/0!</v>
      </c>
    </row>
    <row r="247" spans="1:27">
      <c r="B247" s="13">
        <v>5</v>
      </c>
      <c r="C247" s="14" t="s">
        <v>25</v>
      </c>
      <c r="D247" s="15" cm="1">
        <f t="array" ref="D247">_xlfn.SINGLE(IF(A251=A252,_xll.ciqfunctions.udf.CIQ(A243,"IQ_TOTAL_REV",IQ_FY-6)/I247, _xll.ciqfunctions.udf.CIQ(A243, "IQ_TOTAL_REV",IQ_FY-5)/I247))</f>
        <v>1.7052881818845975</v>
      </c>
      <c r="E247" s="16">
        <f t="shared" si="67"/>
        <v>0.52287538088339103</v>
      </c>
      <c r="F247" s="15">
        <f>IF(A251=A252,_xll.ciqfunctions.udf.CIQ(A243,"IQ_DILUT_EPS_EXCL",IQ_FY-6), _xll.ciqfunctions.udf.CIQ(A243, "IQ_DILUT_EPS_EXCL",IQ_FY-5))</f>
        <v>-0.13932</v>
      </c>
      <c r="G247" s="15">
        <f>IF(A251=A252,_xll.ciqfunctions.udf.CIQ(A243,"IQ_EBITDA_MARGIN",IQ_FY-6), _xll.ciqfunctions.udf.CIQ(A243, "IQ_EBITDA_MARGIN",IQ_FY-5))</f>
        <v>0.7278</v>
      </c>
      <c r="H247" s="15">
        <f>IF(A251=A252,_xll.ciqfunctions.udf.CIQ(A243,"IQ_TOTAL_DIV_PAID_CF",IQ_FY-6)/-I247, _xll.ciqfunctions.udf.CIQ(A243, "IQ_TOTAL_DIV_PAID_CF",IQ_FY-5)/-I247)</f>
        <v>0</v>
      </c>
      <c r="I247" s="17">
        <f>IF(A251=A252,_xll.ciqfunctions.udf.CIQ(A243,"IQ_TOTAL_OUTSTANDING_FILING_DATE",IQ_FY-6), _xll.ciqfunctions.udf.CIQ(A243, "IQ_TOTAL_OUTSTANDING_FILING_DATE",IQ_FY-5))</f>
        <v>79.115660000000005</v>
      </c>
      <c r="J247" s="17">
        <f>IF(A251=A252,_xll.ciqfunctions.udf.CIQ(A243,"IQ_CASH_OPER",IQ_FY-6), _xll.ciqfunctions.udf.CIQ(A243, "IQ_CASH_OPER",IQ_FY-5))</f>
        <v>3.1669999999999998</v>
      </c>
      <c r="K247" s="17">
        <f>IF(A251=A252,_xll.ciqfunctions.udf.CIQ(A243,"IQ_CAPEX",IQ_FY-6), _xll.ciqfunctions.udf.CIQ(A243, "IQ_CAPEX",IQ_FY-5))</f>
        <v>-19.030999999999999</v>
      </c>
      <c r="L247" s="15">
        <f t="shared" si="64"/>
        <v>-0.20051656018542977</v>
      </c>
      <c r="M247" s="17">
        <f>IF(A251=A252,_xll.ciqfunctions.udf.CIQ(A243,"IQ_TOTAL_DEBT_ISSUED",IQ_FY-6), _xll.ciqfunctions.udf.CIQ(A243, "IQ_TOTAL_DEBT_ISSUED",IQ_FY-5))</f>
        <v>2.202</v>
      </c>
      <c r="N247" s="17">
        <f>IF(A251=A252,_xll.ciqfunctions.udf.CIQ(A243,"IQ_TOTAL_DEBT_REPAID",IQ_FY-6), _xll.ciqfunctions.udf.CIQ(A243, "IQ_TOTAL_DEBT_REPAID",IQ_FY-5))</f>
        <v>-5.0949999999999998</v>
      </c>
      <c r="O247" s="15">
        <f t="shared" si="65"/>
        <v>-3.6566717638454885E-2</v>
      </c>
      <c r="P247" s="15">
        <f t="shared" si="66"/>
        <v>-0.23708327782388466</v>
      </c>
      <c r="Q247" s="18"/>
      <c r="R247" s="38" t="s">
        <v>50</v>
      </c>
      <c r="S247" s="3">
        <f>I254</f>
        <v>0.29683446670598923</v>
      </c>
      <c r="U247" s="18"/>
      <c r="V247" s="38" t="s">
        <v>50</v>
      </c>
      <c r="W247" s="3">
        <f>I254</f>
        <v>0.29683446670598923</v>
      </c>
      <c r="Y247" s="18"/>
      <c r="Z247" s="38" t="s">
        <v>50</v>
      </c>
      <c r="AA247" s="3">
        <f>I254</f>
        <v>0.29683446670598923</v>
      </c>
    </row>
    <row r="248" spans="1:27">
      <c r="B248" s="13">
        <v>6</v>
      </c>
      <c r="C248" s="14" t="s">
        <v>26</v>
      </c>
      <c r="D248" s="15" cm="1">
        <f t="array" ref="D248">_xlfn.SINGLE(IF(A251=A252,_xll.ciqfunctions.udf.CIQ(A243,"IQ_TOTAL_REV",IQ_FY-5)/I248, _xll.ciqfunctions.udf.CIQ(A243, "IQ_TOTAL_REV",IQ_FY-4)/I248))</f>
        <v>2.1047551381744647</v>
      </c>
      <c r="E248" s="16">
        <f t="shared" si="67"/>
        <v>0.23425187633001518</v>
      </c>
      <c r="F248" s="15">
        <f>IF(A251=A252,_xll.ciqfunctions.udf.CIQ(A243,"IQ_DILUT_EPS_EXCL",IQ_FY-5), _xll.ciqfunctions.udf.CIQ(A243, "IQ_DILUT_EPS_EXCL",IQ_FY-4))</f>
        <v>-1.0763499999999999</v>
      </c>
      <c r="G248" s="15">
        <f>IF(A251=A252,_xll.ciqfunctions.udf.CIQ(A243,"IQ_EBITDA_MARGIN",IQ_FY-5), _xll.ciqfunctions.udf.CIQ(A243, "IQ_EBITDA_MARGIN",IQ_FY-4))</f>
        <v>-36.223799999999997</v>
      </c>
      <c r="H248" s="15">
        <f>IF(A251=A252,_xll.ciqfunctions.udf.CIQ(A243,"IQ_TOTAL_DIV_PAID_CF",IQ_FY-5)/-I248, _xll.ciqfunctions.udf.CIQ(A243, "IQ_TOTAL_DIV_PAID_CF",IQ_FY-4)/-I248)</f>
        <v>0</v>
      </c>
      <c r="I248" s="17">
        <f>IF(A251=A252,_xll.ciqfunctions.udf.CIQ(A243,"IQ_TOTAL_OUTSTANDING_FILING_DATE",IQ_FY-5), _xll.ciqfunctions.udf.CIQ(A243, "IQ_TOTAL_OUTSTANDING_FILING_DATE",IQ_FY-4))</f>
        <v>91.542240000000007</v>
      </c>
      <c r="J248" s="17">
        <f>IF(A251=A252,_xll.ciqfunctions.udf.CIQ(A243,"IQ_CASH_OPER",IQ_FY-5), _xll.ciqfunctions.udf.CIQ(A243, "IQ_CASH_OPER",IQ_FY-4))</f>
        <v>-43.280999999999999</v>
      </c>
      <c r="K248" s="17">
        <f>IF(A251=A252,_xll.ciqfunctions.udf.CIQ(A243,"IQ_CAPEX",IQ_FY-5), _xll.ciqfunctions.udf.CIQ(A243, "IQ_CAPEX",IQ_FY-4))</f>
        <v>-25.466000000000001</v>
      </c>
      <c r="L248" s="15">
        <f t="shared" si="64"/>
        <v>-0.75098664834943951</v>
      </c>
      <c r="M248" s="17">
        <f>IF(A251=A252,_xll.ciqfunctions.udf.CIQ(A243,"IQ_TOTAL_DEBT_ISSUED",IQ_FY-5), _xll.ciqfunctions.udf.CIQ(A243, "IQ_TOTAL_DEBT_ISSUED",IQ_FY-4))</f>
        <v>0.13</v>
      </c>
      <c r="N248" s="17">
        <f>IF(A251=A252,_xll.ciqfunctions.udf.CIQ(A243,"IQ_TOTAL_DEBT_REPAID",IQ_FY-5), _xll.ciqfunctions.udf.CIQ(A243, "IQ_TOTAL_DEBT_REPAID",IQ_FY-4))</f>
        <v>-0.35599999999999998</v>
      </c>
      <c r="O248" s="15">
        <f t="shared" si="65"/>
        <v>-2.4688056573664787E-3</v>
      </c>
      <c r="P248" s="15">
        <f t="shared" si="66"/>
        <v>-0.75345545400680602</v>
      </c>
      <c r="Q248" s="25" t="s">
        <v>27</v>
      </c>
      <c r="R248" s="38" t="s">
        <v>51</v>
      </c>
      <c r="S248" s="4">
        <f>AVERAGE(F248:F253)/AVERAGE(D248:D253)</f>
        <v>-0.32492574237407817</v>
      </c>
      <c r="U248" s="25" t="s">
        <v>58</v>
      </c>
      <c r="V248" s="38" t="s">
        <v>51</v>
      </c>
      <c r="W248" s="4">
        <f>AVERAGE(F248:F253)/AVERAGE(D248:D253)</f>
        <v>-0.32492574237407817</v>
      </c>
      <c r="Y248" s="25" t="s">
        <v>56</v>
      </c>
      <c r="Z248" s="38" t="s">
        <v>51</v>
      </c>
      <c r="AA248" s="4">
        <f>AVERAGE(F248:F253)/AVERAGE(D248:D253)</f>
        <v>-0.32492574237407817</v>
      </c>
    </row>
    <row r="249" spans="1:27">
      <c r="A249" s="18"/>
      <c r="B249" s="13">
        <v>7</v>
      </c>
      <c r="C249" s="14" t="s">
        <v>28</v>
      </c>
      <c r="D249" s="15" cm="1">
        <f t="array" ref="D249">_xlfn.SINGLE(IF(A251=A252,_xll.ciqfunctions.udf.CIQ(A243,"IQ_TOTAL_REV",IQ_FY-4)/I249, _xll.ciqfunctions.udf.CIQ(A243, "IQ_TOTAL_REV",IQ_FY-3)/I249))</f>
        <v>0.94840710548974605</v>
      </c>
      <c r="E249" s="16">
        <f t="shared" si="67"/>
        <v>-0.54939789038247167</v>
      </c>
      <c r="F249" s="15">
        <f>IF(A251=A252,_xll.ciqfunctions.udf.CIQ(A243,"IQ_DILUT_EPS_EXCL",IQ_FY-4), _xll.ciqfunctions.udf.CIQ(A243, "IQ_DILUT_EPS_EXCL",IQ_FY-3))</f>
        <v>-0.72333000000000003</v>
      </c>
      <c r="G249" s="15">
        <f>IF(A251=A252,_xll.ciqfunctions.udf.CIQ(A243,"IQ_EBITDA_MARGIN",IQ_FY-4), _xll.ciqfunctions.udf.CIQ(A243, "IQ_EBITDA_MARGIN",IQ_FY-3))</f>
        <v>-29.7074</v>
      </c>
      <c r="H249" s="15">
        <f>IF(A251=A252,_xll.ciqfunctions.udf.CIQ(A243,"IQ_TOTAL_DIV_PAID_CF",IQ_FY-4)/-I249, _xll.ciqfunctions.udf.CIQ(A243, "IQ_TOTAL_DIV_PAID_CF",IQ_FY-3)/-I249)</f>
        <v>0</v>
      </c>
      <c r="I249" s="17">
        <f>IF(A251=A252,_xll.ciqfunctions.udf.CIQ(A243,"IQ_TOTAL_OUTSTANDING_FILING_DATE",IQ_FY-4), _xll.ciqfunctions.udf.CIQ(A243, "IQ_TOTAL_OUTSTANDING_FILING_DATE",IQ_FY-3))</f>
        <v>302.63585999999998</v>
      </c>
      <c r="J249" s="17">
        <f>IF(A251=A252,_xll.ciqfunctions.udf.CIQ(A243,"IQ_CASH_OPER",IQ_FY-4), _xll.ciqfunctions.udf.CIQ(A243, "IQ_CASH_OPER",IQ_FY-3))</f>
        <v>-38.917000000000002</v>
      </c>
      <c r="K249" s="17">
        <f>IF(A251=A252,_xll.ciqfunctions.udf.CIQ(A243,"IQ_CAPEX",IQ_FY-4), _xll.ciqfunctions.udf.CIQ(A243, "IQ_CAPEX",IQ_FY-3))</f>
        <v>-43.289000000000001</v>
      </c>
      <c r="L249" s="15">
        <f t="shared" si="64"/>
        <v>-0.27163337484196359</v>
      </c>
      <c r="M249" s="17">
        <f>IF(A251=A252,_xll.ciqfunctions.udf.CIQ(A243,"IQ_TOTAL_DEBT_ISSUED",IQ_FY-4), _xll.ciqfunctions.udf.CIQ(A243, "IQ_TOTAL_DEBT_ISSUED",IQ_FY-3))</f>
        <v>6.3E-2</v>
      </c>
      <c r="N249" s="17">
        <f>IF(A251=A252,_xll.ciqfunctions.udf.CIQ(A243,"IQ_TOTAL_DEBT_REPAID",IQ_FY-4), _xll.ciqfunctions.udf.CIQ(A243, "IQ_TOTAL_DEBT_REPAID",IQ_FY-3))</f>
        <v>-0.255</v>
      </c>
      <c r="O249" s="15">
        <f t="shared" si="65"/>
        <v>-6.3442580796604876E-4</v>
      </c>
      <c r="P249" s="15">
        <f t="shared" si="66"/>
        <v>-0.27226780064992961</v>
      </c>
      <c r="Q249" s="18"/>
      <c r="R249" s="38" t="s">
        <v>29</v>
      </c>
      <c r="S249" s="4">
        <f>(AVERAGE(P248:P253)/_xlfn.STDEV.P(P248:P253))/(IF(A251=A252,(_xlfn.SINGLE(_xll.ciqfunctions.udf.CIQ(A243,"IQ_total_assets",IQ_FY)) - _xlfn.SINGLE(_xll.ciqfunctions.udf.CIQ(A243,"iq_gw_intan", IQ_FY)))/I253, (_xlfn.SINGLE(_xll.ciqfunctions.udf.CIQ(A243, "IQ_total_assets",IQ_LTM))-_xlfn.SINGLE(_xll.ciqfunctions.udf.CIQ(A243,"iq_gw_intan",IQ_LTM)))/I253))</f>
        <v>5.5043991680290207E-2</v>
      </c>
      <c r="U249" s="18"/>
      <c r="V249" s="38" t="s">
        <v>29</v>
      </c>
      <c r="W249" s="4">
        <f>(AVERAGE(P248:P253)/_xlfn.STDEV.P(P248:P253))/(IF(A251=A252,(_xlfn.SINGLE(_xll.ciqfunctions.udf.CIQ(A243,"IQ_total_assets",IQ_FY)) - _xlfn.SINGLE(_xll.ciqfunctions.udf.CIQ(A243,"iq_gw_intan", IQ_FY)))/I253, (_xlfn.SINGLE(_xll.ciqfunctions.udf.CIQ(A243, "IQ_total_assets",IQ_LTM))-_xlfn.SINGLE(_xll.ciqfunctions.udf.CIQ(A243,"iq_gw_intan",IQ_LTM)))/I253))</f>
        <v>5.5043991680290207E-2</v>
      </c>
      <c r="Y249" s="18"/>
      <c r="Z249" s="38" t="s">
        <v>29</v>
      </c>
      <c r="AA249" s="4">
        <f>(AVERAGE(P248:P253)/_xlfn.STDEV.P(P248:P253))/(IF(A251=A252,(_xlfn.SINGLE(_xll.ciqfunctions.udf.CIQ(A243,"IQ_total_assets",IQ_FY)) - _xlfn.SINGLE(_xll.ciqfunctions.udf.CIQ(A243,"iq_gw_intan", IQ_FY)))/I253, (_xlfn.SINGLE(_xll.ciqfunctions.udf.CIQ(A243, "IQ_total_assets",IQ_LTM))-_xlfn.SINGLE(_xll.ciqfunctions.udf.CIQ(A243,"iq_gw_intan",IQ_LTM)))/I253))</f>
        <v>5.5043991680290207E-2</v>
      </c>
    </row>
    <row r="250" spans="1:27">
      <c r="A250" s="18"/>
      <c r="B250" s="13">
        <v>8</v>
      </c>
      <c r="C250" s="14" t="s">
        <v>30</v>
      </c>
      <c r="D250" s="15" cm="1">
        <f t="array" ref="D250">_xlfn.SINGLE(IF(A251=A252,_xll.ciqfunctions.udf.CIQ(A243,"IQ_TOTAL_REV",IQ_FY-3)/I250, _xll.ciqfunctions.udf.CIQ(A243, "IQ_TOTAL_REV",IQ_FY-2)/I250))</f>
        <v>1.3957999231799885</v>
      </c>
      <c r="E250" s="16">
        <f t="shared" si="67"/>
        <v>0.47173077373689026</v>
      </c>
      <c r="F250" s="15">
        <f>IF(A251=A252,_xll.ciqfunctions.udf.CIQ(A243,"IQ_DILUT_EPS_EXCL",IQ_FY-3), _xll.ciqfunctions.udf.CIQ(A243, "IQ_DILUT_EPS_EXCL",IQ_FY-2))</f>
        <v>-0.3982</v>
      </c>
      <c r="G250" s="15">
        <f>IF(A251=A252,_xll.ciqfunctions.udf.CIQ(A243,"IQ_EBITDA_MARGIN",IQ_FY-3), _xll.ciqfunctions.udf.CIQ(A243, "IQ_EBITDA_MARGIN",IQ_FY-2))</f>
        <v>-15.492699999999999</v>
      </c>
      <c r="H250" s="15">
        <f>IF(A251=A252,_xll.ciqfunctions.udf.CIQ(A243,"IQ_TOTAL_DIV_PAID_CF",IQ_FY-3)/-I250, _xll.ciqfunctions.udf.CIQ(A243, "IQ_TOTAL_DIV_PAID_CF",IQ_FY-2)/-I250)</f>
        <v>0</v>
      </c>
      <c r="I250" s="17">
        <f>IF(A251=A252,_xll.ciqfunctions.udf.CIQ(A243,"IQ_TOTAL_OUTSTANDING_FILING_DATE",IQ_FY-3), _xll.ciqfunctions.udf.CIQ(A243, "IQ_TOTAL_OUTSTANDING_FILING_DATE",IQ_FY-2))</f>
        <v>308.82578000000001</v>
      </c>
      <c r="J250" s="17">
        <f>IF(A251=A252,_xll.ciqfunctions.udf.CIQ(A243,"IQ_CASH_OPER",IQ_FY-3), _xll.ciqfunctions.udf.CIQ(A243, "IQ_CASH_OPER",IQ_FY-2))</f>
        <v>-17.129000000000001</v>
      </c>
      <c r="K250" s="17">
        <f>IF(A251=A252,_xll.ciqfunctions.udf.CIQ(A243,"IQ_CAPEX",IQ_FY-3), _xll.ciqfunctions.udf.CIQ(A243, "IQ_CAPEX",IQ_FY-2))</f>
        <v>-56.375</v>
      </c>
      <c r="L250" s="15">
        <f t="shared" si="64"/>
        <v>-0.23801121784586768</v>
      </c>
      <c r="M250" s="17">
        <f>IF(A251=A252,_xll.ciqfunctions.udf.CIQ(A243,"IQ_TOTAL_DEBT_ISSUED",IQ_FY-3), _xll.ciqfunctions.udf.CIQ(A243, "IQ_TOTAL_DEBT_ISSUED",IQ_FY-2))</f>
        <v>575</v>
      </c>
      <c r="N250" s="17">
        <f>IF(A251=A252,_xll.ciqfunctions.udf.CIQ(A243,"IQ_TOTAL_DEBT_REPAID",IQ_FY-3), _xll.ciqfunctions.udf.CIQ(A243, "IQ_TOTAL_DEBT_REPAID",IQ_FY-2))</f>
        <v>-0.2</v>
      </c>
      <c r="O250" s="15">
        <f t="shared" si="65"/>
        <v>1.8612435788229853</v>
      </c>
      <c r="P250" s="15">
        <f t="shared" si="66"/>
        <v>1.6232323609771175</v>
      </c>
      <c r="Q250" s="18"/>
      <c r="R250" s="39" t="s">
        <v>31</v>
      </c>
      <c r="S250" s="5" t="e">
        <f>IF(NOT(D243&gt;0),FALSE,SLOPE(G243:G253,B243:B253))</f>
        <v>#DIV/0!</v>
      </c>
      <c r="U250" s="18"/>
      <c r="V250" s="39" t="s">
        <v>31</v>
      </c>
      <c r="W250" s="5" t="e">
        <f>IF(NOT(D243&gt;0),FALSE,SLOPE(G243:G253,B243:B253))</f>
        <v>#DIV/0!</v>
      </c>
      <c r="Y250" s="18"/>
      <c r="Z250" s="39" t="s">
        <v>31</v>
      </c>
      <c r="AA250" s="5" t="e">
        <f>IF(NOT(L243&gt;0),FALSE,SLOPE(O243:O253,J243:J253))</f>
        <v>#DIV/0!</v>
      </c>
    </row>
    <row r="251" spans="1:27">
      <c r="A251" s="19">
        <f>_xll.ciqfunctions.udf.CIQ(A243,"IQ_TOTAL_REV",IQ_FY)</f>
        <v>975.24099999999999</v>
      </c>
      <c r="B251" s="13">
        <v>9</v>
      </c>
      <c r="C251" s="14" t="s">
        <v>32</v>
      </c>
      <c r="D251" s="15" cm="1">
        <f t="array" ref="D251">_xlfn.SINGLE(IF(A251=A252,_xll.ciqfunctions.udf.CIQ(A243,"IQ_TOTAL_REV",IQ_FY-2)/I251, _xll.ciqfunctions.udf.CIQ(A243, "IQ_TOTAL_REV",IQ_FY-1)/I251))</f>
        <v>2.0255286732096924</v>
      </c>
      <c r="E251" s="16">
        <f t="shared" si="67"/>
        <v>0.4511597540391184</v>
      </c>
      <c r="F251" s="15">
        <f>IF(A251=A252,_xll.ciqfunctions.udf.CIQ(A243,"IQ_DILUT_EPS_EXCL",IQ_FY-2), _xll.ciqfunctions.udf.CIQ(A243, "IQ_DILUT_EPS_EXCL",IQ_FY-1))</f>
        <v>-0.83347000000000004</v>
      </c>
      <c r="G251" s="15">
        <f>IF(A251=A252,_xll.ciqfunctions.udf.CIQ(A243,"IQ_EBITDA_MARGIN",IQ_FY-2), _xll.ciqfunctions.udf.CIQ(A243, "IQ_EBITDA_MARGIN",IQ_FY-1))</f>
        <v>-12.4222</v>
      </c>
      <c r="H251" s="15">
        <f>IF(A251=A252,_xll.ciqfunctions.udf.CIQ(A243,"IQ_TOTAL_DIV_PAID_CF",IQ_FY-2)/-I251, _xll.ciqfunctions.udf.CIQ(A243, "IQ_TOTAL_DIV_PAID_CF",IQ_FY-1)/-I251)</f>
        <v>0</v>
      </c>
      <c r="I251" s="17">
        <f>IF(A251=A252,_xll.ciqfunctions.udf.CIQ(A243,"IQ_TOTAL_OUTSTANDING_FILING_DATE",IQ_FY-2), _xll.ciqfunctions.udf.CIQ(A243, "IQ_TOTAL_OUTSTANDING_FILING_DATE",IQ_FY-1))</f>
        <v>324.07637999999997</v>
      </c>
      <c r="J251" s="17">
        <f>IF(A251=A252,_xll.ciqfunctions.udf.CIQ(A243,"IQ_CASH_OPER",IQ_FY-2), _xll.ciqfunctions.udf.CIQ(A243, "IQ_CASH_OPER",IQ_FY-1))</f>
        <v>64.647999999999996</v>
      </c>
      <c r="K251" s="17">
        <f>IF(A251=A252,_xll.ciqfunctions.udf.CIQ(A243,"IQ_CAPEX",IQ_FY-2), _xll.ciqfunctions.udf.CIQ(A243, "IQ_CAPEX",IQ_FY-1))</f>
        <v>-92.986000000000004</v>
      </c>
      <c r="L251" s="15">
        <f t="shared" si="64"/>
        <v>-8.7442349238781331E-2</v>
      </c>
      <c r="M251" s="17">
        <f>IF(A251=A252,_xll.ciqfunctions.udf.CIQ(A243,"IQ_TOTAL_DEBT_ISSUED",IQ_FY-2), _xll.ciqfunctions.udf.CIQ(A243, "IQ_TOTAL_DEBT_ISSUED",IQ_FY-1))</f>
        <v>1293.75</v>
      </c>
      <c r="N251" s="17">
        <f>IF(A251=A252,_xll.ciqfunctions.udf.CIQ(A243,"IQ_TOTAL_DEBT_REPAID",IQ_FY-2), _xll.ciqfunctions.udf.CIQ(A243, "IQ_TOTAL_DEBT_REPAID",IQ_FY-1))</f>
        <v>-370.64699999999999</v>
      </c>
      <c r="O251" s="15">
        <f t="shared" si="65"/>
        <v>2.8484118466146779</v>
      </c>
      <c r="P251" s="15">
        <f t="shared" si="66"/>
        <v>2.7609694973758967</v>
      </c>
      <c r="Q251" s="25" t="s">
        <v>33</v>
      </c>
      <c r="R251" s="38" t="s">
        <v>52</v>
      </c>
      <c r="S251" s="4">
        <f>(AVERAGE(O248:O253)/AVERAGE(P248:P253))</f>
        <v>1.3474649319364449</v>
      </c>
      <c r="U251" s="25" t="s">
        <v>54</v>
      </c>
      <c r="V251" s="38" t="s">
        <v>52</v>
      </c>
      <c r="W251" s="4">
        <f>(AVERAGE(O248:O253)/AVERAGE(P248:P253))</f>
        <v>1.3474649319364449</v>
      </c>
      <c r="Y251" s="25" t="s">
        <v>60</v>
      </c>
      <c r="Z251" s="38" t="s">
        <v>52</v>
      </c>
      <c r="AA251" s="4">
        <f>(AVERAGE(O248:O253)/AVERAGE(P248:P253))</f>
        <v>1.3474649319364449</v>
      </c>
    </row>
    <row r="252" spans="1:27">
      <c r="A252" s="19">
        <f>_xll.ciqfunctions.udf.CIQ(A243,"IQ_TOTAL_REV",IQ_LTM)</f>
        <v>1208.972</v>
      </c>
      <c r="B252" s="13">
        <v>10</v>
      </c>
      <c r="C252" s="14" t="s">
        <v>34</v>
      </c>
      <c r="D252" s="15" cm="1">
        <f t="array" ref="D252">_xlfn.SINGLE(IF(A251=A252,_xll.ciqfunctions.udf.CIQ(A243,"IQ_TOTAL_REV",IQ_FY-1)/I252, _xll.ciqfunctions.udf.CIQ(A243, "IQ_TOTAL_REV",IQ_FY)/I252))</f>
        <v>2.9523712505258084</v>
      </c>
      <c r="E252" s="16">
        <f t="shared" si="67"/>
        <v>0.45758057616011089</v>
      </c>
      <c r="F252" s="15">
        <f>IF(A251=A252,_xll.ciqfunctions.udf.CIQ(A243,"IQ_DILUT_EPS_EXCL",IQ_FY-1), _xll.ciqfunctions.udf.CIQ(A243, "IQ_DILUT_EPS_EXCL",IQ_FY))</f>
        <v>-0.59258999999999995</v>
      </c>
      <c r="G252" s="15">
        <f>IF(A251=A252,_xll.ciqfunctions.udf.CIQ(A243,"IQ_EBITDA_MARGIN",IQ_FY-1), _xll.ciqfunctions.udf.CIQ(A243, "IQ_EBITDA_MARGIN",IQ_FY))</f>
        <v>-11.8043</v>
      </c>
      <c r="H252" s="15">
        <f>IF(A251=A252,_xll.ciqfunctions.udf.CIQ(A243,"IQ_TOTAL_DIV_PAID_CF",IQ_FY-1)/-I252, _xll.ciqfunctions.udf.CIQ(A243, "IQ_TOTAL_DIV_PAID_CF",IQ_FY)/-I252)</f>
        <v>0</v>
      </c>
      <c r="I252" s="17">
        <f>IF(A251=A252,_xll.ciqfunctions.udf.CIQ(A243,"IQ_TOTAL_OUTSTANDING_FILING_DATE",IQ_FY-1), _xll.ciqfunctions.udf.CIQ(A243, "IQ_TOTAL_OUTSTANDING_FILING_DATE",IQ_FY))</f>
        <v>330.32465000000002</v>
      </c>
      <c r="J252" s="17">
        <f>IF(A251=A252,_xll.ciqfunctions.udf.CIQ(A243,"IQ_CASH_OPER",IQ_FY-1), _xll.ciqfunctions.udf.CIQ(A243, "IQ_CASH_OPER",IQ_FY))</f>
        <v>123.595</v>
      </c>
      <c r="K252" s="17">
        <f>IF(A251=A252,_xll.ciqfunctions.udf.CIQ(A243,"IQ_CAPEX",IQ_FY-1), _xll.ciqfunctions.udf.CIQ(A243, "IQ_CAPEX",IQ_FY))</f>
        <v>-143.60599999999999</v>
      </c>
      <c r="L252" s="15">
        <f t="shared" si="64"/>
        <v>-6.0579796270123935E-2</v>
      </c>
      <c r="M252" s="17">
        <f>IF(A251=A252,_xll.ciqfunctions.udf.CIQ(A243,"IQ_TOTAL_DEBT_ISSUED",IQ_FY-1), _xll.ciqfunctions.udf.CIQ(A243, "IQ_TOTAL_DEBT_ISSUED",IQ_FY))</f>
        <v>0</v>
      </c>
      <c r="N252" s="17">
        <f>IF(A251=A252,_xll.ciqfunctions.udf.CIQ(A243,"IQ_TOTAL_DEBT_REPAID",IQ_FY-1), _xll.ciqfunctions.udf.CIQ(A243, "IQ_TOTAL_DEBT_REPAID",IQ_FY))</f>
        <v>-16.571000000000002</v>
      </c>
      <c r="O252" s="15">
        <f t="shared" si="65"/>
        <v>-5.0165799010155616E-2</v>
      </c>
      <c r="P252" s="15">
        <f t="shared" si="66"/>
        <v>-0.11074559528027955</v>
      </c>
      <c r="Q252" s="25" t="s">
        <v>44</v>
      </c>
      <c r="R252" s="38" t="s">
        <v>35</v>
      </c>
      <c r="S252" s="1" t="str">
        <f>_xll.ciqfunctions.udf.CIQ(A243,"IQ_TEV_EBITDA")</f>
        <v>NM</v>
      </c>
      <c r="U252" s="25" t="s">
        <v>55</v>
      </c>
      <c r="V252" s="38" t="s">
        <v>53</v>
      </c>
      <c r="W252" s="1">
        <f>V242/(AVERAGE(D248:D253)/_xlfn.STDEV.P(E248:E253))</f>
        <v>12.307932578654023</v>
      </c>
      <c r="Y252" s="25" t="s">
        <v>57</v>
      </c>
      <c r="Z252" s="38" t="s">
        <v>53</v>
      </c>
      <c r="AA252" s="1">
        <f>Z242/(AVERAGE(D248:D253)/_xlfn.STDEV.P(E248:E253))</f>
        <v>12.307932578654023</v>
      </c>
    </row>
    <row r="253" spans="1:27">
      <c r="B253" s="13">
        <v>11</v>
      </c>
      <c r="C253" s="20" t="s">
        <v>36</v>
      </c>
      <c r="D253" s="21" cm="1">
        <f t="array" ref="D253">_xlfn.SINGLE(IF(A251=A252,_xll.ciqfunctions.udf.CIQ(A243,"IQ_TOTAL_REV",IQ_FY)/I253, _xll.ciqfunctions.udf.CIQ(A243, "IQ_TOTAL_REV",IQ_LTM)/I253))</f>
        <v>3.6005760221159706</v>
      </c>
      <c r="E253" s="22">
        <f t="shared" si="67"/>
        <v>0.21955395056591168</v>
      </c>
      <c r="F253" s="21">
        <f>IF(A251=A252,_xll.ciqfunctions.udf.CIQ(A243,"IQ_DILUT_EPS_EXCL",IQ_FY), _xll.ciqfunctions.udf.CIQ(A243, "IQ_DILUT_EPS_EXCL",IQ_LTM))</f>
        <v>-0.60901000000000005</v>
      </c>
      <c r="G253" s="21">
        <f>IF(A251=A252,_xll.ciqfunctions.udf.CIQ(A243,"IQ_EBITDA_MARGIN",IQ_FY), _xll.ciqfunctions.udf.CIQ(A243, "IQ_EBITDA_MARGIN",IQ_LTM))</f>
        <v>-6.76</v>
      </c>
      <c r="H253" s="21">
        <f>IF(A251=A252,_xll.ciqfunctions.udf.CIQ(A243,"IQ_TOTAL_DIV_PAID_CF",IQ_FY)/-I253, _xll.ciqfunctions.udf.CIQ(A243, "IQ_TOTAL_DIV_PAID_CF",IQ_LTM)/-I253)</f>
        <v>0</v>
      </c>
      <c r="I253" s="23">
        <f>IF(A251=A252,_xll.ciqfunctions.udf.CIQ(A243,"IQ_TOTAL_OUTSTANDING_FILING_DATE",IQ_FY),_xll.ciqfunctions.udf.CIQ(A243,"IQ_sharesoutstanding"))</f>
        <v>335.77183000000002</v>
      </c>
      <c r="J253" s="23">
        <f>IF(A251=A252,_xll.ciqfunctions.udf.CIQ(A243,"IQ_CASH_OPER",IQ_FY), _xll.ciqfunctions.udf.CIQ(A243, "IQ_CASH_OPER",IQ_LTM))</f>
        <v>247.08799999999999</v>
      </c>
      <c r="K253" s="23">
        <f>IF(A251=A252,_xll.ciqfunctions.udf.CIQ(A243,"IQ_CAPEX",IQ_FY), _xll.ciqfunctions.udf.CIQ(A243, "IQ_CAPEX",IQ_LTM))</f>
        <v>-123.72499999999999</v>
      </c>
      <c r="L253" s="21">
        <f t="shared" si="64"/>
        <v>0.36740127961300384</v>
      </c>
      <c r="M253" s="23">
        <f>IF(A251=A252,_xll.ciqfunctions.udf.CIQ(A243,"IQ_TOTAL_DEBT_ISSUED",IQ_FY), _xll.ciqfunctions.udf.CIQ(A243, "IQ_TOTAL_DEBT_ISSUED",IQ_LTM))</f>
        <v>0</v>
      </c>
      <c r="N253" s="23">
        <f>IF(A251=A252,_xll.ciqfunctions.udf.CIQ(A243,"IQ_TOTAL_DEBT_REPAID",IQ_FY), _xll.ciqfunctions.udf.CIQ(A243, "IQ_TOTAL_DEBT_REPAID",IQ_LTM))</f>
        <v>-207.649</v>
      </c>
      <c r="O253" s="21">
        <f t="shared" si="65"/>
        <v>-0.61842293321628561</v>
      </c>
      <c r="P253" s="21">
        <f t="shared" si="66"/>
        <v>-0.25102165360328177</v>
      </c>
      <c r="Q253" s="25" t="s">
        <v>45</v>
      </c>
      <c r="S253" s="45"/>
      <c r="U253" s="25"/>
      <c r="W253" s="45"/>
      <c r="Y253" s="25"/>
      <c r="AA253" s="45"/>
    </row>
    <row r="254" spans="1:27">
      <c r="B254" s="24"/>
      <c r="C254" s="25" t="s">
        <v>37</v>
      </c>
      <c r="E254" s="26">
        <f>((D253/D248)^(1/5))-1</f>
        <v>0.11335607022420824</v>
      </c>
      <c r="F254" s="27">
        <f>((F253/F248)^(1/5))-1</f>
        <v>-0.10765214972273696</v>
      </c>
      <c r="G254" s="28"/>
      <c r="H254" s="27" t="e">
        <f>((H253/H248)^(1/5))-1</f>
        <v>#DIV/0!</v>
      </c>
      <c r="I254" s="27">
        <f>((I253/I248)^(1/5))-1</f>
        <v>0.29683446670598923</v>
      </c>
      <c r="J254" s="27"/>
      <c r="K254" s="27"/>
      <c r="L254" s="26">
        <f>((L253/L248)^(1/5))-1</f>
        <v>-1.8667656457826802</v>
      </c>
      <c r="M254" s="26"/>
      <c r="N254" s="26"/>
      <c r="O254" s="26"/>
      <c r="P254" s="26">
        <f>((P253/P248)^(1/5))-1</f>
        <v>-0.19734166283417176</v>
      </c>
      <c r="Q254" s="18"/>
      <c r="R254" s="36"/>
      <c r="S254" s="45"/>
      <c r="U254" s="18"/>
      <c r="V254" s="36"/>
      <c r="W254" s="45"/>
      <c r="Y254" s="18"/>
      <c r="Z254" s="36"/>
      <c r="AA254" s="45"/>
    </row>
    <row r="255" spans="1:27">
      <c r="A255" s="29"/>
      <c r="B255" s="30"/>
      <c r="C255" s="31" t="s">
        <v>38</v>
      </c>
      <c r="D255" s="29"/>
      <c r="E255" s="32" t="e">
        <f>((D253/D243)^(1/10))-1</f>
        <v>#DIV/0!</v>
      </c>
      <c r="F255" s="33" t="e">
        <f>((F253/F243)^(1/10))-1</f>
        <v>#DIV/0!</v>
      </c>
      <c r="G255" s="34"/>
      <c r="H255" s="33" t="e">
        <f>((H253/H243)^(1/10))-1</f>
        <v>#DIV/0!</v>
      </c>
      <c r="I255" s="33" t="e">
        <f>((I253/I243)^(1/10))-1</f>
        <v>#DIV/0!</v>
      </c>
      <c r="J255" s="33"/>
      <c r="K255" s="33"/>
      <c r="L255" s="32" t="e">
        <f>((L253/L243)^(1/10))-1</f>
        <v>#DIV/0!</v>
      </c>
      <c r="M255" s="32"/>
      <c r="N255" s="32"/>
      <c r="O255" s="32"/>
      <c r="P255" s="32" t="e">
        <f>((P253/P243)^(1/10))-1</f>
        <v>#DIV/0!</v>
      </c>
      <c r="Q255" s="40"/>
      <c r="R255" s="41"/>
      <c r="S255" s="46"/>
      <c r="U255" s="40"/>
      <c r="V255" s="41"/>
      <c r="W255" s="46"/>
      <c r="Y255" s="40"/>
      <c r="Z255" s="41"/>
      <c r="AA255" s="46"/>
    </row>
    <row r="256" spans="1:27">
      <c r="B256" s="24"/>
      <c r="C256" s="25"/>
      <c r="E256" s="26"/>
      <c r="F256" s="27"/>
      <c r="G256" s="28"/>
      <c r="H256" s="27"/>
      <c r="I256" s="27"/>
      <c r="J256" s="27"/>
      <c r="K256" s="27"/>
      <c r="L256" s="26"/>
      <c r="M256" s="17"/>
      <c r="N256" s="17"/>
      <c r="O256" s="17"/>
      <c r="P256" s="35"/>
      <c r="Q256" s="18"/>
      <c r="R256" s="36"/>
    </row>
    <row r="257" spans="1:27">
      <c r="A257" s="9" t="s">
        <v>0</v>
      </c>
      <c r="B257" s="10"/>
      <c r="C257" s="9" t="s">
        <v>1</v>
      </c>
      <c r="D257" s="9" t="s">
        <v>2</v>
      </c>
      <c r="E257" s="9" t="s">
        <v>3</v>
      </c>
      <c r="F257" s="11" t="s">
        <v>4</v>
      </c>
      <c r="G257" s="11" t="s">
        <v>5</v>
      </c>
      <c r="H257" s="9" t="s">
        <v>6</v>
      </c>
      <c r="I257" s="11" t="s">
        <v>7</v>
      </c>
      <c r="J257" s="11" t="s">
        <v>8</v>
      </c>
      <c r="K257" s="11" t="s">
        <v>9</v>
      </c>
      <c r="L257" s="11" t="s">
        <v>10</v>
      </c>
      <c r="M257" s="11" t="s">
        <v>11</v>
      </c>
      <c r="N257" s="11" t="s">
        <v>12</v>
      </c>
      <c r="O257" s="11" t="s">
        <v>13</v>
      </c>
      <c r="P257" s="11" t="s">
        <v>14</v>
      </c>
      <c r="Q257" s="37" t="s">
        <v>15</v>
      </c>
      <c r="R257" s="42">
        <f>_xll.ciqfunctions.udf.CIQ(A258,("IQ_LASTSALEPRICE"))</f>
        <v>965.99</v>
      </c>
      <c r="S257" s="44"/>
      <c r="U257" s="37" t="s">
        <v>15</v>
      </c>
      <c r="V257" s="42">
        <f>_xll.ciqfunctions.udf.CIQ(A258,("IQ_LASTSALEPRICE"))</f>
        <v>965.99</v>
      </c>
      <c r="W257" s="44"/>
      <c r="Y257" s="37" t="s">
        <v>15</v>
      </c>
      <c r="Z257" s="42">
        <f>_xll.ciqfunctions.udf.CIQ(A258,("IQ_LASTSALEPRICE"))</f>
        <v>965.99</v>
      </c>
      <c r="AA257" s="44"/>
    </row>
    <row r="258" spans="1:27">
      <c r="A258" s="12" t="str">
        <f>Analysis!B19</f>
        <v>NasdaqGS:AVGO</v>
      </c>
      <c r="B258" s="13">
        <v>1</v>
      </c>
      <c r="C258" s="14" t="s">
        <v>16</v>
      </c>
      <c r="D258" s="15">
        <f>IF(A266=A267,_xll.ciqfunctions.udf.CIQ(A258,"IQ_TOTAL_REV",IQ_FY-10)/I258,_xll.ciqfunctions.udf.CIQ(A258, "IQ_TOTAL_REV",IQ_FY-9)/I258)</f>
        <v>10.124164846794468</v>
      </c>
      <c r="E258" s="16"/>
      <c r="F258" s="15">
        <f>IF(A266=A267,_xll.ciqfunctions.udf.CIQ(A258,"IQ_DILUT_EPS_EXCL",IQ_FY-10), _xll.ciqfunctions.udf.CIQ(A258, "IQ_DILUT_EPS_EXCL",IQ_FY-9))</f>
        <v>2.19</v>
      </c>
      <c r="G258" s="15">
        <f>IF(A266=A267,_xll.ciqfunctions.udf.CIQ(A258,"IQ_EBITDA_MARGIN",IQ_FY-10), _xll.ciqfunctions.udf.CIQ(A258, "IQ_EBITDA_MARGIN",IQ_FY-9))</f>
        <v>30.357099999999999</v>
      </c>
      <c r="H258" s="15">
        <f>IF(A266=A267,_xll.ciqfunctions.udf.CIQ(A258,"IQ_TOTAL_DIV_PAID_CF",IQ_FY-10)/-I258, _xll.ciqfunctions.udf.CIQ(A258, "IQ_TOTAL_DIV_PAID_CF",IQ_FY-9)/-I258)</f>
        <v>0.79547009510527966</v>
      </c>
      <c r="I258" s="17">
        <f>IF(A266=A267,_xll.ciqfunctions.udf.CIQ(A258,"IQ_TOTAL_OUTSTANDING_FILING_DATE",IQ_FY-10), _xll.ciqfunctions.udf.CIQ(A258, "IQ_TOTAL_OUTSTANDING_FILING_DATE",IQ_FY-9))</f>
        <v>248.90942000000001</v>
      </c>
      <c r="J258" s="17">
        <f>IF(A266=A267,_xll.ciqfunctions.udf.CIQ(A258,"IQ_CASH_OPER",IQ_FY-10), _xll.ciqfunctions.udf.CIQ(A258, "IQ_CASH_OPER",IQ_FY-9))</f>
        <v>722</v>
      </c>
      <c r="K258" s="17">
        <f>IF(A266=A267,_xll.ciqfunctions.udf.CIQ(A258,"IQ_CAPEX",IQ_FY-10), _xll.ciqfunctions.udf.CIQ(A258, "IQ_CAPEX",IQ_FY-9))</f>
        <v>-236</v>
      </c>
      <c r="L258" s="15">
        <f t="shared" ref="L258:L268" si="68">(J258+K258)/I258</f>
        <v>1.9525175061675046</v>
      </c>
      <c r="M258" s="17">
        <f>IF(A266=A267,_xll.ciqfunctions.udf.CIQ(A258,"IQ_TOTAL_DEBT_ISSUED",IQ_FY-10), _xll.ciqfunctions.udf.CIQ(A258, "IQ_TOTAL_DEBT_ISSUED",IQ_FY-9))</f>
        <v>0</v>
      </c>
      <c r="N258" s="17">
        <f>IF(A266=A267,_xll.ciqfunctions.udf.CIQ(A258,"IQ_TOTAL_DEBT_REPAID",IQ_FY-10), _xll.ciqfunctions.udf.CIQ(A258, "IQ_TOTAL_DEBT_REPAID",IQ_FY-9))</f>
        <v>0</v>
      </c>
      <c r="O258" s="15">
        <f t="shared" ref="O258:O268" si="69">(M258+N258)/I258</f>
        <v>0</v>
      </c>
      <c r="P258" s="15">
        <f t="shared" ref="P258:P268" si="70">L258+O258</f>
        <v>1.9525175061675046</v>
      </c>
      <c r="W258" s="43"/>
      <c r="AA258" s="43"/>
    </row>
    <row r="259" spans="1:27">
      <c r="A259" s="18" t="str">
        <f>_xll.ciqfunctions.udf.CIQ(A258,"IQ_COMPANY_NAME")</f>
        <v>Broadcom Inc.</v>
      </c>
      <c r="B259" s="13">
        <v>2</v>
      </c>
      <c r="C259" s="14" t="s">
        <v>17</v>
      </c>
      <c r="D259" s="15">
        <f>IF(A266=A267,_xll.ciqfunctions.udf.CIQ(A258,"IQ_TOTAL_REV",IQ_FY-9)/I259, _xll.ciqfunctions.udf.CIQ(A258, "IQ_TOTAL_REV",IQ_FY-8)/I259)</f>
        <v>16.719439232593015</v>
      </c>
      <c r="E259" s="16">
        <f t="shared" ref="E259:E268" si="71">(D259-D258)/D258</f>
        <v>0.65143885798014789</v>
      </c>
      <c r="F259" s="15">
        <f>IF(A266=A267,_xll.ciqfunctions.udf.CIQ(A258,"IQ_DILUT_EPS_EXCL",IQ_FY-9), _xll.ciqfunctions.udf.CIQ(A258, "IQ_DILUT_EPS_EXCL",IQ_FY-8))</f>
        <v>1.1599999999999999</v>
      </c>
      <c r="G259" s="15">
        <f>IF(A266=A267,_xll.ciqfunctions.udf.CIQ(A258,"IQ_EBITDA_MARGIN",IQ_FY-9), _xll.ciqfunctions.udf.CIQ(A258, "IQ_EBITDA_MARGIN",IQ_FY-8))</f>
        <v>35.347799999999999</v>
      </c>
      <c r="H259" s="15">
        <f>IF(A266=A267,_xll.ciqfunctions.udf.CIQ(A258,"IQ_TOTAL_DIV_PAID_CF",IQ_FY-9)/-I259, _xll.ciqfunctions.udf.CIQ(A258, "IQ_TOTAL_DIV_PAID_CF",IQ_FY-8)/-I259)</f>
        <v>1.1122793961247168</v>
      </c>
      <c r="I259" s="17">
        <f>IF(A266=A267,_xll.ciqfunctions.udf.CIQ(A258,"IQ_TOTAL_OUTSTANDING_FILING_DATE",IQ_FY-9), _xll.ciqfunctions.udf.CIQ(A258, "IQ_TOTAL_OUTSTANDING_FILING_DATE",IQ_FY-8))</f>
        <v>255.33152999999999</v>
      </c>
      <c r="J259" s="17">
        <f>IF(A266=A267,_xll.ciqfunctions.udf.CIQ(A258,"IQ_CASH_OPER",IQ_FY-9), _xll.ciqfunctions.udf.CIQ(A258, "IQ_CASH_OPER",IQ_FY-8))</f>
        <v>1175</v>
      </c>
      <c r="K259" s="17">
        <f>IF(A266=A267,_xll.ciqfunctions.udf.CIQ(A258,"IQ_CAPEX",IQ_FY-9), _xll.ciqfunctions.udf.CIQ(A258, "IQ_CAPEX",IQ_FY-8))</f>
        <v>-409</v>
      </c>
      <c r="L259" s="15">
        <f t="shared" si="68"/>
        <v>3.0000211881392009</v>
      </c>
      <c r="M259" s="17">
        <f>IF(A266=A267,_xll.ciqfunctions.udf.CIQ(A258,"IQ_TOTAL_DEBT_ISSUED",IQ_FY-9), _xll.ciqfunctions.udf.CIQ(A258, "IQ_TOTAL_DEBT_ISSUED",IQ_FY-8))</f>
        <v>5600</v>
      </c>
      <c r="N259" s="17">
        <f>IF(A266=A267,_xll.ciqfunctions.udf.CIQ(A258,"IQ_TOTAL_DEBT_REPAID",IQ_FY-9), _xll.ciqfunctions.udf.CIQ(A258, "IQ_TOTAL_DEBT_REPAID",IQ_FY-8))</f>
        <v>-12</v>
      </c>
      <c r="O259" s="15">
        <f t="shared" si="69"/>
        <v>21.885272061777879</v>
      </c>
      <c r="P259" s="15">
        <f t="shared" si="70"/>
        <v>24.88529324991708</v>
      </c>
      <c r="Q259" s="25" t="s">
        <v>18</v>
      </c>
      <c r="R259" s="39" t="s">
        <v>19</v>
      </c>
      <c r="S259" s="1">
        <f>R257/((AVERAGE(P263:P268))*(1+E269)^3)</f>
        <v>18.493270859893784</v>
      </c>
      <c r="U259" s="25" t="s">
        <v>48</v>
      </c>
      <c r="V259" s="39" t="s">
        <v>19</v>
      </c>
      <c r="W259" s="1">
        <f>V257/((AVERAGE(P263:P268))*(1+E269)^3)</f>
        <v>18.493270859893784</v>
      </c>
      <c r="Y259" s="25" t="s">
        <v>39</v>
      </c>
      <c r="Z259" s="39" t="s">
        <v>19</v>
      </c>
      <c r="AA259" s="1">
        <f>Z257/((AVERAGE(P263:P268))*(1+E269)^3)</f>
        <v>18.493270859893784</v>
      </c>
    </row>
    <row r="260" spans="1:27">
      <c r="B260" s="13">
        <v>3</v>
      </c>
      <c r="C260" s="14" t="s">
        <v>20</v>
      </c>
      <c r="D260" s="15" cm="1">
        <f t="array" ref="D260">_xlfn.SINGLE(IF(A266=A267,_xll.ciqfunctions.udf.CIQ(A258,"IQ_TOTAL_REV",IQ_FY-8)/I260, _xll.ciqfunctions.udf.CIQ(A258, "IQ_TOTAL_REV",IQ_FY-7)/I260))</f>
        <v>24.680857774097671</v>
      </c>
      <c r="E260" s="16">
        <f t="shared" si="71"/>
        <v>0.47617736640261238</v>
      </c>
      <c r="F260" s="15">
        <f>IF(A266=A267,_xll.ciqfunctions.udf.CIQ(A258,"IQ_DILUT_EPS_EXCL",IQ_FY-8), _xll.ciqfunctions.udf.CIQ(A258, "IQ_DILUT_EPS_EXCL",IQ_FY-7))</f>
        <v>4.95</v>
      </c>
      <c r="G260" s="15">
        <f>IF(A266=A267,_xll.ciqfunctions.udf.CIQ(A258,"IQ_EBITDA_MARGIN",IQ_FY-8), _xll.ciqfunctions.udf.CIQ(A258, "IQ_EBITDA_MARGIN",IQ_FY-7))</f>
        <v>41.647100000000002</v>
      </c>
      <c r="H260" s="15">
        <f>IF(A266=A267,_xll.ciqfunctions.udf.CIQ(A258,"IQ_TOTAL_DIV_PAID_CF",IQ_FY-8)/-I260, _xll.ciqfunctions.udf.CIQ(A258, "IQ_TOTAL_DIV_PAID_CF",IQ_FY-7)/-I260)</f>
        <v>1.4756433135744211</v>
      </c>
      <c r="I260" s="17">
        <f>IF(A266=A267,_xll.ciqfunctions.udf.CIQ(A258,"IQ_TOTAL_OUTSTANDING_FILING_DATE",IQ_FY-8), _xll.ciqfunctions.udf.CIQ(A258, "IQ_TOTAL_OUTSTANDING_FILING_DATE",IQ_FY-7))</f>
        <v>276.48957999999999</v>
      </c>
      <c r="J260" s="17">
        <f>IF(A266=A267,_xll.ciqfunctions.udf.CIQ(A258,"IQ_CASH_OPER",IQ_FY-8), _xll.ciqfunctions.udf.CIQ(A258, "IQ_CASH_OPER",IQ_FY-7))</f>
        <v>2318</v>
      </c>
      <c r="K260" s="17">
        <f>IF(A266=A267,_xll.ciqfunctions.udf.CIQ(A258,"IQ_CAPEX",IQ_FY-8), _xll.ciqfunctions.udf.CIQ(A258, "IQ_CAPEX",IQ_FY-7))</f>
        <v>-593</v>
      </c>
      <c r="L260" s="15">
        <f t="shared" si="68"/>
        <v>6.2389331272447954</v>
      </c>
      <c r="M260" s="17">
        <f>IF(A266=A267,_xll.ciqfunctions.udf.CIQ(A258,"IQ_TOTAL_DEBT_ISSUED",IQ_FY-8), _xll.ciqfunctions.udf.CIQ(A258, "IQ_TOTAL_DEBT_ISSUED",IQ_FY-7))</f>
        <v>0</v>
      </c>
      <c r="N260" s="17">
        <f>IF(A266=A267,_xll.ciqfunctions.udf.CIQ(A258,"IQ_TOTAL_DEBT_REPAID",IQ_FY-8), _xll.ciqfunctions.udf.CIQ(A258, "IQ_TOTAL_DEBT_REPAID",IQ_FY-7))</f>
        <v>-1817</v>
      </c>
      <c r="O260" s="15">
        <f t="shared" si="69"/>
        <v>-6.5716762273645175</v>
      </c>
      <c r="P260" s="15">
        <f t="shared" si="70"/>
        <v>-0.33274310011972208</v>
      </c>
      <c r="Q260" s="25" t="s">
        <v>21</v>
      </c>
      <c r="R260" s="38" t="s">
        <v>49</v>
      </c>
      <c r="S260" s="2">
        <f>(R257*I268)/1000</f>
        <v>398.69836564500002</v>
      </c>
      <c r="U260" s="25" t="s">
        <v>59</v>
      </c>
      <c r="V260" s="38" t="s">
        <v>49</v>
      </c>
      <c r="W260" s="2">
        <f>(V257*I268)/1000</f>
        <v>398.69836564500002</v>
      </c>
      <c r="Y260" s="25" t="s">
        <v>46</v>
      </c>
      <c r="Z260" s="38" t="s">
        <v>49</v>
      </c>
      <c r="AA260" s="2">
        <f>(Z257*I268)/1000</f>
        <v>398.69836564500002</v>
      </c>
    </row>
    <row r="261" spans="1:27">
      <c r="A261" s="18"/>
      <c r="B261" s="13">
        <v>4</v>
      </c>
      <c r="C261" s="14" t="s">
        <v>22</v>
      </c>
      <c r="D261" s="15" cm="1">
        <f t="array" ref="D261">_xlfn.SINGLE(IF(A266=A267,_xll.ciqfunctions.udf.CIQ(A258,"IQ_TOTAL_REV",IQ_FY-7)/I261, _xll.ciqfunctions.udf.CIQ(A258, "IQ_TOTAL_REV",IQ_FY-6)/I261))</f>
        <v>33.184588345306899</v>
      </c>
      <c r="E261" s="16">
        <f t="shared" si="71"/>
        <v>0.34454761050216876</v>
      </c>
      <c r="F261" s="15">
        <f>IF(A266=A267,_xll.ciqfunctions.udf.CIQ(A258,"IQ_DILUT_EPS_EXCL",IQ_FY-7), _xll.ciqfunctions.udf.CIQ(A258, "IQ_DILUT_EPS_EXCL",IQ_FY-6))</f>
        <v>-4.5665800000000001</v>
      </c>
      <c r="G261" s="15">
        <f>IF(A266=A267,_xll.ciqfunctions.udf.CIQ(A258,"IQ_EBITDA_MARGIN",IQ_FY-7), _xll.ciqfunctions.udf.CIQ(A258, "IQ_EBITDA_MARGIN",IQ_FY-6))</f>
        <v>37.107199999999999</v>
      </c>
      <c r="H261" s="15">
        <f>IF(A266=A267,_xll.ciqfunctions.udf.CIQ(A258,"IQ_TOTAL_DIV_PAID_CF",IQ_FY-7)/-I261, _xll.ciqfunctions.udf.CIQ(A258, "IQ_TOTAL_DIV_PAID_CF",IQ_FY-6)/-I261)</f>
        <v>1.7945744150483185</v>
      </c>
      <c r="I261" s="17">
        <f>IF(A266=A267,_xll.ciqfunctions.udf.CIQ(A258,"IQ_TOTAL_OUTSTANDING_FILING_DATE",IQ_FY-7), _xll.ciqfunctions.udf.CIQ(A258, "IQ_TOTAL_OUTSTANDING_FILING_DATE",IQ_FY-6))</f>
        <v>398.98039</v>
      </c>
      <c r="J261" s="17">
        <f>IF(A266=A267,_xll.ciqfunctions.udf.CIQ(A258,"IQ_CASH_OPER",IQ_FY-7), _xll.ciqfunctions.udf.CIQ(A258, "IQ_CASH_OPER",IQ_FY-6))</f>
        <v>3411</v>
      </c>
      <c r="K261" s="17">
        <f>IF(A266=A267,_xll.ciqfunctions.udf.CIQ(A258,"IQ_CAPEX",IQ_FY-7), _xll.ciqfunctions.udf.CIQ(A258, "IQ_CAPEX",IQ_FY-6))</f>
        <v>-723</v>
      </c>
      <c r="L261" s="15">
        <f t="shared" si="68"/>
        <v>6.7371732229746932</v>
      </c>
      <c r="M261" s="17">
        <f>IF(A266=A267,_xll.ciqfunctions.udf.CIQ(A258,"IQ_TOTAL_DEBT_ISSUED",IQ_FY-7), _xll.ciqfunctions.udf.CIQ(A258, "IQ_TOTAL_DEBT_ISSUED",IQ_FY-6))</f>
        <v>19510</v>
      </c>
      <c r="N261" s="17">
        <f>IF(A266=A267,_xll.ciqfunctions.udf.CIQ(A258,"IQ_TOTAL_DEBT_REPAID",IQ_FY-7), _xll.ciqfunctions.udf.CIQ(A258, "IQ_TOTAL_DEBT_REPAID",IQ_FY-6))</f>
        <v>-11317</v>
      </c>
      <c r="O261" s="15">
        <f t="shared" si="69"/>
        <v>20.534843830294516</v>
      </c>
      <c r="P261" s="15">
        <f t="shared" si="70"/>
        <v>27.272017053269209</v>
      </c>
      <c r="Q261" s="25" t="s">
        <v>23</v>
      </c>
      <c r="R261" s="38" t="s">
        <v>24</v>
      </c>
      <c r="S261" s="1">
        <f>R257/(AVERAGE(H263:H268)*(1+H269)/(0.5-H269))</f>
        <v>17.819497308835579</v>
      </c>
      <c r="U261" s="25" t="s">
        <v>40</v>
      </c>
      <c r="V261" s="38" t="s">
        <v>24</v>
      </c>
      <c r="W261" s="1">
        <f>V257/(AVERAGE(H263:H268)*(1+H269)/(0.5-H269))</f>
        <v>17.819497308835579</v>
      </c>
      <c r="Y261" s="25" t="s">
        <v>47</v>
      </c>
      <c r="Z261" s="38" t="s">
        <v>24</v>
      </c>
      <c r="AA261" s="1">
        <f>Z257/(AVERAGE(H263:H268)*(1+H269)/(0.5-H269))</f>
        <v>17.819497308835579</v>
      </c>
    </row>
    <row r="262" spans="1:27">
      <c r="B262" s="13">
        <v>5</v>
      </c>
      <c r="C262" s="14" t="s">
        <v>25</v>
      </c>
      <c r="D262" s="15" cm="1">
        <f t="array" ref="D262">_xlfn.SINGLE(IF(A266=A267,_xll.ciqfunctions.udf.CIQ(A258,"IQ_TOTAL_REV",IQ_FY-6)/I262, _xll.ciqfunctions.udf.CIQ(A258, "IQ_TOTAL_REV",IQ_FY-5)/I262))</f>
        <v>43.081622917664561</v>
      </c>
      <c r="E262" s="16">
        <f t="shared" si="71"/>
        <v>0.29824189679174795</v>
      </c>
      <c r="F262" s="15">
        <f>IF(A266=A267,_xll.ciqfunctions.udf.CIQ(A258,"IQ_DILUT_EPS_EXCL",IQ_FY-6), _xll.ciqfunctions.udf.CIQ(A258, "IQ_DILUT_EPS_EXCL",IQ_FY-5))</f>
        <v>4.03</v>
      </c>
      <c r="G262" s="15">
        <f>IF(A266=A267,_xll.ciqfunctions.udf.CIQ(A258,"IQ_EBITDA_MARGIN",IQ_FY-6), _xll.ciqfunctions.udf.CIQ(A258, "IQ_EBITDA_MARGIN",IQ_FY-5))</f>
        <v>42.106999999999999</v>
      </c>
      <c r="H262" s="15">
        <f>IF(A266=A267,_xll.ciqfunctions.udf.CIQ(A258,"IQ_TOTAL_DIV_PAID_CF",IQ_FY-6)/-I262, _xll.ciqfunctions.udf.CIQ(A258, "IQ_TOTAL_DIV_PAID_CF",IQ_FY-5)/-I262)</f>
        <v>4.0379860899806941</v>
      </c>
      <c r="I262" s="17">
        <f>IF(A266=A267,_xll.ciqfunctions.udf.CIQ(A258,"IQ_TOTAL_OUTSTANDING_FILING_DATE",IQ_FY-6), _xll.ciqfunctions.udf.CIQ(A258, "IQ_TOTAL_OUTSTANDING_FILING_DATE",IQ_FY-5))</f>
        <v>409.36248000000001</v>
      </c>
      <c r="J262" s="17">
        <f>IF(A266=A267,_xll.ciqfunctions.udf.CIQ(A258,"IQ_CASH_OPER",IQ_FY-6), _xll.ciqfunctions.udf.CIQ(A258, "IQ_CASH_OPER",IQ_FY-5))</f>
        <v>6551</v>
      </c>
      <c r="K262" s="17">
        <f>IF(A266=A267,_xll.ciqfunctions.udf.CIQ(A258,"IQ_CAPEX",IQ_FY-6), _xll.ciqfunctions.udf.CIQ(A258, "IQ_CAPEX",IQ_FY-5))</f>
        <v>-1069</v>
      </c>
      <c r="L262" s="15">
        <f t="shared" si="68"/>
        <v>13.391554594842205</v>
      </c>
      <c r="M262" s="17">
        <f>IF(A266=A267,_xll.ciqfunctions.udf.CIQ(A258,"IQ_TOTAL_DEBT_ISSUED",IQ_FY-6), _xll.ciqfunctions.udf.CIQ(A258, "IQ_TOTAL_DEBT_ISSUED",IQ_FY-5))</f>
        <v>17426</v>
      </c>
      <c r="N262" s="17">
        <f>IF(A266=A267,_xll.ciqfunctions.udf.CIQ(A258,"IQ_TOTAL_DEBT_REPAID",IQ_FY-6), _xll.ciqfunctions.udf.CIQ(A258, "IQ_TOTAL_DEBT_REPAID",IQ_FY-5))</f>
        <v>-13668</v>
      </c>
      <c r="O262" s="15">
        <f t="shared" si="69"/>
        <v>9.1801280859936156</v>
      </c>
      <c r="P262" s="15">
        <f t="shared" si="70"/>
        <v>22.571682680835821</v>
      </c>
      <c r="Q262" s="18"/>
      <c r="R262" s="38" t="s">
        <v>50</v>
      </c>
      <c r="S262" s="3">
        <f>I269</f>
        <v>2.6692332696505172E-3</v>
      </c>
      <c r="U262" s="18"/>
      <c r="V262" s="38" t="s">
        <v>50</v>
      </c>
      <c r="W262" s="3">
        <f>I269</f>
        <v>2.6692332696505172E-3</v>
      </c>
      <c r="Y262" s="18"/>
      <c r="Z262" s="38" t="s">
        <v>50</v>
      </c>
      <c r="AA262" s="3">
        <f>I269</f>
        <v>2.6692332696505172E-3</v>
      </c>
    </row>
    <row r="263" spans="1:27">
      <c r="B263" s="13">
        <v>6</v>
      </c>
      <c r="C263" s="14" t="s">
        <v>26</v>
      </c>
      <c r="D263" s="15" cm="1">
        <f t="array" ref="D263">_xlfn.SINGLE(IF(A266=A267,_xll.ciqfunctions.udf.CIQ(A258,"IQ_TOTAL_REV",IQ_FY-5)/I263, _xll.ciqfunctions.udf.CIQ(A258, "IQ_TOTAL_REV",IQ_FY-4)/I263))</f>
        <v>51.189515381531066</v>
      </c>
      <c r="E263" s="16">
        <f t="shared" si="71"/>
        <v>0.18819839910306776</v>
      </c>
      <c r="F263" s="15">
        <f>IF(A266=A267,_xll.ciqfunctions.udf.CIQ(A258,"IQ_DILUT_EPS_EXCL",IQ_FY-5), _xll.ciqfunctions.udf.CIQ(A258, "IQ_DILUT_EPS_EXCL",IQ_FY-4))</f>
        <v>28.48</v>
      </c>
      <c r="G263" s="15">
        <f>IF(A266=A267,_xll.ciqfunctions.udf.CIQ(A258,"IQ_EBITDA_MARGIN",IQ_FY-5), _xll.ciqfunctions.udf.CIQ(A258, "IQ_EBITDA_MARGIN",IQ_FY-4))</f>
        <v>45.893999999999998</v>
      </c>
      <c r="H263" s="15">
        <f>IF(A266=A267,_xll.ciqfunctions.udf.CIQ(A258,"IQ_TOTAL_DIV_PAID_CF",IQ_FY-5)/-I263, _xll.ciqfunctions.udf.CIQ(A258, "IQ_TOTAL_DIV_PAID_CF",IQ_FY-4)/-I263)</f>
        <v>7.3611937410701334</v>
      </c>
      <c r="I263" s="17">
        <f>IF(A266=A267,_xll.ciqfunctions.udf.CIQ(A258,"IQ_TOTAL_OUTSTANDING_FILING_DATE",IQ_FY-5), _xll.ciqfunctions.udf.CIQ(A258, "IQ_TOTAL_OUTSTANDING_FILING_DATE",IQ_FY-4))</f>
        <v>407.27089999999998</v>
      </c>
      <c r="J263" s="17">
        <f>IF(A266=A267,_xll.ciqfunctions.udf.CIQ(A258,"IQ_CASH_OPER",IQ_FY-5), _xll.ciqfunctions.udf.CIQ(A258, "IQ_CASH_OPER",IQ_FY-4))</f>
        <v>8880</v>
      </c>
      <c r="K263" s="17">
        <f>IF(A266=A267,_xll.ciqfunctions.udf.CIQ(A258,"IQ_CAPEX",IQ_FY-5), _xll.ciqfunctions.udf.CIQ(A258, "IQ_CAPEX",IQ_FY-4))</f>
        <v>-635</v>
      </c>
      <c r="L263" s="15">
        <f t="shared" si="68"/>
        <v>20.24451047202243</v>
      </c>
      <c r="M263" s="17">
        <f>IF(A266=A267,_xll.ciqfunctions.udf.CIQ(A258,"IQ_TOTAL_DEBT_ISSUED",IQ_FY-5), _xll.ciqfunctions.udf.CIQ(A258, "IQ_TOTAL_DEBT_ISSUED",IQ_FY-4))</f>
        <v>0</v>
      </c>
      <c r="N263" s="17">
        <f>IF(A266=A267,_xll.ciqfunctions.udf.CIQ(A258,"IQ_TOTAL_DEBT_REPAID",IQ_FY-5), _xll.ciqfunctions.udf.CIQ(A258, "IQ_TOTAL_DEBT_REPAID",IQ_FY-4))</f>
        <v>-973</v>
      </c>
      <c r="O263" s="15">
        <f t="shared" si="69"/>
        <v>-2.3890732188329684</v>
      </c>
      <c r="P263" s="15">
        <f t="shared" si="70"/>
        <v>17.855437253189461</v>
      </c>
      <c r="Q263" s="25" t="s">
        <v>27</v>
      </c>
      <c r="R263" s="38" t="s">
        <v>51</v>
      </c>
      <c r="S263" s="4">
        <f>AVERAGE(F263:F268)/AVERAGE(D263:D268)</f>
        <v>0.28985233633199536</v>
      </c>
      <c r="U263" s="25" t="s">
        <v>58</v>
      </c>
      <c r="V263" s="38" t="s">
        <v>51</v>
      </c>
      <c r="W263" s="4">
        <f>AVERAGE(F263:F268)/AVERAGE(D263:D268)</f>
        <v>0.28985233633199536</v>
      </c>
      <c r="Y263" s="25" t="s">
        <v>56</v>
      </c>
      <c r="Z263" s="38" t="s">
        <v>51</v>
      </c>
      <c r="AA263" s="4">
        <f>AVERAGE(F263:F268)/AVERAGE(D263:D268)</f>
        <v>0.28985233633199536</v>
      </c>
    </row>
    <row r="264" spans="1:27">
      <c r="A264" s="18"/>
      <c r="B264" s="13">
        <v>7</v>
      </c>
      <c r="C264" s="14" t="s">
        <v>28</v>
      </c>
      <c r="D264" s="15" cm="1">
        <f t="array" ref="D264">_xlfn.SINGLE(IF(A266=A267,_xll.ciqfunctions.udf.CIQ(A258,"IQ_TOTAL_REV",IQ_FY-4)/I264, _xll.ciqfunctions.udf.CIQ(A258, "IQ_TOTAL_REV",IQ_FY-3)/I264))</f>
        <v>56.806028090690248</v>
      </c>
      <c r="E264" s="16">
        <f t="shared" si="71"/>
        <v>0.1097199820568255</v>
      </c>
      <c r="F264" s="15">
        <f>IF(A266=A267,_xll.ciqfunctions.udf.CIQ(A258,"IQ_DILUT_EPS_EXCL",IQ_FY-4), _xll.ciqfunctions.udf.CIQ(A258, "IQ_DILUT_EPS_EXCL",IQ_FY-3))</f>
        <v>6.46</v>
      </c>
      <c r="G264" s="15">
        <f>IF(A266=A267,_xll.ciqfunctions.udf.CIQ(A258,"IQ_EBITDA_MARGIN",IQ_FY-4), _xll.ciqfunctions.udf.CIQ(A258, "IQ_EBITDA_MARGIN",IQ_FY-3))</f>
        <v>44.545699999999997</v>
      </c>
      <c r="H264" s="15">
        <f>IF(A266=A267,_xll.ciqfunctions.udf.CIQ(A258,"IQ_TOTAL_DIV_PAID_CF",IQ_FY-4)/-I264, _xll.ciqfunctions.udf.CIQ(A258, "IQ_TOTAL_DIV_PAID_CF",IQ_FY-3)/-I264)</f>
        <v>10.646259634645006</v>
      </c>
      <c r="I264" s="17">
        <f>IF(A266=A267,_xll.ciqfunctions.udf.CIQ(A258,"IQ_TOTAL_OUTSTANDING_FILING_DATE",IQ_FY-4), _xll.ciqfunctions.udf.CIQ(A258, "IQ_TOTAL_OUTSTANDING_FILING_DATE",IQ_FY-3))</f>
        <v>397.79228999999998</v>
      </c>
      <c r="J264" s="17">
        <f>IF(A266=A267,_xll.ciqfunctions.udf.CIQ(A258,"IQ_CASH_OPER",IQ_FY-4), _xll.ciqfunctions.udf.CIQ(A258, "IQ_CASH_OPER",IQ_FY-3))</f>
        <v>9697</v>
      </c>
      <c r="K264" s="17">
        <f>IF(A266=A267,_xll.ciqfunctions.udf.CIQ(A258,"IQ_CAPEX",IQ_FY-4), _xll.ciqfunctions.udf.CIQ(A258, "IQ_CAPEX",IQ_FY-3))</f>
        <v>-432</v>
      </c>
      <c r="L264" s="15">
        <f t="shared" si="68"/>
        <v>23.291049708379216</v>
      </c>
      <c r="M264" s="17">
        <f>IF(A266=A267,_xll.ciqfunctions.udf.CIQ(A258,"IQ_TOTAL_DEBT_ISSUED",IQ_FY-4), _xll.ciqfunctions.udf.CIQ(A258, "IQ_TOTAL_DEBT_ISSUED",IQ_FY-3))</f>
        <v>30034</v>
      </c>
      <c r="N264" s="17">
        <f>IF(A266=A267,_xll.ciqfunctions.udf.CIQ(A258,"IQ_TOTAL_DEBT_REPAID",IQ_FY-4), _xll.ciqfunctions.udf.CIQ(A258, "IQ_TOTAL_DEBT_REPAID",IQ_FY-3))</f>
        <v>-16800</v>
      </c>
      <c r="O264" s="15">
        <f t="shared" si="69"/>
        <v>33.268618655228337</v>
      </c>
      <c r="P264" s="15">
        <f t="shared" si="70"/>
        <v>56.559668363607557</v>
      </c>
      <c r="Q264" s="18"/>
      <c r="R264" s="38" t="s">
        <v>29</v>
      </c>
      <c r="S264" s="4">
        <f>(AVERAGE(P263:P268)/_xlfn.STDEV.P(P263:P268))/(IF(A266=A267,(_xlfn.SINGLE(_xll.ciqfunctions.udf.CIQ(A258,"IQ_total_assets",IQ_FY)) - _xlfn.SINGLE(_xll.ciqfunctions.udf.CIQ(A258,"iq_gw_intan", IQ_FY)))/I268, (_xlfn.SINGLE(_xll.ciqfunctions.udf.CIQ(A258, "IQ_total_assets",IQ_LTM))-_xlfn.SINGLE(_xll.ciqfunctions.udf.CIQ(A258,"iq_gw_intan",IQ_LTM)))/I268))</f>
        <v>5.4051849530840149E-2</v>
      </c>
      <c r="U264" s="18"/>
      <c r="V264" s="38" t="s">
        <v>29</v>
      </c>
      <c r="W264" s="4">
        <f>(AVERAGE(P263:P268)/_xlfn.STDEV.P(P263:P268))/(IF(A266=A267,(_xlfn.SINGLE(_xll.ciqfunctions.udf.CIQ(A258,"IQ_total_assets",IQ_FY)) - _xlfn.SINGLE(_xll.ciqfunctions.udf.CIQ(A258,"iq_gw_intan", IQ_FY)))/I268, (_xlfn.SINGLE(_xll.ciqfunctions.udf.CIQ(A258, "IQ_total_assets",IQ_LTM))-_xlfn.SINGLE(_xll.ciqfunctions.udf.CIQ(A258,"iq_gw_intan",IQ_LTM)))/I268))</f>
        <v>5.4051849530840149E-2</v>
      </c>
      <c r="Y264" s="18"/>
      <c r="Z264" s="38" t="s">
        <v>29</v>
      </c>
      <c r="AA264" s="4">
        <f>(AVERAGE(P263:P268)/_xlfn.STDEV.P(P263:P268))/(IF(A266=A267,(_xlfn.SINGLE(_xll.ciqfunctions.udf.CIQ(A258,"IQ_total_assets",IQ_FY)) - _xlfn.SINGLE(_xll.ciqfunctions.udf.CIQ(A258,"iq_gw_intan", IQ_FY)))/I268, (_xlfn.SINGLE(_xll.ciqfunctions.udf.CIQ(A258, "IQ_total_assets",IQ_LTM))-_xlfn.SINGLE(_xll.ciqfunctions.udf.CIQ(A258,"iq_gw_intan",IQ_LTM)))/I268))</f>
        <v>5.4051849530840149E-2</v>
      </c>
    </row>
    <row r="265" spans="1:27">
      <c r="A265" s="18"/>
      <c r="B265" s="13">
        <v>8</v>
      </c>
      <c r="C265" s="14" t="s">
        <v>30</v>
      </c>
      <c r="D265" s="15" cm="1">
        <f t="array" ref="D265">_xlfn.SINGLE(IF(A266=A267,_xll.ciqfunctions.udf.CIQ(A258,"IQ_TOTAL_REV",IQ_FY-3)/I265, _xll.ciqfunctions.udf.CIQ(A258, "IQ_TOTAL_REV",IQ_FY-2)/I265))</f>
        <v>58.734274419276169</v>
      </c>
      <c r="E265" s="16">
        <f t="shared" si="71"/>
        <v>3.3944396279695796E-2</v>
      </c>
      <c r="F265" s="15">
        <f>IF(A266=A267,_xll.ciqfunctions.udf.CIQ(A258,"IQ_DILUT_EPS_EXCL",IQ_FY-3), _xll.ciqfunctions.udf.CIQ(A258, "IQ_DILUT_EPS_EXCL",IQ_FY-2))</f>
        <v>6.3323799999999997</v>
      </c>
      <c r="G265" s="15">
        <f>IF(A266=A267,_xll.ciqfunctions.udf.CIQ(A258,"IQ_EBITDA_MARGIN",IQ_FY-3), _xll.ciqfunctions.udf.CIQ(A258, "IQ_EBITDA_MARGIN",IQ_FY-2))</f>
        <v>47.161700000000003</v>
      </c>
      <c r="H265" s="15">
        <f>IF(A266=A267,_xll.ciqfunctions.udf.CIQ(A258,"IQ_TOTAL_DIV_PAID_CF",IQ_FY-3)/-I265, _xll.ciqfunctions.udf.CIQ(A258, "IQ_TOTAL_DIV_PAID_CF",IQ_FY-2)/-I265)</f>
        <v>13.606642441237204</v>
      </c>
      <c r="I265" s="17">
        <f>IF(A266=A267,_xll.ciqfunctions.udf.CIQ(A258,"IQ_TOTAL_OUTSTANDING_FILING_DATE",IQ_FY-3), _xll.ciqfunctions.udf.CIQ(A258, "IQ_TOTAL_OUTSTANDING_FILING_DATE",IQ_FY-2))</f>
        <v>406.71312</v>
      </c>
      <c r="J265" s="17">
        <f>IF(A266=A267,_xll.ciqfunctions.udf.CIQ(A258,"IQ_CASH_OPER",IQ_FY-3), _xll.ciqfunctions.udf.CIQ(A258, "IQ_CASH_OPER",IQ_FY-2))</f>
        <v>12061</v>
      </c>
      <c r="K265" s="17">
        <f>IF(A266=A267,_xll.ciqfunctions.udf.CIQ(A258,"IQ_CAPEX",IQ_FY-3), _xll.ciqfunctions.udf.CIQ(A258, "IQ_CAPEX",IQ_FY-2))</f>
        <v>-463</v>
      </c>
      <c r="L265" s="15">
        <f t="shared" si="68"/>
        <v>28.516414715119097</v>
      </c>
      <c r="M265" s="17">
        <f>IF(A266=A267,_xll.ciqfunctions.udf.CIQ(A258,"IQ_TOTAL_DEBT_ISSUED",IQ_FY-3), _xll.ciqfunctions.udf.CIQ(A258, "IQ_TOTAL_DEBT_ISSUED",IQ_FY-2))</f>
        <v>27802</v>
      </c>
      <c r="N265" s="17">
        <f>IF(A266=A267,_xll.ciqfunctions.udf.CIQ(A258,"IQ_TOTAL_DEBT_REPAID",IQ_FY-3), _xll.ciqfunctions.udf.CIQ(A258, "IQ_TOTAL_DEBT_REPAID",IQ_FY-2))</f>
        <v>-20099</v>
      </c>
      <c r="O265" s="15">
        <f t="shared" si="69"/>
        <v>18.93963981294727</v>
      </c>
      <c r="P265" s="15">
        <f t="shared" si="70"/>
        <v>47.456054528066367</v>
      </c>
      <c r="Q265" s="18"/>
      <c r="R265" s="39" t="s">
        <v>31</v>
      </c>
      <c r="S265" s="5">
        <f>IF(NOT(D258&gt;0),FALSE,SLOPE(G258:G268,B258:B268))</f>
        <v>2.5836454545454548</v>
      </c>
      <c r="U265" s="18"/>
      <c r="V265" s="39" t="s">
        <v>31</v>
      </c>
      <c r="W265" s="5">
        <f>IF(NOT(D258&gt;0),FALSE,SLOPE(G258:G268,B258:B268))</f>
        <v>2.5836454545454548</v>
      </c>
      <c r="Y265" s="18"/>
      <c r="Z265" s="39" t="s">
        <v>31</v>
      </c>
      <c r="AA265" s="5">
        <f>IF(NOT(L258&gt;0),FALSE,SLOPE(O258:O268,J258:J268))</f>
        <v>-4.4233511913786204E-4</v>
      </c>
    </row>
    <row r="266" spans="1:27">
      <c r="A266" s="19">
        <f>_xll.ciqfunctions.udf.CIQ(A258,"IQ_TOTAL_REV",IQ_FY)</f>
        <v>33203</v>
      </c>
      <c r="B266" s="13">
        <v>9</v>
      </c>
      <c r="C266" s="14" t="s">
        <v>32</v>
      </c>
      <c r="D266" s="15" cm="1">
        <f t="array" ref="D266">_xlfn.SINGLE(IF(A266=A267,_xll.ciqfunctions.udf.CIQ(A258,"IQ_TOTAL_REV",IQ_FY-2)/I266, _xll.ciqfunctions.udf.CIQ(A258, "IQ_TOTAL_REV",IQ_FY-1)/I266))</f>
        <v>66.485179484674219</v>
      </c>
      <c r="E266" s="16">
        <f t="shared" si="71"/>
        <v>0.13196562215220384</v>
      </c>
      <c r="F266" s="15">
        <f>IF(A266=A267,_xll.ciqfunctions.udf.CIQ(A258,"IQ_DILUT_EPS_EXCL",IQ_FY-2), _xll.ciqfunctions.udf.CIQ(A258, "IQ_DILUT_EPS_EXCL",IQ_FY-1))</f>
        <v>15</v>
      </c>
      <c r="G266" s="15">
        <f>IF(A266=A267,_xll.ciqfunctions.udf.CIQ(A258,"IQ_EBITDA_MARGIN",IQ_FY-2), _xll.ciqfunctions.udf.CIQ(A258, "IQ_EBITDA_MARGIN",IQ_FY-1))</f>
        <v>53.642899999999997</v>
      </c>
      <c r="H266" s="15">
        <f>IF(A266=A267,_xll.ciqfunctions.udf.CIQ(A258,"IQ_TOTAL_DIV_PAID_CF",IQ_FY-2)/-I266, _xll.ciqfunctions.udf.CIQ(A258, "IQ_TOTAL_DIV_PAID_CF",IQ_FY-1)/-I266)</f>
        <v>15.045753550411522</v>
      </c>
      <c r="I266" s="17">
        <f>IF(A266=A267,_xll.ciqfunctions.udf.CIQ(A258,"IQ_TOTAL_OUTSTANDING_FILING_DATE",IQ_FY-2), _xll.ciqfunctions.udf.CIQ(A258, "IQ_TOTAL_OUTSTANDING_FILING_DATE",IQ_FY-1))</f>
        <v>412.87396999999999</v>
      </c>
      <c r="J266" s="17">
        <f>IF(A266=A267,_xll.ciqfunctions.udf.CIQ(A258,"IQ_CASH_OPER",IQ_FY-2), _xll.ciqfunctions.udf.CIQ(A258, "IQ_CASH_OPER",IQ_FY-1))</f>
        <v>13764</v>
      </c>
      <c r="K266" s="17">
        <f>IF(A266=A267,_xll.ciqfunctions.udf.CIQ(A258,"IQ_CAPEX",IQ_FY-2), _xll.ciqfunctions.udf.CIQ(A258, "IQ_CAPEX",IQ_FY-1))</f>
        <v>-443</v>
      </c>
      <c r="L266" s="15">
        <f t="shared" si="68"/>
        <v>32.264082911305842</v>
      </c>
      <c r="M266" s="17">
        <f>IF(A266=A267,_xll.ciqfunctions.udf.CIQ(A258,"IQ_TOTAL_DEBT_ISSUED",IQ_FY-2), _xll.ciqfunctions.udf.CIQ(A258, "IQ_TOTAL_DEBT_ISSUED",IQ_FY-1))</f>
        <v>9904</v>
      </c>
      <c r="N266" s="17">
        <f>IF(A266=A267,_xll.ciqfunctions.udf.CIQ(A258,"IQ_TOTAL_DEBT_REPAID",IQ_FY-2), _xll.ciqfunctions.udf.CIQ(A258, "IQ_TOTAL_DEBT_REPAID",IQ_FY-1))</f>
        <v>-11495</v>
      </c>
      <c r="O266" s="15">
        <f t="shared" si="69"/>
        <v>-3.8534761588384949</v>
      </c>
      <c r="P266" s="15">
        <f t="shared" si="70"/>
        <v>28.410606752467345</v>
      </c>
      <c r="Q266" s="25" t="s">
        <v>33</v>
      </c>
      <c r="R266" s="38" t="s">
        <v>52</v>
      </c>
      <c r="S266" s="4">
        <f>(AVERAGE(O263:O268)/AVERAGE(P263:P268))</f>
        <v>0.19280909608362901</v>
      </c>
      <c r="U266" s="25" t="s">
        <v>54</v>
      </c>
      <c r="V266" s="38" t="s">
        <v>52</v>
      </c>
      <c r="W266" s="4">
        <f>(AVERAGE(O263:O268)/AVERAGE(P263:P268))</f>
        <v>0.19280909608362901</v>
      </c>
      <c r="Y266" s="25" t="s">
        <v>60</v>
      </c>
      <c r="Z266" s="38" t="s">
        <v>52</v>
      </c>
      <c r="AA266" s="4">
        <f>(AVERAGE(O263:O268)/AVERAGE(P263:P268))</f>
        <v>0.19280909608362901</v>
      </c>
    </row>
    <row r="267" spans="1:27">
      <c r="A267" s="19">
        <f>_xll.ciqfunctions.udf.CIQ(A258,"IQ_TOTAL_REV",IQ_LTM)</f>
        <v>35454</v>
      </c>
      <c r="B267" s="13">
        <v>10</v>
      </c>
      <c r="C267" s="14" t="s">
        <v>34</v>
      </c>
      <c r="D267" s="15" cm="1">
        <f t="array" ref="D267">_xlfn.SINGLE(IF(A266=A267,_xll.ciqfunctions.udf.CIQ(A258,"IQ_TOTAL_REV",IQ_FY-1)/I267, _xll.ciqfunctions.udf.CIQ(A258, "IQ_TOTAL_REV",IQ_FY)/I267))</f>
        <v>79.454657194421429</v>
      </c>
      <c r="E267" s="16">
        <f t="shared" si="71"/>
        <v>0.19507321496720723</v>
      </c>
      <c r="F267" s="15">
        <f>IF(A266=A267,_xll.ciqfunctions.udf.CIQ(A258,"IQ_DILUT_EPS_EXCL",IQ_FY-1), _xll.ciqfunctions.udf.CIQ(A258, "IQ_DILUT_EPS_EXCL",IQ_FY))</f>
        <v>26.53</v>
      </c>
      <c r="G267" s="15">
        <f>IF(A266=A267,_xll.ciqfunctions.udf.CIQ(A258,"IQ_EBITDA_MARGIN",IQ_FY-1), _xll.ciqfunctions.udf.CIQ(A258, "IQ_EBITDA_MARGIN",IQ_FY))</f>
        <v>58.036900000000003</v>
      </c>
      <c r="H267" s="15">
        <f>IF(A266=A267,_xll.ciqfunctions.udf.CIQ(A258,"IQ_TOTAL_DIV_PAID_CF",IQ_FY-1)/-I267, _xll.ciqfunctions.udf.CIQ(A258, "IQ_TOTAL_DIV_PAID_CF",IQ_FY)/-I267)</f>
        <v>16.827550203028988</v>
      </c>
      <c r="I267" s="17">
        <f>IF(A266=A267,_xll.ciqfunctions.udf.CIQ(A258,"IQ_TOTAL_OUTSTANDING_FILING_DATE",IQ_FY-1), _xll.ciqfunctions.udf.CIQ(A258, "IQ_TOTAL_OUTSTANDING_FILING_DATE",IQ_FY))</f>
        <v>417.88614000000001</v>
      </c>
      <c r="J267" s="17">
        <f>IF(A266=A267,_xll.ciqfunctions.udf.CIQ(A258,"IQ_CASH_OPER",IQ_FY-1), _xll.ciqfunctions.udf.CIQ(A258, "IQ_CASH_OPER",IQ_FY))</f>
        <v>16736</v>
      </c>
      <c r="K267" s="17">
        <f>IF(A266=A267,_xll.ciqfunctions.udf.CIQ(A258,"IQ_CAPEX",IQ_FY-1), _xll.ciqfunctions.udf.CIQ(A258, "IQ_CAPEX",IQ_FY))</f>
        <v>-424</v>
      </c>
      <c r="L267" s="15">
        <f t="shared" si="68"/>
        <v>39.034556159244715</v>
      </c>
      <c r="M267" s="17">
        <f>IF(A266=A267,_xll.ciqfunctions.udf.CIQ(A258,"IQ_TOTAL_DEBT_ISSUED",IQ_FY-1), _xll.ciqfunctions.udf.CIQ(A258, "IQ_TOTAL_DEBT_ISSUED",IQ_FY))</f>
        <v>1935</v>
      </c>
      <c r="N267" s="17">
        <f>IF(A266=A267,_xll.ciqfunctions.udf.CIQ(A258,"IQ_TOTAL_DEBT_REPAID",IQ_FY-1), _xll.ciqfunctions.udf.CIQ(A258, "IQ_TOTAL_DEBT_REPAID",IQ_FY))</f>
        <v>-2361</v>
      </c>
      <c r="O267" s="15">
        <f t="shared" si="69"/>
        <v>-1.0194164372142134</v>
      </c>
      <c r="P267" s="15">
        <f t="shared" si="70"/>
        <v>38.015139722030504</v>
      </c>
      <c r="Q267" s="25" t="s">
        <v>44</v>
      </c>
      <c r="R267" s="38" t="s">
        <v>35</v>
      </c>
      <c r="S267" s="1">
        <f>_xll.ciqfunctions.udf.CIQ(A258,"IQ_TEV_EBITDA")</f>
        <v>21.122499999999999</v>
      </c>
      <c r="U267" s="25" t="s">
        <v>55</v>
      </c>
      <c r="V267" s="38" t="s">
        <v>53</v>
      </c>
      <c r="W267" s="1">
        <f>V257/(AVERAGE(D263:D268)/_xlfn.STDEV.P(E263:E268))</f>
        <v>0.82659121417667347</v>
      </c>
      <c r="Y267" s="25" t="s">
        <v>57</v>
      </c>
      <c r="Z267" s="38" t="s">
        <v>53</v>
      </c>
      <c r="AA267" s="1">
        <f>Z257/(AVERAGE(D263:D268)/_xlfn.STDEV.P(E263:E268))</f>
        <v>0.82659121417667347</v>
      </c>
    </row>
    <row r="268" spans="1:27">
      <c r="B268" s="13">
        <v>11</v>
      </c>
      <c r="C268" s="20" t="s">
        <v>36</v>
      </c>
      <c r="D268" s="21" cm="1">
        <f t="array" ref="D268">_xlfn.SINGLE(IF(A266=A267,_xll.ciqfunctions.udf.CIQ(A258,"IQ_TOTAL_REV",IQ_FY)/I268, _xll.ciqfunctions.udf.CIQ(A258, "IQ_TOTAL_REV",IQ_LTM)/I268))</f>
        <v>85.900049789756395</v>
      </c>
      <c r="E268" s="22">
        <f t="shared" si="71"/>
        <v>8.112038768933863E-2</v>
      </c>
      <c r="F268" s="21">
        <f>IF(A266=A267,_xll.ciqfunctions.udf.CIQ(A258,"IQ_DILUT_EPS_EXCL",IQ_FY), _xll.ciqfunctions.udf.CIQ(A258, "IQ_DILUT_EPS_EXCL",IQ_LTM))</f>
        <v>32.723979999999997</v>
      </c>
      <c r="G268" s="21">
        <f>IF(A266=A267,_xll.ciqfunctions.udf.CIQ(A258,"IQ_EBITDA_MARGIN",IQ_FY), _xll.ciqfunctions.udf.CIQ(A258, "IQ_EBITDA_MARGIN",IQ_LTM))</f>
        <v>57.338999999999999</v>
      </c>
      <c r="H268" s="21">
        <f>IF(A266=A267,_xll.ciqfunctions.udf.CIQ(A258,"IQ_TOTAL_DIV_PAID_CF",IQ_FY)/-I268, _xll.ciqfunctions.udf.CIQ(A258, "IQ_TOTAL_DIV_PAID_CF",IQ_LTM)/-I268)</f>
        <v>18.227169700692091</v>
      </c>
      <c r="I268" s="23">
        <f>IF(A266=A267,_xll.ciqfunctions.udf.CIQ(A258,"IQ_TOTAL_OUTSTANDING_FILING_DATE",IQ_FY),_xll.ciqfunctions.udf.CIQ(A258,"IQ_sharesoutstanding"))</f>
        <v>412.7355</v>
      </c>
      <c r="J268" s="23">
        <f>IF(A266=A267,_xll.ciqfunctions.udf.CIQ(A258,"IQ_CASH_OPER",IQ_FY), _xll.ciqfunctions.udf.CIQ(A258, "IQ_CASH_OPER",IQ_LTM))</f>
        <v>17840</v>
      </c>
      <c r="K268" s="23">
        <f>IF(A266=A267,_xll.ciqfunctions.udf.CIQ(A258,"IQ_CAPEX",IQ_FY), _xll.ciqfunctions.udf.CIQ(A258, "IQ_CAPEX",IQ_LTM))</f>
        <v>-469</v>
      </c>
      <c r="L268" s="21">
        <f t="shared" si="68"/>
        <v>42.087487022560452</v>
      </c>
      <c r="M268" s="23">
        <f>IF(A266=A267,_xll.ciqfunctions.udf.CIQ(A258,"IQ_TOTAL_DEBT_ISSUED",IQ_FY), _xll.ciqfunctions.udf.CIQ(A258, "IQ_TOTAL_DEBT_ISSUED",IQ_LTM))</f>
        <v>0</v>
      </c>
      <c r="N268" s="23">
        <f>IF(A266=A267,_xll.ciqfunctions.udf.CIQ(A258,"IQ_TOTAL_DEBT_REPAID",IQ_FY), _xll.ciqfunctions.udf.CIQ(A258, "IQ_TOTAL_DEBT_REPAID",IQ_LTM))</f>
        <v>-269</v>
      </c>
      <c r="O268" s="21">
        <f t="shared" si="69"/>
        <v>-0.65174912262211515</v>
      </c>
      <c r="P268" s="21">
        <f t="shared" si="70"/>
        <v>41.435737899938339</v>
      </c>
      <c r="Q268" s="25" t="s">
        <v>45</v>
      </c>
      <c r="S268" s="45"/>
      <c r="U268" s="25"/>
      <c r="W268" s="45"/>
      <c r="Y268" s="25"/>
      <c r="AA268" s="45"/>
    </row>
    <row r="269" spans="1:27">
      <c r="B269" s="24"/>
      <c r="C269" s="25" t="s">
        <v>37</v>
      </c>
      <c r="E269" s="26">
        <f>((D268/D263)^(1/5))-1</f>
        <v>0.10907899320182102</v>
      </c>
      <c r="F269" s="27">
        <f>((F268/F263)^(1/5))-1</f>
        <v>2.8170707562497288E-2</v>
      </c>
      <c r="G269" s="28"/>
      <c r="H269" s="27">
        <f>((H268/H263)^(1/5))-1</f>
        <v>0.19882060194588802</v>
      </c>
      <c r="I269" s="27">
        <f>((I268/I263)^(1/5))-1</f>
        <v>2.6692332696505172E-3</v>
      </c>
      <c r="J269" s="27"/>
      <c r="K269" s="27"/>
      <c r="L269" s="26">
        <f>((L268/L263)^(1/5))-1</f>
        <v>0.15762832113854452</v>
      </c>
      <c r="M269" s="26"/>
      <c r="N269" s="26"/>
      <c r="O269" s="26"/>
      <c r="P269" s="26">
        <f>((P268/P263)^(1/5))-1</f>
        <v>0.18337098731433699</v>
      </c>
      <c r="Q269" s="18"/>
      <c r="R269" s="36"/>
      <c r="S269" s="45"/>
      <c r="U269" s="18"/>
      <c r="V269" s="36"/>
      <c r="W269" s="45"/>
      <c r="Y269" s="18"/>
      <c r="Z269" s="36"/>
      <c r="AA269" s="45"/>
    </row>
    <row r="270" spans="1:27">
      <c r="A270" s="29"/>
      <c r="B270" s="30"/>
      <c r="C270" s="31" t="s">
        <v>38</v>
      </c>
      <c r="D270" s="29"/>
      <c r="E270" s="32">
        <f>((D268/D258)^(1/10))-1</f>
        <v>0.23840706444298609</v>
      </c>
      <c r="F270" s="33">
        <f>((F268/F258)^(1/10))-1</f>
        <v>0.31051561612078094</v>
      </c>
      <c r="G270" s="34"/>
      <c r="H270" s="33">
        <f>((H268/H258)^(1/10))-1</f>
        <v>0.36775886393375834</v>
      </c>
      <c r="I270" s="33">
        <f>((I268/I258)^(1/10))-1</f>
        <v>5.1872374223242979E-2</v>
      </c>
      <c r="J270" s="33"/>
      <c r="K270" s="33"/>
      <c r="L270" s="32">
        <f>((L268/L258)^(1/10))-1</f>
        <v>0.35942673260834113</v>
      </c>
      <c r="M270" s="32"/>
      <c r="N270" s="32"/>
      <c r="O270" s="32"/>
      <c r="P270" s="32">
        <f>((P268/P258)^(1/10))-1</f>
        <v>0.3573067662687488</v>
      </c>
      <c r="Q270" s="40"/>
      <c r="R270" s="41"/>
      <c r="S270" s="46"/>
      <c r="U270" s="40"/>
      <c r="V270" s="41"/>
      <c r="W270" s="46"/>
      <c r="Y270" s="40"/>
      <c r="Z270" s="41"/>
      <c r="AA270" s="46"/>
    </row>
    <row r="271" spans="1:27">
      <c r="B271" s="24"/>
      <c r="C271" s="25"/>
      <c r="E271" s="26"/>
      <c r="F271" s="27"/>
      <c r="G271" s="28"/>
      <c r="H271" s="27"/>
      <c r="I271" s="27"/>
      <c r="J271" s="27"/>
      <c r="K271" s="27"/>
      <c r="L271" s="26"/>
      <c r="M271" s="17"/>
      <c r="N271" s="17"/>
      <c r="O271" s="17"/>
      <c r="P271" s="35"/>
      <c r="Q271" s="18"/>
      <c r="R271" s="36"/>
    </row>
    <row r="272" spans="1:27">
      <c r="A272" s="9" t="s">
        <v>0</v>
      </c>
      <c r="B272" s="10"/>
      <c r="C272" s="9" t="s">
        <v>1</v>
      </c>
      <c r="D272" s="9" t="s">
        <v>2</v>
      </c>
      <c r="E272" s="9" t="s">
        <v>3</v>
      </c>
      <c r="F272" s="11" t="s">
        <v>4</v>
      </c>
      <c r="G272" s="11" t="s">
        <v>5</v>
      </c>
      <c r="H272" s="9" t="s">
        <v>6</v>
      </c>
      <c r="I272" s="11" t="s">
        <v>7</v>
      </c>
      <c r="J272" s="11" t="s">
        <v>8</v>
      </c>
      <c r="K272" s="11" t="s">
        <v>9</v>
      </c>
      <c r="L272" s="11" t="s">
        <v>10</v>
      </c>
      <c r="M272" s="11" t="s">
        <v>11</v>
      </c>
      <c r="N272" s="11" t="s">
        <v>12</v>
      </c>
      <c r="O272" s="11" t="s">
        <v>13</v>
      </c>
      <c r="P272" s="11" t="s">
        <v>14</v>
      </c>
      <c r="Q272" s="37" t="s">
        <v>15</v>
      </c>
      <c r="R272" s="42">
        <f>_xll.ciqfunctions.udf.CIQ(A273,("IQ_LASTSALEPRICE"))</f>
        <v>152.86500000000001</v>
      </c>
      <c r="S272" s="44"/>
      <c r="U272" s="37" t="s">
        <v>15</v>
      </c>
      <c r="V272" s="42">
        <f>_xll.ciqfunctions.udf.CIQ(A273,("IQ_LASTSALEPRICE"))</f>
        <v>152.86500000000001</v>
      </c>
      <c r="W272" s="44"/>
      <c r="Y272" s="37" t="s">
        <v>15</v>
      </c>
      <c r="Z272" s="42">
        <f>_xll.ciqfunctions.udf.CIQ(A273,("IQ_LASTSALEPRICE"))</f>
        <v>152.86500000000001</v>
      </c>
      <c r="AA272" s="44"/>
    </row>
    <row r="273" spans="1:27">
      <c r="A273" s="12" t="str">
        <f>Analysis!B20</f>
        <v>NasdaqGS:TXN</v>
      </c>
      <c r="B273" s="13">
        <v>1</v>
      </c>
      <c r="C273" s="14" t="s">
        <v>16</v>
      </c>
      <c r="D273" s="15">
        <f>IF(A281=A282,_xll.ciqfunctions.udf.CIQ(A273,"IQ_TOTAL_REV",IQ_FY-10)/I273,_xll.ciqfunctions.udf.CIQ(A273, "IQ_TOTAL_REV",IQ_FY-9)/I273)</f>
        <v>11.257002872652473</v>
      </c>
      <c r="E273" s="16"/>
      <c r="F273" s="15">
        <f>IF(A281=A282,_xll.ciqfunctions.udf.CIQ(A273,"IQ_DILUT_EPS_EXCL",IQ_FY-10), _xll.ciqfunctions.udf.CIQ(A273, "IQ_DILUT_EPS_EXCL",IQ_FY-9))</f>
        <v>1.91015</v>
      </c>
      <c r="G273" s="15">
        <f>IF(A281=A282,_xll.ciqfunctions.udf.CIQ(A273,"IQ_EBITDA_MARGIN",IQ_FY-10), _xll.ciqfunctions.udf.CIQ(A273, "IQ_EBITDA_MARGIN",IQ_FY-9))</f>
        <v>31.700099999999999</v>
      </c>
      <c r="H273" s="15">
        <f>IF(A281=A282,_xll.ciqfunctions.udf.CIQ(A273,"IQ_TOTAL_DIV_PAID_CF",IQ_FY-10)/-I273, _xll.ciqfunctions.udf.CIQ(A273, "IQ_TOTAL_DIV_PAID_CF",IQ_FY-9)/-I273)</f>
        <v>1.083734401914515</v>
      </c>
      <c r="I273" s="17">
        <f>IF(A281=A282,_xll.ciqfunctions.udf.CIQ(A273,"IQ_TOTAL_OUTSTANDING_FILING_DATE",IQ_FY-10), _xll.ciqfunctions.udf.CIQ(A273, "IQ_TOTAL_OUTSTANDING_FILING_DATE",IQ_FY-9))</f>
        <v>1084.21399</v>
      </c>
      <c r="J273" s="17">
        <f>IF(A281=A282,_xll.ciqfunctions.udf.CIQ(A273,"IQ_CASH_OPER",IQ_FY-10), _xll.ciqfunctions.udf.CIQ(A273, "IQ_CASH_OPER",IQ_FY-9))</f>
        <v>3384</v>
      </c>
      <c r="K273" s="17">
        <f>IF(A281=A282,_xll.ciqfunctions.udf.CIQ(A273,"IQ_CAPEX",IQ_FY-10), _xll.ciqfunctions.udf.CIQ(A273, "IQ_CAPEX",IQ_FY-9))</f>
        <v>-412</v>
      </c>
      <c r="L273" s="15">
        <f t="shared" ref="L273:L283" si="72">(J273+K273)/I273</f>
        <v>2.7411562914807992</v>
      </c>
      <c r="M273" s="17">
        <f>IF(A281=A282,_xll.ciqfunctions.udf.CIQ(A273,"IQ_TOTAL_DEBT_ISSUED",IQ_FY-10), _xll.ciqfunctions.udf.CIQ(A273, "IQ_TOTAL_DEBT_ISSUED",IQ_FY-9))</f>
        <v>986</v>
      </c>
      <c r="N273" s="17">
        <f>IF(A281=A282,_xll.ciqfunctions.udf.CIQ(A273,"IQ_TOTAL_DEBT_REPAID",IQ_FY-10), _xll.ciqfunctions.udf.CIQ(A273, "IQ_TOTAL_DEBT_REPAID",IQ_FY-9))</f>
        <v>-1500</v>
      </c>
      <c r="O273" s="15">
        <f t="shared" ref="O273:O283" si="73">(M273+N273)/I273</f>
        <v>-0.47407615539068998</v>
      </c>
      <c r="P273" s="15">
        <f t="shared" ref="P273:P283" si="74">L273+O273</f>
        <v>2.2670801360901094</v>
      </c>
      <c r="W273" s="43"/>
      <c r="AA273" s="43"/>
    </row>
    <row r="274" spans="1:27">
      <c r="A274" s="18" t="str">
        <f>_xll.ciqfunctions.udf.CIQ(A273,"IQ_COMPANY_NAME")</f>
        <v>Texas Instruments Incorporated</v>
      </c>
      <c r="B274" s="13">
        <v>2</v>
      </c>
      <c r="C274" s="14" t="s">
        <v>17</v>
      </c>
      <c r="D274" s="15">
        <f>IF(A281=A282,_xll.ciqfunctions.udf.CIQ(A273,"IQ_TOTAL_REV",IQ_FY-9)/I274, _xll.ciqfunctions.udf.CIQ(A273, "IQ_TOTAL_REV",IQ_FY-8)/I274)</f>
        <v>12.457714677365244</v>
      </c>
      <c r="E274" s="16">
        <f t="shared" ref="E274:E283" si="75">(D274-D273)/D273</f>
        <v>0.10666354253402167</v>
      </c>
      <c r="F274" s="15">
        <f>IF(A281=A282,_xll.ciqfunctions.udf.CIQ(A273,"IQ_DILUT_EPS_EXCL",IQ_FY-9), _xll.ciqfunctions.udf.CIQ(A273, "IQ_DILUT_EPS_EXCL",IQ_FY-8))</f>
        <v>2.5722200000000002</v>
      </c>
      <c r="G274" s="15">
        <f>IF(A281=A282,_xll.ciqfunctions.udf.CIQ(A273,"IQ_EBITDA_MARGIN",IQ_FY-9), _xll.ciqfunctions.udf.CIQ(A273, "IQ_EBITDA_MARGIN",IQ_FY-8))</f>
        <v>38.896099999999997</v>
      </c>
      <c r="H274" s="15">
        <f>IF(A281=A282,_xll.ciqfunctions.udf.CIQ(A273,"IQ_TOTAL_DIV_PAID_CF",IQ_FY-9)/-I274, _xll.ciqfunctions.udf.CIQ(A273, "IQ_TOTAL_DIV_PAID_CF",IQ_FY-8)/-I274)</f>
        <v>1.2634385985553254</v>
      </c>
      <c r="I274" s="17">
        <f>IF(A281=A282,_xll.ciqfunctions.udf.CIQ(A273,"IQ_TOTAL_OUTSTANDING_FILING_DATE",IQ_FY-9), _xll.ciqfunctions.udf.CIQ(A273, "IQ_TOTAL_OUTSTANDING_FILING_DATE",IQ_FY-8))</f>
        <v>1047.1423</v>
      </c>
      <c r="J274" s="17">
        <f>IF(A281=A282,_xll.ciqfunctions.udf.CIQ(A273,"IQ_CASH_OPER",IQ_FY-9), _xll.ciqfunctions.udf.CIQ(A273, "IQ_CASH_OPER",IQ_FY-8))</f>
        <v>4054</v>
      </c>
      <c r="K274" s="17">
        <f>IF(A281=A282,_xll.ciqfunctions.udf.CIQ(A273,"IQ_CAPEX",IQ_FY-9), _xll.ciqfunctions.udf.CIQ(A273, "IQ_CAPEX",IQ_FY-8))</f>
        <v>-385</v>
      </c>
      <c r="L274" s="15">
        <f t="shared" si="72"/>
        <v>3.5038217823881244</v>
      </c>
      <c r="M274" s="17">
        <f>IF(A281=A282,_xll.ciqfunctions.udf.CIQ(A273,"IQ_TOTAL_DEBT_ISSUED",IQ_FY-9), _xll.ciqfunctions.udf.CIQ(A273, "IQ_TOTAL_DEBT_ISSUED",IQ_FY-8))</f>
        <v>498</v>
      </c>
      <c r="N274" s="17">
        <f>IF(A281=A282,_xll.ciqfunctions.udf.CIQ(A273,"IQ_TOTAL_DEBT_REPAID",IQ_FY-9), _xll.ciqfunctions.udf.CIQ(A273, "IQ_TOTAL_DEBT_REPAID",IQ_FY-8))</f>
        <v>-1000</v>
      </c>
      <c r="O274" s="15">
        <f t="shared" si="73"/>
        <v>-0.47939998221827157</v>
      </c>
      <c r="P274" s="15">
        <f t="shared" si="74"/>
        <v>3.0244218001698528</v>
      </c>
      <c r="Q274" s="25" t="s">
        <v>18</v>
      </c>
      <c r="R274" s="39" t="s">
        <v>19</v>
      </c>
      <c r="S274" s="1">
        <f>R272/((AVERAGE(P278:P283))*(1+E284)^3)</f>
        <v>19.486266934065871</v>
      </c>
      <c r="U274" s="25" t="s">
        <v>48</v>
      </c>
      <c r="V274" s="39" t="s">
        <v>19</v>
      </c>
      <c r="W274" s="1">
        <f>V272/((AVERAGE(P278:P283))*(1+E284)^3)</f>
        <v>19.486266934065871</v>
      </c>
      <c r="Y274" s="25" t="s">
        <v>39</v>
      </c>
      <c r="Z274" s="39" t="s">
        <v>19</v>
      </c>
      <c r="AA274" s="1">
        <f>Z272/((AVERAGE(P278:P283))*(1+E284)^3)</f>
        <v>19.486266934065871</v>
      </c>
    </row>
    <row r="275" spans="1:27">
      <c r="B275" s="13">
        <v>3</v>
      </c>
      <c r="C275" s="14" t="s">
        <v>20</v>
      </c>
      <c r="D275" s="15" cm="1">
        <f t="array" ref="D275">_xlfn.SINGLE(IF(A281=A282,_xll.ciqfunctions.udf.CIQ(A273,"IQ_TOTAL_REV",IQ_FY-8)/I275, _xll.ciqfunctions.udf.CIQ(A273, "IQ_TOTAL_REV",IQ_FY-7)/I275))</f>
        <v>12.932007127485676</v>
      </c>
      <c r="E275" s="16">
        <f t="shared" si="75"/>
        <v>3.8072187588481729E-2</v>
      </c>
      <c r="F275" s="15">
        <f>IF(A281=A282,_xll.ciqfunctions.udf.CIQ(A273,"IQ_DILUT_EPS_EXCL",IQ_FY-8), _xll.ciqfunctions.udf.CIQ(A273, "IQ_DILUT_EPS_EXCL",IQ_FY-7))</f>
        <v>2.8226300000000002</v>
      </c>
      <c r="G275" s="15">
        <f>IF(A281=A282,_xll.ciqfunctions.udf.CIQ(A273,"IQ_EBITDA_MARGIN",IQ_FY-8), _xll.ciqfunctions.udf.CIQ(A273, "IQ_EBITDA_MARGIN",IQ_FY-7))</f>
        <v>40.769199999999998</v>
      </c>
      <c r="H275" s="15">
        <f>IF(A281=A282,_xll.ciqfunctions.udf.CIQ(A273,"IQ_TOTAL_DIV_PAID_CF",IQ_FY-8)/-I275, _xll.ciqfunctions.udf.CIQ(A273, "IQ_TOTAL_DIV_PAID_CF",IQ_FY-7)/-I275)</f>
        <v>1.4364475609299474</v>
      </c>
      <c r="I275" s="17">
        <f>IF(A281=A282,_xll.ciqfunctions.udf.CIQ(A273,"IQ_TOTAL_OUTSTANDING_FILING_DATE",IQ_FY-8), _xll.ciqfunctions.udf.CIQ(A273, "IQ_TOTAL_OUTSTANDING_FILING_DATE",IQ_FY-7))</f>
        <v>1005.2577199999999</v>
      </c>
      <c r="J275" s="17">
        <f>IF(A281=A282,_xll.ciqfunctions.udf.CIQ(A273,"IQ_CASH_OPER",IQ_FY-8), _xll.ciqfunctions.udf.CIQ(A273, "IQ_CASH_OPER",IQ_FY-7))</f>
        <v>4397</v>
      </c>
      <c r="K275" s="17">
        <f>IF(A281=A282,_xll.ciqfunctions.udf.CIQ(A273,"IQ_CAPEX",IQ_FY-8), _xll.ciqfunctions.udf.CIQ(A273, "IQ_CAPEX",IQ_FY-7))</f>
        <v>-551</v>
      </c>
      <c r="L275" s="15">
        <f t="shared" si="72"/>
        <v>3.8258845701776858</v>
      </c>
      <c r="M275" s="17">
        <f>IF(A281=A282,_xll.ciqfunctions.udf.CIQ(A273,"IQ_TOTAL_DEBT_ISSUED",IQ_FY-8), _xll.ciqfunctions.udf.CIQ(A273, "IQ_TOTAL_DEBT_ISSUED",IQ_FY-7))</f>
        <v>498</v>
      </c>
      <c r="N275" s="17">
        <f>IF(A281=A282,_xll.ciqfunctions.udf.CIQ(A273,"IQ_TOTAL_DEBT_REPAID",IQ_FY-8), _xll.ciqfunctions.udf.CIQ(A273, "IQ_TOTAL_DEBT_REPAID",IQ_FY-7))</f>
        <v>-1000</v>
      </c>
      <c r="O275" s="15">
        <f t="shared" si="73"/>
        <v>-0.49937442907675461</v>
      </c>
      <c r="P275" s="15">
        <f t="shared" si="74"/>
        <v>3.3265101411009312</v>
      </c>
      <c r="Q275" s="25" t="s">
        <v>21</v>
      </c>
      <c r="R275" s="38" t="s">
        <v>49</v>
      </c>
      <c r="S275" s="2">
        <f>(R272*I283)/1000</f>
        <v>138.83261821784998</v>
      </c>
      <c r="U275" s="25" t="s">
        <v>59</v>
      </c>
      <c r="V275" s="38" t="s">
        <v>49</v>
      </c>
      <c r="W275" s="2">
        <f>(V272*I283)/1000</f>
        <v>138.83261821784998</v>
      </c>
      <c r="Y275" s="25" t="s">
        <v>46</v>
      </c>
      <c r="Z275" s="38" t="s">
        <v>49</v>
      </c>
      <c r="AA275" s="2">
        <f>(Z272*I283)/1000</f>
        <v>138.83261821784998</v>
      </c>
    </row>
    <row r="276" spans="1:27">
      <c r="A276" s="18"/>
      <c r="B276" s="13">
        <v>4</v>
      </c>
      <c r="C276" s="14" t="s">
        <v>22</v>
      </c>
      <c r="D276" s="15" cm="1">
        <f t="array" ref="D276">_xlfn.SINGLE(IF(A281=A282,_xll.ciqfunctions.udf.CIQ(A273,"IQ_TOTAL_REV",IQ_FY-7)/I276, _xll.ciqfunctions.udf.CIQ(A273, "IQ_TOTAL_REV",IQ_FY-6)/I276))</f>
        <v>13.374818545877524</v>
      </c>
      <c r="E276" s="16">
        <f t="shared" si="75"/>
        <v>3.4241507449427333E-2</v>
      </c>
      <c r="F276" s="15">
        <f>IF(A281=A282,_xll.ciqfunctions.udf.CIQ(A273,"IQ_DILUT_EPS_EXCL",IQ_FY-7), _xll.ciqfunctions.udf.CIQ(A273, "IQ_DILUT_EPS_EXCL",IQ_FY-6))</f>
        <v>3.4779599999999999</v>
      </c>
      <c r="G276" s="15">
        <f>IF(A281=A282,_xll.ciqfunctions.udf.CIQ(A273,"IQ_EBITDA_MARGIN",IQ_FY-7), _xll.ciqfunctions.udf.CIQ(A273, "IQ_EBITDA_MARGIN",IQ_FY-6))</f>
        <v>42.6477</v>
      </c>
      <c r="H276" s="15">
        <f>IF(A281=A282,_xll.ciqfunctions.udf.CIQ(A273,"IQ_TOTAL_DIV_PAID_CF",IQ_FY-7)/-I276, _xll.ciqfunctions.udf.CIQ(A273, "IQ_TOTAL_DIV_PAID_CF",IQ_FY-6)/-I276)</f>
        <v>1.6465932181386989</v>
      </c>
      <c r="I276" s="17">
        <f>IF(A281=A282,_xll.ciqfunctions.udf.CIQ(A273,"IQ_TOTAL_OUTSTANDING_FILING_DATE",IQ_FY-7), _xll.ciqfunctions.udf.CIQ(A273, "IQ_TOTAL_OUTSTANDING_FILING_DATE",IQ_FY-6))</f>
        <v>999.63972999999999</v>
      </c>
      <c r="J276" s="17">
        <f>IF(A281=A282,_xll.ciqfunctions.udf.CIQ(A273,"IQ_CASH_OPER",IQ_FY-7), _xll.ciqfunctions.udf.CIQ(A273, "IQ_CASH_OPER",IQ_FY-6))</f>
        <v>4614</v>
      </c>
      <c r="K276" s="17">
        <f>IF(A281=A282,_xll.ciqfunctions.udf.CIQ(A273,"IQ_CAPEX",IQ_FY-7), _xll.ciqfunctions.udf.CIQ(A273, "IQ_CAPEX",IQ_FY-6))</f>
        <v>-531</v>
      </c>
      <c r="L276" s="15">
        <f t="shared" si="72"/>
        <v>4.0844715125518274</v>
      </c>
      <c r="M276" s="17">
        <f>IF(A281=A282,_xll.ciqfunctions.udf.CIQ(A273,"IQ_TOTAL_DEBT_ISSUED",IQ_FY-7), _xll.ciqfunctions.udf.CIQ(A273, "IQ_TOTAL_DEBT_ISSUED",IQ_FY-6))</f>
        <v>499</v>
      </c>
      <c r="N276" s="17">
        <f>IF(A281=A282,_xll.ciqfunctions.udf.CIQ(A273,"IQ_TOTAL_DEBT_REPAID",IQ_FY-7), _xll.ciqfunctions.udf.CIQ(A273, "IQ_TOTAL_DEBT_REPAID",IQ_FY-6))</f>
        <v>-1000</v>
      </c>
      <c r="O276" s="15">
        <f t="shared" si="73"/>
        <v>-0.50118056032046665</v>
      </c>
      <c r="P276" s="15">
        <f t="shared" si="74"/>
        <v>3.5832909522313607</v>
      </c>
      <c r="Q276" s="25" t="s">
        <v>23</v>
      </c>
      <c r="R276" s="38" t="s">
        <v>24</v>
      </c>
      <c r="S276" s="1">
        <f>R272/(AVERAGE(H278:H283)*(1+H284)/(0.5-H284))</f>
        <v>12.87116565456199</v>
      </c>
      <c r="U276" s="25" t="s">
        <v>40</v>
      </c>
      <c r="V276" s="38" t="s">
        <v>24</v>
      </c>
      <c r="W276" s="1">
        <f>V272/(AVERAGE(H278:H283)*(1+H284)/(0.5-H284))</f>
        <v>12.87116565456199</v>
      </c>
      <c r="Y276" s="25" t="s">
        <v>47</v>
      </c>
      <c r="Z276" s="38" t="s">
        <v>24</v>
      </c>
      <c r="AA276" s="1">
        <f>Z272/(AVERAGE(H278:H283)*(1+H284)/(0.5-H284))</f>
        <v>12.87116565456199</v>
      </c>
    </row>
    <row r="277" spans="1:27">
      <c r="B277" s="13">
        <v>5</v>
      </c>
      <c r="C277" s="14" t="s">
        <v>25</v>
      </c>
      <c r="D277" s="15" cm="1">
        <f t="array" ref="D277">_xlfn.SINGLE(IF(A281=A282,_xll.ciqfunctions.udf.CIQ(A273,"IQ_TOTAL_REV",IQ_FY-6)/I277, _xll.ciqfunctions.udf.CIQ(A273, "IQ_TOTAL_REV",IQ_FY-5)/I277))</f>
        <v>15.207552443998322</v>
      </c>
      <c r="E277" s="16">
        <f t="shared" si="75"/>
        <v>0.13702869252650129</v>
      </c>
      <c r="F277" s="15">
        <f>IF(A281=A282,_xll.ciqfunctions.udf.CIQ(A273,"IQ_DILUT_EPS_EXCL",IQ_FY-6), _xll.ciqfunctions.udf.CIQ(A273, "IQ_DILUT_EPS_EXCL",IQ_FY-5))</f>
        <v>3.6057299999999999</v>
      </c>
      <c r="G277" s="15">
        <f>IF(A281=A282,_xll.ciqfunctions.udf.CIQ(A273,"IQ_EBITDA_MARGIN",IQ_FY-6), _xll.ciqfunctions.udf.CIQ(A273, "IQ_EBITDA_MARGIN",IQ_FY-5))</f>
        <v>46.052999999999997</v>
      </c>
      <c r="H277" s="15">
        <f>IF(A281=A282,_xll.ciqfunctions.udf.CIQ(A273,"IQ_TOTAL_DIV_PAID_CF",IQ_FY-6)/-I277, _xll.ciqfunctions.udf.CIQ(A273, "IQ_TOTAL_DIV_PAID_CF",IQ_FY-5)/-I277)</f>
        <v>2.1386732399019097</v>
      </c>
      <c r="I277" s="17">
        <f>IF(A281=A282,_xll.ciqfunctions.udf.CIQ(A273,"IQ_TOTAL_OUTSTANDING_FILING_DATE",IQ_FY-6), _xll.ciqfunctions.udf.CIQ(A273, "IQ_TOTAL_OUTSTANDING_FILING_DATE",IQ_FY-5))</f>
        <v>983.78750000000002</v>
      </c>
      <c r="J277" s="17">
        <f>IF(A281=A282,_xll.ciqfunctions.udf.CIQ(A273,"IQ_CASH_OPER",IQ_FY-6), _xll.ciqfunctions.udf.CIQ(A273, "IQ_CASH_OPER",IQ_FY-5))</f>
        <v>5363</v>
      </c>
      <c r="K277" s="17">
        <f>IF(A281=A282,_xll.ciqfunctions.udf.CIQ(A273,"IQ_CAPEX",IQ_FY-6), _xll.ciqfunctions.udf.CIQ(A273, "IQ_CAPEX",IQ_FY-5))</f>
        <v>-695</v>
      </c>
      <c r="L277" s="15">
        <f t="shared" si="72"/>
        <v>4.7449271311131724</v>
      </c>
      <c r="M277" s="17">
        <f>IF(A281=A282,_xll.ciqfunctions.udf.CIQ(A273,"IQ_TOTAL_DEBT_ISSUED",IQ_FY-6), _xll.ciqfunctions.udf.CIQ(A273, "IQ_TOTAL_DEBT_ISSUED",IQ_FY-5))</f>
        <v>1099</v>
      </c>
      <c r="N277" s="17">
        <f>IF(A281=A282,_xll.ciqfunctions.udf.CIQ(A273,"IQ_TOTAL_DEBT_REPAID",IQ_FY-6), _xll.ciqfunctions.udf.CIQ(A273, "IQ_TOTAL_DEBT_REPAID",IQ_FY-5))</f>
        <v>-625</v>
      </c>
      <c r="O277" s="15">
        <f t="shared" si="73"/>
        <v>0.48181136678398534</v>
      </c>
      <c r="P277" s="15">
        <f t="shared" si="74"/>
        <v>5.2267384978971574</v>
      </c>
      <c r="Q277" s="18"/>
      <c r="R277" s="38" t="s">
        <v>50</v>
      </c>
      <c r="S277" s="3">
        <f>I284</f>
        <v>-6.5379986036860904E-3</v>
      </c>
      <c r="U277" s="18"/>
      <c r="V277" s="38" t="s">
        <v>50</v>
      </c>
      <c r="W277" s="3">
        <f>I284</f>
        <v>-6.5379986036860904E-3</v>
      </c>
      <c r="Y277" s="18"/>
      <c r="Z277" s="38" t="s">
        <v>50</v>
      </c>
      <c r="AA277" s="3">
        <f>I284</f>
        <v>-6.5379986036860904E-3</v>
      </c>
    </row>
    <row r="278" spans="1:27">
      <c r="B278" s="13">
        <v>6</v>
      </c>
      <c r="C278" s="14" t="s">
        <v>26</v>
      </c>
      <c r="D278" s="15" cm="1">
        <f t="array" ref="D278">_xlfn.SINGLE(IF(A281=A282,_xll.ciqfunctions.udf.CIQ(A273,"IQ_TOTAL_REV",IQ_FY-5)/I278, _xll.ciqfunctions.udf.CIQ(A273, "IQ_TOTAL_REV",IQ_FY-4)/I278))</f>
        <v>16.818603096950127</v>
      </c>
      <c r="E278" s="16">
        <f t="shared" si="75"/>
        <v>0.10593753721280824</v>
      </c>
      <c r="F278" s="15">
        <f>IF(A281=A282,_xll.ciqfunctions.udf.CIQ(A273,"IQ_DILUT_EPS_EXCL",IQ_FY-5), _xll.ciqfunctions.udf.CIQ(A273, "IQ_DILUT_EPS_EXCL",IQ_FY-4))</f>
        <v>5.5939399999999999</v>
      </c>
      <c r="G278" s="15">
        <f>IF(A281=A282,_xll.ciqfunctions.udf.CIQ(A273,"IQ_EBITDA_MARGIN",IQ_FY-5), _xll.ciqfunctions.udf.CIQ(A273, "IQ_EBITDA_MARGIN",IQ_FY-4))</f>
        <v>48.099299999999999</v>
      </c>
      <c r="H278" s="15">
        <f>IF(A281=A282,_xll.ciqfunctions.udf.CIQ(A273,"IQ_TOTAL_DIV_PAID_CF",IQ_FY-5)/-I278, _xll.ciqfunctions.udf.CIQ(A273, "IQ_TOTAL_DIV_PAID_CF",IQ_FY-4)/-I278)</f>
        <v>2.7224740821532927</v>
      </c>
      <c r="I278" s="17">
        <f>IF(A281=A282,_xll.ciqfunctions.udf.CIQ(A273,"IQ_TOTAL_OUTSTANDING_FILING_DATE",IQ_FY-5), _xll.ciqfunctions.udf.CIQ(A273, "IQ_TOTAL_OUTSTANDING_FILING_DATE",IQ_FY-4))</f>
        <v>938.4846</v>
      </c>
      <c r="J278" s="17">
        <f>IF(A281=A282,_xll.ciqfunctions.udf.CIQ(A273,"IQ_CASH_OPER",IQ_FY-5), _xll.ciqfunctions.udf.CIQ(A273, "IQ_CASH_OPER",IQ_FY-4))</f>
        <v>7189</v>
      </c>
      <c r="K278" s="17">
        <f>IF(A281=A282,_xll.ciqfunctions.udf.CIQ(A273,"IQ_CAPEX",IQ_FY-5), _xll.ciqfunctions.udf.CIQ(A273, "IQ_CAPEX",IQ_FY-4))</f>
        <v>-1131</v>
      </c>
      <c r="L278" s="15">
        <f t="shared" si="72"/>
        <v>6.4550872758061244</v>
      </c>
      <c r="M278" s="17">
        <f>IF(A281=A282,_xll.ciqfunctions.udf.CIQ(A273,"IQ_TOTAL_DEBT_ISSUED",IQ_FY-5), _xll.ciqfunctions.udf.CIQ(A273, "IQ_TOTAL_DEBT_ISSUED",IQ_FY-4))</f>
        <v>1500</v>
      </c>
      <c r="N278" s="17">
        <f>IF(A281=A282,_xll.ciqfunctions.udf.CIQ(A273,"IQ_TOTAL_DEBT_REPAID",IQ_FY-5), _xll.ciqfunctions.udf.CIQ(A273, "IQ_TOTAL_DEBT_REPAID",IQ_FY-4))</f>
        <v>-500</v>
      </c>
      <c r="O278" s="15">
        <f t="shared" si="73"/>
        <v>1.0655475859699775</v>
      </c>
      <c r="P278" s="15">
        <f t="shared" si="74"/>
        <v>7.5206348617761023</v>
      </c>
      <c r="Q278" s="25" t="s">
        <v>27</v>
      </c>
      <c r="R278" s="38" t="s">
        <v>51</v>
      </c>
      <c r="S278" s="4">
        <f>AVERAGE(F278:F283)/AVERAGE(D278:D283)</f>
        <v>0.3840416289356175</v>
      </c>
      <c r="U278" s="25" t="s">
        <v>58</v>
      </c>
      <c r="V278" s="38" t="s">
        <v>51</v>
      </c>
      <c r="W278" s="4">
        <f>AVERAGE(F278:F283)/AVERAGE(D278:D283)</f>
        <v>0.3840416289356175</v>
      </c>
      <c r="Y278" s="25" t="s">
        <v>56</v>
      </c>
      <c r="Z278" s="38" t="s">
        <v>51</v>
      </c>
      <c r="AA278" s="4">
        <f>AVERAGE(F278:F283)/AVERAGE(D278:D283)</f>
        <v>0.3840416289356175</v>
      </c>
    </row>
    <row r="279" spans="1:27">
      <c r="A279" s="18"/>
      <c r="B279" s="13">
        <v>7</v>
      </c>
      <c r="C279" s="14" t="s">
        <v>28</v>
      </c>
      <c r="D279" s="15" cm="1">
        <f t="array" ref="D279">_xlfn.SINGLE(IF(A281=A282,_xll.ciqfunctions.udf.CIQ(A273,"IQ_TOTAL_REV",IQ_FY-4)/I279, _xll.ciqfunctions.udf.CIQ(A273, "IQ_TOTAL_REV",IQ_FY-3)/I279))</f>
        <v>15.399759578306766</v>
      </c>
      <c r="E279" s="16">
        <f t="shared" si="75"/>
        <v>-8.4361555502826147E-2</v>
      </c>
      <c r="F279" s="15">
        <f>IF(A281=A282,_xll.ciqfunctions.udf.CIQ(A273,"IQ_DILUT_EPS_EXCL",IQ_FY-4), _xll.ciqfunctions.udf.CIQ(A273, "IQ_DILUT_EPS_EXCL",IQ_FY-3))</f>
        <v>5.2373900000000004</v>
      </c>
      <c r="G279" s="15">
        <f>IF(A281=A282,_xll.ciqfunctions.udf.CIQ(A273,"IQ_EBITDA_MARGIN",IQ_FY-4), _xll.ciqfunctions.udf.CIQ(A273, "IQ_EBITDA_MARGIN",IQ_FY-3))</f>
        <v>46.4298</v>
      </c>
      <c r="H279" s="15">
        <f>IF(A281=A282,_xll.ciqfunctions.udf.CIQ(A273,"IQ_TOTAL_DIV_PAID_CF",IQ_FY-4)/-I279, _xll.ciqfunctions.udf.CIQ(A273, "IQ_TOTAL_DIV_PAID_CF",IQ_FY-3)/-I279)</f>
        <v>3.2206408128726101</v>
      </c>
      <c r="I279" s="17">
        <f>IF(A281=A282,_xll.ciqfunctions.udf.CIQ(A273,"IQ_TOTAL_OUTSTANDING_FILING_DATE",IQ_FY-4), _xll.ciqfunctions.udf.CIQ(A273, "IQ_TOTAL_OUTSTANDING_FILING_DATE",IQ_FY-3))</f>
        <v>933.97562000000005</v>
      </c>
      <c r="J279" s="17">
        <f>IF(A281=A282,_xll.ciqfunctions.udf.CIQ(A273,"IQ_CASH_OPER",IQ_FY-4), _xll.ciqfunctions.udf.CIQ(A273, "IQ_CASH_OPER",IQ_FY-3))</f>
        <v>6649</v>
      </c>
      <c r="K279" s="17">
        <f>IF(A281=A282,_xll.ciqfunctions.udf.CIQ(A273,"IQ_CAPEX",IQ_FY-4), _xll.ciqfunctions.udf.CIQ(A273, "IQ_CAPEX",IQ_FY-3))</f>
        <v>-847</v>
      </c>
      <c r="L279" s="15">
        <f t="shared" si="72"/>
        <v>6.2121535891911179</v>
      </c>
      <c r="M279" s="17">
        <f>IF(A281=A282,_xll.ciqfunctions.udf.CIQ(A273,"IQ_TOTAL_DEBT_ISSUED",IQ_FY-4), _xll.ciqfunctions.udf.CIQ(A273, "IQ_TOTAL_DEBT_ISSUED",IQ_FY-3))</f>
        <v>1491</v>
      </c>
      <c r="N279" s="17">
        <f>IF(A281=A282,_xll.ciqfunctions.udf.CIQ(A273,"IQ_TOTAL_DEBT_REPAID",IQ_FY-4), _xll.ciqfunctions.udf.CIQ(A273, "IQ_TOTAL_DEBT_REPAID",IQ_FY-3))</f>
        <v>-750</v>
      </c>
      <c r="O279" s="15">
        <f t="shared" si="73"/>
        <v>0.79338259386256782</v>
      </c>
      <c r="P279" s="15">
        <f t="shared" si="74"/>
        <v>7.0055361830536853</v>
      </c>
      <c r="Q279" s="18"/>
      <c r="R279" s="38" t="s">
        <v>29</v>
      </c>
      <c r="S279" s="4">
        <f>(AVERAGE(P278:P283)/_xlfn.STDEV.P(P278:P283))/(IF(A281=A282,(_xlfn.SINGLE(_xll.ciqfunctions.udf.CIQ(A273,"IQ_total_assets",IQ_FY)) - _xlfn.SINGLE(_xll.ciqfunctions.udf.CIQ(A273,"iq_gw_intan", IQ_FY)))/I283, (_xlfn.SINGLE(_xll.ciqfunctions.udf.CIQ(A273, "IQ_total_assets",IQ_LTM))-_xlfn.SINGLE(_xll.ciqfunctions.udf.CIQ(A273,"iq_gw_intan",IQ_LTM)))/I283))</f>
        <v>0.29989722556537901</v>
      </c>
      <c r="U279" s="18"/>
      <c r="V279" s="38" t="s">
        <v>29</v>
      </c>
      <c r="W279" s="4">
        <f>(AVERAGE(P278:P283)/_xlfn.STDEV.P(P278:P283))/(IF(A281=A282,(_xlfn.SINGLE(_xll.ciqfunctions.udf.CIQ(A273,"IQ_total_assets",IQ_FY)) - _xlfn.SINGLE(_xll.ciqfunctions.udf.CIQ(A273,"iq_gw_intan", IQ_FY)))/I283, (_xlfn.SINGLE(_xll.ciqfunctions.udf.CIQ(A273, "IQ_total_assets",IQ_LTM))-_xlfn.SINGLE(_xll.ciqfunctions.udf.CIQ(A273,"iq_gw_intan",IQ_LTM)))/I283))</f>
        <v>0.29989722556537901</v>
      </c>
      <c r="Y279" s="18"/>
      <c r="Z279" s="38" t="s">
        <v>29</v>
      </c>
      <c r="AA279" s="4">
        <f>(AVERAGE(P278:P283)/_xlfn.STDEV.P(P278:P283))/(IF(A281=A282,(_xlfn.SINGLE(_xll.ciqfunctions.udf.CIQ(A273,"IQ_total_assets",IQ_FY)) - _xlfn.SINGLE(_xll.ciqfunctions.udf.CIQ(A273,"iq_gw_intan", IQ_FY)))/I283, (_xlfn.SINGLE(_xll.ciqfunctions.udf.CIQ(A273, "IQ_total_assets",IQ_LTM))-_xlfn.SINGLE(_xll.ciqfunctions.udf.CIQ(A273,"iq_gw_intan",IQ_LTM)))/I283))</f>
        <v>0.29989722556537901</v>
      </c>
    </row>
    <row r="280" spans="1:27">
      <c r="A280" s="18"/>
      <c r="B280" s="13">
        <v>8</v>
      </c>
      <c r="C280" s="14" t="s">
        <v>30</v>
      </c>
      <c r="D280" s="15" cm="1">
        <f t="array" ref="D280">_xlfn.SINGLE(IF(A281=A282,_xll.ciqfunctions.udf.CIQ(A273,"IQ_TOTAL_REV",IQ_FY-3)/I280, _xll.ciqfunctions.udf.CIQ(A273, "IQ_TOTAL_REV",IQ_FY-2)/I280))</f>
        <v>15.71439268957889</v>
      </c>
      <c r="E280" s="16">
        <f t="shared" si="75"/>
        <v>2.043104047645912E-2</v>
      </c>
      <c r="F280" s="15">
        <f>IF(A281=A282,_xll.ciqfunctions.udf.CIQ(A273,"IQ_DILUT_EPS_EXCL",IQ_FY-3), _xll.ciqfunctions.udf.CIQ(A273, "IQ_DILUT_EPS_EXCL",IQ_FY-2))</f>
        <v>5.97</v>
      </c>
      <c r="G280" s="15">
        <f>IF(A281=A282,_xll.ciqfunctions.udf.CIQ(A273,"IQ_EBITDA_MARGIN",IQ_FY-3), _xll.ciqfunctions.udf.CIQ(A273, "IQ_EBITDA_MARGIN",IQ_FY-2))</f>
        <v>46.040999999999997</v>
      </c>
      <c r="H280" s="15">
        <f>IF(A281=A282,_xll.ciqfunctions.udf.CIQ(A273,"IQ_TOTAL_DIV_PAID_CF",IQ_FY-3)/-I280, _xll.ciqfunctions.udf.CIQ(A273, "IQ_TOTAL_DIV_PAID_CF",IQ_FY-2)/-I280)</f>
        <v>3.7229451182143198</v>
      </c>
      <c r="I280" s="17">
        <f>IF(A281=A282,_xll.ciqfunctions.udf.CIQ(A273,"IQ_TOTAL_OUTSTANDING_FILING_DATE",IQ_FY-3), _xll.ciqfunctions.udf.CIQ(A273, "IQ_TOTAL_OUTSTANDING_FILING_DATE",IQ_FY-2))</f>
        <v>920.23919000000001</v>
      </c>
      <c r="J280" s="17">
        <f>IF(A281=A282,_xll.ciqfunctions.udf.CIQ(A273,"IQ_CASH_OPER",IQ_FY-3), _xll.ciqfunctions.udf.CIQ(A273, "IQ_CASH_OPER",IQ_FY-2))</f>
        <v>6139</v>
      </c>
      <c r="K280" s="17">
        <f>IF(A281=A282,_xll.ciqfunctions.udf.CIQ(A273,"IQ_CAPEX",IQ_FY-3), _xll.ciqfunctions.udf.CIQ(A273, "IQ_CAPEX",IQ_FY-2))</f>
        <v>-649</v>
      </c>
      <c r="L280" s="15">
        <f t="shared" si="72"/>
        <v>5.9658402507287258</v>
      </c>
      <c r="M280" s="17">
        <f>IF(A281=A282,_xll.ciqfunctions.udf.CIQ(A273,"IQ_TOTAL_DEBT_ISSUED",IQ_FY-3), _xll.ciqfunctions.udf.CIQ(A273, "IQ_TOTAL_DEBT_ISSUED",IQ_FY-2))</f>
        <v>1498</v>
      </c>
      <c r="N280" s="17">
        <f>IF(A281=A282,_xll.ciqfunctions.udf.CIQ(A273,"IQ_TOTAL_DEBT_REPAID",IQ_FY-3), _xll.ciqfunctions.udf.CIQ(A273, "IQ_TOTAL_DEBT_REPAID",IQ_FY-2))</f>
        <v>-500</v>
      </c>
      <c r="O280" s="15">
        <f t="shared" si="73"/>
        <v>1.0845006503146208</v>
      </c>
      <c r="P280" s="15">
        <f t="shared" si="74"/>
        <v>7.0503409010433469</v>
      </c>
      <c r="Q280" s="18"/>
      <c r="R280" s="39" t="s">
        <v>31</v>
      </c>
      <c r="S280" s="5">
        <f>IF(NOT(D273&gt;0),FALSE,SLOPE(G273:G283,B273:B283))</f>
        <v>1.7790100000000002</v>
      </c>
      <c r="U280" s="18"/>
      <c r="V280" s="39" t="s">
        <v>31</v>
      </c>
      <c r="W280" s="5">
        <f>IF(NOT(D273&gt;0),FALSE,SLOPE(G273:G283,B273:B283))</f>
        <v>1.7790100000000002</v>
      </c>
      <c r="Y280" s="18"/>
      <c r="Z280" s="39" t="s">
        <v>31</v>
      </c>
      <c r="AA280" s="5">
        <f>IF(NOT(L273&gt;0),FALSE,SLOPE(O273:O283,J273:J283))</f>
        <v>4.0357390446730504E-4</v>
      </c>
    </row>
    <row r="281" spans="1:27">
      <c r="A281" s="19">
        <f>_xll.ciqfunctions.udf.CIQ(A273,"IQ_TOTAL_REV",IQ_FY)</f>
        <v>20028</v>
      </c>
      <c r="B281" s="13">
        <v>9</v>
      </c>
      <c r="C281" s="14" t="s">
        <v>32</v>
      </c>
      <c r="D281" s="15" cm="1">
        <f t="array" ref="D281">_xlfn.SINGLE(IF(A281=A282,_xll.ciqfunctions.udf.CIQ(A273,"IQ_TOTAL_REV",IQ_FY-2)/I281, _xll.ciqfunctions.udf.CIQ(A273, "IQ_TOTAL_REV",IQ_FY-1)/I281))</f>
        <v>19.862550371824042</v>
      </c>
      <c r="E281" s="16">
        <f t="shared" si="75"/>
        <v>0.26397187369487285</v>
      </c>
      <c r="F281" s="15">
        <f>IF(A281=A282,_xll.ciqfunctions.udf.CIQ(A273,"IQ_DILUT_EPS_EXCL",IQ_FY-2), _xll.ciqfunctions.udf.CIQ(A273, "IQ_DILUT_EPS_EXCL",IQ_FY-1))</f>
        <v>8.26</v>
      </c>
      <c r="G281" s="15">
        <f>IF(A281=A282,_xll.ciqfunctions.udf.CIQ(A273,"IQ_EBITDA_MARGIN",IQ_FY-2), _xll.ciqfunctions.udf.CIQ(A273, "IQ_EBITDA_MARGIN",IQ_FY-1))</f>
        <v>53.505200000000002</v>
      </c>
      <c r="H281" s="15">
        <f>IF(A281=A282,_xll.ciqfunctions.udf.CIQ(A273,"IQ_TOTAL_DIV_PAID_CF",IQ_FY-2)/-I281, _xll.ciqfunctions.udf.CIQ(A273, "IQ_TOTAL_DIV_PAID_CF",IQ_FY-1)/-I281)</f>
        <v>4.2076902935514733</v>
      </c>
      <c r="I281" s="17">
        <f>IF(A281=A282,_xll.ciqfunctions.udf.CIQ(A273,"IQ_TOTAL_OUTSTANDING_FILING_DATE",IQ_FY-2), _xll.ciqfunctions.udf.CIQ(A273, "IQ_TOTAL_OUTSTANDING_FILING_DATE",IQ_FY-1))</f>
        <v>923.54705999999999</v>
      </c>
      <c r="J281" s="17">
        <f>IF(A281=A282,_xll.ciqfunctions.udf.CIQ(A273,"IQ_CASH_OPER",IQ_FY-2), _xll.ciqfunctions.udf.CIQ(A273, "IQ_CASH_OPER",IQ_FY-1))</f>
        <v>8756</v>
      </c>
      <c r="K281" s="17">
        <f>IF(A281=A282,_xll.ciqfunctions.udf.CIQ(A273,"IQ_CAPEX",IQ_FY-2), _xll.ciqfunctions.udf.CIQ(A273, "IQ_CAPEX",IQ_FY-1))</f>
        <v>-2462</v>
      </c>
      <c r="L281" s="15">
        <f t="shared" si="72"/>
        <v>6.8150290035030805</v>
      </c>
      <c r="M281" s="17">
        <f>IF(A281=A282,_xll.ciqfunctions.udf.CIQ(A273,"IQ_TOTAL_DEBT_ISSUED",IQ_FY-2), _xll.ciqfunctions.udf.CIQ(A273, "IQ_TOTAL_DEBT_ISSUED",IQ_FY-1))</f>
        <v>1495</v>
      </c>
      <c r="N281" s="17">
        <f>IF(A281=A282,_xll.ciqfunctions.udf.CIQ(A273,"IQ_TOTAL_DEBT_REPAID",IQ_FY-2), _xll.ciqfunctions.udf.CIQ(A273, "IQ_TOTAL_DEBT_REPAID",IQ_FY-1))</f>
        <v>-550</v>
      </c>
      <c r="O281" s="15">
        <f t="shared" si="73"/>
        <v>1.0232288541961252</v>
      </c>
      <c r="P281" s="15">
        <f t="shared" si="74"/>
        <v>7.8382578576992055</v>
      </c>
      <c r="Q281" s="25" t="s">
        <v>33</v>
      </c>
      <c r="R281" s="38" t="s">
        <v>52</v>
      </c>
      <c r="S281" s="4">
        <f>(AVERAGE(O278:O283)/AVERAGE(P278:P283))</f>
        <v>0.2046368773500197</v>
      </c>
      <c r="U281" s="25" t="s">
        <v>54</v>
      </c>
      <c r="V281" s="38" t="s">
        <v>52</v>
      </c>
      <c r="W281" s="4">
        <f>(AVERAGE(O278:O283)/AVERAGE(P278:P283))</f>
        <v>0.2046368773500197</v>
      </c>
      <c r="Y281" s="25" t="s">
        <v>60</v>
      </c>
      <c r="Z281" s="38" t="s">
        <v>52</v>
      </c>
      <c r="AA281" s="4">
        <f>(AVERAGE(O278:O283)/AVERAGE(P278:P283))</f>
        <v>0.2046368773500197</v>
      </c>
    </row>
    <row r="282" spans="1:27">
      <c r="A282" s="19">
        <f>_xll.ciqfunctions.udf.CIQ(A273,"IQ_TOTAL_REV",IQ_LTM)</f>
        <v>18112</v>
      </c>
      <c r="B282" s="13">
        <v>10</v>
      </c>
      <c r="C282" s="14" t="s">
        <v>34</v>
      </c>
      <c r="D282" s="15" cm="1">
        <f t="array" ref="D282">_xlfn.SINGLE(IF(A281=A282,_xll.ciqfunctions.udf.CIQ(A273,"IQ_TOTAL_REV",IQ_FY-1)/I282, _xll.ciqfunctions.udf.CIQ(A273, "IQ_TOTAL_REV",IQ_FY)/I282))</f>
        <v>22.100939985155691</v>
      </c>
      <c r="E282" s="16">
        <f t="shared" si="75"/>
        <v>0.11269396786562258</v>
      </c>
      <c r="F282" s="15">
        <f>IF(A281=A282,_xll.ciqfunctions.udf.CIQ(A273,"IQ_DILUT_EPS_EXCL",IQ_FY-1), _xll.ciqfunctions.udf.CIQ(A273, "IQ_DILUT_EPS_EXCL",IQ_FY))</f>
        <v>9.4060500000000005</v>
      </c>
      <c r="G282" s="15">
        <f>IF(A281=A282,_xll.ciqfunctions.udf.CIQ(A273,"IQ_EBITDA_MARGIN",IQ_FY-1), _xll.ciqfunctions.udf.CIQ(A273, "IQ_EBITDA_MARGIN",IQ_FY))</f>
        <v>55.0229</v>
      </c>
      <c r="H282" s="15">
        <f>IF(A281=A282,_xll.ciqfunctions.udf.CIQ(A273,"IQ_TOTAL_DIV_PAID_CF",IQ_FY-1)/-I282, _xll.ciqfunctions.udf.CIQ(A273, "IQ_TOTAL_DIV_PAID_CF",IQ_FY)/-I282)</f>
        <v>4.7417485078996409</v>
      </c>
      <c r="I282" s="17">
        <f>IF(A281=A282,_xll.ciqfunctions.udf.CIQ(A273,"IQ_TOTAL_OUTSTANDING_FILING_DATE",IQ_FY-1), _xll.ciqfunctions.udf.CIQ(A273, "IQ_TOTAL_OUTSTANDING_FILING_DATE",IQ_FY))</f>
        <v>906.20579999999995</v>
      </c>
      <c r="J282" s="17">
        <f>IF(A281=A282,_xll.ciqfunctions.udf.CIQ(A273,"IQ_CASH_OPER",IQ_FY-1), _xll.ciqfunctions.udf.CIQ(A273, "IQ_CASH_OPER",IQ_FY))</f>
        <v>8720</v>
      </c>
      <c r="K282" s="17">
        <f>IF(A281=A282,_xll.ciqfunctions.udf.CIQ(A273,"IQ_CAPEX",IQ_FY-1), _xll.ciqfunctions.udf.CIQ(A273, "IQ_CAPEX",IQ_FY))</f>
        <v>-2797</v>
      </c>
      <c r="L282" s="15">
        <f t="shared" si="72"/>
        <v>6.5360429165207288</v>
      </c>
      <c r="M282" s="17">
        <f>IF(A281=A282,_xll.ciqfunctions.udf.CIQ(A273,"IQ_TOTAL_DEBT_ISSUED",IQ_FY-1), _xll.ciqfunctions.udf.CIQ(A273, "IQ_TOTAL_DEBT_ISSUED",IQ_FY))</f>
        <v>1494</v>
      </c>
      <c r="N282" s="17">
        <f>IF(A281=A282,_xll.ciqfunctions.udf.CIQ(A273,"IQ_TOTAL_DEBT_REPAID",IQ_FY-1), _xll.ciqfunctions.udf.CIQ(A273, "IQ_TOTAL_DEBT_REPAID",IQ_FY))</f>
        <v>-500</v>
      </c>
      <c r="O282" s="15">
        <f t="shared" si="73"/>
        <v>1.0968810837449949</v>
      </c>
      <c r="P282" s="15">
        <f t="shared" si="74"/>
        <v>7.6329240002657235</v>
      </c>
      <c r="Q282" s="25" t="s">
        <v>44</v>
      </c>
      <c r="R282" s="38" t="s">
        <v>35</v>
      </c>
      <c r="S282" s="1">
        <f>_xll.ciqfunctions.udf.CIQ(A273,"IQ_TEV_EBITDA")</f>
        <v>15.816700000000001</v>
      </c>
      <c r="U282" s="25" t="s">
        <v>55</v>
      </c>
      <c r="V282" s="38" t="s">
        <v>53</v>
      </c>
      <c r="W282" s="1">
        <f>V272/(AVERAGE(D278:D283)/_xlfn.STDEV.P(E278:E283))</f>
        <v>1.0423945174102691</v>
      </c>
      <c r="Y282" s="25" t="s">
        <v>57</v>
      </c>
      <c r="Z282" s="38" t="s">
        <v>53</v>
      </c>
      <c r="AA282" s="1">
        <f>Z272/(AVERAGE(D278:D283)/_xlfn.STDEV.P(E278:E283))</f>
        <v>1.0423945174102691</v>
      </c>
    </row>
    <row r="283" spans="1:27">
      <c r="B283" s="13">
        <v>11</v>
      </c>
      <c r="C283" s="20" t="s">
        <v>36</v>
      </c>
      <c r="D283" s="21" cm="1">
        <f t="array" ref="D283">_xlfn.SINGLE(IF(A281=A282,_xll.ciqfunctions.udf.CIQ(A273,"IQ_TOTAL_REV",IQ_FY)/I283, _xll.ciqfunctions.udf.CIQ(A273, "IQ_TOTAL_REV",IQ_LTM)/I283))</f>
        <v>19.942654078996718</v>
      </c>
      <c r="E283" s="22">
        <f t="shared" si="75"/>
        <v>-9.7655842131991064E-2</v>
      </c>
      <c r="F283" s="21">
        <f>IF(A281=A282,_xll.ciqfunctions.udf.CIQ(A273,"IQ_DILUT_EPS_EXCL",IQ_FY), _xll.ciqfunctions.udf.CIQ(A273, "IQ_DILUT_EPS_EXCL",IQ_LTM))</f>
        <v>7.7153299999999998</v>
      </c>
      <c r="G283" s="21">
        <f>IF(A281=A282,_xll.ciqfunctions.udf.CIQ(A273,"IQ_EBITDA_MARGIN",IQ_FY), _xll.ciqfunctions.udf.CIQ(A273, "IQ_EBITDA_MARGIN",IQ_LTM))</f>
        <v>48.8626</v>
      </c>
      <c r="H283" s="21">
        <f>IF(A281=A282,_xll.ciqfunctions.udf.CIQ(A273,"IQ_TOTAL_DIV_PAID_CF",IQ_FY)/-I283, _xll.ciqfunctions.udf.CIQ(A273, "IQ_TOTAL_DIV_PAID_CF",IQ_LTM)/-I283)</f>
        <v>4.9537323708815277</v>
      </c>
      <c r="I283" s="23">
        <f>IF(A281=A282,_xll.ciqfunctions.udf.CIQ(A273,"IQ_TOTAL_OUTSTANDING_FILING_DATE",IQ_FY),_xll.ciqfunctions.udf.CIQ(A273,"IQ_sharesoutstanding"))</f>
        <v>908.20408999999995</v>
      </c>
      <c r="J283" s="23">
        <f>IF(A281=A282,_xll.ciqfunctions.udf.CIQ(A273,"IQ_CASH_OPER",IQ_FY), _xll.ciqfunctions.udf.CIQ(A273, "IQ_CASH_OPER",IQ_LTM))</f>
        <v>6538</v>
      </c>
      <c r="K283" s="23">
        <f>IF(A281=A282,_xll.ciqfunctions.udf.CIQ(A273,"IQ_CAPEX",IQ_FY), _xll.ciqfunctions.udf.CIQ(A273, "IQ_CAPEX",IQ_LTM))</f>
        <v>-4890</v>
      </c>
      <c r="L283" s="21">
        <f t="shared" si="72"/>
        <v>1.8145701149617153</v>
      </c>
      <c r="M283" s="23">
        <f>IF(A281=A282,_xll.ciqfunctions.udf.CIQ(A273,"IQ_TOTAL_DEBT_ISSUED",IQ_FY), _xll.ciqfunctions.udf.CIQ(A273, "IQ_TOTAL_DEBT_ISSUED",IQ_LTM))</f>
        <v>3799</v>
      </c>
      <c r="N283" s="23">
        <f>IF(A281=A282,_xll.ciqfunctions.udf.CIQ(A273,"IQ_TOTAL_DEBT_REPAID",IQ_FY), _xll.ciqfunctions.udf.CIQ(A273, "IQ_TOTAL_DEBT_REPAID",IQ_LTM))</f>
        <v>-500</v>
      </c>
      <c r="O283" s="21">
        <f t="shared" si="73"/>
        <v>3.6324434522200844</v>
      </c>
      <c r="P283" s="21">
        <f t="shared" si="74"/>
        <v>5.4470135671817994</v>
      </c>
      <c r="Q283" s="25" t="s">
        <v>45</v>
      </c>
      <c r="S283" s="45"/>
      <c r="U283" s="25"/>
      <c r="W283" s="45"/>
      <c r="Y283" s="25"/>
      <c r="AA283" s="45"/>
    </row>
    <row r="284" spans="1:27">
      <c r="B284" s="24"/>
      <c r="C284" s="25" t="s">
        <v>37</v>
      </c>
      <c r="E284" s="26">
        <f>((D283/D278)^(1/5))-1</f>
        <v>3.4662256864125718E-2</v>
      </c>
      <c r="F284" s="27">
        <f>((F283/F278)^(1/5))-1</f>
        <v>6.6417689666945057E-2</v>
      </c>
      <c r="G284" s="28"/>
      <c r="H284" s="27">
        <f>((H283/H278)^(1/5))-1</f>
        <v>0.12718125320867779</v>
      </c>
      <c r="I284" s="27">
        <f>((I283/I278)^(1/5))-1</f>
        <v>-6.5379986036860904E-3</v>
      </c>
      <c r="J284" s="27"/>
      <c r="K284" s="27"/>
      <c r="L284" s="26">
        <f>((L283/L278)^(1/5))-1</f>
        <v>-0.22415614070326184</v>
      </c>
      <c r="M284" s="26"/>
      <c r="N284" s="26"/>
      <c r="O284" s="26"/>
      <c r="P284" s="26">
        <f>((P283/P278)^(1/5))-1</f>
        <v>-6.2479461523465396E-2</v>
      </c>
      <c r="Q284" s="18"/>
      <c r="R284" s="36"/>
      <c r="S284" s="45"/>
      <c r="U284" s="18"/>
      <c r="V284" s="36"/>
      <c r="W284" s="45"/>
      <c r="Y284" s="18"/>
      <c r="Z284" s="36"/>
      <c r="AA284" s="45"/>
    </row>
    <row r="285" spans="1:27">
      <c r="A285" s="29"/>
      <c r="B285" s="30"/>
      <c r="C285" s="31" t="s">
        <v>38</v>
      </c>
      <c r="D285" s="29"/>
      <c r="E285" s="32">
        <f>((D283/D273)^(1/10))-1</f>
        <v>5.8853844807865263E-2</v>
      </c>
      <c r="F285" s="33">
        <f>((F283/F273)^(1/10))-1</f>
        <v>0.14981694169662441</v>
      </c>
      <c r="G285" s="34"/>
      <c r="H285" s="33">
        <f>((H283/H273)^(1/10))-1</f>
        <v>0.16412862414391438</v>
      </c>
      <c r="I285" s="33">
        <f>((I283/I273)^(1/10))-1</f>
        <v>-1.7558171691357205E-2</v>
      </c>
      <c r="J285" s="33"/>
      <c r="K285" s="33"/>
      <c r="L285" s="32">
        <f>((L283/L273)^(1/10))-1</f>
        <v>-4.0413795782437756E-2</v>
      </c>
      <c r="M285" s="32"/>
      <c r="N285" s="32"/>
      <c r="O285" s="32"/>
      <c r="P285" s="32">
        <f>((P283/P273)^(1/10))-1</f>
        <v>9.1614154954176907E-2</v>
      </c>
      <c r="Q285" s="40"/>
      <c r="R285" s="41"/>
      <c r="S285" s="46"/>
      <c r="U285" s="40"/>
      <c r="V285" s="41"/>
      <c r="W285" s="46"/>
      <c r="Y285" s="40"/>
      <c r="Z285" s="41"/>
      <c r="AA285" s="46"/>
    </row>
    <row r="286" spans="1:27">
      <c r="B286" s="24"/>
      <c r="C286" s="25"/>
      <c r="E286" s="26"/>
      <c r="F286" s="27"/>
      <c r="G286" s="28"/>
      <c r="H286" s="27"/>
      <c r="I286" s="27"/>
      <c r="J286" s="27"/>
      <c r="K286" s="27"/>
      <c r="L286" s="26"/>
      <c r="M286" s="17"/>
      <c r="N286" s="17"/>
      <c r="O286" s="17"/>
      <c r="P286" s="35"/>
      <c r="Q286" s="18"/>
      <c r="R286" s="36"/>
    </row>
    <row r="287" spans="1:27">
      <c r="A287" s="9" t="s">
        <v>0</v>
      </c>
      <c r="B287" s="10"/>
      <c r="C287" s="9" t="s">
        <v>1</v>
      </c>
      <c r="D287" s="9" t="s">
        <v>2</v>
      </c>
      <c r="E287" s="9" t="s">
        <v>3</v>
      </c>
      <c r="F287" s="11" t="s">
        <v>4</v>
      </c>
      <c r="G287" s="11" t="s">
        <v>5</v>
      </c>
      <c r="H287" s="9" t="s">
        <v>6</v>
      </c>
      <c r="I287" s="11" t="s">
        <v>7</v>
      </c>
      <c r="J287" s="11" t="s">
        <v>8</v>
      </c>
      <c r="K287" s="11" t="s">
        <v>9</v>
      </c>
      <c r="L287" s="11" t="s">
        <v>10</v>
      </c>
      <c r="M287" s="11" t="s">
        <v>11</v>
      </c>
      <c r="N287" s="11" t="s">
        <v>12</v>
      </c>
      <c r="O287" s="11" t="s">
        <v>13</v>
      </c>
      <c r="P287" s="11" t="s">
        <v>14</v>
      </c>
      <c r="Q287" s="37" t="s">
        <v>15</v>
      </c>
      <c r="R287" s="42">
        <f>_xll.ciqfunctions.udf.CIQ(A288,("IQ_LASTSALEPRICE"))</f>
        <v>128.72999999999999</v>
      </c>
      <c r="S287" s="44"/>
      <c r="U287" s="37" t="s">
        <v>15</v>
      </c>
      <c r="V287" s="42">
        <f>_xll.ciqfunctions.udf.CIQ(A288,("IQ_LASTSALEPRICE"))</f>
        <v>128.72999999999999</v>
      </c>
      <c r="W287" s="44"/>
      <c r="Y287" s="37" t="s">
        <v>15</v>
      </c>
      <c r="Z287" s="42">
        <f>_xll.ciqfunctions.udf.CIQ(A288,("IQ_LASTSALEPRICE"))</f>
        <v>128.72999999999999</v>
      </c>
      <c r="AA287" s="44"/>
    </row>
    <row r="288" spans="1:27">
      <c r="A288" s="12" t="str">
        <f>Analysis!B21</f>
        <v>NasdaqGS:QCOM</v>
      </c>
      <c r="B288" s="13">
        <v>1</v>
      </c>
      <c r="C288" s="14" t="s">
        <v>16</v>
      </c>
      <c r="D288" s="15">
        <f>IF(A296=A297,_xll.ciqfunctions.udf.CIQ(A288,"IQ_TOTAL_REV",IQ_FY-10)/I288,_xll.ciqfunctions.udf.CIQ(A288, "IQ_TOTAL_REV",IQ_FY-9)/I288)</f>
        <v>14.718524322385118</v>
      </c>
      <c r="E288" s="16"/>
      <c r="F288" s="15">
        <f>IF(A296=A297,_xll.ciqfunctions.udf.CIQ(A288,"IQ_DILUT_EPS_EXCL",IQ_FY-10), _xll.ciqfunctions.udf.CIQ(A288, "IQ_DILUT_EPS_EXCL",IQ_FY-9))</f>
        <v>3.91</v>
      </c>
      <c r="G288" s="15">
        <f>IF(A296=A297,_xll.ciqfunctions.udf.CIQ(A288,"IQ_EBITDA_MARGIN",IQ_FY-10), _xll.ciqfunctions.udf.CIQ(A288, "IQ_EBITDA_MARGIN",IQ_FY-9))</f>
        <v>35.675199999999997</v>
      </c>
      <c r="H288" s="15">
        <f>IF(A296=A297,_xll.ciqfunctions.udf.CIQ(A288,"IQ_TOTAL_DIV_PAID_CF",IQ_FY-10)/-I288, _xll.ciqfunctions.udf.CIQ(A288, "IQ_TOTAL_DIV_PAID_CF",IQ_FY-9)/-I288)</f>
        <v>1.2163825095512515</v>
      </c>
      <c r="I288" s="17">
        <f>IF(A296=A297,_xll.ciqfunctions.udf.CIQ(A288,"IQ_TOTAL_OUTSTANDING_FILING_DATE",IQ_FY-10), _xll.ciqfunctions.udf.CIQ(A288, "IQ_TOTAL_OUTSTANDING_FILING_DATE",IQ_FY-9))</f>
        <v>1689.4356700000001</v>
      </c>
      <c r="J288" s="17">
        <f>IF(A296=A297,_xll.ciqfunctions.udf.CIQ(A288,"IQ_CASH_OPER",IQ_FY-10), _xll.ciqfunctions.udf.CIQ(A288, "IQ_CASH_OPER",IQ_FY-9))</f>
        <v>8778</v>
      </c>
      <c r="K288" s="17">
        <f>IF(A296=A297,_xll.ciqfunctions.udf.CIQ(A288,"IQ_CAPEX",IQ_FY-10), _xll.ciqfunctions.udf.CIQ(A288, "IQ_CAPEX",IQ_FY-9))</f>
        <v>-1048</v>
      </c>
      <c r="L288" s="15">
        <f t="shared" ref="L288:L298" si="76">(J288+K288)/I288</f>
        <v>4.5754923595285515</v>
      </c>
      <c r="M288" s="17">
        <f>IF(A296=A297,_xll.ciqfunctions.udf.CIQ(A288,"IQ_TOTAL_DEBT_ISSUED",IQ_FY-10), _xll.ciqfunctions.udf.CIQ(A288, "IQ_TOTAL_DEBT_ISSUED",IQ_FY-9))</f>
        <v>534</v>
      </c>
      <c r="N288" s="17">
        <f>IF(A296=A297,_xll.ciqfunctions.udf.CIQ(A288,"IQ_TOTAL_DEBT_REPAID",IQ_FY-10), _xll.ciqfunctions.udf.CIQ(A288, "IQ_TOTAL_DEBT_REPAID",IQ_FY-9))</f>
        <v>-439</v>
      </c>
      <c r="O288" s="15">
        <f t="shared" ref="O288:O298" si="77">(M288+N288)/I288</f>
        <v>5.6231794845434981E-2</v>
      </c>
      <c r="P288" s="15">
        <f t="shared" ref="P288:P298" si="78">L288+O288</f>
        <v>4.6317241543739867</v>
      </c>
      <c r="W288" s="43"/>
      <c r="AA288" s="43"/>
    </row>
    <row r="289" spans="1:27">
      <c r="A289" s="18" t="str">
        <f>_xll.ciqfunctions.udf.CIQ(A288,"IQ_COMPANY_NAME")</f>
        <v>QUALCOMM Incorporated</v>
      </c>
      <c r="B289" s="13">
        <v>2</v>
      </c>
      <c r="C289" s="14" t="s">
        <v>17</v>
      </c>
      <c r="D289" s="15">
        <f>IF(A296=A297,_xll.ciqfunctions.udf.CIQ(A288,"IQ_TOTAL_REV",IQ_FY-9)/I289, _xll.ciqfunctions.udf.CIQ(A288, "IQ_TOTAL_REV",IQ_FY-8)/I289)</f>
        <v>15.931062712312295</v>
      </c>
      <c r="E289" s="16">
        <f t="shared" ref="E289:E298" si="79">(D289-D288)/D288</f>
        <v>8.2381790685568321E-2</v>
      </c>
      <c r="F289" s="15">
        <f>IF(A296=A297,_xll.ciqfunctions.udf.CIQ(A288,"IQ_DILUT_EPS_EXCL",IQ_FY-9), _xll.ciqfunctions.udf.CIQ(A288, "IQ_DILUT_EPS_EXCL",IQ_FY-8))</f>
        <v>4.4000000000000004</v>
      </c>
      <c r="G289" s="15">
        <f>IF(A296=A297,_xll.ciqfunctions.udf.CIQ(A288,"IQ_EBITDA_MARGIN",IQ_FY-9), _xll.ciqfunctions.udf.CIQ(A288, "IQ_EBITDA_MARGIN",IQ_FY-8))</f>
        <v>35.828800000000001</v>
      </c>
      <c r="H289" s="15">
        <f>IF(A296=A297,_xll.ciqfunctions.udf.CIQ(A288,"IQ_TOTAL_DIV_PAID_CF",IQ_FY-9)/-I289, _xll.ciqfunctions.udf.CIQ(A288, "IQ_TOTAL_DIV_PAID_CF",IQ_FY-8)/-I289)</f>
        <v>1.5553942754573791</v>
      </c>
      <c r="I289" s="17">
        <f>IF(A296=A297,_xll.ciqfunctions.udf.CIQ(A288,"IQ_TOTAL_OUTSTANDING_FILING_DATE",IQ_FY-9), _xll.ciqfunctions.udf.CIQ(A288, "IQ_TOTAL_OUTSTANDING_FILING_DATE",IQ_FY-8))</f>
        <v>1662.60095</v>
      </c>
      <c r="J289" s="17">
        <f>IF(A296=A297,_xll.ciqfunctions.udf.CIQ(A288,"IQ_CASH_OPER",IQ_FY-9), _xll.ciqfunctions.udf.CIQ(A288, "IQ_CASH_OPER",IQ_FY-8))</f>
        <v>8887</v>
      </c>
      <c r="K289" s="17">
        <f>IF(A296=A297,_xll.ciqfunctions.udf.CIQ(A288,"IQ_CAPEX",IQ_FY-9), _xll.ciqfunctions.udf.CIQ(A288, "IQ_CAPEX",IQ_FY-8))</f>
        <v>-1185</v>
      </c>
      <c r="L289" s="15">
        <f t="shared" si="76"/>
        <v>4.6325006610876773</v>
      </c>
      <c r="M289" s="17">
        <f>IF(A296=A297,_xll.ciqfunctions.udf.CIQ(A288,"IQ_TOTAL_DEBT_ISSUED",IQ_FY-9), _xll.ciqfunctions.udf.CIQ(A288, "IQ_TOTAL_DEBT_ISSUED",IQ_FY-8))</f>
        <v>0</v>
      </c>
      <c r="N289" s="17">
        <f>IF(A296=A297,_xll.ciqfunctions.udf.CIQ(A288,"IQ_TOTAL_DEBT_REPAID",IQ_FY-9), _xll.ciqfunctions.udf.CIQ(A288, "IQ_TOTAL_DEBT_REPAID",IQ_FY-8))</f>
        <v>0</v>
      </c>
      <c r="O289" s="15">
        <f t="shared" si="77"/>
        <v>0</v>
      </c>
      <c r="P289" s="15">
        <f t="shared" si="78"/>
        <v>4.6325006610876773</v>
      </c>
      <c r="Q289" s="25" t="s">
        <v>18</v>
      </c>
      <c r="R289" s="39" t="s">
        <v>19</v>
      </c>
      <c r="S289" s="1">
        <f>R287/((AVERAGE(P293:P298))*(1+E299)^3)</f>
        <v>19.114637024770058</v>
      </c>
      <c r="U289" s="25" t="s">
        <v>48</v>
      </c>
      <c r="V289" s="39" t="s">
        <v>19</v>
      </c>
      <c r="W289" s="1">
        <f>V287/((AVERAGE(P293:P298))*(1+E299)^3)</f>
        <v>19.114637024770058</v>
      </c>
      <c r="Y289" s="25" t="s">
        <v>39</v>
      </c>
      <c r="Z289" s="39" t="s">
        <v>19</v>
      </c>
      <c r="AA289" s="1">
        <f>Z287/((AVERAGE(P293:P298))*(1+E299)^3)</f>
        <v>19.114637024770058</v>
      </c>
    </row>
    <row r="290" spans="1:27">
      <c r="B290" s="13">
        <v>3</v>
      </c>
      <c r="C290" s="14" t="s">
        <v>20</v>
      </c>
      <c r="D290" s="15" cm="1">
        <f t="array" ref="D290">_xlfn.SINGLE(IF(A296=A297,_xll.ciqfunctions.udf.CIQ(A288,"IQ_TOTAL_REV",IQ_FY-8)/I290, _xll.ciqfunctions.udf.CIQ(A288, "IQ_TOTAL_REV",IQ_FY-7)/I290))</f>
        <v>16.819307375320506</v>
      </c>
      <c r="E290" s="16">
        <f t="shared" si="79"/>
        <v>5.5755518577033279E-2</v>
      </c>
      <c r="F290" s="15">
        <f>IF(A296=A297,_xll.ciqfunctions.udf.CIQ(A288,"IQ_DILUT_EPS_EXCL",IQ_FY-8), _xll.ciqfunctions.udf.CIQ(A288, "IQ_DILUT_EPS_EXCL",IQ_FY-7))</f>
        <v>3.22</v>
      </c>
      <c r="G290" s="15">
        <f>IF(A296=A297,_xll.ciqfunctions.udf.CIQ(A288,"IQ_EBITDA_MARGIN",IQ_FY-8), _xll.ciqfunctions.udf.CIQ(A288, "IQ_EBITDA_MARGIN",IQ_FY-7))</f>
        <v>34.1798</v>
      </c>
      <c r="H290" s="15">
        <f>IF(A296=A297,_xll.ciqfunctions.udf.CIQ(A288,"IQ_TOTAL_DIV_PAID_CF",IQ_FY-8)/-I290, _xll.ciqfunctions.udf.CIQ(A288, "IQ_TOTAL_DIV_PAID_CF",IQ_FY-7)/-I290)</f>
        <v>1.9160478320051839</v>
      </c>
      <c r="I290" s="17">
        <f>IF(A296=A297,_xll.ciqfunctions.udf.CIQ(A288,"IQ_TOTAL_OUTSTANDING_FILING_DATE",IQ_FY-8), _xll.ciqfunctions.udf.CIQ(A288, "IQ_TOTAL_OUTSTANDING_FILING_DATE",IQ_FY-7))</f>
        <v>1503.0940000000001</v>
      </c>
      <c r="J290" s="17">
        <f>IF(A296=A297,_xll.ciqfunctions.udf.CIQ(A288,"IQ_CASH_OPER",IQ_FY-8), _xll.ciqfunctions.udf.CIQ(A288, "IQ_CASH_OPER",IQ_FY-7))</f>
        <v>5506</v>
      </c>
      <c r="K290" s="17">
        <f>IF(A296=A297,_xll.ciqfunctions.udf.CIQ(A288,"IQ_CAPEX",IQ_FY-8), _xll.ciqfunctions.udf.CIQ(A288, "IQ_CAPEX",IQ_FY-7))</f>
        <v>-994</v>
      </c>
      <c r="L290" s="15">
        <f t="shared" si="76"/>
        <v>3.0018082701414546</v>
      </c>
      <c r="M290" s="17">
        <f>IF(A296=A297,_xll.ciqfunctions.udf.CIQ(A288,"IQ_TOTAL_DEBT_ISSUED",IQ_FY-8), _xll.ciqfunctions.udf.CIQ(A288, "IQ_TOTAL_DEBT_ISSUED",IQ_FY-7))</f>
        <v>14020</v>
      </c>
      <c r="N290" s="17">
        <f>IF(A296=A297,_xll.ciqfunctions.udf.CIQ(A288,"IQ_TOTAL_DEBT_REPAID",IQ_FY-8), _xll.ciqfunctions.udf.CIQ(A288, "IQ_TOTAL_DEBT_REPAID",IQ_FY-7))</f>
        <v>-3083</v>
      </c>
      <c r="O290" s="15">
        <f t="shared" si="77"/>
        <v>7.2763247009169083</v>
      </c>
      <c r="P290" s="15">
        <f t="shared" si="78"/>
        <v>10.278132971058362</v>
      </c>
      <c r="Q290" s="25" t="s">
        <v>21</v>
      </c>
      <c r="R290" s="38" t="s">
        <v>49</v>
      </c>
      <c r="S290" s="2">
        <f>(R287*I298)/1000</f>
        <v>143.27649</v>
      </c>
      <c r="U290" s="25" t="s">
        <v>59</v>
      </c>
      <c r="V290" s="38" t="s">
        <v>49</v>
      </c>
      <c r="W290" s="2">
        <f>(V287*I298)/1000</f>
        <v>143.27649</v>
      </c>
      <c r="Y290" s="25" t="s">
        <v>46</v>
      </c>
      <c r="Z290" s="38" t="s">
        <v>49</v>
      </c>
      <c r="AA290" s="2">
        <f>(Z287*I298)/1000</f>
        <v>143.27649</v>
      </c>
    </row>
    <row r="291" spans="1:27">
      <c r="A291" s="18"/>
      <c r="B291" s="13">
        <v>4</v>
      </c>
      <c r="C291" s="14" t="s">
        <v>22</v>
      </c>
      <c r="D291" s="15" cm="1">
        <f t="array" ref="D291">_xlfn.SINGLE(IF(A296=A297,_xll.ciqfunctions.udf.CIQ(A288,"IQ_TOTAL_REV",IQ_FY-7)/I291, _xll.ciqfunctions.udf.CIQ(A288, "IQ_TOTAL_REV",IQ_FY-6)/I291))</f>
        <v>15.948413862057446</v>
      </c>
      <c r="E291" s="16">
        <f t="shared" si="79"/>
        <v>-5.1779392208560773E-2</v>
      </c>
      <c r="F291" s="15">
        <f>IF(A296=A297,_xll.ciqfunctions.udf.CIQ(A288,"IQ_DILUT_EPS_EXCL",IQ_FY-7), _xll.ciqfunctions.udf.CIQ(A288, "IQ_DILUT_EPS_EXCL",IQ_FY-6))</f>
        <v>3.81</v>
      </c>
      <c r="G291" s="15">
        <f>IF(A296=A297,_xll.ciqfunctions.udf.CIQ(A288,"IQ_EBITDA_MARGIN",IQ_FY-7), _xll.ciqfunctions.udf.CIQ(A288, "IQ_EBITDA_MARGIN",IQ_FY-6))</f>
        <v>34.983400000000003</v>
      </c>
      <c r="H291" s="15">
        <f>IF(A296=A297,_xll.ciqfunctions.udf.CIQ(A288,"IQ_TOTAL_DIV_PAID_CF",IQ_FY-7)/-I291, _xll.ciqfunctions.udf.CIQ(A288, "IQ_TOTAL_DIV_PAID_CF",IQ_FY-6)/-I291)</f>
        <v>2.0245290586546556</v>
      </c>
      <c r="I291" s="17">
        <f>IF(A296=A297,_xll.ciqfunctions.udf.CIQ(A288,"IQ_TOTAL_OUTSTANDING_FILING_DATE",IQ_FY-7), _xll.ciqfunctions.udf.CIQ(A288, "IQ_TOTAL_OUTSTANDING_FILING_DATE",IQ_FY-6))</f>
        <v>1476.8866800000001</v>
      </c>
      <c r="J291" s="17">
        <f>IF(A296=A297,_xll.ciqfunctions.udf.CIQ(A288,"IQ_CASH_OPER",IQ_FY-7), _xll.ciqfunctions.udf.CIQ(A288, "IQ_CASH_OPER",IQ_FY-6))</f>
        <v>7632</v>
      </c>
      <c r="K291" s="17">
        <f>IF(A296=A297,_xll.ciqfunctions.udf.CIQ(A288,"IQ_CAPEX",IQ_FY-7), _xll.ciqfunctions.udf.CIQ(A288, "IQ_CAPEX",IQ_FY-6))</f>
        <v>-539</v>
      </c>
      <c r="L291" s="15">
        <f t="shared" si="76"/>
        <v>4.8026704391429673</v>
      </c>
      <c r="M291" s="17">
        <f>IF(A296=A297,_xll.ciqfunctions.udf.CIQ(A288,"IQ_TOTAL_DEBT_ISSUED",IQ_FY-7), _xll.ciqfunctions.udf.CIQ(A288, "IQ_TOTAL_DEBT_ISSUED",IQ_FY-6))</f>
        <v>8949</v>
      </c>
      <c r="N291" s="17">
        <f>IF(A296=A297,_xll.ciqfunctions.udf.CIQ(A288,"IQ_TOTAL_DEBT_REPAID",IQ_FY-7), _xll.ciqfunctions.udf.CIQ(A288, "IQ_TOTAL_DEBT_REPAID",IQ_FY-6))</f>
        <v>-8200</v>
      </c>
      <c r="O291" s="15">
        <f t="shared" si="77"/>
        <v>0.5071479146930894</v>
      </c>
      <c r="P291" s="15">
        <f t="shared" si="78"/>
        <v>5.3098183538360564</v>
      </c>
      <c r="Q291" s="25" t="s">
        <v>23</v>
      </c>
      <c r="R291" s="38" t="s">
        <v>24</v>
      </c>
      <c r="S291" s="1">
        <f>R287/(AVERAGE(H293:H298)*(1+H299)/(0.5-H299))</f>
        <v>22.008442868016029</v>
      </c>
      <c r="U291" s="25" t="s">
        <v>40</v>
      </c>
      <c r="V291" s="38" t="s">
        <v>24</v>
      </c>
      <c r="W291" s="1">
        <f>V287/(AVERAGE(H293:H298)*(1+H299)/(0.5-H299))</f>
        <v>22.008442868016029</v>
      </c>
      <c r="Y291" s="25" t="s">
        <v>47</v>
      </c>
      <c r="Z291" s="38" t="s">
        <v>24</v>
      </c>
      <c r="AA291" s="1">
        <f>Z287/(AVERAGE(H293:H298)*(1+H299)/(0.5-H299))</f>
        <v>22.008442868016029</v>
      </c>
    </row>
    <row r="292" spans="1:27">
      <c r="B292" s="13">
        <v>5</v>
      </c>
      <c r="C292" s="14" t="s">
        <v>25</v>
      </c>
      <c r="D292" s="15" cm="1">
        <f t="array" ref="D292">_xlfn.SINGLE(IF(A296=A297,_xll.ciqfunctions.udf.CIQ(A288,"IQ_TOTAL_REV",IQ_FY-6)/I292, _xll.ciqfunctions.udf.CIQ(A288, "IQ_TOTAL_REV",IQ_FY-5)/I292))</f>
        <v>15.098720587952782</v>
      </c>
      <c r="E292" s="16">
        <f t="shared" si="79"/>
        <v>-5.3277603745044068E-2</v>
      </c>
      <c r="F292" s="15">
        <f>IF(A296=A297,_xll.ciqfunctions.udf.CIQ(A288,"IQ_DILUT_EPS_EXCL",IQ_FY-6), _xll.ciqfunctions.udf.CIQ(A288, "IQ_DILUT_EPS_EXCL",IQ_FY-5))</f>
        <v>1.64</v>
      </c>
      <c r="G292" s="15">
        <f>IF(A296=A297,_xll.ciqfunctions.udf.CIQ(A288,"IQ_EBITDA_MARGIN",IQ_FY-6), _xll.ciqfunctions.udf.CIQ(A288, "IQ_EBITDA_MARGIN",IQ_FY-5))</f>
        <v>27.149699999999999</v>
      </c>
      <c r="H292" s="15">
        <f>IF(A296=A297,_xll.ciqfunctions.udf.CIQ(A288,"IQ_TOTAL_DIV_PAID_CF",IQ_FY-6)/-I292, _xll.ciqfunctions.udf.CIQ(A288, "IQ_TOTAL_DIV_PAID_CF",IQ_FY-5)/-I292)</f>
        <v>2.2059951186999034</v>
      </c>
      <c r="I292" s="17">
        <f>IF(A296=A297,_xll.ciqfunctions.udf.CIQ(A288,"IQ_TOTAL_OUTSTANDING_FILING_DATE",IQ_FY-6), _xll.ciqfunctions.udf.CIQ(A288, "IQ_TOTAL_OUTSTANDING_FILING_DATE",IQ_FY-5))</f>
        <v>1474.16464</v>
      </c>
      <c r="J292" s="17">
        <f>IF(A296=A297,_xll.ciqfunctions.udf.CIQ(A288,"IQ_CASH_OPER",IQ_FY-6), _xll.ciqfunctions.udf.CIQ(A288, "IQ_CASH_OPER",IQ_FY-5))</f>
        <v>5001</v>
      </c>
      <c r="K292" s="17">
        <f>IF(A296=A297,_xll.ciqfunctions.udf.CIQ(A288,"IQ_CAPEX",IQ_FY-6), _xll.ciqfunctions.udf.CIQ(A288, "IQ_CAPEX",IQ_FY-5))</f>
        <v>-690</v>
      </c>
      <c r="L292" s="15">
        <f t="shared" si="76"/>
        <v>2.9243680678706281</v>
      </c>
      <c r="M292" s="17">
        <f>IF(A296=A297,_xll.ciqfunctions.udf.CIQ(A288,"IQ_TOTAL_DEBT_ISSUED",IQ_FY-6), _xll.ciqfunctions.udf.CIQ(A288, "IQ_TOTAL_DEBT_ISSUED",IQ_FY-5))</f>
        <v>19511</v>
      </c>
      <c r="N292" s="17">
        <f>IF(A296=A297,_xll.ciqfunctions.udf.CIQ(A288,"IQ_TOTAL_DEBT_REPAID",IQ_FY-6), _xll.ciqfunctions.udf.CIQ(A288, "IQ_TOTAL_DEBT_REPAID",IQ_FY-5))</f>
        <v>-9309</v>
      </c>
      <c r="O292" s="15">
        <f t="shared" si="77"/>
        <v>6.9205295820960675</v>
      </c>
      <c r="P292" s="15">
        <f t="shared" si="78"/>
        <v>9.8448976499666951</v>
      </c>
      <c r="Q292" s="18"/>
      <c r="R292" s="38" t="s">
        <v>50</v>
      </c>
      <c r="S292" s="3">
        <f>I299</f>
        <v>-1.6924534620723408E-2</v>
      </c>
      <c r="U292" s="18"/>
      <c r="V292" s="38" t="s">
        <v>50</v>
      </c>
      <c r="W292" s="3">
        <f>I299</f>
        <v>-1.6924534620723408E-2</v>
      </c>
      <c r="Y292" s="18"/>
      <c r="Z292" s="38" t="s">
        <v>50</v>
      </c>
      <c r="AA292" s="3">
        <f>I299</f>
        <v>-1.6924534620723408E-2</v>
      </c>
    </row>
    <row r="293" spans="1:27">
      <c r="B293" s="13">
        <v>6</v>
      </c>
      <c r="C293" s="14" t="s">
        <v>26</v>
      </c>
      <c r="D293" s="15" cm="1">
        <f t="array" ref="D293">_xlfn.SINGLE(IF(A296=A297,_xll.ciqfunctions.udf.CIQ(A288,"IQ_TOTAL_REV",IQ_FY-5)/I293, _xll.ciqfunctions.udf.CIQ(A288, "IQ_TOTAL_REV",IQ_FY-4)/I293))</f>
        <v>18.653438232242426</v>
      </c>
      <c r="E293" s="16">
        <f t="shared" si="79"/>
        <v>0.23543171248072112</v>
      </c>
      <c r="F293" s="15">
        <f>IF(A296=A297,_xll.ciqfunctions.udf.CIQ(A288,"IQ_DILUT_EPS_EXCL",IQ_FY-5), _xll.ciqfunctions.udf.CIQ(A288, "IQ_DILUT_EPS_EXCL",IQ_FY-4))</f>
        <v>-3.39303</v>
      </c>
      <c r="G293" s="15">
        <f>IF(A296=A297,_xll.ciqfunctions.udf.CIQ(A288,"IQ_EBITDA_MARGIN",IQ_FY-5), _xll.ciqfunctions.udf.CIQ(A288, "IQ_EBITDA_MARGIN",IQ_FY-4))</f>
        <v>23.5947</v>
      </c>
      <c r="H293" s="15">
        <f>IF(A296=A297,_xll.ciqfunctions.udf.CIQ(A288,"IQ_TOTAL_DIV_PAID_CF",IQ_FY-5)/-I293, _xll.ciqfunctions.udf.CIQ(A288, "IQ_TOTAL_DIV_PAID_CF",IQ_FY-4)/-I293)</f>
        <v>2.8593523910022665</v>
      </c>
      <c r="I293" s="17">
        <f>IF(A296=A297,_xll.ciqfunctions.udf.CIQ(A288,"IQ_TOTAL_OUTSTANDING_FILING_DATE",IQ_FY-5), _xll.ciqfunctions.udf.CIQ(A288, "IQ_TOTAL_OUTSTANDING_FILING_DATE",IQ_FY-4))</f>
        <v>1212.1625899999999</v>
      </c>
      <c r="J293" s="17">
        <f>IF(A296=A297,_xll.ciqfunctions.udf.CIQ(A288,"IQ_CASH_OPER",IQ_FY-5), _xll.ciqfunctions.udf.CIQ(A288, "IQ_CASH_OPER",IQ_FY-4))</f>
        <v>3908</v>
      </c>
      <c r="K293" s="17">
        <f>IF(A296=A297,_xll.ciqfunctions.udf.CIQ(A288,"IQ_CAPEX",IQ_FY-5), _xll.ciqfunctions.udf.CIQ(A288, "IQ_CAPEX",IQ_FY-4))</f>
        <v>-784</v>
      </c>
      <c r="L293" s="15">
        <f t="shared" si="76"/>
        <v>2.5772120223574961</v>
      </c>
      <c r="M293" s="17">
        <f>IF(A296=A297,_xll.ciqfunctions.udf.CIQ(A288,"IQ_TOTAL_DEBT_ISSUED",IQ_FY-5), _xll.ciqfunctions.udf.CIQ(A288, "IQ_TOTAL_DEBT_ISSUED",IQ_FY-4))</f>
        <v>11131</v>
      </c>
      <c r="N293" s="17">
        <f>IF(A296=A297,_xll.ciqfunctions.udf.CIQ(A288,"IQ_TOTAL_DEBT_REPAID",IQ_FY-5), _xll.ciqfunctions.udf.CIQ(A288, "IQ_TOTAL_DEBT_REPAID",IQ_FY-4))</f>
        <v>-16640</v>
      </c>
      <c r="O293" s="15">
        <f t="shared" si="77"/>
        <v>-4.5447698563276075</v>
      </c>
      <c r="P293" s="15">
        <f t="shared" si="78"/>
        <v>-1.9675578339701114</v>
      </c>
      <c r="Q293" s="25" t="s">
        <v>27</v>
      </c>
      <c r="R293" s="38" t="s">
        <v>51</v>
      </c>
      <c r="S293" s="4">
        <f>AVERAGE(F293:F298)/AVERAGE(D293:D298)</f>
        <v>0.18802973738027343</v>
      </c>
      <c r="U293" s="25" t="s">
        <v>58</v>
      </c>
      <c r="V293" s="38" t="s">
        <v>51</v>
      </c>
      <c r="W293" s="4">
        <f>AVERAGE(F293:F298)/AVERAGE(D293:D298)</f>
        <v>0.18802973738027343</v>
      </c>
      <c r="Y293" s="25" t="s">
        <v>56</v>
      </c>
      <c r="Z293" s="38" t="s">
        <v>51</v>
      </c>
      <c r="AA293" s="4">
        <f>AVERAGE(F293:F298)/AVERAGE(D293:D298)</f>
        <v>0.18802973738027343</v>
      </c>
    </row>
    <row r="294" spans="1:27">
      <c r="A294" s="18"/>
      <c r="B294" s="13">
        <v>7</v>
      </c>
      <c r="C294" s="14" t="s">
        <v>28</v>
      </c>
      <c r="D294" s="15" cm="1">
        <f t="array" ref="D294">_xlfn.SINGLE(IF(A296=A297,_xll.ciqfunctions.udf.CIQ(A288,"IQ_TOTAL_REV",IQ_FY-4)/I294, _xll.ciqfunctions.udf.CIQ(A288, "IQ_TOTAL_REV",IQ_FY-3)/I294))</f>
        <v>21.257703958136663</v>
      </c>
      <c r="E294" s="16">
        <f t="shared" si="79"/>
        <v>0.13961317444377463</v>
      </c>
      <c r="F294" s="15">
        <f>IF(A296=A297,_xll.ciqfunctions.udf.CIQ(A288,"IQ_DILUT_EPS_EXCL",IQ_FY-4), _xll.ciqfunctions.udf.CIQ(A288, "IQ_DILUT_EPS_EXCL",IQ_FY-3))</f>
        <v>3.59</v>
      </c>
      <c r="G294" s="15">
        <f>IF(A296=A297,_xll.ciqfunctions.udf.CIQ(A288,"IQ_EBITDA_MARGIN",IQ_FY-4), _xll.ciqfunctions.udf.CIQ(A288, "IQ_EBITDA_MARGIN",IQ_FY-3))</f>
        <v>39.063899999999997</v>
      </c>
      <c r="H294" s="15">
        <f>IF(A296=A297,_xll.ciqfunctions.udf.CIQ(A288,"IQ_TOTAL_DIV_PAID_CF",IQ_FY-4)/-I294, _xll.ciqfunctions.udf.CIQ(A288, "IQ_TOTAL_DIV_PAID_CF",IQ_FY-3)/-I294)</f>
        <v>2.5993023255365886</v>
      </c>
      <c r="I294" s="17">
        <f>IF(A296=A297,_xll.ciqfunctions.udf.CIQ(A288,"IQ_TOTAL_OUTSTANDING_FILING_DATE",IQ_FY-4), _xll.ciqfunctions.udf.CIQ(A288, "IQ_TOTAL_OUTSTANDING_FILING_DATE",IQ_FY-3))</f>
        <v>1141.8448599999999</v>
      </c>
      <c r="J294" s="17">
        <f>IF(A296=A297,_xll.ciqfunctions.udf.CIQ(A288,"IQ_CASH_OPER",IQ_FY-4), _xll.ciqfunctions.udf.CIQ(A288, "IQ_CASH_OPER",IQ_FY-3))</f>
        <v>7286</v>
      </c>
      <c r="K294" s="17">
        <f>IF(A296=A297,_xll.ciqfunctions.udf.CIQ(A288,"IQ_CAPEX",IQ_FY-4), _xll.ciqfunctions.udf.CIQ(A288, "IQ_CAPEX",IQ_FY-3))</f>
        <v>-887</v>
      </c>
      <c r="L294" s="15">
        <f t="shared" si="76"/>
        <v>5.6040888076511557</v>
      </c>
      <c r="M294" s="17">
        <f>IF(A296=A297,_xll.ciqfunctions.udf.CIQ(A288,"IQ_TOTAL_DEBT_ISSUED",IQ_FY-4), _xll.ciqfunctions.udf.CIQ(A288, "IQ_TOTAL_DEBT_ISSUED",IQ_FY-3))</f>
        <v>5989</v>
      </c>
      <c r="N294" s="17">
        <f>IF(A296=A297,_xll.ciqfunctions.udf.CIQ(A288,"IQ_TOTAL_DEBT_REPAID",IQ_FY-4), _xll.ciqfunctions.udf.CIQ(A288, "IQ_TOTAL_DEBT_REPAID",IQ_FY-3))</f>
        <v>-6492</v>
      </c>
      <c r="O294" s="15">
        <f t="shared" si="77"/>
        <v>-0.44051518522402422</v>
      </c>
      <c r="P294" s="15">
        <f t="shared" si="78"/>
        <v>5.1635736224271316</v>
      </c>
      <c r="Q294" s="18"/>
      <c r="R294" s="38" t="s">
        <v>29</v>
      </c>
      <c r="S294" s="4">
        <f>(AVERAGE(P293:P298)/_xlfn.STDEV.P(P293:P298))/(IF(A296=A297,(_xlfn.SINGLE(_xll.ciqfunctions.udf.CIQ(A288,"IQ_total_assets",IQ_FY)) - _xlfn.SINGLE(_xll.ciqfunctions.udf.CIQ(A288,"iq_gw_intan", IQ_FY)))/I298, (_xlfn.SINGLE(_xll.ciqfunctions.udf.CIQ(A288, "IQ_total_assets",IQ_LTM))-_xlfn.SINGLE(_xll.ciqfunctions.udf.CIQ(A288,"iq_gw_intan",IQ_LTM)))/I298))</f>
        <v>3.9878408909954755E-2</v>
      </c>
      <c r="U294" s="18"/>
      <c r="V294" s="38" t="s">
        <v>29</v>
      </c>
      <c r="W294" s="4">
        <f>(AVERAGE(P293:P298)/_xlfn.STDEV.P(P293:P298))/(IF(A296=A297,(_xlfn.SINGLE(_xll.ciqfunctions.udf.CIQ(A288,"IQ_total_assets",IQ_FY)) - _xlfn.SINGLE(_xll.ciqfunctions.udf.CIQ(A288,"iq_gw_intan", IQ_FY)))/I298, (_xlfn.SINGLE(_xll.ciqfunctions.udf.CIQ(A288, "IQ_total_assets",IQ_LTM))-_xlfn.SINGLE(_xll.ciqfunctions.udf.CIQ(A288,"iq_gw_intan",IQ_LTM)))/I298))</f>
        <v>3.9878408909954755E-2</v>
      </c>
      <c r="Y294" s="18"/>
      <c r="Z294" s="38" t="s">
        <v>29</v>
      </c>
      <c r="AA294" s="4">
        <f>(AVERAGE(P293:P298)/_xlfn.STDEV.P(P293:P298))/(IF(A296=A297,(_xlfn.SINGLE(_xll.ciqfunctions.udf.CIQ(A288,"IQ_total_assets",IQ_FY)) - _xlfn.SINGLE(_xll.ciqfunctions.udf.CIQ(A288,"iq_gw_intan", IQ_FY)))/I298, (_xlfn.SINGLE(_xll.ciqfunctions.udf.CIQ(A288, "IQ_total_assets",IQ_LTM))-_xlfn.SINGLE(_xll.ciqfunctions.udf.CIQ(A288,"iq_gw_intan",IQ_LTM)))/I298))</f>
        <v>3.9878408909954755E-2</v>
      </c>
    </row>
    <row r="295" spans="1:27">
      <c r="A295" s="18"/>
      <c r="B295" s="13">
        <v>8</v>
      </c>
      <c r="C295" s="14" t="s">
        <v>30</v>
      </c>
      <c r="D295" s="15" cm="1">
        <f t="array" ref="D295">_xlfn.SINGLE(IF(A296=A297,_xll.ciqfunctions.udf.CIQ(A288,"IQ_TOTAL_REV",IQ_FY-3)/I295, _xll.ciqfunctions.udf.CIQ(A288, "IQ_TOTAL_REV",IQ_FY-2)/I295))</f>
        <v>20.805481874447391</v>
      </c>
      <c r="E295" s="16">
        <f t="shared" si="79"/>
        <v>-2.1273326817413764E-2</v>
      </c>
      <c r="F295" s="15">
        <f>IF(A296=A297,_xll.ciqfunctions.udf.CIQ(A288,"IQ_DILUT_EPS_EXCL",IQ_FY-3), _xll.ciqfunctions.udf.CIQ(A288, "IQ_DILUT_EPS_EXCL",IQ_FY-2))</f>
        <v>4.5199999999999996</v>
      </c>
      <c r="G295" s="15">
        <f>IF(A296=A297,_xll.ciqfunctions.udf.CIQ(A288,"IQ_EBITDA_MARGIN",IQ_FY-3), _xll.ciqfunctions.udf.CIQ(A288, "IQ_EBITDA_MARGIN",IQ_FY-2))</f>
        <v>32.382800000000003</v>
      </c>
      <c r="H295" s="15">
        <f>IF(A296=A297,_xll.ciqfunctions.udf.CIQ(A288,"IQ_TOTAL_DIV_PAID_CF",IQ_FY-3)/-I295, _xll.ciqfunctions.udf.CIQ(A288, "IQ_TOTAL_DIV_PAID_CF",IQ_FY-2)/-I295)</f>
        <v>2.548187444739169</v>
      </c>
      <c r="I295" s="17">
        <f>IF(A296=A297,_xll.ciqfunctions.udf.CIQ(A288,"IQ_TOTAL_OUTSTANDING_FILING_DATE",IQ_FY-3), _xll.ciqfunctions.udf.CIQ(A288, "IQ_TOTAL_OUTSTANDING_FILING_DATE",IQ_FY-2))</f>
        <v>1131</v>
      </c>
      <c r="J295" s="17">
        <f>IF(A296=A297,_xll.ciqfunctions.udf.CIQ(A288,"IQ_CASH_OPER",IQ_FY-3), _xll.ciqfunctions.udf.CIQ(A288, "IQ_CASH_OPER",IQ_FY-2))</f>
        <v>5814</v>
      </c>
      <c r="K295" s="17">
        <f>IF(A296=A297,_xll.ciqfunctions.udf.CIQ(A288,"IQ_CAPEX",IQ_FY-3), _xll.ciqfunctions.udf.CIQ(A288, "IQ_CAPEX",IQ_FY-2))</f>
        <v>-1407</v>
      </c>
      <c r="L295" s="15">
        <f t="shared" si="76"/>
        <v>3.896551724137931</v>
      </c>
      <c r="M295" s="17">
        <f>IF(A296=A297,_xll.ciqfunctions.udf.CIQ(A288,"IQ_TOTAL_DEBT_ISSUED",IQ_FY-3), _xll.ciqfunctions.udf.CIQ(A288, "IQ_TOTAL_DEBT_ISSUED",IQ_FY-2))</f>
        <v>4836</v>
      </c>
      <c r="N295" s="17">
        <f>IF(A296=A297,_xll.ciqfunctions.udf.CIQ(A288,"IQ_TOTAL_DEBT_REPAID",IQ_FY-3), _xll.ciqfunctions.udf.CIQ(A288, "IQ_TOTAL_DEBT_REPAID",IQ_FY-2))</f>
        <v>-5065</v>
      </c>
      <c r="O295" s="15">
        <f t="shared" si="77"/>
        <v>-0.20247568523430592</v>
      </c>
      <c r="P295" s="15">
        <f t="shared" si="78"/>
        <v>3.6940760389036251</v>
      </c>
      <c r="Q295" s="18"/>
      <c r="R295" s="39" t="s">
        <v>31</v>
      </c>
      <c r="S295" s="5">
        <f>IF(NOT(D288&gt;0),FALSE,SLOPE(G288:G298,B288:B298))</f>
        <v>-0.1818490909090909</v>
      </c>
      <c r="U295" s="18"/>
      <c r="V295" s="39" t="s">
        <v>31</v>
      </c>
      <c r="W295" s="5">
        <f>IF(NOT(D288&gt;0),FALSE,SLOPE(G288:G298,B288:B298))</f>
        <v>-0.1818490909090909</v>
      </c>
      <c r="Y295" s="18"/>
      <c r="Z295" s="39" t="s">
        <v>31</v>
      </c>
      <c r="AA295" s="5">
        <f>IF(NOT(L288&gt;0),FALSE,SLOPE(O288:O298,J288:J298))</f>
        <v>-3.0092248286789261E-4</v>
      </c>
    </row>
    <row r="296" spans="1:27">
      <c r="A296" s="19">
        <f>_xll.ciqfunctions.udf.CIQ(A288,"IQ_TOTAL_REV",IQ_FY)</f>
        <v>35820</v>
      </c>
      <c r="B296" s="13">
        <v>9</v>
      </c>
      <c r="C296" s="14" t="s">
        <v>32</v>
      </c>
      <c r="D296" s="15" cm="1">
        <f t="array" ref="D296">_xlfn.SINGLE(IF(A296=A297,_xll.ciqfunctions.udf.CIQ(A288,"IQ_TOTAL_REV",IQ_FY-2)/I296, _xll.ciqfunctions.udf.CIQ(A288, "IQ_TOTAL_REV",IQ_FY-1)/I296))</f>
        <v>29.969642857142858</v>
      </c>
      <c r="E296" s="16">
        <f t="shared" si="79"/>
        <v>0.44046857640680692</v>
      </c>
      <c r="F296" s="15">
        <f>IF(A296=A297,_xll.ciqfunctions.udf.CIQ(A288,"IQ_DILUT_EPS_EXCL",IQ_FY-2), _xll.ciqfunctions.udf.CIQ(A288, "IQ_DILUT_EPS_EXCL",IQ_FY-1))</f>
        <v>7.87</v>
      </c>
      <c r="G296" s="15">
        <f>IF(A296=A297,_xll.ciqfunctions.udf.CIQ(A288,"IQ_EBITDA_MARGIN",IQ_FY-2), _xll.ciqfunctions.udf.CIQ(A288, "IQ_EBITDA_MARGIN",IQ_FY-1))</f>
        <v>33.8765</v>
      </c>
      <c r="H296" s="15">
        <f>IF(A296=A297,_xll.ciqfunctions.udf.CIQ(A288,"IQ_TOTAL_DIV_PAID_CF",IQ_FY-2)/-I296, _xll.ciqfunctions.udf.CIQ(A288, "IQ_TOTAL_DIV_PAID_CF",IQ_FY-1)/-I296)</f>
        <v>2.6857142857142855</v>
      </c>
      <c r="I296" s="17">
        <f>IF(A296=A297,_xll.ciqfunctions.udf.CIQ(A288,"IQ_TOTAL_OUTSTANDING_FILING_DATE",IQ_FY-2), _xll.ciqfunctions.udf.CIQ(A288, "IQ_TOTAL_OUTSTANDING_FILING_DATE",IQ_FY-1))</f>
        <v>1120</v>
      </c>
      <c r="J296" s="17">
        <f>IF(A296=A297,_xll.ciqfunctions.udf.CIQ(A288,"IQ_CASH_OPER",IQ_FY-2), _xll.ciqfunctions.udf.CIQ(A288, "IQ_CASH_OPER",IQ_FY-1))</f>
        <v>10536</v>
      </c>
      <c r="K296" s="17">
        <f>IF(A296=A297,_xll.ciqfunctions.udf.CIQ(A288,"IQ_CAPEX",IQ_FY-2), _xll.ciqfunctions.udf.CIQ(A288, "IQ_CAPEX",IQ_FY-1))</f>
        <v>-1888</v>
      </c>
      <c r="L296" s="15">
        <f t="shared" si="76"/>
        <v>7.7214285714285715</v>
      </c>
      <c r="M296" s="17">
        <f>IF(A296=A297,_xll.ciqfunctions.udf.CIQ(A288,"IQ_TOTAL_DEBT_ISSUED",IQ_FY-2), _xll.ciqfunctions.udf.CIQ(A288, "IQ_TOTAL_DEBT_ISSUED",IQ_FY-1))</f>
        <v>2886</v>
      </c>
      <c r="N296" s="17">
        <f>IF(A296=A297,_xll.ciqfunctions.udf.CIQ(A288,"IQ_TOTAL_DEBT_REPAID",IQ_FY-2), _xll.ciqfunctions.udf.CIQ(A288, "IQ_TOTAL_DEBT_REPAID",IQ_FY-1))</f>
        <v>-2885</v>
      </c>
      <c r="O296" s="15">
        <f t="shared" si="77"/>
        <v>8.9285714285714283E-4</v>
      </c>
      <c r="P296" s="15">
        <f t="shared" si="78"/>
        <v>7.722321428571429</v>
      </c>
      <c r="Q296" s="25" t="s">
        <v>33</v>
      </c>
      <c r="R296" s="38" t="s">
        <v>52</v>
      </c>
      <c r="S296" s="4">
        <f>(AVERAGE(O293:O298)/AVERAGE(P293:P298))</f>
        <v>-0.19274133380353187</v>
      </c>
      <c r="U296" s="25" t="s">
        <v>54</v>
      </c>
      <c r="V296" s="38" t="s">
        <v>52</v>
      </c>
      <c r="W296" s="4">
        <f>(AVERAGE(O293:O298)/AVERAGE(P293:P298))</f>
        <v>-0.19274133380353187</v>
      </c>
      <c r="Y296" s="25" t="s">
        <v>60</v>
      </c>
      <c r="Z296" s="38" t="s">
        <v>52</v>
      </c>
      <c r="AA296" s="4">
        <f>(AVERAGE(O293:O298)/AVERAGE(P293:P298))</f>
        <v>-0.19274133380353187</v>
      </c>
    </row>
    <row r="297" spans="1:27">
      <c r="A297" s="19">
        <f>_xll.ciqfunctions.udf.CIQ(A288,"IQ_TOTAL_REV",IQ_LTM)</f>
        <v>35820</v>
      </c>
      <c r="B297" s="13">
        <v>10</v>
      </c>
      <c r="C297" s="14" t="s">
        <v>34</v>
      </c>
      <c r="D297" s="15" cm="1">
        <f t="array" ref="D297">_xlfn.SINGLE(IF(A296=A297,_xll.ciqfunctions.udf.CIQ(A288,"IQ_TOTAL_REV",IQ_FY-1)/I297, _xll.ciqfunctions.udf.CIQ(A288, "IQ_TOTAL_REV",IQ_FY)/I297))</f>
        <v>39.429081177520068</v>
      </c>
      <c r="E297" s="16">
        <f t="shared" si="79"/>
        <v>0.31563400222911503</v>
      </c>
      <c r="F297" s="15">
        <f>IF(A296=A297,_xll.ciqfunctions.udf.CIQ(A288,"IQ_DILUT_EPS_EXCL",IQ_FY-1), _xll.ciqfunctions.udf.CIQ(A288, "IQ_DILUT_EPS_EXCL",IQ_FY))</f>
        <v>11.41</v>
      </c>
      <c r="G297" s="15">
        <f>IF(A296=A297,_xll.ciqfunctions.udf.CIQ(A288,"IQ_EBITDA_MARGIN",IQ_FY-1), _xll.ciqfunctions.udf.CIQ(A288, "IQ_EBITDA_MARGIN",IQ_FY))</f>
        <v>37.472799999999999</v>
      </c>
      <c r="H297" s="15">
        <f>IF(A296=A297,_xll.ciqfunctions.udf.CIQ(A288,"IQ_TOTAL_DIV_PAID_CF",IQ_FY-1)/-I297, _xll.ciqfunctions.udf.CIQ(A288, "IQ_TOTAL_DIV_PAID_CF",IQ_FY)/-I297)</f>
        <v>2.8652988403211417</v>
      </c>
      <c r="I297" s="17">
        <f>IF(A296=A297,_xll.ciqfunctions.udf.CIQ(A288,"IQ_TOTAL_OUTSTANDING_FILING_DATE",IQ_FY-1), _xll.ciqfunctions.udf.CIQ(A288, "IQ_TOTAL_OUTSTANDING_FILING_DATE",IQ_FY))</f>
        <v>1121</v>
      </c>
      <c r="J297" s="17">
        <f>IF(A296=A297,_xll.ciqfunctions.udf.CIQ(A288,"IQ_CASH_OPER",IQ_FY-1), _xll.ciqfunctions.udf.CIQ(A288, "IQ_CASH_OPER",IQ_FY))</f>
        <v>9096</v>
      </c>
      <c r="K297" s="17">
        <f>IF(A296=A297,_xll.ciqfunctions.udf.CIQ(A288,"IQ_CAPEX",IQ_FY-1), _xll.ciqfunctions.udf.CIQ(A288, "IQ_CAPEX",IQ_FY))</f>
        <v>-2262</v>
      </c>
      <c r="L297" s="15">
        <f t="shared" si="76"/>
        <v>6.0963425512934881</v>
      </c>
      <c r="M297" s="17">
        <f>IF(A296=A297,_xll.ciqfunctions.udf.CIQ(A288,"IQ_TOTAL_DEBT_ISSUED",IQ_FY-1), _xll.ciqfunctions.udf.CIQ(A288, "IQ_TOTAL_DEBT_ISSUED",IQ_FY))</f>
        <v>8477</v>
      </c>
      <c r="N297" s="17">
        <f>IF(A296=A297,_xll.ciqfunctions.udf.CIQ(A288,"IQ_TOTAL_DEBT_REPAID",IQ_FY-1), _xll.ciqfunctions.udf.CIQ(A288, "IQ_TOTAL_DEBT_REPAID",IQ_FY))</f>
        <v>-8892</v>
      </c>
      <c r="O297" s="15">
        <f t="shared" si="77"/>
        <v>-0.37020517395182873</v>
      </c>
      <c r="P297" s="15">
        <f t="shared" si="78"/>
        <v>5.7261373773416597</v>
      </c>
      <c r="Q297" s="25" t="s">
        <v>44</v>
      </c>
      <c r="R297" s="38" t="s">
        <v>35</v>
      </c>
      <c r="S297" s="1">
        <f>_xll.ciqfunctions.udf.CIQ(A288,"IQ_TEV_EBITDA")</f>
        <v>13.779310000000001</v>
      </c>
      <c r="U297" s="25" t="s">
        <v>55</v>
      </c>
      <c r="V297" s="38" t="s">
        <v>53</v>
      </c>
      <c r="W297" s="1">
        <f>V287/(AVERAGE(D293:D298)/_xlfn.STDEV.P(E293:E298))</f>
        <v>0.99035135067866653</v>
      </c>
      <c r="Y297" s="25" t="s">
        <v>57</v>
      </c>
      <c r="Z297" s="38" t="s">
        <v>53</v>
      </c>
      <c r="AA297" s="1">
        <f>Z287/(AVERAGE(D293:D298)/_xlfn.STDEV.P(E293:E298))</f>
        <v>0.99035135067866653</v>
      </c>
    </row>
    <row r="298" spans="1:27">
      <c r="B298" s="13">
        <v>11</v>
      </c>
      <c r="C298" s="20" t="s">
        <v>36</v>
      </c>
      <c r="D298" s="21" cm="1">
        <f t="array" ref="D298">_xlfn.SINGLE(IF(A296=A297,_xll.ciqfunctions.udf.CIQ(A288,"IQ_TOTAL_REV",IQ_FY)/I298, _xll.ciqfunctions.udf.CIQ(A288, "IQ_TOTAL_REV",IQ_LTM)/I298))</f>
        <v>32.183288409703501</v>
      </c>
      <c r="E298" s="22">
        <f t="shared" si="79"/>
        <v>-0.18376773060457857</v>
      </c>
      <c r="F298" s="21">
        <f>IF(A296=A297,_xll.ciqfunctions.udf.CIQ(A288,"IQ_DILUT_EPS_EXCL",IQ_FY), _xll.ciqfunctions.udf.CIQ(A288, "IQ_DILUT_EPS_EXCL",IQ_LTM))</f>
        <v>6.52</v>
      </c>
      <c r="G298" s="21">
        <f>IF(A296=A297,_xll.ciqfunctions.udf.CIQ(A288,"IQ_EBITDA_MARGIN",IQ_FY), _xll.ciqfunctions.udf.CIQ(A288, "IQ_EBITDA_MARGIN",IQ_LTM))</f>
        <v>29.198699999999999</v>
      </c>
      <c r="H298" s="21">
        <f>IF(A296=A297,_xll.ciqfunctions.udf.CIQ(A288,"IQ_TOTAL_DIV_PAID_CF",IQ_FY)/-I298, _xll.ciqfunctions.udf.CIQ(A288, "IQ_TOTAL_DIV_PAID_CF",IQ_LTM)/-I298)</f>
        <v>3.1105121293800537</v>
      </c>
      <c r="I298" s="23">
        <f>IF(A296=A297,_xll.ciqfunctions.udf.CIQ(A288,"IQ_TOTAL_OUTSTANDING_FILING_DATE",IQ_FY),_xll.ciqfunctions.udf.CIQ(A288,"IQ_sharesoutstanding"))</f>
        <v>1113</v>
      </c>
      <c r="J298" s="23">
        <f>IF(A296=A297,_xll.ciqfunctions.udf.CIQ(A288,"IQ_CASH_OPER",IQ_FY), _xll.ciqfunctions.udf.CIQ(A288, "IQ_CASH_OPER",IQ_LTM))</f>
        <v>11299</v>
      </c>
      <c r="K298" s="23">
        <f>IF(A296=A297,_xll.ciqfunctions.udf.CIQ(A288,"IQ_CAPEX",IQ_FY), _xll.ciqfunctions.udf.CIQ(A288, "IQ_CAPEX",IQ_LTM))</f>
        <v>-1450</v>
      </c>
      <c r="L298" s="21">
        <f t="shared" si="76"/>
        <v>8.8490566037735849</v>
      </c>
      <c r="M298" s="23">
        <f>IF(A296=A297,_xll.ciqfunctions.udf.CIQ(A288,"IQ_TOTAL_DEBT_ISSUED",IQ_FY), _xll.ciqfunctions.udf.CIQ(A288, "IQ_TOTAL_DEBT_ISSUED",IQ_LTM))</f>
        <v>6948</v>
      </c>
      <c r="N298" s="23">
        <f>IF(A296=A297,_xll.ciqfunctions.udf.CIQ(A288,"IQ_TOTAL_DEBT_REPAID",IQ_FY), _xll.ciqfunctions.udf.CIQ(A288, "IQ_TOTAL_DEBT_REPAID",IQ_LTM))</f>
        <v>-7012</v>
      </c>
      <c r="O298" s="21">
        <f t="shared" si="77"/>
        <v>-5.7502246181491468E-2</v>
      </c>
      <c r="P298" s="21">
        <f t="shared" si="78"/>
        <v>8.7915543575920942</v>
      </c>
      <c r="Q298" s="25" t="s">
        <v>45</v>
      </c>
      <c r="S298" s="45"/>
      <c r="U298" s="25"/>
      <c r="W298" s="45"/>
      <c r="Y298" s="25"/>
      <c r="AA298" s="45"/>
    </row>
    <row r="299" spans="1:27">
      <c r="B299" s="24"/>
      <c r="C299" s="25" t="s">
        <v>37</v>
      </c>
      <c r="E299" s="26">
        <f>((D298/D293)^(1/5))-1</f>
        <v>0.1152553229879425</v>
      </c>
      <c r="F299" s="27">
        <f>((F298/F293)^(1/5))-1</f>
        <v>-2.1395463102038255</v>
      </c>
      <c r="G299" s="28"/>
      <c r="H299" s="27">
        <f>((H298/H293)^(1/5))-1</f>
        <v>1.6981010071884794E-2</v>
      </c>
      <c r="I299" s="27">
        <f>((I298/I293)^(1/5))-1</f>
        <v>-1.6924534620723408E-2</v>
      </c>
      <c r="J299" s="27"/>
      <c r="K299" s="27"/>
      <c r="L299" s="26">
        <f>((L298/L293)^(1/5))-1</f>
        <v>0.27982139155339691</v>
      </c>
      <c r="M299" s="26"/>
      <c r="N299" s="26"/>
      <c r="O299" s="26"/>
      <c r="P299" s="26">
        <f>((P298/P293)^(1/5))-1</f>
        <v>-2.3490487124333841</v>
      </c>
      <c r="Q299" s="18"/>
      <c r="R299" s="36"/>
      <c r="S299" s="45"/>
      <c r="U299" s="18"/>
      <c r="V299" s="36"/>
      <c r="W299" s="45"/>
      <c r="Y299" s="18"/>
      <c r="Z299" s="36"/>
      <c r="AA299" s="45"/>
    </row>
    <row r="300" spans="1:27">
      <c r="A300" s="29"/>
      <c r="B300" s="30"/>
      <c r="C300" s="31" t="s">
        <v>38</v>
      </c>
      <c r="D300" s="29"/>
      <c r="E300" s="32">
        <f>((D298/D288)^(1/10))-1</f>
        <v>8.1375721354979502E-2</v>
      </c>
      <c r="F300" s="33">
        <f>((F298/F288)^(1/10))-1</f>
        <v>5.2463598464267402E-2</v>
      </c>
      <c r="G300" s="34"/>
      <c r="H300" s="33">
        <f>((H298/H288)^(1/10))-1</f>
        <v>9.8439579567827895E-2</v>
      </c>
      <c r="I300" s="33">
        <f>((I298/I288)^(1/10))-1</f>
        <v>-4.0874692404424429E-2</v>
      </c>
      <c r="J300" s="33"/>
      <c r="K300" s="33"/>
      <c r="L300" s="32">
        <f>((L298/L288)^(1/10))-1</f>
        <v>6.8183619615379776E-2</v>
      </c>
      <c r="M300" s="32"/>
      <c r="N300" s="32"/>
      <c r="O300" s="32"/>
      <c r="P300" s="32">
        <f>((P298/P288)^(1/10))-1</f>
        <v>6.6184336374306207E-2</v>
      </c>
      <c r="Q300" s="40"/>
      <c r="R300" s="41"/>
      <c r="S300" s="46"/>
      <c r="U300" s="40"/>
      <c r="V300" s="41"/>
      <c r="W300" s="46"/>
      <c r="Y300" s="40"/>
      <c r="Z300" s="41"/>
      <c r="AA300" s="46"/>
    </row>
    <row r="301" spans="1:27">
      <c r="B301" s="24"/>
      <c r="C301" s="25"/>
      <c r="E301" s="26"/>
      <c r="F301" s="27"/>
      <c r="G301" s="28"/>
      <c r="H301" s="27"/>
      <c r="I301" s="27"/>
      <c r="J301" s="27"/>
      <c r="K301" s="27"/>
      <c r="L301" s="26"/>
      <c r="M301" s="17"/>
      <c r="N301" s="17"/>
      <c r="O301" s="17"/>
      <c r="P301" s="35"/>
      <c r="Q301" s="18"/>
      <c r="R301" s="36"/>
    </row>
    <row r="302" spans="1:27">
      <c r="A302" s="9" t="s">
        <v>0</v>
      </c>
      <c r="B302" s="10"/>
      <c r="C302" s="9" t="s">
        <v>1</v>
      </c>
      <c r="D302" s="9" t="s">
        <v>2</v>
      </c>
      <c r="E302" s="9" t="s">
        <v>3</v>
      </c>
      <c r="F302" s="11" t="s">
        <v>4</v>
      </c>
      <c r="G302" s="11" t="s">
        <v>5</v>
      </c>
      <c r="H302" s="9" t="s">
        <v>6</v>
      </c>
      <c r="I302" s="11" t="s">
        <v>7</v>
      </c>
      <c r="J302" s="11" t="s">
        <v>8</v>
      </c>
      <c r="K302" s="11" t="s">
        <v>9</v>
      </c>
      <c r="L302" s="11" t="s">
        <v>10</v>
      </c>
      <c r="M302" s="11" t="s">
        <v>11</v>
      </c>
      <c r="N302" s="11" t="s">
        <v>12</v>
      </c>
      <c r="O302" s="11" t="s">
        <v>13</v>
      </c>
      <c r="P302" s="11" t="s">
        <v>14</v>
      </c>
      <c r="Q302" s="37" t="s">
        <v>15</v>
      </c>
      <c r="R302" s="42">
        <f>_xll.ciqfunctions.udf.CIQ(A303,("IQ_LASTSALEPRICE"))</f>
        <v>151.01</v>
      </c>
      <c r="S302" s="44"/>
      <c r="U302" s="37" t="s">
        <v>15</v>
      </c>
      <c r="V302" s="42">
        <f>_xll.ciqfunctions.udf.CIQ(A303,("IQ_LASTSALEPRICE"))</f>
        <v>151.01</v>
      </c>
      <c r="W302" s="44"/>
      <c r="Y302" s="37" t="s">
        <v>15</v>
      </c>
      <c r="Z302" s="42">
        <f>_xll.ciqfunctions.udf.CIQ(A303,("IQ_LASTSALEPRICE"))</f>
        <v>151.01</v>
      </c>
      <c r="AA302" s="44"/>
    </row>
    <row r="303" spans="1:27">
      <c r="A303" s="12" t="str">
        <f>Analysis!B22</f>
        <v>NasdaqGS:AMAT</v>
      </c>
      <c r="B303" s="13">
        <v>1</v>
      </c>
      <c r="C303" s="14" t="s">
        <v>16</v>
      </c>
      <c r="D303" s="15">
        <f>IF(A311=A312,_xll.ciqfunctions.udf.CIQ(A303,"IQ_TOTAL_REV",IQ_FY-10)/I303,_xll.ciqfunctions.udf.CIQ(A303, "IQ_TOTAL_REV",IQ_FY-9)/I303)</f>
        <v>6.2357607350315147</v>
      </c>
      <c r="E303" s="16"/>
      <c r="F303" s="15">
        <f>IF(A311=A312,_xll.ciqfunctions.udf.CIQ(A303,"IQ_DILUT_EPS_EXCL",IQ_FY-10), _xll.ciqfunctions.udf.CIQ(A303, "IQ_DILUT_EPS_EXCL",IQ_FY-9))</f>
        <v>0.21</v>
      </c>
      <c r="G303" s="15">
        <f>IF(A311=A312,_xll.ciqfunctions.udf.CIQ(A303,"IQ_EBITDA_MARGIN",IQ_FY-10), _xll.ciqfunctions.udf.CIQ(A303, "IQ_EBITDA_MARGIN",IQ_FY-9))</f>
        <v>15.887600000000001</v>
      </c>
      <c r="H303" s="15">
        <f>IF(A311=A312,_xll.ciqfunctions.udf.CIQ(A303,"IQ_TOTAL_DIV_PAID_CF",IQ_FY-10)/-I303, _xll.ciqfunctions.udf.CIQ(A303, "IQ_TOTAL_DIV_PAID_CF",IQ_FY-9)/-I303)</f>
        <v>0.37867983688565332</v>
      </c>
      <c r="I303" s="17">
        <f>IF(A311=A312,_xll.ciqfunctions.udf.CIQ(A303,"IQ_TOTAL_OUTSTANDING_FILING_DATE",IQ_FY-10), _xll.ciqfunctions.udf.CIQ(A303, "IQ_TOTAL_OUTSTANDING_FILING_DATE",IQ_FY-9))</f>
        <v>1204.1834699999999</v>
      </c>
      <c r="J303" s="17">
        <f>IF(A311=A312,_xll.ciqfunctions.udf.CIQ(A303,"IQ_CASH_OPER",IQ_FY-10), _xll.ciqfunctions.udf.CIQ(A303, "IQ_CASH_OPER",IQ_FY-9))</f>
        <v>623</v>
      </c>
      <c r="K303" s="17">
        <f>IF(A311=A312,_xll.ciqfunctions.udf.CIQ(A303,"IQ_CAPEX",IQ_FY-10), _xll.ciqfunctions.udf.CIQ(A303, "IQ_CAPEX",IQ_FY-9))</f>
        <v>-197</v>
      </c>
      <c r="L303" s="15">
        <f t="shared" ref="L303:L313" si="80">(J303+K303)/I303</f>
        <v>0.3537666897221235</v>
      </c>
      <c r="M303" s="17">
        <f>IF(A311=A312,_xll.ciqfunctions.udf.CIQ(A303,"IQ_TOTAL_DEBT_ISSUED",IQ_FY-10), _xll.ciqfunctions.udf.CIQ(A303, "IQ_TOTAL_DEBT_ISSUED",IQ_FY-9))</f>
        <v>0</v>
      </c>
      <c r="N303" s="17">
        <f>IF(A311=A312,_xll.ciqfunctions.udf.CIQ(A303,"IQ_TOTAL_DEBT_REPAID",IQ_FY-10), _xll.ciqfunctions.udf.CIQ(A303, "IQ_TOTAL_DEBT_REPAID",IQ_FY-9))</f>
        <v>0</v>
      </c>
      <c r="O303" s="15">
        <f t="shared" ref="O303:O313" si="81">(M303+N303)/I303</f>
        <v>0</v>
      </c>
      <c r="P303" s="15">
        <f t="shared" ref="P303:P313" si="82">L303+O303</f>
        <v>0.3537666897221235</v>
      </c>
      <c r="W303" s="43"/>
      <c r="AA303" s="43"/>
    </row>
    <row r="304" spans="1:27">
      <c r="A304" s="18" t="str">
        <f>_xll.ciqfunctions.udf.CIQ(A303,"IQ_COMPANY_NAME")</f>
        <v>Applied Materials, Inc.</v>
      </c>
      <c r="B304" s="13">
        <v>2</v>
      </c>
      <c r="C304" s="14" t="s">
        <v>17</v>
      </c>
      <c r="D304" s="15">
        <f>IF(A311=A312,_xll.ciqfunctions.udf.CIQ(A303,"IQ_TOTAL_REV",IQ_FY-9)/I304, _xll.ciqfunctions.udf.CIQ(A303, "IQ_TOTAL_REV",IQ_FY-8)/I304)</f>
        <v>7.4271044678405147</v>
      </c>
      <c r="E304" s="16">
        <f t="shared" ref="E304:E313" si="83">(D304-D303)/D303</f>
        <v>0.1910502637017838</v>
      </c>
      <c r="F304" s="15">
        <f>IF(A311=A312,_xll.ciqfunctions.udf.CIQ(A303,"IQ_DILUT_EPS_EXCL",IQ_FY-9), _xll.ciqfunctions.udf.CIQ(A303, "IQ_DILUT_EPS_EXCL",IQ_FY-8))</f>
        <v>0.87</v>
      </c>
      <c r="G304" s="15">
        <f>IF(A311=A312,_xll.ciqfunctions.udf.CIQ(A303,"IQ_EBITDA_MARGIN",IQ_FY-9), _xll.ciqfunctions.udf.CIQ(A303, "IQ_EBITDA_MARGIN",IQ_FY-8))</f>
        <v>21.3734</v>
      </c>
      <c r="H304" s="15">
        <f>IF(A311=A312,_xll.ciqfunctions.udf.CIQ(A303,"IQ_TOTAL_DIV_PAID_CF",IQ_FY-9)/-I304, _xll.ciqfunctions.udf.CIQ(A303, "IQ_TOTAL_DIV_PAID_CF",IQ_FY-8)/-I304)</f>
        <v>0.39706191213653547</v>
      </c>
      <c r="I304" s="17">
        <f>IF(A311=A312,_xll.ciqfunctions.udf.CIQ(A303,"IQ_TOTAL_OUTSTANDING_FILING_DATE",IQ_FY-9), _xll.ciqfunctions.udf.CIQ(A303, "IQ_TOTAL_OUTSTANDING_FILING_DATE",IQ_FY-8))</f>
        <v>1221.47198</v>
      </c>
      <c r="J304" s="17">
        <f>IF(A311=A312,_xll.ciqfunctions.udf.CIQ(A303,"IQ_CASH_OPER",IQ_FY-9), _xll.ciqfunctions.udf.CIQ(A303, "IQ_CASH_OPER",IQ_FY-8))</f>
        <v>1800</v>
      </c>
      <c r="K304" s="17">
        <f>IF(A311=A312,_xll.ciqfunctions.udf.CIQ(A303,"IQ_CAPEX",IQ_FY-9), _xll.ciqfunctions.udf.CIQ(A303, "IQ_CAPEX",IQ_FY-8))</f>
        <v>-241</v>
      </c>
      <c r="L304" s="15">
        <f t="shared" si="80"/>
        <v>1.2763289093213583</v>
      </c>
      <c r="M304" s="17">
        <f>IF(A311=A312,_xll.ciqfunctions.udf.CIQ(A303,"IQ_TOTAL_DEBT_ISSUED",IQ_FY-9), _xll.ciqfunctions.udf.CIQ(A303, "IQ_TOTAL_DEBT_ISSUED",IQ_FY-8))</f>
        <v>0</v>
      </c>
      <c r="N304" s="17">
        <f>IF(A311=A312,_xll.ciqfunctions.udf.CIQ(A303,"IQ_TOTAL_DEBT_REPAID",IQ_FY-9), _xll.ciqfunctions.udf.CIQ(A303, "IQ_TOTAL_DEBT_REPAID",IQ_FY-8))</f>
        <v>0</v>
      </c>
      <c r="O304" s="15">
        <f t="shared" si="81"/>
        <v>0</v>
      </c>
      <c r="P304" s="15">
        <f t="shared" si="82"/>
        <v>1.2763289093213583</v>
      </c>
      <c r="Q304" s="25" t="s">
        <v>18</v>
      </c>
      <c r="R304" s="39" t="s">
        <v>19</v>
      </c>
      <c r="S304" s="1">
        <f>R302/((AVERAGE(P308:P313))*(1+E314)^3)</f>
        <v>20.949971622552578</v>
      </c>
      <c r="U304" s="25" t="s">
        <v>48</v>
      </c>
      <c r="V304" s="39" t="s">
        <v>19</v>
      </c>
      <c r="W304" s="1">
        <f>V302/((AVERAGE(P308:P313))*(1+E314)^3)</f>
        <v>20.949971622552578</v>
      </c>
      <c r="Y304" s="25" t="s">
        <v>39</v>
      </c>
      <c r="Z304" s="39" t="s">
        <v>19</v>
      </c>
      <c r="AA304" s="1">
        <f>Z302/((AVERAGE(P308:P313))*(1+E314)^3)</f>
        <v>20.949971622552578</v>
      </c>
    </row>
    <row r="305" spans="1:27">
      <c r="B305" s="13">
        <v>3</v>
      </c>
      <c r="C305" s="14" t="s">
        <v>20</v>
      </c>
      <c r="D305" s="15" cm="1">
        <f t="array" ref="D305">_xlfn.SINGLE(IF(A311=A312,_xll.ciqfunctions.udf.CIQ(A303,"IQ_TOTAL_REV",IQ_FY-8)/I305, _xll.ciqfunctions.udf.CIQ(A303, "IQ_TOTAL_REV",IQ_FY-7)/I305))</f>
        <v>8.4054645736122939</v>
      </c>
      <c r="E305" s="16">
        <f t="shared" si="83"/>
        <v>0.13172833504740572</v>
      </c>
      <c r="F305" s="15">
        <f>IF(A311=A312,_xll.ciqfunctions.udf.CIQ(A303,"IQ_DILUT_EPS_EXCL",IQ_FY-8), _xll.ciqfunctions.udf.CIQ(A303, "IQ_DILUT_EPS_EXCL",IQ_FY-7))</f>
        <v>1.1200000000000001</v>
      </c>
      <c r="G305" s="15">
        <f>IF(A311=A312,_xll.ciqfunctions.udf.CIQ(A303,"IQ_EBITDA_MARGIN",IQ_FY-8), _xll.ciqfunctions.udf.CIQ(A303, "IQ_EBITDA_MARGIN",IQ_FY-7))</f>
        <v>21.472200000000001</v>
      </c>
      <c r="H305" s="15">
        <f>IF(A311=A312,_xll.ciqfunctions.udf.CIQ(A303,"IQ_TOTAL_DIV_PAID_CF",IQ_FY-8)/-I305, _xll.ciqfunctions.udf.CIQ(A303, "IQ_TOTAL_DIV_PAID_CF",IQ_FY-7)/-I305)</f>
        <v>0.42379762370319779</v>
      </c>
      <c r="I305" s="17">
        <f>IF(A311=A312,_xll.ciqfunctions.udf.CIQ(A303,"IQ_TOTAL_OUTSTANDING_FILING_DATE",IQ_FY-8), _xll.ciqfunctions.udf.CIQ(A303, "IQ_TOTAL_OUTSTANDING_FILING_DATE",IQ_FY-7))</f>
        <v>1149.13339</v>
      </c>
      <c r="J305" s="17">
        <f>IF(A311=A312,_xll.ciqfunctions.udf.CIQ(A303,"IQ_CASH_OPER",IQ_FY-8), _xll.ciqfunctions.udf.CIQ(A303, "IQ_CASH_OPER",IQ_FY-7))</f>
        <v>1163</v>
      </c>
      <c r="K305" s="17">
        <f>IF(A311=A312,_xll.ciqfunctions.udf.CIQ(A303,"IQ_CAPEX",IQ_FY-8), _xll.ciqfunctions.udf.CIQ(A303, "IQ_CAPEX",IQ_FY-7))</f>
        <v>-215</v>
      </c>
      <c r="L305" s="15">
        <f t="shared" si="80"/>
        <v>0.82496950158240556</v>
      </c>
      <c r="M305" s="17">
        <f>IF(A311=A312,_xll.ciqfunctions.udf.CIQ(A303,"IQ_TOTAL_DEBT_ISSUED",IQ_FY-8), _xll.ciqfunctions.udf.CIQ(A303, "IQ_TOTAL_DEBT_ISSUED",IQ_FY-7))</f>
        <v>2581</v>
      </c>
      <c r="N305" s="17">
        <f>IF(A311=A312,_xll.ciqfunctions.udf.CIQ(A303,"IQ_TOTAL_DEBT_REPAID",IQ_FY-8), _xll.ciqfunctions.udf.CIQ(A303, "IQ_TOTAL_DEBT_REPAID",IQ_FY-7))</f>
        <v>0</v>
      </c>
      <c r="O305" s="15">
        <f t="shared" si="81"/>
        <v>2.246040383527625</v>
      </c>
      <c r="P305" s="15">
        <f t="shared" si="82"/>
        <v>3.0710098851100307</v>
      </c>
      <c r="Q305" s="25" t="s">
        <v>21</v>
      </c>
      <c r="R305" s="38" t="s">
        <v>49</v>
      </c>
      <c r="S305" s="2">
        <f>(R302*I313)/1000</f>
        <v>126.24435999999999</v>
      </c>
      <c r="U305" s="25" t="s">
        <v>59</v>
      </c>
      <c r="V305" s="38" t="s">
        <v>49</v>
      </c>
      <c r="W305" s="2">
        <f>(V302*I313)/1000</f>
        <v>126.24435999999999</v>
      </c>
      <c r="Y305" s="25" t="s">
        <v>46</v>
      </c>
      <c r="Z305" s="38" t="s">
        <v>49</v>
      </c>
      <c r="AA305" s="2">
        <f>(Z302*I313)/1000</f>
        <v>126.24435999999999</v>
      </c>
    </row>
    <row r="306" spans="1:27">
      <c r="A306" s="18"/>
      <c r="B306" s="13">
        <v>4</v>
      </c>
      <c r="C306" s="14" t="s">
        <v>22</v>
      </c>
      <c r="D306" s="15" cm="1">
        <f t="array" ref="D306">_xlfn.SINGLE(IF(A311=A312,_xll.ciqfunctions.udf.CIQ(A303,"IQ_TOTAL_REV",IQ_FY-7)/I306, _xll.ciqfunctions.udf.CIQ(A303, "IQ_TOTAL_REV",IQ_FY-6)/I306))</f>
        <v>10.055081130664474</v>
      </c>
      <c r="E306" s="16">
        <f t="shared" si="83"/>
        <v>0.19625525068904653</v>
      </c>
      <c r="F306" s="15">
        <f>IF(A311=A312,_xll.ciqfunctions.udf.CIQ(A303,"IQ_DILUT_EPS_EXCL",IQ_FY-7), _xll.ciqfunctions.udf.CIQ(A303, "IQ_DILUT_EPS_EXCL",IQ_FY-6))</f>
        <v>1.54</v>
      </c>
      <c r="G306" s="15">
        <f>IF(A311=A312,_xll.ciqfunctions.udf.CIQ(A303,"IQ_EBITDA_MARGIN",IQ_FY-7), _xll.ciqfunctions.udf.CIQ(A303, "IQ_EBITDA_MARGIN",IQ_FY-6))</f>
        <v>23.454899999999999</v>
      </c>
      <c r="H306" s="15">
        <f>IF(A311=A312,_xll.ciqfunctions.udf.CIQ(A303,"IQ_TOTAL_DIV_PAID_CF",IQ_FY-7)/-I306, _xll.ciqfunctions.udf.CIQ(A303, "IQ_TOTAL_DIV_PAID_CF",IQ_FY-6)/-I306)</f>
        <v>0.41242087963187307</v>
      </c>
      <c r="I306" s="17">
        <f>IF(A311=A312,_xll.ciqfunctions.udf.CIQ(A303,"IQ_TOTAL_OUTSTANDING_FILING_DATE",IQ_FY-7), _xll.ciqfunctions.udf.CIQ(A303, "IQ_TOTAL_OUTSTANDING_FILING_DATE",IQ_FY-6))</f>
        <v>1076.5701300000001</v>
      </c>
      <c r="J306" s="17">
        <f>IF(A311=A312,_xll.ciqfunctions.udf.CIQ(A303,"IQ_CASH_OPER",IQ_FY-7), _xll.ciqfunctions.udf.CIQ(A303, "IQ_CASH_OPER",IQ_FY-6))</f>
        <v>2566</v>
      </c>
      <c r="K306" s="17">
        <f>IF(A311=A312,_xll.ciqfunctions.udf.CIQ(A303,"IQ_CAPEX",IQ_FY-7), _xll.ciqfunctions.udf.CIQ(A303, "IQ_CAPEX",IQ_FY-6))</f>
        <v>-253</v>
      </c>
      <c r="L306" s="15">
        <f t="shared" si="80"/>
        <v>2.1484898526768523</v>
      </c>
      <c r="M306" s="17">
        <f>IF(A311=A312,_xll.ciqfunctions.udf.CIQ(A303,"IQ_TOTAL_DEBT_ISSUED",IQ_FY-7), _xll.ciqfunctions.udf.CIQ(A303, "IQ_TOTAL_DEBT_ISSUED",IQ_FY-6))</f>
        <v>0</v>
      </c>
      <c r="N306" s="17">
        <f>IF(A311=A312,_xll.ciqfunctions.udf.CIQ(A303,"IQ_TOTAL_DEBT_REPAID",IQ_FY-7), _xll.ciqfunctions.udf.CIQ(A303, "IQ_TOTAL_DEBT_REPAID",IQ_FY-6))</f>
        <v>-1207</v>
      </c>
      <c r="O306" s="15">
        <f t="shared" si="81"/>
        <v>-1.1211531570172766</v>
      </c>
      <c r="P306" s="15">
        <f t="shared" si="82"/>
        <v>1.0273366956595757</v>
      </c>
      <c r="Q306" s="25" t="s">
        <v>23</v>
      </c>
      <c r="R306" s="38" t="s">
        <v>24</v>
      </c>
      <c r="S306" s="1">
        <f>R302/(AVERAGE(H308:H313)*(1+H314)/(0.5-H314))</f>
        <v>54.028941826638629</v>
      </c>
      <c r="U306" s="25" t="s">
        <v>40</v>
      </c>
      <c r="V306" s="38" t="s">
        <v>24</v>
      </c>
      <c r="W306" s="1">
        <f>V302/(AVERAGE(H308:H313)*(1+H314)/(0.5-H314))</f>
        <v>54.028941826638629</v>
      </c>
      <c r="Y306" s="25" t="s">
        <v>47</v>
      </c>
      <c r="Z306" s="38" t="s">
        <v>24</v>
      </c>
      <c r="AA306" s="1">
        <f>Z302/(AVERAGE(H308:H313)*(1+H314)/(0.5-H314))</f>
        <v>54.028941826638629</v>
      </c>
    </row>
    <row r="307" spans="1:27">
      <c r="B307" s="13">
        <v>5</v>
      </c>
      <c r="C307" s="14" t="s">
        <v>25</v>
      </c>
      <c r="D307" s="15" cm="1">
        <f t="array" ref="D307">_xlfn.SINGLE(IF(A311=A312,_xll.ciqfunctions.udf.CIQ(A303,"IQ_TOTAL_REV",IQ_FY-6)/I307, _xll.ciqfunctions.udf.CIQ(A303, "IQ_TOTAL_REV",IQ_FY-5)/I307))</f>
        <v>13.914071341622344</v>
      </c>
      <c r="E307" s="16">
        <f t="shared" si="83"/>
        <v>0.38378508942999001</v>
      </c>
      <c r="F307" s="15">
        <f>IF(A311=A312,_xll.ciqfunctions.udf.CIQ(A303,"IQ_DILUT_EPS_EXCL",IQ_FY-6), _xll.ciqfunctions.udf.CIQ(A303, "IQ_DILUT_EPS_EXCL",IQ_FY-5))</f>
        <v>3.25</v>
      </c>
      <c r="G307" s="15">
        <f>IF(A311=A312,_xll.ciqfunctions.udf.CIQ(A303,"IQ_EBITDA_MARGIN",IQ_FY-6), _xll.ciqfunctions.udf.CIQ(A303, "IQ_EBITDA_MARGIN",IQ_FY-5))</f>
        <v>29.548200000000001</v>
      </c>
      <c r="H307" s="15">
        <f>IF(A311=A312,_xll.ciqfunctions.udf.CIQ(A303,"IQ_TOTAL_DIV_PAID_CF",IQ_FY-6)/-I307, _xll.ciqfunctions.udf.CIQ(A303, "IQ_TOTAL_DIV_PAID_CF",IQ_FY-5)/-I307)</f>
        <v>0.40706563320843708</v>
      </c>
      <c r="I307" s="17">
        <f>IF(A311=A312,_xll.ciqfunctions.udf.CIQ(A303,"IQ_TOTAL_OUTSTANDING_FILING_DATE",IQ_FY-6), _xll.ciqfunctions.udf.CIQ(A303, "IQ_TOTAL_OUTSTANDING_FILING_DATE",IQ_FY-5))</f>
        <v>1056.3407099999999</v>
      </c>
      <c r="J307" s="17">
        <f>IF(A311=A312,_xll.ciqfunctions.udf.CIQ(A303,"IQ_CASH_OPER",IQ_FY-6), _xll.ciqfunctions.udf.CIQ(A303, "IQ_CASH_OPER",IQ_FY-5))</f>
        <v>3789</v>
      </c>
      <c r="K307" s="17">
        <f>IF(A311=A312,_xll.ciqfunctions.udf.CIQ(A303,"IQ_CAPEX",IQ_FY-6), _xll.ciqfunctions.udf.CIQ(A303, "IQ_CAPEX",IQ_FY-5))</f>
        <v>-345</v>
      </c>
      <c r="L307" s="15">
        <f t="shared" si="80"/>
        <v>3.2603117227205987</v>
      </c>
      <c r="M307" s="17">
        <f>IF(A311=A312,_xll.ciqfunctions.udf.CIQ(A303,"IQ_TOTAL_DEBT_ISSUED",IQ_FY-6), _xll.ciqfunctions.udf.CIQ(A303, "IQ_TOTAL_DEBT_ISSUED",IQ_FY-5))</f>
        <v>2176</v>
      </c>
      <c r="N307" s="17">
        <f>IF(A311=A312,_xll.ciqfunctions.udf.CIQ(A303,"IQ_TOTAL_DEBT_REPAID",IQ_FY-6), _xll.ciqfunctions.udf.CIQ(A303, "IQ_TOTAL_DEBT_REPAID",IQ_FY-5))</f>
        <v>-205</v>
      </c>
      <c r="O307" s="15">
        <f t="shared" si="81"/>
        <v>1.8658752629158826</v>
      </c>
      <c r="P307" s="15">
        <f t="shared" si="82"/>
        <v>5.1261869856364815</v>
      </c>
      <c r="Q307" s="18"/>
      <c r="R307" s="38" t="s">
        <v>50</v>
      </c>
      <c r="S307" s="3">
        <f>I314</f>
        <v>-2.6999152060255049E-2</v>
      </c>
      <c r="U307" s="18"/>
      <c r="V307" s="38" t="s">
        <v>50</v>
      </c>
      <c r="W307" s="3">
        <f>I314</f>
        <v>-2.6999152060255049E-2</v>
      </c>
      <c r="Y307" s="18"/>
      <c r="Z307" s="38" t="s">
        <v>50</v>
      </c>
      <c r="AA307" s="3">
        <f>I314</f>
        <v>-2.6999152060255049E-2</v>
      </c>
    </row>
    <row r="308" spans="1:27">
      <c r="B308" s="13">
        <v>6</v>
      </c>
      <c r="C308" s="14" t="s">
        <v>26</v>
      </c>
      <c r="D308" s="15" cm="1">
        <f t="array" ref="D308">_xlfn.SINGLE(IF(A311=A312,_xll.ciqfunctions.udf.CIQ(A303,"IQ_TOTAL_REV",IQ_FY-5)/I308, _xll.ciqfunctions.udf.CIQ(A303, "IQ_TOTAL_REV",IQ_FY-4)/I308))</f>
        <v>17.426344537410564</v>
      </c>
      <c r="E308" s="16">
        <f t="shared" si="83"/>
        <v>0.25242598730119042</v>
      </c>
      <c r="F308" s="15">
        <f>IF(A311=A312,_xll.ciqfunctions.udf.CIQ(A303,"IQ_DILUT_EPS_EXCL",IQ_FY-5), _xll.ciqfunctions.udf.CIQ(A303, "IQ_DILUT_EPS_EXCL",IQ_FY-4))</f>
        <v>2.96</v>
      </c>
      <c r="G308" s="15">
        <f>IF(A311=A312,_xll.ciqfunctions.udf.CIQ(A303,"IQ_EBITDA_MARGIN",IQ_FY-5), _xll.ciqfunctions.udf.CIQ(A303, "IQ_EBITDA_MARGIN",IQ_FY-4))</f>
        <v>29.649799999999999</v>
      </c>
      <c r="H308" s="15">
        <f>IF(A311=A312,_xll.ciqfunctions.udf.CIQ(A303,"IQ_TOTAL_DIV_PAID_CF",IQ_FY-5)/-I308, _xll.ciqfunctions.udf.CIQ(A303, "IQ_TOTAL_DIV_PAID_CF",IQ_FY-4)/-I308)</f>
        <v>0.63112471985234309</v>
      </c>
      <c r="I308" s="17">
        <f>IF(A311=A312,_xll.ciqfunctions.udf.CIQ(A303,"IQ_TOTAL_OUTSTANDING_FILING_DATE",IQ_FY-5), _xll.ciqfunctions.udf.CIQ(A303, "IQ_TOTAL_OUTSTANDING_FILING_DATE",IQ_FY-4))</f>
        <v>958.60608999999999</v>
      </c>
      <c r="J308" s="17">
        <f>IF(A311=A312,_xll.ciqfunctions.udf.CIQ(A303,"IQ_CASH_OPER",IQ_FY-5), _xll.ciqfunctions.udf.CIQ(A303, "IQ_CASH_OPER",IQ_FY-4))</f>
        <v>3787</v>
      </c>
      <c r="K308" s="17">
        <f>IF(A311=A312,_xll.ciqfunctions.udf.CIQ(A303,"IQ_CAPEX",IQ_FY-5), _xll.ciqfunctions.udf.CIQ(A303, "IQ_CAPEX",IQ_FY-4))</f>
        <v>-622</v>
      </c>
      <c r="L308" s="15">
        <f t="shared" si="80"/>
        <v>3.3016689889796131</v>
      </c>
      <c r="M308" s="17">
        <f>IF(A311=A312,_xll.ciqfunctions.udf.CIQ(A303,"IQ_TOTAL_DEBT_ISSUED",IQ_FY-5), _xll.ciqfunctions.udf.CIQ(A303, "IQ_TOTAL_DEBT_ISSUED",IQ_FY-4))</f>
        <v>0</v>
      </c>
      <c r="N308" s="17">
        <f>IF(A311=A312,_xll.ciqfunctions.udf.CIQ(A303,"IQ_TOTAL_DEBT_REPAID",IQ_FY-5), _xll.ciqfunctions.udf.CIQ(A303, "IQ_TOTAL_DEBT_REPAID",IQ_FY-4))</f>
        <v>0</v>
      </c>
      <c r="O308" s="15">
        <f t="shared" si="81"/>
        <v>0</v>
      </c>
      <c r="P308" s="15">
        <f t="shared" si="82"/>
        <v>3.3016689889796131</v>
      </c>
      <c r="Q308" s="25" t="s">
        <v>27</v>
      </c>
      <c r="R308" s="38" t="s">
        <v>51</v>
      </c>
      <c r="S308" s="4">
        <f>AVERAGE(F308:F313)/AVERAGE(D308:D313)</f>
        <v>0.22567819524636851</v>
      </c>
      <c r="U308" s="25" t="s">
        <v>58</v>
      </c>
      <c r="V308" s="38" t="s">
        <v>51</v>
      </c>
      <c r="W308" s="4">
        <f>AVERAGE(F308:F313)/AVERAGE(D308:D313)</f>
        <v>0.22567819524636851</v>
      </c>
      <c r="Y308" s="25" t="s">
        <v>56</v>
      </c>
      <c r="Z308" s="38" t="s">
        <v>51</v>
      </c>
      <c r="AA308" s="4">
        <f>AVERAGE(F308:F313)/AVERAGE(D308:D313)</f>
        <v>0.22567819524636851</v>
      </c>
    </row>
    <row r="309" spans="1:27">
      <c r="A309" s="18"/>
      <c r="B309" s="13">
        <v>7</v>
      </c>
      <c r="C309" s="14" t="s">
        <v>28</v>
      </c>
      <c r="D309" s="15" cm="1">
        <f t="array" ref="D309">_xlfn.SINGLE(IF(A311=A312,_xll.ciqfunctions.udf.CIQ(A303,"IQ_TOTAL_REV",IQ_FY-4)/I309, _xll.ciqfunctions.udf.CIQ(A303, "IQ_TOTAL_REV",IQ_FY-3)/I309))</f>
        <v>15.959723112788417</v>
      </c>
      <c r="E309" s="16">
        <f t="shared" si="83"/>
        <v>-8.4161163086936025E-2</v>
      </c>
      <c r="F309" s="15">
        <f>IF(A311=A312,_xll.ciqfunctions.udf.CIQ(A303,"IQ_DILUT_EPS_EXCL",IQ_FY-4), _xll.ciqfunctions.udf.CIQ(A303, "IQ_DILUT_EPS_EXCL",IQ_FY-3))</f>
        <v>2.86</v>
      </c>
      <c r="G309" s="15">
        <f>IF(A311=A312,_xll.ciqfunctions.udf.CIQ(A303,"IQ_EBITDA_MARGIN",IQ_FY-4), _xll.ciqfunctions.udf.CIQ(A303, "IQ_EBITDA_MARGIN",IQ_FY-3))</f>
        <v>25.568100000000001</v>
      </c>
      <c r="H309" s="15">
        <f>IF(A311=A312,_xll.ciqfunctions.udf.CIQ(A303,"IQ_TOTAL_DIV_PAID_CF",IQ_FY-4)/-I309, _xll.ciqfunctions.udf.CIQ(A303, "IQ_TOTAL_DIV_PAID_CF",IQ_FY-3)/-I309)</f>
        <v>0.84234299835431747</v>
      </c>
      <c r="I309" s="17">
        <f>IF(A311=A312,_xll.ciqfunctions.udf.CIQ(A303,"IQ_TOTAL_OUTSTANDING_FILING_DATE",IQ_FY-4), _xll.ciqfunctions.udf.CIQ(A303, "IQ_TOTAL_OUTSTANDING_FILING_DATE",IQ_FY-3))</f>
        <v>915.30409999999995</v>
      </c>
      <c r="J309" s="17">
        <f>IF(A311=A312,_xll.ciqfunctions.udf.CIQ(A303,"IQ_CASH_OPER",IQ_FY-4), _xll.ciqfunctions.udf.CIQ(A303, "IQ_CASH_OPER",IQ_FY-3))</f>
        <v>3247</v>
      </c>
      <c r="K309" s="17">
        <f>IF(A311=A312,_xll.ciqfunctions.udf.CIQ(A303,"IQ_CAPEX",IQ_FY-4), _xll.ciqfunctions.udf.CIQ(A303, "IQ_CAPEX",IQ_FY-3))</f>
        <v>-441</v>
      </c>
      <c r="L309" s="15">
        <f t="shared" si="80"/>
        <v>3.0656477994581257</v>
      </c>
      <c r="M309" s="17">
        <f>IF(A311=A312,_xll.ciqfunctions.udf.CIQ(A303,"IQ_TOTAL_DEBT_ISSUED",IQ_FY-4), _xll.ciqfunctions.udf.CIQ(A303, "IQ_TOTAL_DEBT_ISSUED",IQ_FY-3))</f>
        <v>0</v>
      </c>
      <c r="N309" s="17">
        <f>IF(A311=A312,_xll.ciqfunctions.udf.CIQ(A303,"IQ_TOTAL_DEBT_REPAID",IQ_FY-4), _xll.ciqfunctions.udf.CIQ(A303, "IQ_TOTAL_DEBT_REPAID",IQ_FY-3))</f>
        <v>0</v>
      </c>
      <c r="O309" s="15">
        <f t="shared" si="81"/>
        <v>0</v>
      </c>
      <c r="P309" s="15">
        <f t="shared" si="82"/>
        <v>3.0656477994581257</v>
      </c>
      <c r="Q309" s="18"/>
      <c r="R309" s="38" t="s">
        <v>29</v>
      </c>
      <c r="S309" s="4">
        <f>(AVERAGE(P308:P313)/_xlfn.STDEV.P(P308:P313))/(IF(A311=A312,(_xlfn.SINGLE(_xll.ciqfunctions.udf.CIQ(A303,"IQ_total_assets",IQ_FY)) - _xlfn.SINGLE(_xll.ciqfunctions.udf.CIQ(A303,"iq_gw_intan", IQ_FY)))/I313, (_xlfn.SINGLE(_xll.ciqfunctions.udf.CIQ(A303, "IQ_total_assets",IQ_LTM))-_xlfn.SINGLE(_xll.ciqfunctions.udf.CIQ(A303,"iq_gw_intan",IQ_LTM)))/I313))</f>
        <v>7.581335787986955E-2</v>
      </c>
      <c r="U309" s="18"/>
      <c r="V309" s="38" t="s">
        <v>29</v>
      </c>
      <c r="W309" s="4">
        <f>(AVERAGE(P308:P313)/_xlfn.STDEV.P(P308:P313))/(IF(A311=A312,(_xlfn.SINGLE(_xll.ciqfunctions.udf.CIQ(A303,"IQ_total_assets",IQ_FY)) - _xlfn.SINGLE(_xll.ciqfunctions.udf.CIQ(A303,"iq_gw_intan", IQ_FY)))/I313, (_xlfn.SINGLE(_xll.ciqfunctions.udf.CIQ(A303, "IQ_total_assets",IQ_LTM))-_xlfn.SINGLE(_xll.ciqfunctions.udf.CIQ(A303,"iq_gw_intan",IQ_LTM)))/I313))</f>
        <v>7.581335787986955E-2</v>
      </c>
      <c r="Y309" s="18"/>
      <c r="Z309" s="38" t="s">
        <v>29</v>
      </c>
      <c r="AA309" s="4">
        <f>(AVERAGE(P308:P313)/_xlfn.STDEV.P(P308:P313))/(IF(A311=A312,(_xlfn.SINGLE(_xll.ciqfunctions.udf.CIQ(A303,"IQ_total_assets",IQ_FY)) - _xlfn.SINGLE(_xll.ciqfunctions.udf.CIQ(A303,"iq_gw_intan", IQ_FY)))/I313, (_xlfn.SINGLE(_xll.ciqfunctions.udf.CIQ(A303, "IQ_total_assets",IQ_LTM))-_xlfn.SINGLE(_xll.ciqfunctions.udf.CIQ(A303,"iq_gw_intan",IQ_LTM)))/I313))</f>
        <v>7.581335787986955E-2</v>
      </c>
    </row>
    <row r="310" spans="1:27">
      <c r="A310" s="18"/>
      <c r="B310" s="13">
        <v>8</v>
      </c>
      <c r="C310" s="14" t="s">
        <v>30</v>
      </c>
      <c r="D310" s="15" cm="1">
        <f t="array" ref="D310">_xlfn.SINGLE(IF(A311=A312,_xll.ciqfunctions.udf.CIQ(A303,"IQ_TOTAL_REV",IQ_FY-3)/I310, _xll.ciqfunctions.udf.CIQ(A303, "IQ_TOTAL_REV",IQ_FY-2)/I310))</f>
        <v>18.8134842307031</v>
      </c>
      <c r="E310" s="16">
        <f t="shared" si="83"/>
        <v>0.1788101897349324</v>
      </c>
      <c r="F310" s="15">
        <f>IF(A311=A312,_xll.ciqfunctions.udf.CIQ(A303,"IQ_DILUT_EPS_EXCL",IQ_FY-3), _xll.ciqfunctions.udf.CIQ(A303, "IQ_DILUT_EPS_EXCL",IQ_FY-2))</f>
        <v>3.92</v>
      </c>
      <c r="G310" s="15">
        <f>IF(A311=A312,_xll.ciqfunctions.udf.CIQ(A303,"IQ_EBITDA_MARGIN",IQ_FY-3), _xll.ciqfunctions.udf.CIQ(A303, "IQ_EBITDA_MARGIN",IQ_FY-2))</f>
        <v>28.159500000000001</v>
      </c>
      <c r="H310" s="15">
        <f>IF(A311=A312,_xll.ciqfunctions.udf.CIQ(A303,"IQ_TOTAL_DIV_PAID_CF",IQ_FY-3)/-I310, _xll.ciqfunctions.udf.CIQ(A303, "IQ_TOTAL_DIV_PAID_CF",IQ_FY-2)/-I310)</f>
        <v>0.86072619983509713</v>
      </c>
      <c r="I310" s="17">
        <f>IF(A311=A312,_xll.ciqfunctions.udf.CIQ(A303,"IQ_TOTAL_OUTSTANDING_FILING_DATE",IQ_FY-3), _xll.ciqfunctions.udf.CIQ(A303, "IQ_TOTAL_OUTSTANDING_FILING_DATE",IQ_FY-2))</f>
        <v>914.34419000000003</v>
      </c>
      <c r="J310" s="17">
        <f>IF(A311=A312,_xll.ciqfunctions.udf.CIQ(A303,"IQ_CASH_OPER",IQ_FY-3), _xll.ciqfunctions.udf.CIQ(A303, "IQ_CASH_OPER",IQ_FY-2))</f>
        <v>3804</v>
      </c>
      <c r="K310" s="17">
        <f>IF(A311=A312,_xll.ciqfunctions.udf.CIQ(A303,"IQ_CAPEX",IQ_FY-3), _xll.ciqfunctions.udf.CIQ(A303, "IQ_CAPEX",IQ_FY-2))</f>
        <v>-422</v>
      </c>
      <c r="L310" s="15">
        <f t="shared" si="80"/>
        <v>3.698825931184623</v>
      </c>
      <c r="M310" s="17">
        <f>IF(A311=A312,_xll.ciqfunctions.udf.CIQ(A303,"IQ_TOTAL_DEBT_ISSUED",IQ_FY-3), _xll.ciqfunctions.udf.CIQ(A303, "IQ_TOTAL_DEBT_ISSUED",IQ_FY-2))</f>
        <v>2979</v>
      </c>
      <c r="N310" s="17">
        <f>IF(A311=A312,_xll.ciqfunctions.udf.CIQ(A303,"IQ_TOTAL_DEBT_REPAID",IQ_FY-3), _xll.ciqfunctions.udf.CIQ(A303, "IQ_TOTAL_DEBT_REPAID",IQ_FY-2))</f>
        <v>-2882</v>
      </c>
      <c r="O310" s="15">
        <f t="shared" si="81"/>
        <v>0.1060869649097896</v>
      </c>
      <c r="P310" s="15">
        <f t="shared" si="82"/>
        <v>3.8049128960944127</v>
      </c>
      <c r="Q310" s="18"/>
      <c r="R310" s="39" t="s">
        <v>31</v>
      </c>
      <c r="S310" s="5">
        <f>IF(NOT(D303&gt;0),FALSE,SLOPE(G303:G313,B303:B313))</f>
        <v>1.4351454545454547</v>
      </c>
      <c r="U310" s="18"/>
      <c r="V310" s="39" t="s">
        <v>31</v>
      </c>
      <c r="W310" s="5">
        <f>IF(NOT(D303&gt;0),FALSE,SLOPE(G303:G313,B303:B313))</f>
        <v>1.4351454545454547</v>
      </c>
      <c r="Y310" s="18"/>
      <c r="Z310" s="39" t="s">
        <v>31</v>
      </c>
      <c r="AA310" s="5">
        <f>IF(NOT(L303&gt;0),FALSE,SLOPE(O303:O313,J303:J313))</f>
        <v>-7.0020964043278688E-5</v>
      </c>
    </row>
    <row r="311" spans="1:27">
      <c r="A311" s="19">
        <f>_xll.ciqfunctions.udf.CIQ(A303,"IQ_TOTAL_REV",IQ_FY)</f>
        <v>26517</v>
      </c>
      <c r="B311" s="13">
        <v>9</v>
      </c>
      <c r="C311" s="14" t="s">
        <v>32</v>
      </c>
      <c r="D311" s="15" cm="1">
        <f t="array" ref="D311">_xlfn.SINGLE(IF(A311=A312,_xll.ciqfunctions.udf.CIQ(A303,"IQ_TOTAL_REV",IQ_FY-2)/I311, _xll.ciqfunctions.udf.CIQ(A303, "IQ_TOTAL_REV",IQ_FY-1)/I311))</f>
        <v>25.9568442001287</v>
      </c>
      <c r="E311" s="16">
        <f t="shared" si="83"/>
        <v>0.37969362196970557</v>
      </c>
      <c r="F311" s="15">
        <f>IF(A311=A312,_xll.ciqfunctions.udf.CIQ(A303,"IQ_DILUT_EPS_EXCL",IQ_FY-2), _xll.ciqfunctions.udf.CIQ(A303, "IQ_DILUT_EPS_EXCL",IQ_FY-1))</f>
        <v>6.4</v>
      </c>
      <c r="G311" s="15">
        <f>IF(A311=A312,_xll.ciqfunctions.udf.CIQ(A303,"IQ_EBITDA_MARGIN",IQ_FY-2), _xll.ciqfunctions.udf.CIQ(A303, "IQ_EBITDA_MARGIN",IQ_FY-1))</f>
        <v>33.174300000000002</v>
      </c>
      <c r="H311" s="15">
        <f>IF(A311=A312,_xll.ciqfunctions.udf.CIQ(A303,"IQ_TOTAL_DIV_PAID_CF",IQ_FY-2)/-I311, _xll.ciqfunctions.udf.CIQ(A303, "IQ_TOTAL_DIV_PAID_CF",IQ_FY-1)/-I311)</f>
        <v>0.94314856869045005</v>
      </c>
      <c r="I311" s="17">
        <f>IF(A311=A312,_xll.ciqfunctions.udf.CIQ(A303,"IQ_TOTAL_OUTSTANDING_FILING_DATE",IQ_FY-2), _xll.ciqfunctions.udf.CIQ(A303, "IQ_TOTAL_OUTSTANDING_FILING_DATE",IQ_FY-1))</f>
        <v>888.51324999999997</v>
      </c>
      <c r="J311" s="17">
        <f>IF(A311=A312,_xll.ciqfunctions.udf.CIQ(A303,"IQ_CASH_OPER",IQ_FY-2), _xll.ciqfunctions.udf.CIQ(A303, "IQ_CASH_OPER",IQ_FY-1))</f>
        <v>5442</v>
      </c>
      <c r="K311" s="17">
        <f>IF(A311=A312,_xll.ciqfunctions.udf.CIQ(A303,"IQ_CAPEX",IQ_FY-2), _xll.ciqfunctions.udf.CIQ(A303, "IQ_CAPEX",IQ_FY-1))</f>
        <v>-668</v>
      </c>
      <c r="L311" s="15">
        <f t="shared" si="80"/>
        <v>5.3730206049262632</v>
      </c>
      <c r="M311" s="17">
        <f>IF(A311=A312,_xll.ciqfunctions.udf.CIQ(A303,"IQ_TOTAL_DEBT_ISSUED",IQ_FY-2), _xll.ciqfunctions.udf.CIQ(A303, "IQ_TOTAL_DEBT_ISSUED",IQ_FY-1))</f>
        <v>0</v>
      </c>
      <c r="N311" s="17">
        <f>IF(A311=A312,_xll.ciqfunctions.udf.CIQ(A303,"IQ_TOTAL_DEBT_REPAID",IQ_FY-2), _xll.ciqfunctions.udf.CIQ(A303, "IQ_TOTAL_DEBT_REPAID",IQ_FY-1))</f>
        <v>0</v>
      </c>
      <c r="O311" s="15">
        <f t="shared" si="81"/>
        <v>0</v>
      </c>
      <c r="P311" s="15">
        <f t="shared" si="82"/>
        <v>5.3730206049262632</v>
      </c>
      <c r="Q311" s="25" t="s">
        <v>33</v>
      </c>
      <c r="R311" s="38" t="s">
        <v>52</v>
      </c>
      <c r="S311" s="4">
        <f>(AVERAGE(O308:O313)/AVERAGE(P308:P313))</f>
        <v>6.8414982381858683E-3</v>
      </c>
      <c r="U311" s="25" t="s">
        <v>54</v>
      </c>
      <c r="V311" s="38" t="s">
        <v>52</v>
      </c>
      <c r="W311" s="4">
        <f>(AVERAGE(O308:O313)/AVERAGE(P308:P313))</f>
        <v>6.8414982381858683E-3</v>
      </c>
      <c r="Y311" s="25" t="s">
        <v>60</v>
      </c>
      <c r="Z311" s="38" t="s">
        <v>52</v>
      </c>
      <c r="AA311" s="4">
        <f>(AVERAGE(O308:O313)/AVERAGE(P308:P313))</f>
        <v>6.8414982381858683E-3</v>
      </c>
    </row>
    <row r="312" spans="1:27">
      <c r="A312" s="19">
        <f>_xll.ciqfunctions.udf.CIQ(A303,"IQ_TOTAL_REV",IQ_LTM)</f>
        <v>26517</v>
      </c>
      <c r="B312" s="13">
        <v>10</v>
      </c>
      <c r="C312" s="14" t="s">
        <v>34</v>
      </c>
      <c r="D312" s="15" cm="1">
        <f t="array" ref="D312">_xlfn.SINGLE(IF(A311=A312,_xll.ciqfunctions.udf.CIQ(A303,"IQ_TOTAL_REV",IQ_FY-1)/I312, _xll.ciqfunctions.udf.CIQ(A303, "IQ_TOTAL_REV",IQ_FY)/I312))</f>
        <v>30.545891147024808</v>
      </c>
      <c r="E312" s="16">
        <f t="shared" si="83"/>
        <v>0.17679525721672107</v>
      </c>
      <c r="F312" s="15">
        <f>IF(A311=A312,_xll.ciqfunctions.udf.CIQ(A303,"IQ_DILUT_EPS_EXCL",IQ_FY-1), _xll.ciqfunctions.udf.CIQ(A303, "IQ_DILUT_EPS_EXCL",IQ_FY))</f>
        <v>7.44</v>
      </c>
      <c r="G312" s="15">
        <f>IF(A311=A312,_xll.ciqfunctions.udf.CIQ(A303,"IQ_EBITDA_MARGIN",IQ_FY-1), _xll.ciqfunctions.udf.CIQ(A303, "IQ_EBITDA_MARGIN",IQ_FY))</f>
        <v>32.057299999999998</v>
      </c>
      <c r="H312" s="15">
        <f>IF(A311=A312,_xll.ciqfunctions.udf.CIQ(A303,"IQ_TOTAL_DIV_PAID_CF",IQ_FY-1)/-I312, _xll.ciqfunctions.udf.CIQ(A303, "IQ_TOTAL_DIV_PAID_CF",IQ_FY)/-I312)</f>
        <v>1.0341889847334751</v>
      </c>
      <c r="I312" s="17">
        <f>IF(A311=A312,_xll.ciqfunctions.udf.CIQ(A303,"IQ_TOTAL_OUTSTANDING_FILING_DATE",IQ_FY-1), _xll.ciqfunctions.udf.CIQ(A303, "IQ_TOTAL_OUTSTANDING_FILING_DATE",IQ_FY))</f>
        <v>844.13972000000001</v>
      </c>
      <c r="J312" s="17">
        <f>IF(A311=A312,_xll.ciqfunctions.udf.CIQ(A303,"IQ_CASH_OPER",IQ_FY-1), _xll.ciqfunctions.udf.CIQ(A303, "IQ_CASH_OPER",IQ_FY))</f>
        <v>5399</v>
      </c>
      <c r="K312" s="17">
        <f>IF(A311=A312,_xll.ciqfunctions.udf.CIQ(A303,"IQ_CAPEX",IQ_FY-1), _xll.ciqfunctions.udf.CIQ(A303, "IQ_CAPEX",IQ_FY))</f>
        <v>-787</v>
      </c>
      <c r="L312" s="15">
        <f t="shared" si="80"/>
        <v>5.4635505127042236</v>
      </c>
      <c r="M312" s="17">
        <f>IF(A311=A312,_xll.ciqfunctions.udf.CIQ(A303,"IQ_TOTAL_DEBT_ISSUED",IQ_FY-1), _xll.ciqfunctions.udf.CIQ(A303, "IQ_TOTAL_DEBT_ISSUED",IQ_FY))</f>
        <v>0</v>
      </c>
      <c r="N312" s="17">
        <f>IF(A311=A312,_xll.ciqfunctions.udf.CIQ(A303,"IQ_TOTAL_DEBT_REPAID",IQ_FY-1), _xll.ciqfunctions.udf.CIQ(A303, "IQ_TOTAL_DEBT_REPAID",IQ_FY))</f>
        <v>0</v>
      </c>
      <c r="O312" s="15">
        <f t="shared" si="81"/>
        <v>0</v>
      </c>
      <c r="P312" s="15">
        <f t="shared" si="82"/>
        <v>5.4635505127042236</v>
      </c>
      <c r="Q312" s="25" t="s">
        <v>44</v>
      </c>
      <c r="R312" s="38" t="s">
        <v>35</v>
      </c>
      <c r="S312" s="1">
        <f>_xll.ciqfunctions.udf.CIQ(A303,"IQ_TEV_EBITDA")</f>
        <v>15.23522</v>
      </c>
      <c r="U312" s="25" t="s">
        <v>55</v>
      </c>
      <c r="V312" s="38" t="s">
        <v>53</v>
      </c>
      <c r="W312" s="1">
        <f>V302/(AVERAGE(D308:D313)/_xlfn.STDEV.P(E308:E313))</f>
        <v>0.95629217684381418</v>
      </c>
      <c r="Y312" s="25" t="s">
        <v>57</v>
      </c>
      <c r="Z312" s="38" t="s">
        <v>53</v>
      </c>
      <c r="AA312" s="1">
        <f>Z302/(AVERAGE(D308:D313)/_xlfn.STDEV.P(E308:E313))</f>
        <v>0.95629217684381418</v>
      </c>
    </row>
    <row r="313" spans="1:27">
      <c r="B313" s="13">
        <v>11</v>
      </c>
      <c r="C313" s="20" t="s">
        <v>36</v>
      </c>
      <c r="D313" s="21" cm="1">
        <f t="array" ref="D313">_xlfn.SINGLE(IF(A311=A312,_xll.ciqfunctions.udf.CIQ(A303,"IQ_TOTAL_REV",IQ_FY)/I313, _xll.ciqfunctions.udf.CIQ(A303, "IQ_TOTAL_REV",IQ_LTM)/I313))</f>
        <v>31.7188995215311</v>
      </c>
      <c r="E313" s="22">
        <f t="shared" si="83"/>
        <v>3.8401510987527497E-2</v>
      </c>
      <c r="F313" s="21">
        <f>IF(A311=A312,_xll.ciqfunctions.udf.CIQ(A303,"IQ_DILUT_EPS_EXCL",IQ_FY), _xll.ciqfunctions.udf.CIQ(A303, "IQ_DILUT_EPS_EXCL",IQ_LTM))</f>
        <v>8.11</v>
      </c>
      <c r="G313" s="21">
        <f>IF(A311=A312,_xll.ciqfunctions.udf.CIQ(A303,"IQ_EBITDA_MARGIN",IQ_FY), _xll.ciqfunctions.udf.CIQ(A303, "IQ_EBITDA_MARGIN",IQ_LTM))</f>
        <v>30.8066</v>
      </c>
      <c r="H313" s="21">
        <f>IF(A311=A312,_xll.ciqfunctions.udf.CIQ(A303,"IQ_TOTAL_DIV_PAID_CF",IQ_FY)/-I313, _xll.ciqfunctions.udf.CIQ(A303, "IQ_TOTAL_DIV_PAID_CF",IQ_LTM)/-I313)</f>
        <v>1.1662679425837321</v>
      </c>
      <c r="I313" s="23">
        <f>IF(A311=A312,_xll.ciqfunctions.udf.CIQ(A303,"IQ_TOTAL_OUTSTANDING_FILING_DATE",IQ_FY),_xll.ciqfunctions.udf.CIQ(A303,"IQ_sharesoutstanding"))</f>
        <v>836</v>
      </c>
      <c r="J313" s="23">
        <f>IF(A311=A312,_xll.ciqfunctions.udf.CIQ(A303,"IQ_CASH_OPER",IQ_FY), _xll.ciqfunctions.udf.CIQ(A303, "IQ_CASH_OPER",IQ_LTM))</f>
        <v>8700</v>
      </c>
      <c r="K313" s="23">
        <f>IF(A311=A312,_xll.ciqfunctions.udf.CIQ(A303,"IQ_CAPEX",IQ_FY), _xll.ciqfunctions.udf.CIQ(A303, "IQ_CAPEX",IQ_LTM))</f>
        <v>-1106</v>
      </c>
      <c r="L313" s="21">
        <f t="shared" si="80"/>
        <v>9.0837320574162685</v>
      </c>
      <c r="M313" s="23">
        <f>IF(A311=A312,_xll.ciqfunctions.udf.CIQ(A303,"IQ_TOTAL_DEBT_ISSUED",IQ_FY), _xll.ciqfunctions.udf.CIQ(A303, "IQ_TOTAL_DEBT_ISSUED",IQ_LTM))</f>
        <v>991</v>
      </c>
      <c r="N313" s="23">
        <f>IF(A311=A312,_xll.ciqfunctions.udf.CIQ(A303,"IQ_TOTAL_DEBT_REPAID",IQ_FY), _xll.ciqfunctions.udf.CIQ(A303, "IQ_TOTAL_DEBT_REPAID",IQ_LTM))</f>
        <v>-907</v>
      </c>
      <c r="O313" s="21">
        <f t="shared" si="81"/>
        <v>0.10047846889952153</v>
      </c>
      <c r="P313" s="21">
        <f t="shared" si="82"/>
        <v>9.1842105263157894</v>
      </c>
      <c r="Q313" s="25" t="s">
        <v>45</v>
      </c>
      <c r="S313" s="45"/>
      <c r="U313" s="25"/>
      <c r="W313" s="45"/>
      <c r="Y313" s="25"/>
      <c r="AA313" s="45"/>
    </row>
    <row r="314" spans="1:27">
      <c r="B314" s="24"/>
      <c r="C314" s="25" t="s">
        <v>37</v>
      </c>
      <c r="E314" s="26">
        <f>((D313/D308)^(1/5))-1</f>
        <v>0.12725550008674391</v>
      </c>
      <c r="F314" s="27">
        <f>((F313/F308)^(1/5))-1</f>
        <v>0.22333620396164733</v>
      </c>
      <c r="G314" s="28"/>
      <c r="H314" s="27">
        <f>((H313/H308)^(1/5))-1</f>
        <v>0.13067197929619678</v>
      </c>
      <c r="I314" s="27">
        <f>((I313/I308)^(1/5))-1</f>
        <v>-2.6999152060255049E-2</v>
      </c>
      <c r="J314" s="27"/>
      <c r="K314" s="27"/>
      <c r="L314" s="26">
        <f>((L313/L308)^(1/5))-1</f>
        <v>0.2243516108079413</v>
      </c>
      <c r="M314" s="26"/>
      <c r="N314" s="26"/>
      <c r="O314" s="26"/>
      <c r="P314" s="26">
        <f>((P313/P308)^(1/5))-1</f>
        <v>0.2270483052350627</v>
      </c>
      <c r="Q314" s="18"/>
      <c r="R314" s="36"/>
      <c r="S314" s="45"/>
      <c r="U314" s="18"/>
      <c r="V314" s="36"/>
      <c r="W314" s="45"/>
      <c r="Y314" s="18"/>
      <c r="Z314" s="36"/>
      <c r="AA314" s="45"/>
    </row>
    <row r="315" spans="1:27">
      <c r="A315" s="29"/>
      <c r="B315" s="30"/>
      <c r="C315" s="31" t="s">
        <v>38</v>
      </c>
      <c r="D315" s="29"/>
      <c r="E315" s="32">
        <f>((D313/D303)^(1/10))-1</f>
        <v>0.17663799138513259</v>
      </c>
      <c r="F315" s="33">
        <f>((F313/F303)^(1/10))-1</f>
        <v>0.44105367049949651</v>
      </c>
      <c r="G315" s="34"/>
      <c r="H315" s="33">
        <f>((H313/H303)^(1/10))-1</f>
        <v>0.11905804997547076</v>
      </c>
      <c r="I315" s="33">
        <f>((I313/I303)^(1/10))-1</f>
        <v>-3.5835001250713039E-2</v>
      </c>
      <c r="J315" s="33"/>
      <c r="K315" s="33"/>
      <c r="L315" s="32">
        <f>((L313/L303)^(1/10))-1</f>
        <v>0.3834221909618607</v>
      </c>
      <c r="M315" s="32"/>
      <c r="N315" s="32"/>
      <c r="O315" s="32"/>
      <c r="P315" s="32">
        <f>((P313/P303)^(1/10))-1</f>
        <v>0.38494488056132203</v>
      </c>
      <c r="Q315" s="40"/>
      <c r="R315" s="41"/>
      <c r="S315" s="46"/>
      <c r="U315" s="40"/>
      <c r="V315" s="41"/>
      <c r="W315" s="46"/>
      <c r="Y315" s="40"/>
      <c r="Z315" s="41"/>
      <c r="AA315" s="46"/>
    </row>
    <row r="316" spans="1:27">
      <c r="B316" s="24"/>
      <c r="C316" s="25"/>
      <c r="E316" s="26"/>
      <c r="F316" s="27"/>
      <c r="G316" s="28"/>
      <c r="H316" s="27"/>
      <c r="I316" s="27"/>
      <c r="J316" s="27"/>
      <c r="K316" s="27"/>
      <c r="L316" s="26"/>
      <c r="M316" s="17"/>
      <c r="N316" s="17"/>
      <c r="O316" s="17"/>
      <c r="P316" s="35"/>
      <c r="Q316" s="18"/>
      <c r="R316" s="36"/>
    </row>
    <row r="317" spans="1:27">
      <c r="A317" s="9" t="s">
        <v>0</v>
      </c>
      <c r="B317" s="10"/>
      <c r="C317" s="9" t="s">
        <v>1</v>
      </c>
      <c r="D317" s="9" t="s">
        <v>2</v>
      </c>
      <c r="E317" s="9" t="s">
        <v>3</v>
      </c>
      <c r="F317" s="11" t="s">
        <v>4</v>
      </c>
      <c r="G317" s="11" t="s">
        <v>5</v>
      </c>
      <c r="H317" s="9" t="s">
        <v>6</v>
      </c>
      <c r="I317" s="11" t="s">
        <v>7</v>
      </c>
      <c r="J317" s="11" t="s">
        <v>8</v>
      </c>
      <c r="K317" s="11" t="s">
        <v>9</v>
      </c>
      <c r="L317" s="11" t="s">
        <v>10</v>
      </c>
      <c r="M317" s="11" t="s">
        <v>11</v>
      </c>
      <c r="N317" s="11" t="s">
        <v>12</v>
      </c>
      <c r="O317" s="11" t="s">
        <v>13</v>
      </c>
      <c r="P317" s="11" t="s">
        <v>14</v>
      </c>
      <c r="Q317" s="37" t="s">
        <v>15</v>
      </c>
      <c r="R317" s="42">
        <f>_xll.ciqfunctions.udf.CIQ(A318,("IQ_LASTSALEPRICE"))</f>
        <v>727.58</v>
      </c>
      <c r="S317" s="44"/>
      <c r="U317" s="37" t="s">
        <v>15</v>
      </c>
      <c r="V317" s="42">
        <f>_xll.ciqfunctions.udf.CIQ(A318,("IQ_LASTSALEPRICE"))</f>
        <v>727.58</v>
      </c>
      <c r="W317" s="44"/>
      <c r="Y317" s="37" t="s">
        <v>15</v>
      </c>
      <c r="Z317" s="42">
        <f>_xll.ciqfunctions.udf.CIQ(A318,("IQ_LASTSALEPRICE"))</f>
        <v>727.58</v>
      </c>
      <c r="AA317" s="44"/>
    </row>
    <row r="318" spans="1:27">
      <c r="A318" s="12" t="str">
        <f>Analysis!B23</f>
        <v>NasdaqGS:LRCX</v>
      </c>
      <c r="B318" s="13">
        <v>1</v>
      </c>
      <c r="C318" s="14" t="s">
        <v>16</v>
      </c>
      <c r="D318" s="15">
        <f>IF(A326=A327,_xll.ciqfunctions.udf.CIQ(A318,"IQ_TOTAL_REV",IQ_FY-10)/I318,_xll.ciqfunctions.udf.CIQ(A318, "IQ_TOTAL_REV",IQ_FY-9)/I318)</f>
        <v>28.426976261148834</v>
      </c>
      <c r="E318" s="16"/>
      <c r="F318" s="15">
        <f>IF(A326=A327,_xll.ciqfunctions.udf.CIQ(A318,"IQ_DILUT_EPS_EXCL",IQ_FY-10), _xll.ciqfunctions.udf.CIQ(A318, "IQ_DILUT_EPS_EXCL",IQ_FY-9))</f>
        <v>3.62</v>
      </c>
      <c r="G318" s="15">
        <f>IF(A326=A327,_xll.ciqfunctions.udf.CIQ(A318,"IQ_EBITDA_MARGIN",IQ_FY-10), _xll.ciqfunctions.udf.CIQ(A318, "IQ_EBITDA_MARGIN",IQ_FY-9))</f>
        <v>21.2254</v>
      </c>
      <c r="H318" s="15">
        <f>IF(A326=A327,_xll.ciqfunctions.udf.CIQ(A318,"IQ_TOTAL_DIV_PAID_CF",IQ_FY-10)/-I318, _xll.ciqfunctions.udf.CIQ(A318, "IQ_TOTAL_DIV_PAID_CF",IQ_FY-9)/-I318)</f>
        <v>0</v>
      </c>
      <c r="I318" s="17">
        <f>IF(A326=A327,_xll.ciqfunctions.udf.CIQ(A318,"IQ_TOTAL_OUTSTANDING_FILING_DATE",IQ_FY-10), _xll.ciqfunctions.udf.CIQ(A318, "IQ_TOTAL_OUTSTANDING_FILING_DATE",IQ_FY-9))</f>
        <v>162.07524000000001</v>
      </c>
      <c r="J318" s="17">
        <f>IF(A326=A327,_xll.ciqfunctions.udf.CIQ(A318,"IQ_CASH_OPER",IQ_FY-10), _xll.ciqfunctions.udf.CIQ(A318, "IQ_CASH_OPER",IQ_FY-9))</f>
        <v>717.04899999999998</v>
      </c>
      <c r="K318" s="17">
        <f>IF(A326=A327,_xll.ciqfunctions.udf.CIQ(A318,"IQ_CAPEX",IQ_FY-10), _xll.ciqfunctions.udf.CIQ(A318, "IQ_CAPEX",IQ_FY-9))</f>
        <v>-145.50299999999999</v>
      </c>
      <c r="L318" s="15">
        <f t="shared" ref="L318:L328" si="84">(J318+K318)/I318</f>
        <v>3.5264239004057623</v>
      </c>
      <c r="M318" s="17">
        <f>IF(A326=A327,_xll.ciqfunctions.udf.CIQ(A318,"IQ_TOTAL_DEBT_ISSUED",IQ_FY-10), _xll.ciqfunctions.udf.CIQ(A318, "IQ_TOTAL_DEBT_ISSUED",IQ_FY-9))</f>
        <v>0</v>
      </c>
      <c r="N318" s="17">
        <f>IF(A326=A327,_xll.ciqfunctions.udf.CIQ(A318,"IQ_TOTAL_DEBT_REPAID",IQ_FY-10), _xll.ciqfunctions.udf.CIQ(A318, "IQ_TOTAL_DEBT_REPAID",IQ_FY-9))</f>
        <v>-1.6579999999999999</v>
      </c>
      <c r="O318" s="15">
        <f t="shared" ref="O318:O328" si="85">(M318+N318)/I318</f>
        <v>-1.0229816719691422E-2</v>
      </c>
      <c r="P318" s="15">
        <f t="shared" ref="P318:P328" si="86">L318+O318</f>
        <v>3.516194083686071</v>
      </c>
      <c r="W318" s="43"/>
      <c r="AA318" s="43"/>
    </row>
    <row r="319" spans="1:27">
      <c r="A319" s="18" t="str">
        <f>_xll.ciqfunctions.udf.CIQ(A318,"IQ_COMPANY_NAME")</f>
        <v>Lam Research Corporation</v>
      </c>
      <c r="B319" s="13">
        <v>2</v>
      </c>
      <c r="C319" s="14" t="s">
        <v>17</v>
      </c>
      <c r="D319" s="15">
        <f>IF(A326=A327,_xll.ciqfunctions.udf.CIQ(A318,"IQ_TOTAL_REV",IQ_FY-9)/I319, _xll.ciqfunctions.udf.CIQ(A318, "IQ_TOTAL_REV",IQ_FY-8)/I319)</f>
        <v>33.247439201380544</v>
      </c>
      <c r="E319" s="16">
        <f t="shared" ref="E319:E328" si="87">(D319-D318)/D318</f>
        <v>0.16957353803470965</v>
      </c>
      <c r="F319" s="15">
        <f>IF(A326=A327,_xll.ciqfunctions.udf.CIQ(A318,"IQ_DILUT_EPS_EXCL",IQ_FY-9), _xll.ciqfunctions.udf.CIQ(A318, "IQ_DILUT_EPS_EXCL",IQ_FY-8))</f>
        <v>3.7</v>
      </c>
      <c r="G319" s="15">
        <f>IF(A326=A327,_xll.ciqfunctions.udf.CIQ(A318,"IQ_EBITDA_MARGIN",IQ_FY-9), _xll.ciqfunctions.udf.CIQ(A318, "IQ_EBITDA_MARGIN",IQ_FY-8))</f>
        <v>21.965299999999999</v>
      </c>
      <c r="H319" s="15">
        <f>IF(A326=A327,_xll.ciqfunctions.udf.CIQ(A318,"IQ_TOTAL_DIV_PAID_CF",IQ_FY-9)/-I319, _xll.ciqfunctions.udf.CIQ(A318, "IQ_TOTAL_DIV_PAID_CF",IQ_FY-8)/-I319)</f>
        <v>0.73368238018072029</v>
      </c>
      <c r="I319" s="17">
        <f>IF(A326=A327,_xll.ciqfunctions.udf.CIQ(A318,"IQ_TOTAL_OUTSTANDING_FILING_DATE",IQ_FY-9), _xll.ciqfunctions.udf.CIQ(A318, "IQ_TOTAL_OUTSTANDING_FILING_DATE",IQ_FY-8))</f>
        <v>158.18698000000001</v>
      </c>
      <c r="J319" s="17">
        <f>IF(A326=A327,_xll.ciqfunctions.udf.CIQ(A318,"IQ_CASH_OPER",IQ_FY-9), _xll.ciqfunctions.udf.CIQ(A318, "IQ_CASH_OPER",IQ_FY-8))</f>
        <v>785.50300000000004</v>
      </c>
      <c r="K319" s="17">
        <f>IF(A326=A327,_xll.ciqfunctions.udf.CIQ(A318,"IQ_CAPEX",IQ_FY-9), _xll.ciqfunctions.udf.CIQ(A318, "IQ_CAPEX",IQ_FY-8))</f>
        <v>-198.26499999999999</v>
      </c>
      <c r="L319" s="15">
        <f t="shared" si="84"/>
        <v>3.7123029973769017</v>
      </c>
      <c r="M319" s="17">
        <f>IF(A326=A327,_xll.ciqfunctions.udf.CIQ(A318,"IQ_TOTAL_DEBT_ISSUED",IQ_FY-9), _xll.ciqfunctions.udf.CIQ(A318, "IQ_TOTAL_DEBT_ISSUED",IQ_FY-8))</f>
        <v>992.22500000000002</v>
      </c>
      <c r="N319" s="17">
        <f>IF(A326=A327,_xll.ciqfunctions.udf.CIQ(A318,"IQ_TOTAL_DEBT_REPAID",IQ_FY-9), _xll.ciqfunctions.udf.CIQ(A318, "IQ_TOTAL_DEBT_REPAID",IQ_FY-8))</f>
        <v>-1.5149999999999999</v>
      </c>
      <c r="O319" s="15">
        <f t="shared" si="85"/>
        <v>6.2629048231403113</v>
      </c>
      <c r="P319" s="15">
        <f t="shared" si="86"/>
        <v>9.9752078205172126</v>
      </c>
      <c r="Q319" s="25" t="s">
        <v>18</v>
      </c>
      <c r="R319" s="39" t="s">
        <v>19</v>
      </c>
      <c r="S319" s="1">
        <f>R317/((AVERAGE(P323:P328))*(1+E329)^3)</f>
        <v>19.37823784589191</v>
      </c>
      <c r="U319" s="25" t="s">
        <v>48</v>
      </c>
      <c r="V319" s="39" t="s">
        <v>19</v>
      </c>
      <c r="W319" s="1">
        <f>V317/((AVERAGE(P323:P328))*(1+E329)^3)</f>
        <v>19.37823784589191</v>
      </c>
      <c r="Y319" s="25" t="s">
        <v>39</v>
      </c>
      <c r="Z319" s="39" t="s">
        <v>19</v>
      </c>
      <c r="AA319" s="1">
        <f>Z317/((AVERAGE(P323:P328))*(1+E329)^3)</f>
        <v>19.37823784589191</v>
      </c>
    </row>
    <row r="320" spans="1:27">
      <c r="B320" s="13">
        <v>3</v>
      </c>
      <c r="C320" s="14" t="s">
        <v>20</v>
      </c>
      <c r="D320" s="15" cm="1">
        <f t="array" ref="D320">_xlfn.SINGLE(IF(A326=A327,_xll.ciqfunctions.udf.CIQ(A318,"IQ_TOTAL_REV",IQ_FY-8)/I320, _xll.ciqfunctions.udf.CIQ(A318, "IQ_TOTAL_REV",IQ_FY-7)/I320))</f>
        <v>36.72714734012559</v>
      </c>
      <c r="E320" s="16">
        <f t="shared" si="87"/>
        <v>0.10466093697226934</v>
      </c>
      <c r="F320" s="15">
        <f>IF(A326=A327,_xll.ciqfunctions.udf.CIQ(A318,"IQ_DILUT_EPS_EXCL",IQ_FY-8), _xll.ciqfunctions.udf.CIQ(A318, "IQ_DILUT_EPS_EXCL",IQ_FY-7))</f>
        <v>5.22</v>
      </c>
      <c r="G320" s="15">
        <f>IF(A326=A327,_xll.ciqfunctions.udf.CIQ(A318,"IQ_EBITDA_MARGIN",IQ_FY-8), _xll.ciqfunctions.udf.CIQ(A318, "IQ_EBITDA_MARGIN",IQ_FY-7))</f>
        <v>23.195799999999998</v>
      </c>
      <c r="H320" s="15">
        <f>IF(A326=A327,_xll.ciqfunctions.udf.CIQ(A318,"IQ_TOTAL_DIV_PAID_CF",IQ_FY-8)/-I320, _xll.ciqfunctions.udf.CIQ(A318, "IQ_TOTAL_DIV_PAID_CF",IQ_FY-7)/-I320)</f>
        <v>1.1880817928315366</v>
      </c>
      <c r="I320" s="17">
        <f>IF(A326=A327,_xll.ciqfunctions.udf.CIQ(A318,"IQ_TOTAL_OUTSTANDING_FILING_DATE",IQ_FY-8), _xll.ciqfunctions.udf.CIQ(A318, "IQ_TOTAL_OUTSTANDING_FILING_DATE",IQ_FY-7))</f>
        <v>160.26000999999999</v>
      </c>
      <c r="J320" s="17">
        <f>IF(A326=A327,_xll.ciqfunctions.udf.CIQ(A318,"IQ_CASH_OPER",IQ_FY-8), _xll.ciqfunctions.udf.CIQ(A318, "IQ_CASH_OPER",IQ_FY-7))</f>
        <v>1350.277</v>
      </c>
      <c r="K320" s="17">
        <f>IF(A326=A327,_xll.ciqfunctions.udf.CIQ(A318,"IQ_CAPEX",IQ_FY-8), _xll.ciqfunctions.udf.CIQ(A318, "IQ_CAPEX",IQ_FY-7))</f>
        <v>-175.33</v>
      </c>
      <c r="L320" s="15">
        <f t="shared" si="84"/>
        <v>7.3315045968111452</v>
      </c>
      <c r="M320" s="17">
        <f>IF(A326=A327,_xll.ciqfunctions.udf.CIQ(A318,"IQ_TOTAL_DEBT_ISSUED",IQ_FY-8), _xll.ciqfunctions.udf.CIQ(A318, "IQ_TOTAL_DEBT_ISSUED",IQ_FY-7))</f>
        <v>2338.1439999999998</v>
      </c>
      <c r="N320" s="17">
        <f>IF(A326=A327,_xll.ciqfunctions.udf.CIQ(A318,"IQ_TOTAL_DEBT_REPAID",IQ_FY-8), _xll.ciqfunctions.udf.CIQ(A318, "IQ_TOTAL_DEBT_REPAID",IQ_FY-7))</f>
        <v>-451.49700000000001</v>
      </c>
      <c r="O320" s="15">
        <f t="shared" si="85"/>
        <v>11.772412843353747</v>
      </c>
      <c r="P320" s="15">
        <f t="shared" si="86"/>
        <v>19.103917440164892</v>
      </c>
      <c r="Q320" s="25" t="s">
        <v>21</v>
      </c>
      <c r="R320" s="38" t="s">
        <v>49</v>
      </c>
      <c r="S320" s="2">
        <f>(R317*I328)/1000</f>
        <v>95.889223360000003</v>
      </c>
      <c r="U320" s="25" t="s">
        <v>59</v>
      </c>
      <c r="V320" s="38" t="s">
        <v>49</v>
      </c>
      <c r="W320" s="2">
        <f>(V317*I328)/1000</f>
        <v>95.889223360000003</v>
      </c>
      <c r="Y320" s="25" t="s">
        <v>46</v>
      </c>
      <c r="Z320" s="38" t="s">
        <v>49</v>
      </c>
      <c r="AA320" s="2">
        <f>(Z317*I328)/1000</f>
        <v>95.889223360000003</v>
      </c>
    </row>
    <row r="321" spans="1:27">
      <c r="A321" s="18"/>
      <c r="B321" s="13">
        <v>4</v>
      </c>
      <c r="C321" s="14" t="s">
        <v>22</v>
      </c>
      <c r="D321" s="15" cm="1">
        <f t="array" ref="D321">_xlfn.SINGLE(IF(A326=A327,_xll.ciqfunctions.udf.CIQ(A318,"IQ_TOTAL_REV",IQ_FY-7)/I321, _xll.ciqfunctions.udf.CIQ(A318, "IQ_TOTAL_REV",IQ_FY-6)/I321))</f>
        <v>49.328338874057742</v>
      </c>
      <c r="E321" s="16">
        <f t="shared" si="87"/>
        <v>0.34310292104186768</v>
      </c>
      <c r="F321" s="15">
        <f>IF(A326=A327,_xll.ciqfunctions.udf.CIQ(A318,"IQ_DILUT_EPS_EXCL",IQ_FY-7), _xll.ciqfunctions.udf.CIQ(A318, "IQ_DILUT_EPS_EXCL",IQ_FY-6))</f>
        <v>9.24</v>
      </c>
      <c r="G321" s="15">
        <f>IF(A326=A327,_xll.ciqfunctions.udf.CIQ(A318,"IQ_EBITDA_MARGIN",IQ_FY-7), _xll.ciqfunctions.udf.CIQ(A318, "IQ_EBITDA_MARGIN",IQ_FY-6))</f>
        <v>27.688300000000002</v>
      </c>
      <c r="H321" s="15">
        <f>IF(A326=A327,_xll.ciqfunctions.udf.CIQ(A318,"IQ_TOTAL_DIV_PAID_CF",IQ_FY-7)/-I321, _xll.ciqfunctions.udf.CIQ(A318, "IQ_TOTAL_DIV_PAID_CF",IQ_FY-6)/-I321)</f>
        <v>1.4988486943651795</v>
      </c>
      <c r="I321" s="17">
        <f>IF(A326=A327,_xll.ciqfunctions.udf.CIQ(A318,"IQ_TOTAL_OUTSTANDING_FILING_DATE",IQ_FY-7), _xll.ciqfunctions.udf.CIQ(A318, "IQ_TOTAL_OUTSTANDING_FILING_DATE",IQ_FY-6))</f>
        <v>162.45469</v>
      </c>
      <c r="J321" s="17">
        <f>IF(A326=A327,_xll.ciqfunctions.udf.CIQ(A318,"IQ_CASH_OPER",IQ_FY-7), _xll.ciqfunctions.udf.CIQ(A318, "IQ_CASH_OPER",IQ_FY-6))</f>
        <v>2029.2819999999999</v>
      </c>
      <c r="K321" s="17">
        <f>IF(A326=A327,_xll.ciqfunctions.udf.CIQ(A318,"IQ_CAPEX",IQ_FY-7), _xll.ciqfunctions.udf.CIQ(A318, "IQ_CAPEX",IQ_FY-6))</f>
        <v>-157.41900000000001</v>
      </c>
      <c r="L321" s="15">
        <f t="shared" si="84"/>
        <v>11.522369714287718</v>
      </c>
      <c r="M321" s="17">
        <f>IF(A326=A327,_xll.ciqfunctions.udf.CIQ(A318,"IQ_TOTAL_DEBT_ISSUED",IQ_FY-7), _xll.ciqfunctions.udf.CIQ(A318, "IQ_TOTAL_DEBT_ISSUED",IQ_FY-6))</f>
        <v>0</v>
      </c>
      <c r="N321" s="17">
        <f>IF(A326=A327,_xll.ciqfunctions.udf.CIQ(A318,"IQ_TOTAL_DEBT_REPAID",IQ_FY-7), _xll.ciqfunctions.udf.CIQ(A318, "IQ_TOTAL_DEBT_REPAID",IQ_FY-6))</f>
        <v>-1688.3130000000001</v>
      </c>
      <c r="O321" s="15">
        <f t="shared" si="85"/>
        <v>-10.392516214828886</v>
      </c>
      <c r="P321" s="15">
        <f t="shared" si="86"/>
        <v>1.1298534994588323</v>
      </c>
      <c r="Q321" s="25" t="s">
        <v>23</v>
      </c>
      <c r="R321" s="38" t="s">
        <v>24</v>
      </c>
      <c r="S321" s="1">
        <f>R317/(AVERAGE(H323:H328)*(1+H329)/(0.5-H329))</f>
        <v>48.720088096013264</v>
      </c>
      <c r="U321" s="25" t="s">
        <v>40</v>
      </c>
      <c r="V321" s="38" t="s">
        <v>24</v>
      </c>
      <c r="W321" s="1">
        <f>V317/(AVERAGE(H323:H328)*(1+H329)/(0.5-H329))</f>
        <v>48.720088096013264</v>
      </c>
      <c r="Y321" s="25" t="s">
        <v>47</v>
      </c>
      <c r="Z321" s="38" t="s">
        <v>24</v>
      </c>
      <c r="AA321" s="1">
        <f>Z317/(AVERAGE(H323:H328)*(1+H329)/(0.5-H329))</f>
        <v>48.720088096013264</v>
      </c>
    </row>
    <row r="322" spans="1:27">
      <c r="B322" s="13">
        <v>5</v>
      </c>
      <c r="C322" s="14" t="s">
        <v>25</v>
      </c>
      <c r="D322" s="15" cm="1">
        <f t="array" ref="D322">_xlfn.SINGLE(IF(A326=A327,_xll.ciqfunctions.udf.CIQ(A318,"IQ_TOTAL_REV",IQ_FY-6)/I322, _xll.ciqfunctions.udf.CIQ(A318, "IQ_TOTAL_REV",IQ_FY-5)/I322))</f>
        <v>70.294449840645996</v>
      </c>
      <c r="E322" s="16">
        <f t="shared" si="87"/>
        <v>0.42503176561687417</v>
      </c>
      <c r="F322" s="15">
        <f>IF(A326=A327,_xll.ciqfunctions.udf.CIQ(A318,"IQ_DILUT_EPS_EXCL",IQ_FY-6), _xll.ciqfunctions.udf.CIQ(A318, "IQ_DILUT_EPS_EXCL",IQ_FY-5))</f>
        <v>13.17</v>
      </c>
      <c r="G322" s="15">
        <f>IF(A326=A327,_xll.ciqfunctions.udf.CIQ(A318,"IQ_EBITDA_MARGIN",IQ_FY-6), _xll.ciqfunctions.udf.CIQ(A318, "IQ_EBITDA_MARGIN",IQ_FY-5))</f>
        <v>31.955300000000001</v>
      </c>
      <c r="H322" s="15">
        <f>IF(A326=A327,_xll.ciqfunctions.udf.CIQ(A318,"IQ_TOTAL_DIV_PAID_CF",IQ_FY-6)/-I322, _xll.ciqfunctions.udf.CIQ(A318, "IQ_TOTAL_DIV_PAID_CF",IQ_FY-5)/-I322)</f>
        <v>1.9520817301791762</v>
      </c>
      <c r="I322" s="17">
        <f>IF(A326=A327,_xll.ciqfunctions.udf.CIQ(A318,"IQ_TOTAL_OUTSTANDING_FILING_DATE",IQ_FY-6), _xll.ciqfunctions.udf.CIQ(A318, "IQ_TOTAL_OUTSTANDING_FILING_DATE",IQ_FY-5))</f>
        <v>157.57998000000001</v>
      </c>
      <c r="J322" s="17">
        <f>IF(A326=A327,_xll.ciqfunctions.udf.CIQ(A318,"IQ_CASH_OPER",IQ_FY-6), _xll.ciqfunctions.udf.CIQ(A318, "IQ_CASH_OPER",IQ_FY-5))</f>
        <v>2655.7469999999998</v>
      </c>
      <c r="K322" s="17">
        <f>IF(A326=A327,_xll.ciqfunctions.udf.CIQ(A318,"IQ_CAPEX",IQ_FY-6), _xll.ciqfunctions.udf.CIQ(A318, "IQ_CAPEX",IQ_FY-5))</f>
        <v>-273.46899999999999</v>
      </c>
      <c r="L322" s="15">
        <f t="shared" si="84"/>
        <v>15.117897590798018</v>
      </c>
      <c r="M322" s="17">
        <f>IF(A326=A327,_xll.ciqfunctions.udf.CIQ(A318,"IQ_TOTAL_DEBT_ISSUED",IQ_FY-6), _xll.ciqfunctions.udf.CIQ(A318, "IQ_TOTAL_DEBT_ISSUED",IQ_FY-5))</f>
        <v>1109.604</v>
      </c>
      <c r="N322" s="17">
        <f>IF(A326=A327,_xll.ciqfunctions.udf.CIQ(A318,"IQ_TOTAL_DEBT_REPAID",IQ_FY-6), _xll.ciqfunctions.udf.CIQ(A318, "IQ_TOTAL_DEBT_REPAID",IQ_FY-5))</f>
        <v>-1505.694</v>
      </c>
      <c r="O322" s="15">
        <f t="shared" si="85"/>
        <v>-2.5135807226273279</v>
      </c>
      <c r="P322" s="15">
        <f t="shared" si="86"/>
        <v>12.60431686817069</v>
      </c>
      <c r="Q322" s="18"/>
      <c r="R322" s="38" t="s">
        <v>50</v>
      </c>
      <c r="S322" s="3">
        <f>I329</f>
        <v>-1.8287306844096185E-2</v>
      </c>
      <c r="U322" s="18"/>
      <c r="V322" s="38" t="s">
        <v>50</v>
      </c>
      <c r="W322" s="3">
        <f>I329</f>
        <v>-1.8287306844096185E-2</v>
      </c>
      <c r="Y322" s="18"/>
      <c r="Z322" s="38" t="s">
        <v>50</v>
      </c>
      <c r="AA322" s="3">
        <f>I329</f>
        <v>-1.8287306844096185E-2</v>
      </c>
    </row>
    <row r="323" spans="1:27">
      <c r="B323" s="13">
        <v>6</v>
      </c>
      <c r="C323" s="14" t="s">
        <v>26</v>
      </c>
      <c r="D323" s="15" cm="1">
        <f t="array" ref="D323">_xlfn.SINGLE(IF(A326=A327,_xll.ciqfunctions.udf.CIQ(A318,"IQ_TOTAL_REV",IQ_FY-5)/I323, _xll.ciqfunctions.udf.CIQ(A318, "IQ_TOTAL_REV",IQ_FY-4)/I323))</f>
        <v>66.791383282710527</v>
      </c>
      <c r="E323" s="16">
        <f t="shared" si="87"/>
        <v>-4.9834184147919867E-2</v>
      </c>
      <c r="F323" s="15">
        <f>IF(A326=A327,_xll.ciqfunctions.udf.CIQ(A318,"IQ_DILUT_EPS_EXCL",IQ_FY-5), _xll.ciqfunctions.udf.CIQ(A318, "IQ_DILUT_EPS_EXCL",IQ_FY-4))</f>
        <v>13.7</v>
      </c>
      <c r="G323" s="15">
        <f>IF(A326=A327,_xll.ciqfunctions.udf.CIQ(A318,"IQ_EBITDA_MARGIN",IQ_FY-5), _xll.ciqfunctions.udf.CIQ(A318, "IQ_EBITDA_MARGIN",IQ_FY-4))</f>
        <v>28.735600000000002</v>
      </c>
      <c r="H323" s="15">
        <f>IF(A326=A327,_xll.ciqfunctions.udf.CIQ(A318,"IQ_TOTAL_DIV_PAID_CF",IQ_FY-5)/-I323, _xll.ciqfunctions.udf.CIQ(A318, "IQ_TOTAL_DIV_PAID_CF",IQ_FY-4)/-I323)</f>
        <v>4.6933779828828017</v>
      </c>
      <c r="I323" s="17">
        <f>IF(A326=A327,_xll.ciqfunctions.udf.CIQ(A318,"IQ_TOTAL_OUTSTANDING_FILING_DATE",IQ_FY-5), _xll.ciqfunctions.udf.CIQ(A318, "IQ_TOTAL_OUTSTANDING_FILING_DATE",IQ_FY-4))</f>
        <v>144.53299999999999</v>
      </c>
      <c r="J323" s="17">
        <f>IF(A326=A327,_xll.ciqfunctions.udf.CIQ(A318,"IQ_CASH_OPER",IQ_FY-5), _xll.ciqfunctions.udf.CIQ(A318, "IQ_CASH_OPER",IQ_FY-4))</f>
        <v>3176.0129999999999</v>
      </c>
      <c r="K323" s="17">
        <f>IF(A326=A327,_xll.ciqfunctions.udf.CIQ(A318,"IQ_CAPEX",IQ_FY-5), _xll.ciqfunctions.udf.CIQ(A318, "IQ_CAPEX",IQ_FY-4))</f>
        <v>-303.49099999999999</v>
      </c>
      <c r="L323" s="15">
        <f t="shared" si="84"/>
        <v>19.874506168141533</v>
      </c>
      <c r="M323" s="17">
        <f>IF(A326=A327,_xll.ciqfunctions.udf.CIQ(A318,"IQ_TOTAL_DEBT_ISSUED",IQ_FY-5), _xll.ciqfunctions.udf.CIQ(A318, "IQ_TOTAL_DEBT_ISSUED",IQ_FY-4))</f>
        <v>2476.7199999999998</v>
      </c>
      <c r="N323" s="17">
        <f>IF(A326=A327,_xll.ciqfunctions.udf.CIQ(A318,"IQ_TOTAL_DEBT_REPAID",IQ_FY-5), _xll.ciqfunctions.udf.CIQ(A318, "IQ_TOTAL_DEBT_REPAID",IQ_FY-4))</f>
        <v>-479.40699999999998</v>
      </c>
      <c r="O323" s="15">
        <f t="shared" si="85"/>
        <v>13.819079379795618</v>
      </c>
      <c r="P323" s="15">
        <f t="shared" si="86"/>
        <v>33.693585547937147</v>
      </c>
      <c r="Q323" s="25" t="s">
        <v>27</v>
      </c>
      <c r="R323" s="38" t="s">
        <v>51</v>
      </c>
      <c r="S323" s="4">
        <f>AVERAGE(F323:F328)/AVERAGE(D323:D328)</f>
        <v>0.24523222992534988</v>
      </c>
      <c r="U323" s="25" t="s">
        <v>58</v>
      </c>
      <c r="V323" s="38" t="s">
        <v>51</v>
      </c>
      <c r="W323" s="4">
        <f>AVERAGE(F323:F328)/AVERAGE(D323:D328)</f>
        <v>0.24523222992534988</v>
      </c>
      <c r="Y323" s="25" t="s">
        <v>56</v>
      </c>
      <c r="Z323" s="38" t="s">
        <v>51</v>
      </c>
      <c r="AA323" s="4">
        <f>AVERAGE(F323:F328)/AVERAGE(D323:D328)</f>
        <v>0.24523222992534988</v>
      </c>
    </row>
    <row r="324" spans="1:27">
      <c r="A324" s="18"/>
      <c r="B324" s="13">
        <v>7</v>
      </c>
      <c r="C324" s="14" t="s">
        <v>28</v>
      </c>
      <c r="D324" s="15" cm="1">
        <f t="array" ref="D324">_xlfn.SINGLE(IF(A326=A327,_xll.ciqfunctions.udf.CIQ(A318,"IQ_TOTAL_REV",IQ_FY-4)/I324, _xll.ciqfunctions.udf.CIQ(A318, "IQ_TOTAL_REV",IQ_FY-3)/I324))</f>
        <v>68.976618955382946</v>
      </c>
      <c r="E324" s="16">
        <f t="shared" si="87"/>
        <v>3.2717329171382578E-2</v>
      </c>
      <c r="F324" s="15">
        <f>IF(A326=A327,_xll.ciqfunctions.udf.CIQ(A318,"IQ_DILUT_EPS_EXCL",IQ_FY-4), _xll.ciqfunctions.udf.CIQ(A318, "IQ_DILUT_EPS_EXCL",IQ_FY-3))</f>
        <v>15.1</v>
      </c>
      <c r="G324" s="15">
        <f>IF(A326=A327,_xll.ciqfunctions.udf.CIQ(A318,"IQ_EBITDA_MARGIN",IQ_FY-4), _xll.ciqfunctions.udf.CIQ(A318, "IQ_EBITDA_MARGIN",IQ_FY-3))</f>
        <v>29.292200000000001</v>
      </c>
      <c r="H324" s="15">
        <f>IF(A326=A327,_xll.ciqfunctions.udf.CIQ(A318,"IQ_TOTAL_DIV_PAID_CF",IQ_FY-4)/-I324, _xll.ciqfunctions.udf.CIQ(A318, "IQ_TOTAL_DIV_PAID_CF",IQ_FY-3)/-I324)</f>
        <v>4.5104684126507477</v>
      </c>
      <c r="I324" s="17">
        <f>IF(A326=A327,_xll.ciqfunctions.udf.CIQ(A318,"IQ_TOTAL_OUTSTANDING_FILING_DATE",IQ_FY-4), _xll.ciqfunctions.udf.CIQ(A318, "IQ_TOTAL_OUTSTANDING_FILING_DATE",IQ_FY-3))</f>
        <v>145.62522999999999</v>
      </c>
      <c r="J324" s="17">
        <f>IF(A326=A327,_xll.ciqfunctions.udf.CIQ(A318,"IQ_CASH_OPER",IQ_FY-4), _xll.ciqfunctions.udf.CIQ(A318, "IQ_CASH_OPER",IQ_FY-3))</f>
        <v>2126.451</v>
      </c>
      <c r="K324" s="17">
        <f>IF(A326=A327,_xll.ciqfunctions.udf.CIQ(A318,"IQ_CAPEX",IQ_FY-4), _xll.ciqfunctions.udf.CIQ(A318, "IQ_CAPEX",IQ_FY-3))</f>
        <v>-203.239</v>
      </c>
      <c r="L324" s="15">
        <f t="shared" si="84"/>
        <v>13.206585150114442</v>
      </c>
      <c r="M324" s="17">
        <f>IF(A326=A327,_xll.ciqfunctions.udf.CIQ(A318,"IQ_TOTAL_DEBT_ISSUED",IQ_FY-4), _xll.ciqfunctions.udf.CIQ(A318, "IQ_TOTAL_DEBT_ISSUED",IQ_FY-3))</f>
        <v>3224.6509999999998</v>
      </c>
      <c r="N324" s="17">
        <f>IF(A326=A327,_xll.ciqfunctions.udf.CIQ(A318,"IQ_TOTAL_DEBT_REPAID",IQ_FY-4), _xll.ciqfunctions.udf.CIQ(A318, "IQ_TOTAL_DEBT_REPAID",IQ_FY-3))</f>
        <v>-1917.537</v>
      </c>
      <c r="O324" s="15">
        <f t="shared" si="85"/>
        <v>8.9758759522645892</v>
      </c>
      <c r="P324" s="15">
        <f t="shared" si="86"/>
        <v>22.18246110237903</v>
      </c>
      <c r="Q324" s="18"/>
      <c r="R324" s="38" t="s">
        <v>29</v>
      </c>
      <c r="S324" s="4">
        <f>(AVERAGE(P323:P328)/_xlfn.STDEV.P(P323:P328))/(IF(A326=A327,(_xlfn.SINGLE(_xll.ciqfunctions.udf.CIQ(A318,"IQ_total_assets",IQ_FY)) - _xlfn.SINGLE(_xll.ciqfunctions.udf.CIQ(A318,"iq_gw_intan", IQ_FY)))/I328, (_xlfn.SINGLE(_xll.ciqfunctions.udf.CIQ(A318, "IQ_total_assets",IQ_LTM))-_xlfn.SINGLE(_xll.ciqfunctions.udf.CIQ(A318,"iq_gw_intan",IQ_LTM)))/I328))</f>
        <v>2.78260043165891E-2</v>
      </c>
      <c r="U324" s="18"/>
      <c r="V324" s="38" t="s">
        <v>29</v>
      </c>
      <c r="W324" s="4">
        <f>(AVERAGE(P323:P328)/_xlfn.STDEV.P(P323:P328))/(IF(A326=A327,(_xlfn.SINGLE(_xll.ciqfunctions.udf.CIQ(A318,"IQ_total_assets",IQ_FY)) - _xlfn.SINGLE(_xll.ciqfunctions.udf.CIQ(A318,"iq_gw_intan", IQ_FY)))/I328, (_xlfn.SINGLE(_xll.ciqfunctions.udf.CIQ(A318, "IQ_total_assets",IQ_LTM))-_xlfn.SINGLE(_xll.ciqfunctions.udf.CIQ(A318,"iq_gw_intan",IQ_LTM)))/I328))</f>
        <v>2.78260043165891E-2</v>
      </c>
      <c r="Y324" s="18"/>
      <c r="Z324" s="38" t="s">
        <v>29</v>
      </c>
      <c r="AA324" s="4">
        <f>(AVERAGE(P323:P328)/_xlfn.STDEV.P(P323:P328))/(IF(A326=A327,(_xlfn.SINGLE(_xll.ciqfunctions.udf.CIQ(A318,"IQ_total_assets",IQ_FY)) - _xlfn.SINGLE(_xll.ciqfunctions.udf.CIQ(A318,"iq_gw_intan", IQ_FY)))/I328, (_xlfn.SINGLE(_xll.ciqfunctions.udf.CIQ(A318, "IQ_total_assets",IQ_LTM))-_xlfn.SINGLE(_xll.ciqfunctions.udf.CIQ(A318,"iq_gw_intan",IQ_LTM)))/I328))</f>
        <v>2.78260043165891E-2</v>
      </c>
    </row>
    <row r="325" spans="1:27">
      <c r="A325" s="18"/>
      <c r="B325" s="13">
        <v>8</v>
      </c>
      <c r="C325" s="14" t="s">
        <v>30</v>
      </c>
      <c r="D325" s="15" cm="1">
        <f t="array" ref="D325">_xlfn.SINGLE(IF(A326=A327,_xll.ciqfunctions.udf.CIQ(A318,"IQ_TOTAL_REV",IQ_FY-3)/I325, _xll.ciqfunctions.udf.CIQ(A318, "IQ_TOTAL_REV",IQ_FY-2)/I325))</f>
        <v>103.03466595582447</v>
      </c>
      <c r="E325" s="16">
        <f t="shared" si="87"/>
        <v>0.49376219820910233</v>
      </c>
      <c r="F325" s="15">
        <f>IF(A326=A327,_xll.ciqfunctions.udf.CIQ(A318,"IQ_DILUT_EPS_EXCL",IQ_FY-3), _xll.ciqfunctions.udf.CIQ(A318, "IQ_DILUT_EPS_EXCL",IQ_FY-2))</f>
        <v>26.9</v>
      </c>
      <c r="G325" s="15">
        <f>IF(A326=A327,_xll.ciqfunctions.udf.CIQ(A318,"IQ_EBITDA_MARGIN",IQ_FY-3), _xll.ciqfunctions.udf.CIQ(A318, "IQ_EBITDA_MARGIN",IQ_FY-2))</f>
        <v>32.743899999999996</v>
      </c>
      <c r="H325" s="15">
        <f>IF(A326=A327,_xll.ciqfunctions.udf.CIQ(A318,"IQ_TOTAL_DIV_PAID_CF",IQ_FY-3)/-I325, _xll.ciqfunctions.udf.CIQ(A318, "IQ_TOTAL_DIV_PAID_CF",IQ_FY-2)/-I325)</f>
        <v>5.1213325360779658</v>
      </c>
      <c r="I325" s="17">
        <f>IF(A326=A327,_xll.ciqfunctions.udf.CIQ(A318,"IQ_TOTAL_OUTSTANDING_FILING_DATE",IQ_FY-3), _xll.ciqfunctions.udf.CIQ(A318, "IQ_TOTAL_OUTSTANDING_FILING_DATE",IQ_FY-2))</f>
        <v>141.95367999999999</v>
      </c>
      <c r="J325" s="17">
        <f>IF(A326=A327,_xll.ciqfunctions.udf.CIQ(A318,"IQ_CASH_OPER",IQ_FY-3), _xll.ciqfunctions.udf.CIQ(A318, "IQ_CASH_OPER",IQ_FY-2))</f>
        <v>3588.163</v>
      </c>
      <c r="K325" s="17">
        <f>IF(A326=A327,_xll.ciqfunctions.udf.CIQ(A318,"IQ_CAPEX",IQ_FY-3), _xll.ciqfunctions.udf.CIQ(A318, "IQ_CAPEX",IQ_FY-2))</f>
        <v>-349.096</v>
      </c>
      <c r="L325" s="15">
        <f t="shared" si="84"/>
        <v>22.817774079544822</v>
      </c>
      <c r="M325" s="17">
        <f>IF(A326=A327,_xll.ciqfunctions.udf.CIQ(A318,"IQ_TOTAL_DEBT_ISSUED",IQ_FY-3), _xll.ciqfunctions.udf.CIQ(A318, "IQ_TOTAL_DEBT_ISSUED",IQ_FY-2))</f>
        <v>0</v>
      </c>
      <c r="N325" s="17">
        <f>IF(A326=A327,_xll.ciqfunctions.udf.CIQ(A318,"IQ_TOTAL_DEBT_REPAID",IQ_FY-3), _xll.ciqfunctions.udf.CIQ(A318, "IQ_TOTAL_DEBT_REPAID",IQ_FY-2))</f>
        <v>-862.06</v>
      </c>
      <c r="O325" s="15">
        <f t="shared" si="85"/>
        <v>-6.0728260091601713</v>
      </c>
      <c r="P325" s="15">
        <f t="shared" si="86"/>
        <v>16.744948070384652</v>
      </c>
      <c r="Q325" s="18"/>
      <c r="R325" s="39" t="s">
        <v>31</v>
      </c>
      <c r="S325" s="5">
        <f>IF(NOT(D318&gt;0),FALSE,SLOPE(G318:G328,B318:B328))</f>
        <v>1.1841990909090909</v>
      </c>
      <c r="U325" s="18"/>
      <c r="V325" s="39" t="s">
        <v>31</v>
      </c>
      <c r="W325" s="5">
        <f>IF(NOT(D318&gt;0),FALSE,SLOPE(G318:G328,B318:B328))</f>
        <v>1.1841990909090909</v>
      </c>
      <c r="Y325" s="18"/>
      <c r="Z325" s="39" t="s">
        <v>31</v>
      </c>
      <c r="AA325" s="5">
        <f>IF(NOT(L318&gt;0),FALSE,SLOPE(O318:O328,J318:J328))</f>
        <v>-1.3213668705015203E-3</v>
      </c>
    </row>
    <row r="326" spans="1:27">
      <c r="A326" s="19">
        <f>_xll.ciqfunctions.udf.CIQ(A318,"IQ_TOTAL_REV",IQ_FY)</f>
        <v>17428.516</v>
      </c>
      <c r="B326" s="13">
        <v>9</v>
      </c>
      <c r="C326" s="14" t="s">
        <v>32</v>
      </c>
      <c r="D326" s="15" cm="1">
        <f t="array" ref="D326">_xlfn.SINGLE(IF(A326=A327,_xll.ciqfunctions.udf.CIQ(A318,"IQ_TOTAL_REV",IQ_FY-2)/I326, _xll.ciqfunctions.udf.CIQ(A318, "IQ_TOTAL_REV",IQ_FY-1)/I326))</f>
        <v>125.75601810935122</v>
      </c>
      <c r="E326" s="16">
        <f t="shared" si="87"/>
        <v>0.22052143269206506</v>
      </c>
      <c r="F326" s="15">
        <f>IF(A326=A327,_xll.ciqfunctions.udf.CIQ(A318,"IQ_DILUT_EPS_EXCL",IQ_FY-2), _xll.ciqfunctions.udf.CIQ(A318, "IQ_DILUT_EPS_EXCL",IQ_FY-1))</f>
        <v>32.75</v>
      </c>
      <c r="G326" s="15">
        <f>IF(A326=A327,_xll.ciqfunctions.udf.CIQ(A318,"IQ_EBITDA_MARGIN",IQ_FY-2), _xll.ciqfunctions.udf.CIQ(A318, "IQ_EBITDA_MARGIN",IQ_FY-1))</f>
        <v>33.177799999999998</v>
      </c>
      <c r="H326" s="15">
        <f>IF(A326=A327,_xll.ciqfunctions.udf.CIQ(A318,"IQ_TOTAL_DIV_PAID_CF",IQ_FY-2)/-I326, _xll.ciqfunctions.udf.CIQ(A318, "IQ_TOTAL_DIV_PAID_CF",IQ_FY-1)/-I326)</f>
        <v>5.9515523244808897</v>
      </c>
      <c r="I326" s="17">
        <f>IF(A326=A327,_xll.ciqfunctions.udf.CIQ(A318,"IQ_TOTAL_OUTSTANDING_FILING_DATE",IQ_FY-2), _xll.ciqfunctions.udf.CIQ(A318, "IQ_TOTAL_OUTSTANDING_FILING_DATE",IQ_FY-1))</f>
        <v>136.98778999999999</v>
      </c>
      <c r="J326" s="17">
        <f>IF(A326=A327,_xll.ciqfunctions.udf.CIQ(A318,"IQ_CASH_OPER",IQ_FY-2), _xll.ciqfunctions.udf.CIQ(A318, "IQ_CASH_OPER",IQ_FY-1))</f>
        <v>3099.674</v>
      </c>
      <c r="K326" s="17">
        <f>IF(A326=A327,_xll.ciqfunctions.udf.CIQ(A318,"IQ_CAPEX",IQ_FY-2), _xll.ciqfunctions.udf.CIQ(A318, "IQ_CAPEX",IQ_FY-1))</f>
        <v>-546.03399999999999</v>
      </c>
      <c r="L326" s="15">
        <f t="shared" si="84"/>
        <v>18.641369424238466</v>
      </c>
      <c r="M326" s="17">
        <f>IF(A326=A327,_xll.ciqfunctions.udf.CIQ(A318,"IQ_TOTAL_DEBT_ISSUED",IQ_FY-2), _xll.ciqfunctions.udf.CIQ(A318, "IQ_TOTAL_DEBT_ISSUED",IQ_FY-1))</f>
        <v>64.432000000000002</v>
      </c>
      <c r="N326" s="17">
        <f>IF(A326=A327,_xll.ciqfunctions.udf.CIQ(A318,"IQ_TOTAL_DEBT_REPAID",IQ_FY-2), _xll.ciqfunctions.udf.CIQ(A318, "IQ_TOTAL_DEBT_REPAID",IQ_FY-1))</f>
        <v>-76.320999999999998</v>
      </c>
      <c r="O326" s="15">
        <f t="shared" si="85"/>
        <v>-8.6788756866579109E-2</v>
      </c>
      <c r="P326" s="15">
        <f t="shared" si="86"/>
        <v>18.554580667371887</v>
      </c>
      <c r="Q326" s="25" t="s">
        <v>33</v>
      </c>
      <c r="R326" s="38" t="s">
        <v>52</v>
      </c>
      <c r="S326" s="4">
        <f>(AVERAGE(O323:O328)/AVERAGE(P323:P328))</f>
        <v>9.0782128775264079E-2</v>
      </c>
      <c r="U326" s="25" t="s">
        <v>54</v>
      </c>
      <c r="V326" s="38" t="s">
        <v>52</v>
      </c>
      <c r="W326" s="4">
        <f>(AVERAGE(O323:O328)/AVERAGE(P323:P328))</f>
        <v>9.0782128775264079E-2</v>
      </c>
      <c r="Y326" s="25" t="s">
        <v>60</v>
      </c>
      <c r="Z326" s="38" t="s">
        <v>52</v>
      </c>
      <c r="AA326" s="4">
        <f>(AVERAGE(O323:O328)/AVERAGE(P323:P328))</f>
        <v>9.0782128775264079E-2</v>
      </c>
    </row>
    <row r="327" spans="1:27">
      <c r="A327" s="19">
        <f>_xll.ciqfunctions.udf.CIQ(A318,"IQ_TOTAL_REV",IQ_LTM)</f>
        <v>15836.457</v>
      </c>
      <c r="B327" s="13">
        <v>10</v>
      </c>
      <c r="C327" s="14" t="s">
        <v>34</v>
      </c>
      <c r="D327" s="15" cm="1">
        <f t="array" ref="D327">_xlfn.SINGLE(IF(A326=A327,_xll.ciqfunctions.udf.CIQ(A318,"IQ_TOTAL_REV",IQ_FY-1)/I327, _xll.ciqfunctions.udf.CIQ(A318, "IQ_TOTAL_REV",IQ_FY)/I327))</f>
        <v>131.52435596253011</v>
      </c>
      <c r="E327" s="16">
        <f t="shared" si="87"/>
        <v>4.5869278782054233E-2</v>
      </c>
      <c r="F327" s="15">
        <f>IF(A326=A327,_xll.ciqfunctions.udf.CIQ(A318,"IQ_DILUT_EPS_EXCL",IQ_FY-1), _xll.ciqfunctions.udf.CIQ(A318, "IQ_DILUT_EPS_EXCL",IQ_FY))</f>
        <v>33.21</v>
      </c>
      <c r="G327" s="15">
        <f>IF(A326=A327,_xll.ciqfunctions.udf.CIQ(A318,"IQ_EBITDA_MARGIN",IQ_FY-1), _xll.ciqfunctions.udf.CIQ(A318, "IQ_EBITDA_MARGIN",IQ_FY))</f>
        <v>32.347000000000001</v>
      </c>
      <c r="H327" s="15">
        <f>IF(A326=A327,_xll.ciqfunctions.udf.CIQ(A318,"IQ_TOTAL_DIV_PAID_CF",IQ_FY-1)/-I327, _xll.ciqfunctions.udf.CIQ(A318, "IQ_TOTAL_DIV_PAID_CF",IQ_FY)/-I327)</f>
        <v>6.8515232994520492</v>
      </c>
      <c r="I327" s="17">
        <f>IF(A326=A327,_xll.ciqfunctions.udf.CIQ(A318,"IQ_TOTAL_OUTSTANDING_FILING_DATE",IQ_FY-1), _xll.ciqfunctions.udf.CIQ(A318, "IQ_TOTAL_OUTSTANDING_FILING_DATE",IQ_FY))</f>
        <v>132.51169999999999</v>
      </c>
      <c r="J327" s="17">
        <f>IF(A326=A327,_xll.ciqfunctions.udf.CIQ(A318,"IQ_CASH_OPER",IQ_FY-1), _xll.ciqfunctions.udf.CIQ(A318, "IQ_CASH_OPER",IQ_FY))</f>
        <v>5178.9380000000001</v>
      </c>
      <c r="K327" s="17">
        <f>IF(A326=A327,_xll.ciqfunctions.udf.CIQ(A318,"IQ_CAPEX",IQ_FY-1), _xll.ciqfunctions.udf.CIQ(A318, "IQ_CAPEX",IQ_FY))</f>
        <v>-501.56799999999998</v>
      </c>
      <c r="L327" s="15">
        <f t="shared" si="84"/>
        <v>35.297788799026804</v>
      </c>
      <c r="M327" s="17">
        <f>IF(A326=A327,_xll.ciqfunctions.udf.CIQ(A318,"IQ_TOTAL_DEBT_ISSUED",IQ_FY-1), _xll.ciqfunctions.udf.CIQ(A318, "IQ_TOTAL_DEBT_ISSUED",IQ_FY))</f>
        <v>66.176000000000002</v>
      </c>
      <c r="N327" s="17">
        <f>IF(A326=A327,_xll.ciqfunctions.udf.CIQ(A318,"IQ_TOTAL_DEBT_REPAID",IQ_FY-1), _xll.ciqfunctions.udf.CIQ(A318, "IQ_TOTAL_DEBT_REPAID",IQ_FY))</f>
        <v>-89.382000000000005</v>
      </c>
      <c r="O327" s="15">
        <f t="shared" si="85"/>
        <v>-0.17512415884786026</v>
      </c>
      <c r="P327" s="15">
        <f t="shared" si="86"/>
        <v>35.122664640178947</v>
      </c>
      <c r="Q327" s="25" t="s">
        <v>44</v>
      </c>
      <c r="R327" s="38" t="s">
        <v>35</v>
      </c>
      <c r="S327" s="1">
        <f>_xll.ciqfunctions.udf.CIQ(A318,"IQ_TEV_EBITDA")</f>
        <v>17.839849999999998</v>
      </c>
      <c r="U327" s="25" t="s">
        <v>55</v>
      </c>
      <c r="V327" s="38" t="s">
        <v>53</v>
      </c>
      <c r="W327" s="1">
        <f>V317/(AVERAGE(D323:D328)/_xlfn.STDEV.P(E323:E328))</f>
        <v>1.3980387207087619</v>
      </c>
      <c r="Y327" s="25" t="s">
        <v>57</v>
      </c>
      <c r="Z327" s="38" t="s">
        <v>53</v>
      </c>
      <c r="AA327" s="1">
        <f>Z317/(AVERAGE(D323:D328)/_xlfn.STDEV.P(E323:E328))</f>
        <v>1.3980387207087619</v>
      </c>
    </row>
    <row r="328" spans="1:27">
      <c r="B328" s="13">
        <v>11</v>
      </c>
      <c r="C328" s="20" t="s">
        <v>36</v>
      </c>
      <c r="D328" s="21" cm="1">
        <f t="array" ref="D328">_xlfn.SINGLE(IF(A326=A327,_xll.ciqfunctions.udf.CIQ(A318,"IQ_TOTAL_REV",IQ_FY)/I328, _xll.ciqfunctions.udf.CIQ(A318, "IQ_TOTAL_REV",IQ_LTM)/I328))</f>
        <v>120.16250607017118</v>
      </c>
      <c r="E328" s="22">
        <f t="shared" si="87"/>
        <v>-8.6385900232773635E-2</v>
      </c>
      <c r="F328" s="21">
        <f>IF(A326=A327,_xll.ciqfunctions.udf.CIQ(A318,"IQ_DILUT_EPS_EXCL",IQ_FY), _xll.ciqfunctions.udf.CIQ(A318, "IQ_DILUT_EPS_EXCL",IQ_LTM))</f>
        <v>29.463270000000001</v>
      </c>
      <c r="G328" s="21">
        <f>IF(A326=A327,_xll.ciqfunctions.udf.CIQ(A318,"IQ_EBITDA_MARGIN",IQ_FY), _xll.ciqfunctions.udf.CIQ(A318, "IQ_EBITDA_MARGIN",IQ_LTM))</f>
        <v>31.493600000000001</v>
      </c>
      <c r="H328" s="21">
        <f>IF(A326=A327,_xll.ciqfunctions.udf.CIQ(A318,"IQ_TOTAL_DIV_PAID_CF",IQ_FY)/-I328, _xll.ciqfunctions.udf.CIQ(A318, "IQ_TOTAL_DIV_PAID_CF",IQ_LTM)/-I328)</f>
        <v>7.0764841568532235</v>
      </c>
      <c r="I328" s="23">
        <f>IF(A326=A327,_xll.ciqfunctions.udf.CIQ(A318,"IQ_TOTAL_OUTSTANDING_FILING_DATE",IQ_FY),_xll.ciqfunctions.udf.CIQ(A318,"IQ_sharesoutstanding"))</f>
        <v>131.792</v>
      </c>
      <c r="J328" s="23">
        <f>IF(A326=A327,_xll.ciqfunctions.udf.CIQ(A318,"IQ_CASH_OPER",IQ_FY), _xll.ciqfunctions.udf.CIQ(A318, "IQ_CASH_OPER",IQ_LTM))</f>
        <v>4940.5129999999999</v>
      </c>
      <c r="K328" s="23">
        <f>IF(A326=A327,_xll.ciqfunctions.udf.CIQ(A318,"IQ_CAPEX",IQ_FY), _xll.ciqfunctions.udf.CIQ(A318, "IQ_CAPEX",IQ_LTM))</f>
        <v>-438.49700000000001</v>
      </c>
      <c r="L328" s="21">
        <f t="shared" si="84"/>
        <v>34.160009712273883</v>
      </c>
      <c r="M328" s="23">
        <f>IF(A326=A327,_xll.ciqfunctions.udf.CIQ(A318,"IQ_TOTAL_DEBT_ISSUED",IQ_FY), _xll.ciqfunctions.udf.CIQ(A318, "IQ_TOTAL_DEBT_ISSUED",IQ_LTM))</f>
        <v>66.176000000000002</v>
      </c>
      <c r="N328" s="23">
        <f>IF(A326=A327,_xll.ciqfunctions.udf.CIQ(A318,"IQ_TOTAL_DEBT_REPAID",IQ_FY), _xll.ciqfunctions.udf.CIQ(A318, "IQ_TOTAL_DEBT_REPAID",IQ_LTM))</f>
        <v>-340.637</v>
      </c>
      <c r="O328" s="21">
        <f t="shared" si="85"/>
        <v>-2.0825315648901301</v>
      </c>
      <c r="P328" s="21">
        <f t="shared" si="86"/>
        <v>32.077478147383751</v>
      </c>
      <c r="Q328" s="25" t="s">
        <v>45</v>
      </c>
      <c r="S328" s="45"/>
      <c r="U328" s="25"/>
      <c r="W328" s="45"/>
      <c r="Y328" s="25"/>
      <c r="AA328" s="45"/>
    </row>
    <row r="329" spans="1:27">
      <c r="B329" s="24"/>
      <c r="C329" s="25" t="s">
        <v>37</v>
      </c>
      <c r="E329" s="26">
        <f>((D328/D323)^(1/5))-1</f>
        <v>0.12463011271072788</v>
      </c>
      <c r="F329" s="27">
        <f>((F328/F323)^(1/5))-1</f>
        <v>0.16549945746816364</v>
      </c>
      <c r="G329" s="28"/>
      <c r="H329" s="27">
        <f>((H328/H323)^(1/5))-1</f>
        <v>8.5591417984314688E-2</v>
      </c>
      <c r="I329" s="27">
        <f>((I328/I323)^(1/5))-1</f>
        <v>-1.8287306844096185E-2</v>
      </c>
      <c r="J329" s="27"/>
      <c r="K329" s="27"/>
      <c r="L329" s="26">
        <f>((L328/L323)^(1/5))-1</f>
        <v>0.11440827388781782</v>
      </c>
      <c r="M329" s="26"/>
      <c r="N329" s="26"/>
      <c r="O329" s="26"/>
      <c r="P329" s="26">
        <f>((P328/P323)^(1/5))-1</f>
        <v>-9.7824991695810715E-3</v>
      </c>
      <c r="Q329" s="18"/>
      <c r="R329" s="36"/>
      <c r="S329" s="45"/>
      <c r="U329" s="18"/>
      <c r="V329" s="36"/>
      <c r="W329" s="45"/>
      <c r="Y329" s="18"/>
      <c r="Z329" s="36"/>
      <c r="AA329" s="45"/>
    </row>
    <row r="330" spans="1:27">
      <c r="A330" s="29"/>
      <c r="B330" s="30"/>
      <c r="C330" s="31" t="s">
        <v>38</v>
      </c>
      <c r="D330" s="29"/>
      <c r="E330" s="32">
        <f>((D328/D318)^(1/10))-1</f>
        <v>0.15505810275380139</v>
      </c>
      <c r="F330" s="33">
        <f>((F328/F318)^(1/10))-1</f>
        <v>0.23326736005006787</v>
      </c>
      <c r="G330" s="34"/>
      <c r="H330" s="33" t="e">
        <f>((H328/H318)^(1/10))-1</f>
        <v>#DIV/0!</v>
      </c>
      <c r="I330" s="33">
        <f>((I328/I318)^(1/10))-1</f>
        <v>-2.0471137008865492E-2</v>
      </c>
      <c r="J330" s="33"/>
      <c r="K330" s="33"/>
      <c r="L330" s="32">
        <f>((L328/L318)^(1/10))-1</f>
        <v>0.25492666362264016</v>
      </c>
      <c r="M330" s="32"/>
      <c r="N330" s="32"/>
      <c r="O330" s="32"/>
      <c r="P330" s="32">
        <f>((P328/P318)^(1/10))-1</f>
        <v>0.24742010064154285</v>
      </c>
      <c r="Q330" s="40"/>
      <c r="R330" s="41"/>
      <c r="S330" s="46"/>
      <c r="U330" s="40"/>
      <c r="V330" s="41"/>
      <c r="W330" s="46"/>
      <c r="Y330" s="40"/>
      <c r="Z330" s="41"/>
      <c r="AA330" s="46"/>
    </row>
    <row r="331" spans="1:27">
      <c r="B331" s="24"/>
      <c r="C331" s="25"/>
      <c r="E331" s="26"/>
      <c r="F331" s="27"/>
      <c r="G331" s="28"/>
      <c r="H331" s="27"/>
      <c r="I331" s="27"/>
      <c r="J331" s="27"/>
      <c r="K331" s="27"/>
      <c r="L331" s="26"/>
      <c r="M331" s="17"/>
      <c r="N331" s="17"/>
      <c r="O331" s="17"/>
      <c r="P331" s="35"/>
      <c r="Q331" s="18"/>
      <c r="R331" s="36"/>
    </row>
    <row r="332" spans="1:27">
      <c r="A332" s="9" t="s">
        <v>0</v>
      </c>
      <c r="B332" s="10"/>
      <c r="C332" s="9" t="s">
        <v>1</v>
      </c>
      <c r="D332" s="9" t="s">
        <v>2</v>
      </c>
      <c r="E332" s="9" t="s">
        <v>3</v>
      </c>
      <c r="F332" s="11" t="s">
        <v>4</v>
      </c>
      <c r="G332" s="11" t="s">
        <v>5</v>
      </c>
      <c r="H332" s="9" t="s">
        <v>6</v>
      </c>
      <c r="I332" s="11" t="s">
        <v>7</v>
      </c>
      <c r="J332" s="11" t="s">
        <v>8</v>
      </c>
      <c r="K332" s="11" t="s">
        <v>9</v>
      </c>
      <c r="L332" s="11" t="s">
        <v>10</v>
      </c>
      <c r="M332" s="11" t="s">
        <v>11</v>
      </c>
      <c r="N332" s="11" t="s">
        <v>12</v>
      </c>
      <c r="O332" s="11" t="s">
        <v>13</v>
      </c>
      <c r="P332" s="11" t="s">
        <v>14</v>
      </c>
      <c r="Q332" s="37" t="s">
        <v>15</v>
      </c>
      <c r="R332" s="42">
        <f>_xll.ciqfunctions.udf.CIQ(A333,("IQ_LASTSALEPRICE"))</f>
        <v>560.04999999999995</v>
      </c>
      <c r="S332" s="44"/>
      <c r="U332" s="37" t="s">
        <v>15</v>
      </c>
      <c r="V332" s="42">
        <f>_xll.ciqfunctions.udf.CIQ(A333,("IQ_LASTSALEPRICE"))</f>
        <v>560.04999999999995</v>
      </c>
      <c r="W332" s="44"/>
      <c r="Y332" s="37" t="s">
        <v>15</v>
      </c>
      <c r="Z332" s="42">
        <f>_xll.ciqfunctions.udf.CIQ(A333,("IQ_LASTSALEPRICE"))</f>
        <v>560.04999999999995</v>
      </c>
      <c r="AA332" s="44"/>
    </row>
    <row r="333" spans="1:27">
      <c r="A333" s="12" t="str">
        <f>Analysis!B24</f>
        <v>NasdaqGS:KLAC</v>
      </c>
      <c r="B333" s="13">
        <v>1</v>
      </c>
      <c r="C333" s="14" t="s">
        <v>16</v>
      </c>
      <c r="D333" s="15">
        <f>IF(A341=A342,_xll.ciqfunctions.udf.CIQ(A333,"IQ_TOTAL_REV",IQ_FY-10)/I333,_xll.ciqfunctions.udf.CIQ(A333, "IQ_TOTAL_REV",IQ_FY-9)/I333)</f>
        <v>17.714463153878178</v>
      </c>
      <c r="E333" s="16"/>
      <c r="F333" s="15">
        <f>IF(A341=A342,_xll.ciqfunctions.udf.CIQ(A333,"IQ_DILUT_EPS_EXCL",IQ_FY-10), _xll.ciqfunctions.udf.CIQ(A333, "IQ_DILUT_EPS_EXCL",IQ_FY-9))</f>
        <v>3.47</v>
      </c>
      <c r="G333" s="15">
        <f>IF(A341=A342,_xll.ciqfunctions.udf.CIQ(A333,"IQ_EBITDA_MARGIN",IQ_FY-10), _xll.ciqfunctions.udf.CIQ(A333, "IQ_EBITDA_MARGIN",IQ_FY-9))</f>
        <v>29.154</v>
      </c>
      <c r="H333" s="15">
        <f>IF(A341=A342,_xll.ciqfunctions.udf.CIQ(A333,"IQ_TOTAL_DIV_PAID_CF",IQ_FY-10)/-I333, _xll.ciqfunctions.udf.CIQ(A333, "IQ_TOTAL_DIV_PAID_CF",IQ_FY-9)/-I333)</f>
        <v>1.8073069088576001</v>
      </c>
      <c r="I333" s="17">
        <f>IF(A341=A342,_xll.ciqfunctions.udf.CIQ(A333,"IQ_TOTAL_OUTSTANDING_FILING_DATE",IQ_FY-10), _xll.ciqfunctions.udf.CIQ(A333, "IQ_TOTAL_OUTSTANDING_FILING_DATE",IQ_FY-9))</f>
        <v>165.36815000000001</v>
      </c>
      <c r="J333" s="17">
        <f>IF(A341=A342,_xll.ciqfunctions.udf.CIQ(A333,"IQ_CASH_OPER",IQ_FY-10), _xll.ciqfunctions.udf.CIQ(A333, "IQ_CASH_OPER",IQ_FY-9))</f>
        <v>778.88599999999997</v>
      </c>
      <c r="K333" s="17">
        <f>IF(A341=A342,_xll.ciqfunctions.udf.CIQ(A333,"IQ_CAPEX",IQ_FY-10), _xll.ciqfunctions.udf.CIQ(A333, "IQ_CAPEX",IQ_FY-9))</f>
        <v>-67.501999999999995</v>
      </c>
      <c r="L333" s="15">
        <f t="shared" ref="L333:L343" si="88">(J333+K333)/I333</f>
        <v>4.3018199090937399</v>
      </c>
      <c r="M333" s="17">
        <f>IF(A341=A342,_xll.ciqfunctions.udf.CIQ(A333,"IQ_TOTAL_DEBT_ISSUED",IQ_FY-10), _xll.ciqfunctions.udf.CIQ(A333, "IQ_TOTAL_DEBT_ISSUED",IQ_FY-9))</f>
        <v>0</v>
      </c>
      <c r="N333" s="17">
        <f>IF(A341=A342,_xll.ciqfunctions.udf.CIQ(A333,"IQ_TOTAL_DEBT_REPAID",IQ_FY-10), _xll.ciqfunctions.udf.CIQ(A333, "IQ_TOTAL_DEBT_REPAID",IQ_FY-9))</f>
        <v>0</v>
      </c>
      <c r="O333" s="15">
        <f t="shared" ref="O333:O343" si="89">(M333+N333)/I333</f>
        <v>0</v>
      </c>
      <c r="P333" s="15">
        <f t="shared" ref="P333:P343" si="90">L333+O333</f>
        <v>4.3018199090937399</v>
      </c>
      <c r="W333" s="43"/>
      <c r="AA333" s="43"/>
    </row>
    <row r="334" spans="1:27">
      <c r="A334" s="18" t="str">
        <f>_xll.ciqfunctions.udf.CIQ(A333,"IQ_COMPANY_NAME")</f>
        <v>KLA Corporation</v>
      </c>
      <c r="B334" s="13">
        <v>2</v>
      </c>
      <c r="C334" s="14" t="s">
        <v>17</v>
      </c>
      <c r="D334" s="15">
        <f>IF(A341=A342,_xll.ciqfunctions.udf.CIQ(A333,"IQ_TOTAL_REV",IQ_FY-9)/I334, _xll.ciqfunctions.udf.CIQ(A333, "IQ_TOTAL_REV",IQ_FY-8)/I334)</f>
        <v>17.863475402409993</v>
      </c>
      <c r="E334" s="16">
        <f t="shared" ref="E334:E343" si="91">(D334-D333)/D333</f>
        <v>8.4118975120728839E-3</v>
      </c>
      <c r="F334" s="15">
        <f>IF(A341=A342,_xll.ciqfunctions.udf.CIQ(A333,"IQ_DILUT_EPS_EXCL",IQ_FY-9), _xll.ciqfunctions.udf.CIQ(A333, "IQ_DILUT_EPS_EXCL",IQ_FY-8))</f>
        <v>2.2400000000000002</v>
      </c>
      <c r="G334" s="15">
        <f>IF(A341=A342,_xll.ciqfunctions.udf.CIQ(A333,"IQ_EBITDA_MARGIN",IQ_FY-9), _xll.ciqfunctions.udf.CIQ(A333, "IQ_EBITDA_MARGIN",IQ_FY-8))</f>
        <v>27.4862</v>
      </c>
      <c r="H334" s="15">
        <f>IF(A341=A342,_xll.ciqfunctions.udf.CIQ(A333,"IQ_TOTAL_DIV_PAID_CF",IQ_FY-9)/-I334, _xll.ciqfunctions.udf.CIQ(A333, "IQ_TOTAL_DIV_PAID_CF",IQ_FY-8)/-I334)</f>
        <v>1.7727000572840068</v>
      </c>
      <c r="I334" s="17">
        <f>IF(A341=A342,_xll.ciqfunctions.udf.CIQ(A333,"IQ_TOTAL_OUTSTANDING_FILING_DATE",IQ_FY-9), _xll.ciqfunctions.udf.CIQ(A333, "IQ_TOTAL_OUTSTANDING_FILING_DATE",IQ_FY-8))</f>
        <v>157.53088</v>
      </c>
      <c r="J334" s="17">
        <f>IF(A341=A342,_xll.ciqfunctions.udf.CIQ(A333,"IQ_CASH_OPER",IQ_FY-9), _xll.ciqfunctions.udf.CIQ(A333, "IQ_CASH_OPER",IQ_FY-8))</f>
        <v>605.90599999999995</v>
      </c>
      <c r="K334" s="17">
        <f>IF(A341=A342,_xll.ciqfunctions.udf.CIQ(A333,"IQ_CAPEX",IQ_FY-9), _xll.ciqfunctions.udf.CIQ(A333, "IQ_CAPEX",IQ_FY-8))</f>
        <v>-45.790999999999997</v>
      </c>
      <c r="L334" s="15">
        <f t="shared" si="88"/>
        <v>3.5555885931697966</v>
      </c>
      <c r="M334" s="17">
        <f>IF(A341=A342,_xll.ciqfunctions.udf.CIQ(A333,"IQ_TOTAL_DEBT_ISSUED",IQ_FY-9), _xll.ciqfunctions.udf.CIQ(A333, "IQ_TOTAL_DEBT_ISSUED",IQ_FY-8))</f>
        <v>3224.9059999999999</v>
      </c>
      <c r="N334" s="17">
        <f>IF(A341=A342,_xll.ciqfunctions.udf.CIQ(A333,"IQ_TOTAL_DEBT_REPAID",IQ_FY-9), _xll.ciqfunctions.udf.CIQ(A333, "IQ_TOTAL_DEBT_REPAID",IQ_FY-8))</f>
        <v>-916.11699999999996</v>
      </c>
      <c r="O334" s="15">
        <f t="shared" si="89"/>
        <v>14.656104250798318</v>
      </c>
      <c r="P334" s="15">
        <f t="shared" si="90"/>
        <v>18.211692843968116</v>
      </c>
      <c r="Q334" s="25" t="s">
        <v>18</v>
      </c>
      <c r="R334" s="39" t="s">
        <v>19</v>
      </c>
      <c r="S334" s="1">
        <f>R332/((AVERAGE(P338:P343))*(1+E344)^3)</f>
        <v>15.782787001444587</v>
      </c>
      <c r="U334" s="25" t="s">
        <v>48</v>
      </c>
      <c r="V334" s="39" t="s">
        <v>19</v>
      </c>
      <c r="W334" s="1">
        <f>V332/((AVERAGE(P338:P343))*(1+E344)^3)</f>
        <v>15.782787001444587</v>
      </c>
      <c r="Y334" s="25" t="s">
        <v>39</v>
      </c>
      <c r="Z334" s="39" t="s">
        <v>19</v>
      </c>
      <c r="AA334" s="1">
        <f>Z332/((AVERAGE(P338:P343))*(1+E344)^3)</f>
        <v>15.782787001444587</v>
      </c>
    </row>
    <row r="335" spans="1:27">
      <c r="B335" s="13">
        <v>3</v>
      </c>
      <c r="C335" s="14" t="s">
        <v>20</v>
      </c>
      <c r="D335" s="15" cm="1">
        <f t="array" ref="D335">_xlfn.SINGLE(IF(A341=A342,_xll.ciqfunctions.udf.CIQ(A333,"IQ_TOTAL_REV",IQ_FY-8)/I335, _xll.ciqfunctions.udf.CIQ(A333, "IQ_TOTAL_REV",IQ_FY-7)/I335))</f>
        <v>19.13197858905734</v>
      </c>
      <c r="E335" s="16">
        <f t="shared" si="91"/>
        <v>7.1010996352714836E-2</v>
      </c>
      <c r="F335" s="15">
        <f>IF(A341=A342,_xll.ciqfunctions.udf.CIQ(A333,"IQ_DILUT_EPS_EXCL",IQ_FY-8), _xll.ciqfunctions.udf.CIQ(A333, "IQ_DILUT_EPS_EXCL",IQ_FY-7))</f>
        <v>4.49</v>
      </c>
      <c r="G335" s="15">
        <f>IF(A341=A342,_xll.ciqfunctions.udf.CIQ(A333,"IQ_EBITDA_MARGIN",IQ_FY-8), _xll.ciqfunctions.udf.CIQ(A333, "IQ_EBITDA_MARGIN",IQ_FY-7))</f>
        <v>34.722000000000001</v>
      </c>
      <c r="H335" s="15">
        <f>IF(A341=A342,_xll.ciqfunctions.udf.CIQ(A333,"IQ_TOTAL_DIV_PAID_CF",IQ_FY-8)/-I335, _xll.ciqfunctions.udf.CIQ(A333, "IQ_TOTAL_DIV_PAID_CF",IQ_FY-7)/-I335)</f>
        <v>2.0800859001891085</v>
      </c>
      <c r="I335" s="17">
        <f>IF(A341=A342,_xll.ciqfunctions.udf.CIQ(A333,"IQ_TOTAL_OUTSTANDING_FILING_DATE",IQ_FY-8), _xll.ciqfunctions.udf.CIQ(A333, "IQ_TOTAL_OUTSTANDING_FILING_DATE",IQ_FY-7))</f>
        <v>155.995</v>
      </c>
      <c r="J335" s="17">
        <f>IF(A341=A342,_xll.ciqfunctions.udf.CIQ(A333,"IQ_CASH_OPER",IQ_FY-8), _xll.ciqfunctions.udf.CIQ(A333, "IQ_CASH_OPER",IQ_FY-7))</f>
        <v>759.69600000000003</v>
      </c>
      <c r="K335" s="17">
        <f>IF(A341=A342,_xll.ciqfunctions.udf.CIQ(A333,"IQ_CAPEX",IQ_FY-8), _xll.ciqfunctions.udf.CIQ(A333, "IQ_CAPEX",IQ_FY-7))</f>
        <v>-31.741</v>
      </c>
      <c r="L335" s="15">
        <f t="shared" si="88"/>
        <v>4.6665277733260684</v>
      </c>
      <c r="M335" s="17">
        <f>IF(A341=A342,_xll.ciqfunctions.udf.CIQ(A333,"IQ_TOTAL_DEBT_ISSUED",IQ_FY-8), _xll.ciqfunctions.udf.CIQ(A333, "IQ_TOTAL_DEBT_ISSUED",IQ_FY-7))</f>
        <v>0</v>
      </c>
      <c r="N335" s="17">
        <f>IF(A341=A342,_xll.ciqfunctions.udf.CIQ(A333,"IQ_TOTAL_DEBT_REPAID",IQ_FY-8), _xll.ciqfunctions.udf.CIQ(A333, "IQ_TOTAL_DEBT_REPAID",IQ_FY-7))</f>
        <v>-135</v>
      </c>
      <c r="O335" s="15">
        <f t="shared" si="89"/>
        <v>-0.86541235296003072</v>
      </c>
      <c r="P335" s="15">
        <f t="shared" si="90"/>
        <v>3.8011154203660378</v>
      </c>
      <c r="Q335" s="25" t="s">
        <v>21</v>
      </c>
      <c r="R335" s="38" t="s">
        <v>49</v>
      </c>
      <c r="S335" s="2">
        <f>(R332*I343)/1000</f>
        <v>76.347326516999999</v>
      </c>
      <c r="U335" s="25" t="s">
        <v>59</v>
      </c>
      <c r="V335" s="38" t="s">
        <v>49</v>
      </c>
      <c r="W335" s="2">
        <f>(V332*I343)/1000</f>
        <v>76.347326516999999</v>
      </c>
      <c r="Y335" s="25" t="s">
        <v>46</v>
      </c>
      <c r="Z335" s="38" t="s">
        <v>49</v>
      </c>
      <c r="AA335" s="2">
        <f>(Z332*I343)/1000</f>
        <v>76.347326516999999</v>
      </c>
    </row>
    <row r="336" spans="1:27">
      <c r="A336" s="18"/>
      <c r="B336" s="13">
        <v>4</v>
      </c>
      <c r="C336" s="14" t="s">
        <v>22</v>
      </c>
      <c r="D336" s="15" cm="1">
        <f t="array" ref="D336">_xlfn.SINGLE(IF(A341=A342,_xll.ciqfunctions.udf.CIQ(A333,"IQ_TOTAL_REV",IQ_FY-7)/I336, _xll.ciqfunctions.udf.CIQ(A333, "IQ_TOTAL_REV",IQ_FY-6)/I336))</f>
        <v>22.188247136803128</v>
      </c>
      <c r="E336" s="16">
        <f t="shared" si="91"/>
        <v>0.15974660088182621</v>
      </c>
      <c r="F336" s="15">
        <f>IF(A341=A342,_xll.ciqfunctions.udf.CIQ(A333,"IQ_DILUT_EPS_EXCL",IQ_FY-7), _xll.ciqfunctions.udf.CIQ(A333, "IQ_DILUT_EPS_EXCL",IQ_FY-6))</f>
        <v>5.88</v>
      </c>
      <c r="G336" s="15">
        <f>IF(A341=A342,_xll.ciqfunctions.udf.CIQ(A333,"IQ_EBITDA_MARGIN",IQ_FY-7), _xll.ciqfunctions.udf.CIQ(A333, "IQ_EBITDA_MARGIN",IQ_FY-6))</f>
        <v>38.335900000000002</v>
      </c>
      <c r="H336" s="15">
        <f>IF(A341=A342,_xll.ciqfunctions.udf.CIQ(A333,"IQ_TOTAL_DIV_PAID_CF",IQ_FY-7)/-I336, _xll.ciqfunctions.udf.CIQ(A333, "IQ_TOTAL_DIV_PAID_CF",IQ_FY-6)/-I336)</f>
        <v>2.1384347223757754</v>
      </c>
      <c r="I336" s="17">
        <f>IF(A341=A342,_xll.ciqfunctions.udf.CIQ(A333,"IQ_TOTAL_OUTSTANDING_FILING_DATE",IQ_FY-7), _xll.ciqfunctions.udf.CIQ(A333, "IQ_TOTAL_OUTSTANDING_FILING_DATE",IQ_FY-6))</f>
        <v>156.84041999999999</v>
      </c>
      <c r="J336" s="17">
        <f>IF(A341=A342,_xll.ciqfunctions.udf.CIQ(A333,"IQ_CASH_OPER",IQ_FY-7), _xll.ciqfunctions.udf.CIQ(A333, "IQ_CASH_OPER",IQ_FY-6))</f>
        <v>1079.665</v>
      </c>
      <c r="K336" s="17">
        <f>IF(A341=A342,_xll.ciqfunctions.udf.CIQ(A333,"IQ_CAPEX",IQ_FY-7), _xll.ciqfunctions.udf.CIQ(A333, "IQ_CAPEX",IQ_FY-6))</f>
        <v>-38.594000000000001</v>
      </c>
      <c r="L336" s="15">
        <f t="shared" si="88"/>
        <v>6.6377723293523436</v>
      </c>
      <c r="M336" s="17">
        <f>IF(A341=A342,_xll.ciqfunctions.udf.CIQ(A333,"IQ_TOTAL_DEBT_ISSUED",IQ_FY-7), _xll.ciqfunctions.udf.CIQ(A333, "IQ_TOTAL_DEBT_ISSUED",IQ_FY-6))</f>
        <v>0</v>
      </c>
      <c r="N336" s="17">
        <f>IF(A341=A342,_xll.ciqfunctions.udf.CIQ(A333,"IQ_TOTAL_DEBT_REPAID",IQ_FY-7), _xll.ciqfunctions.udf.CIQ(A333, "IQ_TOTAL_DEBT_REPAID",IQ_FY-6))</f>
        <v>-130</v>
      </c>
      <c r="O336" s="15">
        <f t="shared" si="89"/>
        <v>-0.8288679665611709</v>
      </c>
      <c r="P336" s="15">
        <f t="shared" si="90"/>
        <v>5.8089043627911732</v>
      </c>
      <c r="Q336" s="25" t="s">
        <v>23</v>
      </c>
      <c r="R336" s="38" t="s">
        <v>24</v>
      </c>
      <c r="S336" s="1">
        <f>R332/(AVERAGE(H338:H343)*(1+H344)/(0.5-H344))</f>
        <v>44.422568608014622</v>
      </c>
      <c r="U336" s="25" t="s">
        <v>40</v>
      </c>
      <c r="V336" s="38" t="s">
        <v>24</v>
      </c>
      <c r="W336" s="1">
        <f>V332/(AVERAGE(H338:H343)*(1+H344)/(0.5-H344))</f>
        <v>44.422568608014622</v>
      </c>
      <c r="Y336" s="25" t="s">
        <v>47</v>
      </c>
      <c r="Z336" s="38" t="s">
        <v>24</v>
      </c>
      <c r="AA336" s="1">
        <f>Z332/(AVERAGE(H338:H343)*(1+H344)/(0.5-H344))</f>
        <v>44.422568608014622</v>
      </c>
    </row>
    <row r="337" spans="1:27">
      <c r="B337" s="13">
        <v>5</v>
      </c>
      <c r="C337" s="14" t="s">
        <v>25</v>
      </c>
      <c r="D337" s="15" cm="1">
        <f t="array" ref="D337">_xlfn.SINGLE(IF(A341=A342,_xll.ciqfunctions.udf.CIQ(A333,"IQ_TOTAL_REV",IQ_FY-6)/I337, _xll.ciqfunctions.udf.CIQ(A333, "IQ_TOTAL_REV",IQ_FY-5)/I337))</f>
        <v>25.855320790812527</v>
      </c>
      <c r="E337" s="16">
        <f t="shared" si="91"/>
        <v>0.16527099375628057</v>
      </c>
      <c r="F337" s="15">
        <f>IF(A341=A342,_xll.ciqfunctions.udf.CIQ(A333,"IQ_DILUT_EPS_EXCL",IQ_FY-6), _xll.ciqfunctions.udf.CIQ(A333, "IQ_DILUT_EPS_EXCL",IQ_FY-5))</f>
        <v>5.0999999999999996</v>
      </c>
      <c r="G337" s="15">
        <f>IF(A341=A342,_xll.ciqfunctions.udf.CIQ(A333,"IQ_EBITDA_MARGIN",IQ_FY-6), _xll.ciqfunctions.udf.CIQ(A333, "IQ_EBITDA_MARGIN",IQ_FY-5))</f>
        <v>39.633299999999998</v>
      </c>
      <c r="H337" s="15">
        <f>IF(A341=A342,_xll.ciqfunctions.udf.CIQ(A333,"IQ_TOTAL_DIV_PAID_CF",IQ_FY-6)/-I337, _xll.ciqfunctions.udf.CIQ(A333, "IQ_TOTAL_DIV_PAID_CF",IQ_FY-5)/-I337)</f>
        <v>2.5342589160546791</v>
      </c>
      <c r="I337" s="17">
        <f>IF(A341=A342,_xll.ciqfunctions.udf.CIQ(A333,"IQ_TOTAL_OUTSTANDING_FILING_DATE",IQ_FY-6), _xll.ciqfunctions.udf.CIQ(A333, "IQ_TOTAL_OUTSTANDING_FILING_DATE",IQ_FY-5))</f>
        <v>156.12651</v>
      </c>
      <c r="J337" s="17">
        <f>IF(A341=A342,_xll.ciqfunctions.udf.CIQ(A333,"IQ_CASH_OPER",IQ_FY-6), _xll.ciqfunctions.udf.CIQ(A333, "IQ_CASH_OPER",IQ_FY-5))</f>
        <v>1229.1199999999999</v>
      </c>
      <c r="K337" s="17">
        <f>IF(A341=A342,_xll.ciqfunctions.udf.CIQ(A333,"IQ_CAPEX",IQ_FY-6), _xll.ciqfunctions.udf.CIQ(A333, "IQ_CAPEX",IQ_FY-5))</f>
        <v>-66.947000000000003</v>
      </c>
      <c r="L337" s="15">
        <f t="shared" si="88"/>
        <v>7.4437902954469415</v>
      </c>
      <c r="M337" s="17">
        <f>IF(A341=A342,_xll.ciqfunctions.udf.CIQ(A333,"IQ_TOTAL_DEBT_ISSUED",IQ_FY-6), _xll.ciqfunctions.udf.CIQ(A333, "IQ_TOTAL_DEBT_ISSUED",IQ_FY-5))</f>
        <v>248.69300000000001</v>
      </c>
      <c r="N337" s="17">
        <f>IF(A341=A342,_xll.ciqfunctions.udf.CIQ(A333,"IQ_TOTAL_DEBT_REPAID",IQ_FY-6), _xll.ciqfunctions.udf.CIQ(A333, "IQ_TOTAL_DEBT_REPAID",IQ_FY-5))</f>
        <v>-946.25</v>
      </c>
      <c r="O337" s="15">
        <f t="shared" si="89"/>
        <v>-4.4678959390048494</v>
      </c>
      <c r="P337" s="15">
        <f t="shared" si="90"/>
        <v>2.9758943564420921</v>
      </c>
      <c r="Q337" s="18"/>
      <c r="R337" s="38" t="s">
        <v>50</v>
      </c>
      <c r="S337" s="3">
        <f>I344</f>
        <v>-3.0619513847059521E-2</v>
      </c>
      <c r="U337" s="18"/>
      <c r="V337" s="38" t="s">
        <v>50</v>
      </c>
      <c r="W337" s="3">
        <f>I344</f>
        <v>-3.0619513847059521E-2</v>
      </c>
      <c r="Y337" s="18"/>
      <c r="Z337" s="38" t="s">
        <v>50</v>
      </c>
      <c r="AA337" s="3">
        <f>I344</f>
        <v>-3.0619513847059521E-2</v>
      </c>
    </row>
    <row r="338" spans="1:27">
      <c r="B338" s="13">
        <v>6</v>
      </c>
      <c r="C338" s="14" t="s">
        <v>26</v>
      </c>
      <c r="D338" s="15" cm="1">
        <f t="array" ref="D338">_xlfn.SINGLE(IF(A341=A342,_xll.ciqfunctions.udf.CIQ(A333,"IQ_TOTAL_REV",IQ_FY-5)/I338, _xll.ciqfunctions.udf.CIQ(A333, "IQ_TOTAL_REV",IQ_FY-4)/I338))</f>
        <v>28.689063108788087</v>
      </c>
      <c r="E338" s="16">
        <f t="shared" si="91"/>
        <v>0.10959996748454602</v>
      </c>
      <c r="F338" s="15">
        <f>IF(A341=A342,_xll.ciqfunctions.udf.CIQ(A333,"IQ_DILUT_EPS_EXCL",IQ_FY-5), _xll.ciqfunctions.udf.CIQ(A333, "IQ_DILUT_EPS_EXCL",IQ_FY-4))</f>
        <v>7.49</v>
      </c>
      <c r="G338" s="15">
        <f>IF(A341=A342,_xll.ciqfunctions.udf.CIQ(A333,"IQ_EBITDA_MARGIN",IQ_FY-5), _xll.ciqfunctions.udf.CIQ(A333, "IQ_EBITDA_MARGIN",IQ_FY-4))</f>
        <v>35.476100000000002</v>
      </c>
      <c r="H338" s="15">
        <f>IF(A341=A342,_xll.ciqfunctions.udf.CIQ(A333,"IQ_TOTAL_DIV_PAID_CF",IQ_FY-5)/-I338, _xll.ciqfunctions.udf.CIQ(A333, "IQ_TOTAL_DIV_PAID_CF",IQ_FY-4)/-I338)</f>
        <v>2.9472242638344124</v>
      </c>
      <c r="I338" s="17">
        <f>IF(A341=A342,_xll.ciqfunctions.udf.CIQ(A333,"IQ_TOTAL_OUTSTANDING_FILING_DATE",IQ_FY-5), _xll.ciqfunctions.udf.CIQ(A333, "IQ_TOTAL_OUTSTANDING_FILING_DATE",IQ_FY-4))</f>
        <v>159.25595000000001</v>
      </c>
      <c r="J338" s="17">
        <f>IF(A341=A342,_xll.ciqfunctions.udf.CIQ(A333,"IQ_CASH_OPER",IQ_FY-5), _xll.ciqfunctions.udf.CIQ(A333, "IQ_CASH_OPER",IQ_FY-4))</f>
        <v>1152.6320000000001</v>
      </c>
      <c r="K338" s="17">
        <f>IF(A341=A342,_xll.ciqfunctions.udf.CIQ(A333,"IQ_CAPEX",IQ_FY-5), _xll.ciqfunctions.udf.CIQ(A333, "IQ_CAPEX",IQ_FY-4))</f>
        <v>-130.49799999999999</v>
      </c>
      <c r="L338" s="15">
        <f t="shared" si="88"/>
        <v>6.4181840615688142</v>
      </c>
      <c r="M338" s="17">
        <f>IF(A341=A342,_xll.ciqfunctions.udf.CIQ(A333,"IQ_TOTAL_DEBT_ISSUED",IQ_FY-5), _xll.ciqfunctions.udf.CIQ(A333, "IQ_TOTAL_DEBT_ISSUED",IQ_FY-4))</f>
        <v>2083.7849999999999</v>
      </c>
      <c r="N338" s="17">
        <f>IF(A341=A342,_xll.ciqfunctions.udf.CIQ(A333,"IQ_TOTAL_DEBT_REPAID",IQ_FY-5), _xll.ciqfunctions.udf.CIQ(A333, "IQ_TOTAL_DEBT_REPAID",IQ_FY-4))</f>
        <v>-902.47400000000005</v>
      </c>
      <c r="O338" s="15">
        <f t="shared" si="89"/>
        <v>7.4176883187095966</v>
      </c>
      <c r="P338" s="15">
        <f t="shared" si="90"/>
        <v>13.83587238027841</v>
      </c>
      <c r="Q338" s="25" t="s">
        <v>27</v>
      </c>
      <c r="R338" s="38" t="s">
        <v>51</v>
      </c>
      <c r="S338" s="4">
        <f>AVERAGE(F338:F343)/AVERAGE(D338:D343)</f>
        <v>0.29593644810522013</v>
      </c>
      <c r="U338" s="25" t="s">
        <v>58</v>
      </c>
      <c r="V338" s="38" t="s">
        <v>51</v>
      </c>
      <c r="W338" s="4">
        <f>AVERAGE(F338:F343)/AVERAGE(D338:D343)</f>
        <v>0.29593644810522013</v>
      </c>
      <c r="Y338" s="25" t="s">
        <v>56</v>
      </c>
      <c r="Z338" s="38" t="s">
        <v>51</v>
      </c>
      <c r="AA338" s="4">
        <f>AVERAGE(F338:F343)/AVERAGE(D338:D343)</f>
        <v>0.29593644810522013</v>
      </c>
    </row>
    <row r="339" spans="1:27">
      <c r="A339" s="18"/>
      <c r="B339" s="13">
        <v>7</v>
      </c>
      <c r="C339" s="14" t="s">
        <v>28</v>
      </c>
      <c r="D339" s="15" cm="1">
        <f t="array" ref="D339">_xlfn.SINGLE(IF(A341=A342,_xll.ciqfunctions.udf.CIQ(A333,"IQ_TOTAL_REV",IQ_FY-4)/I339, _xll.ciqfunctions.udf.CIQ(A333, "IQ_TOTAL_REV",IQ_FY-3)/I339))</f>
        <v>37.349609009153653</v>
      </c>
      <c r="E339" s="16">
        <f t="shared" si="91"/>
        <v>0.30187621908477907</v>
      </c>
      <c r="F339" s="15">
        <f>IF(A341=A342,_xll.ciqfunctions.udf.CIQ(A333,"IQ_DILUT_EPS_EXCL",IQ_FY-4), _xll.ciqfunctions.udf.CIQ(A333, "IQ_DILUT_EPS_EXCL",IQ_FY-3))</f>
        <v>7.7</v>
      </c>
      <c r="G339" s="15">
        <f>IF(A341=A342,_xll.ciqfunctions.udf.CIQ(A333,"IQ_EBITDA_MARGIN",IQ_FY-4), _xll.ciqfunctions.udf.CIQ(A333, "IQ_EBITDA_MARGIN",IQ_FY-3))</f>
        <v>36.254100000000001</v>
      </c>
      <c r="H339" s="15">
        <f>IF(A341=A342,_xll.ciqfunctions.udf.CIQ(A333,"IQ_TOTAL_DIV_PAID_CF",IQ_FY-4)/-I339, _xll.ciqfunctions.udf.CIQ(A333, "IQ_TOTAL_DIV_PAID_CF",IQ_FY-3)/-I339)</f>
        <v>3.3604538848990466</v>
      </c>
      <c r="I339" s="17">
        <f>IF(A341=A342,_xll.ciqfunctions.udf.CIQ(A333,"IQ_TOTAL_OUTSTANDING_FILING_DATE",IQ_FY-4), _xll.ciqfunctions.udf.CIQ(A333, "IQ_TOTAL_OUTSTANDING_FILING_DATE",IQ_FY-3))</f>
        <v>155.46144000000001</v>
      </c>
      <c r="J339" s="17">
        <f>IF(A341=A342,_xll.ciqfunctions.udf.CIQ(A333,"IQ_CASH_OPER",IQ_FY-4), _xll.ciqfunctions.udf.CIQ(A333, "IQ_CASH_OPER",IQ_FY-3))</f>
        <v>1778.85</v>
      </c>
      <c r="K339" s="17">
        <f>IF(A341=A342,_xll.ciqfunctions.udf.CIQ(A333,"IQ_CAPEX",IQ_FY-4), _xll.ciqfunctions.udf.CIQ(A333, "IQ_CAPEX",IQ_FY-3))</f>
        <v>-152.67500000000001</v>
      </c>
      <c r="L339" s="15">
        <f t="shared" si="88"/>
        <v>10.460310929835719</v>
      </c>
      <c r="M339" s="17">
        <f>IF(A341=A342,_xll.ciqfunctions.udf.CIQ(A333,"IQ_TOTAL_DEBT_ISSUED",IQ_FY-4), _xll.ciqfunctions.udf.CIQ(A333, "IQ_TOTAL_DEBT_ISSUED",IQ_FY-3))</f>
        <v>1191.8320000000001</v>
      </c>
      <c r="N339" s="17">
        <f>IF(A341=A342,_xll.ciqfunctions.udf.CIQ(A333,"IQ_TOTAL_DEBT_REPAID",IQ_FY-4), _xll.ciqfunctions.udf.CIQ(A333, "IQ_TOTAL_DEBT_REPAID",IQ_FY-3))</f>
        <v>-1171.0329999999999</v>
      </c>
      <c r="O339" s="15">
        <f t="shared" si="89"/>
        <v>0.13378880319132644</v>
      </c>
      <c r="P339" s="15">
        <f t="shared" si="90"/>
        <v>10.594099733027045</v>
      </c>
      <c r="Q339" s="18"/>
      <c r="R339" s="38" t="s">
        <v>29</v>
      </c>
      <c r="S339" s="4">
        <f>(AVERAGE(P338:P343)/_xlfn.STDEV.P(P338:P343))/(IF(A341=A342,(_xlfn.SINGLE(_xll.ciqfunctions.udf.CIQ(A333,"IQ_total_assets",IQ_FY)) - _xlfn.SINGLE(_xll.ciqfunctions.udf.CIQ(A333,"iq_gw_intan", IQ_FY)))/I343, (_xlfn.SINGLE(_xll.ciqfunctions.udf.CIQ(A333, "IQ_total_assets",IQ_LTM))-_xlfn.SINGLE(_xll.ciqfunctions.udf.CIQ(A333,"iq_gw_intan",IQ_LTM)))/I343))</f>
        <v>2.2116012404013573E-2</v>
      </c>
      <c r="U339" s="18"/>
      <c r="V339" s="38" t="s">
        <v>29</v>
      </c>
      <c r="W339" s="4">
        <f>(AVERAGE(P338:P343)/_xlfn.STDEV.P(P338:P343))/(IF(A341=A342,(_xlfn.SINGLE(_xll.ciqfunctions.udf.CIQ(A333,"IQ_total_assets",IQ_FY)) - _xlfn.SINGLE(_xll.ciqfunctions.udf.CIQ(A333,"iq_gw_intan", IQ_FY)))/I343, (_xlfn.SINGLE(_xll.ciqfunctions.udf.CIQ(A333, "IQ_total_assets",IQ_LTM))-_xlfn.SINGLE(_xll.ciqfunctions.udf.CIQ(A333,"iq_gw_intan",IQ_LTM)))/I343))</f>
        <v>2.2116012404013573E-2</v>
      </c>
      <c r="Y339" s="18"/>
      <c r="Z339" s="38" t="s">
        <v>29</v>
      </c>
      <c r="AA339" s="4">
        <f>(AVERAGE(P338:P343)/_xlfn.STDEV.P(P338:P343))/(IF(A341=A342,(_xlfn.SINGLE(_xll.ciqfunctions.udf.CIQ(A333,"IQ_total_assets",IQ_FY)) - _xlfn.SINGLE(_xll.ciqfunctions.udf.CIQ(A333,"iq_gw_intan", IQ_FY)))/I343, (_xlfn.SINGLE(_xll.ciqfunctions.udf.CIQ(A333, "IQ_total_assets",IQ_LTM))-_xlfn.SINGLE(_xll.ciqfunctions.udf.CIQ(A333,"iq_gw_intan",IQ_LTM)))/I343))</f>
        <v>2.2116012404013573E-2</v>
      </c>
    </row>
    <row r="340" spans="1:27">
      <c r="A340" s="18"/>
      <c r="B340" s="13">
        <v>8</v>
      </c>
      <c r="C340" s="14" t="s">
        <v>30</v>
      </c>
      <c r="D340" s="15" cm="1">
        <f t="array" ref="D340">_xlfn.SINGLE(IF(A341=A342,_xll.ciqfunctions.udf.CIQ(A333,"IQ_TOTAL_REV",IQ_FY-3)/I340, _xll.ciqfunctions.udf.CIQ(A333, "IQ_TOTAL_REV",IQ_FY-2)/I340))</f>
        <v>45.298301998020655</v>
      </c>
      <c r="E340" s="16">
        <f t="shared" si="91"/>
        <v>0.21281863986632188</v>
      </c>
      <c r="F340" s="15">
        <f>IF(A341=A342,_xll.ciqfunctions.udf.CIQ(A333,"IQ_DILUT_EPS_EXCL",IQ_FY-3), _xll.ciqfunctions.udf.CIQ(A333, "IQ_DILUT_EPS_EXCL",IQ_FY-2))</f>
        <v>13.37</v>
      </c>
      <c r="G340" s="15">
        <f>IF(A341=A342,_xll.ciqfunctions.udf.CIQ(A333,"IQ_EBITDA_MARGIN",IQ_FY-3), _xll.ciqfunctions.udf.CIQ(A333, "IQ_EBITDA_MARGIN",IQ_FY-2))</f>
        <v>40.702100000000002</v>
      </c>
      <c r="H340" s="15">
        <f>IF(A341=A342,_xll.ciqfunctions.udf.CIQ(A333,"IQ_TOTAL_DIV_PAID_CF",IQ_FY-3)/-I340, _xll.ciqfunctions.udf.CIQ(A333, "IQ_TOTAL_DIV_PAID_CF",IQ_FY-2)/-I340)</f>
        <v>3.6621932737259222</v>
      </c>
      <c r="I340" s="17">
        <f>IF(A341=A342,_xll.ciqfunctions.udf.CIQ(A333,"IQ_TOTAL_OUTSTANDING_FILING_DATE",IQ_FY-3), _xll.ciqfunctions.udf.CIQ(A333, "IQ_TOTAL_OUTSTANDING_FILING_DATE",IQ_FY-2))</f>
        <v>152.73715999999999</v>
      </c>
      <c r="J340" s="17">
        <f>IF(A341=A342,_xll.ciqfunctions.udf.CIQ(A333,"IQ_CASH_OPER",IQ_FY-3), _xll.ciqfunctions.udf.CIQ(A333, "IQ_CASH_OPER",IQ_FY-2))</f>
        <v>2185.0259999999998</v>
      </c>
      <c r="K340" s="17">
        <f>IF(A341=A342,_xll.ciqfunctions.udf.CIQ(A333,"IQ_CAPEX",IQ_FY-3), _xll.ciqfunctions.udf.CIQ(A333, "IQ_CAPEX",IQ_FY-2))</f>
        <v>-231.62799999999999</v>
      </c>
      <c r="L340" s="15">
        <f t="shared" si="88"/>
        <v>12.789277998883835</v>
      </c>
      <c r="M340" s="17">
        <f>IF(A341=A342,_xll.ciqfunctions.udf.CIQ(A333,"IQ_TOTAL_DEBT_ISSUED",IQ_FY-3), _xll.ciqfunctions.udf.CIQ(A333, "IQ_TOTAL_DEBT_ISSUED",IQ_FY-2))</f>
        <v>40.343000000000004</v>
      </c>
      <c r="N340" s="17">
        <f>IF(A341=A342,_xll.ciqfunctions.udf.CIQ(A333,"IQ_TOTAL_DEBT_REPAID",IQ_FY-3), _xll.ciqfunctions.udf.CIQ(A333, "IQ_TOTAL_DEBT_REPAID",IQ_FY-2))</f>
        <v>-70</v>
      </c>
      <c r="O340" s="15">
        <f t="shared" si="89"/>
        <v>-0.19417016788841693</v>
      </c>
      <c r="P340" s="15">
        <f t="shared" si="90"/>
        <v>12.595107830995417</v>
      </c>
      <c r="Q340" s="18"/>
      <c r="R340" s="39" t="s">
        <v>31</v>
      </c>
      <c r="S340" s="5">
        <f>IF(NOT(D333&gt;0),FALSE,SLOPE(G333:G343,B333:B343))</f>
        <v>1.3316881818181814</v>
      </c>
      <c r="U340" s="18"/>
      <c r="V340" s="39" t="s">
        <v>31</v>
      </c>
      <c r="W340" s="5">
        <f>IF(NOT(D333&gt;0),FALSE,SLOPE(G333:G343,B333:B343))</f>
        <v>1.3316881818181814</v>
      </c>
      <c r="Y340" s="18"/>
      <c r="Z340" s="39" t="s">
        <v>31</v>
      </c>
      <c r="AA340" s="5">
        <f>IF(NOT(L333&gt;0),FALSE,SLOPE(O333:O343,J333:J343))</f>
        <v>-6.890082949040435E-5</v>
      </c>
    </row>
    <row r="341" spans="1:27">
      <c r="A341" s="19">
        <f>_xll.ciqfunctions.udf.CIQ(A333,"IQ_TOTAL_REV",IQ_FY)</f>
        <v>10496.056</v>
      </c>
      <c r="B341" s="13">
        <v>9</v>
      </c>
      <c r="C341" s="14" t="s">
        <v>32</v>
      </c>
      <c r="D341" s="15" cm="1">
        <f t="array" ref="D341">_xlfn.SINGLE(IF(A341=A342,_xll.ciqfunctions.udf.CIQ(A333,"IQ_TOTAL_REV",IQ_FY-2)/I341, _xll.ciqfunctions.udf.CIQ(A333, "IQ_TOTAL_REV",IQ_FY-1)/I341))</f>
        <v>64.962182249302529</v>
      </c>
      <c r="E341" s="16">
        <f t="shared" si="91"/>
        <v>0.43409751323882079</v>
      </c>
      <c r="F341" s="15">
        <f>IF(A341=A342,_xll.ciqfunctions.udf.CIQ(A333,"IQ_DILUT_EPS_EXCL",IQ_FY-2), _xll.ciqfunctions.udf.CIQ(A333, "IQ_DILUT_EPS_EXCL",IQ_FY-1))</f>
        <v>21.92</v>
      </c>
      <c r="G341" s="15">
        <f>IF(A341=A342,_xll.ciqfunctions.udf.CIQ(A333,"IQ_EBITDA_MARGIN",IQ_FY-2), _xll.ciqfunctions.udf.CIQ(A333, "IQ_EBITDA_MARGIN",IQ_FY-1))</f>
        <v>43.584499999999998</v>
      </c>
      <c r="H341" s="15">
        <f>IF(A341=A342,_xll.ciqfunctions.udf.CIQ(A333,"IQ_TOTAL_DIV_PAID_CF",IQ_FY-2)/-I341, _xll.ciqfunctions.udf.CIQ(A333, "IQ_TOTAL_DIV_PAID_CF",IQ_FY-1)/-I341)</f>
        <v>4.5028983007364127</v>
      </c>
      <c r="I341" s="17">
        <f>IF(A341=A342,_xll.ciqfunctions.udf.CIQ(A333,"IQ_TOTAL_OUTSTANDING_FILING_DATE",IQ_FY-2), _xll.ciqfunctions.udf.CIQ(A333, "IQ_TOTAL_OUTSTANDING_FILING_DATE",IQ_FY-1))</f>
        <v>141.80377999999999</v>
      </c>
      <c r="J341" s="17">
        <f>IF(A341=A342,_xll.ciqfunctions.udf.CIQ(A333,"IQ_CASH_OPER",IQ_FY-2), _xll.ciqfunctions.udf.CIQ(A333, "IQ_CASH_OPER",IQ_FY-1))</f>
        <v>3312.7020000000002</v>
      </c>
      <c r="K341" s="17">
        <f>IF(A341=A342,_xll.ciqfunctions.udf.CIQ(A333,"IQ_CAPEX",IQ_FY-2), _xll.ciqfunctions.udf.CIQ(A333, "IQ_CAPEX",IQ_FY-1))</f>
        <v>-307.32</v>
      </c>
      <c r="L341" s="15">
        <f t="shared" si="88"/>
        <v>21.193948426480596</v>
      </c>
      <c r="M341" s="17">
        <f>IF(A341=A342,_xll.ciqfunctions.udf.CIQ(A333,"IQ_TOTAL_DEBT_ISSUED",IQ_FY-2), _xll.ciqfunctions.udf.CIQ(A333, "IQ_TOTAL_DEBT_ISSUED",IQ_FY-1))</f>
        <v>3842.4090000000001</v>
      </c>
      <c r="N341" s="17">
        <f>IF(A341=A342,_xll.ciqfunctions.udf.CIQ(A333,"IQ_TOTAL_DEBT_REPAID",IQ_FY-2), _xll.ciqfunctions.udf.CIQ(A333, "IQ_TOTAL_DEBT_REPAID",IQ_FY-1))</f>
        <v>-620</v>
      </c>
      <c r="O341" s="15">
        <f t="shared" si="89"/>
        <v>22.724422437822181</v>
      </c>
      <c r="P341" s="15">
        <f t="shared" si="90"/>
        <v>43.918370864302773</v>
      </c>
      <c r="Q341" s="25" t="s">
        <v>33</v>
      </c>
      <c r="R341" s="38" t="s">
        <v>52</v>
      </c>
      <c r="S341" s="4">
        <f>(AVERAGE(O338:O343)/AVERAGE(P338:P343))</f>
        <v>0.17670580180370324</v>
      </c>
      <c r="U341" s="25" t="s">
        <v>54</v>
      </c>
      <c r="V341" s="38" t="s">
        <v>52</v>
      </c>
      <c r="W341" s="4">
        <f>(AVERAGE(O338:O343)/AVERAGE(P338:P343))</f>
        <v>0.17670580180370324</v>
      </c>
      <c r="Y341" s="25" t="s">
        <v>60</v>
      </c>
      <c r="Z341" s="38" t="s">
        <v>52</v>
      </c>
      <c r="AA341" s="4">
        <f>(AVERAGE(O338:O343)/AVERAGE(P338:P343))</f>
        <v>0.17670580180370324</v>
      </c>
    </row>
    <row r="342" spans="1:27">
      <c r="A342" s="19">
        <f>_xll.ciqfunctions.udf.CIQ(A333,"IQ_TOTAL_REV",IQ_LTM)</f>
        <v>10168.588</v>
      </c>
      <c r="B342" s="13">
        <v>10</v>
      </c>
      <c r="C342" s="14" t="s">
        <v>34</v>
      </c>
      <c r="D342" s="15" cm="1">
        <f t="array" ref="D342">_xlfn.SINGLE(IF(A341=A342,_xll.ciqfunctions.udf.CIQ(A333,"IQ_TOTAL_REV",IQ_FY-1)/I342, _xll.ciqfunctions.udf.CIQ(A333, "IQ_TOTAL_REV",IQ_FY)/I342))</f>
        <v>76.770411249789447</v>
      </c>
      <c r="E342" s="16">
        <f t="shared" si="91"/>
        <v>0.18177081790711699</v>
      </c>
      <c r="F342" s="15">
        <f>IF(A341=A342,_xll.ciqfunctions.udf.CIQ(A333,"IQ_DILUT_EPS_EXCL",IQ_FY-1), _xll.ciqfunctions.udf.CIQ(A333, "IQ_DILUT_EPS_EXCL",IQ_FY))</f>
        <v>24.15</v>
      </c>
      <c r="G342" s="15">
        <f>IF(A341=A342,_xll.ciqfunctions.udf.CIQ(A333,"IQ_EBITDA_MARGIN",IQ_FY-1), _xll.ciqfunctions.udf.CIQ(A333, "IQ_EBITDA_MARGIN",IQ_FY))</f>
        <v>41.986199999999997</v>
      </c>
      <c r="H342" s="15">
        <f>IF(A341=A342,_xll.ciqfunctions.udf.CIQ(A333,"IQ_TOTAL_DIV_PAID_CF",IQ_FY-1)/-I342, _xll.ciqfunctions.udf.CIQ(A333, "IQ_TOTAL_DIV_PAID_CF",IQ_FY)/-I342)</f>
        <v>5.3580721542930752</v>
      </c>
      <c r="I342" s="17">
        <f>IF(A341=A342,_xll.ciqfunctions.udf.CIQ(A333,"IQ_TOTAL_OUTSTANDING_FILING_DATE",IQ_FY-1), _xll.ciqfunctions.udf.CIQ(A333, "IQ_TOTAL_OUTSTANDING_FILING_DATE",IQ_FY))</f>
        <v>136.72006999999999</v>
      </c>
      <c r="J342" s="17">
        <f>IF(A341=A342,_xll.ciqfunctions.udf.CIQ(A333,"IQ_CASH_OPER",IQ_FY-1), _xll.ciqfunctions.udf.CIQ(A333, "IQ_CASH_OPER",IQ_FY))</f>
        <v>3669.8049999999998</v>
      </c>
      <c r="K342" s="17">
        <f>IF(A341=A342,_xll.ciqfunctions.udf.CIQ(A333,"IQ_CAPEX",IQ_FY-1), _xll.ciqfunctions.udf.CIQ(A333, "IQ_CAPEX",IQ_FY))</f>
        <v>-341.59100000000001</v>
      </c>
      <c r="L342" s="15">
        <f t="shared" si="88"/>
        <v>24.343273083461703</v>
      </c>
      <c r="M342" s="17">
        <f>IF(A341=A342,_xll.ciqfunctions.udf.CIQ(A333,"IQ_TOTAL_DEBT_ISSUED",IQ_FY-1), _xll.ciqfunctions.udf.CIQ(A333, "IQ_TOTAL_DEBT_ISSUED",IQ_FY))</f>
        <v>300</v>
      </c>
      <c r="N342" s="17">
        <f>IF(A341=A342,_xll.ciqfunctions.udf.CIQ(A333,"IQ_TOTAL_DEBT_REPAID",IQ_FY-1), _xll.ciqfunctions.udf.CIQ(A333, "IQ_TOTAL_DEBT_REPAID",IQ_FY))</f>
        <v>-1087.25</v>
      </c>
      <c r="O342" s="15">
        <f t="shared" si="89"/>
        <v>-5.7581158347856318</v>
      </c>
      <c r="P342" s="15">
        <f t="shared" si="90"/>
        <v>18.585157248676072</v>
      </c>
      <c r="Q342" s="25" t="s">
        <v>44</v>
      </c>
      <c r="R342" s="38" t="s">
        <v>35</v>
      </c>
      <c r="S342" s="1">
        <f>_xll.ciqfunctions.udf.CIQ(A333,"IQ_TEV_EBITDA")</f>
        <v>18.50245</v>
      </c>
      <c r="U342" s="25" t="s">
        <v>55</v>
      </c>
      <c r="V342" s="38" t="s">
        <v>53</v>
      </c>
      <c r="W342" s="1">
        <f>V332/(AVERAGE(D338:D343)/_xlfn.STDEV.P(E338:E343))</f>
        <v>1.4860298655336661</v>
      </c>
      <c r="Y342" s="25" t="s">
        <v>57</v>
      </c>
      <c r="Z342" s="38" t="s">
        <v>53</v>
      </c>
      <c r="AA342" s="1">
        <f>Z332/(AVERAGE(D338:D343)/_xlfn.STDEV.P(E338:E343))</f>
        <v>1.4860298655336661</v>
      </c>
    </row>
    <row r="343" spans="1:27">
      <c r="B343" s="13">
        <v>11</v>
      </c>
      <c r="C343" s="20" t="s">
        <v>36</v>
      </c>
      <c r="D343" s="21" cm="1">
        <f t="array" ref="D343">_xlfn.SINGLE(IF(A341=A342,_xll.ciqfunctions.udf.CIQ(A333,"IQ_TOTAL_REV",IQ_FY)/I343, _xll.ciqfunctions.udf.CIQ(A333, "IQ_TOTAL_REV",IQ_LTM)/I343))</f>
        <v>74.592234845734012</v>
      </c>
      <c r="E343" s="22">
        <f t="shared" si="91"/>
        <v>-2.8372603045830485E-2</v>
      </c>
      <c r="F343" s="21">
        <f>IF(A341=A342,_xll.ciqfunctions.udf.CIQ(A333,"IQ_DILUT_EPS_EXCL",IQ_FY), _xll.ciqfunctions.udf.CIQ(A333, "IQ_DILUT_EPS_EXCL",IQ_LTM))</f>
        <v>22.337070000000001</v>
      </c>
      <c r="G343" s="21">
        <f>IF(A341=A342,_xll.ciqfunctions.udf.CIQ(A333,"IQ_EBITDA_MARGIN",IQ_FY), _xll.ciqfunctions.udf.CIQ(A333, "IQ_EBITDA_MARGIN",IQ_LTM))</f>
        <v>41.262999999999998</v>
      </c>
      <c r="H343" s="21">
        <f>IF(A341=A342,_xll.ciqfunctions.udf.CIQ(A333,"IQ_TOTAL_DIV_PAID_CF",IQ_FY)/-I343, _xll.ciqfunctions.udf.CIQ(A333, "IQ_TOTAL_DIV_PAID_CF",IQ_LTM)/-I343)</f>
        <v>5.3261923174147388</v>
      </c>
      <c r="I343" s="23">
        <f>IF(A341=A342,_xll.ciqfunctions.udf.CIQ(A333,"IQ_TOTAL_OUTSTANDING_FILING_DATE",IQ_FY),_xll.ciqfunctions.udf.CIQ(A333,"IQ_sharesoutstanding"))</f>
        <v>136.32234</v>
      </c>
      <c r="J343" s="23">
        <f>IF(A341=A342,_xll.ciqfunctions.udf.CIQ(A333,"IQ_CASH_OPER",IQ_FY), _xll.ciqfunctions.udf.CIQ(A333, "IQ_CASH_OPER",IQ_LTM))</f>
        <v>3542</v>
      </c>
      <c r="K343" s="23">
        <f>IF(A341=A342,_xll.ciqfunctions.udf.CIQ(A333,"IQ_CAPEX",IQ_FY), _xll.ciqfunctions.udf.CIQ(A333, "IQ_CAPEX",IQ_LTM))</f>
        <v>-325.28399999999999</v>
      </c>
      <c r="L343" s="21">
        <f t="shared" si="88"/>
        <v>23.596396599412831</v>
      </c>
      <c r="M343" s="23">
        <f>IF(A341=A342,_xll.ciqfunctions.udf.CIQ(A333,"IQ_TOTAL_DEBT_ISSUED",IQ_FY), _xll.ciqfunctions.udf.CIQ(A333, "IQ_TOTAL_DEBT_ISSUED",IQ_LTM))</f>
        <v>0</v>
      </c>
      <c r="N343" s="23">
        <f>IF(A341=A342,_xll.ciqfunctions.udf.CIQ(A333,"IQ_TOTAL_DEBT_REPAID",IQ_FY), _xll.ciqfunctions.udf.CIQ(A333, "IQ_TOTAL_DEBT_REPAID",IQ_LTM))</f>
        <v>-425</v>
      </c>
      <c r="O343" s="21">
        <f t="shared" si="89"/>
        <v>-3.1176108039225268</v>
      </c>
      <c r="P343" s="21">
        <f t="shared" si="90"/>
        <v>20.478785795490303</v>
      </c>
      <c r="Q343" s="25" t="s">
        <v>45</v>
      </c>
      <c r="S343" s="45"/>
      <c r="U343" s="25"/>
      <c r="W343" s="45"/>
      <c r="Y343" s="25"/>
      <c r="AA343" s="45"/>
    </row>
    <row r="344" spans="1:27">
      <c r="B344" s="24"/>
      <c r="C344" s="25" t="s">
        <v>37</v>
      </c>
      <c r="E344" s="26">
        <f>((D343/D338)^(1/5))-1</f>
        <v>0.21058545232808701</v>
      </c>
      <c r="F344" s="27">
        <f>((F343/F338)^(1/5))-1</f>
        <v>0.2442535184574488</v>
      </c>
      <c r="G344" s="28"/>
      <c r="H344" s="27">
        <f>((H343/H338)^(1/5))-1</f>
        <v>0.12564314776001884</v>
      </c>
      <c r="I344" s="27">
        <f>((I343/I338)^(1/5))-1</f>
        <v>-3.0619513847059521E-2</v>
      </c>
      <c r="J344" s="27"/>
      <c r="K344" s="27"/>
      <c r="L344" s="26">
        <f>((L343/L338)^(1/5))-1</f>
        <v>0.29743826963155851</v>
      </c>
      <c r="M344" s="26"/>
      <c r="N344" s="26"/>
      <c r="O344" s="26"/>
      <c r="P344" s="26">
        <f>((P343/P338)^(1/5))-1</f>
        <v>8.1582199663195354E-2</v>
      </c>
      <c r="Q344" s="18"/>
      <c r="R344" s="36"/>
      <c r="S344" s="45"/>
      <c r="U344" s="18"/>
      <c r="V344" s="36"/>
      <c r="W344" s="45"/>
      <c r="Y344" s="18"/>
      <c r="Z344" s="36"/>
      <c r="AA344" s="45"/>
    </row>
    <row r="345" spans="1:27">
      <c r="A345" s="29"/>
      <c r="B345" s="30"/>
      <c r="C345" s="31" t="s">
        <v>38</v>
      </c>
      <c r="D345" s="29"/>
      <c r="E345" s="32">
        <f>((D343/D333)^(1/10))-1</f>
        <v>0.15461331741267981</v>
      </c>
      <c r="F345" s="33">
        <f>((F343/F333)^(1/10))-1</f>
        <v>0.20467437670043642</v>
      </c>
      <c r="G345" s="34"/>
      <c r="H345" s="33">
        <f>((H343/H333)^(1/10))-1</f>
        <v>0.11413673398336921</v>
      </c>
      <c r="I345" s="33">
        <f>((I343/I333)^(1/10))-1</f>
        <v>-1.9129854023774429E-2</v>
      </c>
      <c r="J345" s="33"/>
      <c r="K345" s="33"/>
      <c r="L345" s="32">
        <f>((L343/L333)^(1/10))-1</f>
        <v>0.1855485568030979</v>
      </c>
      <c r="M345" s="32"/>
      <c r="N345" s="32"/>
      <c r="O345" s="32"/>
      <c r="P345" s="32">
        <f>((P343/P333)^(1/10))-1</f>
        <v>0.16886726973100297</v>
      </c>
      <c r="Q345" s="40"/>
      <c r="R345" s="41"/>
      <c r="S345" s="46"/>
      <c r="U345" s="40"/>
      <c r="V345" s="41"/>
      <c r="W345" s="46"/>
      <c r="Y345" s="40"/>
      <c r="Z345" s="41"/>
      <c r="AA345" s="46"/>
    </row>
    <row r="346" spans="1:27">
      <c r="B346" s="24"/>
      <c r="C346" s="25"/>
      <c r="E346" s="26"/>
      <c r="F346" s="27"/>
      <c r="G346" s="28"/>
      <c r="H346" s="27"/>
      <c r="I346" s="27"/>
      <c r="J346" s="27"/>
      <c r="K346" s="27"/>
      <c r="L346" s="26"/>
      <c r="M346" s="17"/>
      <c r="N346" s="17"/>
      <c r="O346" s="17"/>
      <c r="P346" s="35"/>
      <c r="Q346" s="18"/>
      <c r="R346" s="36"/>
    </row>
    <row r="347" spans="1:27">
      <c r="A347" s="9" t="s">
        <v>0</v>
      </c>
      <c r="B347" s="10"/>
      <c r="C347" s="9" t="s">
        <v>1</v>
      </c>
      <c r="D347" s="9" t="s">
        <v>2</v>
      </c>
      <c r="E347" s="9" t="s">
        <v>3</v>
      </c>
      <c r="F347" s="11" t="s">
        <v>4</v>
      </c>
      <c r="G347" s="11" t="s">
        <v>5</v>
      </c>
      <c r="H347" s="9" t="s">
        <v>6</v>
      </c>
      <c r="I347" s="11" t="s">
        <v>7</v>
      </c>
      <c r="J347" s="11" t="s">
        <v>8</v>
      </c>
      <c r="K347" s="11" t="s">
        <v>9</v>
      </c>
      <c r="L347" s="11" t="s">
        <v>10</v>
      </c>
      <c r="M347" s="11" t="s">
        <v>11</v>
      </c>
      <c r="N347" s="11" t="s">
        <v>12</v>
      </c>
      <c r="O347" s="11" t="s">
        <v>13</v>
      </c>
      <c r="P347" s="11" t="s">
        <v>14</v>
      </c>
      <c r="Q347" s="37" t="s">
        <v>15</v>
      </c>
      <c r="R347" s="42">
        <f>_xll.ciqfunctions.udf.CIQ(A348,("IQ_LASTSALEPRICE"))</f>
        <v>44.33</v>
      </c>
      <c r="S347" s="44"/>
      <c r="U347" s="37" t="s">
        <v>15</v>
      </c>
      <c r="V347" s="42">
        <f>_xll.ciqfunctions.udf.CIQ(A348,("IQ_LASTSALEPRICE"))</f>
        <v>44.33</v>
      </c>
      <c r="W347" s="44"/>
      <c r="Y347" s="37" t="s">
        <v>15</v>
      </c>
      <c r="Z347" s="42">
        <f>_xll.ciqfunctions.udf.CIQ(A348,("IQ_LASTSALEPRICE"))</f>
        <v>44.33</v>
      </c>
      <c r="AA347" s="44"/>
    </row>
    <row r="348" spans="1:27">
      <c r="A348" s="12" t="str">
        <f>Analysis!B25</f>
        <v>NasdaqGS:INTC</v>
      </c>
      <c r="B348" s="13">
        <v>1</v>
      </c>
      <c r="C348" s="14" t="s">
        <v>16</v>
      </c>
      <c r="D348" s="15">
        <f>IF(A356=A357,_xll.ciqfunctions.udf.CIQ(A348,"IQ_TOTAL_REV",IQ_FY-10)/I348,_xll.ciqfunctions.udf.CIQ(A348, "IQ_TOTAL_REV",IQ_FY-9)/I348)</f>
        <v>10.60096540627514</v>
      </c>
      <c r="E348" s="16"/>
      <c r="F348" s="15">
        <f>IF(A356=A357,_xll.ciqfunctions.udf.CIQ(A348,"IQ_DILUT_EPS_EXCL",IQ_FY-10), _xll.ciqfunctions.udf.CIQ(A348, "IQ_DILUT_EPS_EXCL",IQ_FY-9))</f>
        <v>1.89</v>
      </c>
      <c r="G348" s="15">
        <f>IF(A356=A357,_xll.ciqfunctions.udf.CIQ(A348,"IQ_EBITDA_MARGIN",IQ_FY-10), _xll.ciqfunctions.udf.CIQ(A348, "IQ_EBITDA_MARGIN",IQ_FY-9))</f>
        <v>39.012999999999998</v>
      </c>
      <c r="H348" s="15">
        <f>IF(A356=A357,_xll.ciqfunctions.udf.CIQ(A348,"IQ_TOTAL_DIV_PAID_CF",IQ_FY-10)/-I348, _xll.ciqfunctions.udf.CIQ(A348, "IQ_TOTAL_DIV_PAID_CF",IQ_FY-9)/-I348)</f>
        <v>0.9008447304907482</v>
      </c>
      <c r="I348" s="17">
        <f>IF(A356=A357,_xll.ciqfunctions.udf.CIQ(A348,"IQ_TOTAL_OUTSTANDING_FILING_DATE",IQ_FY-10), _xll.ciqfunctions.udf.CIQ(A348, "IQ_TOTAL_OUTSTANDING_FILING_DATE",IQ_FY-9))</f>
        <v>4972</v>
      </c>
      <c r="J348" s="17">
        <f>IF(A356=A357,_xll.ciqfunctions.udf.CIQ(A348,"IQ_CASH_OPER",IQ_FY-10), _xll.ciqfunctions.udf.CIQ(A348, "IQ_CASH_OPER",IQ_FY-9))</f>
        <v>20776</v>
      </c>
      <c r="K348" s="17">
        <f>IF(A356=A357,_xll.ciqfunctions.udf.CIQ(A348,"IQ_CAPEX",IQ_FY-10), _xll.ciqfunctions.udf.CIQ(A348, "IQ_CAPEX",IQ_FY-9))</f>
        <v>-10711</v>
      </c>
      <c r="L348" s="15">
        <f t="shared" ref="L348:L358" si="92">(J348+K348)/I348</f>
        <v>2.0243362831858409</v>
      </c>
      <c r="M348" s="17">
        <f>IF(A356=A357,_xll.ciqfunctions.udf.CIQ(A348,"IQ_TOTAL_DEBT_ISSUED",IQ_FY-10), _xll.ciqfunctions.udf.CIQ(A348, "IQ_TOTAL_DEBT_ISSUED",IQ_FY-9))</f>
        <v>0</v>
      </c>
      <c r="N348" s="17">
        <f>IF(A356=A357,_xll.ciqfunctions.udf.CIQ(A348,"IQ_TOTAL_DEBT_REPAID",IQ_FY-10), _xll.ciqfunctions.udf.CIQ(A348, "IQ_TOTAL_DEBT_REPAID",IQ_FY-9))</f>
        <v>-31</v>
      </c>
      <c r="O348" s="15">
        <f t="shared" ref="O348:O358" si="93">(M348+N348)/I348</f>
        <v>-6.2349155269509253E-3</v>
      </c>
      <c r="P348" s="15">
        <f t="shared" ref="P348:P358" si="94">L348+O348</f>
        <v>2.0181013676588901</v>
      </c>
      <c r="W348" s="43"/>
      <c r="AA348" s="43"/>
    </row>
    <row r="349" spans="1:27">
      <c r="A349" s="18" t="str">
        <f>_xll.ciqfunctions.udf.CIQ(A348,"IQ_COMPANY_NAME")</f>
        <v>Intel Corporation</v>
      </c>
      <c r="B349" s="13">
        <v>2</v>
      </c>
      <c r="C349" s="14" t="s">
        <v>17</v>
      </c>
      <c r="D349" s="15">
        <f>IF(A356=A357,_xll.ciqfunctions.udf.CIQ(A348,"IQ_TOTAL_REV",IQ_FY-9)/I349, _xll.ciqfunctions.udf.CIQ(A348, "IQ_TOTAL_REV",IQ_FY-8)/I349)</f>
        <v>11.796875</v>
      </c>
      <c r="E349" s="16">
        <f t="shared" ref="E349:E358" si="95">(D349-D348)/D348</f>
        <v>0.11281138536844508</v>
      </c>
      <c r="F349" s="15">
        <f>IF(A356=A357,_xll.ciqfunctions.udf.CIQ(A348,"IQ_DILUT_EPS_EXCL",IQ_FY-9), _xll.ciqfunctions.udf.CIQ(A348, "IQ_DILUT_EPS_EXCL",IQ_FY-8))</f>
        <v>2.31</v>
      </c>
      <c r="G349" s="15">
        <f>IF(A356=A357,_xll.ciqfunctions.udf.CIQ(A348,"IQ_EBITDA_MARGIN",IQ_FY-9), _xll.ciqfunctions.udf.CIQ(A348, "IQ_EBITDA_MARGIN",IQ_FY-8))</f>
        <v>43.298699999999997</v>
      </c>
      <c r="H349" s="15">
        <f>IF(A356=A357,_xll.ciqfunctions.udf.CIQ(A348,"IQ_TOTAL_DIV_PAID_CF",IQ_FY-9)/-I349, _xll.ciqfunctions.udf.CIQ(A348, "IQ_TOTAL_DIV_PAID_CF",IQ_FY-8)/-I349)</f>
        <v>0.93095439189189189</v>
      </c>
      <c r="I349" s="17">
        <f>IF(A356=A357,_xll.ciqfunctions.udf.CIQ(A348,"IQ_TOTAL_OUTSTANDING_FILING_DATE",IQ_FY-9), _xll.ciqfunctions.udf.CIQ(A348, "IQ_TOTAL_OUTSTANDING_FILING_DATE",IQ_FY-8))</f>
        <v>4736</v>
      </c>
      <c r="J349" s="17">
        <f>IF(A356=A357,_xll.ciqfunctions.udf.CIQ(A348,"IQ_CASH_OPER",IQ_FY-9), _xll.ciqfunctions.udf.CIQ(A348, "IQ_CASH_OPER",IQ_FY-8))</f>
        <v>20418</v>
      </c>
      <c r="K349" s="17">
        <f>IF(A356=A357,_xll.ciqfunctions.udf.CIQ(A348,"IQ_CAPEX",IQ_FY-9), _xll.ciqfunctions.udf.CIQ(A348, "IQ_CAPEX",IQ_FY-8))</f>
        <v>-10105</v>
      </c>
      <c r="L349" s="15">
        <f t="shared" si="92"/>
        <v>2.1775760135135136</v>
      </c>
      <c r="M349" s="17">
        <f>IF(A356=A357,_xll.ciqfunctions.udf.CIQ(A348,"IQ_TOTAL_DEBT_ISSUED",IQ_FY-9), _xll.ciqfunctions.udf.CIQ(A348, "IQ_TOTAL_DEBT_ISSUED",IQ_FY-8))</f>
        <v>235</v>
      </c>
      <c r="N349" s="17">
        <f>IF(A356=A357,_xll.ciqfunctions.udf.CIQ(A348,"IQ_TOTAL_DEBT_REPAID",IQ_FY-9), _xll.ciqfunctions.udf.CIQ(A348, "IQ_TOTAL_DEBT_REPAID",IQ_FY-8))</f>
        <v>0</v>
      </c>
      <c r="O349" s="15">
        <f t="shared" si="93"/>
        <v>4.9619932432432436E-2</v>
      </c>
      <c r="P349" s="15">
        <f t="shared" si="94"/>
        <v>2.2271959459459461</v>
      </c>
      <c r="Q349" s="25" t="s">
        <v>18</v>
      </c>
      <c r="R349" s="39" t="s">
        <v>19</v>
      </c>
      <c r="S349" s="1">
        <f>R347/((AVERAGE(P353:P358))*(1+E359)^3)</f>
        <v>20.411942107032466</v>
      </c>
      <c r="U349" s="25" t="s">
        <v>48</v>
      </c>
      <c r="V349" s="39" t="s">
        <v>19</v>
      </c>
      <c r="W349" s="1">
        <f>V347/((AVERAGE(P353:P358))*(1+E359)^3)</f>
        <v>20.411942107032466</v>
      </c>
      <c r="Y349" s="25" t="s">
        <v>39</v>
      </c>
      <c r="Z349" s="39" t="s">
        <v>19</v>
      </c>
      <c r="AA349" s="1">
        <f>Z347/((AVERAGE(P353:P358))*(1+E359)^3)</f>
        <v>20.411942107032466</v>
      </c>
    </row>
    <row r="350" spans="1:27">
      <c r="B350" s="13">
        <v>3</v>
      </c>
      <c r="C350" s="14" t="s">
        <v>20</v>
      </c>
      <c r="D350" s="15" cm="1">
        <f t="array" ref="D350">_xlfn.SINGLE(IF(A356=A357,_xll.ciqfunctions.udf.CIQ(A348,"IQ_TOTAL_REV",IQ_FY-8)/I350, _xll.ciqfunctions.udf.CIQ(A348, "IQ_TOTAL_REV",IQ_FY-7)/I350))</f>
        <v>11.717823878069433</v>
      </c>
      <c r="E350" s="16">
        <f t="shared" si="95"/>
        <v>-6.7010222563659225E-3</v>
      </c>
      <c r="F350" s="15">
        <f>IF(A356=A357,_xll.ciqfunctions.udf.CIQ(A348,"IQ_DILUT_EPS_EXCL",IQ_FY-8), _xll.ciqfunctions.udf.CIQ(A348, "IQ_DILUT_EPS_EXCL",IQ_FY-7))</f>
        <v>2.33</v>
      </c>
      <c r="G350" s="15">
        <f>IF(A356=A357,_xll.ciqfunctions.udf.CIQ(A348,"IQ_EBITDA_MARGIN",IQ_FY-8), _xll.ciqfunctions.udf.CIQ(A348, "IQ_EBITDA_MARGIN",IQ_FY-7))</f>
        <v>41.670999999999999</v>
      </c>
      <c r="H350" s="15">
        <f>IF(A356=A357,_xll.ciqfunctions.udf.CIQ(A348,"IQ_TOTAL_DIV_PAID_CF",IQ_FY-8)/-I350, _xll.ciqfunctions.udf.CIQ(A348, "IQ_TOTAL_DIV_PAID_CF",IQ_FY-7)/-I350)</f>
        <v>0.9644369178662151</v>
      </c>
      <c r="I350" s="17">
        <f>IF(A356=A357,_xll.ciqfunctions.udf.CIQ(A348,"IQ_TOTAL_OUTSTANDING_FILING_DATE",IQ_FY-8), _xll.ciqfunctions.udf.CIQ(A348, "IQ_TOTAL_OUTSTANDING_FILING_DATE",IQ_FY-7))</f>
        <v>4724</v>
      </c>
      <c r="J350" s="17">
        <f>IF(A356=A357,_xll.ciqfunctions.udf.CIQ(A348,"IQ_CASH_OPER",IQ_FY-8), _xll.ciqfunctions.udf.CIQ(A348, "IQ_CASH_OPER",IQ_FY-7))</f>
        <v>19018</v>
      </c>
      <c r="K350" s="17">
        <f>IF(A356=A357,_xll.ciqfunctions.udf.CIQ(A348,"IQ_CAPEX",IQ_FY-8), _xll.ciqfunctions.udf.CIQ(A348, "IQ_CAPEX",IQ_FY-7))</f>
        <v>-7326</v>
      </c>
      <c r="L350" s="15">
        <f t="shared" si="92"/>
        <v>2.4750211685012702</v>
      </c>
      <c r="M350" s="17">
        <f>IF(A356=A357,_xll.ciqfunctions.udf.CIQ(A348,"IQ_TOTAL_DEBT_ISSUED",IQ_FY-8), _xll.ciqfunctions.udf.CIQ(A348, "IQ_TOTAL_DEBT_ISSUED",IQ_FY-7))</f>
        <v>9476</v>
      </c>
      <c r="N350" s="17">
        <f>IF(A356=A357,_xll.ciqfunctions.udf.CIQ(A348,"IQ_TOTAL_DEBT_REPAID",IQ_FY-8), _xll.ciqfunctions.udf.CIQ(A348, "IQ_TOTAL_DEBT_REPAID",IQ_FY-7))</f>
        <v>0</v>
      </c>
      <c r="O350" s="15">
        <f t="shared" si="93"/>
        <v>2.0059271803556307</v>
      </c>
      <c r="P350" s="15">
        <f t="shared" si="94"/>
        <v>4.4809483488569004</v>
      </c>
      <c r="Q350" s="25" t="s">
        <v>21</v>
      </c>
      <c r="R350" s="38" t="s">
        <v>49</v>
      </c>
      <c r="S350" s="2">
        <f>(R347*I358)/1000</f>
        <v>186.89527999999999</v>
      </c>
      <c r="U350" s="25" t="s">
        <v>59</v>
      </c>
      <c r="V350" s="38" t="s">
        <v>49</v>
      </c>
      <c r="W350" s="2">
        <f>(V347*I358)/1000</f>
        <v>186.89527999999999</v>
      </c>
      <c r="Y350" s="25" t="s">
        <v>46</v>
      </c>
      <c r="Z350" s="38" t="s">
        <v>49</v>
      </c>
      <c r="AA350" s="2">
        <f>(Z347*I358)/1000</f>
        <v>186.89527999999999</v>
      </c>
    </row>
    <row r="351" spans="1:27">
      <c r="A351" s="18"/>
      <c r="B351" s="13">
        <v>4</v>
      </c>
      <c r="C351" s="14" t="s">
        <v>22</v>
      </c>
      <c r="D351" s="15" cm="1">
        <f t="array" ref="D351">_xlfn.SINGLE(IF(A356=A357,_xll.ciqfunctions.udf.CIQ(A348,"IQ_TOTAL_REV",IQ_FY-7)/I351, _xll.ciqfunctions.udf.CIQ(A348, "IQ_TOTAL_REV",IQ_FY-6)/I351))</f>
        <v>12.560702199661591</v>
      </c>
      <c r="E351" s="16">
        <f t="shared" si="95"/>
        <v>7.193130143982214E-2</v>
      </c>
      <c r="F351" s="15">
        <f>IF(A356=A357,_xll.ciqfunctions.udf.CIQ(A348,"IQ_DILUT_EPS_EXCL",IQ_FY-7), _xll.ciqfunctions.udf.CIQ(A348, "IQ_DILUT_EPS_EXCL",IQ_FY-6))</f>
        <v>2.12</v>
      </c>
      <c r="G351" s="15">
        <f>IF(A356=A357,_xll.ciqfunctions.udf.CIQ(A348,"IQ_EBITDA_MARGIN",IQ_FY-7), _xll.ciqfunctions.udf.CIQ(A348, "IQ_EBITDA_MARGIN",IQ_FY-6))</f>
        <v>38.383800000000001</v>
      </c>
      <c r="H351" s="15">
        <f>IF(A356=A357,_xll.ciqfunctions.udf.CIQ(A348,"IQ_TOTAL_DIV_PAID_CF",IQ_FY-7)/-I351, _xll.ciqfunctions.udf.CIQ(A348, "IQ_TOTAL_DIV_PAID_CF",IQ_FY-6)/-I351)</f>
        <v>1.0416666666666667</v>
      </c>
      <c r="I351" s="17">
        <f>IF(A356=A357,_xll.ciqfunctions.udf.CIQ(A348,"IQ_TOTAL_OUTSTANDING_FILING_DATE",IQ_FY-7), _xll.ciqfunctions.udf.CIQ(A348, "IQ_TOTAL_OUTSTANDING_FILING_DATE",IQ_FY-6))</f>
        <v>4728</v>
      </c>
      <c r="J351" s="17">
        <f>IF(A356=A357,_xll.ciqfunctions.udf.CIQ(A348,"IQ_CASH_OPER",IQ_FY-7), _xll.ciqfunctions.udf.CIQ(A348, "IQ_CASH_OPER",IQ_FY-6))</f>
        <v>21808</v>
      </c>
      <c r="K351" s="17">
        <f>IF(A356=A357,_xll.ciqfunctions.udf.CIQ(A348,"IQ_CAPEX",IQ_FY-7), _xll.ciqfunctions.udf.CIQ(A348, "IQ_CAPEX",IQ_FY-6))</f>
        <v>-9625</v>
      </c>
      <c r="L351" s="15">
        <f t="shared" si="92"/>
        <v>2.576776649746193</v>
      </c>
      <c r="M351" s="17">
        <f>IF(A356=A357,_xll.ciqfunctions.udf.CIQ(A348,"IQ_TOTAL_DEBT_ISSUED",IQ_FY-7), _xll.ciqfunctions.udf.CIQ(A348, "IQ_TOTAL_DEBT_ISSUED",IQ_FY-6))</f>
        <v>2734</v>
      </c>
      <c r="N351" s="17">
        <f>IF(A356=A357,_xll.ciqfunctions.udf.CIQ(A348,"IQ_TOTAL_DEBT_REPAID",IQ_FY-7), _xll.ciqfunctions.udf.CIQ(A348, "IQ_TOTAL_DEBT_REPAID",IQ_FY-6))</f>
        <v>-1515</v>
      </c>
      <c r="O351" s="15">
        <f t="shared" si="93"/>
        <v>0.25782571912013535</v>
      </c>
      <c r="P351" s="15">
        <f t="shared" si="94"/>
        <v>2.8346023688663284</v>
      </c>
      <c r="Q351" s="25" t="s">
        <v>23</v>
      </c>
      <c r="R351" s="38" t="s">
        <v>24</v>
      </c>
      <c r="S351" s="1">
        <f>R347/(AVERAGE(H353:H358)*(1+H359)/(0.5-H359))</f>
        <v>19.843927993746313</v>
      </c>
      <c r="U351" s="25" t="s">
        <v>40</v>
      </c>
      <c r="V351" s="38" t="s">
        <v>24</v>
      </c>
      <c r="W351" s="1">
        <f>V347/(AVERAGE(H353:H358)*(1+H359)/(0.5-H359))</f>
        <v>19.843927993746313</v>
      </c>
      <c r="Y351" s="25" t="s">
        <v>47</v>
      </c>
      <c r="Z351" s="38" t="s">
        <v>24</v>
      </c>
      <c r="AA351" s="1">
        <f>Z347/(AVERAGE(H353:H358)*(1+H359)/(0.5-H359))</f>
        <v>19.843927993746313</v>
      </c>
    </row>
    <row r="352" spans="1:27">
      <c r="B352" s="13">
        <v>5</v>
      </c>
      <c r="C352" s="14" t="s">
        <v>25</v>
      </c>
      <c r="D352" s="15" cm="1">
        <f t="array" ref="D352">_xlfn.SINGLE(IF(A356=A357,_xll.ciqfunctions.udf.CIQ(A348,"IQ_TOTAL_REV",IQ_FY-6)/I352, _xll.ciqfunctions.udf.CIQ(A348, "IQ_TOTAL_REV",IQ_FY-5)/I352))</f>
        <v>13.444944301628107</v>
      </c>
      <c r="E352" s="16">
        <f t="shared" si="95"/>
        <v>7.0397505482642425E-2</v>
      </c>
      <c r="F352" s="15">
        <f>IF(A356=A357,_xll.ciqfunctions.udf.CIQ(A348,"IQ_DILUT_EPS_EXCL",IQ_FY-6), _xll.ciqfunctions.udf.CIQ(A348, "IQ_DILUT_EPS_EXCL",IQ_FY-5))</f>
        <v>1.99</v>
      </c>
      <c r="G352" s="15">
        <f>IF(A356=A357,_xll.ciqfunctions.udf.CIQ(A348,"IQ_EBITDA_MARGIN",IQ_FY-6), _xll.ciqfunctions.udf.CIQ(A348, "IQ_EBITDA_MARGIN",IQ_FY-5))</f>
        <v>42.323999999999998</v>
      </c>
      <c r="H352" s="15">
        <f>IF(A356=A357,_xll.ciqfunctions.udf.CIQ(A348,"IQ_TOTAL_DIV_PAID_CF",IQ_FY-6)/-I352, _xll.ciqfunctions.udf.CIQ(A348, "IQ_TOTAL_DIV_PAID_CF",IQ_FY-5)/-I352)</f>
        <v>1.0865467009425878</v>
      </c>
      <c r="I352" s="17">
        <f>IF(A356=A357,_xll.ciqfunctions.udf.CIQ(A348,"IQ_TOTAL_OUTSTANDING_FILING_DATE",IQ_FY-6), _xll.ciqfunctions.udf.CIQ(A348, "IQ_TOTAL_OUTSTANDING_FILING_DATE",IQ_FY-5))</f>
        <v>4668</v>
      </c>
      <c r="J352" s="17">
        <f>IF(A356=A357,_xll.ciqfunctions.udf.CIQ(A348,"IQ_CASH_OPER",IQ_FY-6), _xll.ciqfunctions.udf.CIQ(A348, "IQ_CASH_OPER",IQ_FY-5))</f>
        <v>22110</v>
      </c>
      <c r="K352" s="17">
        <f>IF(A356=A357,_xll.ciqfunctions.udf.CIQ(A348,"IQ_CAPEX",IQ_FY-6), _xll.ciqfunctions.udf.CIQ(A348, "IQ_CAPEX",IQ_FY-5))</f>
        <v>-11778</v>
      </c>
      <c r="L352" s="15">
        <f t="shared" si="92"/>
        <v>2.2133676092544987</v>
      </c>
      <c r="M352" s="17">
        <f>IF(A356=A357,_xll.ciqfunctions.udf.CIQ(A348,"IQ_TOTAL_DEBT_ISSUED",IQ_FY-6), _xll.ciqfunctions.udf.CIQ(A348, "IQ_TOTAL_DEBT_ISSUED",IQ_FY-5))</f>
        <v>7716</v>
      </c>
      <c r="N352" s="17">
        <f>IF(A356=A357,_xll.ciqfunctions.udf.CIQ(A348,"IQ_TOTAL_DEBT_REPAID",IQ_FY-6), _xll.ciqfunctions.udf.CIQ(A348, "IQ_TOTAL_DEBT_REPAID",IQ_FY-5))</f>
        <v>-8080</v>
      </c>
      <c r="O352" s="15">
        <f t="shared" si="93"/>
        <v>-7.7977720651242505E-2</v>
      </c>
      <c r="P352" s="15">
        <f t="shared" si="94"/>
        <v>2.1353898886032563</v>
      </c>
      <c r="Q352" s="18"/>
      <c r="R352" s="38" t="s">
        <v>50</v>
      </c>
      <c r="S352" s="3">
        <f>I359</f>
        <v>-1.2821830184986838E-2</v>
      </c>
      <c r="U352" s="18"/>
      <c r="V352" s="38" t="s">
        <v>50</v>
      </c>
      <c r="W352" s="3">
        <f>I359</f>
        <v>-1.2821830184986838E-2</v>
      </c>
      <c r="Y352" s="18"/>
      <c r="Z352" s="38" t="s">
        <v>50</v>
      </c>
      <c r="AA352" s="3">
        <f>I359</f>
        <v>-1.2821830184986838E-2</v>
      </c>
    </row>
    <row r="353" spans="1:27">
      <c r="B353" s="13">
        <v>6</v>
      </c>
      <c r="C353" s="14" t="s">
        <v>26</v>
      </c>
      <c r="D353" s="15" cm="1">
        <f t="array" ref="D353">_xlfn.SINGLE(IF(A356=A357,_xll.ciqfunctions.udf.CIQ(A348,"IQ_TOTAL_REV",IQ_FY-5)/I353, _xll.ciqfunctions.udf.CIQ(A348, "IQ_TOTAL_REV",IQ_FY-4)/I353))</f>
        <v>15.754503002001334</v>
      </c>
      <c r="E353" s="16">
        <f t="shared" si="95"/>
        <v>0.17177897122962066</v>
      </c>
      <c r="F353" s="15">
        <f>IF(A356=A357,_xll.ciqfunctions.udf.CIQ(A348,"IQ_DILUT_EPS_EXCL",IQ_FY-5), _xll.ciqfunctions.udf.CIQ(A348, "IQ_DILUT_EPS_EXCL",IQ_FY-4))</f>
        <v>4.4800000000000004</v>
      </c>
      <c r="G353" s="15">
        <f>IF(A356=A357,_xll.ciqfunctions.udf.CIQ(A348,"IQ_EBITDA_MARGIN",IQ_FY-5), _xll.ciqfunctions.udf.CIQ(A348, "IQ_EBITDA_MARGIN",IQ_FY-4))</f>
        <v>45.631399999999999</v>
      </c>
      <c r="H353" s="15">
        <f>IF(A356=A357,_xll.ciqfunctions.udf.CIQ(A348,"IQ_TOTAL_DIV_PAID_CF",IQ_FY-5)/-I353, _xll.ciqfunctions.udf.CIQ(A348, "IQ_TOTAL_DIV_PAID_CF",IQ_FY-4)/-I353)</f>
        <v>1.2321547698465645</v>
      </c>
      <c r="I353" s="17">
        <f>IF(A356=A357,_xll.ciqfunctions.udf.CIQ(A348,"IQ_TOTAL_OUTSTANDING_FILING_DATE",IQ_FY-5), _xll.ciqfunctions.udf.CIQ(A348, "IQ_TOTAL_OUTSTANDING_FILING_DATE",IQ_FY-4))</f>
        <v>4497</v>
      </c>
      <c r="J353" s="17">
        <f>IF(A356=A357,_xll.ciqfunctions.udf.CIQ(A348,"IQ_CASH_OPER",IQ_FY-5), _xll.ciqfunctions.udf.CIQ(A348, "IQ_CASH_OPER",IQ_FY-4))</f>
        <v>29432</v>
      </c>
      <c r="K353" s="17">
        <f>IF(A356=A357,_xll.ciqfunctions.udf.CIQ(A348,"IQ_CAPEX",IQ_FY-5), _xll.ciqfunctions.udf.CIQ(A348, "IQ_CAPEX",IQ_FY-4))</f>
        <v>-15181</v>
      </c>
      <c r="L353" s="15">
        <f t="shared" si="92"/>
        <v>3.1690015565932845</v>
      </c>
      <c r="M353" s="17">
        <f>IF(A356=A357,_xll.ciqfunctions.udf.CIQ(A348,"IQ_TOTAL_DEBT_ISSUED",IQ_FY-5), _xll.ciqfunctions.udf.CIQ(A348, "IQ_TOTAL_DEBT_ISSUED",IQ_FY-4))</f>
        <v>423</v>
      </c>
      <c r="N353" s="17">
        <f>IF(A356=A357,_xll.ciqfunctions.udf.CIQ(A348,"IQ_TOTAL_DEBT_REPAID",IQ_FY-5), _xll.ciqfunctions.udf.CIQ(A348, "IQ_TOTAL_DEBT_REPAID",IQ_FY-4))</f>
        <v>-3026</v>
      </c>
      <c r="O353" s="15">
        <f t="shared" si="93"/>
        <v>-0.57883033133199913</v>
      </c>
      <c r="P353" s="15">
        <f t="shared" si="94"/>
        <v>2.5901712252612854</v>
      </c>
      <c r="Q353" s="25" t="s">
        <v>27</v>
      </c>
      <c r="R353" s="38" t="s">
        <v>51</v>
      </c>
      <c r="S353" s="4">
        <f>AVERAGE(F353:F358)/AVERAGE(D353:D358)</f>
        <v>0.20756857249843655</v>
      </c>
      <c r="U353" s="25" t="s">
        <v>58</v>
      </c>
      <c r="V353" s="38" t="s">
        <v>51</v>
      </c>
      <c r="W353" s="4">
        <f>AVERAGE(F353:F358)/AVERAGE(D353:D358)</f>
        <v>0.20756857249843655</v>
      </c>
      <c r="Y353" s="25" t="s">
        <v>56</v>
      </c>
      <c r="Z353" s="38" t="s">
        <v>51</v>
      </c>
      <c r="AA353" s="4">
        <f>AVERAGE(F353:F358)/AVERAGE(D353:D358)</f>
        <v>0.20756857249843655</v>
      </c>
    </row>
    <row r="354" spans="1:27">
      <c r="A354" s="18"/>
      <c r="B354" s="13">
        <v>7</v>
      </c>
      <c r="C354" s="14" t="s">
        <v>28</v>
      </c>
      <c r="D354" s="15" cm="1">
        <f t="array" ref="D354">_xlfn.SINGLE(IF(A356=A357,_xll.ciqfunctions.udf.CIQ(A348,"IQ_TOTAL_REV",IQ_FY-4)/I354, _xll.ciqfunctions.udf.CIQ(A348, "IQ_TOTAL_REV",IQ_FY-3)/I354))</f>
        <v>16.826046294131402</v>
      </c>
      <c r="E354" s="16">
        <f t="shared" si="95"/>
        <v>6.8015048903411743E-2</v>
      </c>
      <c r="F354" s="15">
        <f>IF(A356=A357,_xll.ciqfunctions.udf.CIQ(A348,"IQ_DILUT_EPS_EXCL",IQ_FY-4), _xll.ciqfunctions.udf.CIQ(A348, "IQ_DILUT_EPS_EXCL",IQ_FY-3))</f>
        <v>4.71</v>
      </c>
      <c r="G354" s="15">
        <f>IF(A356=A357,_xll.ciqfunctions.udf.CIQ(A348,"IQ_EBITDA_MARGIN",IQ_FY-4), _xll.ciqfunctions.udf.CIQ(A348, "IQ_EBITDA_MARGIN",IQ_FY-3))</f>
        <v>46.208500000000001</v>
      </c>
      <c r="H354" s="15">
        <f>IF(A356=A357,_xll.ciqfunctions.udf.CIQ(A348,"IQ_TOTAL_DIV_PAID_CF",IQ_FY-4)/-I354, _xll.ciqfunctions.udf.CIQ(A348, "IQ_TOTAL_DIV_PAID_CF",IQ_FY-3)/-I354)</f>
        <v>1.3037175590367081</v>
      </c>
      <c r="I354" s="17">
        <f>IF(A356=A357,_xll.ciqfunctions.udf.CIQ(A348,"IQ_TOTAL_OUTSTANDING_FILING_DATE",IQ_FY-4), _xll.ciqfunctions.udf.CIQ(A348, "IQ_TOTAL_OUTSTANDING_FILING_DATE",IQ_FY-3))</f>
        <v>4277</v>
      </c>
      <c r="J354" s="17">
        <f>IF(A356=A357,_xll.ciqfunctions.udf.CIQ(A348,"IQ_CASH_OPER",IQ_FY-4), _xll.ciqfunctions.udf.CIQ(A348, "IQ_CASH_OPER",IQ_FY-3))</f>
        <v>33145</v>
      </c>
      <c r="K354" s="17">
        <f>IF(A356=A357,_xll.ciqfunctions.udf.CIQ(A348,"IQ_CAPEX",IQ_FY-4), _xll.ciqfunctions.udf.CIQ(A348, "IQ_CAPEX",IQ_FY-3))</f>
        <v>-16213</v>
      </c>
      <c r="L354" s="15">
        <f t="shared" si="92"/>
        <v>3.9588496609773207</v>
      </c>
      <c r="M354" s="17">
        <f>IF(A356=A357,_xll.ciqfunctions.udf.CIQ(A348,"IQ_TOTAL_DEBT_ISSUED",IQ_FY-4), _xll.ciqfunctions.udf.CIQ(A348, "IQ_TOTAL_DEBT_ISSUED",IQ_FY-3))</f>
        <v>3392</v>
      </c>
      <c r="N354" s="17">
        <f>IF(A356=A357,_xll.ciqfunctions.udf.CIQ(A348,"IQ_TOTAL_DEBT_REPAID",IQ_FY-4), _xll.ciqfunctions.udf.CIQ(A348, "IQ_TOTAL_DEBT_REPAID",IQ_FY-3))</f>
        <v>-2627</v>
      </c>
      <c r="O354" s="15">
        <f t="shared" si="93"/>
        <v>0.17886368950198736</v>
      </c>
      <c r="P354" s="15">
        <f t="shared" si="94"/>
        <v>4.1377133504793084</v>
      </c>
      <c r="Q354" s="18"/>
      <c r="R354" s="38" t="s">
        <v>29</v>
      </c>
      <c r="S354" s="4">
        <f>(AVERAGE(P353:P358)/_xlfn.STDEV.P(P353:P358))/(IF(A356=A357,(_xlfn.SINGLE(_xll.ciqfunctions.udf.CIQ(A348,"IQ_total_assets",IQ_FY)) - _xlfn.SINGLE(_xll.ciqfunctions.udf.CIQ(A348,"iq_gw_intan", IQ_FY)))/I358, (_xlfn.SINGLE(_xll.ciqfunctions.udf.CIQ(A348, "IQ_total_assets",IQ_LTM))-_xlfn.SINGLE(_xll.ciqfunctions.udf.CIQ(A348,"iq_gw_intan",IQ_LTM)))/I358))</f>
        <v>2.584931298993759E-2</v>
      </c>
      <c r="U354" s="18"/>
      <c r="V354" s="38" t="s">
        <v>29</v>
      </c>
      <c r="W354" s="4">
        <f>(AVERAGE(P353:P358)/_xlfn.STDEV.P(P353:P358))/(IF(A356=A357,(_xlfn.SINGLE(_xll.ciqfunctions.udf.CIQ(A348,"IQ_total_assets",IQ_FY)) - _xlfn.SINGLE(_xll.ciqfunctions.udf.CIQ(A348,"iq_gw_intan", IQ_FY)))/I358, (_xlfn.SINGLE(_xll.ciqfunctions.udf.CIQ(A348, "IQ_total_assets",IQ_LTM))-_xlfn.SINGLE(_xll.ciqfunctions.udf.CIQ(A348,"iq_gw_intan",IQ_LTM)))/I358))</f>
        <v>2.584931298993759E-2</v>
      </c>
      <c r="Y354" s="18"/>
      <c r="Z354" s="38" t="s">
        <v>29</v>
      </c>
      <c r="AA354" s="4">
        <f>(AVERAGE(P353:P358)/_xlfn.STDEV.P(P353:P358))/(IF(A356=A357,(_xlfn.SINGLE(_xll.ciqfunctions.udf.CIQ(A348,"IQ_total_assets",IQ_FY)) - _xlfn.SINGLE(_xll.ciqfunctions.udf.CIQ(A348,"iq_gw_intan", IQ_FY)))/I358, (_xlfn.SINGLE(_xll.ciqfunctions.udf.CIQ(A348, "IQ_total_assets",IQ_LTM))-_xlfn.SINGLE(_xll.ciqfunctions.udf.CIQ(A348,"iq_gw_intan",IQ_LTM)))/I358))</f>
        <v>2.584931298993759E-2</v>
      </c>
    </row>
    <row r="355" spans="1:27">
      <c r="A355" s="18"/>
      <c r="B355" s="13">
        <v>8</v>
      </c>
      <c r="C355" s="14" t="s">
        <v>30</v>
      </c>
      <c r="D355" s="15" cm="1">
        <f t="array" ref="D355">_xlfn.SINGLE(IF(A356=A357,_xll.ciqfunctions.udf.CIQ(A348,"IQ_TOTAL_REV",IQ_FY-3)/I355, _xll.ciqfunctions.udf.CIQ(A348, "IQ_TOTAL_REV",IQ_FY-2)/I355))</f>
        <v>19.164902781196162</v>
      </c>
      <c r="E355" s="16">
        <f t="shared" si="95"/>
        <v>0.13900214264122807</v>
      </c>
      <c r="F355" s="15">
        <f>IF(A356=A357,_xll.ciqfunctions.udf.CIQ(A348,"IQ_DILUT_EPS_EXCL",IQ_FY-3), _xll.ciqfunctions.udf.CIQ(A348, "IQ_DILUT_EPS_EXCL",IQ_FY-2))</f>
        <v>4.9400000000000004</v>
      </c>
      <c r="G355" s="15">
        <f>IF(A356=A357,_xll.ciqfunctions.udf.CIQ(A348,"IQ_EBITDA_MARGIN",IQ_FY-3), _xll.ciqfunctions.udf.CIQ(A348, "IQ_EBITDA_MARGIN",IQ_FY-2))</f>
        <v>46.380299999999998</v>
      </c>
      <c r="H355" s="15">
        <f>IF(A356=A357,_xll.ciqfunctions.udf.CIQ(A348,"IQ_TOTAL_DIV_PAID_CF",IQ_FY-3)/-I355, _xll.ciqfunctions.udf.CIQ(A348, "IQ_TOTAL_DIV_PAID_CF",IQ_FY-2)/-I355)</f>
        <v>1.3704159488063008</v>
      </c>
      <c r="I355" s="17">
        <f>IF(A356=A357,_xll.ciqfunctions.udf.CIQ(A348,"IQ_TOTAL_OUTSTANDING_FILING_DATE",IQ_FY-3), _xll.ciqfunctions.udf.CIQ(A348, "IQ_TOTAL_OUTSTANDING_FILING_DATE",IQ_FY-2))</f>
        <v>4063</v>
      </c>
      <c r="J355" s="17">
        <f>IF(A356=A357,_xll.ciqfunctions.udf.CIQ(A348,"IQ_CASH_OPER",IQ_FY-3), _xll.ciqfunctions.udf.CIQ(A348, "IQ_CASH_OPER",IQ_FY-2))</f>
        <v>35864</v>
      </c>
      <c r="K355" s="17">
        <f>IF(A356=A357,_xll.ciqfunctions.udf.CIQ(A348,"IQ_CAPEX",IQ_FY-3), _xll.ciqfunctions.udf.CIQ(A348, "IQ_CAPEX",IQ_FY-2))</f>
        <v>-14453</v>
      </c>
      <c r="L355" s="15">
        <f t="shared" si="92"/>
        <v>5.2697514152104352</v>
      </c>
      <c r="M355" s="17">
        <f>IF(A356=A357,_xll.ciqfunctions.udf.CIQ(A348,"IQ_TOTAL_DEBT_ISSUED",IQ_FY-3), _xll.ciqfunctions.udf.CIQ(A348, "IQ_TOTAL_DEBT_ISSUED",IQ_FY-2))</f>
        <v>10247</v>
      </c>
      <c r="N355" s="17">
        <f>IF(A356=A357,_xll.ciqfunctions.udf.CIQ(A348,"IQ_TOTAL_DEBT_REPAID",IQ_FY-3), _xll.ciqfunctions.udf.CIQ(A348, "IQ_TOTAL_DEBT_REPAID",IQ_FY-2))</f>
        <v>-4525</v>
      </c>
      <c r="O355" s="15">
        <f t="shared" si="93"/>
        <v>1.4083189761260153</v>
      </c>
      <c r="P355" s="15">
        <f t="shared" si="94"/>
        <v>6.6780703913364503</v>
      </c>
      <c r="Q355" s="18"/>
      <c r="R355" s="39" t="s">
        <v>31</v>
      </c>
      <c r="S355" s="5">
        <f>IF(NOT(D348&gt;0),FALSE,SLOPE(G348:G358,B348:B358))</f>
        <v>-1.5349327272727271</v>
      </c>
      <c r="U355" s="18"/>
      <c r="V355" s="39" t="s">
        <v>31</v>
      </c>
      <c r="W355" s="5">
        <f>IF(NOT(D348&gt;0),FALSE,SLOPE(G348:G358,B348:B358))</f>
        <v>-1.5349327272727271</v>
      </c>
      <c r="Y355" s="18"/>
      <c r="Z355" s="39" t="s">
        <v>31</v>
      </c>
      <c r="AA355" s="5">
        <f>IF(NOT(L348&gt;0),FALSE,SLOPE(O348:O358,J348:J358))</f>
        <v>-4.4848165446737475E-5</v>
      </c>
    </row>
    <row r="356" spans="1:27">
      <c r="A356" s="19">
        <f>_xll.ciqfunctions.udf.CIQ(A348,"IQ_TOTAL_REV",IQ_FY)</f>
        <v>63054</v>
      </c>
      <c r="B356" s="13">
        <v>9</v>
      </c>
      <c r="C356" s="14" t="s">
        <v>32</v>
      </c>
      <c r="D356" s="15" cm="1">
        <f t="array" ref="D356">_xlfn.SINGLE(IF(A356=A357,_xll.ciqfunctions.udf.CIQ(A348,"IQ_TOTAL_REV",IQ_FY-2)/I356, _xll.ciqfunctions.udf.CIQ(A348, "IQ_TOTAL_REV",IQ_FY-1)/I356))</f>
        <v>19.406679764243616</v>
      </c>
      <c r="E356" s="16">
        <f t="shared" si="95"/>
        <v>1.2615612289182948E-2</v>
      </c>
      <c r="F356" s="15">
        <f>IF(A356=A357,_xll.ciqfunctions.udf.CIQ(A348,"IQ_DILUT_EPS_EXCL",IQ_FY-2), _xll.ciqfunctions.udf.CIQ(A348, "IQ_DILUT_EPS_EXCL",IQ_FY-1))</f>
        <v>4.8600000000000003</v>
      </c>
      <c r="G356" s="15">
        <f>IF(A356=A357,_xll.ciqfunctions.udf.CIQ(A348,"IQ_EBITDA_MARGIN",IQ_FY-2), _xll.ciqfunctions.udf.CIQ(A348, "IQ_EBITDA_MARGIN",IQ_FY-1))</f>
        <v>42.865400000000001</v>
      </c>
      <c r="H356" s="15">
        <f>IF(A356=A357,_xll.ciqfunctions.udf.CIQ(A348,"IQ_TOTAL_DIV_PAID_CF",IQ_FY-2)/-I356, _xll.ciqfunctions.udf.CIQ(A348, "IQ_TOTAL_DIV_PAID_CF",IQ_FY-1)/-I356)</f>
        <v>1.3860510805500983</v>
      </c>
      <c r="I356" s="17">
        <f>IF(A356=A357,_xll.ciqfunctions.udf.CIQ(A348,"IQ_TOTAL_OUTSTANDING_FILING_DATE",IQ_FY-2), _xll.ciqfunctions.udf.CIQ(A348, "IQ_TOTAL_OUTSTANDING_FILING_DATE",IQ_FY-1))</f>
        <v>4072</v>
      </c>
      <c r="J356" s="17">
        <f>IF(A356=A357,_xll.ciqfunctions.udf.CIQ(A348,"IQ_CASH_OPER",IQ_FY-2), _xll.ciqfunctions.udf.CIQ(A348, "IQ_CASH_OPER",IQ_FY-1))</f>
        <v>29456</v>
      </c>
      <c r="K356" s="17">
        <f>IF(A356=A357,_xll.ciqfunctions.udf.CIQ(A348,"IQ_CAPEX",IQ_FY-2), _xll.ciqfunctions.udf.CIQ(A348, "IQ_CAPEX",IQ_FY-1))</f>
        <v>-20329</v>
      </c>
      <c r="L356" s="15">
        <f t="shared" si="92"/>
        <v>2.2414047151277012</v>
      </c>
      <c r="M356" s="17">
        <f>IF(A356=A357,_xll.ciqfunctions.udf.CIQ(A348,"IQ_TOTAL_DEBT_ISSUED",IQ_FY-2), _xll.ciqfunctions.udf.CIQ(A348, "IQ_TOTAL_DEBT_ISSUED",IQ_FY-1))</f>
        <v>4974</v>
      </c>
      <c r="N356" s="17">
        <f>IF(A356=A357,_xll.ciqfunctions.udf.CIQ(A348,"IQ_TOTAL_DEBT_REPAID",IQ_FY-2), _xll.ciqfunctions.udf.CIQ(A348, "IQ_TOTAL_DEBT_REPAID",IQ_FY-1))</f>
        <v>-2500</v>
      </c>
      <c r="O356" s="15">
        <f t="shared" si="93"/>
        <v>0.60756385068762275</v>
      </c>
      <c r="P356" s="15">
        <f t="shared" si="94"/>
        <v>2.8489685658153241</v>
      </c>
      <c r="Q356" s="25" t="s">
        <v>33</v>
      </c>
      <c r="R356" s="38" t="s">
        <v>52</v>
      </c>
      <c r="S356" s="4">
        <f>(AVERAGE(O353:O358)/AVERAGE(P353:P358))</f>
        <v>0.34115438543046667</v>
      </c>
      <c r="U356" s="25" t="s">
        <v>54</v>
      </c>
      <c r="V356" s="38" t="s">
        <v>52</v>
      </c>
      <c r="W356" s="4">
        <f>(AVERAGE(O353:O358)/AVERAGE(P353:P358))</f>
        <v>0.34115438543046667</v>
      </c>
      <c r="Y356" s="25" t="s">
        <v>60</v>
      </c>
      <c r="Z356" s="38" t="s">
        <v>52</v>
      </c>
      <c r="AA356" s="4">
        <f>(AVERAGE(O353:O358)/AVERAGE(P353:P358))</f>
        <v>0.34115438543046667</v>
      </c>
    </row>
    <row r="357" spans="1:27">
      <c r="A357" s="19">
        <f>_xll.ciqfunctions.udf.CIQ(A348,"IQ_TOTAL_REV",IQ_LTM)</f>
        <v>52864</v>
      </c>
      <c r="B357" s="13">
        <v>10</v>
      </c>
      <c r="C357" s="14" t="s">
        <v>34</v>
      </c>
      <c r="D357" s="15" cm="1">
        <f t="array" ref="D357">_xlfn.SINGLE(IF(A356=A357,_xll.ciqfunctions.udf.CIQ(A348,"IQ_TOTAL_REV",IQ_FY-1)/I357, _xll.ciqfunctions.udf.CIQ(A348, "IQ_TOTAL_REV",IQ_FY)/I357))</f>
        <v>15.241479332849892</v>
      </c>
      <c r="E357" s="16">
        <f t="shared" si="95"/>
        <v>-0.21462715322731379</v>
      </c>
      <c r="F357" s="15">
        <f>IF(A356=A357,_xll.ciqfunctions.udf.CIQ(A348,"IQ_DILUT_EPS_EXCL",IQ_FY-1), _xll.ciqfunctions.udf.CIQ(A348, "IQ_DILUT_EPS_EXCL",IQ_FY))</f>
        <v>1.94</v>
      </c>
      <c r="G357" s="15">
        <f>IF(A356=A357,_xll.ciqfunctions.udf.CIQ(A348,"IQ_EBITDA_MARGIN",IQ_FY-1), _xll.ciqfunctions.udf.CIQ(A348, "IQ_EBITDA_MARGIN",IQ_FY))</f>
        <v>24.377500000000001</v>
      </c>
      <c r="H357" s="15">
        <f>IF(A356=A357,_xll.ciqfunctions.udf.CIQ(A348,"IQ_TOTAL_DIV_PAID_CF",IQ_FY-1)/-I357, _xll.ciqfunctions.udf.CIQ(A348, "IQ_TOTAL_DIV_PAID_CF",IQ_FY)/-I357)</f>
        <v>1.4496011602610588</v>
      </c>
      <c r="I357" s="17">
        <f>IF(A356=A357,_xll.ciqfunctions.udf.CIQ(A348,"IQ_TOTAL_OUTSTANDING_FILING_DATE",IQ_FY-1), _xll.ciqfunctions.udf.CIQ(A348, "IQ_TOTAL_OUTSTANDING_FILING_DATE",IQ_FY))</f>
        <v>4137</v>
      </c>
      <c r="J357" s="17">
        <f>IF(A356=A357,_xll.ciqfunctions.udf.CIQ(A348,"IQ_CASH_OPER",IQ_FY-1), _xll.ciqfunctions.udf.CIQ(A348, "IQ_CASH_OPER",IQ_FY))</f>
        <v>15433</v>
      </c>
      <c r="K357" s="17">
        <f>IF(A356=A357,_xll.ciqfunctions.udf.CIQ(A348,"IQ_CAPEX",IQ_FY-1), _xll.ciqfunctions.udf.CIQ(A348, "IQ_CAPEX",IQ_FY))</f>
        <v>-25050</v>
      </c>
      <c r="L357" s="15">
        <f t="shared" si="92"/>
        <v>-2.3246313753927965</v>
      </c>
      <c r="M357" s="17">
        <f>IF(A356=A357,_xll.ciqfunctions.udf.CIQ(A348,"IQ_TOTAL_DEBT_ISSUED",IQ_FY-1), _xll.ciqfunctions.udf.CIQ(A348, "IQ_TOTAL_DEBT_ISSUED",IQ_FY))</f>
        <v>10493</v>
      </c>
      <c r="N357" s="17">
        <f>IF(A356=A357,_xll.ciqfunctions.udf.CIQ(A348,"IQ_TOTAL_DEBT_REPAID",IQ_FY-1), _xll.ciqfunctions.udf.CIQ(A348, "IQ_TOTAL_DEBT_REPAID",IQ_FY))</f>
        <v>-5329</v>
      </c>
      <c r="O357" s="15">
        <f t="shared" si="93"/>
        <v>1.2482475223591976</v>
      </c>
      <c r="P357" s="15">
        <f t="shared" si="94"/>
        <v>-1.076383853033599</v>
      </c>
      <c r="Q357" s="25" t="s">
        <v>44</v>
      </c>
      <c r="R357" s="38" t="s">
        <v>35</v>
      </c>
      <c r="S357" s="1">
        <f>_xll.ciqfunctions.udf.CIQ(A348,"IQ_TEV_EBITDA")</f>
        <v>23.489350000000002</v>
      </c>
      <c r="U357" s="25" t="s">
        <v>55</v>
      </c>
      <c r="V357" s="38" t="s">
        <v>53</v>
      </c>
      <c r="W357" s="1">
        <f>V347/(AVERAGE(D353:D358)/_xlfn.STDEV.P(E353:E358))</f>
        <v>0.39743904747176428</v>
      </c>
      <c r="Y357" s="25" t="s">
        <v>57</v>
      </c>
      <c r="Z357" s="38" t="s">
        <v>53</v>
      </c>
      <c r="AA357" s="1">
        <f>Z347/(AVERAGE(D353:D358)/_xlfn.STDEV.P(E353:E358))</f>
        <v>0.39743904747176428</v>
      </c>
    </row>
    <row r="358" spans="1:27">
      <c r="B358" s="13">
        <v>11</v>
      </c>
      <c r="C358" s="20" t="s">
        <v>36</v>
      </c>
      <c r="D358" s="21" cm="1">
        <f t="array" ref="D358">_xlfn.SINGLE(IF(A356=A357,_xll.ciqfunctions.udf.CIQ(A348,"IQ_TOTAL_REV",IQ_FY)/I358, _xll.ciqfunctions.udf.CIQ(A348, "IQ_TOTAL_REV",IQ_LTM)/I358))</f>
        <v>12.538899430740038</v>
      </c>
      <c r="E358" s="22">
        <f t="shared" si="95"/>
        <v>-0.17731742720570406</v>
      </c>
      <c r="F358" s="21">
        <f>IF(A356=A357,_xll.ciqfunctions.udf.CIQ(A348,"IQ_DILUT_EPS_EXCL",IQ_FY), _xll.ciqfunctions.udf.CIQ(A348, "IQ_DILUT_EPS_EXCL",IQ_LTM))</f>
        <v>-0.39472000000000002</v>
      </c>
      <c r="G358" s="21">
        <f>IF(A356=A357,_xll.ciqfunctions.udf.CIQ(A348,"IQ_EBITDA_MARGIN",IQ_FY), _xll.ciqfunctions.udf.CIQ(A348, "IQ_EBITDA_MARGIN",IQ_LTM))</f>
        <v>15.689299999999999</v>
      </c>
      <c r="H358" s="21">
        <f>IF(A356=A357,_xll.ciqfunctions.udf.CIQ(A348,"IQ_TOTAL_DIV_PAID_CF",IQ_FY)/-I358, _xll.ciqfunctions.udf.CIQ(A348, "IQ_TOTAL_DIV_PAID_CF",IQ_LTM)/-I358)</f>
        <v>0.96537001897533203</v>
      </c>
      <c r="I358" s="23">
        <f>IF(A356=A357,_xll.ciqfunctions.udf.CIQ(A348,"IQ_TOTAL_OUTSTANDING_FILING_DATE",IQ_FY),_xll.ciqfunctions.udf.CIQ(A348,"IQ_sharesoutstanding"))</f>
        <v>4216</v>
      </c>
      <c r="J358" s="23">
        <f>IF(A356=A357,_xll.ciqfunctions.udf.CIQ(A348,"IQ_CASH_OPER",IQ_FY), _xll.ciqfunctions.udf.CIQ(A348, "IQ_CASH_OPER",IQ_LTM))</f>
        <v>14550</v>
      </c>
      <c r="K358" s="23">
        <f>IF(A356=A357,_xll.ciqfunctions.udf.CIQ(A348,"IQ_CAPEX",IQ_FY), _xll.ciqfunctions.udf.CIQ(A348, "IQ_CAPEX",IQ_LTM))</f>
        <v>-24959</v>
      </c>
      <c r="L358" s="21">
        <f t="shared" si="92"/>
        <v>-2.4689278937381403</v>
      </c>
      <c r="M358" s="23">
        <f>IF(A356=A357,_xll.ciqfunctions.udf.CIQ(A348,"IQ_TOTAL_DEBT_ISSUED",IQ_FY), _xll.ciqfunctions.udf.CIQ(A348, "IQ_TOTAL_DEBT_ISSUED",IQ_LTM))</f>
        <v>15781</v>
      </c>
      <c r="N358" s="23">
        <f>IF(A356=A357,_xll.ciqfunctions.udf.CIQ(A348,"IQ_TOTAL_DEBT_REPAID",IQ_FY), _xll.ciqfunctions.udf.CIQ(A348, "IQ_TOTAL_DEBT_REPAID",IQ_LTM))</f>
        <v>-6363</v>
      </c>
      <c r="O358" s="21">
        <f t="shared" si="93"/>
        <v>2.2338709677419355</v>
      </c>
      <c r="P358" s="21">
        <f t="shared" si="94"/>
        <v>-0.23505692599620476</v>
      </c>
      <c r="Q358" s="25" t="s">
        <v>45</v>
      </c>
      <c r="S358" s="45"/>
      <c r="U358" s="25"/>
      <c r="W358" s="45"/>
      <c r="Y358" s="25"/>
      <c r="AA358" s="45"/>
    </row>
    <row r="359" spans="1:27">
      <c r="B359" s="24"/>
      <c r="C359" s="25" t="s">
        <v>37</v>
      </c>
      <c r="E359" s="26">
        <f>((D358/D353)^(1/5))-1</f>
        <v>-4.4631445997076469E-2</v>
      </c>
      <c r="F359" s="27">
        <f>((F358/F353)^(1/5))-1</f>
        <v>-1.6151800224826673</v>
      </c>
      <c r="G359" s="28"/>
      <c r="H359" s="27">
        <f>((H358/H353)^(1/5))-1</f>
        <v>-4.762999480070973E-2</v>
      </c>
      <c r="I359" s="27">
        <f>((I358/I353)^(1/5))-1</f>
        <v>-1.2821830184986838E-2</v>
      </c>
      <c r="J359" s="27"/>
      <c r="K359" s="27"/>
      <c r="L359" s="26">
        <f>((L358/L353)^(1/5))-1</f>
        <v>-1.9512993297599934</v>
      </c>
      <c r="M359" s="26"/>
      <c r="N359" s="26"/>
      <c r="O359" s="26"/>
      <c r="P359" s="26">
        <f>((P358/P353)^(1/5))-1</f>
        <v>-1.6188265176158567</v>
      </c>
      <c r="Q359" s="18"/>
      <c r="R359" s="36"/>
      <c r="S359" s="45"/>
      <c r="U359" s="18"/>
      <c r="V359" s="36"/>
      <c r="W359" s="45"/>
      <c r="Y359" s="18"/>
      <c r="Z359" s="36"/>
      <c r="AA359" s="45"/>
    </row>
    <row r="360" spans="1:27">
      <c r="A360" s="29"/>
      <c r="B360" s="30"/>
      <c r="C360" s="31" t="s">
        <v>38</v>
      </c>
      <c r="D360" s="29"/>
      <c r="E360" s="32">
        <f>((D358/D348)^(1/10))-1</f>
        <v>1.6930797839652012E-2</v>
      </c>
      <c r="F360" s="33" t="e">
        <f>((F358/F348)^(1/10))-1</f>
        <v>#NUM!</v>
      </c>
      <c r="G360" s="34"/>
      <c r="H360" s="33">
        <f>((H358/H348)^(1/10))-1</f>
        <v>6.9418390991939916E-3</v>
      </c>
      <c r="I360" s="33">
        <f>((I358/I348)^(1/10))-1</f>
        <v>-1.6358262606684382E-2</v>
      </c>
      <c r="J360" s="33"/>
      <c r="K360" s="33"/>
      <c r="L360" s="32" t="e">
        <f>((L358/L348)^(1/10))-1</f>
        <v>#NUM!</v>
      </c>
      <c r="M360" s="32"/>
      <c r="N360" s="32"/>
      <c r="O360" s="32"/>
      <c r="P360" s="32" t="e">
        <f>((P358/P348)^(1/10))-1</f>
        <v>#NUM!</v>
      </c>
      <c r="Q360" s="40"/>
      <c r="R360" s="41"/>
      <c r="S360" s="46"/>
      <c r="U360" s="40"/>
      <c r="V360" s="41"/>
      <c r="W360" s="46"/>
      <c r="Y360" s="40"/>
      <c r="Z360" s="41"/>
      <c r="AA360" s="46"/>
    </row>
    <row r="361" spans="1:27">
      <c r="B361" s="24"/>
      <c r="C361" s="25"/>
      <c r="E361" s="26"/>
      <c r="F361" s="27"/>
      <c r="G361" s="28"/>
      <c r="H361" s="27"/>
      <c r="I361" s="27"/>
      <c r="J361" s="27"/>
      <c r="K361" s="27"/>
      <c r="L361" s="26"/>
      <c r="M361" s="17"/>
      <c r="N361" s="17"/>
      <c r="O361" s="17"/>
      <c r="P361" s="35"/>
      <c r="Q361" s="18"/>
      <c r="R361" s="36"/>
    </row>
    <row r="362" spans="1:27">
      <c r="A362" s="9" t="s">
        <v>0</v>
      </c>
      <c r="B362" s="10"/>
      <c r="C362" s="9" t="s">
        <v>1</v>
      </c>
      <c r="D362" s="9" t="s">
        <v>2</v>
      </c>
      <c r="E362" s="9" t="s">
        <v>3</v>
      </c>
      <c r="F362" s="11" t="s">
        <v>4</v>
      </c>
      <c r="G362" s="11" t="s">
        <v>5</v>
      </c>
      <c r="H362" s="9" t="s">
        <v>6</v>
      </c>
      <c r="I362" s="11" t="s">
        <v>7</v>
      </c>
      <c r="J362" s="11" t="s">
        <v>8</v>
      </c>
      <c r="K362" s="11" t="s">
        <v>9</v>
      </c>
      <c r="L362" s="11" t="s">
        <v>10</v>
      </c>
      <c r="M362" s="11" t="s">
        <v>11</v>
      </c>
      <c r="N362" s="11" t="s">
        <v>12</v>
      </c>
      <c r="O362" s="11" t="s">
        <v>13</v>
      </c>
      <c r="P362" s="11" t="s">
        <v>14</v>
      </c>
      <c r="Q362" s="37" t="s">
        <v>15</v>
      </c>
      <c r="R362" s="42">
        <f>_xll.ciqfunctions.udf.CIQ(A363,("IQ_LASTSALEPRICE"))</f>
        <v>95.01</v>
      </c>
      <c r="S362" s="44"/>
      <c r="U362" s="37" t="s">
        <v>15</v>
      </c>
      <c r="V362" s="42">
        <f>_xll.ciqfunctions.udf.CIQ(A363,("IQ_LASTSALEPRICE"))</f>
        <v>95.01</v>
      </c>
      <c r="W362" s="44"/>
      <c r="Y362" s="37" t="s">
        <v>15</v>
      </c>
      <c r="Z362" s="42">
        <f>_xll.ciqfunctions.udf.CIQ(A363,("IQ_LASTSALEPRICE"))</f>
        <v>95.01</v>
      </c>
      <c r="AA362" s="44"/>
    </row>
    <row r="363" spans="1:27">
      <c r="A363" s="12" t="str">
        <f>Analysis!B26</f>
        <v>NasdaqGS:SWKS</v>
      </c>
      <c r="B363" s="13">
        <v>1</v>
      </c>
      <c r="C363" s="14" t="s">
        <v>16</v>
      </c>
      <c r="D363" s="15">
        <f>IF(A371=A372,_xll.ciqfunctions.udf.CIQ(A363,"IQ_TOTAL_REV",IQ_FY-10)/I363,_xll.ciqfunctions.udf.CIQ(A363, "IQ_TOTAL_REV",IQ_FY-9)/I363)</f>
        <v>9.5109331679676448</v>
      </c>
      <c r="E363" s="16"/>
      <c r="F363" s="15">
        <f>IF(A371=A372,_xll.ciqfunctions.udf.CIQ(A363,"IQ_DILUT_EPS_EXCL",IQ_FY-10), _xll.ciqfunctions.udf.CIQ(A363, "IQ_DILUT_EPS_EXCL",IQ_FY-9))</f>
        <v>1.45</v>
      </c>
      <c r="G363" s="15">
        <f>IF(A371=A372,_xll.ciqfunctions.udf.CIQ(A363,"IQ_EBITDA_MARGIN",IQ_FY-10), _xll.ciqfunctions.udf.CIQ(A363, "IQ_EBITDA_MARGIN",IQ_FY-9))</f>
        <v>25.385000000000002</v>
      </c>
      <c r="H363" s="15">
        <f>IF(A371=A372,_xll.ciqfunctions.udf.CIQ(A363,"IQ_TOTAL_DIV_PAID_CF",IQ_FY-10)/-I363, _xll.ciqfunctions.udf.CIQ(A363, "IQ_TOTAL_DIV_PAID_CF",IQ_FY-9)/-I363)</f>
        <v>0</v>
      </c>
      <c r="I363" s="17">
        <f>IF(A371=A372,_xll.ciqfunctions.udf.CIQ(A363,"IQ_TOTAL_OUTSTANDING_FILING_DATE",IQ_FY-10), _xll.ciqfunctions.udf.CIQ(A363, "IQ_TOTAL_OUTSTANDING_FILING_DATE",IQ_FY-9))</f>
        <v>188.41473999999999</v>
      </c>
      <c r="J363" s="17">
        <f>IF(A371=A372,_xll.ciqfunctions.udf.CIQ(A363,"IQ_CASH_OPER",IQ_FY-10), _xll.ciqfunctions.udf.CIQ(A363, "IQ_CASH_OPER",IQ_FY-9))</f>
        <v>499.7</v>
      </c>
      <c r="K363" s="17">
        <f>IF(A371=A372,_xll.ciqfunctions.udf.CIQ(A363,"IQ_CAPEX",IQ_FY-10), _xll.ciqfunctions.udf.CIQ(A363, "IQ_CAPEX",IQ_FY-9))</f>
        <v>-123.8</v>
      </c>
      <c r="L363" s="15">
        <f t="shared" ref="L363:L373" si="96">(J363+K363)/I363</f>
        <v>1.9950668403119627</v>
      </c>
      <c r="M363" s="17">
        <f>IF(A371=A372,_xll.ciqfunctions.udf.CIQ(A363,"IQ_TOTAL_DEBT_ISSUED",IQ_FY-10), _xll.ciqfunctions.udf.CIQ(A363, "IQ_TOTAL_DEBT_ISSUED",IQ_FY-9))</f>
        <v>0</v>
      </c>
      <c r="N363" s="17">
        <f>IF(A371=A372,_xll.ciqfunctions.udf.CIQ(A363,"IQ_TOTAL_DEBT_REPAID",IQ_FY-10), _xll.ciqfunctions.udf.CIQ(A363, "IQ_TOTAL_DEBT_REPAID",IQ_FY-9))</f>
        <v>0</v>
      </c>
      <c r="O363" s="15">
        <f t="shared" ref="O363:O373" si="97">(M363+N363)/I363</f>
        <v>0</v>
      </c>
      <c r="P363" s="15">
        <f t="shared" ref="P363:P373" si="98">L363+O363</f>
        <v>1.9950668403119627</v>
      </c>
      <c r="W363" s="43"/>
      <c r="AA363" s="43"/>
    </row>
    <row r="364" spans="1:27">
      <c r="A364" s="18" t="str">
        <f>_xll.ciqfunctions.udf.CIQ(A363,"IQ_COMPANY_NAME")</f>
        <v>Skyworks Solutions, Inc.</v>
      </c>
      <c r="B364" s="13">
        <v>2</v>
      </c>
      <c r="C364" s="14" t="s">
        <v>17</v>
      </c>
      <c r="D364" s="15">
        <f>IF(A371=A372,_xll.ciqfunctions.udf.CIQ(A363,"IQ_TOTAL_REV",IQ_FY-9)/I364, _xll.ciqfunctions.udf.CIQ(A363, "IQ_TOTAL_REV",IQ_FY-8)/I364)</f>
        <v>12.019179074596119</v>
      </c>
      <c r="E364" s="16">
        <f t="shared" ref="E364:E373" si="99">(D364-D363)/D363</f>
        <v>0.26372237742939075</v>
      </c>
      <c r="F364" s="15">
        <f>IF(A371=A372,_xll.ciqfunctions.udf.CIQ(A363,"IQ_DILUT_EPS_EXCL",IQ_FY-9), _xll.ciqfunctions.udf.CIQ(A363, "IQ_DILUT_EPS_EXCL",IQ_FY-8))</f>
        <v>2.38</v>
      </c>
      <c r="G364" s="15">
        <f>IF(A371=A372,_xll.ciqfunctions.udf.CIQ(A363,"IQ_EBITDA_MARGIN",IQ_FY-9), _xll.ciqfunctions.udf.CIQ(A363, "IQ_EBITDA_MARGIN",IQ_FY-8))</f>
        <v>30.032699999999998</v>
      </c>
      <c r="H364" s="15">
        <f>IF(A371=A372,_xll.ciqfunctions.udf.CIQ(A363,"IQ_TOTAL_DIV_PAID_CF",IQ_FY-9)/-I364, _xll.ciqfunctions.udf.CIQ(A363, "IQ_TOTAL_DIV_PAID_CF",IQ_FY-8)/-I364)</f>
        <v>0.21714772580767153</v>
      </c>
      <c r="I364" s="17">
        <f>IF(A371=A372,_xll.ciqfunctions.udf.CIQ(A363,"IQ_TOTAL_OUTSTANDING_FILING_DATE",IQ_FY-9), _xll.ciqfunctions.udf.CIQ(A363, "IQ_TOTAL_OUTSTANDING_FILING_DATE",IQ_FY-8))</f>
        <v>190.65361999999999</v>
      </c>
      <c r="J364" s="17">
        <f>IF(A371=A372,_xll.ciqfunctions.udf.CIQ(A363,"IQ_CASH_OPER",IQ_FY-9), _xll.ciqfunctions.udf.CIQ(A363, "IQ_CASH_OPER",IQ_FY-8))</f>
        <v>772.4</v>
      </c>
      <c r="K364" s="17">
        <f>IF(A371=A372,_xll.ciqfunctions.udf.CIQ(A363,"IQ_CAPEX",IQ_FY-9), _xll.ciqfunctions.udf.CIQ(A363, "IQ_CAPEX",IQ_FY-8))</f>
        <v>-208.6</v>
      </c>
      <c r="L364" s="15">
        <f t="shared" si="96"/>
        <v>2.9571953577382901</v>
      </c>
      <c r="M364" s="17">
        <f>IF(A371=A372,_xll.ciqfunctions.udf.CIQ(A363,"IQ_TOTAL_DEBT_ISSUED",IQ_FY-9), _xll.ciqfunctions.udf.CIQ(A363, "IQ_TOTAL_DEBT_ISSUED",IQ_FY-8))</f>
        <v>0</v>
      </c>
      <c r="N364" s="17">
        <f>IF(A371=A372,_xll.ciqfunctions.udf.CIQ(A363,"IQ_TOTAL_DEBT_REPAID",IQ_FY-9), _xll.ciqfunctions.udf.CIQ(A363, "IQ_TOTAL_DEBT_REPAID",IQ_FY-8))</f>
        <v>0</v>
      </c>
      <c r="O364" s="15">
        <f t="shared" si="97"/>
        <v>0</v>
      </c>
      <c r="P364" s="15">
        <f t="shared" si="98"/>
        <v>2.9571953577382901</v>
      </c>
      <c r="Q364" s="25" t="s">
        <v>18</v>
      </c>
      <c r="R364" s="39" t="s">
        <v>19</v>
      </c>
      <c r="S364" s="1">
        <f>R362/((AVERAGE(P368:P373))*(1+E374)^3)</f>
        <v>10.284767674179447</v>
      </c>
      <c r="U364" s="25" t="s">
        <v>48</v>
      </c>
      <c r="V364" s="39" t="s">
        <v>19</v>
      </c>
      <c r="W364" s="1">
        <f>V362/((AVERAGE(P368:P373))*(1+E374)^3)</f>
        <v>10.284767674179447</v>
      </c>
      <c r="Y364" s="25" t="s">
        <v>39</v>
      </c>
      <c r="Z364" s="39" t="s">
        <v>19</v>
      </c>
      <c r="AA364" s="1">
        <f>Z362/((AVERAGE(P368:P373))*(1+E374)^3)</f>
        <v>10.284767674179447</v>
      </c>
    </row>
    <row r="365" spans="1:27">
      <c r="B365" s="13">
        <v>3</v>
      </c>
      <c r="C365" s="14" t="s">
        <v>20</v>
      </c>
      <c r="D365" s="15" cm="1">
        <f t="array" ref="D365">_xlfn.SINGLE(IF(A371=A372,_xll.ciqfunctions.udf.CIQ(A363,"IQ_TOTAL_REV",IQ_FY-8)/I365, _xll.ciqfunctions.udf.CIQ(A363, "IQ_TOTAL_REV",IQ_FY-7)/I365))</f>
        <v>17.046201515251624</v>
      </c>
      <c r="E365" s="16">
        <f t="shared" si="99"/>
        <v>0.41825006595339614</v>
      </c>
      <c r="F365" s="15">
        <f>IF(A371=A372,_xll.ciqfunctions.udf.CIQ(A363,"IQ_DILUT_EPS_EXCL",IQ_FY-8), _xll.ciqfunctions.udf.CIQ(A363, "IQ_DILUT_EPS_EXCL",IQ_FY-7))</f>
        <v>4.0999999999999996</v>
      </c>
      <c r="G365" s="15">
        <f>IF(A371=A372,_xll.ciqfunctions.udf.CIQ(A363,"IQ_EBITDA_MARGIN",IQ_FY-8), _xll.ciqfunctions.udf.CIQ(A363, "IQ_EBITDA_MARGIN",IQ_FY-7))</f>
        <v>37.5122</v>
      </c>
      <c r="H365" s="15">
        <f>IF(A371=A372,_xll.ciqfunctions.udf.CIQ(A363,"IQ_TOTAL_DIV_PAID_CF",IQ_FY-8)/-I365, _xll.ciqfunctions.udf.CIQ(A363, "IQ_TOTAL_DIV_PAID_CF",IQ_FY-7)/-I365)</f>
        <v>0.64399318884344314</v>
      </c>
      <c r="I365" s="17">
        <f>IF(A371=A372,_xll.ciqfunctions.udf.CIQ(A363,"IQ_TOTAL_OUTSTANDING_FILING_DATE",IQ_FY-8), _xll.ciqfunctions.udf.CIQ(A363, "IQ_TOTAL_OUTSTANDING_FILING_DATE",IQ_FY-7))</f>
        <v>191.15109000000001</v>
      </c>
      <c r="J365" s="17">
        <f>IF(A371=A372,_xll.ciqfunctions.udf.CIQ(A363,"IQ_CASH_OPER",IQ_FY-8), _xll.ciqfunctions.udf.CIQ(A363, "IQ_CASH_OPER",IQ_FY-7))</f>
        <v>992.8</v>
      </c>
      <c r="K365" s="17">
        <f>IF(A371=A372,_xll.ciqfunctions.udf.CIQ(A363,"IQ_CAPEX",IQ_FY-8), _xll.ciqfunctions.udf.CIQ(A363, "IQ_CAPEX",IQ_FY-7))</f>
        <v>-430.1</v>
      </c>
      <c r="L365" s="15">
        <f t="shared" si="96"/>
        <v>2.9437446576946011</v>
      </c>
      <c r="M365" s="17">
        <f>IF(A371=A372,_xll.ciqfunctions.udf.CIQ(A363,"IQ_TOTAL_DEBT_ISSUED",IQ_FY-8), _xll.ciqfunctions.udf.CIQ(A363, "IQ_TOTAL_DEBT_ISSUED",IQ_FY-7))</f>
        <v>0</v>
      </c>
      <c r="N365" s="17">
        <f>IF(A371=A372,_xll.ciqfunctions.udf.CIQ(A363,"IQ_TOTAL_DEBT_REPAID",IQ_FY-8), _xll.ciqfunctions.udf.CIQ(A363, "IQ_TOTAL_DEBT_REPAID",IQ_FY-7))</f>
        <v>0</v>
      </c>
      <c r="O365" s="15">
        <f t="shared" si="97"/>
        <v>0</v>
      </c>
      <c r="P365" s="15">
        <f t="shared" si="98"/>
        <v>2.9437446576946011</v>
      </c>
      <c r="Q365" s="25" t="s">
        <v>21</v>
      </c>
      <c r="R365" s="38" t="s">
        <v>49</v>
      </c>
      <c r="S365" s="2">
        <f>(R362*I373)/1000</f>
        <v>15.197312198700001</v>
      </c>
      <c r="U365" s="25" t="s">
        <v>59</v>
      </c>
      <c r="V365" s="38" t="s">
        <v>49</v>
      </c>
      <c r="W365" s="2">
        <f>(V362*I373)/1000</f>
        <v>15.197312198700001</v>
      </c>
      <c r="Y365" s="25" t="s">
        <v>46</v>
      </c>
      <c r="Z365" s="38" t="s">
        <v>49</v>
      </c>
      <c r="AA365" s="2">
        <f>(Z362*I373)/1000</f>
        <v>15.197312198700001</v>
      </c>
    </row>
    <row r="366" spans="1:27">
      <c r="A366" s="18"/>
      <c r="B366" s="13">
        <v>4</v>
      </c>
      <c r="C366" s="14" t="s">
        <v>22</v>
      </c>
      <c r="D366" s="15" cm="1">
        <f t="array" ref="D366">_xlfn.SINGLE(IF(A371=A372,_xll.ciqfunctions.udf.CIQ(A363,"IQ_TOTAL_REV",IQ_FY-7)/I366, _xll.ciqfunctions.udf.CIQ(A363, "IQ_TOTAL_REV",IQ_FY-6)/I366))</f>
        <v>17.70050286326757</v>
      </c>
      <c r="E366" s="16">
        <f t="shared" si="99"/>
        <v>3.8383997011329878E-2</v>
      </c>
      <c r="F366" s="15">
        <f>IF(A371=A372,_xll.ciqfunctions.udf.CIQ(A363,"IQ_DILUT_EPS_EXCL",IQ_FY-7), _xll.ciqfunctions.udf.CIQ(A363, "IQ_DILUT_EPS_EXCL",IQ_FY-6))</f>
        <v>5.18</v>
      </c>
      <c r="G366" s="15">
        <f>IF(A371=A372,_xll.ciqfunctions.udf.CIQ(A363,"IQ_EBITDA_MARGIN",IQ_FY-7), _xll.ciqfunctions.udf.CIQ(A363, "IQ_EBITDA_MARGIN",IQ_FY-6))</f>
        <v>41.6935</v>
      </c>
      <c r="H366" s="15">
        <f>IF(A371=A372,_xll.ciqfunctions.udf.CIQ(A363,"IQ_TOTAL_DIV_PAID_CF",IQ_FY-7)/-I366, _xll.ciqfunctions.udf.CIQ(A363, "IQ_TOTAL_DIV_PAID_CF",IQ_FY-6)/-I366)</f>
        <v>1.0817272956876807</v>
      </c>
      <c r="I366" s="17">
        <f>IF(A371=A372,_xll.ciqfunctions.udf.CIQ(A363,"IQ_TOTAL_OUTSTANDING_FILING_DATE",IQ_FY-7), _xll.ciqfunctions.udf.CIQ(A363, "IQ_TOTAL_OUTSTANDING_FILING_DATE",IQ_FY-6))</f>
        <v>185.81393</v>
      </c>
      <c r="J366" s="17">
        <f>IF(A371=A372,_xll.ciqfunctions.udf.CIQ(A363,"IQ_CASH_OPER",IQ_FY-7), _xll.ciqfunctions.udf.CIQ(A363, "IQ_CASH_OPER",IQ_FY-6))</f>
        <v>1077.7</v>
      </c>
      <c r="K366" s="17">
        <f>IF(A371=A372,_xll.ciqfunctions.udf.CIQ(A363,"IQ_CAPEX",IQ_FY-7), _xll.ciqfunctions.udf.CIQ(A363, "IQ_CAPEX",IQ_FY-6))</f>
        <v>-189.3</v>
      </c>
      <c r="L366" s="15">
        <f t="shared" si="96"/>
        <v>4.7811270123827647</v>
      </c>
      <c r="M366" s="17">
        <f>IF(A371=A372,_xll.ciqfunctions.udf.CIQ(A363,"IQ_TOTAL_DEBT_ISSUED",IQ_FY-7), _xll.ciqfunctions.udf.CIQ(A363, "IQ_TOTAL_DEBT_ISSUED",IQ_FY-6))</f>
        <v>0</v>
      </c>
      <c r="N366" s="17">
        <f>IF(A371=A372,_xll.ciqfunctions.udf.CIQ(A363,"IQ_TOTAL_DEBT_REPAID",IQ_FY-7), _xll.ciqfunctions.udf.CIQ(A363, "IQ_TOTAL_DEBT_REPAID",IQ_FY-6))</f>
        <v>0</v>
      </c>
      <c r="O366" s="15">
        <f t="shared" si="97"/>
        <v>0</v>
      </c>
      <c r="P366" s="15">
        <f t="shared" si="98"/>
        <v>4.7811270123827647</v>
      </c>
      <c r="Q366" s="25" t="s">
        <v>23</v>
      </c>
      <c r="R366" s="38" t="s">
        <v>24</v>
      </c>
      <c r="S366" s="1">
        <f>R362/(AVERAGE(H368:H373)*(1+H374)/(0.5-H374))</f>
        <v>15.840941158053726</v>
      </c>
      <c r="U366" s="25" t="s">
        <v>40</v>
      </c>
      <c r="V366" s="38" t="s">
        <v>24</v>
      </c>
      <c r="W366" s="1">
        <f>V362/(AVERAGE(H368:H373)*(1+H374)/(0.5-H374))</f>
        <v>15.840941158053726</v>
      </c>
      <c r="Y366" s="25" t="s">
        <v>47</v>
      </c>
      <c r="Z366" s="38" t="s">
        <v>24</v>
      </c>
      <c r="AA366" s="1">
        <f>Z362/(AVERAGE(H368:H373)*(1+H374)/(0.5-H374))</f>
        <v>15.840941158053726</v>
      </c>
    </row>
    <row r="367" spans="1:27">
      <c r="B367" s="13">
        <v>5</v>
      </c>
      <c r="C367" s="14" t="s">
        <v>25</v>
      </c>
      <c r="D367" s="15" cm="1">
        <f t="array" ref="D367">_xlfn.SINGLE(IF(A371=A372,_xll.ciqfunctions.udf.CIQ(A363,"IQ_TOTAL_REV",IQ_FY-6)/I367, _xll.ciqfunctions.udf.CIQ(A363, "IQ_TOTAL_REV",IQ_FY-5)/I367))</f>
        <v>19.932355326522647</v>
      </c>
      <c r="E367" s="16">
        <f t="shared" si="99"/>
        <v>0.12608977725071646</v>
      </c>
      <c r="F367" s="15">
        <f>IF(A371=A372,_xll.ciqfunctions.udf.CIQ(A363,"IQ_DILUT_EPS_EXCL",IQ_FY-6), _xll.ciqfunctions.udf.CIQ(A363, "IQ_DILUT_EPS_EXCL",IQ_FY-5))</f>
        <v>5.41</v>
      </c>
      <c r="G367" s="15">
        <f>IF(A371=A372,_xll.ciqfunctions.udf.CIQ(A363,"IQ_EBITDA_MARGIN",IQ_FY-6), _xll.ciqfunctions.udf.CIQ(A363, "IQ_EBITDA_MARGIN",IQ_FY-5))</f>
        <v>41.296399999999998</v>
      </c>
      <c r="H367" s="15">
        <f>IF(A371=A372,_xll.ciqfunctions.udf.CIQ(A363,"IQ_TOTAL_DIV_PAID_CF",IQ_FY-6)/-I367, _xll.ciqfunctions.udf.CIQ(A363, "IQ_TOTAL_DIV_PAID_CF",IQ_FY-5)/-I367)</f>
        <v>1.1714639461772909</v>
      </c>
      <c r="I367" s="17">
        <f>IF(A371=A372,_xll.ciqfunctions.udf.CIQ(A363,"IQ_TOTAL_OUTSTANDING_FILING_DATE",IQ_FY-6), _xll.ciqfunctions.udf.CIQ(A363, "IQ_TOTAL_OUTSTANDING_FILING_DATE",IQ_FY-5))</f>
        <v>183.18959000000001</v>
      </c>
      <c r="J367" s="17">
        <f>IF(A371=A372,_xll.ciqfunctions.udf.CIQ(A363,"IQ_CASH_OPER",IQ_FY-6), _xll.ciqfunctions.udf.CIQ(A363, "IQ_CASH_OPER",IQ_FY-5))</f>
        <v>1456.3</v>
      </c>
      <c r="K367" s="17">
        <f>IF(A371=A372,_xll.ciqfunctions.udf.CIQ(A363,"IQ_CAPEX",IQ_FY-6), _xll.ciqfunctions.udf.CIQ(A363, "IQ_CAPEX",IQ_FY-5))</f>
        <v>-303.3</v>
      </c>
      <c r="L367" s="15">
        <f t="shared" si="96"/>
        <v>6.2940257686039907</v>
      </c>
      <c r="M367" s="17">
        <f>IF(A371=A372,_xll.ciqfunctions.udf.CIQ(A363,"IQ_TOTAL_DEBT_ISSUED",IQ_FY-6), _xll.ciqfunctions.udf.CIQ(A363, "IQ_TOTAL_DEBT_ISSUED",IQ_FY-5))</f>
        <v>0</v>
      </c>
      <c r="N367" s="17">
        <f>IF(A371=A372,_xll.ciqfunctions.udf.CIQ(A363,"IQ_TOTAL_DEBT_REPAID",IQ_FY-6), _xll.ciqfunctions.udf.CIQ(A363, "IQ_TOTAL_DEBT_REPAID",IQ_FY-5))</f>
        <v>0</v>
      </c>
      <c r="O367" s="15">
        <f t="shared" si="97"/>
        <v>0</v>
      </c>
      <c r="P367" s="15">
        <f t="shared" si="98"/>
        <v>6.2940257686039907</v>
      </c>
      <c r="Q367" s="18"/>
      <c r="R367" s="38" t="s">
        <v>50</v>
      </c>
      <c r="S367" s="3">
        <f>I374</f>
        <v>-2.0635936041900615E-2</v>
      </c>
      <c r="U367" s="18"/>
      <c r="V367" s="38" t="s">
        <v>50</v>
      </c>
      <c r="W367" s="3">
        <f>I374</f>
        <v>-2.0635936041900615E-2</v>
      </c>
      <c r="Y367" s="18"/>
      <c r="Z367" s="38" t="s">
        <v>50</v>
      </c>
      <c r="AA367" s="3">
        <f>I374</f>
        <v>-2.0635936041900615E-2</v>
      </c>
    </row>
    <row r="368" spans="1:27">
      <c r="B368" s="13">
        <v>6</v>
      </c>
      <c r="C368" s="14" t="s">
        <v>26</v>
      </c>
      <c r="D368" s="15" cm="1">
        <f t="array" ref="D368">_xlfn.SINGLE(IF(A371=A372,_xll.ciqfunctions.udf.CIQ(A363,"IQ_TOTAL_REV",IQ_FY-5)/I368, _xll.ciqfunctions.udf.CIQ(A363, "IQ_TOTAL_REV",IQ_FY-4)/I368))</f>
        <v>21.787621386566926</v>
      </c>
      <c r="E368" s="16">
        <f t="shared" si="99"/>
        <v>9.3078114936853515E-2</v>
      </c>
      <c r="F368" s="15">
        <f>IF(A371=A372,_xll.ciqfunctions.udf.CIQ(A363,"IQ_DILUT_EPS_EXCL",IQ_FY-5), _xll.ciqfunctions.udf.CIQ(A363, "IQ_DILUT_EPS_EXCL",IQ_FY-4))</f>
        <v>5.01</v>
      </c>
      <c r="G368" s="15">
        <f>IF(A371=A372,_xll.ciqfunctions.udf.CIQ(A363,"IQ_EBITDA_MARGIN",IQ_FY-5), _xll.ciqfunctions.udf.CIQ(A363, "IQ_EBITDA_MARGIN",IQ_FY-4))</f>
        <v>41.646799999999999</v>
      </c>
      <c r="H368" s="15">
        <f>IF(A371=A372,_xll.ciqfunctions.udf.CIQ(A363,"IQ_TOTAL_DIV_PAID_CF",IQ_FY-5)/-I368, _xll.ciqfunctions.udf.CIQ(A363, "IQ_TOTAL_DIV_PAID_CF",IQ_FY-4)/-I368)</f>
        <v>1.3698938782867314</v>
      </c>
      <c r="I368" s="17">
        <f>IF(A371=A372,_xll.ciqfunctions.udf.CIQ(A363,"IQ_TOTAL_OUTSTANDING_FILING_DATE",IQ_FY-5), _xll.ciqfunctions.udf.CIQ(A363, "IQ_TOTAL_OUTSTANDING_FILING_DATE",IQ_FY-4))</f>
        <v>177.53200000000001</v>
      </c>
      <c r="J368" s="17">
        <f>IF(A371=A372,_xll.ciqfunctions.udf.CIQ(A363,"IQ_CASH_OPER",IQ_FY-5), _xll.ciqfunctions.udf.CIQ(A363, "IQ_CASH_OPER",IQ_FY-4))</f>
        <v>1260.5999999999999</v>
      </c>
      <c r="K368" s="17">
        <f>IF(A371=A372,_xll.ciqfunctions.udf.CIQ(A363,"IQ_CAPEX",IQ_FY-5), _xll.ciqfunctions.udf.CIQ(A363, "IQ_CAPEX",IQ_FY-4))</f>
        <v>-422.3</v>
      </c>
      <c r="L368" s="15">
        <f t="shared" si="96"/>
        <v>4.7219656174661466</v>
      </c>
      <c r="M368" s="17">
        <f>IF(A371=A372,_xll.ciqfunctions.udf.CIQ(A363,"IQ_TOTAL_DEBT_ISSUED",IQ_FY-5), _xll.ciqfunctions.udf.CIQ(A363, "IQ_TOTAL_DEBT_ISSUED",IQ_FY-4))</f>
        <v>0</v>
      </c>
      <c r="N368" s="17">
        <f>IF(A371=A372,_xll.ciqfunctions.udf.CIQ(A363,"IQ_TOTAL_DEBT_REPAID",IQ_FY-5), _xll.ciqfunctions.udf.CIQ(A363, "IQ_TOTAL_DEBT_REPAID",IQ_FY-4))</f>
        <v>0</v>
      </c>
      <c r="O368" s="15">
        <f t="shared" si="97"/>
        <v>0</v>
      </c>
      <c r="P368" s="15">
        <f t="shared" si="98"/>
        <v>4.7219656174661466</v>
      </c>
      <c r="Q368" s="25" t="s">
        <v>27</v>
      </c>
      <c r="R368" s="38" t="s">
        <v>51</v>
      </c>
      <c r="S368" s="4">
        <f>AVERAGE(F368:F373)/AVERAGE(D368:D373)</f>
        <v>0.23987489851538801</v>
      </c>
      <c r="U368" s="25" t="s">
        <v>58</v>
      </c>
      <c r="V368" s="38" t="s">
        <v>51</v>
      </c>
      <c r="W368" s="4">
        <f>AVERAGE(F368:F373)/AVERAGE(D368:D373)</f>
        <v>0.23987489851538801</v>
      </c>
      <c r="Y368" s="25" t="s">
        <v>56</v>
      </c>
      <c r="Z368" s="38" t="s">
        <v>51</v>
      </c>
      <c r="AA368" s="4">
        <f>AVERAGE(F368:F373)/AVERAGE(D368:D373)</f>
        <v>0.23987489851538801</v>
      </c>
    </row>
    <row r="369" spans="1:27">
      <c r="A369" s="18"/>
      <c r="B369" s="13">
        <v>7</v>
      </c>
      <c r="C369" s="14" t="s">
        <v>28</v>
      </c>
      <c r="D369" s="15" cm="1">
        <f t="array" ref="D369">_xlfn.SINGLE(IF(A371=A372,_xll.ciqfunctions.udf.CIQ(A363,"IQ_TOTAL_REV",IQ_FY-4)/I369, _xll.ciqfunctions.udf.CIQ(A363, "IQ_TOTAL_REV",IQ_FY-3)/I369))</f>
        <v>19.819772018623357</v>
      </c>
      <c r="E369" s="16">
        <f t="shared" si="99"/>
        <v>-9.0319605478220683E-2</v>
      </c>
      <c r="F369" s="15">
        <f>IF(A371=A372,_xll.ciqfunctions.udf.CIQ(A363,"IQ_DILUT_EPS_EXCL",IQ_FY-4), _xll.ciqfunctions.udf.CIQ(A363, "IQ_DILUT_EPS_EXCL",IQ_FY-3))</f>
        <v>4.8899999999999997</v>
      </c>
      <c r="G369" s="15">
        <f>IF(A371=A372,_xll.ciqfunctions.udf.CIQ(A363,"IQ_EBITDA_MARGIN",IQ_FY-4), _xll.ciqfunctions.udf.CIQ(A363, "IQ_EBITDA_MARGIN",IQ_FY-3))</f>
        <v>38.388399999999997</v>
      </c>
      <c r="H369" s="15">
        <f>IF(A371=A372,_xll.ciqfunctions.udf.CIQ(A363,"IQ_TOTAL_DIV_PAID_CF",IQ_FY-4)/-I369, _xll.ciqfunctions.udf.CIQ(A363, "IQ_TOTAL_DIV_PAID_CF",IQ_FY-3)/-I369)</f>
        <v>1.6076272079782448</v>
      </c>
      <c r="I369" s="17">
        <f>IF(A371=A372,_xll.ciqfunctions.udf.CIQ(A363,"IQ_TOTAL_OUTSTANDING_FILING_DATE",IQ_FY-4), _xll.ciqfunctions.udf.CIQ(A363, "IQ_TOTAL_OUTSTANDING_FILING_DATE",IQ_FY-3))</f>
        <v>170.37531999999999</v>
      </c>
      <c r="J369" s="17">
        <f>IF(A371=A372,_xll.ciqfunctions.udf.CIQ(A363,"IQ_CASH_OPER",IQ_FY-4), _xll.ciqfunctions.udf.CIQ(A363, "IQ_CASH_OPER",IQ_FY-3))</f>
        <v>1367.4</v>
      </c>
      <c r="K369" s="17">
        <f>IF(A371=A372,_xll.ciqfunctions.udf.CIQ(A363,"IQ_CAPEX",IQ_FY-4), _xll.ciqfunctions.udf.CIQ(A363, "IQ_CAPEX",IQ_FY-3))</f>
        <v>-398.4</v>
      </c>
      <c r="L369" s="15">
        <f t="shared" si="96"/>
        <v>5.6874434630555655</v>
      </c>
      <c r="M369" s="17">
        <f>IF(A371=A372,_xll.ciqfunctions.udf.CIQ(A363,"IQ_TOTAL_DEBT_ISSUED",IQ_FY-4), _xll.ciqfunctions.udf.CIQ(A363, "IQ_TOTAL_DEBT_ISSUED",IQ_FY-3))</f>
        <v>0</v>
      </c>
      <c r="N369" s="17">
        <f>IF(A371=A372,_xll.ciqfunctions.udf.CIQ(A363,"IQ_TOTAL_DEBT_REPAID",IQ_FY-4), _xll.ciqfunctions.udf.CIQ(A363, "IQ_TOTAL_DEBT_REPAID",IQ_FY-3))</f>
        <v>0</v>
      </c>
      <c r="O369" s="15">
        <f t="shared" si="97"/>
        <v>0</v>
      </c>
      <c r="P369" s="15">
        <f t="shared" si="98"/>
        <v>5.6874434630555655</v>
      </c>
      <c r="Q369" s="18"/>
      <c r="R369" s="38" t="s">
        <v>29</v>
      </c>
      <c r="S369" s="4">
        <f>(AVERAGE(P368:P373)/_xlfn.STDEV.P(P368:P373))/(IF(A371=A372,(_xlfn.SINGLE(_xll.ciqfunctions.udf.CIQ(A363,"IQ_total_assets",IQ_FY)) - _xlfn.SINGLE(_xll.ciqfunctions.udf.CIQ(A363,"iq_gw_intan", IQ_FY)))/I373, (_xlfn.SINGLE(_xll.ciqfunctions.udf.CIQ(A363, "IQ_total_assets",IQ_LTM))-_xlfn.SINGLE(_xll.ciqfunctions.udf.CIQ(A363,"iq_gw_intan",IQ_LTM)))/I373))</f>
        <v>4.2613938535929437E-2</v>
      </c>
      <c r="U369" s="18"/>
      <c r="V369" s="38" t="s">
        <v>29</v>
      </c>
      <c r="W369" s="4">
        <f>(AVERAGE(P368:P373)/_xlfn.STDEV.P(P368:P373))/(IF(A371=A372,(_xlfn.SINGLE(_xll.ciqfunctions.udf.CIQ(A363,"IQ_total_assets",IQ_FY)) - _xlfn.SINGLE(_xll.ciqfunctions.udf.CIQ(A363,"iq_gw_intan", IQ_FY)))/I373, (_xlfn.SINGLE(_xll.ciqfunctions.udf.CIQ(A363, "IQ_total_assets",IQ_LTM))-_xlfn.SINGLE(_xll.ciqfunctions.udf.CIQ(A363,"iq_gw_intan",IQ_LTM)))/I373))</f>
        <v>4.2613938535929437E-2</v>
      </c>
      <c r="Y369" s="18"/>
      <c r="Z369" s="38" t="s">
        <v>29</v>
      </c>
      <c r="AA369" s="4">
        <f>(AVERAGE(P368:P373)/_xlfn.STDEV.P(P368:P373))/(IF(A371=A372,(_xlfn.SINGLE(_xll.ciqfunctions.udf.CIQ(A363,"IQ_total_assets",IQ_FY)) - _xlfn.SINGLE(_xll.ciqfunctions.udf.CIQ(A363,"iq_gw_intan", IQ_FY)))/I373, (_xlfn.SINGLE(_xll.ciqfunctions.udf.CIQ(A363, "IQ_total_assets",IQ_LTM))-_xlfn.SINGLE(_xll.ciqfunctions.udf.CIQ(A363,"iq_gw_intan",IQ_LTM)))/I373))</f>
        <v>4.2613938535929437E-2</v>
      </c>
    </row>
    <row r="370" spans="1:27">
      <c r="A370" s="18"/>
      <c r="B370" s="13">
        <v>8</v>
      </c>
      <c r="C370" s="14" t="s">
        <v>30</v>
      </c>
      <c r="D370" s="15" cm="1">
        <f t="array" ref="D370">_xlfn.SINGLE(IF(A371=A372,_xll.ciqfunctions.udf.CIQ(A363,"IQ_TOTAL_REV",IQ_FY-3)/I370, _xll.ciqfunctions.udf.CIQ(A363, "IQ_TOTAL_REV",IQ_FY-2)/I370))</f>
        <v>20.205113482687921</v>
      </c>
      <c r="E370" s="16">
        <f t="shared" si="99"/>
        <v>1.9442275304805863E-2</v>
      </c>
      <c r="F370" s="15">
        <f>IF(A371=A372,_xll.ciqfunctions.udf.CIQ(A363,"IQ_DILUT_EPS_EXCL",IQ_FY-3), _xll.ciqfunctions.udf.CIQ(A363, "IQ_DILUT_EPS_EXCL",IQ_FY-2))</f>
        <v>4.8</v>
      </c>
      <c r="G370" s="15">
        <f>IF(A371=A372,_xll.ciqfunctions.udf.CIQ(A363,"IQ_EBITDA_MARGIN",IQ_FY-3), _xll.ciqfunctions.udf.CIQ(A363, "IQ_EBITDA_MARGIN",IQ_FY-2))</f>
        <v>36.823900000000002</v>
      </c>
      <c r="H370" s="15">
        <f>IF(A371=A372,_xll.ciqfunctions.udf.CIQ(A363,"IQ_TOTAL_DIV_PAID_CF",IQ_FY-3)/-I370, _xll.ciqfunctions.udf.CIQ(A363, "IQ_TOTAL_DIV_PAID_CF",IQ_FY-2)/-I370)</f>
        <v>1.8484875999598271</v>
      </c>
      <c r="I370" s="17">
        <f>IF(A371=A372,_xll.ciqfunctions.udf.CIQ(A363,"IQ_TOTAL_OUTSTANDING_FILING_DATE",IQ_FY-3), _xll.ciqfunctions.udf.CIQ(A363, "IQ_TOTAL_OUTSTANDING_FILING_DATE",IQ_FY-2))</f>
        <v>166.08171999999999</v>
      </c>
      <c r="J370" s="17">
        <f>IF(A371=A372,_xll.ciqfunctions.udf.CIQ(A363,"IQ_CASH_OPER",IQ_FY-3), _xll.ciqfunctions.udf.CIQ(A363, "IQ_CASH_OPER",IQ_FY-2))</f>
        <v>1204.5</v>
      </c>
      <c r="K370" s="17">
        <f>IF(A371=A372,_xll.ciqfunctions.udf.CIQ(A363,"IQ_CAPEX",IQ_FY-3), _xll.ciqfunctions.udf.CIQ(A363, "IQ_CAPEX",IQ_FY-2))</f>
        <v>-389.4</v>
      </c>
      <c r="L370" s="15">
        <f t="shared" si="96"/>
        <v>4.9078248948770522</v>
      </c>
      <c r="M370" s="17">
        <f>IF(A371=A372,_xll.ciqfunctions.udf.CIQ(A363,"IQ_TOTAL_DEBT_ISSUED",IQ_FY-3), _xll.ciqfunctions.udf.CIQ(A363, "IQ_TOTAL_DEBT_ISSUED",IQ_FY-2))</f>
        <v>0</v>
      </c>
      <c r="N370" s="17">
        <f>IF(A371=A372,_xll.ciqfunctions.udf.CIQ(A363,"IQ_TOTAL_DEBT_REPAID",IQ_FY-3), _xll.ciqfunctions.udf.CIQ(A363, "IQ_TOTAL_DEBT_REPAID",IQ_FY-2))</f>
        <v>0</v>
      </c>
      <c r="O370" s="15">
        <f t="shared" si="97"/>
        <v>0</v>
      </c>
      <c r="P370" s="15">
        <f t="shared" si="98"/>
        <v>4.9078248948770522</v>
      </c>
      <c r="Q370" s="18"/>
      <c r="R370" s="39" t="s">
        <v>31</v>
      </c>
      <c r="S370" s="5">
        <f>IF(NOT(D363&gt;0),FALSE,SLOPE(G363:G373,B363:B373))</f>
        <v>0.5372163636363636</v>
      </c>
      <c r="U370" s="18"/>
      <c r="V370" s="39" t="s">
        <v>31</v>
      </c>
      <c r="W370" s="5">
        <f>IF(NOT(D363&gt;0),FALSE,SLOPE(G363:G373,B363:B373))</f>
        <v>0.5372163636363636</v>
      </c>
      <c r="Y370" s="18"/>
      <c r="Z370" s="39" t="s">
        <v>31</v>
      </c>
      <c r="AA370" s="5">
        <f>IF(NOT(L363&gt;0),FALSE,SLOPE(O363:O373,J363:J373))</f>
        <v>2.2547857204774078E-3</v>
      </c>
    </row>
    <row r="371" spans="1:27">
      <c r="A371" s="19">
        <f>_xll.ciqfunctions.udf.CIQ(A363,"IQ_TOTAL_REV",IQ_FY)</f>
        <v>4772.3999999999996</v>
      </c>
      <c r="B371" s="13">
        <v>9</v>
      </c>
      <c r="C371" s="14" t="s">
        <v>32</v>
      </c>
      <c r="D371" s="15" cm="1">
        <f t="array" ref="D371">_xlfn.SINGLE(IF(A371=A372,_xll.ciqfunctions.udf.CIQ(A363,"IQ_TOTAL_REV",IQ_FY-2)/I371, _xll.ciqfunctions.udf.CIQ(A363, "IQ_TOTAL_REV",IQ_FY-1)/I371))</f>
        <v>30.891740445530115</v>
      </c>
      <c r="E371" s="16">
        <f t="shared" si="99"/>
        <v>0.5289070497920576</v>
      </c>
      <c r="F371" s="15">
        <f>IF(A371=A372,_xll.ciqfunctions.udf.CIQ(A363,"IQ_DILUT_EPS_EXCL",IQ_FY-2), _xll.ciqfunctions.udf.CIQ(A363, "IQ_DILUT_EPS_EXCL",IQ_FY-1))</f>
        <v>8.9700000000000006</v>
      </c>
      <c r="G371" s="15">
        <f>IF(A371=A372,_xll.ciqfunctions.udf.CIQ(A363,"IQ_EBITDA_MARGIN",IQ_FY-2), _xll.ciqfunctions.udf.CIQ(A363, "IQ_EBITDA_MARGIN",IQ_FY-1))</f>
        <v>38.946100000000001</v>
      </c>
      <c r="H371" s="15">
        <f>IF(A371=A372,_xll.ciqfunctions.udf.CIQ(A363,"IQ_TOTAL_DIV_PAID_CF",IQ_FY-2)/-I371, _xll.ciqfunctions.udf.CIQ(A363, "IQ_TOTAL_DIV_PAID_CF",IQ_FY-1)/-I371)</f>
        <v>2.0594090535999605</v>
      </c>
      <c r="I371" s="17">
        <f>IF(A371=A372,_xll.ciqfunctions.udf.CIQ(A363,"IQ_TOTAL_OUTSTANDING_FILING_DATE",IQ_FY-2), _xll.ciqfunctions.udf.CIQ(A363, "IQ_TOTAL_OUTSTANDING_FILING_DATE",IQ_FY-1))</f>
        <v>165.38724999999999</v>
      </c>
      <c r="J371" s="17">
        <f>IF(A371=A372,_xll.ciqfunctions.udf.CIQ(A363,"IQ_CASH_OPER",IQ_FY-2), _xll.ciqfunctions.udf.CIQ(A363, "IQ_CASH_OPER",IQ_FY-1))</f>
        <v>1772</v>
      </c>
      <c r="K371" s="17">
        <f>IF(A371=A372,_xll.ciqfunctions.udf.CIQ(A363,"IQ_CAPEX",IQ_FY-2), _xll.ciqfunctions.udf.CIQ(A363, "IQ_CAPEX",IQ_FY-1))</f>
        <v>-637.79999999999995</v>
      </c>
      <c r="L371" s="15">
        <f t="shared" si="96"/>
        <v>6.8578442413184817</v>
      </c>
      <c r="M371" s="17">
        <f>IF(A371=A372,_xll.ciqfunctions.udf.CIQ(A363,"IQ_TOTAL_DEBT_ISSUED",IQ_FY-2), _xll.ciqfunctions.udf.CIQ(A363, "IQ_TOTAL_DEBT_ISSUED",IQ_FY-1))</f>
        <v>2488.1999999999998</v>
      </c>
      <c r="N371" s="17">
        <f>IF(A371=A372,_xll.ciqfunctions.udf.CIQ(A363,"IQ_TOTAL_DEBT_REPAID",IQ_FY-2), _xll.ciqfunctions.udf.CIQ(A363, "IQ_TOTAL_DEBT_REPAID",IQ_FY-1))</f>
        <v>-250</v>
      </c>
      <c r="O371" s="15">
        <f t="shared" si="97"/>
        <v>13.533086740362391</v>
      </c>
      <c r="P371" s="15">
        <f t="shared" si="98"/>
        <v>20.390930981680874</v>
      </c>
      <c r="Q371" s="25" t="s">
        <v>33</v>
      </c>
      <c r="R371" s="38" t="s">
        <v>52</v>
      </c>
      <c r="S371" s="4">
        <f>(AVERAGE(O368:O373)/AVERAGE(P368:P373))</f>
        <v>0.16545511355647594</v>
      </c>
      <c r="U371" s="25" t="s">
        <v>54</v>
      </c>
      <c r="V371" s="38" t="s">
        <v>52</v>
      </c>
      <c r="W371" s="4">
        <f>(AVERAGE(O368:O373)/AVERAGE(P368:P373))</f>
        <v>0.16545511355647594</v>
      </c>
      <c r="Y371" s="25" t="s">
        <v>60</v>
      </c>
      <c r="Z371" s="38" t="s">
        <v>52</v>
      </c>
      <c r="AA371" s="4">
        <f>(AVERAGE(O368:O373)/AVERAGE(P368:P373))</f>
        <v>0.16545511355647594</v>
      </c>
    </row>
    <row r="372" spans="1:27">
      <c r="A372" s="19">
        <f>_xll.ciqfunctions.udf.CIQ(A363,"IQ_TOTAL_REV",IQ_LTM)</f>
        <v>4772.3999999999996</v>
      </c>
      <c r="B372" s="13">
        <v>10</v>
      </c>
      <c r="C372" s="14" t="s">
        <v>34</v>
      </c>
      <c r="D372" s="15" cm="1">
        <f t="array" ref="D372">_xlfn.SINGLE(IF(A371=A372,_xll.ciqfunctions.udf.CIQ(A363,"IQ_TOTAL_REV",IQ_FY-1)/I372, _xll.ciqfunctions.udf.CIQ(A363, "IQ_TOTAL_REV",IQ_FY)/I372))</f>
        <v>34.249898196228223</v>
      </c>
      <c r="E372" s="16">
        <f t="shared" si="99"/>
        <v>0.10870730176628872</v>
      </c>
      <c r="F372" s="15">
        <f>IF(A371=A372,_xll.ciqfunctions.udf.CIQ(A363,"IQ_DILUT_EPS_EXCL",IQ_FY-1), _xll.ciqfunctions.udf.CIQ(A363, "IQ_DILUT_EPS_EXCL",IQ_FY))</f>
        <v>7.81</v>
      </c>
      <c r="G372" s="15">
        <f>IF(A371=A372,_xll.ciqfunctions.udf.CIQ(A363,"IQ_EBITDA_MARGIN",IQ_FY-1), _xll.ciqfunctions.udf.CIQ(A363, "IQ_EBITDA_MARGIN",IQ_FY))</f>
        <v>37.389400000000002</v>
      </c>
      <c r="H372" s="15">
        <f>IF(A371=A372,_xll.ciqfunctions.udf.CIQ(A363,"IQ_TOTAL_DIV_PAID_CF",IQ_FY-1)/-I372, _xll.ciqfunctions.udf.CIQ(A363, "IQ_TOTAL_DIV_PAID_CF",IQ_FY)/-I372)</f>
        <v>2.3295300368266796</v>
      </c>
      <c r="I372" s="17">
        <f>IF(A371=A372,_xll.ciqfunctions.udf.CIQ(A363,"IQ_TOTAL_OUTSTANDING_FILING_DATE",IQ_FY-1), _xll.ciqfunctions.udf.CIQ(A363, "IQ_TOTAL_OUTSTANDING_FILING_DATE",IQ_FY))</f>
        <v>160.16105999999999</v>
      </c>
      <c r="J372" s="17">
        <f>IF(A371=A372,_xll.ciqfunctions.udf.CIQ(A363,"IQ_CASH_OPER",IQ_FY-1), _xll.ciqfunctions.udf.CIQ(A363, "IQ_CASH_OPER",IQ_FY))</f>
        <v>1424.6</v>
      </c>
      <c r="K372" s="17">
        <f>IF(A371=A372,_xll.ciqfunctions.udf.CIQ(A363,"IQ_CAPEX",IQ_FY-1), _xll.ciqfunctions.udf.CIQ(A363, "IQ_CAPEX",IQ_FY))</f>
        <v>-489.4</v>
      </c>
      <c r="L372" s="15">
        <f t="shared" si="96"/>
        <v>5.8391221936218454</v>
      </c>
      <c r="M372" s="17">
        <f>IF(A371=A372,_xll.ciqfunctions.udf.CIQ(A363,"IQ_TOTAL_DEBT_ISSUED",IQ_FY-1), _xll.ciqfunctions.udf.CIQ(A363, "IQ_TOTAL_DEBT_ISSUED",IQ_FY))</f>
        <v>0</v>
      </c>
      <c r="N372" s="17">
        <f>IF(A371=A372,_xll.ciqfunctions.udf.CIQ(A363,"IQ_TOTAL_DEBT_REPAID",IQ_FY-1), _xll.ciqfunctions.udf.CIQ(A363, "IQ_TOTAL_DEBT_REPAID",IQ_FY))</f>
        <v>-50</v>
      </c>
      <c r="O372" s="15">
        <f t="shared" si="97"/>
        <v>-0.31218574602340921</v>
      </c>
      <c r="P372" s="15">
        <f t="shared" si="98"/>
        <v>5.5269364475984357</v>
      </c>
      <c r="Q372" s="25" t="s">
        <v>44</v>
      </c>
      <c r="R372" s="38" t="s">
        <v>35</v>
      </c>
      <c r="S372" s="1">
        <f>_xll.ciqfunctions.udf.CIQ(A363,"IQ_TEV_EBITDA")</f>
        <v>9.7658199999999997</v>
      </c>
      <c r="U372" s="25" t="s">
        <v>55</v>
      </c>
      <c r="V372" s="38" t="s">
        <v>53</v>
      </c>
      <c r="W372" s="1">
        <f>V362/(AVERAGE(D368:D373)/_xlfn.STDEV.P(E368:E373))</f>
        <v>0.78315833848103478</v>
      </c>
      <c r="Y372" s="25" t="s">
        <v>57</v>
      </c>
      <c r="Z372" s="38" t="s">
        <v>53</v>
      </c>
      <c r="AA372" s="1">
        <f>Z362/(AVERAGE(D368:D373)/_xlfn.STDEV.P(E368:E373))</f>
        <v>0.78315833848103478</v>
      </c>
    </row>
    <row r="373" spans="1:27">
      <c r="B373" s="13">
        <v>11</v>
      </c>
      <c r="C373" s="20" t="s">
        <v>36</v>
      </c>
      <c r="D373" s="21" cm="1">
        <f t="array" ref="D373">_xlfn.SINGLE(IF(A371=A372,_xll.ciqfunctions.udf.CIQ(A363,"IQ_TOTAL_REV",IQ_FY)/I373, _xll.ciqfunctions.udf.CIQ(A363, "IQ_TOTAL_REV",IQ_LTM)/I373))</f>
        <v>29.835915592941934</v>
      </c>
      <c r="E373" s="22">
        <f t="shared" si="99"/>
        <v>-0.12887578754241028</v>
      </c>
      <c r="F373" s="21">
        <f>IF(A371=A372,_xll.ciqfunctions.udf.CIQ(A363,"IQ_DILUT_EPS_EXCL",IQ_FY), _xll.ciqfunctions.udf.CIQ(A363, "IQ_DILUT_EPS_EXCL",IQ_LTM))</f>
        <v>6.13</v>
      </c>
      <c r="G373" s="21">
        <f>IF(A371=A372,_xll.ciqfunctions.udf.CIQ(A363,"IQ_EBITDA_MARGIN",IQ_FY), _xll.ciqfunctions.udf.CIQ(A363, "IQ_EBITDA_MARGIN",IQ_LTM))</f>
        <v>32.987499999999997</v>
      </c>
      <c r="H373" s="21">
        <f>IF(A371=A372,_xll.ciqfunctions.udf.CIQ(A363,"IQ_TOTAL_DIV_PAID_CF",IQ_FY)/-I373, _xll.ciqfunctions.udf.CIQ(A363, "IQ_TOTAL_DIV_PAID_CF",IQ_LTM)/-I373)</f>
        <v>2.5332145248219073</v>
      </c>
      <c r="I373" s="23">
        <f>IF(A371=A372,_xll.ciqfunctions.udf.CIQ(A363,"IQ_TOTAL_OUTSTANDING_FILING_DATE",IQ_FY),_xll.ciqfunctions.udf.CIQ(A363,"IQ_sharesoutstanding"))</f>
        <v>159.95487</v>
      </c>
      <c r="J373" s="23">
        <f>IF(A371=A372,_xll.ciqfunctions.udf.CIQ(A363,"IQ_CASH_OPER",IQ_FY), _xll.ciqfunctions.udf.CIQ(A363, "IQ_CASH_OPER",IQ_LTM))</f>
        <v>1856.4</v>
      </c>
      <c r="K373" s="23">
        <f>IF(A371=A372,_xll.ciqfunctions.udf.CIQ(A363,"IQ_CAPEX",IQ_FY), _xll.ciqfunctions.udf.CIQ(A363, "IQ_CAPEX",IQ_LTM))</f>
        <v>-210.3</v>
      </c>
      <c r="L373" s="21">
        <f t="shared" si="96"/>
        <v>10.291027713004301</v>
      </c>
      <c r="M373" s="23">
        <f>IF(A371=A372,_xll.ciqfunctions.udf.CIQ(A363,"IQ_TOTAL_DEBT_ISSUED",IQ_FY), _xll.ciqfunctions.udf.CIQ(A363, "IQ_TOTAL_DEBT_ISSUED",IQ_LTM))</f>
        <v>0</v>
      </c>
      <c r="N373" s="23">
        <f>IF(A371=A372,_xll.ciqfunctions.udf.CIQ(A363,"IQ_TOTAL_DEBT_REPAID",IQ_FY), _xll.ciqfunctions.udf.CIQ(A363, "IQ_TOTAL_DEBT_REPAID",IQ_LTM))</f>
        <v>-900</v>
      </c>
      <c r="O373" s="21">
        <f t="shared" si="97"/>
        <v>-5.6265870492095678</v>
      </c>
      <c r="P373" s="21">
        <f t="shared" si="98"/>
        <v>4.6644406637947329</v>
      </c>
      <c r="Q373" s="25" t="s">
        <v>45</v>
      </c>
      <c r="S373" s="45"/>
      <c r="U373" s="25"/>
      <c r="W373" s="45"/>
      <c r="Y373" s="25"/>
      <c r="AA373" s="45"/>
    </row>
    <row r="374" spans="1:27">
      <c r="B374" s="24"/>
      <c r="C374" s="25" t="s">
        <v>37</v>
      </c>
      <c r="E374" s="26">
        <f>((D373/D368)^(1/5))-1</f>
        <v>6.489284744055257E-2</v>
      </c>
      <c r="F374" s="27">
        <f>((F373/F368)^(1/5))-1</f>
        <v>4.1176961447564331E-2</v>
      </c>
      <c r="G374" s="28"/>
      <c r="H374" s="27">
        <f>((H373/H368)^(1/5))-1</f>
        <v>0.1308291862129507</v>
      </c>
      <c r="I374" s="27">
        <f>((I373/I368)^(1/5))-1</f>
        <v>-2.0635936041900615E-2</v>
      </c>
      <c r="J374" s="27"/>
      <c r="K374" s="27"/>
      <c r="L374" s="26">
        <f>((L373/L368)^(1/5))-1</f>
        <v>0.16860350739650687</v>
      </c>
      <c r="M374" s="26"/>
      <c r="N374" s="26"/>
      <c r="O374" s="26"/>
      <c r="P374" s="26">
        <f>((P373/P368)^(1/5))-1</f>
        <v>-2.4484438109915185E-3</v>
      </c>
      <c r="Q374" s="18"/>
      <c r="R374" s="36"/>
      <c r="S374" s="45"/>
      <c r="U374" s="18"/>
      <c r="V374" s="36"/>
      <c r="W374" s="45"/>
      <c r="Y374" s="18"/>
      <c r="Z374" s="36"/>
      <c r="AA374" s="45"/>
    </row>
    <row r="375" spans="1:27">
      <c r="A375" s="29"/>
      <c r="B375" s="30"/>
      <c r="C375" s="31" t="s">
        <v>38</v>
      </c>
      <c r="D375" s="29"/>
      <c r="E375" s="32">
        <f>((D373/D363)^(1/10))-1</f>
        <v>0.12111877080391675</v>
      </c>
      <c r="F375" s="33">
        <f>((F373/F363)^(1/10))-1</f>
        <v>0.15507250783719662</v>
      </c>
      <c r="G375" s="34"/>
      <c r="H375" s="33" t="e">
        <f>((H373/H363)^(1/10))-1</f>
        <v>#DIV/0!</v>
      </c>
      <c r="I375" s="33">
        <f>((I373/I363)^(1/10))-1</f>
        <v>-1.6242040586422313E-2</v>
      </c>
      <c r="J375" s="33"/>
      <c r="K375" s="33"/>
      <c r="L375" s="32">
        <f>((L373/L363)^(1/10))-1</f>
        <v>0.17828440515168786</v>
      </c>
      <c r="M375" s="32"/>
      <c r="N375" s="32"/>
      <c r="O375" s="32"/>
      <c r="P375" s="32">
        <f>((P373/P363)^(1/10))-1</f>
        <v>8.8639811118945477E-2</v>
      </c>
      <c r="Q375" s="40"/>
      <c r="R375" s="41"/>
      <c r="S375" s="46"/>
      <c r="U375" s="40"/>
      <c r="V375" s="41"/>
      <c r="W375" s="46"/>
      <c r="Y375" s="40"/>
      <c r="Z375" s="41"/>
      <c r="AA375" s="46"/>
    </row>
    <row r="376" spans="1:27">
      <c r="B376" s="24"/>
      <c r="C376" s="25"/>
      <c r="E376" s="26"/>
      <c r="F376" s="27"/>
      <c r="G376" s="28"/>
      <c r="H376" s="27"/>
      <c r="I376" s="27"/>
      <c r="J376" s="27"/>
      <c r="K376" s="27"/>
      <c r="L376" s="26"/>
      <c r="M376" s="17"/>
      <c r="N376" s="17"/>
      <c r="O376" s="17"/>
      <c r="P376" s="35"/>
      <c r="Q376" s="18"/>
      <c r="R376" s="36"/>
    </row>
    <row r="377" spans="1:27">
      <c r="A377" s="9" t="s">
        <v>0</v>
      </c>
      <c r="B377" s="10"/>
      <c r="C377" s="9" t="s">
        <v>1</v>
      </c>
      <c r="D377" s="9" t="s">
        <v>2</v>
      </c>
      <c r="E377" s="9" t="s">
        <v>3</v>
      </c>
      <c r="F377" s="11" t="s">
        <v>4</v>
      </c>
      <c r="G377" s="11" t="s">
        <v>5</v>
      </c>
      <c r="H377" s="9" t="s">
        <v>6</v>
      </c>
      <c r="I377" s="11" t="s">
        <v>7</v>
      </c>
      <c r="J377" s="11" t="s">
        <v>8</v>
      </c>
      <c r="K377" s="11" t="s">
        <v>9</v>
      </c>
      <c r="L377" s="11" t="s">
        <v>10</v>
      </c>
      <c r="M377" s="11" t="s">
        <v>11</v>
      </c>
      <c r="N377" s="11" t="s">
        <v>12</v>
      </c>
      <c r="O377" s="11" t="s">
        <v>13</v>
      </c>
      <c r="P377" s="11" t="s">
        <v>14</v>
      </c>
      <c r="Q377" s="37" t="s">
        <v>15</v>
      </c>
      <c r="R377" s="42">
        <f>_xll.ciqfunctions.udf.CIQ(A378,("IQ_LASTSALEPRICE"))</f>
        <v>82.245000000000005</v>
      </c>
      <c r="S377" s="44"/>
      <c r="U377" s="37" t="s">
        <v>15</v>
      </c>
      <c r="V377" s="42">
        <f>_xll.ciqfunctions.udf.CIQ(A378,("IQ_LASTSALEPRICE"))</f>
        <v>82.245000000000005</v>
      </c>
      <c r="W377" s="44"/>
      <c r="Y377" s="37" t="s">
        <v>15</v>
      </c>
      <c r="Z377" s="42">
        <f>_xll.ciqfunctions.udf.CIQ(A378,("IQ_LASTSALEPRICE"))</f>
        <v>82.245000000000005</v>
      </c>
      <c r="AA377" s="44"/>
    </row>
    <row r="378" spans="1:27">
      <c r="A378" s="12" t="str">
        <f>Analysis!B27</f>
        <v>NasdaqGS:MCHP</v>
      </c>
      <c r="B378" s="13">
        <v>1</v>
      </c>
      <c r="C378" s="14" t="s">
        <v>16</v>
      </c>
      <c r="D378" s="15">
        <f>IF(A386=A387,_xll.ciqfunctions.udf.CIQ(A378,"IQ_TOTAL_REV",IQ_FY-10)/I378,_xll.ciqfunctions.udf.CIQ(A378, "IQ_TOTAL_REV",IQ_FY-9)/I378)</f>
        <v>4.8210247752858555</v>
      </c>
      <c r="E378" s="16"/>
      <c r="F378" s="15">
        <f>IF(A386=A387,_xll.ciqfunctions.udf.CIQ(A378,"IQ_DILUT_EPS_EXCL",IQ_FY-10), _xll.ciqfunctions.udf.CIQ(A378, "IQ_DILUT_EPS_EXCL",IQ_FY-9))</f>
        <v>0.91</v>
      </c>
      <c r="G378" s="15">
        <f>IF(A386=A387,_xll.ciqfunctions.udf.CIQ(A378,"IQ_EBITDA_MARGIN",IQ_FY-10), _xll.ciqfunctions.udf.CIQ(A378, "IQ_EBITDA_MARGIN",IQ_FY-9))</f>
        <v>33.710700000000003</v>
      </c>
      <c r="H378" s="15">
        <f>IF(A386=A387,_xll.ciqfunctions.udf.CIQ(A378,"IQ_TOTAL_DIV_PAID_CF",IQ_FY-10)/-I378, _xll.ciqfunctions.udf.CIQ(A378, "IQ_TOTAL_DIV_PAID_CF",IQ_FY-9)/-I378)</f>
        <v>0.70198815094807243</v>
      </c>
      <c r="I378" s="17">
        <f>IF(A386=A387,_xll.ciqfunctions.udf.CIQ(A378,"IQ_TOTAL_OUTSTANDING_FILING_DATE",IQ_FY-10), _xll.ciqfunctions.udf.CIQ(A378, "IQ_TOTAL_OUTSTANDING_FILING_DATE",IQ_FY-9))</f>
        <v>400.58226000000002</v>
      </c>
      <c r="J378" s="17">
        <f>IF(A386=A387,_xll.ciqfunctions.udf.CIQ(A378,"IQ_CASH_OPER",IQ_FY-10), _xll.ciqfunctions.udf.CIQ(A378, "IQ_CASH_OPER",IQ_FY-9))</f>
        <v>676.56399999999996</v>
      </c>
      <c r="K378" s="17">
        <f>IF(A386=A387,_xll.ciqfunctions.udf.CIQ(A378,"IQ_CAPEX",IQ_FY-10), _xll.ciqfunctions.udf.CIQ(A378, "IQ_CAPEX",IQ_FY-9))</f>
        <v>-113.072</v>
      </c>
      <c r="L378" s="15">
        <f t="shared" ref="L378:L388" si="100">(J378+K378)/I378</f>
        <v>1.406682362818563</v>
      </c>
      <c r="M378" s="17">
        <f>IF(A386=A387,_xll.ciqfunctions.udf.CIQ(A378,"IQ_TOTAL_DEBT_ISSUED",IQ_FY-10), _xll.ciqfunctions.udf.CIQ(A378, "IQ_TOTAL_DEBT_ISSUED",IQ_FY-9))</f>
        <v>1133.5</v>
      </c>
      <c r="N378" s="17">
        <f>IF(A386=A387,_xll.ciqfunctions.udf.CIQ(A378,"IQ_TOTAL_DEBT_REPAID",IQ_FY-10), _xll.ciqfunctions.udf.CIQ(A378, "IQ_TOTAL_DEBT_REPAID",IQ_FY-9))</f>
        <v>-1103.954</v>
      </c>
      <c r="O378" s="15">
        <f t="shared" ref="O378:O388" si="101">(M378+N378)/I378</f>
        <v>7.3757634699050445E-2</v>
      </c>
      <c r="P378" s="15">
        <f t="shared" ref="P378:P388" si="102">L378+O378</f>
        <v>1.4804399975176135</v>
      </c>
      <c r="W378" s="43"/>
      <c r="AA378" s="43"/>
    </row>
    <row r="379" spans="1:27">
      <c r="A379" s="18" t="str">
        <f>_xll.ciqfunctions.udf.CIQ(A378,"IQ_COMPANY_NAME")</f>
        <v>Microchip Technology Incorporated</v>
      </c>
      <c r="B379" s="13">
        <v>2</v>
      </c>
      <c r="C379" s="14" t="s">
        <v>17</v>
      </c>
      <c r="D379" s="15">
        <f>IF(A386=A387,_xll.ciqfunctions.udf.CIQ(A378,"IQ_TOTAL_REV",IQ_FY-9)/I379, _xll.ciqfunctions.udf.CIQ(A378, "IQ_TOTAL_REV",IQ_FY-8)/I379)</f>
        <v>5.3059553593019286</v>
      </c>
      <c r="E379" s="16">
        <f t="shared" ref="E379:E388" si="103">(D379-D378)/D378</f>
        <v>0.10058661936399609</v>
      </c>
      <c r="F379" s="15">
        <f>IF(A386=A387,_xll.ciqfunctions.udf.CIQ(A378,"IQ_DILUT_EPS_EXCL",IQ_FY-9), _xll.ciqfunctions.udf.CIQ(A378, "IQ_DILUT_EPS_EXCL",IQ_FY-8))</f>
        <v>0.82499999999999996</v>
      </c>
      <c r="G379" s="15">
        <f>IF(A386=A387,_xll.ciqfunctions.udf.CIQ(A378,"IQ_EBITDA_MARGIN",IQ_FY-9), _xll.ciqfunctions.udf.CIQ(A378, "IQ_EBITDA_MARGIN",IQ_FY-8))</f>
        <v>34.054200000000002</v>
      </c>
      <c r="H379" s="15">
        <f>IF(A386=A387,_xll.ciqfunctions.udf.CIQ(A378,"IQ_TOTAL_DIV_PAID_CF",IQ_FY-9)/-I379, _xll.ciqfunctions.udf.CIQ(A378, "IQ_TOTAL_DIV_PAID_CF",IQ_FY-8)/-I379)</f>
        <v>0.70797111898547482</v>
      </c>
      <c r="I379" s="17">
        <f>IF(A386=A387,_xll.ciqfunctions.udf.CIQ(A378,"IQ_TOTAL_OUTSTANDING_FILING_DATE",IQ_FY-9), _xll.ciqfunctions.udf.CIQ(A378, "IQ_TOTAL_OUTSTANDING_FILING_DATE",IQ_FY-8))</f>
        <v>404.64645000000002</v>
      </c>
      <c r="J379" s="17">
        <f>IF(A386=A387,_xll.ciqfunctions.udf.CIQ(A378,"IQ_CASH_OPER",IQ_FY-9), _xll.ciqfunctions.udf.CIQ(A378, "IQ_CASH_OPER",IQ_FY-8))</f>
        <v>721.18200000000002</v>
      </c>
      <c r="K379" s="17">
        <f>IF(A386=A387,_xll.ciqfunctions.udf.CIQ(A378,"IQ_CAPEX",IQ_FY-9), _xll.ciqfunctions.udf.CIQ(A378, "IQ_CAPEX",IQ_FY-8))</f>
        <v>-149.47200000000001</v>
      </c>
      <c r="L379" s="15">
        <f t="shared" si="100"/>
        <v>1.4128630067062247</v>
      </c>
      <c r="M379" s="17">
        <f>IF(A386=A387,_xll.ciqfunctions.udf.CIQ(A378,"IQ_TOTAL_DEBT_ISSUED",IQ_FY-9), _xll.ciqfunctions.udf.CIQ(A378, "IQ_TOTAL_DEBT_ISSUED",IQ_FY-8))</f>
        <v>3584.5940000000001</v>
      </c>
      <c r="N379" s="17">
        <f>IF(A386=A387,_xll.ciqfunctions.udf.CIQ(A378,"IQ_TOTAL_DEBT_REPAID",IQ_FY-9), _xll.ciqfunctions.udf.CIQ(A378, "IQ_TOTAL_DEBT_REPAID",IQ_FY-8))</f>
        <v>-3182.8670000000002</v>
      </c>
      <c r="O379" s="15">
        <f t="shared" si="101"/>
        <v>0.99278518321364206</v>
      </c>
      <c r="P379" s="15">
        <f t="shared" si="102"/>
        <v>2.4056481899198667</v>
      </c>
      <c r="Q379" s="25" t="s">
        <v>18</v>
      </c>
      <c r="R379" s="39" t="s">
        <v>19</v>
      </c>
      <c r="S379" s="1">
        <f>R377/((AVERAGE(P383:P388))*(1+E389)^3)</f>
        <v>16.468375654619944</v>
      </c>
      <c r="U379" s="25" t="s">
        <v>48</v>
      </c>
      <c r="V379" s="39" t="s">
        <v>19</v>
      </c>
      <c r="W379" s="1">
        <f>V377/((AVERAGE(P383:P388))*(1+E389)^3)</f>
        <v>16.468375654619944</v>
      </c>
      <c r="Y379" s="25" t="s">
        <v>39</v>
      </c>
      <c r="Z379" s="39" t="s">
        <v>19</v>
      </c>
      <c r="AA379" s="1">
        <f>Z377/((AVERAGE(P383:P388))*(1+E389)^3)</f>
        <v>16.468375654619944</v>
      </c>
    </row>
    <row r="380" spans="1:27">
      <c r="B380" s="13">
        <v>3</v>
      </c>
      <c r="C380" s="14" t="s">
        <v>20</v>
      </c>
      <c r="D380" s="15" cm="1">
        <f t="array" ref="D380">_xlfn.SINGLE(IF(A386=A387,_xll.ciqfunctions.udf.CIQ(A378,"IQ_TOTAL_REV",IQ_FY-8)/I380, _xll.ciqfunctions.udf.CIQ(A378, "IQ_TOTAL_REV",IQ_FY-7)/I380))</f>
        <v>5.0585334442658807</v>
      </c>
      <c r="E380" s="16">
        <f t="shared" si="103"/>
        <v>-4.6630983165414287E-2</v>
      </c>
      <c r="F380" s="15">
        <f>IF(A386=A387,_xll.ciqfunctions.udf.CIQ(A378,"IQ_DILUT_EPS_EXCL",IQ_FY-8), _xll.ciqfunctions.udf.CIQ(A378, "IQ_DILUT_EPS_EXCL",IQ_FY-7))</f>
        <v>0.745</v>
      </c>
      <c r="G380" s="15">
        <f>IF(A386=A387,_xll.ciqfunctions.udf.CIQ(A378,"IQ_EBITDA_MARGIN",IQ_FY-8), _xll.ciqfunctions.udf.CIQ(A378, "IQ_EBITDA_MARGIN",IQ_FY-7))</f>
        <v>31.491199999999999</v>
      </c>
      <c r="H380" s="15">
        <f>IF(A386=A387,_xll.ciqfunctions.udf.CIQ(A378,"IQ_TOTAL_DIV_PAID_CF",IQ_FY-8)/-I380, _xll.ciqfunctions.udf.CIQ(A378, "IQ_TOTAL_DIV_PAID_CF",IQ_FY-7)/-I380)</f>
        <v>0.67755905104026037</v>
      </c>
      <c r="I380" s="17">
        <f>IF(A386=A387,_xll.ciqfunctions.udf.CIQ(A378,"IQ_TOTAL_OUTSTANDING_FILING_DATE",IQ_FY-8), _xll.ciqfunctions.udf.CIQ(A378, "IQ_TOTAL_OUTSTANDING_FILING_DATE",IQ_FY-7))</f>
        <v>429.63045</v>
      </c>
      <c r="J380" s="17">
        <f>IF(A386=A387,_xll.ciqfunctions.udf.CIQ(A378,"IQ_CASH_OPER",IQ_FY-8), _xll.ciqfunctions.udf.CIQ(A378, "IQ_CASH_OPER",IQ_FY-7))</f>
        <v>744.4</v>
      </c>
      <c r="K380" s="17">
        <f>IF(A386=A387,_xll.ciqfunctions.udf.CIQ(A378,"IQ_CAPEX",IQ_FY-8), _xll.ciqfunctions.udf.CIQ(A378, "IQ_CAPEX",IQ_FY-7))</f>
        <v>-97.9</v>
      </c>
      <c r="L380" s="15">
        <f t="shared" si="100"/>
        <v>1.504781609404082</v>
      </c>
      <c r="M380" s="17">
        <f>IF(A386=A387,_xll.ciqfunctions.udf.CIQ(A378,"IQ_TOTAL_DEBT_ISSUED",IQ_FY-8), _xll.ciqfunctions.udf.CIQ(A378, "IQ_TOTAL_DEBT_ISSUED",IQ_FY-7))</f>
        <v>2204.5</v>
      </c>
      <c r="N380" s="17">
        <f>IF(A386=A387,_xll.ciqfunctions.udf.CIQ(A378,"IQ_TOTAL_DEBT_REPAID",IQ_FY-8), _xll.ciqfunctions.udf.CIQ(A378, "IQ_TOTAL_DEBT_REPAID",IQ_FY-7))</f>
        <v>-1615</v>
      </c>
      <c r="O380" s="15">
        <f t="shared" si="101"/>
        <v>1.3721094489461816</v>
      </c>
      <c r="P380" s="15">
        <f t="shared" si="102"/>
        <v>2.8768910583502638</v>
      </c>
      <c r="Q380" s="25" t="s">
        <v>21</v>
      </c>
      <c r="R380" s="38" t="s">
        <v>49</v>
      </c>
      <c r="S380" s="2">
        <f>(R377*I388)/1000</f>
        <v>44.498270698500001</v>
      </c>
      <c r="U380" s="25" t="s">
        <v>59</v>
      </c>
      <c r="V380" s="38" t="s">
        <v>49</v>
      </c>
      <c r="W380" s="2">
        <f>(V377*I388)/1000</f>
        <v>44.498270698500001</v>
      </c>
      <c r="Y380" s="25" t="s">
        <v>46</v>
      </c>
      <c r="Z380" s="38" t="s">
        <v>49</v>
      </c>
      <c r="AA380" s="2">
        <f>(Z377*I388)/1000</f>
        <v>44.498270698500001</v>
      </c>
    </row>
    <row r="381" spans="1:27">
      <c r="A381" s="18"/>
      <c r="B381" s="13">
        <v>4</v>
      </c>
      <c r="C381" s="14" t="s">
        <v>22</v>
      </c>
      <c r="D381" s="15" cm="1">
        <f t="array" ref="D381">_xlfn.SINGLE(IF(A386=A387,_xll.ciqfunctions.udf.CIQ(A378,"IQ_TOTAL_REV",IQ_FY-7)/I381, _xll.ciqfunctions.udf.CIQ(A378, "IQ_TOTAL_REV",IQ_FY-6)/I381))</f>
        <v>7.4277061197711625</v>
      </c>
      <c r="E381" s="16">
        <f t="shared" si="103"/>
        <v>0.46835168762022644</v>
      </c>
      <c r="F381" s="15">
        <f>IF(A386=A387,_xll.ciqfunctions.udf.CIQ(A378,"IQ_DILUT_EPS_EXCL",IQ_FY-7), _xll.ciqfunctions.udf.CIQ(A378, "IQ_DILUT_EPS_EXCL",IQ_FY-6))</f>
        <v>0.36499999999999999</v>
      </c>
      <c r="G381" s="15">
        <f>IF(A386=A387,_xll.ciqfunctions.udf.CIQ(A378,"IQ_EBITDA_MARGIN",IQ_FY-7), _xll.ciqfunctions.udf.CIQ(A378, "IQ_EBITDA_MARGIN",IQ_FY-6))</f>
        <v>30.2042</v>
      </c>
      <c r="H381" s="15">
        <f>IF(A386=A387,_xll.ciqfunctions.udf.CIQ(A378,"IQ_TOTAL_DIV_PAID_CF",IQ_FY-7)/-I381, _xll.ciqfunctions.udf.CIQ(A378, "IQ_TOTAL_DIV_PAID_CF",IQ_FY-6)/-I381)</f>
        <v>0.68745187809608088</v>
      </c>
      <c r="I381" s="17">
        <f>IF(A386=A387,_xll.ciqfunctions.udf.CIQ(A378,"IQ_TOTAL_OUTSTANDING_FILING_DATE",IQ_FY-7), _xll.ciqfunctions.udf.CIQ(A378, "IQ_TOTAL_OUTSTANDING_FILING_DATE",IQ_FY-6))</f>
        <v>458.79575</v>
      </c>
      <c r="J381" s="17">
        <f>IF(A386=A387,_xll.ciqfunctions.udf.CIQ(A378,"IQ_CASH_OPER",IQ_FY-7), _xll.ciqfunctions.udf.CIQ(A378, "IQ_CASH_OPER",IQ_FY-6))</f>
        <v>1059.5</v>
      </c>
      <c r="K381" s="17">
        <f>IF(A386=A387,_xll.ciqfunctions.udf.CIQ(A378,"IQ_CAPEX",IQ_FY-7), _xll.ciqfunctions.udf.CIQ(A378, "IQ_CAPEX",IQ_FY-6))</f>
        <v>-75.3</v>
      </c>
      <c r="L381" s="15">
        <f t="shared" si="100"/>
        <v>2.1451811617696981</v>
      </c>
      <c r="M381" s="17">
        <f>IF(A386=A387,_xll.ciqfunctions.udf.CIQ(A378,"IQ_TOTAL_DEBT_ISSUED",IQ_FY-7), _xll.ciqfunctions.udf.CIQ(A378, "IQ_TOTAL_DEBT_ISSUED",IQ_FY-6))</f>
        <v>4182</v>
      </c>
      <c r="N381" s="17">
        <f>IF(A386=A387,_xll.ciqfunctions.udf.CIQ(A378,"IQ_TOTAL_DEBT_REPAID",IQ_FY-7), _xll.ciqfunctions.udf.CIQ(A378, "IQ_TOTAL_DEBT_REPAID",IQ_FY-6))</f>
        <v>-3218</v>
      </c>
      <c r="O381" s="15">
        <f t="shared" si="101"/>
        <v>2.1011528550558718</v>
      </c>
      <c r="P381" s="15">
        <f t="shared" si="102"/>
        <v>4.2463340168255694</v>
      </c>
      <c r="Q381" s="25" t="s">
        <v>23</v>
      </c>
      <c r="R381" s="38" t="s">
        <v>24</v>
      </c>
      <c r="S381" s="1">
        <f>R377/(AVERAGE(H383:H388)*(1+H389)/(0.5-H389))</f>
        <v>25.231523560604856</v>
      </c>
      <c r="U381" s="25" t="s">
        <v>40</v>
      </c>
      <c r="V381" s="38" t="s">
        <v>24</v>
      </c>
      <c r="W381" s="1">
        <f>V377/(AVERAGE(H383:H388)*(1+H389)/(0.5-H389))</f>
        <v>25.231523560604856</v>
      </c>
      <c r="Y381" s="25" t="s">
        <v>47</v>
      </c>
      <c r="Z381" s="38" t="s">
        <v>24</v>
      </c>
      <c r="AA381" s="1">
        <f>Z377/(AVERAGE(H383:H388)*(1+H389)/(0.5-H389))</f>
        <v>25.231523560604856</v>
      </c>
    </row>
    <row r="382" spans="1:27">
      <c r="B382" s="13">
        <v>5</v>
      </c>
      <c r="C382" s="14" t="s">
        <v>25</v>
      </c>
      <c r="D382" s="15" cm="1">
        <f t="array" ref="D382">_xlfn.SINGLE(IF(A386=A387,_xll.ciqfunctions.udf.CIQ(A378,"IQ_TOTAL_REV",IQ_FY-6)/I382, _xll.ciqfunctions.udf.CIQ(A378, "IQ_TOTAL_REV",IQ_FY-5)/I382))</f>
        <v>8.4684645319546998</v>
      </c>
      <c r="E382" s="16">
        <f t="shared" si="103"/>
        <v>0.14011841548405279</v>
      </c>
      <c r="F382" s="15">
        <f>IF(A386=A387,_xll.ciqfunctions.udf.CIQ(A378,"IQ_DILUT_EPS_EXCL",IQ_FY-6), _xll.ciqfunctions.udf.CIQ(A378, "IQ_DILUT_EPS_EXCL",IQ_FY-5))</f>
        <v>0.51500000000000001</v>
      </c>
      <c r="G382" s="15">
        <f>IF(A386=A387,_xll.ciqfunctions.udf.CIQ(A378,"IQ_EBITDA_MARGIN",IQ_FY-6), _xll.ciqfunctions.udf.CIQ(A378, "IQ_EBITDA_MARGIN",IQ_FY-5))</f>
        <v>39.386499999999998</v>
      </c>
      <c r="H382" s="15">
        <f>IF(A386=A387,_xll.ciqfunctions.udf.CIQ(A378,"IQ_TOTAL_DIV_PAID_CF",IQ_FY-6)/-I382, _xll.ciqfunctions.udf.CIQ(A378, "IQ_TOTAL_DIV_PAID_CF",IQ_FY-5)/-I382)</f>
        <v>0.71797296511623576</v>
      </c>
      <c r="I382" s="17">
        <f>IF(A386=A387,_xll.ciqfunctions.udf.CIQ(A378,"IQ_TOTAL_OUTSTANDING_FILING_DATE",IQ_FY-6), _xll.ciqfunctions.udf.CIQ(A378, "IQ_TOTAL_OUTSTANDING_FILING_DATE",IQ_FY-5))</f>
        <v>470.07341000000002</v>
      </c>
      <c r="J382" s="17">
        <f>IF(A386=A387,_xll.ciqfunctions.udf.CIQ(A378,"IQ_CASH_OPER",IQ_FY-6), _xll.ciqfunctions.udf.CIQ(A378, "IQ_CASH_OPER",IQ_FY-5))</f>
        <v>1419.6</v>
      </c>
      <c r="K382" s="17">
        <f>IF(A386=A387,_xll.ciqfunctions.udf.CIQ(A378,"IQ_CAPEX",IQ_FY-6), _xll.ciqfunctions.udf.CIQ(A378, "IQ_CAPEX",IQ_FY-5))</f>
        <v>-206.8</v>
      </c>
      <c r="L382" s="15">
        <f t="shared" si="100"/>
        <v>2.5800225543495428</v>
      </c>
      <c r="M382" s="17">
        <f>IF(A386=A387,_xll.ciqfunctions.udf.CIQ(A378,"IQ_TOTAL_DEBT_ISSUED",IQ_FY-6), _xll.ciqfunctions.udf.CIQ(A378, "IQ_TOTAL_DEBT_ISSUED",IQ_FY-5))</f>
        <v>187</v>
      </c>
      <c r="N382" s="17">
        <f>IF(A386=A387,_xll.ciqfunctions.udf.CIQ(A378,"IQ_TOTAL_DEBT_REPAID",IQ_FY-6), _xll.ciqfunctions.udf.CIQ(A378, "IQ_TOTAL_DEBT_REPAID",IQ_FY-5))</f>
        <v>-261.2</v>
      </c>
      <c r="O382" s="15">
        <f t="shared" si="101"/>
        <v>-0.15784768596036944</v>
      </c>
      <c r="P382" s="15">
        <f t="shared" si="102"/>
        <v>2.4221748683891735</v>
      </c>
      <c r="Q382" s="18"/>
      <c r="R382" s="38" t="s">
        <v>50</v>
      </c>
      <c r="S382" s="3">
        <f>I389</f>
        <v>2.6011337442333415E-2</v>
      </c>
      <c r="U382" s="18"/>
      <c r="V382" s="38" t="s">
        <v>50</v>
      </c>
      <c r="W382" s="3">
        <f>I389</f>
        <v>2.6011337442333415E-2</v>
      </c>
      <c r="Y382" s="18"/>
      <c r="Z382" s="38" t="s">
        <v>50</v>
      </c>
      <c r="AA382" s="3">
        <f>I389</f>
        <v>2.6011337442333415E-2</v>
      </c>
    </row>
    <row r="383" spans="1:27">
      <c r="B383" s="13">
        <v>6</v>
      </c>
      <c r="C383" s="14" t="s">
        <v>26</v>
      </c>
      <c r="D383" s="15" cm="1">
        <f t="array" ref="D383">_xlfn.SINGLE(IF(A386=A387,_xll.ciqfunctions.udf.CIQ(A378,"IQ_TOTAL_REV",IQ_FY-5)/I383, _xll.ciqfunctions.udf.CIQ(A378, "IQ_TOTAL_REV",IQ_FY-4)/I383))</f>
        <v>11.241916674186495</v>
      </c>
      <c r="E383" s="16">
        <f t="shared" si="103"/>
        <v>0.32750354350148336</v>
      </c>
      <c r="F383" s="15">
        <f>IF(A386=A387,_xll.ciqfunctions.udf.CIQ(A378,"IQ_DILUT_EPS_EXCL",IQ_FY-5), _xll.ciqfunctions.udf.CIQ(A378, "IQ_DILUT_EPS_EXCL",IQ_FY-4))</f>
        <v>0.71</v>
      </c>
      <c r="G383" s="15">
        <f>IF(A386=A387,_xll.ciqfunctions.udf.CIQ(A378,"IQ_EBITDA_MARGIN",IQ_FY-5), _xll.ciqfunctions.udf.CIQ(A378, "IQ_EBITDA_MARGIN",IQ_FY-4))</f>
        <v>30.365400000000001</v>
      </c>
      <c r="H383" s="15">
        <f>IF(A386=A387,_xll.ciqfunctions.udf.CIQ(A378,"IQ_TOTAL_DIV_PAID_CF",IQ_FY-5)/-I383, _xll.ciqfunctions.udf.CIQ(A378, "IQ_TOTAL_DIV_PAID_CF",IQ_FY-4)/-I383)</f>
        <v>0.72375289327784442</v>
      </c>
      <c r="I383" s="17">
        <f>IF(A386=A387,_xll.ciqfunctions.udf.CIQ(A378,"IQ_TOTAL_OUTSTANDING_FILING_DATE",IQ_FY-5), _xll.ciqfunctions.udf.CIQ(A378, "IQ_TOTAL_OUTSTANDING_FILING_DATE",IQ_FY-4))</f>
        <v>475.85302000000001</v>
      </c>
      <c r="J383" s="17">
        <f>IF(A386=A387,_xll.ciqfunctions.udf.CIQ(A378,"IQ_CASH_OPER",IQ_FY-5), _xll.ciqfunctions.udf.CIQ(A378, "IQ_CASH_OPER",IQ_FY-4))</f>
        <v>1674.8</v>
      </c>
      <c r="K383" s="17">
        <f>IF(A386=A387,_xll.ciqfunctions.udf.CIQ(A378,"IQ_CAPEX",IQ_FY-5), _xll.ciqfunctions.udf.CIQ(A378, "IQ_CAPEX",IQ_FY-4))</f>
        <v>-228.9</v>
      </c>
      <c r="L383" s="15">
        <f t="shared" si="100"/>
        <v>3.0385432880093939</v>
      </c>
      <c r="M383" s="17">
        <f>IF(A386=A387,_xll.ciqfunctions.udf.CIQ(A378,"IQ_TOTAL_DEBT_ISSUED",IQ_FY-5), _xll.ciqfunctions.udf.CIQ(A378, "IQ_TOTAL_DEBT_ISSUED",IQ_FY-4))</f>
        <v>9406</v>
      </c>
      <c r="N383" s="17">
        <f>IF(A386=A387,_xll.ciqfunctions.udf.CIQ(A378,"IQ_TOTAL_DEBT_REPAID",IQ_FY-5), _xll.ciqfunctions.udf.CIQ(A378, "IQ_TOTAL_DEBT_REPAID",IQ_FY-4))</f>
        <v>-4296.2</v>
      </c>
      <c r="O383" s="15">
        <f t="shared" si="101"/>
        <v>10.738189704039286</v>
      </c>
      <c r="P383" s="15">
        <f t="shared" si="102"/>
        <v>13.776732992048679</v>
      </c>
      <c r="Q383" s="25" t="s">
        <v>27</v>
      </c>
      <c r="R383" s="38" t="s">
        <v>51</v>
      </c>
      <c r="S383" s="4">
        <f>AVERAGE(F383:F388)/AVERAGE(D383:D388)</f>
        <v>0.17471644165251554</v>
      </c>
      <c r="U383" s="25" t="s">
        <v>58</v>
      </c>
      <c r="V383" s="38" t="s">
        <v>51</v>
      </c>
      <c r="W383" s="4">
        <f>AVERAGE(F383:F388)/AVERAGE(D383:D388)</f>
        <v>0.17471644165251554</v>
      </c>
      <c r="Y383" s="25" t="s">
        <v>56</v>
      </c>
      <c r="Z383" s="38" t="s">
        <v>51</v>
      </c>
      <c r="AA383" s="4">
        <f>AVERAGE(F383:F388)/AVERAGE(D383:D388)</f>
        <v>0.17471644165251554</v>
      </c>
    </row>
    <row r="384" spans="1:27">
      <c r="A384" s="18"/>
      <c r="B384" s="13">
        <v>7</v>
      </c>
      <c r="C384" s="14" t="s">
        <v>28</v>
      </c>
      <c r="D384" s="15" cm="1">
        <f t="array" ref="D384">_xlfn.SINGLE(IF(A386=A387,_xll.ciqfunctions.udf.CIQ(A378,"IQ_TOTAL_REV",IQ_FY-4)/I384, _xll.ciqfunctions.udf.CIQ(A378, "IQ_TOTAL_REV",IQ_FY-3)/I384))</f>
        <v>10.74908564395434</v>
      </c>
      <c r="E384" s="16">
        <f t="shared" si="103"/>
        <v>-4.3838701576910437E-2</v>
      </c>
      <c r="F384" s="15">
        <f>IF(A386=A387,_xll.ciqfunctions.udf.CIQ(A378,"IQ_DILUT_EPS_EXCL",IQ_FY-4), _xll.ciqfunctions.udf.CIQ(A378, "IQ_DILUT_EPS_EXCL",IQ_FY-3))</f>
        <v>1.1100000000000001</v>
      </c>
      <c r="G384" s="15">
        <f>IF(A386=A387,_xll.ciqfunctions.udf.CIQ(A378,"IQ_EBITDA_MARGIN",IQ_FY-4), _xll.ciqfunctions.udf.CIQ(A378, "IQ_EBITDA_MARGIN",IQ_FY-3))</f>
        <v>36.202599999999997</v>
      </c>
      <c r="H384" s="15">
        <f>IF(A386=A387,_xll.ciqfunctions.udf.CIQ(A378,"IQ_TOTAL_DIV_PAID_CF",IQ_FY-4)/-I384, _xll.ciqfunctions.udf.CIQ(A378, "IQ_TOTAL_DIV_PAID_CF",IQ_FY-3)/-I384)</f>
        <v>0.71352145992727145</v>
      </c>
      <c r="I384" s="17">
        <f>IF(A386=A387,_xll.ciqfunctions.udf.CIQ(A378,"IQ_TOTAL_OUTSTANDING_FILING_DATE",IQ_FY-4), _xll.ciqfunctions.udf.CIQ(A378, "IQ_TOTAL_OUTSTANDING_FILING_DATE",IQ_FY-3))</f>
        <v>490.66498999999999</v>
      </c>
      <c r="J384" s="17">
        <f>IF(A386=A387,_xll.ciqfunctions.udf.CIQ(A378,"IQ_CASH_OPER",IQ_FY-4), _xll.ciqfunctions.udf.CIQ(A378, "IQ_CASH_OPER",IQ_FY-3))</f>
        <v>1543.8</v>
      </c>
      <c r="K384" s="17">
        <f>IF(A386=A387,_xll.ciqfunctions.udf.CIQ(A378,"IQ_CAPEX",IQ_FY-4), _xll.ciqfunctions.udf.CIQ(A378, "IQ_CAPEX",IQ_FY-3))</f>
        <v>-67.599999999999994</v>
      </c>
      <c r="L384" s="15">
        <f t="shared" si="100"/>
        <v>3.0085700632523222</v>
      </c>
      <c r="M384" s="17">
        <f>IF(A386=A387,_xll.ciqfunctions.udf.CIQ(A378,"IQ_TOTAL_DEBT_ISSUED",IQ_FY-4), _xll.ciqfunctions.udf.CIQ(A378, "IQ_TOTAL_DEBT_ISSUED",IQ_FY-3))</f>
        <v>1637.9</v>
      </c>
      <c r="N384" s="17">
        <f>IF(A386=A387,_xll.ciqfunctions.udf.CIQ(A378,"IQ_TOTAL_DEBT_REPAID",IQ_FY-4), _xll.ciqfunctions.udf.CIQ(A378, "IQ_TOTAL_DEBT_REPAID",IQ_FY-3))</f>
        <v>-2707.8</v>
      </c>
      <c r="O384" s="15">
        <f t="shared" si="101"/>
        <v>-2.1805101684552635</v>
      </c>
      <c r="P384" s="15">
        <f t="shared" si="102"/>
        <v>0.82805989479705877</v>
      </c>
      <c r="Q384" s="18"/>
      <c r="R384" s="38" t="s">
        <v>29</v>
      </c>
      <c r="S384" s="4">
        <f>(AVERAGE(P383:P388)/_xlfn.STDEV.P(P383:P388))/(IF(A386=A387,(_xlfn.SINGLE(_xll.ciqfunctions.udf.CIQ(A378,"IQ_total_assets",IQ_FY)) - _xlfn.SINGLE(_xll.ciqfunctions.udf.CIQ(A378,"iq_gw_intan", IQ_FY)))/I388, (_xlfn.SINGLE(_xll.ciqfunctions.udf.CIQ(A378, "IQ_total_assets",IQ_LTM))-_xlfn.SINGLE(_xll.ciqfunctions.udf.CIQ(A378,"iq_gw_intan",IQ_LTM)))/I388))</f>
        <v>6.9659197617890078E-2</v>
      </c>
      <c r="U384" s="18"/>
      <c r="V384" s="38" t="s">
        <v>29</v>
      </c>
      <c r="W384" s="4">
        <f>(AVERAGE(P383:P388)/_xlfn.STDEV.P(P383:P388))/(IF(A386=A387,(_xlfn.SINGLE(_xll.ciqfunctions.udf.CIQ(A378,"IQ_total_assets",IQ_FY)) - _xlfn.SINGLE(_xll.ciqfunctions.udf.CIQ(A378,"iq_gw_intan", IQ_FY)))/I388, (_xlfn.SINGLE(_xll.ciqfunctions.udf.CIQ(A378, "IQ_total_assets",IQ_LTM))-_xlfn.SINGLE(_xll.ciqfunctions.udf.CIQ(A378,"iq_gw_intan",IQ_LTM)))/I388))</f>
        <v>6.9659197617890078E-2</v>
      </c>
      <c r="Y384" s="18"/>
      <c r="Z384" s="38" t="s">
        <v>29</v>
      </c>
      <c r="AA384" s="4">
        <f>(AVERAGE(P383:P388)/_xlfn.STDEV.P(P383:P388))/(IF(A386=A387,(_xlfn.SINGLE(_xll.ciqfunctions.udf.CIQ(A378,"IQ_total_assets",IQ_FY)) - _xlfn.SINGLE(_xll.ciqfunctions.udf.CIQ(A378,"iq_gw_intan", IQ_FY)))/I388, (_xlfn.SINGLE(_xll.ciqfunctions.udf.CIQ(A378, "IQ_total_assets",IQ_LTM))-_xlfn.SINGLE(_xll.ciqfunctions.udf.CIQ(A378,"iq_gw_intan",IQ_LTM)))/I388))</f>
        <v>6.9659197617890078E-2</v>
      </c>
    </row>
    <row r="385" spans="1:27">
      <c r="A385" s="18"/>
      <c r="B385" s="13">
        <v>8</v>
      </c>
      <c r="C385" s="14" t="s">
        <v>30</v>
      </c>
      <c r="D385" s="15" cm="1">
        <f t="array" ref="D385">_xlfn.SINGLE(IF(A386=A387,_xll.ciqfunctions.udf.CIQ(A378,"IQ_TOTAL_REV",IQ_FY-3)/I385, _xll.ciqfunctions.udf.CIQ(A378, "IQ_TOTAL_REV",IQ_FY-2)/I385))</f>
        <v>9.9410886669285983</v>
      </c>
      <c r="E385" s="16">
        <f t="shared" si="103"/>
        <v>-7.5168903085276559E-2</v>
      </c>
      <c r="F385" s="15">
        <f>IF(A386=A387,_xll.ciqfunctions.udf.CIQ(A378,"IQ_DILUT_EPS_EXCL",IQ_FY-3), _xll.ciqfunctions.udf.CIQ(A378, "IQ_DILUT_EPS_EXCL",IQ_FY-2))</f>
        <v>0.65</v>
      </c>
      <c r="G385" s="15">
        <f>IF(A386=A387,_xll.ciqfunctions.udf.CIQ(A378,"IQ_EBITDA_MARGIN",IQ_FY-3), _xll.ciqfunctions.udf.CIQ(A378, "IQ_EBITDA_MARGIN",IQ_FY-2))</f>
        <v>39.590600000000002</v>
      </c>
      <c r="H385" s="15">
        <f>IF(A386=A387,_xll.ciqfunctions.udf.CIQ(A378,"IQ_TOTAL_DIV_PAID_CF",IQ_FY-3)/-I385, _xll.ciqfunctions.udf.CIQ(A378, "IQ_TOTAL_DIV_PAID_CF",IQ_FY-2)/-I385)</f>
        <v>0.70979051363790369</v>
      </c>
      <c r="I385" s="17">
        <f>IF(A386=A387,_xll.ciqfunctions.udf.CIQ(A378,"IQ_TOTAL_OUTSTANDING_FILING_DATE",IQ_FY-3), _xll.ciqfunctions.udf.CIQ(A378, "IQ_TOTAL_OUTSTANDING_FILING_DATE",IQ_FY-2))</f>
        <v>547.06281999999999</v>
      </c>
      <c r="J385" s="17">
        <f>IF(A386=A387,_xll.ciqfunctions.udf.CIQ(A378,"IQ_CASH_OPER",IQ_FY-3), _xll.ciqfunctions.udf.CIQ(A378, "IQ_CASH_OPER",IQ_FY-2))</f>
        <v>1916.5</v>
      </c>
      <c r="K385" s="17">
        <f>IF(A386=A387,_xll.ciqfunctions.udf.CIQ(A378,"IQ_CAPEX",IQ_FY-3), _xll.ciqfunctions.udf.CIQ(A378, "IQ_CAPEX",IQ_FY-2))</f>
        <v>-92.6</v>
      </c>
      <c r="L385" s="15">
        <f t="shared" si="100"/>
        <v>3.3339863966628185</v>
      </c>
      <c r="M385" s="17">
        <f>IF(A386=A387,_xll.ciqfunctions.udf.CIQ(A378,"IQ_TOTAL_DEBT_ISSUED",IQ_FY-3), _xll.ciqfunctions.udf.CIQ(A378, "IQ_TOTAL_DEBT_ISSUED",IQ_FY-2))</f>
        <v>7543.8</v>
      </c>
      <c r="N385" s="17">
        <f>IF(A386=A387,_xll.ciqfunctions.udf.CIQ(A378,"IQ_TOTAL_DEBT_REPAID",IQ_FY-3), _xll.ciqfunctions.udf.CIQ(A378, "IQ_TOTAL_DEBT_REPAID",IQ_FY-2))</f>
        <v>-8958.4</v>
      </c>
      <c r="O385" s="15">
        <f t="shared" si="101"/>
        <v>-2.5858090666808602</v>
      </c>
      <c r="P385" s="15">
        <f t="shared" si="102"/>
        <v>0.74817732998195829</v>
      </c>
      <c r="Q385" s="18"/>
      <c r="R385" s="39" t="s">
        <v>31</v>
      </c>
      <c r="S385" s="5">
        <f>IF(NOT(D378&gt;0),FALSE,SLOPE(G378:G388,B378:B388))</f>
        <v>1.722309090909091</v>
      </c>
      <c r="U385" s="18"/>
      <c r="V385" s="39" t="s">
        <v>31</v>
      </c>
      <c r="W385" s="5">
        <f>IF(NOT(D378&gt;0),FALSE,SLOPE(G378:G388,B378:B388))</f>
        <v>1.722309090909091</v>
      </c>
      <c r="Y385" s="18"/>
      <c r="Z385" s="39" t="s">
        <v>31</v>
      </c>
      <c r="AA385" s="5">
        <f>IF(NOT(L378&gt;0),FALSE,SLOPE(O378:O388,J378:J388))</f>
        <v>-1.4278310927343949E-3</v>
      </c>
    </row>
    <row r="386" spans="1:27">
      <c r="A386" s="19">
        <f>_xll.ciqfunctions.udf.CIQ(A378,"IQ_TOTAL_REV",IQ_FY)</f>
        <v>8438.7000000000007</v>
      </c>
      <c r="B386" s="13">
        <v>9</v>
      </c>
      <c r="C386" s="14" t="s">
        <v>32</v>
      </c>
      <c r="D386" s="15" cm="1">
        <f t="array" ref="D386">_xlfn.SINGLE(IF(A386=A387,_xll.ciqfunctions.udf.CIQ(A378,"IQ_TOTAL_REV",IQ_FY-2)/I386, _xll.ciqfunctions.udf.CIQ(A378, "IQ_TOTAL_REV",IQ_FY-1)/I386))</f>
        <v>12.300963045532985</v>
      </c>
      <c r="E386" s="16">
        <f t="shared" si="103"/>
        <v>0.23738590990090164</v>
      </c>
      <c r="F386" s="15">
        <f>IF(A386=A387,_xll.ciqfunctions.udf.CIQ(A378,"IQ_DILUT_EPS_EXCL",IQ_FY-2), _xll.ciqfunctions.udf.CIQ(A378, "IQ_DILUT_EPS_EXCL",IQ_FY-1))</f>
        <v>2.27</v>
      </c>
      <c r="G386" s="15">
        <f>IF(A386=A387,_xll.ciqfunctions.udf.CIQ(A378,"IQ_EBITDA_MARGIN",IQ_FY-2), _xll.ciqfunctions.udf.CIQ(A378, "IQ_EBITDA_MARGIN",IQ_FY-1))</f>
        <v>44.313800000000001</v>
      </c>
      <c r="H386" s="15">
        <f>IF(A386=A387,_xll.ciqfunctions.udf.CIQ(A378,"IQ_TOTAL_DIV_PAID_CF",IQ_FY-2)/-I386, _xll.ciqfunctions.udf.CIQ(A378, "IQ_TOTAL_DIV_PAID_CF",IQ_FY-1)/-I386)</f>
        <v>0.90856414583698897</v>
      </c>
      <c r="I386" s="17">
        <f>IF(A386=A387,_xll.ciqfunctions.udf.CIQ(A378,"IQ_TOTAL_OUTSTANDING_FILING_DATE",IQ_FY-2), _xll.ciqfunctions.udf.CIQ(A378, "IQ_TOTAL_OUTSTANDING_FILING_DATE",IQ_FY-1))</f>
        <v>554.50130000000001</v>
      </c>
      <c r="J386" s="17">
        <f>IF(A386=A387,_xll.ciqfunctions.udf.CIQ(A378,"IQ_CASH_OPER",IQ_FY-2), _xll.ciqfunctions.udf.CIQ(A378, "IQ_CASH_OPER",IQ_FY-1))</f>
        <v>2842.7</v>
      </c>
      <c r="K386" s="17">
        <f>IF(A386=A387,_xll.ciqfunctions.udf.CIQ(A378,"IQ_CAPEX",IQ_FY-2), _xll.ciqfunctions.udf.CIQ(A378, "IQ_CAPEX",IQ_FY-1))</f>
        <v>-370.1</v>
      </c>
      <c r="L386" s="15">
        <f t="shared" si="100"/>
        <v>4.4591419352849124</v>
      </c>
      <c r="M386" s="17">
        <f>IF(A386=A387,_xll.ciqfunctions.udf.CIQ(A378,"IQ_TOTAL_DEBT_ISSUED",IQ_FY-2), _xll.ciqfunctions.udf.CIQ(A378, "IQ_TOTAL_DEBT_ISSUED",IQ_FY-1))</f>
        <v>5173</v>
      </c>
      <c r="N386" s="17">
        <f>IF(A386=A387,_xll.ciqfunctions.udf.CIQ(A378,"IQ_TOTAL_DEBT_REPAID",IQ_FY-2), _xll.ciqfunctions.udf.CIQ(A378, "IQ_TOTAL_DEBT_REPAID",IQ_FY-1))</f>
        <v>-6549</v>
      </c>
      <c r="O386" s="15">
        <f t="shared" si="101"/>
        <v>-2.4815090604837176</v>
      </c>
      <c r="P386" s="15">
        <f t="shared" si="102"/>
        <v>1.9776328748011949</v>
      </c>
      <c r="Q386" s="25" t="s">
        <v>33</v>
      </c>
      <c r="R386" s="38" t="s">
        <v>52</v>
      </c>
      <c r="S386" s="4">
        <f>(AVERAGE(O383:O388)/AVERAGE(P383:P388))</f>
        <v>-6.936582854437548E-2</v>
      </c>
      <c r="U386" s="25" t="s">
        <v>54</v>
      </c>
      <c r="V386" s="38" t="s">
        <v>52</v>
      </c>
      <c r="W386" s="4">
        <f>(AVERAGE(O383:O388)/AVERAGE(P383:P388))</f>
        <v>-6.936582854437548E-2</v>
      </c>
      <c r="Y386" s="25" t="s">
        <v>60</v>
      </c>
      <c r="Z386" s="38" t="s">
        <v>52</v>
      </c>
      <c r="AA386" s="4">
        <f>(AVERAGE(O383:O388)/AVERAGE(P383:P388))</f>
        <v>-6.936582854437548E-2</v>
      </c>
    </row>
    <row r="387" spans="1:27">
      <c r="A387" s="19">
        <f>_xll.ciqfunctions.udf.CIQ(A378,"IQ_TOTAL_REV",IQ_LTM)</f>
        <v>8944.7999999999993</v>
      </c>
      <c r="B387" s="13">
        <v>10</v>
      </c>
      <c r="C387" s="14" t="s">
        <v>34</v>
      </c>
      <c r="D387" s="15" cm="1">
        <f t="array" ref="D387">_xlfn.SINGLE(IF(A386=A387,_xll.ciqfunctions.udf.CIQ(A378,"IQ_TOTAL_REV",IQ_FY-1)/I387, _xll.ciqfunctions.udf.CIQ(A378, "IQ_TOTAL_REV",IQ_FY)/I387))</f>
        <v>15.472950033521334</v>
      </c>
      <c r="E387" s="16">
        <f t="shared" si="103"/>
        <v>0.25786493108279324</v>
      </c>
      <c r="F387" s="15">
        <f>IF(A386=A387,_xll.ciqfunctions.udf.CIQ(A378,"IQ_DILUT_EPS_EXCL",IQ_FY-1), _xll.ciqfunctions.udf.CIQ(A378, "IQ_DILUT_EPS_EXCL",IQ_FY))</f>
        <v>4.0199999999999996</v>
      </c>
      <c r="G387" s="15">
        <f>IF(A386=A387,_xll.ciqfunctions.udf.CIQ(A378,"IQ_EBITDA_MARGIN",IQ_FY-1), _xll.ciqfunctions.udf.CIQ(A378, "IQ_EBITDA_MARGIN",IQ_FY))</f>
        <v>48.7089</v>
      </c>
      <c r="H387" s="15">
        <f>IF(A386=A387,_xll.ciqfunctions.udf.CIQ(A378,"IQ_TOTAL_DIV_PAID_CF",IQ_FY-1)/-I387, _xll.ciqfunctions.udf.CIQ(A378, "IQ_TOTAL_DIV_PAID_CF",IQ_FY)/-I387)</f>
        <v>1.2748814578439074</v>
      </c>
      <c r="I387" s="17">
        <f>IF(A386=A387,_xll.ciqfunctions.udf.CIQ(A378,"IQ_TOTAL_OUTSTANDING_FILING_DATE",IQ_FY-1), _xll.ciqfunctions.udf.CIQ(A378, "IQ_TOTAL_OUTSTANDING_FILING_DATE",IQ_FY))</f>
        <v>545.38404000000003</v>
      </c>
      <c r="J387" s="17">
        <f>IF(A386=A387,_xll.ciqfunctions.udf.CIQ(A378,"IQ_CASH_OPER",IQ_FY-1), _xll.ciqfunctions.udf.CIQ(A378, "IQ_CASH_OPER",IQ_FY))</f>
        <v>3621</v>
      </c>
      <c r="K387" s="17">
        <f>IF(A386=A387,_xll.ciqfunctions.udf.CIQ(A378,"IQ_CAPEX",IQ_FY-1), _xll.ciqfunctions.udf.CIQ(A378, "IQ_CAPEX",IQ_FY))</f>
        <v>-486.2</v>
      </c>
      <c r="L387" s="15">
        <f t="shared" si="100"/>
        <v>5.7478763038243654</v>
      </c>
      <c r="M387" s="17">
        <f>IF(A386=A387,_xll.ciqfunctions.udf.CIQ(A378,"IQ_TOTAL_DEBT_ISSUED",IQ_FY-1), _xll.ciqfunctions.udf.CIQ(A378, "IQ_TOTAL_DEBT_ISSUED",IQ_FY))</f>
        <v>5935</v>
      </c>
      <c r="N387" s="17">
        <f>IF(A386=A387,_xll.ciqfunctions.udf.CIQ(A378,"IQ_TOTAL_DEBT_REPAID",IQ_FY-1), _xll.ciqfunctions.udf.CIQ(A378, "IQ_TOTAL_DEBT_REPAID",IQ_FY))</f>
        <v>-7405.3</v>
      </c>
      <c r="O387" s="15">
        <f t="shared" si="101"/>
        <v>-2.6958984718364696</v>
      </c>
      <c r="P387" s="15">
        <f t="shared" si="102"/>
        <v>3.0519778319878959</v>
      </c>
      <c r="Q387" s="25" t="s">
        <v>44</v>
      </c>
      <c r="R387" s="38" t="s">
        <v>35</v>
      </c>
      <c r="S387" s="1">
        <f>_xll.ciqfunctions.udf.CIQ(A378,"IQ_TEV_EBITDA")</f>
        <v>11.45186</v>
      </c>
      <c r="U387" s="25" t="s">
        <v>55</v>
      </c>
      <c r="V387" s="38" t="s">
        <v>53</v>
      </c>
      <c r="W387" s="1">
        <f>V377/(AVERAGE(D383:D388)/_xlfn.STDEV.P(E383:E388))</f>
        <v>0.99918587040330287</v>
      </c>
      <c r="Y387" s="25" t="s">
        <v>57</v>
      </c>
      <c r="Z387" s="38" t="s">
        <v>53</v>
      </c>
      <c r="AA387" s="1">
        <f>Z377/(AVERAGE(D383:D388)/_xlfn.STDEV.P(E383:E388))</f>
        <v>0.99918587040330287</v>
      </c>
    </row>
    <row r="388" spans="1:27">
      <c r="B388" s="13">
        <v>11</v>
      </c>
      <c r="C388" s="20" t="s">
        <v>36</v>
      </c>
      <c r="D388" s="21" cm="1">
        <f t="array" ref="D388">_xlfn.SINGLE(IF(A386=A387,_xll.ciqfunctions.udf.CIQ(A378,"IQ_TOTAL_REV",IQ_FY)/I388, _xll.ciqfunctions.udf.CIQ(A378, "IQ_TOTAL_REV",IQ_LTM)/I388))</f>
        <v>16.532441923070028</v>
      </c>
      <c r="E388" s="22">
        <f t="shared" si="103"/>
        <v>6.8473813154786914E-2</v>
      </c>
      <c r="F388" s="21">
        <f>IF(A386=A387,_xll.ciqfunctions.udf.CIQ(A378,"IQ_DILUT_EPS_EXCL",IQ_FY), _xll.ciqfunctions.udf.CIQ(A378, "IQ_DILUT_EPS_EXCL",IQ_LTM))</f>
        <v>4.5601099999999999</v>
      </c>
      <c r="G388" s="21">
        <f>IF(A386=A387,_xll.ciqfunctions.udf.CIQ(A378,"IQ_EBITDA_MARGIN",IQ_FY), _xll.ciqfunctions.udf.CIQ(A378, "IQ_EBITDA_MARGIN",IQ_LTM))</f>
        <v>49.066400000000002</v>
      </c>
      <c r="H388" s="21">
        <f>IF(A386=A387,_xll.ciqfunctions.udf.CIQ(A378,"IQ_TOTAL_DIV_PAID_CF",IQ_FY)/-I388, _xll.ciqfunctions.udf.CIQ(A378, "IQ_TOTAL_DIV_PAID_CF",IQ_LTM)/-I388)</f>
        <v>1.4930357957087881</v>
      </c>
      <c r="I388" s="23">
        <f>IF(A386=A387,_xll.ciqfunctions.udf.CIQ(A378,"IQ_TOTAL_OUTSTANDING_FILING_DATE",IQ_FY),_xll.ciqfunctions.udf.CIQ(A378,"IQ_sharesoutstanding"))</f>
        <v>541.0453</v>
      </c>
      <c r="J388" s="23">
        <f>IF(A386=A387,_xll.ciqfunctions.udf.CIQ(A378,"IQ_CASH_OPER",IQ_FY), _xll.ciqfunctions.udf.CIQ(A378, "IQ_CASH_OPER",IQ_LTM))</f>
        <v>3596.8</v>
      </c>
      <c r="K388" s="23">
        <f>IF(A386=A387,_xll.ciqfunctions.udf.CIQ(A378,"IQ_CAPEX",IQ_FY), _xll.ciqfunctions.udf.CIQ(A378, "IQ_CAPEX",IQ_LTM))</f>
        <v>-439.5</v>
      </c>
      <c r="L388" s="21">
        <f t="shared" si="100"/>
        <v>5.835555728882591</v>
      </c>
      <c r="M388" s="23">
        <f>IF(A386=A387,_xll.ciqfunctions.udf.CIQ(A378,"IQ_TOTAL_DEBT_ISSUED",IQ_FY), _xll.ciqfunctions.udf.CIQ(A378, "IQ_TOTAL_DEBT_ISSUED",IQ_LTM))</f>
        <v>10466</v>
      </c>
      <c r="N388" s="23">
        <f>IF(A386=A387,_xll.ciqfunctions.udf.CIQ(A378,"IQ_TOTAL_DEBT_REPAID",IQ_FY), _xll.ciqfunctions.udf.CIQ(A378, "IQ_TOTAL_DEBT_REPAID",IQ_LTM))</f>
        <v>-11788.1</v>
      </c>
      <c r="O388" s="21">
        <f t="shared" si="101"/>
        <v>-2.4436031511594321</v>
      </c>
      <c r="P388" s="21">
        <f t="shared" si="102"/>
        <v>3.3919525777231589</v>
      </c>
      <c r="Q388" s="25" t="s">
        <v>45</v>
      </c>
      <c r="S388" s="45"/>
      <c r="U388" s="25"/>
      <c r="W388" s="45"/>
      <c r="Y388" s="25"/>
      <c r="AA388" s="45"/>
    </row>
    <row r="389" spans="1:27">
      <c r="B389" s="24"/>
      <c r="C389" s="25" t="s">
        <v>37</v>
      </c>
      <c r="E389" s="26">
        <f>((D388/D383)^(1/5))-1</f>
        <v>8.0187951352199027E-2</v>
      </c>
      <c r="F389" s="27">
        <f>((F388/F383)^(1/5))-1</f>
        <v>0.45058570738208914</v>
      </c>
      <c r="G389" s="28"/>
      <c r="H389" s="27">
        <f>((H388/H383)^(1/5))-1</f>
        <v>0.15583537309218776</v>
      </c>
      <c r="I389" s="27">
        <f>((I388/I383)^(1/5))-1</f>
        <v>2.6011337442333415E-2</v>
      </c>
      <c r="J389" s="27"/>
      <c r="K389" s="27"/>
      <c r="L389" s="26">
        <f>((L388/L383)^(1/5))-1</f>
        <v>0.13941874157079259</v>
      </c>
      <c r="M389" s="26"/>
      <c r="N389" s="26"/>
      <c r="O389" s="26"/>
      <c r="P389" s="26">
        <f>((P388/P383)^(1/5))-1</f>
        <v>-0.24445435593742082</v>
      </c>
      <c r="Q389" s="18"/>
      <c r="R389" s="36"/>
      <c r="S389" s="45"/>
      <c r="U389" s="18"/>
      <c r="V389" s="36"/>
      <c r="W389" s="45"/>
      <c r="Y389" s="18"/>
      <c r="Z389" s="36"/>
      <c r="AA389" s="45"/>
    </row>
    <row r="390" spans="1:27">
      <c r="A390" s="29"/>
      <c r="B390" s="30"/>
      <c r="C390" s="31" t="s">
        <v>38</v>
      </c>
      <c r="D390" s="29"/>
      <c r="E390" s="32">
        <f>((D388/D378)^(1/10))-1</f>
        <v>0.13114886544294935</v>
      </c>
      <c r="F390" s="33">
        <f>((F388/F378)^(1/10))-1</f>
        <v>0.17487968023318534</v>
      </c>
      <c r="G390" s="34"/>
      <c r="H390" s="33">
        <f>((H388/H378)^(1/10))-1</f>
        <v>7.8385510315196472E-2</v>
      </c>
      <c r="I390" s="33">
        <f>((I388/I378)^(1/10))-1</f>
        <v>3.0514700909425096E-2</v>
      </c>
      <c r="J390" s="33"/>
      <c r="K390" s="33"/>
      <c r="L390" s="32">
        <f>((L388/L378)^(1/10))-1</f>
        <v>0.15289197947705335</v>
      </c>
      <c r="M390" s="32"/>
      <c r="N390" s="32"/>
      <c r="O390" s="32"/>
      <c r="P390" s="32">
        <f>((P388/P378)^(1/10))-1</f>
        <v>8.6440373522255864E-2</v>
      </c>
      <c r="Q390" s="40"/>
      <c r="R390" s="41"/>
      <c r="S390" s="46"/>
      <c r="U390" s="40"/>
      <c r="V390" s="41"/>
      <c r="W390" s="46"/>
      <c r="Y390" s="40"/>
      <c r="Z390" s="41"/>
      <c r="AA390" s="46"/>
    </row>
    <row r="391" spans="1:27">
      <c r="B391" s="24"/>
      <c r="C391" s="25"/>
      <c r="E391" s="26"/>
      <c r="F391" s="27"/>
      <c r="G391" s="28"/>
      <c r="H391" s="27"/>
      <c r="I391" s="27"/>
      <c r="J391" s="27"/>
      <c r="K391" s="27"/>
      <c r="L391" s="26"/>
      <c r="M391" s="17"/>
      <c r="N391" s="17"/>
      <c r="O391" s="17"/>
      <c r="P391" s="35"/>
      <c r="Q391" s="18"/>
      <c r="R391" s="36"/>
    </row>
    <row r="392" spans="1:27">
      <c r="A392" s="9" t="s">
        <v>0</v>
      </c>
      <c r="B392" s="10"/>
      <c r="C392" s="9" t="s">
        <v>1</v>
      </c>
      <c r="D392" s="9" t="s">
        <v>2</v>
      </c>
      <c r="E392" s="9" t="s">
        <v>3</v>
      </c>
      <c r="F392" s="11" t="s">
        <v>4</v>
      </c>
      <c r="G392" s="11" t="s">
        <v>5</v>
      </c>
      <c r="H392" s="9" t="s">
        <v>6</v>
      </c>
      <c r="I392" s="11" t="s">
        <v>7</v>
      </c>
      <c r="J392" s="11" t="s">
        <v>8</v>
      </c>
      <c r="K392" s="11" t="s">
        <v>9</v>
      </c>
      <c r="L392" s="11" t="s">
        <v>10</v>
      </c>
      <c r="M392" s="11" t="s">
        <v>11</v>
      </c>
      <c r="N392" s="11" t="s">
        <v>12</v>
      </c>
      <c r="O392" s="11" t="s">
        <v>13</v>
      </c>
      <c r="P392" s="11" t="s">
        <v>14</v>
      </c>
      <c r="Q392" s="37" t="s">
        <v>15</v>
      </c>
      <c r="R392" s="42">
        <f>_xll.ciqfunctions.udf.CIQ(A393,("IQ_LASTSALEPRICE"))</f>
        <v>183.84</v>
      </c>
      <c r="S392" s="44"/>
      <c r="U392" s="37" t="s">
        <v>15</v>
      </c>
      <c r="V392" s="42">
        <f>_xll.ciqfunctions.udf.CIQ(A393,("IQ_LASTSALEPRICE"))</f>
        <v>183.84</v>
      </c>
      <c r="W392" s="44"/>
      <c r="Y392" s="37" t="s">
        <v>15</v>
      </c>
      <c r="Z392" s="42">
        <f>_xll.ciqfunctions.udf.CIQ(A393,("IQ_LASTSALEPRICE"))</f>
        <v>183.84</v>
      </c>
      <c r="AA392" s="44"/>
    </row>
    <row r="393" spans="1:27">
      <c r="A393" s="12" t="str">
        <f>Analysis!B28</f>
        <v>NasdaqGS:ADI</v>
      </c>
      <c r="B393" s="13">
        <v>1</v>
      </c>
      <c r="C393" s="14" t="s">
        <v>16</v>
      </c>
      <c r="D393" s="15">
        <f>IF(A401=A402,_xll.ciqfunctions.udf.CIQ(A393,"IQ_TOTAL_REV",IQ_FY-10)/I393,_xll.ciqfunctions.udf.CIQ(A393, "IQ_TOTAL_REV",IQ_FY-9)/I393)</f>
        <v>8.4672260368175571</v>
      </c>
      <c r="E393" s="16"/>
      <c r="F393" s="15">
        <f>IF(A401=A402,_xll.ciqfunctions.udf.CIQ(A393,"IQ_DILUT_EPS_EXCL",IQ_FY-10), _xll.ciqfunctions.udf.CIQ(A393, "IQ_DILUT_EPS_EXCL",IQ_FY-9))</f>
        <v>2.14</v>
      </c>
      <c r="G393" s="15">
        <f>IF(A401=A402,_xll.ciqfunctions.udf.CIQ(A393,"IQ_EBITDA_MARGIN",IQ_FY-10), _xll.ciqfunctions.udf.CIQ(A393, "IQ_EBITDA_MARGIN",IQ_FY-9))</f>
        <v>34.158799999999999</v>
      </c>
      <c r="H393" s="15">
        <f>IF(A401=A402,_xll.ciqfunctions.udf.CIQ(A393,"IQ_TOTAL_DIV_PAID_CF",IQ_FY-10)/-I393, _xll.ciqfunctions.udf.CIQ(A393, "IQ_TOTAL_DIV_PAID_CF",IQ_FY-9)/-I393)</f>
        <v>1.3051323621643525</v>
      </c>
      <c r="I393" s="17">
        <f>IF(A401=A402,_xll.ciqfunctions.udf.CIQ(A393,"IQ_TOTAL_OUTSTANDING_FILING_DATE",IQ_FY-10), _xll.ciqfunctions.udf.CIQ(A393, "IQ_TOTAL_OUTSTANDING_FILING_DATE",IQ_FY-9))</f>
        <v>311.04507999999998</v>
      </c>
      <c r="J393" s="17">
        <f>IF(A401=A402,_xll.ciqfunctions.udf.CIQ(A393,"IQ_CASH_OPER",IQ_FY-10), _xll.ciqfunctions.udf.CIQ(A393, "IQ_CASH_OPER",IQ_FY-9))</f>
        <v>912.34500000000003</v>
      </c>
      <c r="K393" s="17">
        <f>IF(A401=A402,_xll.ciqfunctions.udf.CIQ(A393,"IQ_CAPEX",IQ_FY-10), _xll.ciqfunctions.udf.CIQ(A393, "IQ_CAPEX",IQ_FY-9))</f>
        <v>-123.074</v>
      </c>
      <c r="L393" s="15">
        <f t="shared" ref="L393:L403" si="104">(J393+K393)/I393</f>
        <v>2.5374810622305941</v>
      </c>
      <c r="M393" s="17">
        <f>IF(A401=A402,_xll.ciqfunctions.udf.CIQ(A393,"IQ_TOTAL_DEBT_ISSUED",IQ_FY-10), _xll.ciqfunctions.udf.CIQ(A393, "IQ_TOTAL_DEBT_ISSUED",IQ_FY-9))</f>
        <v>493.88</v>
      </c>
      <c r="N393" s="17">
        <f>IF(A401=A402,_xll.ciqfunctions.udf.CIQ(A393,"IQ_TOTAL_DEBT_REPAID",IQ_FY-10), _xll.ciqfunctions.udf.CIQ(A393, "IQ_TOTAL_DEBT_REPAID",IQ_FY-9))</f>
        <v>-452.89800000000002</v>
      </c>
      <c r="O393" s="15">
        <f t="shared" ref="O393:O403" si="105">(M393+N393)/I393</f>
        <v>0.13175582137483086</v>
      </c>
      <c r="P393" s="15">
        <f t="shared" ref="P393:P403" si="106">L393+O393</f>
        <v>2.669236883605425</v>
      </c>
      <c r="W393" s="43"/>
      <c r="AA393" s="43"/>
    </row>
    <row r="394" spans="1:27">
      <c r="A394" s="18" t="str">
        <f>_xll.ciqfunctions.udf.CIQ(A393,"IQ_COMPANY_NAME")</f>
        <v>Analog Devices, Inc.</v>
      </c>
      <c r="B394" s="13">
        <v>2</v>
      </c>
      <c r="C394" s="14" t="s">
        <v>17</v>
      </c>
      <c r="D394" s="15">
        <f>IF(A401=A402,_xll.ciqfunctions.udf.CIQ(A393,"IQ_TOTAL_REV",IQ_FY-9)/I394, _xll.ciqfunctions.udf.CIQ(A393, "IQ_TOTAL_REV",IQ_FY-8)/I394)</f>
        <v>9.2054229346559531</v>
      </c>
      <c r="E394" s="16">
        <f t="shared" ref="E394:E403" si="107">(D394-D393)/D393</f>
        <v>8.71828500418598E-2</v>
      </c>
      <c r="F394" s="15">
        <f>IF(A401=A402,_xll.ciqfunctions.udf.CIQ(A393,"IQ_DILUT_EPS_EXCL",IQ_FY-9), _xll.ciqfunctions.udf.CIQ(A393, "IQ_DILUT_EPS_EXCL",IQ_FY-8))</f>
        <v>1.98</v>
      </c>
      <c r="G394" s="15">
        <f>IF(A401=A402,_xll.ciqfunctions.udf.CIQ(A393,"IQ_EBITDA_MARGIN",IQ_FY-9), _xll.ciqfunctions.udf.CIQ(A393, "IQ_EBITDA_MARGIN",IQ_FY-8))</f>
        <v>33.687600000000003</v>
      </c>
      <c r="H394" s="15">
        <f>IF(A401=A402,_xll.ciqfunctions.udf.CIQ(A393,"IQ_TOTAL_DIV_PAID_CF",IQ_FY-9)/-I394, _xll.ciqfunctions.udf.CIQ(A393, "IQ_TOTAL_DIV_PAID_CF",IQ_FY-8)/-I394)</f>
        <v>1.4595687799675925</v>
      </c>
      <c r="I394" s="17">
        <f>IF(A401=A402,_xll.ciqfunctions.udf.CIQ(A393,"IQ_TOTAL_OUTSTANDING_FILING_DATE",IQ_FY-9), _xll.ciqfunctions.udf.CIQ(A393, "IQ_TOTAL_OUTSTANDING_FILING_DATE",IQ_FY-8))</f>
        <v>311.20492999999999</v>
      </c>
      <c r="J394" s="17">
        <f>IF(A401=A402,_xll.ciqfunctions.udf.CIQ(A393,"IQ_CASH_OPER",IQ_FY-9), _xll.ciqfunctions.udf.CIQ(A393, "IQ_CASH_OPER",IQ_FY-8))</f>
        <v>871.60199999999998</v>
      </c>
      <c r="K394" s="17">
        <f>IF(A401=A402,_xll.ciqfunctions.udf.CIQ(A393,"IQ_CAPEX",IQ_FY-9), _xll.ciqfunctions.udf.CIQ(A393, "IQ_CAPEX",IQ_FY-8))</f>
        <v>-177.91300000000001</v>
      </c>
      <c r="L394" s="15">
        <f t="shared" si="104"/>
        <v>2.2290424512233789</v>
      </c>
      <c r="M394" s="17">
        <f>IF(A401=A402,_xll.ciqfunctions.udf.CIQ(A393,"IQ_TOTAL_DEBT_ISSUED",IQ_FY-9), _xll.ciqfunctions.udf.CIQ(A393, "IQ_TOTAL_DEBT_ISSUED",IQ_FY-8))</f>
        <v>1995.3979999999999</v>
      </c>
      <c r="N394" s="17">
        <f>IF(A401=A402,_xll.ciqfunctions.udf.CIQ(A393,"IQ_TOTAL_DEBT_REPAID",IQ_FY-9), _xll.ciqfunctions.udf.CIQ(A393, "IQ_TOTAL_DEBT_REPAID",IQ_FY-8))</f>
        <v>-1995.3979999999999</v>
      </c>
      <c r="O394" s="15">
        <f t="shared" si="105"/>
        <v>0</v>
      </c>
      <c r="P394" s="15">
        <f t="shared" si="106"/>
        <v>2.2290424512233789</v>
      </c>
      <c r="Q394" s="25" t="s">
        <v>18</v>
      </c>
      <c r="R394" s="39" t="s">
        <v>19</v>
      </c>
      <c r="S394" s="1">
        <f>R392/((AVERAGE(P398:P403))*(1+E404)^3)</f>
        <v>29.933687978083125</v>
      </c>
      <c r="U394" s="25" t="s">
        <v>48</v>
      </c>
      <c r="V394" s="39" t="s">
        <v>19</v>
      </c>
      <c r="W394" s="1">
        <f>V392/((AVERAGE(P398:P403))*(1+E404)^3)</f>
        <v>29.933687978083125</v>
      </c>
      <c r="Y394" s="25" t="s">
        <v>39</v>
      </c>
      <c r="Z394" s="39" t="s">
        <v>19</v>
      </c>
      <c r="AA394" s="1">
        <f>Z392/((AVERAGE(P398:P403))*(1+E404)^3)</f>
        <v>29.933687978083125</v>
      </c>
    </row>
    <row r="395" spans="1:27">
      <c r="B395" s="13">
        <v>3</v>
      </c>
      <c r="C395" s="14" t="s">
        <v>20</v>
      </c>
      <c r="D395" s="15" cm="1">
        <f t="array" ref="D395">_xlfn.SINGLE(IF(A401=A402,_xll.ciqfunctions.udf.CIQ(A393,"IQ_TOTAL_REV",IQ_FY-8)/I395, _xll.ciqfunctions.udf.CIQ(A393, "IQ_TOTAL_REV",IQ_FY-7)/I395))</f>
        <v>11.007769386389853</v>
      </c>
      <c r="E395" s="16">
        <f t="shared" si="107"/>
        <v>0.19579181364373255</v>
      </c>
      <c r="F395" s="15">
        <f>IF(A401=A402,_xll.ciqfunctions.udf.CIQ(A393,"IQ_DILUT_EPS_EXCL",IQ_FY-8), _xll.ciqfunctions.udf.CIQ(A393, "IQ_DILUT_EPS_EXCL",IQ_FY-7))</f>
        <v>2.2000000000000002</v>
      </c>
      <c r="G395" s="15">
        <f>IF(A401=A402,_xll.ciqfunctions.udf.CIQ(A393,"IQ_EBITDA_MARGIN",IQ_FY-8), _xll.ciqfunctions.udf.CIQ(A393, "IQ_EBITDA_MARGIN",IQ_FY-7))</f>
        <v>30.656500000000001</v>
      </c>
      <c r="H395" s="15">
        <f>IF(A401=A402,_xll.ciqfunctions.udf.CIQ(A393,"IQ_TOTAL_DIV_PAID_CF",IQ_FY-8)/-I395, _xll.ciqfunctions.udf.CIQ(A393, "IQ_TOTAL_DIV_PAID_CF",IQ_FY-7)/-I395)</f>
        <v>1.5736010060607444</v>
      </c>
      <c r="I395" s="17">
        <f>IF(A401=A402,_xll.ciqfunctions.udf.CIQ(A393,"IQ_TOTAL_OUTSTANDING_FILING_DATE",IQ_FY-8), _xll.ciqfunctions.udf.CIQ(A393, "IQ_TOTAL_OUTSTANDING_FILING_DATE",IQ_FY-7))</f>
        <v>312.06067999999999</v>
      </c>
      <c r="J395" s="17">
        <f>IF(A401=A402,_xll.ciqfunctions.udf.CIQ(A393,"IQ_CASH_OPER",IQ_FY-8), _xll.ciqfunctions.udf.CIQ(A393, "IQ_CASH_OPER",IQ_FY-7))</f>
        <v>907.798</v>
      </c>
      <c r="K395" s="17">
        <f>IF(A401=A402,_xll.ciqfunctions.udf.CIQ(A393,"IQ_CAPEX",IQ_FY-8), _xll.ciqfunctions.udf.CIQ(A393, "IQ_CAPEX",IQ_FY-7))</f>
        <v>-153.96</v>
      </c>
      <c r="L395" s="15">
        <f t="shared" si="104"/>
        <v>2.4156776175710442</v>
      </c>
      <c r="M395" s="17">
        <f>IF(A401=A402,_xll.ciqfunctions.udf.CIQ(A393,"IQ_TOTAL_DEBT_ISSUED",IQ_FY-8), _xll.ciqfunctions.udf.CIQ(A393, "IQ_TOTAL_DEBT_ISSUED",IQ_FY-7))</f>
        <v>0</v>
      </c>
      <c r="N395" s="17">
        <f>IF(A401=A402,_xll.ciqfunctions.udf.CIQ(A393,"IQ_TOTAL_DEBT_REPAID",IQ_FY-8), _xll.ciqfunctions.udf.CIQ(A393, "IQ_TOTAL_DEBT_REPAID",IQ_FY-7))</f>
        <v>0</v>
      </c>
      <c r="O395" s="15">
        <f t="shared" si="105"/>
        <v>0</v>
      </c>
      <c r="P395" s="15">
        <f t="shared" si="106"/>
        <v>2.4156776175710442</v>
      </c>
      <c r="Q395" s="25" t="s">
        <v>21</v>
      </c>
      <c r="R395" s="38" t="s">
        <v>49</v>
      </c>
      <c r="S395" s="2">
        <f>(R392*I403)/1000</f>
        <v>91.23274725120001</v>
      </c>
      <c r="U395" s="25" t="s">
        <v>59</v>
      </c>
      <c r="V395" s="38" t="s">
        <v>49</v>
      </c>
      <c r="W395" s="2">
        <f>(V392*I403)/1000</f>
        <v>91.23274725120001</v>
      </c>
      <c r="Y395" s="25" t="s">
        <v>46</v>
      </c>
      <c r="Z395" s="38" t="s">
        <v>49</v>
      </c>
      <c r="AA395" s="2">
        <f>(Z392*I403)/1000</f>
        <v>91.23274725120001</v>
      </c>
    </row>
    <row r="396" spans="1:27">
      <c r="A396" s="18"/>
      <c r="B396" s="13">
        <v>4</v>
      </c>
      <c r="C396" s="14" t="s">
        <v>22</v>
      </c>
      <c r="D396" s="15" cm="1">
        <f t="array" ref="D396">_xlfn.SINGLE(IF(A401=A402,_xll.ciqfunctions.udf.CIQ(A393,"IQ_TOTAL_REV",IQ_FY-7)/I396, _xll.ciqfunctions.udf.CIQ(A393, "IQ_TOTAL_REV",IQ_FY-6)/I396))</f>
        <v>11.102322687799898</v>
      </c>
      <c r="E396" s="16">
        <f t="shared" si="107"/>
        <v>8.5896877097508713E-3</v>
      </c>
      <c r="F396" s="15">
        <f>IF(A401=A402,_xll.ciqfunctions.udf.CIQ(A393,"IQ_DILUT_EPS_EXCL",IQ_FY-7), _xll.ciqfunctions.udf.CIQ(A393, "IQ_DILUT_EPS_EXCL",IQ_FY-6))</f>
        <v>2.76</v>
      </c>
      <c r="G396" s="15">
        <f>IF(A401=A402,_xll.ciqfunctions.udf.CIQ(A393,"IQ_EBITDA_MARGIN",IQ_FY-7), _xll.ciqfunctions.udf.CIQ(A393, "IQ_EBITDA_MARGIN",IQ_FY-6))</f>
        <v>36.581000000000003</v>
      </c>
      <c r="H396" s="15">
        <f>IF(A401=A402,_xll.ciqfunctions.udf.CIQ(A393,"IQ_TOTAL_DIV_PAID_CF",IQ_FY-7)/-I396, _xll.ciqfunctions.udf.CIQ(A393, "IQ_TOTAL_DIV_PAID_CF",IQ_FY-6)/-I396)</f>
        <v>1.6652466737899945</v>
      </c>
      <c r="I396" s="17">
        <f>IF(A401=A402,_xll.ciqfunctions.udf.CIQ(A393,"IQ_TOTAL_OUTSTANDING_FILING_DATE",IQ_FY-7), _xll.ciqfunctions.udf.CIQ(A393, "IQ_TOTAL_OUTSTANDING_FILING_DATE",IQ_FY-6))</f>
        <v>308.17056000000002</v>
      </c>
      <c r="J396" s="17">
        <f>IF(A401=A402,_xll.ciqfunctions.udf.CIQ(A393,"IQ_CASH_OPER",IQ_FY-7), _xll.ciqfunctions.udf.CIQ(A393, "IQ_CASH_OPER",IQ_FY-6))</f>
        <v>1291.348</v>
      </c>
      <c r="K396" s="17">
        <f>IF(A401=A402,_xll.ciqfunctions.udf.CIQ(A393,"IQ_CAPEX",IQ_FY-7), _xll.ciqfunctions.udf.CIQ(A393, "IQ_CAPEX",IQ_FY-6))</f>
        <v>-127.39700000000001</v>
      </c>
      <c r="L396" s="15">
        <f t="shared" si="104"/>
        <v>3.7769701297878679</v>
      </c>
      <c r="M396" s="17">
        <f>IF(A401=A402,_xll.ciqfunctions.udf.CIQ(A393,"IQ_TOTAL_DEBT_ISSUED",IQ_FY-7), _xll.ciqfunctions.udf.CIQ(A393, "IQ_TOTAL_DEBT_ISSUED",IQ_FY-6))</f>
        <v>1235.3309999999999</v>
      </c>
      <c r="N396" s="17">
        <f>IF(A401=A402,_xll.ciqfunctions.udf.CIQ(A393,"IQ_TOTAL_DEBT_REPAID",IQ_FY-7), _xll.ciqfunctions.udf.CIQ(A393, "IQ_TOTAL_DEBT_REPAID",IQ_FY-6))</f>
        <v>-378.15600000000001</v>
      </c>
      <c r="O396" s="15">
        <f t="shared" si="105"/>
        <v>2.7814954160449328</v>
      </c>
      <c r="P396" s="15">
        <f t="shared" si="106"/>
        <v>6.5584655458328012</v>
      </c>
      <c r="Q396" s="25" t="s">
        <v>23</v>
      </c>
      <c r="R396" s="38" t="s">
        <v>24</v>
      </c>
      <c r="S396" s="1">
        <f>R392/(AVERAGE(H398:H403)*(1+H404)/(0.5-H404))</f>
        <v>24.848762574448479</v>
      </c>
      <c r="U396" s="25" t="s">
        <v>40</v>
      </c>
      <c r="V396" s="38" t="s">
        <v>24</v>
      </c>
      <c r="W396" s="1">
        <f>V392/(AVERAGE(H398:H403)*(1+H404)/(0.5-H404))</f>
        <v>24.848762574448479</v>
      </c>
      <c r="Y396" s="25" t="s">
        <v>47</v>
      </c>
      <c r="Z396" s="38" t="s">
        <v>24</v>
      </c>
      <c r="AA396" s="1">
        <f>Z392/(AVERAGE(H398:H403)*(1+H404)/(0.5-H404))</f>
        <v>24.848762574448479</v>
      </c>
    </row>
    <row r="397" spans="1:27">
      <c r="B397" s="13">
        <v>5</v>
      </c>
      <c r="C397" s="14" t="s">
        <v>25</v>
      </c>
      <c r="D397" s="15" cm="1">
        <f t="array" ref="D397">_xlfn.SINGLE(IF(A401=A402,_xll.ciqfunctions.udf.CIQ(A393,"IQ_TOTAL_REV",IQ_FY-6)/I397, _xll.ciqfunctions.udf.CIQ(A393, "IQ_TOTAL_REV",IQ_FY-5)/I397))</f>
        <v>14.231808582666378</v>
      </c>
      <c r="E397" s="16">
        <f t="shared" si="107"/>
        <v>0.28187668318318693</v>
      </c>
      <c r="F397" s="15">
        <f>IF(A401=A402,_xll.ciqfunctions.udf.CIQ(A393,"IQ_DILUT_EPS_EXCL",IQ_FY-6), _xll.ciqfunctions.udf.CIQ(A393, "IQ_DILUT_EPS_EXCL",IQ_FY-5))</f>
        <v>2.29</v>
      </c>
      <c r="G397" s="15">
        <f>IF(A401=A402,_xll.ciqfunctions.udf.CIQ(A393,"IQ_EBITDA_MARGIN",IQ_FY-6), _xll.ciqfunctions.udf.CIQ(A393, "IQ_EBITDA_MARGIN",IQ_FY-5))</f>
        <v>41.955500000000001</v>
      </c>
      <c r="H397" s="15">
        <f>IF(A401=A402,_xll.ciqfunctions.udf.CIQ(A393,"IQ_TOTAL_DIV_PAID_CF",IQ_FY-6)/-I397, _xll.ciqfunctions.udf.CIQ(A393, "IQ_TOTAL_DIV_PAID_CF",IQ_FY-5)/-I397)</f>
        <v>1.6333709757264754</v>
      </c>
      <c r="I397" s="17">
        <f>IF(A401=A402,_xll.ciqfunctions.udf.CIQ(A393,"IQ_TOTAL_OUTSTANDING_FILING_DATE",IQ_FY-6), _xll.ciqfunctions.udf.CIQ(A393, "IQ_TOTAL_OUTSTANDING_FILING_DATE",IQ_FY-5))</f>
        <v>368.63578999999999</v>
      </c>
      <c r="J397" s="17">
        <f>IF(A401=A402,_xll.ciqfunctions.udf.CIQ(A393,"IQ_CASH_OPER",IQ_FY-6), _xll.ciqfunctions.udf.CIQ(A393, "IQ_CASH_OPER",IQ_FY-5))</f>
        <v>1154.365</v>
      </c>
      <c r="K397" s="17">
        <f>IF(A401=A402,_xll.ciqfunctions.udf.CIQ(A393,"IQ_CAPEX",IQ_FY-6), _xll.ciqfunctions.udf.CIQ(A393, "IQ_CAPEX",IQ_FY-5))</f>
        <v>-204.09800000000001</v>
      </c>
      <c r="L397" s="15">
        <f t="shared" si="104"/>
        <v>2.577793653730692</v>
      </c>
      <c r="M397" s="17">
        <f>IF(A401=A402,_xll.ciqfunctions.udf.CIQ(A393,"IQ_TOTAL_DEBT_ISSUED",IQ_FY-6), _xll.ciqfunctions.udf.CIQ(A393, "IQ_TOTAL_DEBT_ISSUED",IQ_FY-5))</f>
        <v>11156.164000000001</v>
      </c>
      <c r="N397" s="17">
        <f>IF(A401=A402,_xll.ciqfunctions.udf.CIQ(A393,"IQ_TOTAL_DEBT_REPAID",IQ_FY-6), _xll.ciqfunctions.udf.CIQ(A393, "IQ_TOTAL_DEBT_REPAID",IQ_FY-5))</f>
        <v>-5050</v>
      </c>
      <c r="O397" s="15">
        <f t="shared" si="105"/>
        <v>16.564219117194238</v>
      </c>
      <c r="P397" s="15">
        <f t="shared" si="106"/>
        <v>19.142012770924929</v>
      </c>
      <c r="Q397" s="18"/>
      <c r="R397" s="38" t="s">
        <v>50</v>
      </c>
      <c r="S397" s="3">
        <f>I404</f>
        <v>6.0386906723373546E-2</v>
      </c>
      <c r="U397" s="18"/>
      <c r="V397" s="38" t="s">
        <v>50</v>
      </c>
      <c r="W397" s="3">
        <f>I404</f>
        <v>6.0386906723373546E-2</v>
      </c>
      <c r="Y397" s="18"/>
      <c r="Z397" s="38" t="s">
        <v>50</v>
      </c>
      <c r="AA397" s="3">
        <f>I404</f>
        <v>6.0386906723373546E-2</v>
      </c>
    </row>
    <row r="398" spans="1:27">
      <c r="B398" s="13">
        <v>6</v>
      </c>
      <c r="C398" s="14" t="s">
        <v>26</v>
      </c>
      <c r="D398" s="15" cm="1">
        <f t="array" ref="D398">_xlfn.SINGLE(IF(A401=A402,_xll.ciqfunctions.udf.CIQ(A393,"IQ_TOTAL_REV",IQ_FY-5)/I398, _xll.ciqfunctions.udf.CIQ(A393, "IQ_TOTAL_REV",IQ_FY-4)/I398))</f>
        <v>16.816232351698073</v>
      </c>
      <c r="E398" s="16">
        <f t="shared" si="107"/>
        <v>0.181594893861866</v>
      </c>
      <c r="F398" s="15">
        <f>IF(A401=A402,_xll.ciqfunctions.udf.CIQ(A393,"IQ_DILUT_EPS_EXCL",IQ_FY-5), _xll.ciqfunctions.udf.CIQ(A393, "IQ_DILUT_EPS_EXCL",IQ_FY-4))</f>
        <v>4</v>
      </c>
      <c r="G398" s="15">
        <f>IF(A401=A402,_xll.ciqfunctions.udf.CIQ(A393,"IQ_EBITDA_MARGIN",IQ_FY-5), _xll.ciqfunctions.udf.CIQ(A393, "IQ_EBITDA_MARGIN",IQ_FY-4))</f>
        <v>44.322099999999999</v>
      </c>
      <c r="H398" s="15">
        <f>IF(A401=A402,_xll.ciqfunctions.udf.CIQ(A393,"IQ_TOTAL_DIV_PAID_CF",IQ_FY-5)/-I398, _xll.ciqfunctions.udf.CIQ(A393, "IQ_TOTAL_DIV_PAID_CF",IQ_FY-4)/-I398)</f>
        <v>1.9000104144280485</v>
      </c>
      <c r="I398" s="17">
        <f>IF(A401=A402,_xll.ciqfunctions.udf.CIQ(A393,"IQ_TOTAL_OUTSTANDING_FILING_DATE",IQ_FY-5), _xll.ciqfunctions.udf.CIQ(A393, "IQ_TOTAL_OUTSTANDING_FILING_DATE",IQ_FY-4))</f>
        <v>370.15955000000002</v>
      </c>
      <c r="J398" s="17">
        <f>IF(A401=A402,_xll.ciqfunctions.udf.CIQ(A393,"IQ_CASH_OPER",IQ_FY-5), _xll.ciqfunctions.udf.CIQ(A393, "IQ_CASH_OPER",IQ_FY-4))</f>
        <v>2442.3609999999999</v>
      </c>
      <c r="K398" s="17">
        <f>IF(A401=A402,_xll.ciqfunctions.udf.CIQ(A393,"IQ_CAPEX",IQ_FY-5), _xll.ciqfunctions.udf.CIQ(A393, "IQ_CAPEX",IQ_FY-4))</f>
        <v>-254.876</v>
      </c>
      <c r="L398" s="15">
        <f t="shared" si="104"/>
        <v>5.9095733177760765</v>
      </c>
      <c r="M398" s="17">
        <f>IF(A401=A402,_xll.ciqfunctions.udf.CIQ(A393,"IQ_TOTAL_DEBT_ISSUED",IQ_FY-5), _xll.ciqfunctions.udf.CIQ(A393, "IQ_TOTAL_DEBT_ISSUED",IQ_FY-4))</f>
        <v>743.77800000000002</v>
      </c>
      <c r="N398" s="17">
        <f>IF(A401=A402,_xll.ciqfunctions.udf.CIQ(A393,"IQ_TOTAL_DEBT_REPAID",IQ_FY-5), _xll.ciqfunctions.udf.CIQ(A393, "IQ_TOTAL_DEBT_REPAID",IQ_FY-4))</f>
        <v>-2275</v>
      </c>
      <c r="O398" s="15">
        <f t="shared" si="105"/>
        <v>-4.1366540455325271</v>
      </c>
      <c r="P398" s="15">
        <f t="shared" si="106"/>
        <v>1.7729192722435494</v>
      </c>
      <c r="Q398" s="25" t="s">
        <v>27</v>
      </c>
      <c r="R398" s="38" t="s">
        <v>51</v>
      </c>
      <c r="S398" s="4">
        <f>AVERAGE(F398:F403)/AVERAGE(D398:D403)</f>
        <v>0.23687623584358389</v>
      </c>
      <c r="U398" s="25" t="s">
        <v>58</v>
      </c>
      <c r="V398" s="38" t="s">
        <v>51</v>
      </c>
      <c r="W398" s="4">
        <f>AVERAGE(F398:F403)/AVERAGE(D398:D403)</f>
        <v>0.23687623584358389</v>
      </c>
      <c r="Y398" s="25" t="s">
        <v>56</v>
      </c>
      <c r="Z398" s="38" t="s">
        <v>51</v>
      </c>
      <c r="AA398" s="4">
        <f>AVERAGE(F398:F403)/AVERAGE(D398:D403)</f>
        <v>0.23687623584358389</v>
      </c>
    </row>
    <row r="399" spans="1:27">
      <c r="A399" s="18"/>
      <c r="B399" s="13">
        <v>7</v>
      </c>
      <c r="C399" s="14" t="s">
        <v>28</v>
      </c>
      <c r="D399" s="15" cm="1">
        <f t="array" ref="D399">_xlfn.SINGLE(IF(A401=A402,_xll.ciqfunctions.udf.CIQ(A393,"IQ_TOTAL_REV",IQ_FY-4)/I399, _xll.ciqfunctions.udf.CIQ(A393, "IQ_TOTAL_REV",IQ_FY-3)/I399))</f>
        <v>16.266702275089894</v>
      </c>
      <c r="E399" s="16">
        <f t="shared" si="107"/>
        <v>-3.2678549220490981E-2</v>
      </c>
      <c r="F399" s="15">
        <f>IF(A401=A402,_xll.ciqfunctions.udf.CIQ(A393,"IQ_DILUT_EPS_EXCL",IQ_FY-4), _xll.ciqfunctions.udf.CIQ(A393, "IQ_DILUT_EPS_EXCL",IQ_FY-3))</f>
        <v>3.65</v>
      </c>
      <c r="G399" s="15">
        <f>IF(A401=A402,_xll.ciqfunctions.udf.CIQ(A393,"IQ_EBITDA_MARGIN",IQ_FY-4), _xll.ciqfunctions.udf.CIQ(A393, "IQ_EBITDA_MARGIN",IQ_FY-3))</f>
        <v>43.693600000000004</v>
      </c>
      <c r="H399" s="15">
        <f>IF(A401=A402,_xll.ciqfunctions.udf.CIQ(A393,"IQ_TOTAL_DIV_PAID_CF",IQ_FY-4)/-I399, _xll.ciqfunctions.udf.CIQ(A393, "IQ_TOTAL_DIV_PAID_CF",IQ_FY-3)/-I399)</f>
        <v>2.1109856013144852</v>
      </c>
      <c r="I399" s="17">
        <f>IF(A401=A402,_xll.ciqfunctions.udf.CIQ(A393,"IQ_TOTAL_OUTSTANDING_FILING_DATE",IQ_FY-4), _xll.ciqfunctions.udf.CIQ(A393, "IQ_TOTAL_OUTSTANDING_FILING_DATE",IQ_FY-3))</f>
        <v>368.30237</v>
      </c>
      <c r="J399" s="17">
        <f>IF(A401=A402,_xll.ciqfunctions.udf.CIQ(A393,"IQ_CASH_OPER",IQ_FY-4), _xll.ciqfunctions.udf.CIQ(A393, "IQ_CASH_OPER",IQ_FY-3))</f>
        <v>2253.1</v>
      </c>
      <c r="K399" s="17">
        <f>IF(A401=A402,_xll.ciqfunctions.udf.CIQ(A393,"IQ_CAPEX",IQ_FY-4), _xll.ciqfunctions.udf.CIQ(A393, "IQ_CAPEX",IQ_FY-3))</f>
        <v>-275.37200000000001</v>
      </c>
      <c r="L399" s="15">
        <f t="shared" si="104"/>
        <v>5.3698486925294562</v>
      </c>
      <c r="M399" s="17">
        <f>IF(A401=A402,_xll.ciqfunctions.udf.CIQ(A393,"IQ_TOTAL_DEBT_ISSUED",IQ_FY-4), _xll.ciqfunctions.udf.CIQ(A393, "IQ_TOTAL_DEBT_ISSUED",IQ_FY-3))</f>
        <v>1325</v>
      </c>
      <c r="N399" s="17">
        <f>IF(A401=A402,_xll.ciqfunctions.udf.CIQ(A393,"IQ_TOTAL_DEBT_REPAID",IQ_FY-4), _xll.ciqfunctions.udf.CIQ(A393, "IQ_TOTAL_DEBT_REPAID",IQ_FY-3))</f>
        <v>-2175</v>
      </c>
      <c r="O399" s="15">
        <f t="shared" si="105"/>
        <v>-2.3078863163438239</v>
      </c>
      <c r="P399" s="15">
        <f t="shared" si="106"/>
        <v>3.0619623761856323</v>
      </c>
      <c r="Q399" s="18"/>
      <c r="R399" s="38" t="s">
        <v>29</v>
      </c>
      <c r="S399" s="4">
        <f>(AVERAGE(P398:P403)/_xlfn.STDEV.P(P398:P403))/(IF(A401=A402,(_xlfn.SINGLE(_xll.ciqfunctions.udf.CIQ(A393,"IQ_total_assets",IQ_FY)) - _xlfn.SINGLE(_xll.ciqfunctions.udf.CIQ(A393,"iq_gw_intan", IQ_FY)))/I403, (_xlfn.SINGLE(_xll.ciqfunctions.udf.CIQ(A393, "IQ_total_assets",IQ_LTM))-_xlfn.SINGLE(_xll.ciqfunctions.udf.CIQ(A393,"iq_gw_intan",IQ_LTM)))/I403))</f>
        <v>0.10427391907605775</v>
      </c>
      <c r="U399" s="18"/>
      <c r="V399" s="38" t="s">
        <v>29</v>
      </c>
      <c r="W399" s="4">
        <f>(AVERAGE(P398:P403)/_xlfn.STDEV.P(P398:P403))/(IF(A401=A402,(_xlfn.SINGLE(_xll.ciqfunctions.udf.CIQ(A393,"IQ_total_assets",IQ_FY)) - _xlfn.SINGLE(_xll.ciqfunctions.udf.CIQ(A393,"iq_gw_intan", IQ_FY)))/I403, (_xlfn.SINGLE(_xll.ciqfunctions.udf.CIQ(A393, "IQ_total_assets",IQ_LTM))-_xlfn.SINGLE(_xll.ciqfunctions.udf.CIQ(A393,"iq_gw_intan",IQ_LTM)))/I403))</f>
        <v>0.10427391907605775</v>
      </c>
      <c r="Y399" s="18"/>
      <c r="Z399" s="38" t="s">
        <v>29</v>
      </c>
      <c r="AA399" s="4">
        <f>(AVERAGE(P398:P403)/_xlfn.STDEV.P(P398:P403))/(IF(A401=A402,(_xlfn.SINGLE(_xll.ciqfunctions.udf.CIQ(A393,"IQ_total_assets",IQ_FY)) - _xlfn.SINGLE(_xll.ciqfunctions.udf.CIQ(A393,"iq_gw_intan", IQ_FY)))/I403, (_xlfn.SINGLE(_xll.ciqfunctions.udf.CIQ(A393, "IQ_total_assets",IQ_LTM))-_xlfn.SINGLE(_xll.ciqfunctions.udf.CIQ(A393,"iq_gw_intan",IQ_LTM)))/I403))</f>
        <v>0.10427391907605775</v>
      </c>
    </row>
    <row r="400" spans="1:27">
      <c r="A400" s="18"/>
      <c r="B400" s="13">
        <v>8</v>
      </c>
      <c r="C400" s="14" t="s">
        <v>30</v>
      </c>
      <c r="D400" s="15" cm="1">
        <f t="array" ref="D400">_xlfn.SINGLE(IF(A401=A402,_xll.ciqfunctions.udf.CIQ(A393,"IQ_TOTAL_REV",IQ_FY-3)/I400, _xll.ciqfunctions.udf.CIQ(A393, "IQ_TOTAL_REV",IQ_FY-2)/I400))</f>
        <v>15.164506046119882</v>
      </c>
      <c r="E400" s="16">
        <f t="shared" si="107"/>
        <v>-6.7757816570963275E-2</v>
      </c>
      <c r="F400" s="15">
        <f>IF(A401=A402,_xll.ciqfunctions.udf.CIQ(A393,"IQ_DILUT_EPS_EXCL",IQ_FY-3), _xll.ciqfunctions.udf.CIQ(A393, "IQ_DILUT_EPS_EXCL",IQ_FY-2))</f>
        <v>3.28</v>
      </c>
      <c r="G400" s="15">
        <f>IF(A401=A402,_xll.ciqfunctions.udf.CIQ(A393,"IQ_EBITDA_MARGIN",IQ_FY-3), _xll.ciqfunctions.udf.CIQ(A393, "IQ_EBITDA_MARGIN",IQ_FY-2))</f>
        <v>42.128799999999998</v>
      </c>
      <c r="H400" s="15">
        <f>IF(A401=A402,_xll.ciqfunctions.udf.CIQ(A393,"IQ_TOTAL_DIV_PAID_CF",IQ_FY-3)/-I400, _xll.ciqfunctions.udf.CIQ(A393, "IQ_TOTAL_DIV_PAID_CF",IQ_FY-2)/-I400)</f>
        <v>2.3983524089888384</v>
      </c>
      <c r="I400" s="17">
        <f>IF(A401=A402,_xll.ciqfunctions.udf.CIQ(A393,"IQ_TOTAL_OUTSTANDING_FILING_DATE",IQ_FY-3), _xll.ciqfunctions.udf.CIQ(A393, "IQ_TOTAL_OUTSTANDING_FILING_DATE",IQ_FY-2))</f>
        <v>369.48489999999998</v>
      </c>
      <c r="J400" s="17">
        <f>IF(A401=A402,_xll.ciqfunctions.udf.CIQ(A393,"IQ_CASH_OPER",IQ_FY-3), _xll.ciqfunctions.udf.CIQ(A393, "IQ_CASH_OPER",IQ_FY-2))</f>
        <v>2008.4870000000001</v>
      </c>
      <c r="K400" s="17">
        <f>IF(A401=A402,_xll.ciqfunctions.udf.CIQ(A393,"IQ_CAPEX",IQ_FY-3), _xll.ciqfunctions.udf.CIQ(A393, "IQ_CAPEX",IQ_FY-2))</f>
        <v>-165.69200000000001</v>
      </c>
      <c r="L400" s="15">
        <f t="shared" si="104"/>
        <v>4.9874703945952872</v>
      </c>
      <c r="M400" s="17">
        <f>IF(A401=A402,_xll.ciqfunctions.udf.CIQ(A393,"IQ_TOTAL_DEBT_ISSUED",IQ_FY-3), _xll.ciqfunctions.udf.CIQ(A393, "IQ_TOTAL_DEBT_ISSUED",IQ_FY-2))</f>
        <v>745.64599999999996</v>
      </c>
      <c r="N400" s="17">
        <f>IF(A401=A402,_xll.ciqfunctions.udf.CIQ(A393,"IQ_TOTAL_DEBT_REPAID",IQ_FY-3), _xll.ciqfunctions.udf.CIQ(A393, "IQ_TOTAL_DEBT_REPAID",IQ_FY-2))</f>
        <v>-1100</v>
      </c>
      <c r="O400" s="15">
        <f t="shared" si="105"/>
        <v>-0.95904866477628736</v>
      </c>
      <c r="P400" s="15">
        <f t="shared" si="106"/>
        <v>4.0284217298189997</v>
      </c>
      <c r="Q400" s="18"/>
      <c r="R400" s="39" t="s">
        <v>31</v>
      </c>
      <c r="S400" s="5">
        <f>IF(NOT(D393&gt;0),FALSE,SLOPE(G393:G403,B393:B403))</f>
        <v>1.8562818181818181</v>
      </c>
      <c r="U400" s="18"/>
      <c r="V400" s="39" t="s">
        <v>31</v>
      </c>
      <c r="W400" s="5">
        <f>IF(NOT(D393&gt;0),FALSE,SLOPE(G393:G403,B393:B403))</f>
        <v>1.8562818181818181</v>
      </c>
      <c r="Y400" s="18"/>
      <c r="Z400" s="39" t="s">
        <v>31</v>
      </c>
      <c r="AA400" s="5">
        <f>IF(NOT(L393&gt;0),FALSE,SLOPE(O393:O403,J393:J403))</f>
        <v>-9.6119767910308074E-4</v>
      </c>
    </row>
    <row r="401" spans="1:27">
      <c r="A401" s="19">
        <f>_xll.ciqfunctions.udf.CIQ(A393,"IQ_TOTAL_REV",IQ_FY)</f>
        <v>12305.539000000001</v>
      </c>
      <c r="B401" s="13">
        <v>9</v>
      </c>
      <c r="C401" s="14" t="s">
        <v>32</v>
      </c>
      <c r="D401" s="15" cm="1">
        <f t="array" ref="D401">_xlfn.SINGLE(IF(A401=A402,_xll.ciqfunctions.udf.CIQ(A393,"IQ_TOTAL_REV",IQ_FY-2)/I401, _xll.ciqfunctions.udf.CIQ(A393, "IQ_TOTAL_REV",IQ_FY-1)/I401))</f>
        <v>13.930818088348047</v>
      </c>
      <c r="E401" s="16">
        <f t="shared" si="107"/>
        <v>-8.1353652668923998E-2</v>
      </c>
      <c r="F401" s="15">
        <f>IF(A401=A402,_xll.ciqfunctions.udf.CIQ(A393,"IQ_DILUT_EPS_EXCL",IQ_FY-2), _xll.ciqfunctions.udf.CIQ(A393, "IQ_DILUT_EPS_EXCL",IQ_FY-1))</f>
        <v>3.46</v>
      </c>
      <c r="G401" s="15">
        <f>IF(A401=A402,_xll.ciqfunctions.udf.CIQ(A393,"IQ_EBITDA_MARGIN",IQ_FY-2), _xll.ciqfunctions.udf.CIQ(A393, "IQ_EBITDA_MARGIN",IQ_FY-1))</f>
        <v>43.440399999999997</v>
      </c>
      <c r="H401" s="15">
        <f>IF(A401=A402,_xll.ciqfunctions.udf.CIQ(A393,"IQ_TOTAL_DIV_PAID_CF",IQ_FY-2)/-I401, _xll.ciqfunctions.udf.CIQ(A393, "IQ_TOTAL_DIV_PAID_CF",IQ_FY-1)/-I401)</f>
        <v>2.1117061373934249</v>
      </c>
      <c r="I401" s="17">
        <f>IF(A401=A402,_xll.ciqfunctions.udf.CIQ(A393,"IQ_TOTAL_OUTSTANDING_FILING_DATE",IQ_FY-2), _xll.ciqfunctions.udf.CIQ(A393, "IQ_TOTAL_OUTSTANDING_FILING_DATE",IQ_FY-1))</f>
        <v>525.33067000000005</v>
      </c>
      <c r="J401" s="17">
        <f>IF(A401=A402,_xll.ciqfunctions.udf.CIQ(A393,"IQ_CASH_OPER",IQ_FY-2), _xll.ciqfunctions.udf.CIQ(A393, "IQ_CASH_OPER",IQ_FY-1))</f>
        <v>2735.069</v>
      </c>
      <c r="K401" s="17">
        <f>IF(A401=A402,_xll.ciqfunctions.udf.CIQ(A393,"IQ_CAPEX",IQ_FY-2), _xll.ciqfunctions.udf.CIQ(A393, "IQ_CAPEX",IQ_FY-1))</f>
        <v>-343.67599999999999</v>
      </c>
      <c r="L401" s="15">
        <f t="shared" si="104"/>
        <v>4.5521671140959654</v>
      </c>
      <c r="M401" s="17">
        <f>IF(A401=A402,_xll.ciqfunctions.udf.CIQ(A393,"IQ_TOTAL_DEBT_ISSUED",IQ_FY-2), _xll.ciqfunctions.udf.CIQ(A393, "IQ_TOTAL_DEBT_ISSUED",IQ_FY-1))</f>
        <v>4339.6400000000003</v>
      </c>
      <c r="N401" s="17">
        <f>IF(A401=A402,_xll.ciqfunctions.udf.CIQ(A393,"IQ_TOTAL_DEBT_REPAID",IQ_FY-2), _xll.ciqfunctions.udf.CIQ(A393, "IQ_TOTAL_DEBT_REPAID",IQ_FY-1))</f>
        <v>-3991.982</v>
      </c>
      <c r="O401" s="15">
        <f t="shared" si="105"/>
        <v>0.66178888813021386</v>
      </c>
      <c r="P401" s="15">
        <f t="shared" si="106"/>
        <v>5.2139560022261797</v>
      </c>
      <c r="Q401" s="25" t="s">
        <v>33</v>
      </c>
      <c r="R401" s="38" t="s">
        <v>52</v>
      </c>
      <c r="S401" s="4">
        <f>(AVERAGE(O398:O403)/AVERAGE(P398:P403))</f>
        <v>-0.21272018166466403</v>
      </c>
      <c r="U401" s="25" t="s">
        <v>54</v>
      </c>
      <c r="V401" s="38" t="s">
        <v>52</v>
      </c>
      <c r="W401" s="4">
        <f>(AVERAGE(O398:O403)/AVERAGE(P398:P403))</f>
        <v>-0.21272018166466403</v>
      </c>
      <c r="Y401" s="25" t="s">
        <v>60</v>
      </c>
      <c r="Z401" s="38" t="s">
        <v>52</v>
      </c>
      <c r="AA401" s="4">
        <f>(AVERAGE(O398:O403)/AVERAGE(P398:P403))</f>
        <v>-0.21272018166466403</v>
      </c>
    </row>
    <row r="402" spans="1:27">
      <c r="A402" s="19">
        <f>_xll.ciqfunctions.udf.CIQ(A393,"IQ_TOTAL_REV",IQ_LTM)</f>
        <v>12305.539000000001</v>
      </c>
      <c r="B402" s="13">
        <v>10</v>
      </c>
      <c r="C402" s="14" t="s">
        <v>34</v>
      </c>
      <c r="D402" s="15" cm="1">
        <f t="array" ref="D402">_xlfn.SINGLE(IF(A401=A402,_xll.ciqfunctions.udf.CIQ(A393,"IQ_TOTAL_REV",IQ_FY-1)/I402, _xll.ciqfunctions.udf.CIQ(A393, "IQ_TOTAL_REV",IQ_FY)/I402))</f>
        <v>23.589335897710082</v>
      </c>
      <c r="E402" s="16">
        <f t="shared" si="107"/>
        <v>0.69332021623630058</v>
      </c>
      <c r="F402" s="15">
        <f>IF(A401=A402,_xll.ciqfunctions.udf.CIQ(A393,"IQ_DILUT_EPS_EXCL",IQ_FY-1), _xll.ciqfunctions.udf.CIQ(A393, "IQ_DILUT_EPS_EXCL",IQ_FY))</f>
        <v>5.25</v>
      </c>
      <c r="G402" s="15">
        <f>IF(A401=A402,_xll.ciqfunctions.udf.CIQ(A393,"IQ_EBITDA_MARGIN",IQ_FY-1), _xll.ciqfunctions.udf.CIQ(A393, "IQ_EBITDA_MARGIN",IQ_FY))</f>
        <v>50.926000000000002</v>
      </c>
      <c r="H402" s="15">
        <f>IF(A401=A402,_xll.ciqfunctions.udf.CIQ(A393,"IQ_TOTAL_DIV_PAID_CF",IQ_FY-1)/-I402, _xll.ciqfunctions.udf.CIQ(A393, "IQ_TOTAL_DIV_PAID_CF",IQ_FY)/-I402)</f>
        <v>3.0327200330715378</v>
      </c>
      <c r="I402" s="17">
        <f>IF(A401=A402,_xll.ciqfunctions.udf.CIQ(A393,"IQ_TOTAL_OUTSTANDING_FILING_DATE",IQ_FY-1), _xll.ciqfunctions.udf.CIQ(A393, "IQ_TOTAL_OUTSTANDING_FILING_DATE",IQ_FY))</f>
        <v>509.29593999999997</v>
      </c>
      <c r="J402" s="17">
        <f>IF(A401=A402,_xll.ciqfunctions.udf.CIQ(A393,"IQ_CASH_OPER",IQ_FY-1), _xll.ciqfunctions.udf.CIQ(A393, "IQ_CASH_OPER",IQ_FY))</f>
        <v>4475.402</v>
      </c>
      <c r="K402" s="17">
        <f>IF(A401=A402,_xll.ciqfunctions.udf.CIQ(A393,"IQ_CAPEX",IQ_FY-1), _xll.ciqfunctions.udf.CIQ(A393, "IQ_CAPEX",IQ_FY))</f>
        <v>-699.30799999999999</v>
      </c>
      <c r="L402" s="15">
        <f t="shared" si="104"/>
        <v>7.4143414534190084</v>
      </c>
      <c r="M402" s="17">
        <f>IF(A401=A402,_xll.ciqfunctions.udf.CIQ(A393,"IQ_TOTAL_DEBT_ISSUED",IQ_FY-1), _xll.ciqfunctions.udf.CIQ(A393, "IQ_TOTAL_DEBT_ISSUED",IQ_FY))</f>
        <v>696.13</v>
      </c>
      <c r="N402" s="17">
        <f>IF(A401=A402,_xll.ciqfunctions.udf.CIQ(A393,"IQ_TOTAL_DEBT_REPAID",IQ_FY-1), _xll.ciqfunctions.udf.CIQ(A393, "IQ_TOTAL_DEBT_REPAID",IQ_FY))</f>
        <v>-919.11599999999999</v>
      </c>
      <c r="O402" s="15">
        <f t="shared" si="105"/>
        <v>-0.43783188218621966</v>
      </c>
      <c r="P402" s="15">
        <f t="shared" si="106"/>
        <v>6.9765095712327891</v>
      </c>
      <c r="Q402" s="25" t="s">
        <v>44</v>
      </c>
      <c r="R402" s="38" t="s">
        <v>35</v>
      </c>
      <c r="S402" s="1">
        <f>_xll.ciqfunctions.udf.CIQ(A393,"IQ_TEV_EBITDA")</f>
        <v>15.35577</v>
      </c>
      <c r="U402" s="25" t="s">
        <v>55</v>
      </c>
      <c r="V402" s="38" t="s">
        <v>53</v>
      </c>
      <c r="W402" s="1">
        <f>V392/(AVERAGE(D398:D403)/_xlfn.STDEV.P(E398:E403))</f>
        <v>2.6900619352046302</v>
      </c>
      <c r="Y402" s="25" t="s">
        <v>57</v>
      </c>
      <c r="Z402" s="38" t="s">
        <v>53</v>
      </c>
      <c r="AA402" s="1">
        <f>Z392/(AVERAGE(D398:D403)/_xlfn.STDEV.P(E398:E403))</f>
        <v>2.6900619352046302</v>
      </c>
    </row>
    <row r="403" spans="1:27">
      <c r="B403" s="13">
        <v>11</v>
      </c>
      <c r="C403" s="20" t="s">
        <v>36</v>
      </c>
      <c r="D403" s="21" cm="1">
        <f t="array" ref="D403">_xlfn.SINGLE(IF(A401=A402,_xll.ciqfunctions.udf.CIQ(A393,"IQ_TOTAL_REV",IQ_FY)/I403, _xll.ciqfunctions.udf.CIQ(A393, "IQ_TOTAL_REV",IQ_LTM)/I403))</f>
        <v>24.79647229663189</v>
      </c>
      <c r="E403" s="22">
        <f t="shared" si="107"/>
        <v>5.1172970877869844E-2</v>
      </c>
      <c r="F403" s="21">
        <f>IF(A401=A402,_xll.ciqfunctions.udf.CIQ(A393,"IQ_DILUT_EPS_EXCL",IQ_FY), _xll.ciqfunctions.udf.CIQ(A393, "IQ_DILUT_EPS_EXCL",IQ_LTM))</f>
        <v>6.55</v>
      </c>
      <c r="G403" s="21">
        <f>IF(A401=A402,_xll.ciqfunctions.udf.CIQ(A393,"IQ_EBITDA_MARGIN",IQ_FY), _xll.ciqfunctions.udf.CIQ(A393, "IQ_EBITDA_MARGIN",IQ_LTM))</f>
        <v>50.969200000000001</v>
      </c>
      <c r="H403" s="21">
        <f>IF(A401=A402,_xll.ciqfunctions.udf.CIQ(A393,"IQ_TOTAL_DIV_PAID_CF",IQ_FY)/-I403, _xll.ciqfunctions.udf.CIQ(A393, "IQ_TOTAL_DIV_PAID_CF",IQ_LTM)/-I403)</f>
        <v>3.3835092808294203</v>
      </c>
      <c r="I403" s="23">
        <f>IF(A401=A402,_xll.ciqfunctions.udf.CIQ(A393,"IQ_TOTAL_OUTSTANDING_FILING_DATE",IQ_FY),_xll.ciqfunctions.udf.CIQ(A393,"IQ_sharesoutstanding"))</f>
        <v>496.26168000000001</v>
      </c>
      <c r="J403" s="23">
        <f>IF(A401=A402,_xll.ciqfunctions.udf.CIQ(A393,"IQ_CASH_OPER",IQ_FY), _xll.ciqfunctions.udf.CIQ(A393, "IQ_CASH_OPER",IQ_LTM))</f>
        <v>4817.634</v>
      </c>
      <c r="K403" s="23">
        <f>IF(A401=A402,_xll.ciqfunctions.udf.CIQ(A393,"IQ_CAPEX",IQ_FY), _xll.ciqfunctions.udf.CIQ(A393, "IQ_CAPEX",IQ_LTM))</f>
        <v>-1261.463</v>
      </c>
      <c r="L403" s="21">
        <f t="shared" si="104"/>
        <v>7.1659189966067904</v>
      </c>
      <c r="M403" s="23">
        <f>IF(A401=A402,_xll.ciqfunctions.udf.CIQ(A393,"IQ_TOTAL_DEBT_ISSUED",IQ_FY), _xll.ciqfunctions.udf.CIQ(A393, "IQ_TOTAL_DEBT_ISSUED",IQ_LTM))</f>
        <v>5287.1239999999998</v>
      </c>
      <c r="N403" s="23">
        <f>IF(A401=A402,_xll.ciqfunctions.udf.CIQ(A393,"IQ_TOTAL_DEBT_REPAID",IQ_FY), _xll.ciqfunctions.udf.CIQ(A393, "IQ_TOTAL_DEBT_REPAID",IQ_LTM))</f>
        <v>-4805.5879999999997</v>
      </c>
      <c r="O403" s="21">
        <f t="shared" si="105"/>
        <v>0.97032678404667483</v>
      </c>
      <c r="P403" s="21">
        <f t="shared" si="106"/>
        <v>8.136245780653466</v>
      </c>
      <c r="Q403" s="25" t="s">
        <v>45</v>
      </c>
      <c r="S403" s="45"/>
      <c r="U403" s="25"/>
      <c r="W403" s="45"/>
      <c r="Y403" s="25"/>
      <c r="AA403" s="45"/>
    </row>
    <row r="404" spans="1:27">
      <c r="B404" s="24"/>
      <c r="C404" s="25" t="s">
        <v>37</v>
      </c>
      <c r="E404" s="26">
        <f>((D403/D398)^(1/5))-1</f>
        <v>8.0767409462852768E-2</v>
      </c>
      <c r="F404" s="27">
        <f>((F403/F398)^(1/5))-1</f>
        <v>0.10366243721270152</v>
      </c>
      <c r="G404" s="28"/>
      <c r="H404" s="27">
        <f>((H403/H398)^(1/5))-1</f>
        <v>0.12233440957612207</v>
      </c>
      <c r="I404" s="27">
        <f>((I403/I398)^(1/5))-1</f>
        <v>6.0386906723373546E-2</v>
      </c>
      <c r="J404" s="27"/>
      <c r="K404" s="27"/>
      <c r="L404" s="26">
        <f>((L403/L398)^(1/5))-1</f>
        <v>3.9305328452627242E-2</v>
      </c>
      <c r="M404" s="26"/>
      <c r="N404" s="26"/>
      <c r="O404" s="26"/>
      <c r="P404" s="26">
        <f>((P403/P398)^(1/5))-1</f>
        <v>0.35627269878571965</v>
      </c>
      <c r="Q404" s="18"/>
      <c r="R404" s="36"/>
      <c r="S404" s="45"/>
      <c r="U404" s="18"/>
      <c r="V404" s="36"/>
      <c r="W404" s="45"/>
      <c r="Y404" s="18"/>
      <c r="Z404" s="36"/>
      <c r="AA404" s="45"/>
    </row>
    <row r="405" spans="1:27">
      <c r="A405" s="29"/>
      <c r="B405" s="30"/>
      <c r="C405" s="31" t="s">
        <v>38</v>
      </c>
      <c r="D405" s="29"/>
      <c r="E405" s="32">
        <f>((D403/D393)^(1/10))-1</f>
        <v>0.11343501461593219</v>
      </c>
      <c r="F405" s="33">
        <f>((F403/F393)^(1/10))-1</f>
        <v>0.1183629027995694</v>
      </c>
      <c r="G405" s="34"/>
      <c r="H405" s="33">
        <f>((H403/H393)^(1/10))-1</f>
        <v>9.9945788829531423E-2</v>
      </c>
      <c r="I405" s="33">
        <f>((I403/I393)^(1/10))-1</f>
        <v>4.7824962548627781E-2</v>
      </c>
      <c r="J405" s="33"/>
      <c r="K405" s="33"/>
      <c r="L405" s="32">
        <f>((L403/L393)^(1/10))-1</f>
        <v>0.10939679909702171</v>
      </c>
      <c r="M405" s="32"/>
      <c r="N405" s="32"/>
      <c r="O405" s="32"/>
      <c r="P405" s="32">
        <f>((P403/P393)^(1/10))-1</f>
        <v>0.11790189978325283</v>
      </c>
      <c r="Q405" s="40"/>
      <c r="R405" s="41"/>
      <c r="S405" s="46"/>
      <c r="U405" s="40"/>
      <c r="V405" s="41"/>
      <c r="W405" s="46"/>
      <c r="Y405" s="40"/>
      <c r="Z405" s="41"/>
      <c r="AA405" s="46"/>
    </row>
    <row r="406" spans="1:27">
      <c r="B406" s="24"/>
      <c r="C406" s="25"/>
      <c r="E406" s="26"/>
      <c r="F406" s="27"/>
      <c r="G406" s="28"/>
      <c r="H406" s="27"/>
      <c r="I406" s="27"/>
      <c r="J406" s="27"/>
      <c r="K406" s="27"/>
      <c r="L406" s="26"/>
      <c r="M406" s="17"/>
      <c r="N406" s="17"/>
      <c r="O406" s="17"/>
      <c r="P406" s="35"/>
      <c r="Q406" s="18"/>
      <c r="R406" s="36"/>
    </row>
    <row r="407" spans="1:27">
      <c r="A407" s="9" t="s">
        <v>0</v>
      </c>
      <c r="B407" s="10"/>
      <c r="C407" s="9" t="s">
        <v>1</v>
      </c>
      <c r="D407" s="9" t="s">
        <v>2</v>
      </c>
      <c r="E407" s="9" t="s">
        <v>3</v>
      </c>
      <c r="F407" s="11" t="s">
        <v>4</v>
      </c>
      <c r="G407" s="11" t="s">
        <v>5</v>
      </c>
      <c r="H407" s="9" t="s">
        <v>6</v>
      </c>
      <c r="I407" s="11" t="s">
        <v>7</v>
      </c>
      <c r="J407" s="11" t="s">
        <v>8</v>
      </c>
      <c r="K407" s="11" t="s">
        <v>9</v>
      </c>
      <c r="L407" s="11" t="s">
        <v>10</v>
      </c>
      <c r="M407" s="11" t="s">
        <v>11</v>
      </c>
      <c r="N407" s="11" t="s">
        <v>12</v>
      </c>
      <c r="O407" s="11" t="s">
        <v>13</v>
      </c>
      <c r="P407" s="11" t="s">
        <v>14</v>
      </c>
      <c r="Q407" s="37" t="s">
        <v>15</v>
      </c>
      <c r="R407" s="42">
        <f>_xll.ciqfunctions.udf.CIQ(A408,("IQ_LASTSALEPRICE"))</f>
        <v>92.14</v>
      </c>
      <c r="S407" s="44"/>
      <c r="U407" s="37" t="s">
        <v>15</v>
      </c>
      <c r="V407" s="42">
        <f>_xll.ciqfunctions.udf.CIQ(A408,("IQ_LASTSALEPRICE"))</f>
        <v>92.14</v>
      </c>
      <c r="W407" s="44"/>
      <c r="Y407" s="37" t="s">
        <v>15</v>
      </c>
      <c r="Z407" s="42">
        <f>_xll.ciqfunctions.udf.CIQ(A408,("IQ_LASTSALEPRICE"))</f>
        <v>92.14</v>
      </c>
      <c r="AA407" s="44"/>
    </row>
    <row r="408" spans="1:27">
      <c r="A408" s="12" t="str">
        <f>Analysis!B29</f>
        <v>NasdaqGS:TER</v>
      </c>
      <c r="B408" s="13">
        <v>1</v>
      </c>
      <c r="C408" s="14" t="s">
        <v>16</v>
      </c>
      <c r="D408" s="15">
        <f>IF(A416=A417,_xll.ciqfunctions.udf.CIQ(A408,"IQ_TOTAL_REV",IQ_FY-10)/I408,_xll.ciqfunctions.udf.CIQ(A408, "IQ_TOTAL_REV",IQ_FY-9)/I408)</f>
        <v>7.3613316263315847</v>
      </c>
      <c r="E408" s="16"/>
      <c r="F408" s="15">
        <f>IF(A416=A417,_xll.ciqfunctions.udf.CIQ(A408,"IQ_DILUT_EPS_EXCL",IQ_FY-10), _xll.ciqfunctions.udf.CIQ(A408, "IQ_DILUT_EPS_EXCL",IQ_FY-9))</f>
        <v>0.7</v>
      </c>
      <c r="G408" s="15">
        <f>IF(A416=A417,_xll.ciqfunctions.udf.CIQ(A408,"IQ_EBITDA_MARGIN",IQ_FY-10), _xll.ciqfunctions.udf.CIQ(A408, "IQ_EBITDA_MARGIN",IQ_FY-9))</f>
        <v>24.009899999999998</v>
      </c>
      <c r="H408" s="15">
        <f>IF(A416=A417,_xll.ciqfunctions.udf.CIQ(A408,"IQ_TOTAL_DIV_PAID_CF",IQ_FY-10)/-I408, _xll.ciqfunctions.udf.CIQ(A408, "IQ_TOTAL_DIV_PAID_CF",IQ_FY-9)/-I408)</f>
        <v>0</v>
      </c>
      <c r="I408" s="17">
        <f>IF(A416=A417,_xll.ciqfunctions.udf.CIQ(A408,"IQ_TOTAL_OUTSTANDING_FILING_DATE",IQ_FY-10), _xll.ciqfunctions.udf.CIQ(A408, "IQ_TOTAL_OUTSTANDING_FILING_DATE",IQ_FY-9))</f>
        <v>193.97754</v>
      </c>
      <c r="J408" s="17">
        <f>IF(A416=A417,_xll.ciqfunctions.udf.CIQ(A408,"IQ_CASH_OPER",IQ_FY-10), _xll.ciqfunctions.udf.CIQ(A408, "IQ_CASH_OPER",IQ_FY-9))</f>
        <v>268.70999999999998</v>
      </c>
      <c r="K408" s="17">
        <f>IF(A416=A417,_xll.ciqfunctions.udf.CIQ(A408,"IQ_CAPEX",IQ_FY-10), _xll.ciqfunctions.udf.CIQ(A408, "IQ_CAPEX",IQ_FY-9))</f>
        <v>-106.73099999999999</v>
      </c>
      <c r="L408" s="15">
        <f t="shared" ref="L408:L418" si="108">(J408+K408)/I408</f>
        <v>0.83503997421557141</v>
      </c>
      <c r="M408" s="17">
        <f>IF(A416=A417,_xll.ciqfunctions.udf.CIQ(A408,"IQ_TOTAL_DEBT_ISSUED",IQ_FY-10), _xll.ciqfunctions.udf.CIQ(A408, "IQ_TOTAL_DEBT_ISSUED",IQ_FY-9))</f>
        <v>0</v>
      </c>
      <c r="N408" s="17">
        <f>IF(A416=A417,_xll.ciqfunctions.udf.CIQ(A408,"IQ_TOTAL_DEBT_REPAID",IQ_FY-10), _xll.ciqfunctions.udf.CIQ(A408, "IQ_TOTAL_DEBT_REPAID",IQ_FY-9))</f>
        <v>-2.5339999999999998</v>
      </c>
      <c r="O408" s="15">
        <f t="shared" ref="O408:O418" si="109">(M408+N408)/I408</f>
        <v>-1.306336805797207E-2</v>
      </c>
      <c r="P408" s="15">
        <f t="shared" ref="P408:P418" si="110">L408+O408</f>
        <v>0.82197660615759938</v>
      </c>
      <c r="W408" s="43"/>
      <c r="AA408" s="43"/>
    </row>
    <row r="409" spans="1:27">
      <c r="A409" s="18" t="str">
        <f>_xll.ciqfunctions.udf.CIQ(A408,"IQ_COMPANY_NAME")</f>
        <v>Teradyne, Inc.</v>
      </c>
      <c r="B409" s="13">
        <v>2</v>
      </c>
      <c r="C409" s="14" t="s">
        <v>17</v>
      </c>
      <c r="D409" s="15">
        <f>IF(A416=A417,_xll.ciqfunctions.udf.CIQ(A408,"IQ_TOTAL_REV",IQ_FY-9)/I409, _xll.ciqfunctions.udf.CIQ(A408, "IQ_TOTAL_REV",IQ_FY-8)/I409)</f>
        <v>7.5663291959122221</v>
      </c>
      <c r="E409" s="16">
        <f t="shared" ref="E409:E418" si="111">(D409-D408)/D408</f>
        <v>2.7847892200285922E-2</v>
      </c>
      <c r="F409" s="15">
        <f>IF(A416=A417,_xll.ciqfunctions.udf.CIQ(A408,"IQ_DILUT_EPS_EXCL",IQ_FY-9), _xll.ciqfunctions.udf.CIQ(A408, "IQ_DILUT_EPS_EXCL",IQ_FY-8))</f>
        <v>0.37</v>
      </c>
      <c r="G409" s="15">
        <f>IF(A416=A417,_xll.ciqfunctions.udf.CIQ(A408,"IQ_EBITDA_MARGIN",IQ_FY-9), _xll.ciqfunctions.udf.CIQ(A408, "IQ_EBITDA_MARGIN",IQ_FY-8))</f>
        <v>21.592300000000002</v>
      </c>
      <c r="H409" s="15">
        <f>IF(A416=A417,_xll.ciqfunctions.udf.CIQ(A408,"IQ_TOTAL_DIV_PAID_CF",IQ_FY-9)/-I409, _xll.ciqfunctions.udf.CIQ(A408, "IQ_TOTAL_DIV_PAID_CF",IQ_FY-8)/-I409)</f>
        <v>0.17184472987225266</v>
      </c>
      <c r="I409" s="17">
        <f>IF(A416=A417,_xll.ciqfunctions.udf.CIQ(A408,"IQ_TOTAL_OUTSTANDING_FILING_DATE",IQ_FY-9), _xll.ciqfunctions.udf.CIQ(A408, "IQ_TOTAL_OUTSTANDING_FILING_DATE",IQ_FY-8))</f>
        <v>217.78380999999999</v>
      </c>
      <c r="J409" s="17">
        <f>IF(A416=A417,_xll.ciqfunctions.udf.CIQ(A408,"IQ_CASH_OPER",IQ_FY-9), _xll.ciqfunctions.udf.CIQ(A408, "IQ_CASH_OPER",IQ_FY-8))</f>
        <v>492.06200000000001</v>
      </c>
      <c r="K409" s="17">
        <f>IF(A416=A417,_xll.ciqfunctions.udf.CIQ(A408,"IQ_CAPEX",IQ_FY-9), _xll.ciqfunctions.udf.CIQ(A408, "IQ_CAPEX",IQ_FY-8))</f>
        <v>-168.982</v>
      </c>
      <c r="L409" s="15">
        <f t="shared" si="108"/>
        <v>1.4834895210989285</v>
      </c>
      <c r="M409" s="17">
        <f>IF(A416=A417,_xll.ciqfunctions.udf.CIQ(A408,"IQ_TOTAL_DEBT_ISSUED",IQ_FY-9), _xll.ciqfunctions.udf.CIQ(A408, "IQ_TOTAL_DEBT_ISSUED",IQ_FY-8))</f>
        <v>0</v>
      </c>
      <c r="N409" s="17">
        <f>IF(A416=A417,_xll.ciqfunctions.udf.CIQ(A408,"IQ_TOTAL_DEBT_REPAID",IQ_FY-9), _xll.ciqfunctions.udf.CIQ(A408, "IQ_TOTAL_DEBT_REPAID",IQ_FY-8))</f>
        <v>-190.97200000000001</v>
      </c>
      <c r="O409" s="15">
        <f t="shared" si="109"/>
        <v>-0.87688795599636182</v>
      </c>
      <c r="P409" s="15">
        <f t="shared" si="110"/>
        <v>0.60660156510256669</v>
      </c>
      <c r="Q409" s="25" t="s">
        <v>18</v>
      </c>
      <c r="R409" s="39" t="s">
        <v>19</v>
      </c>
      <c r="S409" s="1">
        <f>R407/((AVERAGE(P413:P418))*(1+E419)^3)</f>
        <v>25.603058804714649</v>
      </c>
      <c r="U409" s="25" t="s">
        <v>48</v>
      </c>
      <c r="V409" s="39" t="s">
        <v>19</v>
      </c>
      <c r="W409" s="1">
        <f>V407/((AVERAGE(P413:P418))*(1+E419)^3)</f>
        <v>25.603058804714649</v>
      </c>
      <c r="Y409" s="25" t="s">
        <v>39</v>
      </c>
      <c r="Z409" s="39" t="s">
        <v>19</v>
      </c>
      <c r="AA409" s="1">
        <f>Z407/((AVERAGE(P413:P418))*(1+E419)^3)</f>
        <v>25.603058804714649</v>
      </c>
    </row>
    <row r="410" spans="1:27">
      <c r="B410" s="13">
        <v>3</v>
      </c>
      <c r="C410" s="14" t="s">
        <v>20</v>
      </c>
      <c r="D410" s="15" cm="1">
        <f t="array" ref="D410">_xlfn.SINGLE(IF(A416=A417,_xll.ciqfunctions.udf.CIQ(A408,"IQ_TOTAL_REV",IQ_FY-8)/I410, _xll.ciqfunctions.udf.CIQ(A408, "IQ_TOTAL_REV",IQ_FY-7)/I410))</f>
        <v>8.0239119307569595</v>
      </c>
      <c r="E410" s="16">
        <f t="shared" si="111"/>
        <v>6.0476186403831157E-2</v>
      </c>
      <c r="F410" s="15">
        <f>IF(A416=A417,_xll.ciqfunctions.udf.CIQ(A408,"IQ_DILUT_EPS_EXCL",IQ_FY-8), _xll.ciqfunctions.udf.CIQ(A408, "IQ_DILUT_EPS_EXCL",IQ_FY-7))</f>
        <v>0.97</v>
      </c>
      <c r="G410" s="15">
        <f>IF(A416=A417,_xll.ciqfunctions.udf.CIQ(A408,"IQ_EBITDA_MARGIN",IQ_FY-8), _xll.ciqfunctions.udf.CIQ(A408, "IQ_EBITDA_MARGIN",IQ_FY-7))</f>
        <v>23.813300000000002</v>
      </c>
      <c r="H410" s="15">
        <f>IF(A416=A417,_xll.ciqfunctions.udf.CIQ(A408,"IQ_TOTAL_DIV_PAID_CF",IQ_FY-8)/-I410, _xll.ciqfunctions.udf.CIQ(A408, "IQ_TOTAL_DIV_PAID_CF",IQ_FY-7)/-I410)</f>
        <v>0.24818376786250954</v>
      </c>
      <c r="I410" s="17">
        <f>IF(A416=A417,_xll.ciqfunctions.udf.CIQ(A408,"IQ_TOTAL_OUTSTANDING_FILING_DATE",IQ_FY-8), _xll.ciqfunctions.udf.CIQ(A408, "IQ_TOTAL_OUTSTANDING_FILING_DATE",IQ_FY-7))</f>
        <v>204.33649</v>
      </c>
      <c r="J410" s="17">
        <f>IF(A416=A417,_xll.ciqfunctions.udf.CIQ(A408,"IQ_CASH_OPER",IQ_FY-8), _xll.ciqfunctions.udf.CIQ(A408, "IQ_CASH_OPER",IQ_FY-7))</f>
        <v>423.07600000000002</v>
      </c>
      <c r="K410" s="17">
        <f>IF(A416=A417,_xll.ciqfunctions.udf.CIQ(A408,"IQ_CAPEX",IQ_FY-8), _xll.ciqfunctions.udf.CIQ(A408, "IQ_CAPEX",IQ_FY-7))</f>
        <v>-89.878</v>
      </c>
      <c r="L410" s="15">
        <f t="shared" si="108"/>
        <v>1.6306338628014998</v>
      </c>
      <c r="M410" s="17">
        <f>IF(A416=A417,_xll.ciqfunctions.udf.CIQ(A408,"IQ_TOTAL_DEBT_ISSUED",IQ_FY-8), _xll.ciqfunctions.udf.CIQ(A408, "IQ_TOTAL_DEBT_ISSUED",IQ_FY-7))</f>
        <v>0</v>
      </c>
      <c r="N410" s="17">
        <f>IF(A416=A417,_xll.ciqfunctions.udf.CIQ(A408,"IQ_TOTAL_DEBT_REPAID",IQ_FY-8), _xll.ciqfunctions.udf.CIQ(A408, "IQ_TOTAL_DEBT_REPAID",IQ_FY-7))</f>
        <v>0</v>
      </c>
      <c r="O410" s="15">
        <f t="shared" si="109"/>
        <v>0</v>
      </c>
      <c r="P410" s="15">
        <f t="shared" si="110"/>
        <v>1.6306338628014998</v>
      </c>
      <c r="Q410" s="25" t="s">
        <v>21</v>
      </c>
      <c r="R410" s="38" t="s">
        <v>49</v>
      </c>
      <c r="S410" s="2">
        <f>(R407*I418)/1000</f>
        <v>14.086246182199998</v>
      </c>
      <c r="U410" s="25" t="s">
        <v>59</v>
      </c>
      <c r="V410" s="38" t="s">
        <v>49</v>
      </c>
      <c r="W410" s="2">
        <f>(V407*I418)/1000</f>
        <v>14.086246182199998</v>
      </c>
      <c r="Y410" s="25" t="s">
        <v>46</v>
      </c>
      <c r="Z410" s="38" t="s">
        <v>49</v>
      </c>
      <c r="AA410" s="2">
        <f>(Z407*I418)/1000</f>
        <v>14.086246182199998</v>
      </c>
    </row>
    <row r="411" spans="1:27">
      <c r="A411" s="18"/>
      <c r="B411" s="13">
        <v>4</v>
      </c>
      <c r="C411" s="14" t="s">
        <v>22</v>
      </c>
      <c r="D411" s="15" cm="1">
        <f t="array" ref="D411">_xlfn.SINGLE(IF(A416=A417,_xll.ciqfunctions.udf.CIQ(A408,"IQ_TOTAL_REV",IQ_FY-7)/I411, _xll.ciqfunctions.udf.CIQ(A408, "IQ_TOTAL_REV",IQ_FY-6)/I411))</f>
        <v>8.7530250544452386</v>
      </c>
      <c r="E411" s="16">
        <f t="shared" si="111"/>
        <v>9.0867538175920137E-2</v>
      </c>
      <c r="F411" s="15">
        <f>IF(A416=A417,_xll.ciqfunctions.udf.CIQ(A408,"IQ_DILUT_EPS_EXCL",IQ_FY-7), _xll.ciqfunctions.udf.CIQ(A408, "IQ_DILUT_EPS_EXCL",IQ_FY-6))</f>
        <v>-0.21434</v>
      </c>
      <c r="G411" s="15">
        <f>IF(A416=A417,_xll.ciqfunctions.udf.CIQ(A408,"IQ_EBITDA_MARGIN",IQ_FY-7), _xll.ciqfunctions.udf.CIQ(A408, "IQ_EBITDA_MARGIN",IQ_FY-6))</f>
        <v>23.988</v>
      </c>
      <c r="H411" s="15">
        <f>IF(A416=A417,_xll.ciqfunctions.udf.CIQ(A408,"IQ_TOTAL_DIV_PAID_CF",IQ_FY-7)/-I411, _xll.ciqfunctions.udf.CIQ(A408, "IQ_TOTAL_DIV_PAID_CF",IQ_FY-6)/-I411)</f>
        <v>0.24272826186914193</v>
      </c>
      <c r="I411" s="17">
        <f>IF(A416=A417,_xll.ciqfunctions.udf.CIQ(A408,"IQ_TOTAL_OUTSTANDING_FILING_DATE",IQ_FY-7), _xll.ciqfunctions.udf.CIQ(A408, "IQ_TOTAL_OUTSTANDING_FILING_DATE",IQ_FY-6))</f>
        <v>200.30217999999999</v>
      </c>
      <c r="J411" s="17">
        <f>IF(A416=A417,_xll.ciqfunctions.udf.CIQ(A408,"IQ_CASH_OPER",IQ_FY-7), _xll.ciqfunctions.udf.CIQ(A408, "IQ_CASH_OPER",IQ_FY-6))</f>
        <v>455.197</v>
      </c>
      <c r="K411" s="17">
        <f>IF(A416=A417,_xll.ciqfunctions.udf.CIQ(A408,"IQ_CAPEX",IQ_FY-7), _xll.ciqfunctions.udf.CIQ(A408, "IQ_CAPEX",IQ_FY-6))</f>
        <v>-85.272000000000006</v>
      </c>
      <c r="L411" s="15">
        <f t="shared" si="108"/>
        <v>1.8468346175763042</v>
      </c>
      <c r="M411" s="17">
        <f>IF(A416=A417,_xll.ciqfunctions.udf.CIQ(A408,"IQ_TOTAL_DEBT_ISSUED",IQ_FY-7), _xll.ciqfunctions.udf.CIQ(A408, "IQ_TOTAL_DEBT_ISSUED",IQ_FY-6))</f>
        <v>450.8</v>
      </c>
      <c r="N411" s="17">
        <f>IF(A416=A417,_xll.ciqfunctions.udf.CIQ(A408,"IQ_TOTAL_DEBT_REPAID",IQ_FY-7), _xll.ciqfunctions.udf.CIQ(A408, "IQ_TOTAL_DEBT_REPAID",IQ_FY-6))</f>
        <v>0</v>
      </c>
      <c r="O411" s="15">
        <f t="shared" si="109"/>
        <v>2.2505995691110301</v>
      </c>
      <c r="P411" s="15">
        <f t="shared" si="110"/>
        <v>4.0974341866873338</v>
      </c>
      <c r="Q411" s="25" t="s">
        <v>23</v>
      </c>
      <c r="R411" s="38" t="s">
        <v>24</v>
      </c>
      <c r="S411" s="1">
        <f>R407/(AVERAGE(H413:H418)*(1+H419)/(0.5-H419))</f>
        <v>103.31165993703792</v>
      </c>
      <c r="U411" s="25" t="s">
        <v>40</v>
      </c>
      <c r="V411" s="38" t="s">
        <v>24</v>
      </c>
      <c r="W411" s="1">
        <f>V407/(AVERAGE(H413:H418)*(1+H419)/(0.5-H419))</f>
        <v>103.31165993703792</v>
      </c>
      <c r="Y411" s="25" t="s">
        <v>47</v>
      </c>
      <c r="Z411" s="38" t="s">
        <v>24</v>
      </c>
      <c r="AA411" s="1">
        <f>Z407/(AVERAGE(H413:H418)*(1+H419)/(0.5-H419))</f>
        <v>103.31165993703792</v>
      </c>
    </row>
    <row r="412" spans="1:27">
      <c r="B412" s="13">
        <v>5</v>
      </c>
      <c r="C412" s="14" t="s">
        <v>25</v>
      </c>
      <c r="D412" s="15" cm="1">
        <f t="array" ref="D412">_xlfn.SINGLE(IF(A416=A417,_xll.ciqfunctions.udf.CIQ(A408,"IQ_TOTAL_REV",IQ_FY-6)/I412, _xll.ciqfunctions.udf.CIQ(A408, "IQ_TOTAL_REV",IQ_FY-5)/I412))</f>
        <v>10.933255594143709</v>
      </c>
      <c r="E412" s="16">
        <f t="shared" si="111"/>
        <v>0.24908309140406687</v>
      </c>
      <c r="F412" s="15">
        <f>IF(A416=A417,_xll.ciqfunctions.udf.CIQ(A408,"IQ_DILUT_EPS_EXCL",IQ_FY-6), _xll.ciqfunctions.udf.CIQ(A408, "IQ_DILUT_EPS_EXCL",IQ_FY-5))</f>
        <v>1.28</v>
      </c>
      <c r="G412" s="15">
        <f>IF(A416=A417,_xll.ciqfunctions.udf.CIQ(A408,"IQ_EBITDA_MARGIN",IQ_FY-6), _xll.ciqfunctions.udf.CIQ(A408, "IQ_EBITDA_MARGIN",IQ_FY-5))</f>
        <v>30.327999999999999</v>
      </c>
      <c r="H412" s="15">
        <f>IF(A416=A417,_xll.ciqfunctions.udf.CIQ(A408,"IQ_TOTAL_DIV_PAID_CF",IQ_FY-6)/-I412, _xll.ciqfunctions.udf.CIQ(A408, "IQ_TOTAL_DIV_PAID_CF",IQ_FY-5)/-I412)</f>
        <v>0.2837285970967442</v>
      </c>
      <c r="I412" s="17">
        <f>IF(A416=A417,_xll.ciqfunctions.udf.CIQ(A408,"IQ_TOTAL_OUTSTANDING_FILING_DATE",IQ_FY-6), _xll.ciqfunctions.udf.CIQ(A408, "IQ_TOTAL_OUTSTANDING_FILING_DATE",IQ_FY-5))</f>
        <v>195.42267000000001</v>
      </c>
      <c r="J412" s="17">
        <f>IF(A416=A417,_xll.ciqfunctions.udf.CIQ(A408,"IQ_CASH_OPER",IQ_FY-6), _xll.ciqfunctions.udf.CIQ(A408, "IQ_CASH_OPER",IQ_FY-5))</f>
        <v>626.495</v>
      </c>
      <c r="K412" s="17">
        <f>IF(A416=A417,_xll.ciqfunctions.udf.CIQ(A408,"IQ_CAPEX",IQ_FY-6), _xll.ciqfunctions.udf.CIQ(A408, "IQ_CAPEX",IQ_FY-5))</f>
        <v>-105.375</v>
      </c>
      <c r="L412" s="15">
        <f t="shared" si="108"/>
        <v>2.6666302328179223</v>
      </c>
      <c r="M412" s="17">
        <f>IF(A416=A417,_xll.ciqfunctions.udf.CIQ(A408,"IQ_TOTAL_DEBT_ISSUED",IQ_FY-6), _xll.ciqfunctions.udf.CIQ(A408, "IQ_TOTAL_DEBT_ISSUED",IQ_FY-5))</f>
        <v>0</v>
      </c>
      <c r="N412" s="17">
        <f>IF(A416=A417,_xll.ciqfunctions.udf.CIQ(A408,"IQ_TOTAL_DEBT_REPAID",IQ_FY-6), _xll.ciqfunctions.udf.CIQ(A408, "IQ_TOTAL_DEBT_REPAID",IQ_FY-5))</f>
        <v>0</v>
      </c>
      <c r="O412" s="15">
        <f t="shared" si="109"/>
        <v>0</v>
      </c>
      <c r="P412" s="15">
        <f t="shared" si="110"/>
        <v>2.6666302328179223</v>
      </c>
      <c r="Q412" s="18"/>
      <c r="R412" s="38" t="s">
        <v>50</v>
      </c>
      <c r="S412" s="3">
        <f>I419</f>
        <v>-2.5134232453962957E-2</v>
      </c>
      <c r="U412" s="18"/>
      <c r="V412" s="38" t="s">
        <v>50</v>
      </c>
      <c r="W412" s="3">
        <f>I419</f>
        <v>-2.5134232453962957E-2</v>
      </c>
      <c r="Y412" s="18"/>
      <c r="Z412" s="38" t="s">
        <v>50</v>
      </c>
      <c r="AA412" s="3">
        <f>I419</f>
        <v>-2.5134232453962957E-2</v>
      </c>
    </row>
    <row r="413" spans="1:27">
      <c r="B413" s="13">
        <v>6</v>
      </c>
      <c r="C413" s="14" t="s">
        <v>26</v>
      </c>
      <c r="D413" s="15" cm="1">
        <f t="array" ref="D413">_xlfn.SINGLE(IF(A416=A417,_xll.ciqfunctions.udf.CIQ(A408,"IQ_TOTAL_REV",IQ_FY-5)/I413, _xll.ciqfunctions.udf.CIQ(A408, "IQ_TOTAL_REV",IQ_FY-4)/I413))</f>
        <v>12.099353288800138</v>
      </c>
      <c r="E413" s="16">
        <f t="shared" si="111"/>
        <v>0.10665603530580935</v>
      </c>
      <c r="F413" s="15">
        <f>IF(A416=A417,_xll.ciqfunctions.udf.CIQ(A408,"IQ_DILUT_EPS_EXCL",IQ_FY-5), _xll.ciqfunctions.udf.CIQ(A408, "IQ_DILUT_EPS_EXCL",IQ_FY-4))</f>
        <v>2.35</v>
      </c>
      <c r="G413" s="15">
        <f>IF(A416=A417,_xll.ciqfunctions.udf.CIQ(A408,"IQ_EBITDA_MARGIN",IQ_FY-5), _xll.ciqfunctions.udf.CIQ(A408, "IQ_EBITDA_MARGIN",IQ_FY-4))</f>
        <v>28.738800000000001</v>
      </c>
      <c r="H413" s="15">
        <f>IF(A416=A417,_xll.ciqfunctions.udf.CIQ(A408,"IQ_TOTAL_DIV_PAID_CF",IQ_FY-5)/-I413, _xll.ciqfunctions.udf.CIQ(A408, "IQ_TOTAL_DIV_PAID_CF",IQ_FY-4)/-I413)</f>
        <v>0.38773414253632799</v>
      </c>
      <c r="I413" s="17">
        <f>IF(A416=A417,_xll.ciqfunctions.udf.CIQ(A408,"IQ_TOTAL_OUTSTANDING_FILING_DATE",IQ_FY-5), _xll.ciqfunctions.udf.CIQ(A408, "IQ_TOTAL_OUTSTANDING_FILING_DATE",IQ_FY-4))</f>
        <v>173.62927999999999</v>
      </c>
      <c r="J413" s="17">
        <f>IF(A416=A417,_xll.ciqfunctions.udf.CIQ(A408,"IQ_CASH_OPER",IQ_FY-5), _xll.ciqfunctions.udf.CIQ(A408, "IQ_CASH_OPER",IQ_FY-4))</f>
        <v>476.88099999999997</v>
      </c>
      <c r="K413" s="17">
        <f>IF(A416=A417,_xll.ciqfunctions.udf.CIQ(A408,"IQ_CAPEX",IQ_FY-5), _xll.ciqfunctions.udf.CIQ(A408, "IQ_CAPEX",IQ_FY-4))</f>
        <v>-114.379</v>
      </c>
      <c r="L413" s="15">
        <f t="shared" si="108"/>
        <v>2.0877930266139444</v>
      </c>
      <c r="M413" s="17">
        <f>IF(A416=A417,_xll.ciqfunctions.udf.CIQ(A408,"IQ_TOTAL_DEBT_ISSUED",IQ_FY-5), _xll.ciqfunctions.udf.CIQ(A408, "IQ_TOTAL_DEBT_ISSUED",IQ_FY-4))</f>
        <v>0</v>
      </c>
      <c r="N413" s="17">
        <f>IF(A416=A417,_xll.ciqfunctions.udf.CIQ(A408,"IQ_TOTAL_DEBT_REPAID",IQ_FY-5), _xll.ciqfunctions.udf.CIQ(A408, "IQ_TOTAL_DEBT_REPAID",IQ_FY-4))</f>
        <v>0</v>
      </c>
      <c r="O413" s="15">
        <f t="shared" si="109"/>
        <v>0</v>
      </c>
      <c r="P413" s="15">
        <f t="shared" si="110"/>
        <v>2.0877930266139444</v>
      </c>
      <c r="Q413" s="25" t="s">
        <v>27</v>
      </c>
      <c r="R413" s="38" t="s">
        <v>51</v>
      </c>
      <c r="S413" s="4">
        <f>AVERAGE(F413:F418)/AVERAGE(D413:D418)</f>
        <v>0.20889814646032573</v>
      </c>
      <c r="U413" s="25" t="s">
        <v>58</v>
      </c>
      <c r="V413" s="38" t="s">
        <v>51</v>
      </c>
      <c r="W413" s="4">
        <f>AVERAGE(F413:F418)/AVERAGE(D413:D418)</f>
        <v>0.20889814646032573</v>
      </c>
      <c r="Y413" s="25" t="s">
        <v>56</v>
      </c>
      <c r="Z413" s="38" t="s">
        <v>51</v>
      </c>
      <c r="AA413" s="4">
        <f>AVERAGE(F413:F418)/AVERAGE(D413:D418)</f>
        <v>0.20889814646032573</v>
      </c>
    </row>
    <row r="414" spans="1:27">
      <c r="A414" s="18"/>
      <c r="B414" s="13">
        <v>7</v>
      </c>
      <c r="C414" s="14" t="s">
        <v>28</v>
      </c>
      <c r="D414" s="15" cm="1">
        <f t="array" ref="D414">_xlfn.SINGLE(IF(A416=A417,_xll.ciqfunctions.udf.CIQ(A408,"IQ_TOTAL_REV",IQ_FY-4)/I414, _xll.ciqfunctions.udf.CIQ(A408, "IQ_TOTAL_REV",IQ_FY-3)/I414))</f>
        <v>13.76006163642305</v>
      </c>
      <c r="E414" s="16">
        <f t="shared" si="111"/>
        <v>0.13725595971812471</v>
      </c>
      <c r="F414" s="15">
        <f>IF(A416=A417,_xll.ciqfunctions.udf.CIQ(A408,"IQ_DILUT_EPS_EXCL",IQ_FY-4), _xll.ciqfunctions.udf.CIQ(A408, "IQ_DILUT_EPS_EXCL",IQ_FY-3))</f>
        <v>2.6</v>
      </c>
      <c r="G414" s="15">
        <f>IF(A416=A417,_xll.ciqfunctions.udf.CIQ(A408,"IQ_EBITDA_MARGIN",IQ_FY-4), _xll.ciqfunctions.udf.CIQ(A408, "IQ_EBITDA_MARGIN",IQ_FY-3))</f>
        <v>28.340199999999999</v>
      </c>
      <c r="H414" s="15">
        <f>IF(A416=A417,_xll.ciqfunctions.udf.CIQ(A408,"IQ_TOTAL_DIV_PAID_CF",IQ_FY-4)/-I414, _xll.ciqfunctions.udf.CIQ(A408, "IQ_TOTAL_DIV_PAID_CF",IQ_FY-3)/-I414)</f>
        <v>0.36757012791956084</v>
      </c>
      <c r="I414" s="17">
        <f>IF(A416=A417,_xll.ciqfunctions.udf.CIQ(A408,"IQ_TOTAL_OUTSTANDING_FILING_DATE",IQ_FY-4), _xll.ciqfunctions.udf.CIQ(A408, "IQ_TOTAL_OUTSTANDING_FILING_DATE",IQ_FY-3))</f>
        <v>166.78450000000001</v>
      </c>
      <c r="J414" s="17">
        <f>IF(A416=A417,_xll.ciqfunctions.udf.CIQ(A408,"IQ_CASH_OPER",IQ_FY-4), _xll.ciqfunctions.udf.CIQ(A408, "IQ_CASH_OPER",IQ_FY-3))</f>
        <v>578.75</v>
      </c>
      <c r="K414" s="17">
        <f>IF(A416=A417,_xll.ciqfunctions.udf.CIQ(A408,"IQ_CAPEX",IQ_FY-4), _xll.ciqfunctions.udf.CIQ(A408, "IQ_CAPEX",IQ_FY-3))</f>
        <v>-134.642</v>
      </c>
      <c r="L414" s="15">
        <f t="shared" si="108"/>
        <v>2.6627654248446349</v>
      </c>
      <c r="M414" s="17">
        <f>IF(A416=A417,_xll.ciqfunctions.udf.CIQ(A408,"IQ_TOTAL_DEBT_ISSUED",IQ_FY-4), _xll.ciqfunctions.udf.CIQ(A408, "IQ_TOTAL_DEBT_ISSUED",IQ_FY-3))</f>
        <v>0</v>
      </c>
      <c r="N414" s="17">
        <f>IF(A416=A417,_xll.ciqfunctions.udf.CIQ(A408,"IQ_TOTAL_DEBT_REPAID",IQ_FY-4), _xll.ciqfunctions.udf.CIQ(A408, "IQ_TOTAL_DEBT_REPAID",IQ_FY-3))</f>
        <v>0</v>
      </c>
      <c r="O414" s="15">
        <f t="shared" si="109"/>
        <v>0</v>
      </c>
      <c r="P414" s="15">
        <f t="shared" si="110"/>
        <v>2.6627654248446349</v>
      </c>
      <c r="Q414" s="18"/>
      <c r="R414" s="38" t="s">
        <v>29</v>
      </c>
      <c r="S414" s="4">
        <f>(AVERAGE(P413:P418)/_xlfn.STDEV.P(P413:P418))/(IF(A416=A417,(_xlfn.SINGLE(_xll.ciqfunctions.udf.CIQ(A408,"IQ_total_assets",IQ_FY)) - _xlfn.SINGLE(_xll.ciqfunctions.udf.CIQ(A408,"iq_gw_intan", IQ_FY)))/I418, (_xlfn.SINGLE(_xll.ciqfunctions.udf.CIQ(A408, "IQ_total_assets",IQ_LTM))-_xlfn.SINGLE(_xll.ciqfunctions.udf.CIQ(A408,"iq_gw_intan",IQ_LTM)))/I418))</f>
        <v>0.18099549661469347</v>
      </c>
      <c r="U414" s="18"/>
      <c r="V414" s="38" t="s">
        <v>29</v>
      </c>
      <c r="W414" s="4">
        <f>(AVERAGE(P413:P418)/_xlfn.STDEV.P(P413:P418))/(IF(A416=A417,(_xlfn.SINGLE(_xll.ciqfunctions.udf.CIQ(A408,"IQ_total_assets",IQ_FY)) - _xlfn.SINGLE(_xll.ciqfunctions.udf.CIQ(A408,"iq_gw_intan", IQ_FY)))/I418, (_xlfn.SINGLE(_xll.ciqfunctions.udf.CIQ(A408, "IQ_total_assets",IQ_LTM))-_xlfn.SINGLE(_xll.ciqfunctions.udf.CIQ(A408,"iq_gw_intan",IQ_LTM)))/I418))</f>
        <v>0.18099549661469347</v>
      </c>
      <c r="Y414" s="18"/>
      <c r="Z414" s="38" t="s">
        <v>29</v>
      </c>
      <c r="AA414" s="4">
        <f>(AVERAGE(P413:P418)/_xlfn.STDEV.P(P413:P418))/(IF(A416=A417,(_xlfn.SINGLE(_xll.ciqfunctions.udf.CIQ(A408,"IQ_total_assets",IQ_FY)) - _xlfn.SINGLE(_xll.ciqfunctions.udf.CIQ(A408,"iq_gw_intan", IQ_FY)))/I418, (_xlfn.SINGLE(_xll.ciqfunctions.udf.CIQ(A408, "IQ_total_assets",IQ_LTM))-_xlfn.SINGLE(_xll.ciqfunctions.udf.CIQ(A408,"iq_gw_intan",IQ_LTM)))/I418))</f>
        <v>0.18099549661469347</v>
      </c>
    </row>
    <row r="415" spans="1:27">
      <c r="A415" s="18"/>
      <c r="B415" s="13">
        <v>8</v>
      </c>
      <c r="C415" s="14" t="s">
        <v>30</v>
      </c>
      <c r="D415" s="15" cm="1">
        <f t="array" ref="D415">_xlfn.SINGLE(IF(A416=A417,_xll.ciqfunctions.udf.CIQ(A408,"IQ_TOTAL_REV",IQ_FY-3)/I415, _xll.ciqfunctions.udf.CIQ(A408, "IQ_TOTAL_REV",IQ_FY-2)/I415))</f>
        <v>18.725656479804375</v>
      </c>
      <c r="E415" s="16">
        <f t="shared" si="111"/>
        <v>0.36087010179062973</v>
      </c>
      <c r="F415" s="15">
        <f>IF(A416=A417,_xll.ciqfunctions.udf.CIQ(A408,"IQ_DILUT_EPS_EXCL",IQ_FY-3), _xll.ciqfunctions.udf.CIQ(A408, "IQ_DILUT_EPS_EXCL",IQ_FY-2))</f>
        <v>4.28</v>
      </c>
      <c r="G415" s="15">
        <f>IF(A416=A417,_xll.ciqfunctions.udf.CIQ(A408,"IQ_EBITDA_MARGIN",IQ_FY-3), _xll.ciqfunctions.udf.CIQ(A408, "IQ_EBITDA_MARGIN",IQ_FY-2))</f>
        <v>32.803400000000003</v>
      </c>
      <c r="H415" s="15">
        <f>IF(A416=A417,_xll.ciqfunctions.udf.CIQ(A408,"IQ_TOTAL_DIV_PAID_CF",IQ_FY-3)/-I415, _xll.ciqfunctions.udf.CIQ(A408, "IQ_TOTAL_DIV_PAID_CF",IQ_FY-2)/-I415)</f>
        <v>0.39882475017062619</v>
      </c>
      <c r="I415" s="17">
        <f>IF(A416=A417,_xll.ciqfunctions.udf.CIQ(A408,"IQ_TOTAL_OUTSTANDING_FILING_DATE",IQ_FY-3), _xll.ciqfunctions.udf.CIQ(A408, "IQ_TOTAL_OUTSTANDING_FILING_DATE",IQ_FY-2))</f>
        <v>166.69477000000001</v>
      </c>
      <c r="J415" s="17">
        <f>IF(A416=A417,_xll.ciqfunctions.udf.CIQ(A408,"IQ_CASH_OPER",IQ_FY-3), _xll.ciqfunctions.udf.CIQ(A408, "IQ_CASH_OPER",IQ_FY-2))</f>
        <v>868.93499999999995</v>
      </c>
      <c r="K415" s="17">
        <f>IF(A416=A417,_xll.ciqfunctions.udf.CIQ(A408,"IQ_CAPEX",IQ_FY-3), _xll.ciqfunctions.udf.CIQ(A408, "IQ_CAPEX",IQ_FY-2))</f>
        <v>-184.977</v>
      </c>
      <c r="L415" s="15">
        <f t="shared" si="108"/>
        <v>4.1030561426732222</v>
      </c>
      <c r="M415" s="17">
        <f>IF(A416=A417,_xll.ciqfunctions.udf.CIQ(A408,"IQ_TOTAL_DEBT_ISSUED",IQ_FY-3), _xll.ciqfunctions.udf.CIQ(A408, "IQ_TOTAL_DEBT_ISSUED",IQ_FY-2))</f>
        <v>0</v>
      </c>
      <c r="N415" s="17">
        <f>IF(A416=A417,_xll.ciqfunctions.udf.CIQ(A408,"IQ_TOTAL_DEBT_REPAID",IQ_FY-3), _xll.ciqfunctions.udf.CIQ(A408, "IQ_TOTAL_DEBT_REPAID",IQ_FY-2))</f>
        <v>0</v>
      </c>
      <c r="O415" s="15">
        <f t="shared" si="109"/>
        <v>0</v>
      </c>
      <c r="P415" s="15">
        <f t="shared" si="110"/>
        <v>4.1030561426732222</v>
      </c>
      <c r="Q415" s="18"/>
      <c r="R415" s="39" t="s">
        <v>31</v>
      </c>
      <c r="S415" s="5">
        <f>IF(NOT(D408&gt;0),FALSE,SLOPE(G408:G418,B408:B418))</f>
        <v>0.87555909090909123</v>
      </c>
      <c r="U415" s="18"/>
      <c r="V415" s="39" t="s">
        <v>31</v>
      </c>
      <c r="W415" s="5">
        <f>IF(NOT(D408&gt;0),FALSE,SLOPE(G408:G418,B408:B418))</f>
        <v>0.87555909090909123</v>
      </c>
      <c r="Y415" s="18"/>
      <c r="Z415" s="39" t="s">
        <v>31</v>
      </c>
      <c r="AA415" s="5">
        <f>IF(NOT(L408&gt;0),FALSE,SLOPE(O408:O418,J408:J418))</f>
        <v>-2.4858834281745261E-3</v>
      </c>
    </row>
    <row r="416" spans="1:27">
      <c r="A416" s="19">
        <f>_xll.ciqfunctions.udf.CIQ(A408,"IQ_TOTAL_REV",IQ_FY)</f>
        <v>3155.0450000000001</v>
      </c>
      <c r="B416" s="13">
        <v>9</v>
      </c>
      <c r="C416" s="14" t="s">
        <v>32</v>
      </c>
      <c r="D416" s="15" cm="1">
        <f t="array" ref="D416">_xlfn.SINGLE(IF(A416=A417,_xll.ciqfunctions.udf.CIQ(A408,"IQ_TOTAL_REV",IQ_FY-2)/I416, _xll.ciqfunctions.udf.CIQ(A408, "IQ_TOTAL_REV",IQ_FY-1)/I416))</f>
        <v>22.798597807311488</v>
      </c>
      <c r="E416" s="16">
        <f t="shared" si="111"/>
        <v>0.21750593000035975</v>
      </c>
      <c r="F416" s="15">
        <f>IF(A416=A417,_xll.ciqfunctions.udf.CIQ(A408,"IQ_DILUT_EPS_EXCL",IQ_FY-2), _xll.ciqfunctions.udf.CIQ(A408, "IQ_DILUT_EPS_EXCL",IQ_FY-1))</f>
        <v>5.53</v>
      </c>
      <c r="G416" s="15">
        <f>IF(A416=A417,_xll.ciqfunctions.udf.CIQ(A408,"IQ_EBITDA_MARGIN",IQ_FY-2), _xll.ciqfunctions.udf.CIQ(A408, "IQ_EBITDA_MARGIN",IQ_FY-1))</f>
        <v>36.049700000000001</v>
      </c>
      <c r="H416" s="15">
        <f>IF(A416=A417,_xll.ciqfunctions.udf.CIQ(A408,"IQ_TOTAL_DIV_PAID_CF",IQ_FY-2)/-I416, _xll.ciqfunctions.udf.CIQ(A408, "IQ_TOTAL_DIV_PAID_CF",IQ_FY-1)/-I416)</f>
        <v>0.40621966720858438</v>
      </c>
      <c r="I416" s="17">
        <f>IF(A416=A417,_xll.ciqfunctions.udf.CIQ(A408,"IQ_TOTAL_OUTSTANDING_FILING_DATE",IQ_FY-2), _xll.ciqfunctions.udf.CIQ(A408, "IQ_TOTAL_OUTSTANDING_FILING_DATE",IQ_FY-1))</f>
        <v>162.41704999999999</v>
      </c>
      <c r="J416" s="17">
        <f>IF(A416=A417,_xll.ciqfunctions.udf.CIQ(A408,"IQ_CASH_OPER",IQ_FY-2), _xll.ciqfunctions.udf.CIQ(A408, "IQ_CASH_OPER",IQ_FY-1))</f>
        <v>1098.366</v>
      </c>
      <c r="K416" s="17">
        <f>IF(A416=A417,_xll.ciqfunctions.udf.CIQ(A408,"IQ_CAPEX",IQ_FY-2), _xll.ciqfunctions.udf.CIQ(A408, "IQ_CAPEX",IQ_FY-1))</f>
        <v>-132.47200000000001</v>
      </c>
      <c r="L416" s="15">
        <f t="shared" si="108"/>
        <v>5.9469987910751989</v>
      </c>
      <c r="M416" s="17">
        <f>IF(A416=A417,_xll.ciqfunctions.udf.CIQ(A408,"IQ_TOTAL_DEBT_ISSUED",IQ_FY-2), _xll.ciqfunctions.udf.CIQ(A408, "IQ_TOTAL_DEBT_ISSUED",IQ_FY-1))</f>
        <v>0</v>
      </c>
      <c r="N416" s="17">
        <f>IF(A416=A417,_xll.ciqfunctions.udf.CIQ(A408,"IQ_TOTAL_DEBT_REPAID",IQ_FY-2), _xll.ciqfunctions.udf.CIQ(A408, "IQ_TOTAL_DEBT_REPAID",IQ_FY-1))</f>
        <v>-342.99</v>
      </c>
      <c r="O416" s="15">
        <f t="shared" si="109"/>
        <v>-2.1117856776736188</v>
      </c>
      <c r="P416" s="15">
        <f t="shared" si="110"/>
        <v>3.8352131134015801</v>
      </c>
      <c r="Q416" s="25" t="s">
        <v>33</v>
      </c>
      <c r="R416" s="38" t="s">
        <v>52</v>
      </c>
      <c r="S416" s="4">
        <f>(AVERAGE(O413:O418)/AVERAGE(P413:P418))</f>
        <v>-0.16470269084979625</v>
      </c>
      <c r="U416" s="25" t="s">
        <v>54</v>
      </c>
      <c r="V416" s="38" t="s">
        <v>52</v>
      </c>
      <c r="W416" s="4">
        <f>(AVERAGE(O413:O418)/AVERAGE(P413:P418))</f>
        <v>-0.16470269084979625</v>
      </c>
      <c r="Y416" s="25" t="s">
        <v>60</v>
      </c>
      <c r="Z416" s="38" t="s">
        <v>52</v>
      </c>
      <c r="AA416" s="4">
        <f>(AVERAGE(O413:O418)/AVERAGE(P413:P418))</f>
        <v>-0.16470269084979625</v>
      </c>
    </row>
    <row r="417" spans="1:27">
      <c r="A417" s="19">
        <f>_xll.ciqfunctions.udf.CIQ(A408,"IQ_TOTAL_REV",IQ_LTM)</f>
        <v>2737.5349999999999</v>
      </c>
      <c r="B417" s="13">
        <v>10</v>
      </c>
      <c r="C417" s="14" t="s">
        <v>34</v>
      </c>
      <c r="D417" s="15" cm="1">
        <f t="array" ref="D417">_xlfn.SINGLE(IF(A416=A417,_xll.ciqfunctions.udf.CIQ(A408,"IQ_TOTAL_REV",IQ_FY-1)/I417, _xll.ciqfunctions.udf.CIQ(A408, "IQ_TOTAL_REV",IQ_FY)/I417))</f>
        <v>20.218443225146235</v>
      </c>
      <c r="E417" s="16">
        <f t="shared" si="111"/>
        <v>-0.1131716346756115</v>
      </c>
      <c r="F417" s="15">
        <f>IF(A416=A417,_xll.ciqfunctions.udf.CIQ(A408,"IQ_DILUT_EPS_EXCL",IQ_FY-1), _xll.ciqfunctions.udf.CIQ(A408, "IQ_DILUT_EPS_EXCL",IQ_FY))</f>
        <v>4.22</v>
      </c>
      <c r="G417" s="15">
        <f>IF(A416=A417,_xll.ciqfunctions.udf.CIQ(A408,"IQ_EBITDA_MARGIN",IQ_FY-1), _xll.ciqfunctions.udf.CIQ(A408, "IQ_EBITDA_MARGIN",IQ_FY))</f>
        <v>31.111000000000001</v>
      </c>
      <c r="H417" s="15">
        <f>IF(A416=A417,_xll.ciqfunctions.udf.CIQ(A408,"IQ_TOTAL_DIV_PAID_CF",IQ_FY-1)/-I417, _xll.ciqfunctions.udf.CIQ(A408, "IQ_TOTAL_DIV_PAID_CF",IQ_FY)/-I417)</f>
        <v>0.44672830202680758</v>
      </c>
      <c r="I417" s="17">
        <f>IF(A416=A417,_xll.ciqfunctions.udf.CIQ(A408,"IQ_TOTAL_OUTSTANDING_FILING_DATE",IQ_FY-1), _xll.ciqfunctions.udf.CIQ(A408, "IQ_TOTAL_OUTSTANDING_FILING_DATE",IQ_FY))</f>
        <v>156.04786999999999</v>
      </c>
      <c r="J417" s="17">
        <f>IF(A416=A417,_xll.ciqfunctions.udf.CIQ(A408,"IQ_CASH_OPER",IQ_FY-1), _xll.ciqfunctions.udf.CIQ(A408, "IQ_CASH_OPER",IQ_FY))</f>
        <v>577.923</v>
      </c>
      <c r="K417" s="17">
        <f>IF(A416=A417,_xll.ciqfunctions.udf.CIQ(A408,"IQ_CAPEX",IQ_FY-1), _xll.ciqfunctions.udf.CIQ(A408, "IQ_CAPEX",IQ_FY))</f>
        <v>-163.249</v>
      </c>
      <c r="L417" s="15">
        <f t="shared" si="108"/>
        <v>2.657351234592308</v>
      </c>
      <c r="M417" s="17">
        <f>IF(A416=A417,_xll.ciqfunctions.udf.CIQ(A408,"IQ_TOTAL_DEBT_ISSUED",IQ_FY-1), _xll.ciqfunctions.udf.CIQ(A408, "IQ_TOTAL_DEBT_ISSUED",IQ_FY))</f>
        <v>0</v>
      </c>
      <c r="N417" s="17">
        <f>IF(A416=A417,_xll.ciqfunctions.udf.CIQ(A408,"IQ_TOTAL_DEBT_REPAID",IQ_FY-1), _xll.ciqfunctions.udf.CIQ(A408, "IQ_TOTAL_DEBT_REPAID",IQ_FY))</f>
        <v>-66.759</v>
      </c>
      <c r="O417" s="15">
        <f t="shared" si="109"/>
        <v>-0.4278110300384107</v>
      </c>
      <c r="P417" s="15">
        <f t="shared" si="110"/>
        <v>2.2295402045538975</v>
      </c>
      <c r="Q417" s="25" t="s">
        <v>44</v>
      </c>
      <c r="R417" s="38" t="s">
        <v>35</v>
      </c>
      <c r="S417" s="1">
        <f>_xll.ciqfunctions.udf.CIQ(A408,"IQ_TEV_EBITDA")</f>
        <v>18.390699999999999</v>
      </c>
      <c r="U417" s="25" t="s">
        <v>55</v>
      </c>
      <c r="V417" s="38" t="s">
        <v>53</v>
      </c>
      <c r="W417" s="1">
        <f>V407/(AVERAGE(D413:D418)/_xlfn.STDEV.P(E413:E418))</f>
        <v>0.89402577989844312</v>
      </c>
      <c r="Y417" s="25" t="s">
        <v>57</v>
      </c>
      <c r="Z417" s="38" t="s">
        <v>53</v>
      </c>
      <c r="AA417" s="1">
        <f>Z407/(AVERAGE(D413:D418)/_xlfn.STDEV.P(E413:E418))</f>
        <v>0.89402577989844312</v>
      </c>
    </row>
    <row r="418" spans="1:27">
      <c r="B418" s="13">
        <v>11</v>
      </c>
      <c r="C418" s="20" t="s">
        <v>36</v>
      </c>
      <c r="D418" s="21" cm="1">
        <f t="array" ref="D418">_xlfn.SINGLE(IF(A416=A417,_xll.ciqfunctions.udf.CIQ(A408,"IQ_TOTAL_REV",IQ_FY)/I418, _xll.ciqfunctions.udf.CIQ(A408, "IQ_TOTAL_REV",IQ_LTM)/I418))</f>
        <v>17.906578632619464</v>
      </c>
      <c r="E418" s="22">
        <f t="shared" si="111"/>
        <v>-0.1143443422810833</v>
      </c>
      <c r="F418" s="21">
        <f>IF(A416=A417,_xll.ciqfunctions.udf.CIQ(A408,"IQ_DILUT_EPS_EXCL",IQ_FY), _xll.ciqfunctions.udf.CIQ(A408, "IQ_DILUT_EPS_EXCL",IQ_LTM))</f>
        <v>3.0605699999999998</v>
      </c>
      <c r="G418" s="21">
        <f>IF(A416=A417,_xll.ciqfunctions.udf.CIQ(A408,"IQ_EBITDA_MARGIN",IQ_FY), _xll.ciqfunctions.udf.CIQ(A408, "IQ_EBITDA_MARGIN",IQ_LTM))</f>
        <v>25.186800000000002</v>
      </c>
      <c r="H418" s="21">
        <f>IF(A416=A417,_xll.ciqfunctions.udf.CIQ(A408,"IQ_TOTAL_DIV_PAID_CF",IQ_FY)/-I418, _xll.ciqfunctions.udf.CIQ(A408, "IQ_TOTAL_DIV_PAID_CF",IQ_LTM)/-I418)</f>
        <v>0.44619679925389233</v>
      </c>
      <c r="I418" s="23">
        <f>IF(A416=A417,_xll.ciqfunctions.udf.CIQ(A408,"IQ_TOTAL_OUTSTANDING_FILING_DATE",IQ_FY),_xll.ciqfunctions.udf.CIQ(A408,"IQ_sharesoutstanding"))</f>
        <v>152.87872999999999</v>
      </c>
      <c r="J418" s="23">
        <f>IF(A416=A417,_xll.ciqfunctions.udf.CIQ(A408,"IQ_CASH_OPER",IQ_FY), _xll.ciqfunctions.udf.CIQ(A408, "IQ_CASH_OPER",IQ_LTM))</f>
        <v>519.85299999999995</v>
      </c>
      <c r="K418" s="23">
        <f>IF(A416=A417,_xll.ciqfunctions.udf.CIQ(A408,"IQ_CAPEX",IQ_FY), _xll.ciqfunctions.udf.CIQ(A408, "IQ_CAPEX",IQ_LTM))</f>
        <v>-149.88300000000001</v>
      </c>
      <c r="L418" s="21">
        <f t="shared" si="108"/>
        <v>2.4200227199689581</v>
      </c>
      <c r="M418" s="23">
        <f>IF(A416=A417,_xll.ciqfunctions.udf.CIQ(A408,"IQ_TOTAL_DEBT_ISSUED",IQ_FY), _xll.ciqfunctions.udf.CIQ(A408, "IQ_TOTAL_DEBT_ISSUED",IQ_LTM))</f>
        <v>0</v>
      </c>
      <c r="N418" s="23">
        <f>IF(A416=A417,_xll.ciqfunctions.udf.CIQ(A408,"IQ_TOTAL_DEBT_REPAID",IQ_FY), _xll.ciqfunctions.udf.CIQ(A408, "IQ_TOTAL_DEBT_REPAID",IQ_LTM))</f>
        <v>-41.488999999999997</v>
      </c>
      <c r="O418" s="21">
        <f t="shared" si="109"/>
        <v>-0.27138503832416716</v>
      </c>
      <c r="P418" s="21">
        <f t="shared" si="110"/>
        <v>2.1486376816447912</v>
      </c>
      <c r="Q418" s="25" t="s">
        <v>45</v>
      </c>
      <c r="S418" s="45"/>
      <c r="U418" s="25"/>
      <c r="W418" s="45"/>
      <c r="Y418" s="25"/>
      <c r="AA418" s="45"/>
    </row>
    <row r="419" spans="1:27">
      <c r="B419" s="24"/>
      <c r="C419" s="25" t="s">
        <v>37</v>
      </c>
      <c r="E419" s="26">
        <f>((D418/D413)^(1/5))-1</f>
        <v>8.155869041852859E-2</v>
      </c>
      <c r="F419" s="27">
        <f>((F418/F413)^(1/5))-1</f>
        <v>5.4257965257495044E-2</v>
      </c>
      <c r="G419" s="28"/>
      <c r="H419" s="27">
        <f>((H418/H413)^(1/5))-1</f>
        <v>2.8486229085288972E-2</v>
      </c>
      <c r="I419" s="27">
        <f>((I418/I413)^(1/5))-1</f>
        <v>-2.5134232453962957E-2</v>
      </c>
      <c r="J419" s="27"/>
      <c r="K419" s="27"/>
      <c r="L419" s="26">
        <f>((L418/L413)^(1/5))-1</f>
        <v>2.997432806669087E-2</v>
      </c>
      <c r="M419" s="26"/>
      <c r="N419" s="26"/>
      <c r="O419" s="26"/>
      <c r="P419" s="26">
        <f>((P418/P413)^(1/5))-1</f>
        <v>5.7618288364769121E-3</v>
      </c>
      <c r="Q419" s="18"/>
      <c r="R419" s="36"/>
      <c r="S419" s="45"/>
      <c r="U419" s="18"/>
      <c r="V419" s="36"/>
      <c r="W419" s="45"/>
      <c r="Y419" s="18"/>
      <c r="Z419" s="36"/>
      <c r="AA419" s="45"/>
    </row>
    <row r="420" spans="1:27">
      <c r="A420" s="29"/>
      <c r="B420" s="30"/>
      <c r="C420" s="31" t="s">
        <v>38</v>
      </c>
      <c r="D420" s="29"/>
      <c r="E420" s="32">
        <f>((D418/D408)^(1/10))-1</f>
        <v>9.2963410349014453E-2</v>
      </c>
      <c r="F420" s="33">
        <f>((F418/F408)^(1/10))-1</f>
        <v>0.15896528539736021</v>
      </c>
      <c r="G420" s="34"/>
      <c r="H420" s="33" t="e">
        <f>((H418/H408)^(1/10))-1</f>
        <v>#DIV/0!</v>
      </c>
      <c r="I420" s="33">
        <f>((I418/I408)^(1/10))-1</f>
        <v>-2.3528523127197887E-2</v>
      </c>
      <c r="J420" s="33"/>
      <c r="K420" s="33"/>
      <c r="L420" s="32">
        <f>((L418/L408)^(1/10))-1</f>
        <v>0.11227254592155833</v>
      </c>
      <c r="M420" s="32"/>
      <c r="N420" s="32"/>
      <c r="O420" s="32"/>
      <c r="P420" s="32">
        <f>((P418/P408)^(1/10))-1</f>
        <v>0.10085564320116402</v>
      </c>
      <c r="Q420" s="40"/>
      <c r="R420" s="41"/>
      <c r="S420" s="46"/>
      <c r="U420" s="40"/>
      <c r="V420" s="41"/>
      <c r="W420" s="46"/>
      <c r="Y420" s="40"/>
      <c r="Z420" s="41"/>
      <c r="AA420" s="46"/>
    </row>
    <row r="421" spans="1:27">
      <c r="B421" s="24"/>
      <c r="C421" s="25"/>
      <c r="E421" s="26"/>
      <c r="F421" s="27"/>
      <c r="G421" s="28"/>
      <c r="H421" s="27"/>
      <c r="I421" s="27"/>
      <c r="J421" s="27"/>
      <c r="K421" s="27"/>
      <c r="L421" s="26"/>
      <c r="M421" s="17"/>
      <c r="N421" s="17"/>
      <c r="O421" s="17"/>
      <c r="P421" s="35"/>
      <c r="Q421" s="18"/>
      <c r="R421" s="36"/>
    </row>
    <row r="422" spans="1:27">
      <c r="A422" s="9" t="s">
        <v>0</v>
      </c>
      <c r="B422" s="10"/>
      <c r="C422" s="9" t="s">
        <v>1</v>
      </c>
      <c r="D422" s="9" t="s">
        <v>2</v>
      </c>
      <c r="E422" s="9" t="s">
        <v>3</v>
      </c>
      <c r="F422" s="11" t="s">
        <v>4</v>
      </c>
      <c r="G422" s="11" t="s">
        <v>5</v>
      </c>
      <c r="H422" s="9" t="s">
        <v>6</v>
      </c>
      <c r="I422" s="11" t="s">
        <v>7</v>
      </c>
      <c r="J422" s="11" t="s">
        <v>8</v>
      </c>
      <c r="K422" s="11" t="s">
        <v>9</v>
      </c>
      <c r="L422" s="11" t="s">
        <v>10</v>
      </c>
      <c r="M422" s="11" t="s">
        <v>11</v>
      </c>
      <c r="N422" s="11" t="s">
        <v>12</v>
      </c>
      <c r="O422" s="11" t="s">
        <v>13</v>
      </c>
      <c r="P422" s="11" t="s">
        <v>14</v>
      </c>
      <c r="Q422" s="37" t="s">
        <v>15</v>
      </c>
      <c r="R422" s="42">
        <f>_xll.ciqfunctions.udf.CIQ(A423,("IQ_LASTSALEPRICE"))</f>
        <v>98.71</v>
      </c>
      <c r="S422" s="44"/>
      <c r="U422" s="37" t="s">
        <v>15</v>
      </c>
      <c r="V422" s="42">
        <f>_xll.ciqfunctions.udf.CIQ(A423,("IQ_LASTSALEPRICE"))</f>
        <v>98.71</v>
      </c>
      <c r="W422" s="44"/>
      <c r="Y422" s="37" t="s">
        <v>15</v>
      </c>
      <c r="Z422" s="42">
        <f>_xll.ciqfunctions.udf.CIQ(A423,("IQ_LASTSALEPRICE"))</f>
        <v>98.71</v>
      </c>
      <c r="AA422" s="44"/>
    </row>
    <row r="423" spans="1:27">
      <c r="A423" s="12" t="str">
        <f>Analysis!B30</f>
        <v>NasdaqGM:ENPH</v>
      </c>
      <c r="B423" s="13">
        <v>1</v>
      </c>
      <c r="C423" s="14" t="s">
        <v>16</v>
      </c>
      <c r="D423" s="15">
        <f>IF(A431=A432,_xll.ciqfunctions.udf.CIQ(A423,"IQ_TOTAL_REV",IQ_FY-10)/I423,_xll.ciqfunctions.udf.CIQ(A423, "IQ_TOTAL_REV",IQ_FY-9)/I423)</f>
        <v>5.5128624618402036</v>
      </c>
      <c r="E423" s="16"/>
      <c r="F423" s="15">
        <f>IF(A431=A432,_xll.ciqfunctions.udf.CIQ(A423,"IQ_DILUT_EPS_EXCL",IQ_FY-10), _xll.ciqfunctions.udf.CIQ(A423, "IQ_DILUT_EPS_EXCL",IQ_FY-9))</f>
        <v>-0.62221000000000004</v>
      </c>
      <c r="G423" s="15">
        <f>IF(A431=A432,_xll.ciqfunctions.udf.CIQ(A423,"IQ_EBITDA_MARGIN",IQ_FY-10), _xll.ciqfunctions.udf.CIQ(A423, "IQ_EBITDA_MARGIN",IQ_FY-9))</f>
        <v>-6.5179999999999998</v>
      </c>
      <c r="H423" s="15">
        <f>IF(A431=A432,_xll.ciqfunctions.udf.CIQ(A423,"IQ_TOTAL_DIV_PAID_CF",IQ_FY-10)/-I423, _xll.ciqfunctions.udf.CIQ(A423, "IQ_TOTAL_DIV_PAID_CF",IQ_FY-9)/-I423)</f>
        <v>0</v>
      </c>
      <c r="I423" s="17">
        <f>IF(A431=A432,_xll.ciqfunctions.udf.CIQ(A423,"IQ_TOTAL_OUTSTANDING_FILING_DATE",IQ_FY-10), _xll.ciqfunctions.udf.CIQ(A423, "IQ_TOTAL_OUTSTANDING_FILING_DATE",IQ_FY-9))</f>
        <v>42.23686</v>
      </c>
      <c r="J423" s="17">
        <f>IF(A431=A432,_xll.ciqfunctions.udf.CIQ(A423,"IQ_CASH_OPER",IQ_FY-10), _xll.ciqfunctions.udf.CIQ(A423, "IQ_CASH_OPER",IQ_FY-9))</f>
        <v>-0.872</v>
      </c>
      <c r="K423" s="17">
        <f>IF(A431=A432,_xll.ciqfunctions.udf.CIQ(A423,"IQ_CAPEX",IQ_FY-10), _xll.ciqfunctions.udf.CIQ(A423, "IQ_CAPEX",IQ_FY-9))</f>
        <v>-6.2569999999999997</v>
      </c>
      <c r="L423" s="15">
        <f t="shared" ref="L423:L433" si="112">(J423+K423)/I423</f>
        <v>-0.16878622132421775</v>
      </c>
      <c r="M423" s="17">
        <f>IF(A431=A432,_xll.ciqfunctions.udf.CIQ(A423,"IQ_TOTAL_DEBT_ISSUED",IQ_FY-10), _xll.ciqfunctions.udf.CIQ(A423, "IQ_TOTAL_DEBT_ISSUED",IQ_FY-9))</f>
        <v>0</v>
      </c>
      <c r="N423" s="17">
        <f>IF(A431=A432,_xll.ciqfunctions.udf.CIQ(A423,"IQ_TOTAL_DEBT_REPAID",IQ_FY-10), _xll.ciqfunctions.udf.CIQ(A423, "IQ_TOTAL_DEBT_REPAID",IQ_FY-9))</f>
        <v>-2.4870000000000001</v>
      </c>
      <c r="O423" s="15">
        <f t="shared" ref="O423:O433" si="113">(M423+N423)/I423</f>
        <v>-5.8882218043670866E-2</v>
      </c>
      <c r="P423" s="15">
        <f t="shared" ref="P423:P433" si="114">L423+O423</f>
        <v>-0.22766843936788861</v>
      </c>
      <c r="W423" s="43"/>
      <c r="AA423" s="43"/>
    </row>
    <row r="424" spans="1:27">
      <c r="A424" s="18" t="str">
        <f>_xll.ciqfunctions.udf.CIQ(A423,"IQ_COMPANY_NAME")</f>
        <v>Enphase Energy, Inc.</v>
      </c>
      <c r="B424" s="13">
        <v>2</v>
      </c>
      <c r="C424" s="14" t="s">
        <v>17</v>
      </c>
      <c r="D424" s="15">
        <f>IF(A431=A432,_xll.ciqfunctions.udf.CIQ(A423,"IQ_TOTAL_REV",IQ_FY-9)/I424, _xll.ciqfunctions.udf.CIQ(A423, "IQ_TOTAL_REV",IQ_FY-8)/I424)</f>
        <v>7.8311764640247139</v>
      </c>
      <c r="E424" s="16">
        <f t="shared" ref="E424:E433" si="115">(D424-D423)/D423</f>
        <v>0.42052817719139196</v>
      </c>
      <c r="F424" s="15">
        <f>IF(A431=A432,_xll.ciqfunctions.udf.CIQ(A423,"IQ_DILUT_EPS_EXCL",IQ_FY-9), _xll.ciqfunctions.udf.CIQ(A423, "IQ_DILUT_EPS_EXCL",IQ_FY-8))</f>
        <v>-0.18768000000000001</v>
      </c>
      <c r="G424" s="15">
        <f>IF(A431=A432,_xll.ciqfunctions.udf.CIQ(A423,"IQ_EBITDA_MARGIN",IQ_FY-9), _xll.ciqfunctions.udf.CIQ(A423, "IQ_EBITDA_MARGIN",IQ_FY-8))</f>
        <v>1.1135999999999999</v>
      </c>
      <c r="H424" s="15">
        <f>IF(A431=A432,_xll.ciqfunctions.udf.CIQ(A423,"IQ_TOTAL_DIV_PAID_CF",IQ_FY-9)/-I424, _xll.ciqfunctions.udf.CIQ(A423, "IQ_TOTAL_DIV_PAID_CF",IQ_FY-8)/-I424)</f>
        <v>0</v>
      </c>
      <c r="I424" s="17">
        <f>IF(A431=A432,_xll.ciqfunctions.udf.CIQ(A423,"IQ_TOTAL_OUTSTANDING_FILING_DATE",IQ_FY-9), _xll.ciqfunctions.udf.CIQ(A423, "IQ_TOTAL_OUTSTANDING_FILING_DATE",IQ_FY-8))</f>
        <v>43.914729999999999</v>
      </c>
      <c r="J424" s="17">
        <f>IF(A431=A432,_xll.ciqfunctions.udf.CIQ(A423,"IQ_CASH_OPER",IQ_FY-9), _xll.ciqfunctions.udf.CIQ(A423, "IQ_CASH_OPER",IQ_FY-8))</f>
        <v>24.222000000000001</v>
      </c>
      <c r="K424" s="17">
        <f>IF(A431=A432,_xll.ciqfunctions.udf.CIQ(A423,"IQ_CAPEX",IQ_FY-9), _xll.ciqfunctions.udf.CIQ(A423, "IQ_CAPEX",IQ_FY-8))</f>
        <v>-13.249000000000001</v>
      </c>
      <c r="L424" s="15">
        <f t="shared" si="112"/>
        <v>0.24987060150432444</v>
      </c>
      <c r="M424" s="17">
        <f>IF(A431=A432,_xll.ciqfunctions.udf.CIQ(A423,"IQ_TOTAL_DEBT_ISSUED",IQ_FY-9), _xll.ciqfunctions.udf.CIQ(A423, "IQ_TOTAL_DEBT_ISSUED",IQ_FY-8))</f>
        <v>0</v>
      </c>
      <c r="N424" s="17">
        <f>IF(A431=A432,_xll.ciqfunctions.udf.CIQ(A423,"IQ_TOTAL_DEBT_REPAID",IQ_FY-9), _xll.ciqfunctions.udf.CIQ(A423, "IQ_TOTAL_DEBT_REPAID",IQ_FY-8))</f>
        <v>-8.7080000000000002</v>
      </c>
      <c r="O424" s="15">
        <f t="shared" si="113"/>
        <v>-0.19829337445545037</v>
      </c>
      <c r="P424" s="15">
        <f t="shared" si="114"/>
        <v>5.1577227048874075E-2</v>
      </c>
      <c r="Q424" s="25" t="s">
        <v>18</v>
      </c>
      <c r="R424" s="39" t="s">
        <v>19</v>
      </c>
      <c r="S424" s="1">
        <f>R422/((AVERAGE(P428:P433))*(1+E434)^3)</f>
        <v>7.2123816655638189</v>
      </c>
      <c r="U424" s="25" t="s">
        <v>48</v>
      </c>
      <c r="V424" s="39" t="s">
        <v>19</v>
      </c>
      <c r="W424" s="1">
        <f>V422/((AVERAGE(P428:P433))*(1+E434)^3)</f>
        <v>7.2123816655638189</v>
      </c>
      <c r="Y424" s="25" t="s">
        <v>39</v>
      </c>
      <c r="Z424" s="39" t="s">
        <v>19</v>
      </c>
      <c r="AA424" s="1">
        <f>Z422/((AVERAGE(P428:P433))*(1+E434)^3)</f>
        <v>7.2123816655638189</v>
      </c>
    </row>
    <row r="425" spans="1:27">
      <c r="B425" s="13">
        <v>3</v>
      </c>
      <c r="C425" s="14" t="s">
        <v>20</v>
      </c>
      <c r="D425" s="15" cm="1">
        <f t="array" ref="D425">_xlfn.SINGLE(IF(A431=A432,_xll.ciqfunctions.udf.CIQ(A423,"IQ_TOTAL_REV",IQ_FY-8)/I425, _xll.ciqfunctions.udf.CIQ(A423, "IQ_TOTAL_REV",IQ_FY-7)/I425))</f>
        <v>7.7053766316679475</v>
      </c>
      <c r="E425" s="16">
        <f t="shared" si="115"/>
        <v>-1.6063976202639864E-2</v>
      </c>
      <c r="F425" s="15">
        <f>IF(A431=A432,_xll.ciqfunctions.udf.CIQ(A423,"IQ_DILUT_EPS_EXCL",IQ_FY-8), _xll.ciqfunctions.udf.CIQ(A423, "IQ_DILUT_EPS_EXCL",IQ_FY-7))</f>
        <v>-0.49475999999999998</v>
      </c>
      <c r="G425" s="15">
        <f>IF(A431=A432,_xll.ciqfunctions.udf.CIQ(A423,"IQ_EBITDA_MARGIN",IQ_FY-8), _xll.ciqfunctions.udf.CIQ(A423, "IQ_EBITDA_MARGIN",IQ_FY-7))</f>
        <v>-2.9662000000000002</v>
      </c>
      <c r="H425" s="15">
        <f>IF(A431=A432,_xll.ciqfunctions.udf.CIQ(A423,"IQ_TOTAL_DIV_PAID_CF",IQ_FY-8)/-I425, _xll.ciqfunctions.udf.CIQ(A423, "IQ_TOTAL_DIV_PAID_CF",IQ_FY-7)/-I425)</f>
        <v>0</v>
      </c>
      <c r="I425" s="17">
        <f>IF(A431=A432,_xll.ciqfunctions.udf.CIQ(A423,"IQ_TOTAL_OUTSTANDING_FILING_DATE",IQ_FY-8), _xll.ciqfunctions.udf.CIQ(A423, "IQ_TOTAL_OUTSTANDING_FILING_DATE",IQ_FY-7))</f>
        <v>46.363599999999998</v>
      </c>
      <c r="J425" s="17">
        <f>IF(A431=A432,_xll.ciqfunctions.udf.CIQ(A423,"IQ_CASH_OPER",IQ_FY-8), _xll.ciqfunctions.udf.CIQ(A423, "IQ_CASH_OPER",IQ_FY-7))</f>
        <v>-21.16</v>
      </c>
      <c r="K425" s="17">
        <f>IF(A431=A432,_xll.ciqfunctions.udf.CIQ(A423,"IQ_CAPEX",IQ_FY-8), _xll.ciqfunctions.udf.CIQ(A423, "IQ_CAPEX",IQ_FY-7))</f>
        <v>-12.525</v>
      </c>
      <c r="L425" s="15">
        <f t="shared" si="112"/>
        <v>-0.72653978552140053</v>
      </c>
      <c r="M425" s="17">
        <f>IF(A431=A432,_xll.ciqfunctions.udf.CIQ(A423,"IQ_TOTAL_DEBT_ISSUED",IQ_FY-8), _xll.ciqfunctions.udf.CIQ(A423, "IQ_TOTAL_DEBT_ISSUED",IQ_FY-7))</f>
        <v>46</v>
      </c>
      <c r="N425" s="17">
        <f>IF(A431=A432,_xll.ciqfunctions.udf.CIQ(A423,"IQ_TOTAL_DEBT_REPAID",IQ_FY-8), _xll.ciqfunctions.udf.CIQ(A423, "IQ_TOTAL_DEBT_REPAID",IQ_FY-7))</f>
        <v>-29.15</v>
      </c>
      <c r="O425" s="15">
        <f t="shared" si="113"/>
        <v>0.36343165759345697</v>
      </c>
      <c r="P425" s="15">
        <f t="shared" si="114"/>
        <v>-0.36310812792794356</v>
      </c>
      <c r="Q425" s="25" t="s">
        <v>21</v>
      </c>
      <c r="R425" s="38" t="s">
        <v>49</v>
      </c>
      <c r="S425" s="2">
        <f>(R422*I433)/1000</f>
        <v>13.4374179646</v>
      </c>
      <c r="U425" s="25" t="s">
        <v>59</v>
      </c>
      <c r="V425" s="38" t="s">
        <v>49</v>
      </c>
      <c r="W425" s="2">
        <f>(V422*I433)/1000</f>
        <v>13.4374179646</v>
      </c>
      <c r="Y425" s="25" t="s">
        <v>46</v>
      </c>
      <c r="Z425" s="38" t="s">
        <v>49</v>
      </c>
      <c r="AA425" s="2">
        <f>(Z422*I433)/1000</f>
        <v>13.4374179646</v>
      </c>
    </row>
    <row r="426" spans="1:27">
      <c r="A426" s="18"/>
      <c r="B426" s="13">
        <v>4</v>
      </c>
      <c r="C426" s="14" t="s">
        <v>22</v>
      </c>
      <c r="D426" s="15" cm="1">
        <f t="array" ref="D426">_xlfn.SINGLE(IF(A431=A432,_xll.ciqfunctions.udf.CIQ(A423,"IQ_TOTAL_REV",IQ_FY-7)/I426, _xll.ciqfunctions.udf.CIQ(A423, "IQ_TOTAL_REV",IQ_FY-6)/I426))</f>
        <v>3.9089951808718055</v>
      </c>
      <c r="E426" s="16">
        <f t="shared" si="115"/>
        <v>-0.49269252267223135</v>
      </c>
      <c r="F426" s="15">
        <f>IF(A431=A432,_xll.ciqfunctions.udf.CIQ(A423,"IQ_DILUT_EPS_EXCL",IQ_FY-7), _xll.ciqfunctions.udf.CIQ(A423, "IQ_DILUT_EPS_EXCL",IQ_FY-6))</f>
        <v>-1.33538</v>
      </c>
      <c r="G426" s="15">
        <f>IF(A431=A432,_xll.ciqfunctions.udf.CIQ(A423,"IQ_EBITDA_MARGIN",IQ_FY-7), _xll.ciqfunctions.udf.CIQ(A423, "IQ_EBITDA_MARGIN",IQ_FY-6))</f>
        <v>-14.9678</v>
      </c>
      <c r="H426" s="15">
        <f>IF(A431=A432,_xll.ciqfunctions.udf.CIQ(A423,"IQ_TOTAL_DIV_PAID_CF",IQ_FY-7)/-I426, _xll.ciqfunctions.udf.CIQ(A423, "IQ_TOTAL_DIV_PAID_CF",IQ_FY-6)/-I426)</f>
        <v>0</v>
      </c>
      <c r="I426" s="17">
        <f>IF(A431=A432,_xll.ciqfunctions.udf.CIQ(A423,"IQ_TOTAL_OUTSTANDING_FILING_DATE",IQ_FY-7), _xll.ciqfunctions.udf.CIQ(A423, "IQ_TOTAL_OUTSTANDING_FILING_DATE",IQ_FY-6))</f>
        <v>82.525300000000001</v>
      </c>
      <c r="J426" s="17">
        <f>IF(A431=A432,_xll.ciqfunctions.udf.CIQ(A423,"IQ_CASH_OPER",IQ_FY-7), _xll.ciqfunctions.udf.CIQ(A423, "IQ_CASH_OPER",IQ_FY-6))</f>
        <v>-32.953000000000003</v>
      </c>
      <c r="K426" s="17">
        <f>IF(A431=A432,_xll.ciqfunctions.udf.CIQ(A423,"IQ_CAPEX",IQ_FY-7), _xll.ciqfunctions.udf.CIQ(A423, "IQ_CAPEX",IQ_FY-6))</f>
        <v>-12.167</v>
      </c>
      <c r="L426" s="15">
        <f t="shared" si="112"/>
        <v>-0.54674142353920563</v>
      </c>
      <c r="M426" s="17">
        <f>IF(A431=A432,_xll.ciqfunctions.udf.CIQ(A423,"IQ_TOTAL_DEBT_ISSUED",IQ_FY-7), _xll.ciqfunctions.udf.CIQ(A423, "IQ_TOTAL_DEBT_ISSUED",IQ_FY-6))</f>
        <v>33.988999999999997</v>
      </c>
      <c r="N426" s="17">
        <f>IF(A431=A432,_xll.ciqfunctions.udf.CIQ(A423,"IQ_TOTAL_DEBT_REPAID",IQ_FY-7), _xll.ciqfunctions.udf.CIQ(A423, "IQ_TOTAL_DEBT_REPAID",IQ_FY-6))</f>
        <v>-16.899999999999999</v>
      </c>
      <c r="O426" s="15">
        <f t="shared" si="113"/>
        <v>0.20707589066625626</v>
      </c>
      <c r="P426" s="15">
        <f t="shared" si="114"/>
        <v>-0.33966553287294937</v>
      </c>
      <c r="Q426" s="25" t="s">
        <v>23</v>
      </c>
      <c r="R426" s="38" t="s">
        <v>24</v>
      </c>
      <c r="S426" s="1" t="e">
        <f>R422/(AVERAGE(H428:H433)*(1+H434)/(0.5-H434))</f>
        <v>#DIV/0!</v>
      </c>
      <c r="U426" s="25" t="s">
        <v>40</v>
      </c>
      <c r="V426" s="38" t="s">
        <v>24</v>
      </c>
      <c r="W426" s="1" t="e">
        <f>V422/(AVERAGE(H428:H433)*(1+H434)/(0.5-H434))</f>
        <v>#DIV/0!</v>
      </c>
      <c r="Y426" s="25" t="s">
        <v>47</v>
      </c>
      <c r="Z426" s="38" t="s">
        <v>24</v>
      </c>
      <c r="AA426" s="1" t="e">
        <f>Z422/(AVERAGE(H428:H433)*(1+H434)/(0.5-H434))</f>
        <v>#DIV/0!</v>
      </c>
    </row>
    <row r="427" spans="1:27">
      <c r="B427" s="13">
        <v>5</v>
      </c>
      <c r="C427" s="14" t="s">
        <v>25</v>
      </c>
      <c r="D427" s="15" cm="1">
        <f t="array" ref="D427">_xlfn.SINGLE(IF(A431=A432,_xll.ciqfunctions.udf.CIQ(A423,"IQ_TOTAL_REV",IQ_FY-6)/I427, _xll.ciqfunctions.udf.CIQ(A423, "IQ_TOTAL_REV",IQ_FY-5)/I427))</f>
        <v>2.9862072383953748</v>
      </c>
      <c r="E427" s="16">
        <f t="shared" si="115"/>
        <v>-0.23606781276988564</v>
      </c>
      <c r="F427" s="15">
        <f>IF(A431=A432,_xll.ciqfunctions.udf.CIQ(A423,"IQ_DILUT_EPS_EXCL",IQ_FY-6), _xll.ciqfunctions.udf.CIQ(A423, "IQ_DILUT_EPS_EXCL",IQ_FY-5))</f>
        <v>-0.54488000000000003</v>
      </c>
      <c r="G427" s="15">
        <f>IF(A431=A432,_xll.ciqfunctions.udf.CIQ(A423,"IQ_EBITDA_MARGIN",IQ_FY-6), _xll.ciqfunctions.udf.CIQ(A423, "IQ_EBITDA_MARGIN",IQ_FY-5))</f>
        <v>-4.7024999999999997</v>
      </c>
      <c r="H427" s="15">
        <f>IF(A431=A432,_xll.ciqfunctions.udf.CIQ(A423,"IQ_TOTAL_DIV_PAID_CF",IQ_FY-6)/-I427, _xll.ciqfunctions.udf.CIQ(A423, "IQ_TOTAL_DIV_PAID_CF",IQ_FY-5)/-I427)</f>
        <v>0</v>
      </c>
      <c r="I427" s="17">
        <f>IF(A431=A432,_xll.ciqfunctions.udf.CIQ(A423,"IQ_TOTAL_OUTSTANDING_FILING_DATE",IQ_FY-6), _xll.ciqfunctions.udf.CIQ(A423, "IQ_TOTAL_OUTSTANDING_FILING_DATE",IQ_FY-5))</f>
        <v>95.829250000000002</v>
      </c>
      <c r="J427" s="17">
        <f>IF(A431=A432,_xll.ciqfunctions.udf.CIQ(A423,"IQ_CASH_OPER",IQ_FY-6), _xll.ciqfunctions.udf.CIQ(A423, "IQ_CASH_OPER",IQ_FY-5))</f>
        <v>-28.442</v>
      </c>
      <c r="K427" s="17">
        <f>IF(A431=A432,_xll.ciqfunctions.udf.CIQ(A423,"IQ_CAPEX",IQ_FY-6), _xll.ciqfunctions.udf.CIQ(A423, "IQ_CAPEX",IQ_FY-5))</f>
        <v>-4.1210000000000004</v>
      </c>
      <c r="L427" s="15">
        <f t="shared" si="112"/>
        <v>-0.33980230461993599</v>
      </c>
      <c r="M427" s="17">
        <f>IF(A431=A432,_xll.ciqfunctions.udf.CIQ(A423,"IQ_TOTAL_DEBT_ISSUED",IQ_FY-6), _xll.ciqfunctions.udf.CIQ(A423, "IQ_TOTAL_DEBT_ISSUED",IQ_FY-5))</f>
        <v>26.442</v>
      </c>
      <c r="N427" s="17">
        <f>IF(A431=A432,_xll.ciqfunctions.udf.CIQ(A423,"IQ_TOTAL_DEBT_REPAID",IQ_FY-6), _xll.ciqfunctions.udf.CIQ(A423, "IQ_TOTAL_DEBT_REPAID",IQ_FY-5))</f>
        <v>-10.1</v>
      </c>
      <c r="O427" s="15">
        <f t="shared" si="113"/>
        <v>0.17053248355799505</v>
      </c>
      <c r="P427" s="15">
        <f t="shared" si="114"/>
        <v>-0.16926982106194094</v>
      </c>
      <c r="Q427" s="18"/>
      <c r="R427" s="38" t="s">
        <v>50</v>
      </c>
      <c r="S427" s="3">
        <f>I434</f>
        <v>4.6379681417665353E-2</v>
      </c>
      <c r="U427" s="18"/>
      <c r="V427" s="38" t="s">
        <v>50</v>
      </c>
      <c r="W427" s="3">
        <f>I434</f>
        <v>4.6379681417665353E-2</v>
      </c>
      <c r="Y427" s="18"/>
      <c r="Z427" s="38" t="s">
        <v>50</v>
      </c>
      <c r="AA427" s="3">
        <f>I434</f>
        <v>4.6379681417665353E-2</v>
      </c>
    </row>
    <row r="428" spans="1:27">
      <c r="B428" s="13">
        <v>6</v>
      </c>
      <c r="C428" s="14" t="s">
        <v>26</v>
      </c>
      <c r="D428" s="15" cm="1">
        <f t="array" ref="D428">_xlfn.SINGLE(IF(A431=A432,_xll.ciqfunctions.udf.CIQ(A423,"IQ_TOTAL_REV",IQ_FY-5)/I428, _xll.ciqfunctions.udf.CIQ(A423, "IQ_TOTAL_REV",IQ_FY-4)/I428))</f>
        <v>2.913381545822137</v>
      </c>
      <c r="E428" s="16">
        <f t="shared" si="115"/>
        <v>-2.4387353843656995E-2</v>
      </c>
      <c r="F428" s="15">
        <f>IF(A431=A432,_xll.ciqfunctions.udf.CIQ(A423,"IQ_DILUT_EPS_EXCL",IQ_FY-5), _xll.ciqfunctions.udf.CIQ(A423, "IQ_DILUT_EPS_EXCL",IQ_FY-4))</f>
        <v>-0.12</v>
      </c>
      <c r="G428" s="15">
        <f>IF(A431=A432,_xll.ciqfunctions.udf.CIQ(A423,"IQ_EBITDA_MARGIN",IQ_FY-5), _xll.ciqfunctions.udf.CIQ(A423, "IQ_EBITDA_MARGIN",IQ_FY-4))</f>
        <v>5.1214000000000004</v>
      </c>
      <c r="H428" s="15">
        <f>IF(A431=A432,_xll.ciqfunctions.udf.CIQ(A423,"IQ_TOTAL_DIV_PAID_CF",IQ_FY-5)/-I428, _xll.ciqfunctions.udf.CIQ(A423, "IQ_TOTAL_DIV_PAID_CF",IQ_FY-4)/-I428)</f>
        <v>0</v>
      </c>
      <c r="I428" s="17">
        <f>IF(A431=A432,_xll.ciqfunctions.udf.CIQ(A423,"IQ_TOTAL_OUTSTANDING_FILING_DATE",IQ_FY-5), _xll.ciqfunctions.udf.CIQ(A423, "IQ_TOTAL_OUTSTANDING_FILING_DATE",IQ_FY-4))</f>
        <v>108.5196</v>
      </c>
      <c r="J428" s="17">
        <f>IF(A431=A432,_xll.ciqfunctions.udf.CIQ(A423,"IQ_CASH_OPER",IQ_FY-5), _xll.ciqfunctions.udf.CIQ(A423, "IQ_CASH_OPER",IQ_FY-4))</f>
        <v>16.132000000000001</v>
      </c>
      <c r="K428" s="17">
        <f>IF(A431=A432,_xll.ciqfunctions.udf.CIQ(A423,"IQ_CAPEX",IQ_FY-5), _xll.ciqfunctions.udf.CIQ(A423, "IQ_CAPEX",IQ_FY-4))</f>
        <v>-4.1509999999999998</v>
      </c>
      <c r="L428" s="15">
        <f t="shared" si="112"/>
        <v>0.11040401918178838</v>
      </c>
      <c r="M428" s="17">
        <f>IF(A431=A432,_xll.ciqfunctions.udf.CIQ(A423,"IQ_TOTAL_DEBT_ISSUED",IQ_FY-5), _xll.ciqfunctions.udf.CIQ(A423, "IQ_TOTAL_DEBT_ISSUED",IQ_FY-4))</f>
        <v>68.024000000000001</v>
      </c>
      <c r="N428" s="17">
        <f>IF(A431=A432,_xll.ciqfunctions.udf.CIQ(A423,"IQ_TOTAL_DEBT_REPAID",IQ_FY-5), _xll.ciqfunctions.udf.CIQ(A423, "IQ_TOTAL_DEBT_REPAID",IQ_FY-4))</f>
        <v>-9.9760000000000009</v>
      </c>
      <c r="O428" s="15">
        <f t="shared" si="113"/>
        <v>0.53490797975665227</v>
      </c>
      <c r="P428" s="15">
        <f t="shared" si="114"/>
        <v>0.6453119989384406</v>
      </c>
      <c r="Q428" s="25" t="s">
        <v>27</v>
      </c>
      <c r="R428" s="38" t="s">
        <v>51</v>
      </c>
      <c r="S428" s="4">
        <f>AVERAGE(F428:F433)/AVERAGE(D428:D433)</f>
        <v>0.16025099475957699</v>
      </c>
      <c r="U428" s="25" t="s">
        <v>58</v>
      </c>
      <c r="V428" s="38" t="s">
        <v>51</v>
      </c>
      <c r="W428" s="4">
        <f>AVERAGE(F428:F433)/AVERAGE(D428:D433)</f>
        <v>0.16025099475957699</v>
      </c>
      <c r="Y428" s="25" t="s">
        <v>56</v>
      </c>
      <c r="Z428" s="38" t="s">
        <v>51</v>
      </c>
      <c r="AA428" s="4">
        <f>AVERAGE(F428:F433)/AVERAGE(D428:D433)</f>
        <v>0.16025099475957699</v>
      </c>
    </row>
    <row r="429" spans="1:27">
      <c r="A429" s="18"/>
      <c r="B429" s="13">
        <v>7</v>
      </c>
      <c r="C429" s="14" t="s">
        <v>28</v>
      </c>
      <c r="D429" s="15" cm="1">
        <f t="array" ref="D429">_xlfn.SINGLE(IF(A431=A432,_xll.ciqfunctions.udf.CIQ(A423,"IQ_TOTAL_REV",IQ_FY-4)/I429, _xll.ciqfunctions.udf.CIQ(A423, "IQ_TOTAL_REV",IQ_FY-3)/I429))</f>
        <v>5.0684908264190875</v>
      </c>
      <c r="E429" s="16">
        <f t="shared" si="115"/>
        <v>0.73972778597689404</v>
      </c>
      <c r="F429" s="15">
        <f>IF(A431=A432,_xll.ciqfunctions.udf.CIQ(A423,"IQ_DILUT_EPS_EXCL",IQ_FY-4), _xll.ciqfunctions.udf.CIQ(A423, "IQ_DILUT_EPS_EXCL",IQ_FY-3))</f>
        <v>1.23238</v>
      </c>
      <c r="G429" s="15">
        <f>IF(A431=A432,_xll.ciqfunctions.udf.CIQ(A423,"IQ_EBITDA_MARGIN",IQ_FY-4), _xll.ciqfunctions.udf.CIQ(A423, "IQ_EBITDA_MARGIN",IQ_FY-3))</f>
        <v>19.131900000000002</v>
      </c>
      <c r="H429" s="15">
        <f>IF(A431=A432,_xll.ciqfunctions.udf.CIQ(A423,"IQ_TOTAL_DIV_PAID_CF",IQ_FY-4)/-I429, _xll.ciqfunctions.udf.CIQ(A423, "IQ_TOTAL_DIV_PAID_CF",IQ_FY-3)/-I429)</f>
        <v>0</v>
      </c>
      <c r="I429" s="17">
        <f>IF(A431=A432,_xll.ciqfunctions.udf.CIQ(A423,"IQ_TOTAL_OUTSTANDING_FILING_DATE",IQ_FY-4), _xll.ciqfunctions.udf.CIQ(A423, "IQ_TOTAL_OUTSTANDING_FILING_DATE",IQ_FY-3))</f>
        <v>123.17927</v>
      </c>
      <c r="J429" s="17">
        <f>IF(A431=A432,_xll.ciqfunctions.udf.CIQ(A423,"IQ_CASH_OPER",IQ_FY-4), _xll.ciqfunctions.udf.CIQ(A423, "IQ_CASH_OPER",IQ_FY-3))</f>
        <v>139.06700000000001</v>
      </c>
      <c r="K429" s="17">
        <f>IF(A431=A432,_xll.ciqfunctions.udf.CIQ(A423,"IQ_CAPEX",IQ_FY-4), _xll.ciqfunctions.udf.CIQ(A423, "IQ_CAPEX",IQ_FY-3))</f>
        <v>-14.788</v>
      </c>
      <c r="L429" s="15">
        <f t="shared" si="112"/>
        <v>1.00892788210224</v>
      </c>
      <c r="M429" s="17">
        <f>IF(A431=A432,_xll.ciqfunctions.udf.CIQ(A423,"IQ_TOTAL_DEBT_ISSUED",IQ_FY-4), _xll.ciqfunctions.udf.CIQ(A423, "IQ_TOTAL_DEBT_ISSUED",IQ_FY-3))</f>
        <v>127.413</v>
      </c>
      <c r="N429" s="17">
        <f>IF(A431=A432,_xll.ciqfunctions.udf.CIQ(A423,"IQ_TOTAL_DEBT_REPAID",IQ_FY-4), _xll.ciqfunctions.udf.CIQ(A423, "IQ_TOTAL_DEBT_REPAID",IQ_FY-3))</f>
        <v>-45.854999999999997</v>
      </c>
      <c r="O429" s="15">
        <f t="shared" si="113"/>
        <v>0.66210816154374019</v>
      </c>
      <c r="P429" s="15">
        <f t="shared" si="114"/>
        <v>1.6710360436459801</v>
      </c>
      <c r="Q429" s="18"/>
      <c r="R429" s="38" t="s">
        <v>29</v>
      </c>
      <c r="S429" s="4">
        <f>(AVERAGE(P428:P433)/_xlfn.STDEV.P(P428:P433))/(IF(A431=A432,(_xlfn.SINGLE(_xll.ciqfunctions.udf.CIQ(A423,"IQ_total_assets",IQ_FY)) - _xlfn.SINGLE(_xll.ciqfunctions.udf.CIQ(A423,"iq_gw_intan", IQ_FY)))/I433, (_xlfn.SINGLE(_xll.ciqfunctions.udf.CIQ(A423, "IQ_total_assets",IQ_LTM))-_xlfn.SINGLE(_xll.ciqfunctions.udf.CIQ(A423,"iq_gw_intan",IQ_LTM)))/I433))</f>
        <v>6.5400321773597586E-2</v>
      </c>
      <c r="U429" s="18"/>
      <c r="V429" s="38" t="s">
        <v>29</v>
      </c>
      <c r="W429" s="4">
        <f>(AVERAGE(P428:P433)/_xlfn.STDEV.P(P428:P433))/(IF(A431=A432,(_xlfn.SINGLE(_xll.ciqfunctions.udf.CIQ(A423,"IQ_total_assets",IQ_FY)) - _xlfn.SINGLE(_xll.ciqfunctions.udf.CIQ(A423,"iq_gw_intan", IQ_FY)))/I433, (_xlfn.SINGLE(_xll.ciqfunctions.udf.CIQ(A423, "IQ_total_assets",IQ_LTM))-_xlfn.SINGLE(_xll.ciqfunctions.udf.CIQ(A423,"iq_gw_intan",IQ_LTM)))/I433))</f>
        <v>6.5400321773597586E-2</v>
      </c>
      <c r="Y429" s="18"/>
      <c r="Z429" s="38" t="s">
        <v>29</v>
      </c>
      <c r="AA429" s="4">
        <f>(AVERAGE(P428:P433)/_xlfn.STDEV.P(P428:P433))/(IF(A431=A432,(_xlfn.SINGLE(_xll.ciqfunctions.udf.CIQ(A423,"IQ_total_assets",IQ_FY)) - _xlfn.SINGLE(_xll.ciqfunctions.udf.CIQ(A423,"iq_gw_intan", IQ_FY)))/I433, (_xlfn.SINGLE(_xll.ciqfunctions.udf.CIQ(A423, "IQ_total_assets",IQ_LTM))-_xlfn.SINGLE(_xll.ciqfunctions.udf.CIQ(A423,"iq_gw_intan",IQ_LTM)))/I433))</f>
        <v>6.5400321773597586E-2</v>
      </c>
    </row>
    <row r="430" spans="1:27">
      <c r="A430" s="18"/>
      <c r="B430" s="13">
        <v>8</v>
      </c>
      <c r="C430" s="14" t="s">
        <v>30</v>
      </c>
      <c r="D430" s="15" cm="1">
        <f t="array" ref="D430">_xlfn.SINGLE(IF(A431=A432,_xll.ciqfunctions.udf.CIQ(A423,"IQ_TOTAL_REV",IQ_FY-3)/I430, _xll.ciqfunctions.udf.CIQ(A423, "IQ_TOTAL_REV",IQ_FY-2)/I430))</f>
        <v>6.002303030406372</v>
      </c>
      <c r="E430" s="16">
        <f t="shared" si="115"/>
        <v>0.18423870851652052</v>
      </c>
      <c r="F430" s="15">
        <f>IF(A431=A432,_xll.ciqfunctions.udf.CIQ(A423,"IQ_DILUT_EPS_EXCL",IQ_FY-3), _xll.ciqfunctions.udf.CIQ(A423, "IQ_DILUT_EPS_EXCL",IQ_FY-2))</f>
        <v>0.94542000000000004</v>
      </c>
      <c r="G430" s="15">
        <f>IF(A431=A432,_xll.ciqfunctions.udf.CIQ(A423,"IQ_EBITDA_MARGIN",IQ_FY-3), _xll.ciqfunctions.udf.CIQ(A423, "IQ_EBITDA_MARGIN",IQ_FY-2))</f>
        <v>26.412099999999999</v>
      </c>
      <c r="H430" s="15">
        <f>IF(A431=A432,_xll.ciqfunctions.udf.CIQ(A423,"IQ_TOTAL_DIV_PAID_CF",IQ_FY-3)/-I430, _xll.ciqfunctions.udf.CIQ(A423, "IQ_TOTAL_DIV_PAID_CF",IQ_FY-2)/-I430)</f>
        <v>0</v>
      </c>
      <c r="I430" s="17">
        <f>IF(A431=A432,_xll.ciqfunctions.udf.CIQ(A423,"IQ_TOTAL_OUTSTANDING_FILING_DATE",IQ_FY-3), _xll.ciqfunctions.udf.CIQ(A423, "IQ_TOTAL_OUTSTANDING_FILING_DATE",IQ_FY-2))</f>
        <v>129.02131</v>
      </c>
      <c r="J430" s="17">
        <f>IF(A431=A432,_xll.ciqfunctions.udf.CIQ(A423,"IQ_CASH_OPER",IQ_FY-3), _xll.ciqfunctions.udf.CIQ(A423, "IQ_CASH_OPER",IQ_FY-2))</f>
        <v>216.334</v>
      </c>
      <c r="K430" s="17">
        <f>IF(A431=A432,_xll.ciqfunctions.udf.CIQ(A423,"IQ_CAPEX",IQ_FY-3), _xll.ciqfunctions.udf.CIQ(A423, "IQ_CAPEX",IQ_FY-2))</f>
        <v>-20.558</v>
      </c>
      <c r="L430" s="15">
        <f t="shared" si="112"/>
        <v>1.5173927469810995</v>
      </c>
      <c r="M430" s="17">
        <f>IF(A431=A432,_xll.ciqfunctions.udf.CIQ(A423,"IQ_TOTAL_DEBT_ISSUED",IQ_FY-3), _xll.ciqfunctions.udf.CIQ(A423, "IQ_TOTAL_DEBT_ISSUED",IQ_FY-2))</f>
        <v>312.42</v>
      </c>
      <c r="N430" s="17">
        <f>IF(A431=A432,_xll.ciqfunctions.udf.CIQ(A423,"IQ_TOTAL_DEBT_REPAID",IQ_FY-3), _xll.ciqfunctions.udf.CIQ(A423, "IQ_TOTAL_DEBT_REPAID",IQ_FY-2))</f>
        <v>-43.302999999999997</v>
      </c>
      <c r="O430" s="15">
        <f t="shared" si="113"/>
        <v>2.0858337277772176</v>
      </c>
      <c r="P430" s="15">
        <f t="shared" si="114"/>
        <v>3.6032264747583174</v>
      </c>
      <c r="Q430" s="18"/>
      <c r="R430" s="39" t="s">
        <v>31</v>
      </c>
      <c r="S430" s="5">
        <f>IF(NOT(D423&gt;0),FALSE,SLOPE(G423:G433,B423:B433))</f>
        <v>3.7172254545454551</v>
      </c>
      <c r="U430" s="18"/>
      <c r="V430" s="39" t="s">
        <v>31</v>
      </c>
      <c r="W430" s="5">
        <f>IF(NOT(D423&gt;0),FALSE,SLOPE(G423:G433,B423:B433))</f>
        <v>3.7172254545454551</v>
      </c>
      <c r="Y430" s="18"/>
      <c r="Z430" s="39" t="s">
        <v>31</v>
      </c>
      <c r="AA430" s="5" t="b">
        <f>IF(NOT(L423&gt;0),FALSE,SLOPE(O423:O433,J423:J433))</f>
        <v>0</v>
      </c>
    </row>
    <row r="431" spans="1:27">
      <c r="A431" s="19">
        <f>_xll.ciqfunctions.udf.CIQ(A423,"IQ_TOTAL_REV",IQ_FY)</f>
        <v>2330.8530000000001</v>
      </c>
      <c r="B431" s="13">
        <v>9</v>
      </c>
      <c r="C431" s="14" t="s">
        <v>32</v>
      </c>
      <c r="D431" s="15" cm="1">
        <f t="array" ref="D431">_xlfn.SINGLE(IF(A431=A432,_xll.ciqfunctions.udf.CIQ(A423,"IQ_TOTAL_REV",IQ_FY-2)/I431, _xll.ciqfunctions.udf.CIQ(A423, "IQ_TOTAL_REV",IQ_FY-1)/I431))</f>
        <v>10.318759982878333</v>
      </c>
      <c r="E431" s="16">
        <f t="shared" si="115"/>
        <v>0.7191334610408241</v>
      </c>
      <c r="F431" s="15">
        <f>IF(A431=A432,_xll.ciqfunctions.udf.CIQ(A423,"IQ_DILUT_EPS_EXCL",IQ_FY-2), _xll.ciqfunctions.udf.CIQ(A423, "IQ_DILUT_EPS_EXCL",IQ_FY-1))</f>
        <v>1.0192300000000001</v>
      </c>
      <c r="G431" s="15">
        <f>IF(A431=A432,_xll.ciqfunctions.udf.CIQ(A423,"IQ_EBITDA_MARGIN",IQ_FY-2), _xll.ciqfunctions.udf.CIQ(A423, "IQ_EBITDA_MARGIN",IQ_FY-1))</f>
        <v>17.936900000000001</v>
      </c>
      <c r="H431" s="15">
        <f>IF(A431=A432,_xll.ciqfunctions.udf.CIQ(A423,"IQ_TOTAL_DIV_PAID_CF",IQ_FY-2)/-I431, _xll.ciqfunctions.udf.CIQ(A423, "IQ_TOTAL_DIV_PAID_CF",IQ_FY-1)/-I431)</f>
        <v>0</v>
      </c>
      <c r="I431" s="17">
        <f>IF(A431=A432,_xll.ciqfunctions.udf.CIQ(A423,"IQ_TOTAL_OUTSTANDING_FILING_DATE",IQ_FY-2), _xll.ciqfunctions.udf.CIQ(A423, "IQ_TOTAL_OUTSTANDING_FILING_DATE",IQ_FY-1))</f>
        <v>133.93557000000001</v>
      </c>
      <c r="J431" s="17">
        <f>IF(A431=A432,_xll.ciqfunctions.udf.CIQ(A423,"IQ_CASH_OPER",IQ_FY-2), _xll.ciqfunctions.udf.CIQ(A423, "IQ_CASH_OPER",IQ_FY-1))</f>
        <v>352.02800000000002</v>
      </c>
      <c r="K431" s="17">
        <f>IF(A431=A432,_xll.ciqfunctions.udf.CIQ(A423,"IQ_CAPEX",IQ_FY-2), _xll.ciqfunctions.udf.CIQ(A423, "IQ_CAPEX",IQ_FY-1))</f>
        <v>-52.258000000000003</v>
      </c>
      <c r="L431" s="15">
        <f t="shared" si="112"/>
        <v>2.238165709079373</v>
      </c>
      <c r="M431" s="17">
        <f>IF(A431=A432,_xll.ciqfunctions.udf.CIQ(A423,"IQ_TOTAL_DEBT_ISSUED",IQ_FY-2), _xll.ciqfunctions.udf.CIQ(A423, "IQ_TOTAL_DEBT_ISSUED",IQ_FY-1))</f>
        <v>1188.4390000000001</v>
      </c>
      <c r="N431" s="17">
        <f>IF(A431=A432,_xll.ciqfunctions.udf.CIQ(A423,"IQ_TOTAL_DEBT_REPAID",IQ_FY-2), _xll.ciqfunctions.udf.CIQ(A423, "IQ_TOTAL_DEBT_REPAID",IQ_FY-1))</f>
        <v>-291.94099999999997</v>
      </c>
      <c r="O431" s="15">
        <f t="shared" si="113"/>
        <v>6.6935019576950321</v>
      </c>
      <c r="P431" s="15">
        <f t="shared" si="114"/>
        <v>8.9316676667744055</v>
      </c>
      <c r="Q431" s="25" t="s">
        <v>33</v>
      </c>
      <c r="R431" s="38" t="s">
        <v>52</v>
      </c>
      <c r="S431" s="4">
        <f>(AVERAGE(O428:O433)/AVERAGE(P428:P433))</f>
        <v>0.38510932022334882</v>
      </c>
      <c r="U431" s="25" t="s">
        <v>54</v>
      </c>
      <c r="V431" s="38" t="s">
        <v>52</v>
      </c>
      <c r="W431" s="4">
        <f>(AVERAGE(O428:O433)/AVERAGE(P428:P433))</f>
        <v>0.38510932022334882</v>
      </c>
      <c r="Y431" s="25" t="s">
        <v>60</v>
      </c>
      <c r="Z431" s="38" t="s">
        <v>52</v>
      </c>
      <c r="AA431" s="4">
        <f>(AVERAGE(O428:O433)/AVERAGE(P428:P433))</f>
        <v>0.38510932022334882</v>
      </c>
    </row>
    <row r="432" spans="1:27">
      <c r="A432" s="19">
        <f>_xll.ciqfunctions.udf.CIQ(A423,"IQ_TOTAL_REV",IQ_LTM)</f>
        <v>2712.8679999999999</v>
      </c>
      <c r="B432" s="13">
        <v>10</v>
      </c>
      <c r="C432" s="14" t="s">
        <v>34</v>
      </c>
      <c r="D432" s="15" cm="1">
        <f t="array" ref="D432">_xlfn.SINGLE(IF(A431=A432,_xll.ciqfunctions.udf.CIQ(A423,"IQ_TOTAL_REV",IQ_FY-1)/I432, _xll.ciqfunctions.udf.CIQ(A423, "IQ_TOTAL_REV",IQ_FY)/I432))</f>
        <v>17.076168912203617</v>
      </c>
      <c r="E432" s="16">
        <f t="shared" si="115"/>
        <v>0.65486637353109167</v>
      </c>
      <c r="F432" s="15">
        <f>IF(A431=A432,_xll.ciqfunctions.udf.CIQ(A423,"IQ_DILUT_EPS_EXCL",IQ_FY-1), _xll.ciqfunctions.udf.CIQ(A423, "IQ_DILUT_EPS_EXCL",IQ_FY))</f>
        <v>2.7702100000000001</v>
      </c>
      <c r="G432" s="15">
        <f>IF(A431=A432,_xll.ciqfunctions.udf.CIQ(A423,"IQ_EBITDA_MARGIN",IQ_FY-1), _xll.ciqfunctions.udf.CIQ(A423, "IQ_EBITDA_MARGIN",IQ_FY))</f>
        <v>21.610800000000001</v>
      </c>
      <c r="H432" s="15">
        <f>IF(A431=A432,_xll.ciqfunctions.udf.CIQ(A423,"IQ_TOTAL_DIV_PAID_CF",IQ_FY-1)/-I432, _xll.ciqfunctions.udf.CIQ(A423, "IQ_TOTAL_DIV_PAID_CF",IQ_FY)/-I432)</f>
        <v>0</v>
      </c>
      <c r="I432" s="17">
        <f>IF(A431=A432,_xll.ciqfunctions.udf.CIQ(A423,"IQ_TOTAL_OUTSTANDING_FILING_DATE",IQ_FY-1), _xll.ciqfunctions.udf.CIQ(A423, "IQ_TOTAL_OUTSTANDING_FILING_DATE",IQ_FY))</f>
        <v>136.49742000000001</v>
      </c>
      <c r="J432" s="17">
        <f>IF(A431=A432,_xll.ciqfunctions.udf.CIQ(A423,"IQ_CASH_OPER",IQ_FY-1), _xll.ciqfunctions.udf.CIQ(A423, "IQ_CASH_OPER",IQ_FY))</f>
        <v>744.81700000000001</v>
      </c>
      <c r="K432" s="17">
        <f>IF(A431=A432,_xll.ciqfunctions.udf.CIQ(A423,"IQ_CAPEX",IQ_FY-1), _xll.ciqfunctions.udf.CIQ(A423, "IQ_CAPEX",IQ_FY))</f>
        <v>-46.442999999999998</v>
      </c>
      <c r="L432" s="15">
        <f t="shared" si="112"/>
        <v>5.1163897456816398</v>
      </c>
      <c r="M432" s="17">
        <f>IF(A431=A432,_xll.ciqfunctions.udf.CIQ(A423,"IQ_TOTAL_DEBT_ISSUED",IQ_FY-1), _xll.ciqfunctions.udf.CIQ(A423, "IQ_TOTAL_DEBT_ISSUED",IQ_FY))</f>
        <v>0</v>
      </c>
      <c r="N432" s="17">
        <f>IF(A431=A432,_xll.ciqfunctions.udf.CIQ(A423,"IQ_TOTAL_DEBT_REPAID",IQ_FY-1), _xll.ciqfunctions.udf.CIQ(A423, "IQ_TOTAL_DEBT_REPAID",IQ_FY))</f>
        <v>0</v>
      </c>
      <c r="O432" s="15">
        <f t="shared" si="113"/>
        <v>0</v>
      </c>
      <c r="P432" s="15">
        <f t="shared" si="114"/>
        <v>5.1163897456816398</v>
      </c>
      <c r="Q432" s="25" t="s">
        <v>44</v>
      </c>
      <c r="R432" s="38" t="s">
        <v>35</v>
      </c>
      <c r="S432" s="1">
        <f>_xll.ciqfunctions.udf.CIQ(A423,"IQ_TEV_EBITDA")</f>
        <v>19.144739999999999</v>
      </c>
      <c r="U432" s="25" t="s">
        <v>55</v>
      </c>
      <c r="V432" s="38" t="s">
        <v>53</v>
      </c>
      <c r="W432" s="1">
        <f>V422/(AVERAGE(D428:D433)/_xlfn.STDEV.P(E428:E433))</f>
        <v>2.9588853605523124</v>
      </c>
      <c r="Y432" s="25" t="s">
        <v>57</v>
      </c>
      <c r="Z432" s="38" t="s">
        <v>53</v>
      </c>
      <c r="AA432" s="1">
        <f>Z422/(AVERAGE(D428:D433)/_xlfn.STDEV.P(E428:E433))</f>
        <v>2.9588853605523124</v>
      </c>
    </row>
    <row r="433" spans="1:27">
      <c r="B433" s="13">
        <v>11</v>
      </c>
      <c r="C433" s="20" t="s">
        <v>36</v>
      </c>
      <c r="D433" s="21" cm="1">
        <f t="array" ref="D433">_xlfn.SINGLE(IF(A431=A432,_xll.ciqfunctions.udf.CIQ(A423,"IQ_TOTAL_REV",IQ_FY)/I433, _xll.ciqfunctions.udf.CIQ(A423, "IQ_TOTAL_REV",IQ_LTM)/I433))</f>
        <v>19.928471450800139</v>
      </c>
      <c r="E433" s="22">
        <f t="shared" si="115"/>
        <v>0.16703410192658036</v>
      </c>
      <c r="F433" s="21">
        <f>IF(A431=A432,_xll.ciqfunctions.udf.CIQ(A423,"IQ_DILUT_EPS_EXCL",IQ_FY), _xll.ciqfunctions.udf.CIQ(A423, "IQ_DILUT_EPS_EXCL",IQ_LTM))</f>
        <v>3.97736</v>
      </c>
      <c r="G433" s="21">
        <f>IF(A431=A432,_xll.ciqfunctions.udf.CIQ(A423,"IQ_EBITDA_MARGIN",IQ_FY), _xll.ciqfunctions.udf.CIQ(A423, "IQ_EBITDA_MARGIN",IQ_LTM))</f>
        <v>25.002500000000001</v>
      </c>
      <c r="H433" s="21">
        <f>IF(A431=A432,_xll.ciqfunctions.udf.CIQ(A423,"IQ_TOTAL_DIV_PAID_CF",IQ_FY)/-I433, _xll.ciqfunctions.udf.CIQ(A423, "IQ_TOTAL_DIV_PAID_CF",IQ_LTM)/-I433)</f>
        <v>0</v>
      </c>
      <c r="I433" s="23">
        <f>IF(A431=A432,_xll.ciqfunctions.udf.CIQ(A423,"IQ_TOTAL_OUTSTANDING_FILING_DATE",IQ_FY),_xll.ciqfunctions.udf.CIQ(A423,"IQ_sharesoutstanding"))</f>
        <v>136.13025999999999</v>
      </c>
      <c r="J433" s="23">
        <f>IF(A431=A432,_xll.ciqfunctions.udf.CIQ(A423,"IQ_CASH_OPER",IQ_FY), _xll.ciqfunctions.udf.CIQ(A423, "IQ_CASH_OPER",IQ_LTM))</f>
        <v>915.04399999999998</v>
      </c>
      <c r="K433" s="23">
        <f>IF(A431=A432,_xll.ciqfunctions.udf.CIQ(A423,"IQ_CAPEX",IQ_FY), _xll.ciqfunctions.udf.CIQ(A423, "IQ_CAPEX",IQ_LTM))</f>
        <v>-106.755</v>
      </c>
      <c r="L433" s="21">
        <f t="shared" si="112"/>
        <v>5.9376144583871362</v>
      </c>
      <c r="M433" s="23">
        <f>IF(A431=A432,_xll.ciqfunctions.udf.CIQ(A423,"IQ_TOTAL_DEBT_ISSUED",IQ_FY), _xll.ciqfunctions.udf.CIQ(A423, "IQ_TOTAL_DEBT_ISSUED",IQ_LTM))</f>
        <v>0</v>
      </c>
      <c r="N433" s="23">
        <f>IF(A431=A432,_xll.ciqfunctions.udf.CIQ(A423,"IQ_TOTAL_DEBT_REPAID",IQ_FY), _xll.ciqfunctions.udf.CIQ(A423, "IQ_TOTAL_DEBT_REPAID",IQ_LTM))</f>
        <v>0</v>
      </c>
      <c r="O433" s="21">
        <f t="shared" si="113"/>
        <v>0</v>
      </c>
      <c r="P433" s="21">
        <f t="shared" si="114"/>
        <v>5.9376144583871362</v>
      </c>
      <c r="Q433" s="25" t="s">
        <v>45</v>
      </c>
      <c r="S433" s="45"/>
      <c r="U433" s="25"/>
      <c r="W433" s="45"/>
      <c r="Y433" s="25"/>
      <c r="AA433" s="45"/>
    </row>
    <row r="434" spans="1:27">
      <c r="B434" s="24"/>
      <c r="C434" s="25" t="s">
        <v>37</v>
      </c>
      <c r="E434" s="26">
        <f>((D433/D428)^(1/5))-1</f>
        <v>0.46897811196243788</v>
      </c>
      <c r="F434" s="27">
        <f>((F433/F428)^(1/5))-1</f>
        <v>-3.0141078917983362</v>
      </c>
      <c r="G434" s="28"/>
      <c r="H434" s="27" t="e">
        <f>((H433/H428)^(1/5))-1</f>
        <v>#DIV/0!</v>
      </c>
      <c r="I434" s="27">
        <f>((I433/I428)^(1/5))-1</f>
        <v>4.6379681417665353E-2</v>
      </c>
      <c r="J434" s="27"/>
      <c r="K434" s="27"/>
      <c r="L434" s="26">
        <f>((L433/L428)^(1/5))-1</f>
        <v>1.2188371166417822</v>
      </c>
      <c r="M434" s="26"/>
      <c r="N434" s="26"/>
      <c r="O434" s="26"/>
      <c r="P434" s="26">
        <f>((P433/P428)^(1/5))-1</f>
        <v>0.55872123078238789</v>
      </c>
      <c r="Q434" s="18"/>
      <c r="R434" s="36"/>
      <c r="S434" s="45"/>
      <c r="U434" s="18"/>
      <c r="V434" s="36"/>
      <c r="W434" s="45"/>
      <c r="Y434" s="18"/>
      <c r="Z434" s="36"/>
      <c r="AA434" s="45"/>
    </row>
    <row r="435" spans="1:27">
      <c r="A435" s="29"/>
      <c r="B435" s="30"/>
      <c r="C435" s="31" t="s">
        <v>38</v>
      </c>
      <c r="D435" s="29"/>
      <c r="E435" s="32">
        <f>((D433/D423)^(1/10))-1</f>
        <v>0.13712886310000849</v>
      </c>
      <c r="F435" s="33" t="e">
        <f>((F433/F423)^(1/10))-1</f>
        <v>#NUM!</v>
      </c>
      <c r="G435" s="34"/>
      <c r="H435" s="33" t="e">
        <f>((H433/H423)^(1/10))-1</f>
        <v>#DIV/0!</v>
      </c>
      <c r="I435" s="33">
        <f>((I433/I423)^(1/10))-1</f>
        <v>0.12415528089804329</v>
      </c>
      <c r="J435" s="33"/>
      <c r="K435" s="33"/>
      <c r="L435" s="32" t="e">
        <f>((L433/L423)^(1/10))-1</f>
        <v>#NUM!</v>
      </c>
      <c r="M435" s="32"/>
      <c r="N435" s="32"/>
      <c r="O435" s="32"/>
      <c r="P435" s="32" t="e">
        <f>((P433/P423)^(1/10))-1</f>
        <v>#NUM!</v>
      </c>
      <c r="Q435" s="40"/>
      <c r="R435" s="41"/>
      <c r="S435" s="46"/>
      <c r="U435" s="40"/>
      <c r="V435" s="41"/>
      <c r="W435" s="46"/>
      <c r="Y435" s="40"/>
      <c r="Z435" s="41"/>
      <c r="AA435" s="46"/>
    </row>
    <row r="436" spans="1:27">
      <c r="B436" s="24"/>
      <c r="C436" s="25"/>
      <c r="E436" s="26"/>
      <c r="F436" s="27"/>
      <c r="G436" s="28"/>
      <c r="H436" s="27"/>
      <c r="I436" s="27"/>
      <c r="J436" s="27"/>
      <c r="K436" s="27"/>
      <c r="L436" s="26"/>
      <c r="M436" s="17"/>
      <c r="N436" s="17"/>
      <c r="O436" s="17"/>
      <c r="P436" s="35"/>
      <c r="Q436" s="18"/>
      <c r="R436" s="36"/>
    </row>
    <row r="437" spans="1:27">
      <c r="A437" s="9" t="s">
        <v>0</v>
      </c>
      <c r="B437" s="10"/>
      <c r="C437" s="9" t="s">
        <v>1</v>
      </c>
      <c r="D437" s="9" t="s">
        <v>2</v>
      </c>
      <c r="E437" s="9" t="s">
        <v>3</v>
      </c>
      <c r="F437" s="11" t="s">
        <v>4</v>
      </c>
      <c r="G437" s="11" t="s">
        <v>5</v>
      </c>
      <c r="H437" s="9" t="s">
        <v>6</v>
      </c>
      <c r="I437" s="11" t="s">
        <v>7</v>
      </c>
      <c r="J437" s="11" t="s">
        <v>8</v>
      </c>
      <c r="K437" s="11" t="s">
        <v>9</v>
      </c>
      <c r="L437" s="11" t="s">
        <v>10</v>
      </c>
      <c r="M437" s="11" t="s">
        <v>11</v>
      </c>
      <c r="N437" s="11" t="s">
        <v>12</v>
      </c>
      <c r="O437" s="11" t="s">
        <v>13</v>
      </c>
      <c r="P437" s="11" t="s">
        <v>14</v>
      </c>
      <c r="Q437" s="37" t="s">
        <v>15</v>
      </c>
      <c r="R437" s="42">
        <f>_xll.ciqfunctions.udf.CIQ(A438,("IQ_LASTSALEPRICE"))</f>
        <v>69.11</v>
      </c>
      <c r="S437" s="44"/>
      <c r="U437" s="37" t="s">
        <v>15</v>
      </c>
      <c r="V437" s="42">
        <f>_xll.ciqfunctions.udf.CIQ(A438,("IQ_LASTSALEPRICE"))</f>
        <v>69.11</v>
      </c>
      <c r="W437" s="44"/>
      <c r="Y437" s="37" t="s">
        <v>15</v>
      </c>
      <c r="Z437" s="42">
        <f>_xll.ciqfunctions.udf.CIQ(A438,("IQ_LASTSALEPRICE"))</f>
        <v>69.11</v>
      </c>
      <c r="AA437" s="44"/>
    </row>
    <row r="438" spans="1:27">
      <c r="A438" s="12" t="str">
        <f>Analysis!B31</f>
        <v>NasdaqGS:ON</v>
      </c>
      <c r="B438" s="13">
        <v>1</v>
      </c>
      <c r="C438" s="14" t="s">
        <v>16</v>
      </c>
      <c r="D438" s="15">
        <f>IF(A446=A447,_xll.ciqfunctions.udf.CIQ(A438,"IQ_TOTAL_REV",IQ_FY-10)/I438,_xll.ciqfunctions.udf.CIQ(A438, "IQ_TOTAL_REV",IQ_FY-9)/I438)</f>
        <v>6.3182595453014683</v>
      </c>
      <c r="E438" s="16"/>
      <c r="F438" s="15">
        <f>IF(A446=A447,_xll.ciqfunctions.udf.CIQ(A438,"IQ_DILUT_EPS_EXCL",IQ_FY-10), _xll.ciqfunctions.udf.CIQ(A438, "IQ_DILUT_EPS_EXCL",IQ_FY-9))</f>
        <v>0.33</v>
      </c>
      <c r="G438" s="15">
        <f>IF(A446=A447,_xll.ciqfunctions.udf.CIQ(A438,"IQ_EBITDA_MARGIN",IQ_FY-10), _xll.ciqfunctions.udf.CIQ(A438, "IQ_EBITDA_MARGIN",IQ_FY-9))</f>
        <v>16.311399999999999</v>
      </c>
      <c r="H438" s="15">
        <f>IF(A446=A447,_xll.ciqfunctions.udf.CIQ(A438,"IQ_TOTAL_DIV_PAID_CF",IQ_FY-10)/-I438, _xll.ciqfunctions.udf.CIQ(A438, "IQ_TOTAL_DIV_PAID_CF",IQ_FY-9)/-I438)</f>
        <v>0</v>
      </c>
      <c r="I438" s="17">
        <f>IF(A446=A447,_xll.ciqfunctions.udf.CIQ(A438,"IQ_TOTAL_OUTSTANDING_FILING_DATE",IQ_FY-10), _xll.ciqfunctions.udf.CIQ(A438, "IQ_TOTAL_OUTSTANDING_FILING_DATE",IQ_FY-9))</f>
        <v>440.42192</v>
      </c>
      <c r="J438" s="17">
        <f>IF(A446=A447,_xll.ciqfunctions.udf.CIQ(A438,"IQ_CASH_OPER",IQ_FY-10), _xll.ciqfunctions.udf.CIQ(A438, "IQ_CASH_OPER",IQ_FY-9))</f>
        <v>327.3</v>
      </c>
      <c r="K438" s="17">
        <f>IF(A446=A447,_xll.ciqfunctions.udf.CIQ(A438,"IQ_CAPEX",IQ_FY-10), _xll.ciqfunctions.udf.CIQ(A438, "IQ_CAPEX",IQ_FY-9))</f>
        <v>-156.5</v>
      </c>
      <c r="L438" s="15">
        <f t="shared" ref="L438:L448" si="116">(J438+K438)/I438</f>
        <v>0.38780994370125815</v>
      </c>
      <c r="M438" s="17">
        <f>IF(A446=A447,_xll.ciqfunctions.udf.CIQ(A438,"IQ_TOTAL_DEBT_ISSUED",IQ_FY-10), _xll.ciqfunctions.udf.CIQ(A438, "IQ_TOTAL_DEBT_ISSUED",IQ_FY-9))</f>
        <v>173.7</v>
      </c>
      <c r="N438" s="17">
        <f>IF(A446=A447,_xll.ciqfunctions.udf.CIQ(A438,"IQ_TOTAL_DEBT_REPAID",IQ_FY-10), _xll.ciqfunctions.udf.CIQ(A438, "IQ_TOTAL_DEBT_REPAID",IQ_FY-9))</f>
        <v>-259.39999999999998</v>
      </c>
      <c r="O438" s="15">
        <f t="shared" ref="O438:O448" si="117">(M438+N438)/I438</f>
        <v>-0.19458613685713005</v>
      </c>
      <c r="P438" s="15">
        <f t="shared" ref="P438:P448" si="118">L438+O438</f>
        <v>0.1932238068441281</v>
      </c>
      <c r="W438" s="43"/>
      <c r="AA438" s="43"/>
    </row>
    <row r="439" spans="1:27">
      <c r="A439" s="18" t="str">
        <f>_xll.ciqfunctions.udf.CIQ(A438,"IQ_COMPANY_NAME")</f>
        <v>ON Semiconductor Corporation</v>
      </c>
      <c r="B439" s="13">
        <v>2</v>
      </c>
      <c r="C439" s="14" t="s">
        <v>17</v>
      </c>
      <c r="D439" s="15">
        <f>IF(A446=A447,_xll.ciqfunctions.udf.CIQ(A438,"IQ_TOTAL_REV",IQ_FY-9)/I439, _xll.ciqfunctions.udf.CIQ(A438, "IQ_TOTAL_REV",IQ_FY-8)/I439)</f>
        <v>7.3306030326364855</v>
      </c>
      <c r="E439" s="16">
        <f t="shared" ref="E439:E448" si="119">(D439-D438)/D438</f>
        <v>0.16022505566233658</v>
      </c>
      <c r="F439" s="15">
        <f>IF(A446=A447,_xll.ciqfunctions.udf.CIQ(A438,"IQ_DILUT_EPS_EXCL",IQ_FY-9), _xll.ciqfunctions.udf.CIQ(A438, "IQ_DILUT_EPS_EXCL",IQ_FY-8))</f>
        <v>0.43</v>
      </c>
      <c r="G439" s="15">
        <f>IF(A446=A447,_xll.ciqfunctions.udf.CIQ(A438,"IQ_EBITDA_MARGIN",IQ_FY-9), _xll.ciqfunctions.udf.CIQ(A438, "IQ_EBITDA_MARGIN",IQ_FY-8))</f>
        <v>17.863199999999999</v>
      </c>
      <c r="H439" s="15">
        <f>IF(A446=A447,_xll.ciqfunctions.udf.CIQ(A438,"IQ_TOTAL_DIV_PAID_CF",IQ_FY-9)/-I439, _xll.ciqfunctions.udf.CIQ(A438, "IQ_TOTAL_DIV_PAID_CF",IQ_FY-8)/-I439)</f>
        <v>0</v>
      </c>
      <c r="I439" s="17">
        <f>IF(A446=A447,_xll.ciqfunctions.udf.CIQ(A438,"IQ_TOTAL_OUTSTANDING_FILING_DATE",IQ_FY-9), _xll.ciqfunctions.udf.CIQ(A438, "IQ_TOTAL_OUTSTANDING_FILING_DATE",IQ_FY-8))</f>
        <v>431.31513000000001</v>
      </c>
      <c r="J439" s="17">
        <f>IF(A446=A447,_xll.ciqfunctions.udf.CIQ(A438,"IQ_CASH_OPER",IQ_FY-9), _xll.ciqfunctions.udf.CIQ(A438, "IQ_CASH_OPER",IQ_FY-8))</f>
        <v>481.3</v>
      </c>
      <c r="K439" s="17">
        <f>IF(A446=A447,_xll.ciqfunctions.udf.CIQ(A438,"IQ_CAPEX",IQ_FY-9), _xll.ciqfunctions.udf.CIQ(A438, "IQ_CAPEX",IQ_FY-8))</f>
        <v>-204.3</v>
      </c>
      <c r="L439" s="15">
        <f t="shared" si="116"/>
        <v>0.64222184832699936</v>
      </c>
      <c r="M439" s="17">
        <f>IF(A446=A447,_xll.ciqfunctions.udf.CIQ(A438,"IQ_TOTAL_DEBT_ISSUED",IQ_FY-9), _xll.ciqfunctions.udf.CIQ(A438, "IQ_TOTAL_DEBT_ISSUED",IQ_FY-8))</f>
        <v>346.4</v>
      </c>
      <c r="N439" s="17">
        <f>IF(A446=A447,_xll.ciqfunctions.udf.CIQ(A438,"IQ_TOTAL_DEBT_REPAID",IQ_FY-9), _xll.ciqfunctions.udf.CIQ(A438, "IQ_TOTAL_DEBT_REPAID",IQ_FY-8))</f>
        <v>-134.4</v>
      </c>
      <c r="O439" s="15">
        <f t="shared" si="117"/>
        <v>0.49151997056073587</v>
      </c>
      <c r="P439" s="15">
        <f t="shared" si="118"/>
        <v>1.1337418188877353</v>
      </c>
      <c r="Q439" s="25" t="s">
        <v>18</v>
      </c>
      <c r="R439" s="39" t="s">
        <v>19</v>
      </c>
      <c r="S439" s="1">
        <f>R437/((AVERAGE(P443:P448))*(1+E449)^3)</f>
        <v>30.970823875673776</v>
      </c>
      <c r="U439" s="25" t="s">
        <v>48</v>
      </c>
      <c r="V439" s="39" t="s">
        <v>19</v>
      </c>
      <c r="W439" s="1">
        <f>V437/((AVERAGE(P443:P448))*(1+E449)^3)</f>
        <v>30.970823875673776</v>
      </c>
      <c r="Y439" s="25" t="s">
        <v>39</v>
      </c>
      <c r="Z439" s="39" t="s">
        <v>19</v>
      </c>
      <c r="AA439" s="1">
        <f>Z437/((AVERAGE(P443:P448))*(1+E449)^3)</f>
        <v>30.970823875673776</v>
      </c>
    </row>
    <row r="440" spans="1:27">
      <c r="B440" s="13">
        <v>3</v>
      </c>
      <c r="C440" s="14" t="s">
        <v>20</v>
      </c>
      <c r="D440" s="15" cm="1">
        <f t="array" ref="D440">_xlfn.SINGLE(IF(A446=A447,_xll.ciqfunctions.udf.CIQ(A438,"IQ_TOTAL_REV",IQ_FY-8)/I440, _xll.ciqfunctions.udf.CIQ(A438, "IQ_TOTAL_REV",IQ_FY-7)/I440))</f>
        <v>8.4829917205049572</v>
      </c>
      <c r="E440" s="16">
        <f t="shared" si="119"/>
        <v>0.15720244060931093</v>
      </c>
      <c r="F440" s="15">
        <f>IF(A446=A447,_xll.ciqfunctions.udf.CIQ(A438,"IQ_DILUT_EPS_EXCL",IQ_FY-8), _xll.ciqfunctions.udf.CIQ(A438, "IQ_DILUT_EPS_EXCL",IQ_FY-7))</f>
        <v>0.48</v>
      </c>
      <c r="G440" s="15">
        <f>IF(A446=A447,_xll.ciqfunctions.udf.CIQ(A438,"IQ_EBITDA_MARGIN",IQ_FY-8), _xll.ciqfunctions.udf.CIQ(A438, "IQ_EBITDA_MARGIN",IQ_FY-7))</f>
        <v>18.0731</v>
      </c>
      <c r="H440" s="15">
        <f>IF(A446=A447,_xll.ciqfunctions.udf.CIQ(A438,"IQ_TOTAL_DIV_PAID_CF",IQ_FY-8)/-I440, _xll.ciqfunctions.udf.CIQ(A438, "IQ_TOTAL_DIV_PAID_CF",IQ_FY-7)/-I440)</f>
        <v>0</v>
      </c>
      <c r="I440" s="17">
        <f>IF(A446=A447,_xll.ciqfunctions.udf.CIQ(A438,"IQ_TOTAL_OUTSTANDING_FILING_DATE",IQ_FY-8), _xll.ciqfunctions.udf.CIQ(A438, "IQ_TOTAL_OUTSTANDING_FILING_DATE",IQ_FY-7))</f>
        <v>412.09518000000003</v>
      </c>
      <c r="J440" s="17">
        <f>IF(A446=A447,_xll.ciqfunctions.udf.CIQ(A438,"IQ_CASH_OPER",IQ_FY-8), _xll.ciqfunctions.udf.CIQ(A438, "IQ_CASH_OPER",IQ_FY-7))</f>
        <v>470.6</v>
      </c>
      <c r="K440" s="17">
        <f>IF(A446=A447,_xll.ciqfunctions.udf.CIQ(A438,"IQ_CAPEX",IQ_FY-8), _xll.ciqfunctions.udf.CIQ(A438, "IQ_CAPEX",IQ_FY-7))</f>
        <v>-272.2</v>
      </c>
      <c r="L440" s="15">
        <f t="shared" si="116"/>
        <v>0.48144217556730468</v>
      </c>
      <c r="M440" s="17">
        <f>IF(A446=A447,_xll.ciqfunctions.udf.CIQ(A438,"IQ_TOTAL_DEBT_ISSUED",IQ_FY-8), _xll.ciqfunctions.udf.CIQ(A438, "IQ_TOTAL_DEBT_ISSUED",IQ_FY-7))</f>
        <v>816.5</v>
      </c>
      <c r="N440" s="17">
        <f>IF(A446=A447,_xll.ciqfunctions.udf.CIQ(A438,"IQ_TOTAL_DEBT_REPAID",IQ_FY-8), _xll.ciqfunctions.udf.CIQ(A438, "IQ_TOTAL_DEBT_REPAID",IQ_FY-7))</f>
        <v>-517.79999999999995</v>
      </c>
      <c r="O440" s="15">
        <f t="shared" si="117"/>
        <v>0.72483254960662247</v>
      </c>
      <c r="P440" s="15">
        <f t="shared" si="118"/>
        <v>1.2062747251739272</v>
      </c>
      <c r="Q440" s="25" t="s">
        <v>21</v>
      </c>
      <c r="R440" s="38" t="s">
        <v>49</v>
      </c>
      <c r="S440" s="2">
        <f>(R437*I448)/1000</f>
        <v>29.765510444899999</v>
      </c>
      <c r="U440" s="25" t="s">
        <v>59</v>
      </c>
      <c r="V440" s="38" t="s">
        <v>49</v>
      </c>
      <c r="W440" s="2">
        <f>(V437*I448)/1000</f>
        <v>29.765510444899999</v>
      </c>
      <c r="Y440" s="25" t="s">
        <v>46</v>
      </c>
      <c r="Z440" s="38" t="s">
        <v>49</v>
      </c>
      <c r="AA440" s="2">
        <f>(Z437*I448)/1000</f>
        <v>29.765510444899999</v>
      </c>
    </row>
    <row r="441" spans="1:27">
      <c r="A441" s="18"/>
      <c r="B441" s="13">
        <v>4</v>
      </c>
      <c r="C441" s="14" t="s">
        <v>22</v>
      </c>
      <c r="D441" s="15" cm="1">
        <f t="array" ref="D441">_xlfn.SINGLE(IF(A446=A447,_xll.ciqfunctions.udf.CIQ(A438,"IQ_TOTAL_REV",IQ_FY-7)/I441, _xll.ciqfunctions.udf.CIQ(A438, "IQ_TOTAL_REV",IQ_FY-6)/I441))</f>
        <v>9.3107695067758733</v>
      </c>
      <c r="E441" s="16">
        <f t="shared" si="119"/>
        <v>9.7580878721126696E-2</v>
      </c>
      <c r="F441" s="15">
        <f>IF(A446=A447,_xll.ciqfunctions.udf.CIQ(A438,"IQ_DILUT_EPS_EXCL",IQ_FY-7), _xll.ciqfunctions.udf.CIQ(A438, "IQ_DILUT_EPS_EXCL",IQ_FY-6))</f>
        <v>0.43</v>
      </c>
      <c r="G441" s="15">
        <f>IF(A446=A447,_xll.ciqfunctions.udf.CIQ(A438,"IQ_EBITDA_MARGIN",IQ_FY-7), _xll.ciqfunctions.udf.CIQ(A438, "IQ_EBITDA_MARGIN",IQ_FY-6))</f>
        <v>18.628499999999999</v>
      </c>
      <c r="H441" s="15">
        <f>IF(A446=A447,_xll.ciqfunctions.udf.CIQ(A438,"IQ_TOTAL_DIV_PAID_CF",IQ_FY-7)/-I441, _xll.ciqfunctions.udf.CIQ(A438, "IQ_TOTAL_DIV_PAID_CF",IQ_FY-6)/-I441)</f>
        <v>0</v>
      </c>
      <c r="I441" s="17">
        <f>IF(A446=A447,_xll.ciqfunctions.udf.CIQ(A438,"IQ_TOTAL_OUTSTANDING_FILING_DATE",IQ_FY-7), _xll.ciqfunctions.udf.CIQ(A438, "IQ_TOTAL_OUTSTANDING_FILING_DATE",IQ_FY-6))</f>
        <v>419.61086</v>
      </c>
      <c r="J441" s="17">
        <f>IF(A446=A447,_xll.ciqfunctions.udf.CIQ(A438,"IQ_CASH_OPER",IQ_FY-7), _xll.ciqfunctions.udf.CIQ(A438, "IQ_CASH_OPER",IQ_FY-6))</f>
        <v>581.1</v>
      </c>
      <c r="K441" s="17">
        <f>IF(A446=A447,_xll.ciqfunctions.udf.CIQ(A438,"IQ_CAPEX",IQ_FY-7), _xll.ciqfunctions.udf.CIQ(A438, "IQ_CAPEX",IQ_FY-6))</f>
        <v>-212.9</v>
      </c>
      <c r="L441" s="15">
        <f t="shared" si="116"/>
        <v>0.87747967247558856</v>
      </c>
      <c r="M441" s="17">
        <f>IF(A446=A447,_xll.ciqfunctions.udf.CIQ(A438,"IQ_TOTAL_DEBT_ISSUED",IQ_FY-7), _xll.ciqfunctions.udf.CIQ(A438, "IQ_TOTAL_DEBT_ISSUED",IQ_FY-6))</f>
        <v>2586.9</v>
      </c>
      <c r="N441" s="17">
        <f>IF(A446=A447,_xll.ciqfunctions.udf.CIQ(A438,"IQ_TOTAL_DEBT_REPAID",IQ_FY-7), _xll.ciqfunctions.udf.CIQ(A438, "IQ_TOTAL_DEBT_REPAID",IQ_FY-6))</f>
        <v>-328.7</v>
      </c>
      <c r="O441" s="15">
        <f t="shared" si="117"/>
        <v>5.381652896209598</v>
      </c>
      <c r="P441" s="15">
        <f t="shared" si="118"/>
        <v>6.2591325686851862</v>
      </c>
      <c r="Q441" s="25" t="s">
        <v>23</v>
      </c>
      <c r="R441" s="38" t="s">
        <v>24</v>
      </c>
      <c r="S441" s="1" t="e">
        <f>R437/(AVERAGE(H443:H448)*(1+H449)/(0.5-H449))</f>
        <v>#DIV/0!</v>
      </c>
      <c r="U441" s="25" t="s">
        <v>40</v>
      </c>
      <c r="V441" s="38" t="s">
        <v>24</v>
      </c>
      <c r="W441" s="1" t="e">
        <f>V437/(AVERAGE(H443:H448)*(1+H449)/(0.5-H449))</f>
        <v>#DIV/0!</v>
      </c>
      <c r="Y441" s="25" t="s">
        <v>47</v>
      </c>
      <c r="Z441" s="38" t="s">
        <v>24</v>
      </c>
      <c r="AA441" s="1" t="e">
        <f>Z437/(AVERAGE(H443:H448)*(1+H449)/(0.5-H449))</f>
        <v>#DIV/0!</v>
      </c>
    </row>
    <row r="442" spans="1:27">
      <c r="B442" s="13">
        <v>5</v>
      </c>
      <c r="C442" s="14" t="s">
        <v>25</v>
      </c>
      <c r="D442" s="15" cm="1">
        <f t="array" ref="D442">_xlfn.SINGLE(IF(A446=A447,_xll.ciqfunctions.udf.CIQ(A438,"IQ_TOTAL_REV",IQ_FY-6)/I442, _xll.ciqfunctions.udf.CIQ(A438, "IQ_TOTAL_REV",IQ_FY-5)/I442))</f>
        <v>13.029078460480084</v>
      </c>
      <c r="E442" s="16">
        <f t="shared" si="119"/>
        <v>0.39935570856933228</v>
      </c>
      <c r="F442" s="15">
        <f>IF(A446=A447,_xll.ciqfunctions.udf.CIQ(A438,"IQ_DILUT_EPS_EXCL",IQ_FY-6), _xll.ciqfunctions.udf.CIQ(A438, "IQ_DILUT_EPS_EXCL",IQ_FY-5))</f>
        <v>1.89</v>
      </c>
      <c r="G442" s="15">
        <f>IF(A446=A447,_xll.ciqfunctions.udf.CIQ(A438,"IQ_EBITDA_MARGIN",IQ_FY-6), _xll.ciqfunctions.udf.CIQ(A438, "IQ_EBITDA_MARGIN",IQ_FY-5))</f>
        <v>21.588999999999999</v>
      </c>
      <c r="H442" s="15">
        <f>IF(A446=A447,_xll.ciqfunctions.udf.CIQ(A438,"IQ_TOTAL_DIV_PAID_CF",IQ_FY-6)/-I442, _xll.ciqfunctions.udf.CIQ(A438, "IQ_TOTAL_DIV_PAID_CF",IQ_FY-5)/-I442)</f>
        <v>0</v>
      </c>
      <c r="I442" s="17">
        <f>IF(A446=A447,_xll.ciqfunctions.udf.CIQ(A438,"IQ_TOTAL_OUTSTANDING_FILING_DATE",IQ_FY-6), _xll.ciqfunctions.udf.CIQ(A438, "IQ_TOTAL_OUTSTANDING_FILING_DATE",IQ_FY-5))</f>
        <v>425.44067999999999</v>
      </c>
      <c r="J442" s="17">
        <f>IF(A446=A447,_xll.ciqfunctions.udf.CIQ(A438,"IQ_CASH_OPER",IQ_FY-6), _xll.ciqfunctions.udf.CIQ(A438, "IQ_CASH_OPER",IQ_FY-5))</f>
        <v>1094.2</v>
      </c>
      <c r="K442" s="17">
        <f>IF(A446=A447,_xll.ciqfunctions.udf.CIQ(A438,"IQ_CAPEX",IQ_FY-6), _xll.ciqfunctions.udf.CIQ(A438, "IQ_CAPEX",IQ_FY-5))</f>
        <v>-395.7</v>
      </c>
      <c r="L442" s="15">
        <f t="shared" si="116"/>
        <v>1.6418270109948114</v>
      </c>
      <c r="M442" s="17">
        <f>IF(A446=A447,_xll.ciqfunctions.udf.CIQ(A438,"IQ_TOTAL_DEBT_ISSUED",IQ_FY-6), _xll.ciqfunctions.udf.CIQ(A438, "IQ_TOTAL_DEBT_ISSUED",IQ_FY-5))</f>
        <v>1106.2</v>
      </c>
      <c r="N442" s="17">
        <f>IF(A446=A447,_xll.ciqfunctions.udf.CIQ(A438,"IQ_TOTAL_DEBT_REPAID",IQ_FY-6), _xll.ciqfunctions.udf.CIQ(A438, "IQ_TOTAL_DEBT_REPAID",IQ_FY-5))</f>
        <v>-1840.3</v>
      </c>
      <c r="O442" s="15">
        <f t="shared" si="117"/>
        <v>-1.7255049517126568</v>
      </c>
      <c r="P442" s="15">
        <f t="shared" si="118"/>
        <v>-8.36779407178454E-2</v>
      </c>
      <c r="Q442" s="18"/>
      <c r="R442" s="38" t="s">
        <v>50</v>
      </c>
      <c r="S442" s="3">
        <f>I449</f>
        <v>1.0041218294762899E-2</v>
      </c>
      <c r="U442" s="18"/>
      <c r="V442" s="38" t="s">
        <v>50</v>
      </c>
      <c r="W442" s="3">
        <f>I449</f>
        <v>1.0041218294762899E-2</v>
      </c>
      <c r="Y442" s="18"/>
      <c r="Z442" s="38" t="s">
        <v>50</v>
      </c>
      <c r="AA442" s="3">
        <f>I449</f>
        <v>1.0041218294762899E-2</v>
      </c>
    </row>
    <row r="443" spans="1:27">
      <c r="B443" s="13">
        <v>6</v>
      </c>
      <c r="C443" s="14" t="s">
        <v>26</v>
      </c>
      <c r="D443" s="15" cm="1">
        <f t="array" ref="D443">_xlfn.SINGLE(IF(A446=A447,_xll.ciqfunctions.udf.CIQ(A438,"IQ_TOTAL_REV",IQ_FY-5)/I443, _xll.ciqfunctions.udf.CIQ(A438, "IQ_TOTAL_REV",IQ_FY-4)/I443))</f>
        <v>14.347452323454737</v>
      </c>
      <c r="E443" s="16">
        <f t="shared" si="119"/>
        <v>0.10118703843664431</v>
      </c>
      <c r="F443" s="15">
        <f>IF(A446=A447,_xll.ciqfunctions.udf.CIQ(A438,"IQ_DILUT_EPS_EXCL",IQ_FY-5), _xll.ciqfunctions.udf.CIQ(A438, "IQ_DILUT_EPS_EXCL",IQ_FY-4))</f>
        <v>1.44</v>
      </c>
      <c r="G443" s="15">
        <f>IF(A446=A447,_xll.ciqfunctions.udf.CIQ(A438,"IQ_EBITDA_MARGIN",IQ_FY-5), _xll.ciqfunctions.udf.CIQ(A438, "IQ_EBITDA_MARGIN",IQ_FY-4))</f>
        <v>23.2516</v>
      </c>
      <c r="H443" s="15">
        <f>IF(A446=A447,_xll.ciqfunctions.udf.CIQ(A438,"IQ_TOTAL_DIV_PAID_CF",IQ_FY-5)/-I443, _xll.ciqfunctions.udf.CIQ(A438, "IQ_TOTAL_DIV_PAID_CF",IQ_FY-4)/-I443)</f>
        <v>0</v>
      </c>
      <c r="I443" s="17">
        <f>IF(A446=A447,_xll.ciqfunctions.udf.CIQ(A438,"IQ_TOTAL_OUTSTANDING_FILING_DATE",IQ_FY-5), _xll.ciqfunctions.udf.CIQ(A438, "IQ_TOTAL_OUTSTANDING_FILING_DATE",IQ_FY-4))</f>
        <v>409.71037000000001</v>
      </c>
      <c r="J443" s="17">
        <f>IF(A446=A447,_xll.ciqfunctions.udf.CIQ(A438,"IQ_CASH_OPER",IQ_FY-5), _xll.ciqfunctions.udf.CIQ(A438, "IQ_CASH_OPER",IQ_FY-4))</f>
        <v>1274.2</v>
      </c>
      <c r="K443" s="17">
        <f>IF(A446=A447,_xll.ciqfunctions.udf.CIQ(A438,"IQ_CAPEX",IQ_FY-5), _xll.ciqfunctions.udf.CIQ(A438, "IQ_CAPEX",IQ_FY-4))</f>
        <v>-514.79999999999995</v>
      </c>
      <c r="L443" s="15">
        <f t="shared" si="116"/>
        <v>1.8535044646294896</v>
      </c>
      <c r="M443" s="17">
        <f>IF(A446=A447,_xll.ciqfunctions.udf.CIQ(A438,"IQ_TOTAL_DEBT_ISSUED",IQ_FY-5), _xll.ciqfunctions.udf.CIQ(A438, "IQ_TOTAL_DEBT_ISSUED",IQ_FY-4))</f>
        <v>15.3</v>
      </c>
      <c r="N443" s="17">
        <f>IF(A446=A447,_xll.ciqfunctions.udf.CIQ(A438,"IQ_TOTAL_DEBT_REPAID",IQ_FY-5), _xll.ciqfunctions.udf.CIQ(A438, "IQ_TOTAL_DEBT_REPAID",IQ_FY-4))</f>
        <v>-302</v>
      </c>
      <c r="O443" s="15">
        <f t="shared" si="117"/>
        <v>-0.69976261523475713</v>
      </c>
      <c r="P443" s="15">
        <f t="shared" si="118"/>
        <v>1.1537418493947325</v>
      </c>
      <c r="Q443" s="25" t="s">
        <v>27</v>
      </c>
      <c r="R443" s="38" t="s">
        <v>51</v>
      </c>
      <c r="S443" s="4">
        <f>AVERAGE(F443:F448)/AVERAGE(D443:D448)</f>
        <v>0.14764388548054108</v>
      </c>
      <c r="U443" s="25" t="s">
        <v>58</v>
      </c>
      <c r="V443" s="38" t="s">
        <v>51</v>
      </c>
      <c r="W443" s="4">
        <f>AVERAGE(F443:F448)/AVERAGE(D443:D448)</f>
        <v>0.14764388548054108</v>
      </c>
      <c r="Y443" s="25" t="s">
        <v>56</v>
      </c>
      <c r="Z443" s="38" t="s">
        <v>51</v>
      </c>
      <c r="AA443" s="4">
        <f>AVERAGE(F443:F448)/AVERAGE(D443:D448)</f>
        <v>0.14764388548054108</v>
      </c>
    </row>
    <row r="444" spans="1:27">
      <c r="A444" s="18"/>
      <c r="B444" s="13">
        <v>7</v>
      </c>
      <c r="C444" s="14" t="s">
        <v>28</v>
      </c>
      <c r="D444" s="15" cm="1">
        <f t="array" ref="D444">_xlfn.SINGLE(IF(A446=A447,_xll.ciqfunctions.udf.CIQ(A438,"IQ_TOTAL_REV",IQ_FY-4)/I444, _xll.ciqfunctions.udf.CIQ(A438, "IQ_TOTAL_REV",IQ_FY-3)/I444))</f>
        <v>13.42340361991822</v>
      </c>
      <c r="E444" s="16">
        <f t="shared" si="119"/>
        <v>-6.4405072252856549E-2</v>
      </c>
      <c r="F444" s="15">
        <f>IF(A446=A447,_xll.ciqfunctions.udf.CIQ(A438,"IQ_DILUT_EPS_EXCL",IQ_FY-4), _xll.ciqfunctions.udf.CIQ(A438, "IQ_DILUT_EPS_EXCL",IQ_FY-3))</f>
        <v>0.51</v>
      </c>
      <c r="G444" s="15">
        <f>IF(A446=A447,_xll.ciqfunctions.udf.CIQ(A438,"IQ_EBITDA_MARGIN",IQ_FY-4), _xll.ciqfunctions.udf.CIQ(A438, "IQ_EBITDA_MARGIN",IQ_FY-3))</f>
        <v>21.939499999999999</v>
      </c>
      <c r="H444" s="15">
        <f>IF(A446=A447,_xll.ciqfunctions.udf.CIQ(A438,"IQ_TOTAL_DIV_PAID_CF",IQ_FY-4)/-I444, _xll.ciqfunctions.udf.CIQ(A438, "IQ_TOTAL_DIV_PAID_CF",IQ_FY-3)/-I444)</f>
        <v>0</v>
      </c>
      <c r="I444" s="17">
        <f>IF(A446=A447,_xll.ciqfunctions.udf.CIQ(A438,"IQ_TOTAL_OUTSTANDING_FILING_DATE",IQ_FY-4), _xll.ciqfunctions.udf.CIQ(A438, "IQ_TOTAL_OUTSTANDING_FILING_DATE",IQ_FY-3))</f>
        <v>411.06563999999997</v>
      </c>
      <c r="J444" s="17">
        <f>IF(A446=A447,_xll.ciqfunctions.udf.CIQ(A438,"IQ_CASH_OPER",IQ_FY-4), _xll.ciqfunctions.udf.CIQ(A438, "IQ_CASH_OPER",IQ_FY-3))</f>
        <v>694.7</v>
      </c>
      <c r="K444" s="17">
        <f>IF(A446=A447,_xll.ciqfunctions.udf.CIQ(A438,"IQ_CAPEX",IQ_FY-4), _xll.ciqfunctions.udf.CIQ(A438, "IQ_CAPEX",IQ_FY-3))</f>
        <v>-630</v>
      </c>
      <c r="L444" s="15">
        <f t="shared" si="116"/>
        <v>0.15739578720323122</v>
      </c>
      <c r="M444" s="17">
        <f>IF(A446=A447,_xll.ciqfunctions.udf.CIQ(A438,"IQ_TOTAL_DEBT_ISSUED",IQ_FY-4), _xll.ciqfunctions.udf.CIQ(A438, "IQ_TOTAL_DEBT_ISSUED",IQ_FY-3))</f>
        <v>1404.8</v>
      </c>
      <c r="N444" s="17">
        <f>IF(A446=A447,_xll.ciqfunctions.udf.CIQ(A438,"IQ_TOTAL_DEBT_REPAID",IQ_FY-4), _xll.ciqfunctions.udf.CIQ(A438, "IQ_TOTAL_DEBT_REPAID",IQ_FY-3))</f>
        <v>-595.20000000000005</v>
      </c>
      <c r="O444" s="15">
        <f t="shared" si="117"/>
        <v>1.9695151363174017</v>
      </c>
      <c r="P444" s="15">
        <f t="shared" si="118"/>
        <v>2.1269109235206329</v>
      </c>
      <c r="Q444" s="18"/>
      <c r="R444" s="38" t="s">
        <v>29</v>
      </c>
      <c r="S444" s="4">
        <f>(AVERAGE(P443:P448)/_xlfn.STDEV.P(P443:P448))/(IF(A446=A447,(_xlfn.SINGLE(_xll.ciqfunctions.udf.CIQ(A438,"IQ_total_assets",IQ_FY)) - _xlfn.SINGLE(_xll.ciqfunctions.udf.CIQ(A438,"iq_gw_intan", IQ_FY)))/I448, (_xlfn.SINGLE(_xll.ciqfunctions.udf.CIQ(A438, "IQ_total_assets",IQ_LTM))-_xlfn.SINGLE(_xll.ciqfunctions.udf.CIQ(A438,"iq_gw_intan",IQ_LTM)))/I448))</f>
        <v>7.5242856249132087E-2</v>
      </c>
      <c r="U444" s="18"/>
      <c r="V444" s="38" t="s">
        <v>29</v>
      </c>
      <c r="W444" s="4">
        <f>(AVERAGE(P443:P448)/_xlfn.STDEV.P(P443:P448))/(IF(A446=A447,(_xlfn.SINGLE(_xll.ciqfunctions.udf.CIQ(A438,"IQ_total_assets",IQ_FY)) - _xlfn.SINGLE(_xll.ciqfunctions.udf.CIQ(A438,"iq_gw_intan", IQ_FY)))/I448, (_xlfn.SINGLE(_xll.ciqfunctions.udf.CIQ(A438, "IQ_total_assets",IQ_LTM))-_xlfn.SINGLE(_xll.ciqfunctions.udf.CIQ(A438,"iq_gw_intan",IQ_LTM)))/I448))</f>
        <v>7.5242856249132087E-2</v>
      </c>
      <c r="Y444" s="18"/>
      <c r="Z444" s="38" t="s">
        <v>29</v>
      </c>
      <c r="AA444" s="4">
        <f>(AVERAGE(P443:P448)/_xlfn.STDEV.P(P443:P448))/(IF(A446=A447,(_xlfn.SINGLE(_xll.ciqfunctions.udf.CIQ(A438,"IQ_total_assets",IQ_FY)) - _xlfn.SINGLE(_xll.ciqfunctions.udf.CIQ(A438,"iq_gw_intan", IQ_FY)))/I448, (_xlfn.SINGLE(_xll.ciqfunctions.udf.CIQ(A438, "IQ_total_assets",IQ_LTM))-_xlfn.SINGLE(_xll.ciqfunctions.udf.CIQ(A438,"iq_gw_intan",IQ_LTM)))/I448))</f>
        <v>7.5242856249132087E-2</v>
      </c>
    </row>
    <row r="445" spans="1:27">
      <c r="A445" s="18"/>
      <c r="B445" s="13">
        <v>8</v>
      </c>
      <c r="C445" s="14" t="s">
        <v>30</v>
      </c>
      <c r="D445" s="15" cm="1">
        <f t="array" ref="D445">_xlfn.SINGLE(IF(A446=A447,_xll.ciqfunctions.udf.CIQ(A438,"IQ_TOTAL_REV",IQ_FY-3)/I445, _xll.ciqfunctions.udf.CIQ(A438, "IQ_TOTAL_REV",IQ_FY-2)/I445))</f>
        <v>12.758537312724762</v>
      </c>
      <c r="E445" s="16">
        <f t="shared" si="119"/>
        <v>-4.9530381862831055E-2</v>
      </c>
      <c r="F445" s="15">
        <f>IF(A446=A447,_xll.ciqfunctions.udf.CIQ(A438,"IQ_DILUT_EPS_EXCL",IQ_FY-3), _xll.ciqfunctions.udf.CIQ(A438, "IQ_DILUT_EPS_EXCL",IQ_FY-2))</f>
        <v>0.56000000000000005</v>
      </c>
      <c r="G445" s="15">
        <f>IF(A446=A447,_xll.ciqfunctions.udf.CIQ(A438,"IQ_EBITDA_MARGIN",IQ_FY-3), _xll.ciqfunctions.udf.CIQ(A438, "IQ_EBITDA_MARGIN",IQ_FY-2))</f>
        <v>19.8553</v>
      </c>
      <c r="H445" s="15">
        <f>IF(A446=A447,_xll.ciqfunctions.udf.CIQ(A438,"IQ_TOTAL_DIV_PAID_CF",IQ_FY-3)/-I445, _xll.ciqfunctions.udf.CIQ(A438, "IQ_TOTAL_DIV_PAID_CF",IQ_FY-2)/-I445)</f>
        <v>0</v>
      </c>
      <c r="I445" s="17">
        <f>IF(A446=A447,_xll.ciqfunctions.udf.CIQ(A438,"IQ_TOTAL_OUTSTANDING_FILING_DATE",IQ_FY-3), _xll.ciqfunctions.udf.CIQ(A438, "IQ_TOTAL_OUTSTANDING_FILING_DATE",IQ_FY-2))</f>
        <v>411.88107000000002</v>
      </c>
      <c r="J445" s="17">
        <f>IF(A446=A447,_xll.ciqfunctions.udf.CIQ(A438,"IQ_CASH_OPER",IQ_FY-3), _xll.ciqfunctions.udf.CIQ(A438, "IQ_CASH_OPER",IQ_FY-2))</f>
        <v>884.3</v>
      </c>
      <c r="K445" s="17">
        <f>IF(A446=A447,_xll.ciqfunctions.udf.CIQ(A438,"IQ_CAPEX",IQ_FY-3), _xll.ciqfunctions.udf.CIQ(A438, "IQ_CAPEX",IQ_FY-2))</f>
        <v>-483.6</v>
      </c>
      <c r="L445" s="15">
        <f t="shared" si="116"/>
        <v>0.97285364437846078</v>
      </c>
      <c r="M445" s="17">
        <f>IF(A446=A447,_xll.ciqfunctions.udf.CIQ(A438,"IQ_TOTAL_DEBT_ISSUED",IQ_FY-3), _xll.ciqfunctions.udf.CIQ(A438, "IQ_TOTAL_DEBT_ISSUED",IQ_FY-2))</f>
        <v>1858</v>
      </c>
      <c r="N445" s="17">
        <f>IF(A446=A447,_xll.ciqfunctions.udf.CIQ(A438,"IQ_TOTAL_DEBT_REPAID",IQ_FY-3), _xll.ciqfunctions.udf.CIQ(A438, "IQ_TOTAL_DEBT_REPAID",IQ_FY-2))</f>
        <v>-2023.9</v>
      </c>
      <c r="O445" s="15">
        <f t="shared" si="117"/>
        <v>-0.40278617320286186</v>
      </c>
      <c r="P445" s="15">
        <f t="shared" si="118"/>
        <v>0.57006747117559886</v>
      </c>
      <c r="Q445" s="18"/>
      <c r="R445" s="39" t="s">
        <v>31</v>
      </c>
      <c r="S445" s="5">
        <f>IF(NOT(D438&gt;0),FALSE,SLOPE(G438:G448,B438:B448))</f>
        <v>2.1920700000000002</v>
      </c>
      <c r="U445" s="18"/>
      <c r="V445" s="39" t="s">
        <v>31</v>
      </c>
      <c r="W445" s="5">
        <f>IF(NOT(D438&gt;0),FALSE,SLOPE(G438:G448,B438:B448))</f>
        <v>2.1920700000000002</v>
      </c>
      <c r="Y445" s="18"/>
      <c r="Z445" s="39" t="s">
        <v>31</v>
      </c>
      <c r="AA445" s="5">
        <f>IF(NOT(L438&gt;0),FALSE,SLOPE(O438:O448,J438:J448))</f>
        <v>-8.3298373382852597E-4</v>
      </c>
    </row>
    <row r="446" spans="1:27">
      <c r="A446" s="19">
        <f>_xll.ciqfunctions.udf.CIQ(A438,"IQ_TOTAL_REV",IQ_FY)</f>
        <v>8326.2000000000007</v>
      </c>
      <c r="B446" s="13">
        <v>9</v>
      </c>
      <c r="C446" s="14" t="s">
        <v>32</v>
      </c>
      <c r="D446" s="15" cm="1">
        <f t="array" ref="D446">_xlfn.SINGLE(IF(A446=A447,_xll.ciqfunctions.udf.CIQ(A438,"IQ_TOTAL_REV",IQ_FY-2)/I446, _xll.ciqfunctions.udf.CIQ(A438, "IQ_TOTAL_REV",IQ_FY-1)/I446))</f>
        <v>15.583431148855272</v>
      </c>
      <c r="E446" s="16">
        <f t="shared" si="119"/>
        <v>0.22141204488331859</v>
      </c>
      <c r="F446" s="15">
        <f>IF(A446=A447,_xll.ciqfunctions.udf.CIQ(A438,"IQ_DILUT_EPS_EXCL",IQ_FY-2), _xll.ciqfunctions.udf.CIQ(A438, "IQ_DILUT_EPS_EXCL",IQ_FY-1))</f>
        <v>2.27</v>
      </c>
      <c r="G446" s="15">
        <f>IF(A446=A447,_xll.ciqfunctions.udf.CIQ(A438,"IQ_EBITDA_MARGIN",IQ_FY-2), _xll.ciqfunctions.udf.CIQ(A438, "IQ_EBITDA_MARGIN",IQ_FY-1))</f>
        <v>29.404399999999999</v>
      </c>
      <c r="H446" s="15">
        <f>IF(A446=A447,_xll.ciqfunctions.udf.CIQ(A438,"IQ_TOTAL_DIV_PAID_CF",IQ_FY-2)/-I446, _xll.ciqfunctions.udf.CIQ(A438, "IQ_TOTAL_DIV_PAID_CF",IQ_FY-1)/-I446)</f>
        <v>0</v>
      </c>
      <c r="I446" s="17">
        <f>IF(A446=A447,_xll.ciqfunctions.udf.CIQ(A438,"IQ_TOTAL_OUTSTANDING_FILING_DATE",IQ_FY-2), _xll.ciqfunctions.udf.CIQ(A438, "IQ_TOTAL_OUTSTANDING_FILING_DATE",IQ_FY-1))</f>
        <v>432.49781999999999</v>
      </c>
      <c r="J446" s="17">
        <f>IF(A446=A447,_xll.ciqfunctions.udf.CIQ(A438,"IQ_CASH_OPER",IQ_FY-2), _xll.ciqfunctions.udf.CIQ(A438, "IQ_CASH_OPER",IQ_FY-1))</f>
        <v>1782</v>
      </c>
      <c r="K446" s="17">
        <f>IF(A446=A447,_xll.ciqfunctions.udf.CIQ(A438,"IQ_CAPEX",IQ_FY-2), _xll.ciqfunctions.udf.CIQ(A438, "IQ_CAPEX",IQ_FY-1))</f>
        <v>-492</v>
      </c>
      <c r="L446" s="15">
        <f t="shared" si="116"/>
        <v>2.9826739935937714</v>
      </c>
      <c r="M446" s="17">
        <f>IF(A446=A447,_xll.ciqfunctions.udf.CIQ(A438,"IQ_TOTAL_DEBT_ISSUED",IQ_FY-2), _xll.ciqfunctions.udf.CIQ(A438, "IQ_TOTAL_DEBT_ISSUED",IQ_FY-1))</f>
        <v>787.3</v>
      </c>
      <c r="N446" s="17">
        <f>IF(A446=A447,_xll.ciqfunctions.udf.CIQ(A438,"IQ_TOTAL_DEBT_REPAID",IQ_FY-2), _xll.ciqfunctions.udf.CIQ(A438, "IQ_TOTAL_DEBT_REPAID",IQ_FY-1))</f>
        <v>-1270.5</v>
      </c>
      <c r="O446" s="15">
        <f t="shared" si="117"/>
        <v>-1.1172310648872175</v>
      </c>
      <c r="P446" s="15">
        <f t="shared" si="118"/>
        <v>1.8654429287065539</v>
      </c>
      <c r="Q446" s="25" t="s">
        <v>33</v>
      </c>
      <c r="R446" s="38" t="s">
        <v>52</v>
      </c>
      <c r="S446" s="4">
        <f>(AVERAGE(O443:O448)/AVERAGE(P443:P448))</f>
        <v>1.2918073141530102E-2</v>
      </c>
      <c r="U446" s="25" t="s">
        <v>54</v>
      </c>
      <c r="V446" s="38" t="s">
        <v>52</v>
      </c>
      <c r="W446" s="4">
        <f>(AVERAGE(O443:O448)/AVERAGE(P443:P448))</f>
        <v>1.2918073141530102E-2</v>
      </c>
      <c r="Y446" s="25" t="s">
        <v>60</v>
      </c>
      <c r="Z446" s="38" t="s">
        <v>52</v>
      </c>
      <c r="AA446" s="4">
        <f>(AVERAGE(O443:O448)/AVERAGE(P443:P448))</f>
        <v>1.2918073141530102E-2</v>
      </c>
    </row>
    <row r="447" spans="1:27">
      <c r="A447" s="19">
        <f>_xll.ciqfunctions.udf.CIQ(A438,"IQ_TOTAL_REV",IQ_LTM)</f>
        <v>8338.5</v>
      </c>
      <c r="B447" s="13">
        <v>10</v>
      </c>
      <c r="C447" s="14" t="s">
        <v>34</v>
      </c>
      <c r="D447" s="15" cm="1">
        <f t="array" ref="D447">_xlfn.SINGLE(IF(A446=A447,_xll.ciqfunctions.udf.CIQ(A438,"IQ_TOTAL_REV",IQ_FY-1)/I447, _xll.ciqfunctions.udf.CIQ(A438, "IQ_TOTAL_REV",IQ_FY)/I447))</f>
        <v>19.275042907701177</v>
      </c>
      <c r="E447" s="16">
        <f t="shared" si="119"/>
        <v>0.2368933852617614</v>
      </c>
      <c r="F447" s="15">
        <f>IF(A446=A447,_xll.ciqfunctions.udf.CIQ(A438,"IQ_DILUT_EPS_EXCL",IQ_FY-1), _xll.ciqfunctions.udf.CIQ(A438, "IQ_DILUT_EPS_EXCL",IQ_FY))</f>
        <v>4.2485499999999998</v>
      </c>
      <c r="G447" s="15">
        <f>IF(A446=A447,_xll.ciqfunctions.udf.CIQ(A438,"IQ_EBITDA_MARGIN",IQ_FY-1), _xll.ciqfunctions.udf.CIQ(A438, "IQ_EBITDA_MARGIN",IQ_FY))</f>
        <v>40.064999999999998</v>
      </c>
      <c r="H447" s="15">
        <f>IF(A446=A447,_xll.ciqfunctions.udf.CIQ(A438,"IQ_TOTAL_DIV_PAID_CF",IQ_FY-1)/-I447, _xll.ciqfunctions.udf.CIQ(A438, "IQ_TOTAL_DIV_PAID_CF",IQ_FY)/-I447)</f>
        <v>0</v>
      </c>
      <c r="I447" s="17">
        <f>IF(A446=A447,_xll.ciqfunctions.udf.CIQ(A438,"IQ_TOTAL_OUTSTANDING_FILING_DATE",IQ_FY-1), _xll.ciqfunctions.udf.CIQ(A438, "IQ_TOTAL_OUTSTANDING_FILING_DATE",IQ_FY))</f>
        <v>431.96791000000002</v>
      </c>
      <c r="J447" s="17">
        <f>IF(A446=A447,_xll.ciqfunctions.udf.CIQ(A438,"IQ_CASH_OPER",IQ_FY-1), _xll.ciqfunctions.udf.CIQ(A438, "IQ_CASH_OPER",IQ_FY))</f>
        <v>2633.1</v>
      </c>
      <c r="K447" s="17">
        <f>IF(A446=A447,_xll.ciqfunctions.udf.CIQ(A438,"IQ_CAPEX",IQ_FY-1), _xll.ciqfunctions.udf.CIQ(A438, "IQ_CAPEX",IQ_FY))</f>
        <v>-1036</v>
      </c>
      <c r="L447" s="15">
        <f t="shared" si="116"/>
        <v>3.6972653825141775</v>
      </c>
      <c r="M447" s="17">
        <f>IF(A446=A447,_xll.ciqfunctions.udf.CIQ(A438,"IQ_TOTAL_DEBT_ISSUED",IQ_FY-1), _xll.ciqfunctions.udf.CIQ(A438, "IQ_TOTAL_DEBT_ISSUED",IQ_FY))</f>
        <v>500</v>
      </c>
      <c r="N447" s="17">
        <f>IF(A446=A447,_xll.ciqfunctions.udf.CIQ(A438,"IQ_TOTAL_DEBT_REPAID",IQ_FY-1), _xll.ciqfunctions.udf.CIQ(A438, "IQ_TOTAL_DEBT_REPAID",IQ_FY))</f>
        <v>-541.5</v>
      </c>
      <c r="O447" s="15">
        <f t="shared" si="117"/>
        <v>-9.6071951270639527E-2</v>
      </c>
      <c r="P447" s="15">
        <f t="shared" si="118"/>
        <v>3.6011934312435381</v>
      </c>
      <c r="Q447" s="25" t="s">
        <v>44</v>
      </c>
      <c r="R447" s="38" t="s">
        <v>35</v>
      </c>
      <c r="S447" s="1">
        <f>_xll.ciqfunctions.udf.CIQ(A438,"IQ_TEV_EBITDA")</f>
        <v>9.2472499999999993</v>
      </c>
      <c r="U447" s="25" t="s">
        <v>55</v>
      </c>
      <c r="V447" s="38" t="s">
        <v>53</v>
      </c>
      <c r="W447" s="1">
        <f>V437/(AVERAGE(D443:D448)/_xlfn.STDEV.P(E443:E448))</f>
        <v>0.53077496632143895</v>
      </c>
      <c r="Y447" s="25" t="s">
        <v>57</v>
      </c>
      <c r="Z447" s="38" t="s">
        <v>53</v>
      </c>
      <c r="AA447" s="1">
        <f>Z437/(AVERAGE(D443:D448)/_xlfn.STDEV.P(E443:E448))</f>
        <v>0.53077496632143895</v>
      </c>
    </row>
    <row r="448" spans="1:27">
      <c r="B448" s="13">
        <v>11</v>
      </c>
      <c r="C448" s="20" t="s">
        <v>36</v>
      </c>
      <c r="D448" s="21" cm="1">
        <f t="array" ref="D448">_xlfn.SINGLE(IF(A446=A447,_xll.ciqfunctions.udf.CIQ(A438,"IQ_TOTAL_REV",IQ_FY)/I448, _xll.ciqfunctions.udf.CIQ(A438, "IQ_TOTAL_REV",IQ_LTM)/I448))</f>
        <v>19.360451958879082</v>
      </c>
      <c r="E448" s="22">
        <f t="shared" si="119"/>
        <v>4.4310693152221428E-3</v>
      </c>
      <c r="F448" s="21">
        <f>IF(A446=A447,_xll.ciqfunctions.udf.CIQ(A438,"IQ_DILUT_EPS_EXCL",IQ_FY), _xll.ciqfunctions.udf.CIQ(A438, "IQ_DILUT_EPS_EXCL",IQ_LTM))</f>
        <v>4.9604600000000003</v>
      </c>
      <c r="G448" s="21">
        <f>IF(A446=A447,_xll.ciqfunctions.udf.CIQ(A438,"IQ_EBITDA_MARGIN",IQ_FY), _xll.ciqfunctions.udf.CIQ(A438, "IQ_EBITDA_MARGIN",IQ_LTM))</f>
        <v>39.415900000000001</v>
      </c>
      <c r="H448" s="21">
        <f>IF(A446=A447,_xll.ciqfunctions.udf.CIQ(A438,"IQ_TOTAL_DIV_PAID_CF",IQ_FY)/-I448, _xll.ciqfunctions.udf.CIQ(A438, "IQ_TOTAL_DIV_PAID_CF",IQ_LTM)/-I448)</f>
        <v>0</v>
      </c>
      <c r="I448" s="23">
        <f>IF(A446=A447,_xll.ciqfunctions.udf.CIQ(A438,"IQ_TOTAL_OUTSTANDING_FILING_DATE",IQ_FY),_xll.ciqfunctions.udf.CIQ(A438,"IQ_sharesoutstanding"))</f>
        <v>430.69758999999999</v>
      </c>
      <c r="J448" s="23">
        <f>IF(A446=A447,_xll.ciqfunctions.udf.CIQ(A438,"IQ_CASH_OPER",IQ_FY), _xll.ciqfunctions.udf.CIQ(A438, "IQ_CASH_OPER",IQ_LTM))</f>
        <v>2097.6</v>
      </c>
      <c r="K448" s="23">
        <f>IF(A446=A447,_xll.ciqfunctions.udf.CIQ(A438,"IQ_CAPEX",IQ_FY), _xll.ciqfunctions.udf.CIQ(A438, "IQ_CAPEX",IQ_LTM))</f>
        <v>-1504.4</v>
      </c>
      <c r="L448" s="21">
        <f t="shared" si="116"/>
        <v>1.3773004859395657</v>
      </c>
      <c r="M448" s="23">
        <f>IF(A446=A447,_xll.ciqfunctions.udf.CIQ(A438,"IQ_TOTAL_DEBT_ISSUED",IQ_FY), _xll.ciqfunctions.udf.CIQ(A438, "IQ_TOTAL_DEBT_ISSUED",IQ_LTM))</f>
        <v>1845</v>
      </c>
      <c r="N448" s="23">
        <f>IF(A446=A447,_xll.ciqfunctions.udf.CIQ(A438,"IQ_TOTAL_DEBT_REPAID",IQ_FY), _xll.ciqfunctions.udf.CIQ(A438, "IQ_TOTAL_DEBT_REPAID",IQ_LTM))</f>
        <v>-1633.6</v>
      </c>
      <c r="O448" s="21">
        <f t="shared" si="117"/>
        <v>0.49083162968244165</v>
      </c>
      <c r="P448" s="21">
        <f t="shared" si="118"/>
        <v>1.8681321156220072</v>
      </c>
      <c r="Q448" s="25" t="s">
        <v>45</v>
      </c>
      <c r="S448" s="45"/>
      <c r="U448" s="25"/>
      <c r="W448" s="45"/>
      <c r="Y448" s="25"/>
      <c r="AA448" s="45"/>
    </row>
    <row r="449" spans="1:27">
      <c r="B449" s="24"/>
      <c r="C449" s="25" t="s">
        <v>37</v>
      </c>
      <c r="E449" s="26">
        <f>((D448/D443)^(1/5))-1</f>
        <v>6.1764352301469039E-2</v>
      </c>
      <c r="F449" s="27">
        <f>((F448/F443)^(1/5))-1</f>
        <v>0.28065424077504231</v>
      </c>
      <c r="G449" s="28"/>
      <c r="H449" s="27" t="e">
        <f>((H448/H443)^(1/5))-1</f>
        <v>#DIV/0!</v>
      </c>
      <c r="I449" s="27">
        <f>((I448/I443)^(1/5))-1</f>
        <v>1.0041218294762899E-2</v>
      </c>
      <c r="J449" s="27"/>
      <c r="K449" s="27"/>
      <c r="L449" s="26">
        <f>((L448/L443)^(1/5))-1</f>
        <v>-5.7661330937288313E-2</v>
      </c>
      <c r="M449" s="26"/>
      <c r="N449" s="26"/>
      <c r="O449" s="26"/>
      <c r="P449" s="26">
        <f>((P448/P443)^(1/5))-1</f>
        <v>0.10118373522399349</v>
      </c>
      <c r="Q449" s="18"/>
      <c r="R449" s="36"/>
      <c r="S449" s="45"/>
      <c r="U449" s="18"/>
      <c r="V449" s="36"/>
      <c r="W449" s="45"/>
      <c r="Y449" s="18"/>
      <c r="Z449" s="36"/>
      <c r="AA449" s="45"/>
    </row>
    <row r="450" spans="1:27">
      <c r="A450" s="29"/>
      <c r="B450" s="30"/>
      <c r="C450" s="31" t="s">
        <v>38</v>
      </c>
      <c r="D450" s="29"/>
      <c r="E450" s="32">
        <f>((D448/D438)^(1/10))-1</f>
        <v>0.11848922053594824</v>
      </c>
      <c r="F450" s="33">
        <f>((F448/F438)^(1/10))-1</f>
        <v>0.31129619557557686</v>
      </c>
      <c r="G450" s="34"/>
      <c r="H450" s="33" t="e">
        <f>((H448/H438)^(1/10))-1</f>
        <v>#DIV/0!</v>
      </c>
      <c r="I450" s="33">
        <f>((I448/I438)^(1/10))-1</f>
        <v>-2.2302073878860407E-3</v>
      </c>
      <c r="J450" s="33"/>
      <c r="K450" s="33"/>
      <c r="L450" s="32">
        <f>((L448/L438)^(1/10))-1</f>
        <v>0.13511790988065675</v>
      </c>
      <c r="M450" s="32"/>
      <c r="N450" s="32"/>
      <c r="O450" s="32"/>
      <c r="P450" s="32">
        <f>((P448/P438)^(1/10))-1</f>
        <v>0.25468496905285476</v>
      </c>
      <c r="Q450" s="40"/>
      <c r="R450" s="41"/>
      <c r="S450" s="46"/>
      <c r="U450" s="40"/>
      <c r="V450" s="41"/>
      <c r="W450" s="46"/>
      <c r="Y450" s="40"/>
      <c r="Z450" s="41"/>
      <c r="AA450" s="46"/>
    </row>
    <row r="451" spans="1:27">
      <c r="B451" s="24"/>
      <c r="C451" s="25"/>
      <c r="E451" s="26"/>
      <c r="F451" s="27"/>
      <c r="G451" s="28"/>
      <c r="H451" s="27"/>
      <c r="I451" s="27"/>
      <c r="J451" s="27"/>
      <c r="K451" s="27"/>
      <c r="L451" s="26"/>
      <c r="M451" s="17"/>
      <c r="N451" s="17"/>
      <c r="O451" s="17"/>
      <c r="P451" s="35"/>
      <c r="Q451" s="18"/>
      <c r="R451" s="36"/>
    </row>
    <row r="452" spans="1:27">
      <c r="A452" s="9" t="s">
        <v>0</v>
      </c>
      <c r="B452" s="10"/>
      <c r="C452" s="9" t="s">
        <v>1</v>
      </c>
      <c r="D452" s="9" t="s">
        <v>2</v>
      </c>
      <c r="E452" s="9" t="s">
        <v>3</v>
      </c>
      <c r="F452" s="11" t="s">
        <v>4</v>
      </c>
      <c r="G452" s="11" t="s">
        <v>5</v>
      </c>
      <c r="H452" s="9" t="s">
        <v>6</v>
      </c>
      <c r="I452" s="11" t="s">
        <v>7</v>
      </c>
      <c r="J452" s="11" t="s">
        <v>8</v>
      </c>
      <c r="K452" s="11" t="s">
        <v>9</v>
      </c>
      <c r="L452" s="11" t="s">
        <v>10</v>
      </c>
      <c r="M452" s="11" t="s">
        <v>11</v>
      </c>
      <c r="N452" s="11" t="s">
        <v>12</v>
      </c>
      <c r="O452" s="11" t="s">
        <v>13</v>
      </c>
      <c r="P452" s="11" t="s">
        <v>14</v>
      </c>
      <c r="Q452" s="37" t="s">
        <v>15</v>
      </c>
      <c r="R452" s="42">
        <f>_xll.ciqfunctions.udf.CIQ(A453,("IQ_LASTSALEPRICE"))</f>
        <v>56.01</v>
      </c>
      <c r="S452" s="44"/>
      <c r="U452" s="37" t="s">
        <v>15</v>
      </c>
      <c r="V452" s="42">
        <f>_xll.ciqfunctions.udf.CIQ(A453,("IQ_LASTSALEPRICE"))</f>
        <v>56.01</v>
      </c>
      <c r="W452" s="44"/>
      <c r="Y452" s="37" t="s">
        <v>15</v>
      </c>
      <c r="Z452" s="42">
        <f>_xll.ciqfunctions.udf.CIQ(A453,("IQ_LASTSALEPRICE"))</f>
        <v>56.01</v>
      </c>
      <c r="AA452" s="44"/>
    </row>
    <row r="453" spans="1:27">
      <c r="A453" s="12" t="str">
        <f>Analysis!B32</f>
        <v>NasdaqGS:MRVL</v>
      </c>
      <c r="B453" s="13">
        <v>1</v>
      </c>
      <c r="C453" s="14" t="s">
        <v>16</v>
      </c>
      <c r="D453" s="15">
        <f>IF(A461=A462,_xll.ciqfunctions.udf.CIQ(A453,"IQ_TOTAL_REV",IQ_FY-10)/I453,_xll.ciqfunctions.udf.CIQ(A453, "IQ_TOTAL_REV",IQ_FY-9)/I453)</f>
        <v>6.7628128724672232</v>
      </c>
      <c r="E453" s="16"/>
      <c r="F453" s="15">
        <f>IF(A461=A462,_xll.ciqfunctions.udf.CIQ(A453,"IQ_DILUT_EPS_EXCL",IQ_FY-10), _xll.ciqfunctions.udf.CIQ(A453, "IQ_DILUT_EPS_EXCL",IQ_FY-9))</f>
        <v>0.63</v>
      </c>
      <c r="G453" s="15">
        <f>IF(A461=A462,_xll.ciqfunctions.udf.CIQ(A453,"IQ_EBITDA_MARGIN",IQ_FY-10), _xll.ciqfunctions.udf.CIQ(A453, "IQ_EBITDA_MARGIN",IQ_FY-9))</f>
        <v>12.694699999999999</v>
      </c>
      <c r="H453" s="15">
        <f>IF(A461=A462,_xll.ciqfunctions.udf.CIQ(A453,"IQ_TOTAL_DIV_PAID_CF",IQ_FY-10)/-I453, _xll.ciqfunctions.udf.CIQ(A453, "IQ_TOTAL_DIV_PAID_CF",IQ_FY-9)/-I453)</f>
        <v>0.23728446563369091</v>
      </c>
      <c r="I453" s="17">
        <f>IF(A461=A462,_xll.ciqfunctions.udf.CIQ(A453,"IQ_TOTAL_OUTSTANDING_FILING_DATE",IQ_FY-10), _xll.ciqfunctions.udf.CIQ(A453, "IQ_TOTAL_OUTSTANDING_FILING_DATE",IQ_FY-9))</f>
        <v>503.4</v>
      </c>
      <c r="J453" s="17">
        <f>IF(A461=A462,_xll.ciqfunctions.udf.CIQ(A453,"IQ_CASH_OPER",IQ_FY-10), _xll.ciqfunctions.udf.CIQ(A453, "IQ_CASH_OPER",IQ_FY-9))</f>
        <v>448.03899999999999</v>
      </c>
      <c r="K453" s="17">
        <f>IF(A461=A462,_xll.ciqfunctions.udf.CIQ(A453,"IQ_CAPEX",IQ_FY-10), _xll.ciqfunctions.udf.CIQ(A453, "IQ_CAPEX",IQ_FY-9))</f>
        <v>-66.593000000000004</v>
      </c>
      <c r="L453" s="15">
        <f t="shared" ref="L453:L463" si="120">(J453+K453)/I453</f>
        <v>0.75773937226857369</v>
      </c>
      <c r="M453" s="17">
        <f>IF(A461=A462,_xll.ciqfunctions.udf.CIQ(A453,"IQ_TOTAL_DEBT_ISSUED",IQ_FY-10), _xll.ciqfunctions.udf.CIQ(A453, "IQ_TOTAL_DEBT_ISSUED",IQ_FY-9))</f>
        <v>0</v>
      </c>
      <c r="N453" s="17">
        <f>IF(A461=A462,_xll.ciqfunctions.udf.CIQ(A453,"IQ_TOTAL_DEBT_REPAID",IQ_FY-10), _xll.ciqfunctions.udf.CIQ(A453, "IQ_TOTAL_DEBT_REPAID",IQ_FY-9))</f>
        <v>0</v>
      </c>
      <c r="O453" s="15">
        <f t="shared" ref="O453:O463" si="121">(M453+N453)/I453</f>
        <v>0</v>
      </c>
      <c r="P453" s="15">
        <f t="shared" ref="P453:P463" si="122">L453+O453</f>
        <v>0.75773937226857369</v>
      </c>
      <c r="W453" s="43"/>
      <c r="AA453" s="43"/>
    </row>
    <row r="454" spans="1:27">
      <c r="A454" s="18" t="str">
        <f>_xll.ciqfunctions.udf.CIQ(A453,"IQ_COMPANY_NAME")</f>
        <v>Marvell Technology, Inc.</v>
      </c>
      <c r="B454" s="13">
        <v>2</v>
      </c>
      <c r="C454" s="14" t="s">
        <v>17</v>
      </c>
      <c r="D454" s="15">
        <f>IF(A461=A462,_xll.ciqfunctions.udf.CIQ(A453,"IQ_TOTAL_REV",IQ_FY-9)/I454, _xll.ciqfunctions.udf.CIQ(A453, "IQ_TOTAL_REV",IQ_FY-8)/I454)</f>
        <v>7.0625359223300972</v>
      </c>
      <c r="E454" s="16">
        <f t="shared" ref="E454:E463" si="123">(D454-D453)/D453</f>
        <v>4.431928777492973E-2</v>
      </c>
      <c r="F454" s="15">
        <f>IF(A461=A462,_xll.ciqfunctions.udf.CIQ(A453,"IQ_DILUT_EPS_EXCL",IQ_FY-9), _xll.ciqfunctions.udf.CIQ(A453, "IQ_DILUT_EPS_EXCL",IQ_FY-8))</f>
        <v>0.93</v>
      </c>
      <c r="G454" s="15">
        <f>IF(A461=A462,_xll.ciqfunctions.udf.CIQ(A453,"IQ_EBITDA_MARGIN",IQ_FY-9), _xll.ciqfunctions.udf.CIQ(A453, "IQ_EBITDA_MARGIN",IQ_FY-8))</f>
        <v>16.259699999999999</v>
      </c>
      <c r="H454" s="15">
        <f>IF(A461=A462,_xll.ciqfunctions.udf.CIQ(A453,"IQ_TOTAL_DIV_PAID_CF",IQ_FY-9)/-I454, _xll.ciqfunctions.udf.CIQ(A453, "IQ_TOTAL_DIV_PAID_CF",IQ_FY-8)/-I454)</f>
        <v>0.23844854368932039</v>
      </c>
      <c r="I454" s="17">
        <f>IF(A461=A462,_xll.ciqfunctions.udf.CIQ(A453,"IQ_TOTAL_OUTSTANDING_FILING_DATE",IQ_FY-9), _xll.ciqfunctions.udf.CIQ(A453, "IQ_TOTAL_OUTSTANDING_FILING_DATE",IQ_FY-8))</f>
        <v>515</v>
      </c>
      <c r="J454" s="17">
        <f>IF(A461=A462,_xll.ciqfunctions.udf.CIQ(A453,"IQ_CASH_OPER",IQ_FY-9), _xll.ciqfunctions.udf.CIQ(A453, "IQ_CASH_OPER",IQ_FY-8))</f>
        <v>728.93600000000004</v>
      </c>
      <c r="K454" s="17">
        <f>IF(A461=A462,_xll.ciqfunctions.udf.CIQ(A453,"IQ_CAPEX",IQ_FY-9), _xll.ciqfunctions.udf.CIQ(A453, "IQ_CAPEX",IQ_FY-8))</f>
        <v>-63.03</v>
      </c>
      <c r="L454" s="15">
        <f t="shared" si="120"/>
        <v>1.2930213592233011</v>
      </c>
      <c r="M454" s="17">
        <f>IF(A461=A462,_xll.ciqfunctions.udf.CIQ(A453,"IQ_TOTAL_DEBT_ISSUED",IQ_FY-9), _xll.ciqfunctions.udf.CIQ(A453, "IQ_TOTAL_DEBT_ISSUED",IQ_FY-8))</f>
        <v>0</v>
      </c>
      <c r="N454" s="17">
        <f>IF(A461=A462,_xll.ciqfunctions.udf.CIQ(A453,"IQ_TOTAL_DEBT_REPAID",IQ_FY-9), _xll.ciqfunctions.udf.CIQ(A453, "IQ_TOTAL_DEBT_REPAID",IQ_FY-8))</f>
        <v>0</v>
      </c>
      <c r="O454" s="15">
        <f t="shared" si="121"/>
        <v>0</v>
      </c>
      <c r="P454" s="15">
        <f t="shared" si="122"/>
        <v>1.2930213592233011</v>
      </c>
      <c r="Q454" s="25" t="s">
        <v>18</v>
      </c>
      <c r="R454" s="39" t="s">
        <v>19</v>
      </c>
      <c r="S454" s="1">
        <f>R452/((AVERAGE(P458:P463))*(1+E464)^3)</f>
        <v>28.522884743461578</v>
      </c>
      <c r="U454" s="25" t="s">
        <v>48</v>
      </c>
      <c r="V454" s="39" t="s">
        <v>19</v>
      </c>
      <c r="W454" s="1">
        <f>V452/((AVERAGE(P458:P463))*(1+E464)^3)</f>
        <v>28.522884743461578</v>
      </c>
      <c r="Y454" s="25" t="s">
        <v>39</v>
      </c>
      <c r="Z454" s="39" t="s">
        <v>19</v>
      </c>
      <c r="AA454" s="1">
        <f>Z452/((AVERAGE(P458:P463))*(1+E464)^3)</f>
        <v>28.522884743461578</v>
      </c>
    </row>
    <row r="455" spans="1:27">
      <c r="B455" s="13">
        <v>3</v>
      </c>
      <c r="C455" s="14" t="s">
        <v>20</v>
      </c>
      <c r="D455" s="15" cm="1">
        <f t="array" ref="D455">_xlfn.SINGLE(IF(A461=A462,_xll.ciqfunctions.udf.CIQ(A453,"IQ_TOTAL_REV",IQ_FY-8)/I455, _xll.ciqfunctions.udf.CIQ(A453, "IQ_TOTAL_REV",IQ_FY-7)/I455))</f>
        <v>5.0909565727699526</v>
      </c>
      <c r="E455" s="16">
        <f t="shared" si="123"/>
        <v>-0.27916025790771115</v>
      </c>
      <c r="F455" s="15">
        <f>IF(A461=A462,_xll.ciqfunctions.udf.CIQ(A453,"IQ_DILUT_EPS_EXCL",IQ_FY-8), _xll.ciqfunctions.udf.CIQ(A453, "IQ_DILUT_EPS_EXCL",IQ_FY-7))</f>
        <v>-1.45</v>
      </c>
      <c r="G455" s="15">
        <f>IF(A461=A462,_xll.ciqfunctions.udf.CIQ(A453,"IQ_EBITDA_MARGIN",IQ_FY-8), _xll.ciqfunctions.udf.CIQ(A453, "IQ_EBITDA_MARGIN",IQ_FY-7))</f>
        <v>7.4452999999999996</v>
      </c>
      <c r="H455" s="15">
        <f>IF(A461=A462,_xll.ciqfunctions.udf.CIQ(A453,"IQ_TOTAL_DIV_PAID_CF",IQ_FY-8)/-I455, _xll.ciqfunctions.udf.CIQ(A453, "IQ_TOTAL_DIV_PAID_CF",IQ_FY-7)/-I455)</f>
        <v>0.24026017214397496</v>
      </c>
      <c r="I455" s="17">
        <f>IF(A461=A462,_xll.ciqfunctions.udf.CIQ(A453,"IQ_TOTAL_OUTSTANDING_FILING_DATE",IQ_FY-8), _xll.ciqfunctions.udf.CIQ(A453, "IQ_TOTAL_OUTSTANDING_FILING_DATE",IQ_FY-7))</f>
        <v>511.2</v>
      </c>
      <c r="J455" s="17">
        <f>IF(A461=A462,_xll.ciqfunctions.udf.CIQ(A453,"IQ_CASH_OPER",IQ_FY-8), _xll.ciqfunctions.udf.CIQ(A453, "IQ_CASH_OPER",IQ_FY-7))</f>
        <v>205.352</v>
      </c>
      <c r="K455" s="17">
        <f>IF(A461=A462,_xll.ciqfunctions.udf.CIQ(A453,"IQ_CAPEX",IQ_FY-8), _xll.ciqfunctions.udf.CIQ(A453, "IQ_CAPEX",IQ_FY-7))</f>
        <v>-47.494999999999997</v>
      </c>
      <c r="L455" s="15">
        <f t="shared" si="120"/>
        <v>0.30879694835680754</v>
      </c>
      <c r="M455" s="17">
        <f>IF(A461=A462,_xll.ciqfunctions.udf.CIQ(A453,"IQ_TOTAL_DEBT_ISSUED",IQ_FY-8), _xll.ciqfunctions.udf.CIQ(A453, "IQ_TOTAL_DEBT_ISSUED",IQ_FY-7))</f>
        <v>0</v>
      </c>
      <c r="N455" s="17">
        <f>IF(A461=A462,_xll.ciqfunctions.udf.CIQ(A453,"IQ_TOTAL_DEBT_REPAID",IQ_FY-8), _xll.ciqfunctions.udf.CIQ(A453, "IQ_TOTAL_DEBT_REPAID",IQ_FY-7))</f>
        <v>0</v>
      </c>
      <c r="O455" s="15">
        <f t="shared" si="121"/>
        <v>0</v>
      </c>
      <c r="P455" s="15">
        <f t="shared" si="122"/>
        <v>0.30879694835680754</v>
      </c>
      <c r="Q455" s="25" t="s">
        <v>21</v>
      </c>
      <c r="R455" s="38" t="s">
        <v>49</v>
      </c>
      <c r="S455" s="2">
        <f>(R452*I463)/1000</f>
        <v>48.325427999999995</v>
      </c>
      <c r="U455" s="25" t="s">
        <v>59</v>
      </c>
      <c r="V455" s="38" t="s">
        <v>49</v>
      </c>
      <c r="W455" s="2">
        <f>(V452*I463)/1000</f>
        <v>48.325427999999995</v>
      </c>
      <c r="Y455" s="25" t="s">
        <v>46</v>
      </c>
      <c r="Z455" s="38" t="s">
        <v>49</v>
      </c>
      <c r="AA455" s="2">
        <f>(Z452*I463)/1000</f>
        <v>48.325427999999995</v>
      </c>
    </row>
    <row r="456" spans="1:27">
      <c r="A456" s="18"/>
      <c r="B456" s="13">
        <v>4</v>
      </c>
      <c r="C456" s="14" t="s">
        <v>22</v>
      </c>
      <c r="D456" s="15" cm="1">
        <f t="array" ref="D456">_xlfn.SINGLE(IF(A461=A462,_xll.ciqfunctions.udf.CIQ(A453,"IQ_TOTAL_REV",IQ_FY-7)/I456, _xll.ciqfunctions.udf.CIQ(A453, "IQ_TOTAL_REV",IQ_FY-6)/I456))</f>
        <v>4.580000000000001</v>
      </c>
      <c r="E456" s="16">
        <f t="shared" si="123"/>
        <v>-0.10036553356257445</v>
      </c>
      <c r="F456" s="15">
        <f>IF(A461=A462,_xll.ciqfunctions.udf.CIQ(A453,"IQ_DILUT_EPS_EXCL",IQ_FY-7), _xll.ciqfunctions.udf.CIQ(A453, "IQ_DILUT_EPS_EXCL",IQ_FY-6))</f>
        <v>0.14000000000000001</v>
      </c>
      <c r="G456" s="15">
        <f>IF(A461=A462,_xll.ciqfunctions.udf.CIQ(A453,"IQ_EBITDA_MARGIN",IQ_FY-7), _xll.ciqfunctions.udf.CIQ(A453, "IQ_EBITDA_MARGIN",IQ_FY-6))</f>
        <v>15.023899999999999</v>
      </c>
      <c r="H456" s="15">
        <f>IF(A461=A462,_xll.ciqfunctions.udf.CIQ(A453,"IQ_TOTAL_DIV_PAID_CF",IQ_FY-7)/-I456, _xll.ciqfunctions.udf.CIQ(A453, "IQ_TOTAL_DIV_PAID_CF",IQ_FY-6)/-I456)</f>
        <v>0.24341560509554142</v>
      </c>
      <c r="I456" s="17">
        <f>IF(A461=A462,_xll.ciqfunctions.udf.CIQ(A453,"IQ_TOTAL_OUTSTANDING_FILING_DATE",IQ_FY-7), _xll.ciqfunctions.udf.CIQ(A453, "IQ_TOTAL_OUTSTANDING_FILING_DATE",IQ_FY-6))</f>
        <v>502.4</v>
      </c>
      <c r="J456" s="17">
        <f>IF(A461=A462,_xll.ciqfunctions.udf.CIQ(A453,"IQ_CASH_OPER",IQ_FY-7), _xll.ciqfunctions.udf.CIQ(A453, "IQ_CASH_OPER",IQ_FY-6))</f>
        <v>-358.435</v>
      </c>
      <c r="K456" s="17">
        <f>IF(A461=A462,_xll.ciqfunctions.udf.CIQ(A453,"IQ_CAPEX",IQ_FY-7), _xll.ciqfunctions.udf.CIQ(A453, "IQ_CAPEX",IQ_FY-6))</f>
        <v>-44.51</v>
      </c>
      <c r="L456" s="15">
        <f t="shared" si="120"/>
        <v>-0.80204020700636947</v>
      </c>
      <c r="M456" s="17">
        <f>IF(A461=A462,_xll.ciqfunctions.udf.CIQ(A453,"IQ_TOTAL_DEBT_ISSUED",IQ_FY-7), _xll.ciqfunctions.udf.CIQ(A453, "IQ_TOTAL_DEBT_ISSUED",IQ_FY-6))</f>
        <v>0</v>
      </c>
      <c r="N456" s="17">
        <f>IF(A461=A462,_xll.ciqfunctions.udf.CIQ(A453,"IQ_TOTAL_DEBT_REPAID",IQ_FY-7), _xll.ciqfunctions.udf.CIQ(A453, "IQ_TOTAL_DEBT_REPAID",IQ_FY-6))</f>
        <v>0</v>
      </c>
      <c r="O456" s="15">
        <f t="shared" si="121"/>
        <v>0</v>
      </c>
      <c r="P456" s="15">
        <f t="shared" si="122"/>
        <v>-0.80204020700636947</v>
      </c>
      <c r="Q456" s="25" t="s">
        <v>23</v>
      </c>
      <c r="R456" s="38" t="s">
        <v>24</v>
      </c>
      <c r="S456" s="1">
        <f>R452/(AVERAGE(H458:H463)*(1+H464)/(0.5-H464))</f>
        <v>115.42965822850111</v>
      </c>
      <c r="U456" s="25" t="s">
        <v>40</v>
      </c>
      <c r="V456" s="38" t="s">
        <v>24</v>
      </c>
      <c r="W456" s="1">
        <f>V452/(AVERAGE(H458:H463)*(1+H464)/(0.5-H464))</f>
        <v>115.42965822850111</v>
      </c>
      <c r="Y456" s="25" t="s">
        <v>47</v>
      </c>
      <c r="Z456" s="38" t="s">
        <v>24</v>
      </c>
      <c r="AA456" s="1">
        <f>Z452/(AVERAGE(H458:H463)*(1+H464)/(0.5-H464))</f>
        <v>115.42965822850111</v>
      </c>
    </row>
    <row r="457" spans="1:27">
      <c r="B457" s="13">
        <v>5</v>
      </c>
      <c r="C457" s="14" t="s">
        <v>25</v>
      </c>
      <c r="D457" s="15" cm="1">
        <f t="array" ref="D457">_xlfn.SINGLE(IF(A461=A462,_xll.ciqfunctions.udf.CIQ(A453,"IQ_TOTAL_REV",IQ_FY-6)/I457, _xll.ciqfunctions.udf.CIQ(A453, "IQ_TOTAL_REV",IQ_FY-5)/I457))</f>
        <v>4.852306143001007</v>
      </c>
      <c r="E457" s="16">
        <f t="shared" si="123"/>
        <v>5.9455489738210923E-2</v>
      </c>
      <c r="F457" s="15">
        <f>IF(A461=A462,_xll.ciqfunctions.udf.CIQ(A453,"IQ_DILUT_EPS_EXCL",IQ_FY-6), _xll.ciqfunctions.udf.CIQ(A453, "IQ_DILUT_EPS_EXCL",IQ_FY-5))</f>
        <v>0.85</v>
      </c>
      <c r="G457" s="15">
        <f>IF(A461=A462,_xll.ciqfunctions.udf.CIQ(A453,"IQ_EBITDA_MARGIN",IQ_FY-6), _xll.ciqfunctions.udf.CIQ(A453, "IQ_EBITDA_MARGIN",IQ_FY-5))</f>
        <v>24.754799999999999</v>
      </c>
      <c r="H457" s="15">
        <f>IF(A461=A462,_xll.ciqfunctions.udf.CIQ(A453,"IQ_TOTAL_DIV_PAID_CF",IQ_FY-6)/-I457, _xll.ciqfunctions.udf.CIQ(A453, "IQ_TOTAL_DIV_PAID_CF",IQ_FY-5)/-I457)</f>
        <v>0.24018328298086608</v>
      </c>
      <c r="I457" s="17">
        <f>IF(A461=A462,_xll.ciqfunctions.udf.CIQ(A453,"IQ_TOTAL_OUTSTANDING_FILING_DATE",IQ_FY-6), _xll.ciqfunctions.udf.CIQ(A453, "IQ_TOTAL_OUTSTANDING_FILING_DATE",IQ_FY-5))</f>
        <v>496.5</v>
      </c>
      <c r="J457" s="17">
        <f>IF(A461=A462,_xll.ciqfunctions.udf.CIQ(A453,"IQ_CASH_OPER",IQ_FY-6), _xll.ciqfunctions.udf.CIQ(A453, "IQ_CASH_OPER",IQ_FY-5))</f>
        <v>571.11300000000006</v>
      </c>
      <c r="K457" s="17">
        <f>IF(A461=A462,_xll.ciqfunctions.udf.CIQ(A453,"IQ_CAPEX",IQ_FY-6), _xll.ciqfunctions.udf.CIQ(A453, "IQ_CAPEX",IQ_FY-5))</f>
        <v>-38.551000000000002</v>
      </c>
      <c r="L457" s="15">
        <f t="shared" si="120"/>
        <v>1.0726324269889225</v>
      </c>
      <c r="M457" s="17">
        <f>IF(A461=A462,_xll.ciqfunctions.udf.CIQ(A453,"IQ_TOTAL_DEBT_ISSUED",IQ_FY-6), _xll.ciqfunctions.udf.CIQ(A453, "IQ_TOTAL_DEBT_ISSUED",IQ_FY-5))</f>
        <v>0</v>
      </c>
      <c r="N457" s="17">
        <f>IF(A461=A462,_xll.ciqfunctions.udf.CIQ(A453,"IQ_TOTAL_DEBT_REPAID",IQ_FY-6), _xll.ciqfunctions.udf.CIQ(A453, "IQ_TOTAL_DEBT_REPAID",IQ_FY-5))</f>
        <v>0</v>
      </c>
      <c r="O457" s="15">
        <f t="shared" si="121"/>
        <v>0</v>
      </c>
      <c r="P457" s="15">
        <f t="shared" si="122"/>
        <v>1.0726324269889225</v>
      </c>
      <c r="Q457" s="18"/>
      <c r="R457" s="38" t="s">
        <v>50</v>
      </c>
      <c r="S457" s="3">
        <f>I464</f>
        <v>5.533845857269748E-2</v>
      </c>
      <c r="U457" s="18"/>
      <c r="V457" s="38" t="s">
        <v>50</v>
      </c>
      <c r="W457" s="3">
        <f>I464</f>
        <v>5.533845857269748E-2</v>
      </c>
      <c r="Y457" s="18"/>
      <c r="Z457" s="38" t="s">
        <v>50</v>
      </c>
      <c r="AA457" s="3">
        <f>I464</f>
        <v>5.533845857269748E-2</v>
      </c>
    </row>
    <row r="458" spans="1:27">
      <c r="B458" s="13">
        <v>6</v>
      </c>
      <c r="C458" s="14" t="s">
        <v>26</v>
      </c>
      <c r="D458" s="15" cm="1">
        <f t="array" ref="D458">_xlfn.SINGLE(IF(A461=A462,_xll.ciqfunctions.udf.CIQ(A453,"IQ_TOTAL_REV",IQ_FY-5)/I458, _xll.ciqfunctions.udf.CIQ(A453, "IQ_TOTAL_REV",IQ_FY-4)/I458))</f>
        <v>4.3480367167349421</v>
      </c>
      <c r="E458" s="16">
        <f t="shared" si="123"/>
        <v>-0.10392366256474274</v>
      </c>
      <c r="F458" s="15">
        <f>IF(A461=A462,_xll.ciqfunctions.udf.CIQ(A453,"IQ_DILUT_EPS_EXCL",IQ_FY-5), _xll.ciqfunctions.udf.CIQ(A453, "IQ_DILUT_EPS_EXCL",IQ_FY-4))</f>
        <v>-0.30292000000000002</v>
      </c>
      <c r="G458" s="15">
        <f>IF(A461=A462,_xll.ciqfunctions.udf.CIQ(A453,"IQ_EBITDA_MARGIN",IQ_FY-5), _xll.ciqfunctions.udf.CIQ(A453, "IQ_EBITDA_MARGIN",IQ_FY-4))</f>
        <v>24.5794</v>
      </c>
      <c r="H458" s="15">
        <f>IF(A461=A462,_xll.ciqfunctions.udf.CIQ(A453,"IQ_TOTAL_DIV_PAID_CF",IQ_FY-5)/-I458, _xll.ciqfunctions.udf.CIQ(A453, "IQ_TOTAL_DIV_PAID_CF",IQ_FY-4)/-I458)</f>
        <v>0.22467152177211347</v>
      </c>
      <c r="I458" s="17">
        <f>IF(A461=A462,_xll.ciqfunctions.udf.CIQ(A453,"IQ_TOTAL_OUTSTANDING_FILING_DATE",IQ_FY-5), _xll.ciqfunctions.udf.CIQ(A453, "IQ_TOTAL_OUTSTANDING_FILING_DATE",IQ_FY-4))</f>
        <v>659.1</v>
      </c>
      <c r="J458" s="17">
        <f>IF(A461=A462,_xll.ciqfunctions.udf.CIQ(A453,"IQ_CASH_OPER",IQ_FY-5), _xll.ciqfunctions.udf.CIQ(A453, "IQ_CASH_OPER",IQ_FY-4))</f>
        <v>596.74400000000003</v>
      </c>
      <c r="K458" s="17">
        <f>IF(A461=A462,_xll.ciqfunctions.udf.CIQ(A453,"IQ_CAPEX",IQ_FY-5), _xll.ciqfunctions.udf.CIQ(A453, "IQ_CAPEX",IQ_FY-4))</f>
        <v>-75.921000000000006</v>
      </c>
      <c r="L458" s="15">
        <f t="shared" si="120"/>
        <v>0.79020330754058554</v>
      </c>
      <c r="M458" s="17">
        <f>IF(A461=A462,_xll.ciqfunctions.udf.CIQ(A453,"IQ_TOTAL_DEBT_ISSUED",IQ_FY-5), _xll.ciqfunctions.udf.CIQ(A453, "IQ_TOTAL_DEBT_ISSUED",IQ_FY-4))</f>
        <v>1892.605</v>
      </c>
      <c r="N458" s="17">
        <f>IF(A461=A462,_xll.ciqfunctions.udf.CIQ(A453,"IQ_TOTAL_DEBT_REPAID",IQ_FY-5), _xll.ciqfunctions.udf.CIQ(A453, "IQ_TOTAL_DEBT_REPAID",IQ_FY-4))</f>
        <v>-756.12800000000004</v>
      </c>
      <c r="O458" s="15">
        <f t="shared" si="121"/>
        <v>1.7242861477772717</v>
      </c>
      <c r="P458" s="15">
        <f t="shared" si="122"/>
        <v>2.5144894553178574</v>
      </c>
      <c r="Q458" s="25" t="s">
        <v>27</v>
      </c>
      <c r="R458" s="38" t="s">
        <v>51</v>
      </c>
      <c r="S458" s="4">
        <f>AVERAGE(F458:F463)/AVERAGE(D458:D463)</f>
        <v>1.4551121487046336E-2</v>
      </c>
      <c r="U458" s="25" t="s">
        <v>58</v>
      </c>
      <c r="V458" s="38" t="s">
        <v>51</v>
      </c>
      <c r="W458" s="4">
        <f>AVERAGE(F458:F463)/AVERAGE(D458:D463)</f>
        <v>1.4551121487046336E-2</v>
      </c>
      <c r="Y458" s="25" t="s">
        <v>56</v>
      </c>
      <c r="Z458" s="38" t="s">
        <v>51</v>
      </c>
      <c r="AA458" s="4">
        <f>AVERAGE(F458:F463)/AVERAGE(D458:D463)</f>
        <v>1.4551121487046336E-2</v>
      </c>
    </row>
    <row r="459" spans="1:27">
      <c r="A459" s="18"/>
      <c r="B459" s="13">
        <v>7</v>
      </c>
      <c r="C459" s="14" t="s">
        <v>28</v>
      </c>
      <c r="D459" s="15" cm="1">
        <f t="array" ref="D459">_xlfn.SINGLE(IF(A461=A462,_xll.ciqfunctions.udf.CIQ(A453,"IQ_TOTAL_REV",IQ_FY-4)/I459, _xll.ciqfunctions.udf.CIQ(A453, "IQ_TOTAL_REV",IQ_FY-3)/I459))</f>
        <v>4.07051877544865</v>
      </c>
      <c r="E459" s="16">
        <f t="shared" si="123"/>
        <v>-6.3826034453243474E-2</v>
      </c>
      <c r="F459" s="15">
        <f>IF(A461=A462,_xll.ciqfunctions.udf.CIQ(A453,"IQ_DILUT_EPS_EXCL",IQ_FY-4), _xll.ciqfunctions.udf.CIQ(A453, "IQ_DILUT_EPS_EXCL",IQ_FY-3))</f>
        <v>2.34</v>
      </c>
      <c r="G459" s="15">
        <f>IF(A461=A462,_xll.ciqfunctions.udf.CIQ(A453,"IQ_EBITDA_MARGIN",IQ_FY-4), _xll.ciqfunctions.udf.CIQ(A453, "IQ_EBITDA_MARGIN",IQ_FY-3))</f>
        <v>14.9504</v>
      </c>
      <c r="H459" s="15">
        <f>IF(A461=A462,_xll.ciqfunctions.udf.CIQ(A453,"IQ_TOTAL_DIV_PAID_CF",IQ_FY-4)/-I459, _xll.ciqfunctions.udf.CIQ(A453, "IQ_TOTAL_DIV_PAID_CF",IQ_FY-3)/-I459)</f>
        <v>0.24064696124264817</v>
      </c>
      <c r="I459" s="17">
        <f>IF(A461=A462,_xll.ciqfunctions.udf.CIQ(A453,"IQ_TOTAL_OUTSTANDING_FILING_DATE",IQ_FY-4), _xll.ciqfunctions.udf.CIQ(A453, "IQ_TOTAL_OUTSTANDING_FILING_DATE",IQ_FY-3))</f>
        <v>663.1</v>
      </c>
      <c r="J459" s="17">
        <f>IF(A461=A462,_xll.ciqfunctions.udf.CIQ(A453,"IQ_CASH_OPER",IQ_FY-4), _xll.ciqfunctions.udf.CIQ(A453, "IQ_CASH_OPER",IQ_FY-3))</f>
        <v>360.29700000000003</v>
      </c>
      <c r="K459" s="17">
        <f>IF(A461=A462,_xll.ciqfunctions.udf.CIQ(A453,"IQ_CAPEX",IQ_FY-4), _xll.ciqfunctions.udf.CIQ(A453, "IQ_CAPEX",IQ_FY-3))</f>
        <v>-81.921000000000006</v>
      </c>
      <c r="L459" s="15">
        <f t="shared" si="120"/>
        <v>0.4198099834112502</v>
      </c>
      <c r="M459" s="17">
        <f>IF(A461=A462,_xll.ciqfunctions.udf.CIQ(A453,"IQ_TOTAL_DEBT_ISSUED",IQ_FY-4), _xll.ciqfunctions.udf.CIQ(A453, "IQ_TOTAL_DEBT_ISSUED",IQ_FY-3))</f>
        <v>950</v>
      </c>
      <c r="N459" s="17">
        <f>IF(A461=A462,_xll.ciqfunctions.udf.CIQ(A453,"IQ_TOTAL_DEBT_REPAID",IQ_FY-4), _xll.ciqfunctions.udf.CIQ(A453, "IQ_TOTAL_DEBT_REPAID",IQ_FY-3))</f>
        <v>-1250</v>
      </c>
      <c r="O459" s="15">
        <f t="shared" si="121"/>
        <v>-0.45242044940431309</v>
      </c>
      <c r="P459" s="15">
        <f t="shared" si="122"/>
        <v>-3.2610465993062887E-2</v>
      </c>
      <c r="Q459" s="18"/>
      <c r="R459" s="38" t="s">
        <v>29</v>
      </c>
      <c r="S459" s="4">
        <f>(AVERAGE(P458:P463)/_xlfn.STDEV.P(P458:P463))/(IF(A461=A462,(_xlfn.SINGLE(_xll.ciqfunctions.udf.CIQ(A453,"IQ_total_assets",IQ_FY)) - _xlfn.SINGLE(_xll.ciqfunctions.udf.CIQ(A453,"iq_gw_intan", IQ_FY)))/I463, (_xlfn.SINGLE(_xll.ciqfunctions.udf.CIQ(A453, "IQ_total_assets",IQ_LTM))-_xlfn.SINGLE(_xll.ciqfunctions.udf.CIQ(A453,"iq_gw_intan",IQ_LTM)))/I463))</f>
        <v>0.16216563263504177</v>
      </c>
      <c r="U459" s="18"/>
      <c r="V459" s="38" t="s">
        <v>29</v>
      </c>
      <c r="W459" s="4">
        <f>(AVERAGE(P458:P463)/_xlfn.STDEV.P(P458:P463))/(IF(A461=A462,(_xlfn.SINGLE(_xll.ciqfunctions.udf.CIQ(A453,"IQ_total_assets",IQ_FY)) - _xlfn.SINGLE(_xll.ciqfunctions.udf.CIQ(A453,"iq_gw_intan", IQ_FY)))/I463, (_xlfn.SINGLE(_xll.ciqfunctions.udf.CIQ(A453, "IQ_total_assets",IQ_LTM))-_xlfn.SINGLE(_xll.ciqfunctions.udf.CIQ(A453,"iq_gw_intan",IQ_LTM)))/I463))</f>
        <v>0.16216563263504177</v>
      </c>
      <c r="Y459" s="18"/>
      <c r="Z459" s="38" t="s">
        <v>29</v>
      </c>
      <c r="AA459" s="4">
        <f>(AVERAGE(P458:P463)/_xlfn.STDEV.P(P458:P463))/(IF(A461=A462,(_xlfn.SINGLE(_xll.ciqfunctions.udf.CIQ(A453,"IQ_total_assets",IQ_FY)) - _xlfn.SINGLE(_xll.ciqfunctions.udf.CIQ(A453,"iq_gw_intan", IQ_FY)))/I463, (_xlfn.SINGLE(_xll.ciqfunctions.udf.CIQ(A453, "IQ_total_assets",IQ_LTM))-_xlfn.SINGLE(_xll.ciqfunctions.udf.CIQ(A453,"iq_gw_intan",IQ_LTM)))/I463))</f>
        <v>0.16216563263504177</v>
      </c>
    </row>
    <row r="460" spans="1:27">
      <c r="A460" s="18"/>
      <c r="B460" s="13">
        <v>8</v>
      </c>
      <c r="C460" s="14" t="s">
        <v>30</v>
      </c>
      <c r="D460" s="15" cm="1">
        <f t="array" ref="D460">_xlfn.SINGLE(IF(A461=A462,_xll.ciqfunctions.udf.CIQ(A453,"IQ_TOTAL_REV",IQ_FY-3)/I460, _xll.ciqfunctions.udf.CIQ(A453, "IQ_TOTAL_REV",IQ_FY-2)/I460))</f>
        <v>4.3938138227023824</v>
      </c>
      <c r="E460" s="16">
        <f t="shared" si="123"/>
        <v>7.9423548959824911E-2</v>
      </c>
      <c r="F460" s="15">
        <f>IF(A461=A462,_xll.ciqfunctions.udf.CIQ(A453,"IQ_DILUT_EPS_EXCL",IQ_FY-3), _xll.ciqfunctions.udf.CIQ(A453, "IQ_DILUT_EPS_EXCL",IQ_FY-2))</f>
        <v>-0.41461999999999999</v>
      </c>
      <c r="G460" s="15">
        <f>IF(A461=A462,_xll.ciqfunctions.udf.CIQ(A453,"IQ_EBITDA_MARGIN",IQ_FY-3), _xll.ciqfunctions.udf.CIQ(A453, "IQ_EBITDA_MARGIN",IQ_FY-2))</f>
        <v>20.775300000000001</v>
      </c>
      <c r="H460" s="15">
        <f>IF(A461=A462,_xll.ciqfunctions.udf.CIQ(A453,"IQ_TOTAL_DIV_PAID_CF",IQ_FY-3)/-I460, _xll.ciqfunctions.udf.CIQ(A453, "IQ_TOTAL_DIV_PAID_CF",IQ_FY-2)/-I460)</f>
        <v>0.23767944354003254</v>
      </c>
      <c r="I460" s="17">
        <f>IF(A461=A462,_xll.ciqfunctions.udf.CIQ(A453,"IQ_TOTAL_OUTSTANDING_FILING_DATE",IQ_FY-3), _xll.ciqfunctions.udf.CIQ(A453, "IQ_TOTAL_OUTSTANDING_FILING_DATE",IQ_FY-2))</f>
        <v>675.7</v>
      </c>
      <c r="J460" s="17">
        <f>IF(A461=A462,_xll.ciqfunctions.udf.CIQ(A453,"IQ_CASH_OPER",IQ_FY-3), _xll.ciqfunctions.udf.CIQ(A453, "IQ_CASH_OPER",IQ_FY-2))</f>
        <v>817.3</v>
      </c>
      <c r="K460" s="17">
        <f>IF(A461=A462,_xll.ciqfunctions.udf.CIQ(A453,"IQ_CAPEX",IQ_FY-3), _xll.ciqfunctions.udf.CIQ(A453, "IQ_CAPEX",IQ_FY-2))</f>
        <v>-106.8</v>
      </c>
      <c r="L460" s="15">
        <f t="shared" si="120"/>
        <v>1.0515021459227467</v>
      </c>
      <c r="M460" s="17">
        <f>IF(A461=A462,_xll.ciqfunctions.udf.CIQ(A453,"IQ_TOTAL_DEBT_ISSUED",IQ_FY-3), _xll.ciqfunctions.udf.CIQ(A453, "IQ_TOTAL_DEBT_ISSUED",IQ_FY-2))</f>
        <v>0</v>
      </c>
      <c r="N460" s="17">
        <f>IF(A461=A462,_xll.ciqfunctions.udf.CIQ(A453,"IQ_TOTAL_DEBT_REPAID",IQ_FY-3), _xll.ciqfunctions.udf.CIQ(A453, "IQ_TOTAL_DEBT_REPAID",IQ_FY-2))</f>
        <v>-250</v>
      </c>
      <c r="O460" s="15">
        <f t="shared" si="121"/>
        <v>-0.36998668047950273</v>
      </c>
      <c r="P460" s="15">
        <f t="shared" si="122"/>
        <v>0.68151546544324404</v>
      </c>
      <c r="Q460" s="18"/>
      <c r="R460" s="39" t="s">
        <v>31</v>
      </c>
      <c r="S460" s="5">
        <f>IF(NOT(D453&gt;0),FALSE,SLOPE(G453:G463,B453:B463))</f>
        <v>1.5014900000000002</v>
      </c>
      <c r="U460" s="18"/>
      <c r="V460" s="39" t="s">
        <v>31</v>
      </c>
      <c r="W460" s="5">
        <f>IF(NOT(D453&gt;0),FALSE,SLOPE(G453:G463,B453:B463))</f>
        <v>1.5014900000000002</v>
      </c>
      <c r="Y460" s="18"/>
      <c r="Z460" s="39" t="s">
        <v>31</v>
      </c>
      <c r="AA460" s="5">
        <f>IF(NOT(L453&gt;0),FALSE,SLOPE(O453:O463,J453:J463))</f>
        <v>2.7967203960064575E-4</v>
      </c>
    </row>
    <row r="461" spans="1:27">
      <c r="A461" s="19">
        <f>_xll.ciqfunctions.udf.CIQ(A453,"IQ_TOTAL_REV",IQ_FY)</f>
        <v>5919.6</v>
      </c>
      <c r="B461" s="13">
        <v>9</v>
      </c>
      <c r="C461" s="14" t="s">
        <v>32</v>
      </c>
      <c r="D461" s="15" cm="1">
        <f t="array" ref="D461">_xlfn.SINGLE(IF(A461=A462,_xll.ciqfunctions.udf.CIQ(A453,"IQ_TOTAL_REV",IQ_FY-2)/I461, _xll.ciqfunctions.udf.CIQ(A453, "IQ_TOTAL_REV",IQ_FY-1)/I461))</f>
        <v>5.2635055437603206</v>
      </c>
      <c r="E461" s="16">
        <f t="shared" si="123"/>
        <v>0.19793549662125667</v>
      </c>
      <c r="F461" s="15">
        <f>IF(A461=A462,_xll.ciqfunctions.udf.CIQ(A453,"IQ_DILUT_EPS_EXCL",IQ_FY-2), _xll.ciqfunctions.udf.CIQ(A453, "IQ_DILUT_EPS_EXCL",IQ_FY-1))</f>
        <v>-0.53</v>
      </c>
      <c r="G461" s="15">
        <f>IF(A461=A462,_xll.ciqfunctions.udf.CIQ(A453,"IQ_EBITDA_MARGIN",IQ_FY-2), _xll.ciqfunctions.udf.CIQ(A453, "IQ_EBITDA_MARGIN",IQ_FY-1))</f>
        <v>26.582100000000001</v>
      </c>
      <c r="H461" s="15">
        <f>IF(A461=A462,_xll.ciqfunctions.udf.CIQ(A453,"IQ_TOTAL_DIV_PAID_CF",IQ_FY-2)/-I461, _xll.ciqfunctions.udf.CIQ(A453, "IQ_TOTAL_DIV_PAID_CF",IQ_FY-1)/-I461)</f>
        <v>0.22528898325076671</v>
      </c>
      <c r="I461" s="17">
        <f>IF(A461=A462,_xll.ciqfunctions.udf.CIQ(A453,"IQ_TOTAL_OUTSTANDING_FILING_DATE",IQ_FY-2), _xll.ciqfunctions.udf.CIQ(A453, "IQ_TOTAL_OUTSTANDING_FILING_DATE",IQ_FY-1))</f>
        <v>847.8</v>
      </c>
      <c r="J461" s="17">
        <f>IF(A461=A462,_xll.ciqfunctions.udf.CIQ(A453,"IQ_CASH_OPER",IQ_FY-2), _xll.ciqfunctions.udf.CIQ(A453, "IQ_CASH_OPER",IQ_FY-1))</f>
        <v>819.3</v>
      </c>
      <c r="K461" s="17">
        <f>IF(A461=A462,_xll.ciqfunctions.udf.CIQ(A453,"IQ_CAPEX",IQ_FY-2), _xll.ciqfunctions.udf.CIQ(A453, "IQ_CAPEX",IQ_FY-1))</f>
        <v>-169.2</v>
      </c>
      <c r="L461" s="15">
        <f t="shared" si="120"/>
        <v>0.7668082094833687</v>
      </c>
      <c r="M461" s="17">
        <f>IF(A461=A462,_xll.ciqfunctions.udf.CIQ(A453,"IQ_TOTAL_DEBT_ISSUED",IQ_FY-2), _xll.ciqfunctions.udf.CIQ(A453, "IQ_TOTAL_DEBT_ISSUED",IQ_FY-1))</f>
        <v>3896.1</v>
      </c>
      <c r="N461" s="17">
        <f>IF(A461=A462,_xll.ciqfunctions.udf.CIQ(A453,"IQ_TOTAL_DEBT_REPAID",IQ_FY-2), _xll.ciqfunctions.udf.CIQ(A453, "IQ_TOTAL_DEBT_REPAID",IQ_FY-1))</f>
        <v>-708</v>
      </c>
      <c r="O461" s="15">
        <f t="shared" si="121"/>
        <v>3.7604387827317765</v>
      </c>
      <c r="P461" s="15">
        <f t="shared" si="122"/>
        <v>4.5272469922151455</v>
      </c>
      <c r="Q461" s="25" t="s">
        <v>33</v>
      </c>
      <c r="R461" s="38" t="s">
        <v>52</v>
      </c>
      <c r="S461" s="4">
        <f>(AVERAGE(O458:O463)/AVERAGE(P458:P463))</f>
        <v>0.43861185098944089</v>
      </c>
      <c r="U461" s="25" t="s">
        <v>54</v>
      </c>
      <c r="V461" s="38" t="s">
        <v>52</v>
      </c>
      <c r="W461" s="4">
        <f>(AVERAGE(O458:O463)/AVERAGE(P458:P463))</f>
        <v>0.43861185098944089</v>
      </c>
      <c r="Y461" s="25" t="s">
        <v>60</v>
      </c>
      <c r="Z461" s="38" t="s">
        <v>52</v>
      </c>
      <c r="AA461" s="4">
        <f>(AVERAGE(O458:O463)/AVERAGE(P458:P463))</f>
        <v>0.43861185098944089</v>
      </c>
    </row>
    <row r="462" spans="1:27">
      <c r="A462" s="19">
        <f>_xll.ciqfunctions.udf.CIQ(A453,"IQ_TOTAL_REV",IQ_LTM)</f>
        <v>5618.4</v>
      </c>
      <c r="B462" s="13">
        <v>10</v>
      </c>
      <c r="C462" s="14" t="s">
        <v>34</v>
      </c>
      <c r="D462" s="15" cm="1">
        <f t="array" ref="D462">_xlfn.SINGLE(IF(A461=A462,_xll.ciqfunctions.udf.CIQ(A453,"IQ_TOTAL_REV",IQ_FY-1)/I462, _xll.ciqfunctions.udf.CIQ(A453, "IQ_TOTAL_REV",IQ_FY)/I462))</f>
        <v>6.9081573112381847</v>
      </c>
      <c r="E462" s="16">
        <f t="shared" si="123"/>
        <v>0.31246319659101229</v>
      </c>
      <c r="F462" s="15">
        <f>IF(A461=A462,_xll.ciqfunctions.udf.CIQ(A453,"IQ_DILUT_EPS_EXCL",IQ_FY-1), _xll.ciqfunctions.udf.CIQ(A453, "IQ_DILUT_EPS_EXCL",IQ_FY))</f>
        <v>-0.19203999999999999</v>
      </c>
      <c r="G462" s="15">
        <f>IF(A461=A462,_xll.ciqfunctions.udf.CIQ(A453,"IQ_EBITDA_MARGIN",IQ_FY-1), _xll.ciqfunctions.udf.CIQ(A453, "IQ_EBITDA_MARGIN",IQ_FY))</f>
        <v>30.2486</v>
      </c>
      <c r="H462" s="15">
        <f>IF(A461=A462,_xll.ciqfunctions.udf.CIQ(A453,"IQ_TOTAL_DIV_PAID_CF",IQ_FY-1)/-I462, _xll.ciqfunctions.udf.CIQ(A453, "IQ_TOTAL_DIV_PAID_CF",IQ_FY)/-I462)</f>
        <v>0.23853425137122186</v>
      </c>
      <c r="I462" s="17">
        <f>IF(A461=A462,_xll.ciqfunctions.udf.CIQ(A453,"IQ_TOTAL_OUTSTANDING_FILING_DATE",IQ_FY-1), _xll.ciqfunctions.udf.CIQ(A453, "IQ_TOTAL_OUTSTANDING_FILING_DATE",IQ_FY))</f>
        <v>856.9</v>
      </c>
      <c r="J462" s="17">
        <f>IF(A461=A462,_xll.ciqfunctions.udf.CIQ(A453,"IQ_CASH_OPER",IQ_FY-1), _xll.ciqfunctions.udf.CIQ(A453, "IQ_CASH_OPER",IQ_FY))</f>
        <v>1288.8</v>
      </c>
      <c r="K462" s="17">
        <f>IF(A461=A462,_xll.ciqfunctions.udf.CIQ(A453,"IQ_CAPEX",IQ_FY-1), _xll.ciqfunctions.udf.CIQ(A453, "IQ_CAPEX",IQ_FY))</f>
        <v>-206.2</v>
      </c>
      <c r="L462" s="15">
        <f t="shared" si="120"/>
        <v>1.2633912942000232</v>
      </c>
      <c r="M462" s="17">
        <f>IF(A461=A462,_xll.ciqfunctions.udf.CIQ(A453,"IQ_TOTAL_DEBT_ISSUED",IQ_FY-1), _xll.ciqfunctions.udf.CIQ(A453, "IQ_TOTAL_DEBT_ISSUED",IQ_FY))</f>
        <v>200</v>
      </c>
      <c r="N462" s="17">
        <f>IF(A461=A462,_xll.ciqfunctions.udf.CIQ(A453,"IQ_TOTAL_DEBT_REPAID",IQ_FY-1), _xll.ciqfunctions.udf.CIQ(A453, "IQ_TOTAL_DEBT_REPAID",IQ_FY))</f>
        <v>-265.60000000000002</v>
      </c>
      <c r="O462" s="15">
        <f t="shared" si="121"/>
        <v>-7.6555023923445001E-2</v>
      </c>
      <c r="P462" s="15">
        <f t="shared" si="122"/>
        <v>1.1868362702765782</v>
      </c>
      <c r="Q462" s="25" t="s">
        <v>44</v>
      </c>
      <c r="R462" s="38" t="s">
        <v>35</v>
      </c>
      <c r="S462" s="1">
        <f>_xll.ciqfunctions.udf.CIQ(A453,"IQ_TEV_EBITDA")</f>
        <v>39.634309999999999</v>
      </c>
      <c r="U462" s="25" t="s">
        <v>55</v>
      </c>
      <c r="V462" s="38" t="s">
        <v>53</v>
      </c>
      <c r="W462" s="1">
        <f>V452/(AVERAGE(D458:D463)/_xlfn.STDEV.P(E458:E463))</f>
        <v>1.6247207103703734</v>
      </c>
      <c r="Y462" s="25" t="s">
        <v>57</v>
      </c>
      <c r="Z462" s="38" t="s">
        <v>53</v>
      </c>
      <c r="AA462" s="1">
        <f>Z452/(AVERAGE(D458:D463)/_xlfn.STDEV.P(E458:E463))</f>
        <v>1.6247207103703734</v>
      </c>
    </row>
    <row r="463" spans="1:27">
      <c r="B463" s="13">
        <v>11</v>
      </c>
      <c r="C463" s="20" t="s">
        <v>36</v>
      </c>
      <c r="D463" s="21" cm="1">
        <f t="array" ref="D463">_xlfn.SINGLE(IF(A461=A462,_xll.ciqfunctions.udf.CIQ(A453,"IQ_TOTAL_REV",IQ_FY)/I463, _xll.ciqfunctions.udf.CIQ(A453, "IQ_TOTAL_REV",IQ_LTM)/I463))</f>
        <v>6.5118219749652297</v>
      </c>
      <c r="E463" s="22">
        <f t="shared" si="123"/>
        <v>-5.7372077446498929E-2</v>
      </c>
      <c r="F463" s="21">
        <f>IF(A461=A462,_xll.ciqfunctions.udf.CIQ(A453,"IQ_DILUT_EPS_EXCL",IQ_FY), _xll.ciqfunctions.udf.CIQ(A453, "IQ_DILUT_EPS_EXCL",IQ_LTM))</f>
        <v>-0.44212000000000001</v>
      </c>
      <c r="G463" s="21">
        <f>IF(A461=A462,_xll.ciqfunctions.udf.CIQ(A453,"IQ_EBITDA_MARGIN",IQ_FY), _xll.ciqfunctions.udf.CIQ(A453, "IQ_EBITDA_MARGIN",IQ_LTM))</f>
        <v>22.714600000000001</v>
      </c>
      <c r="H463" s="21">
        <f>IF(A461=A462,_xll.ciqfunctions.udf.CIQ(A453,"IQ_TOTAL_DIV_PAID_CF",IQ_FY)/-I463, _xll.ciqfunctions.udf.CIQ(A453, "IQ_TOTAL_DIV_PAID_CF",IQ_LTM)/-I463)</f>
        <v>0.23817802503477054</v>
      </c>
      <c r="I463" s="23">
        <f>IF(A461=A462,_xll.ciqfunctions.udf.CIQ(A453,"IQ_TOTAL_OUTSTANDING_FILING_DATE",IQ_FY),_xll.ciqfunctions.udf.CIQ(A453,"IQ_sharesoutstanding"))</f>
        <v>862.8</v>
      </c>
      <c r="J463" s="23">
        <f>IF(A461=A462,_xll.ciqfunctions.udf.CIQ(A453,"IQ_CASH_OPER",IQ_FY), _xll.ciqfunctions.udf.CIQ(A453, "IQ_CASH_OPER",IQ_LTM))</f>
        <v>1083.4000000000001</v>
      </c>
      <c r="K463" s="23">
        <f>IF(A461=A462,_xll.ciqfunctions.udf.CIQ(A453,"IQ_CAPEX",IQ_FY), _xll.ciqfunctions.udf.CIQ(A453, "IQ_CAPEX",IQ_LTM))</f>
        <v>-307.60000000000002</v>
      </c>
      <c r="L463" s="21">
        <f t="shared" si="120"/>
        <v>0.89916550764951331</v>
      </c>
      <c r="M463" s="23">
        <f>IF(A461=A462,_xll.ciqfunctions.udf.CIQ(A453,"IQ_TOTAL_DEBT_ISSUED",IQ_FY), _xll.ciqfunctions.udf.CIQ(A453, "IQ_TOTAL_DEBT_ISSUED",IQ_LTM))</f>
        <v>250</v>
      </c>
      <c r="N463" s="23">
        <f>IF(A461=A462,_xll.ciqfunctions.udf.CIQ(A453,"IQ_TOTAL_DEBT_REPAID",IQ_FY), _xll.ciqfunctions.udf.CIQ(A453, "IQ_TOTAL_DEBT_REPAID",IQ_LTM))</f>
        <v>-707.4</v>
      </c>
      <c r="O463" s="21">
        <f t="shared" si="121"/>
        <v>-0.53013444598980064</v>
      </c>
      <c r="P463" s="21">
        <f t="shared" si="122"/>
        <v>0.36903106165971267</v>
      </c>
      <c r="Q463" s="25" t="s">
        <v>45</v>
      </c>
      <c r="S463" s="45"/>
      <c r="U463" s="25"/>
      <c r="W463" s="45"/>
      <c r="Y463" s="25"/>
      <c r="AA463" s="45"/>
    </row>
    <row r="464" spans="1:27">
      <c r="B464" s="24"/>
      <c r="C464" s="25" t="s">
        <v>37</v>
      </c>
      <c r="E464" s="26">
        <f>((D463/D458)^(1/5))-1</f>
        <v>8.4131250320157225E-2</v>
      </c>
      <c r="F464" s="27">
        <f>((F463/F458)^(1/5))-1</f>
        <v>7.8555362974686016E-2</v>
      </c>
      <c r="G464" s="28"/>
      <c r="H464" s="27">
        <f>((H463/H458)^(1/5))-1</f>
        <v>1.1744221358198859E-2</v>
      </c>
      <c r="I464" s="27">
        <f>((I463/I458)^(1/5))-1</f>
        <v>5.533845857269748E-2</v>
      </c>
      <c r="J464" s="27"/>
      <c r="K464" s="27"/>
      <c r="L464" s="26">
        <f>((L463/L458)^(1/5))-1</f>
        <v>2.6171997061971597E-2</v>
      </c>
      <c r="M464" s="26"/>
      <c r="N464" s="26"/>
      <c r="O464" s="26"/>
      <c r="P464" s="26">
        <f>((P463/P458)^(1/5))-1</f>
        <v>-0.31872473586473637</v>
      </c>
      <c r="Q464" s="18"/>
      <c r="R464" s="36"/>
      <c r="S464" s="45"/>
      <c r="U464" s="18"/>
      <c r="V464" s="36"/>
      <c r="W464" s="45"/>
      <c r="Y464" s="18"/>
      <c r="Z464" s="36"/>
      <c r="AA464" s="45"/>
    </row>
    <row r="465" spans="1:27">
      <c r="A465" s="29"/>
      <c r="B465" s="30"/>
      <c r="C465" s="31" t="s">
        <v>38</v>
      </c>
      <c r="D465" s="29"/>
      <c r="E465" s="32">
        <f>((D463/D453)^(1/10))-1</f>
        <v>-3.7748192466309227E-3</v>
      </c>
      <c r="F465" s="33" t="e">
        <f>((F463/F453)^(1/10))-1</f>
        <v>#NUM!</v>
      </c>
      <c r="G465" s="34"/>
      <c r="H465" s="33">
        <f>((H463/H453)^(1/10))-1</f>
        <v>3.759406569199264E-4</v>
      </c>
      <c r="I465" s="33">
        <f>((I463/I453)^(1/10))-1</f>
        <v>5.5357722780775331E-2</v>
      </c>
      <c r="J465" s="33"/>
      <c r="K465" s="33"/>
      <c r="L465" s="32">
        <f>((L463/L453)^(1/10))-1</f>
        <v>1.7260025049823602E-2</v>
      </c>
      <c r="M465" s="32"/>
      <c r="N465" s="32"/>
      <c r="O465" s="32"/>
      <c r="P465" s="32">
        <f>((P463/P453)^(1/10))-1</f>
        <v>-6.94187305845958E-2</v>
      </c>
      <c r="Q465" s="40"/>
      <c r="R465" s="41"/>
      <c r="S465" s="46"/>
      <c r="U465" s="40"/>
      <c r="V465" s="41"/>
      <c r="W465" s="46"/>
      <c r="Y465" s="40"/>
      <c r="Z465" s="41"/>
      <c r="AA465" s="46"/>
    </row>
    <row r="466" spans="1:27">
      <c r="B466" s="24"/>
      <c r="C466" s="25"/>
      <c r="E466" s="26"/>
      <c r="F466" s="27"/>
      <c r="G466" s="28"/>
      <c r="H466" s="27"/>
      <c r="I466" s="27"/>
      <c r="J466" s="27"/>
      <c r="K466" s="27"/>
      <c r="L466" s="26"/>
      <c r="M466" s="17"/>
      <c r="N466" s="17"/>
      <c r="O466" s="17"/>
      <c r="P466" s="35"/>
      <c r="Q466" s="18"/>
      <c r="R466" s="36"/>
    </row>
    <row r="467" spans="1:27">
      <c r="A467" s="9" t="s">
        <v>0</v>
      </c>
      <c r="B467" s="10"/>
      <c r="C467" s="9" t="s">
        <v>1</v>
      </c>
      <c r="D467" s="9" t="s">
        <v>2</v>
      </c>
      <c r="E467" s="9" t="s">
        <v>3</v>
      </c>
      <c r="F467" s="11" t="s">
        <v>4</v>
      </c>
      <c r="G467" s="11" t="s">
        <v>5</v>
      </c>
      <c r="H467" s="9" t="s">
        <v>6</v>
      </c>
      <c r="I467" s="11" t="s">
        <v>7</v>
      </c>
      <c r="J467" s="11" t="s">
        <v>8</v>
      </c>
      <c r="K467" s="11" t="s">
        <v>9</v>
      </c>
      <c r="L467" s="11" t="s">
        <v>10</v>
      </c>
      <c r="M467" s="11" t="s">
        <v>11</v>
      </c>
      <c r="N467" s="11" t="s">
        <v>12</v>
      </c>
      <c r="O467" s="11" t="s">
        <v>13</v>
      </c>
      <c r="P467" s="11" t="s">
        <v>14</v>
      </c>
      <c r="Q467" s="37" t="s">
        <v>15</v>
      </c>
      <c r="R467" s="42">
        <f>_xll.ciqfunctions.udf.CIQ(A468,("IQ_LASTSALEPRICE"))</f>
        <v>483.25799999999998</v>
      </c>
      <c r="S467" s="44"/>
      <c r="U467" s="37" t="s">
        <v>15</v>
      </c>
      <c r="V467" s="42">
        <f>_xll.ciqfunctions.udf.CIQ(A468,("IQ_LASTSALEPRICE"))</f>
        <v>483.25799999999998</v>
      </c>
      <c r="W467" s="44"/>
      <c r="Y467" s="37" t="s">
        <v>15</v>
      </c>
      <c r="Z467" s="42">
        <f>_xll.ciqfunctions.udf.CIQ(A468,("IQ_LASTSALEPRICE"))</f>
        <v>483.25799999999998</v>
      </c>
      <c r="AA467" s="44"/>
    </row>
    <row r="468" spans="1:27">
      <c r="A468" s="12" t="str">
        <f>Analysis!B33</f>
        <v>NasdaqGS:NVDA</v>
      </c>
      <c r="B468" s="13">
        <v>1</v>
      </c>
      <c r="C468" s="14" t="s">
        <v>16</v>
      </c>
      <c r="D468" s="15">
        <f>IF(A476=A477,_xll.ciqfunctions.udf.CIQ(A468,"IQ_TOTAL_REV",IQ_FY-10)/I468,_xll.ciqfunctions.udf.CIQ(A468, "IQ_TOTAL_REV",IQ_FY-9)/I468)</f>
        <v>1.862906626451339</v>
      </c>
      <c r="E468" s="16"/>
      <c r="F468" s="15">
        <f>IF(A476=A477,_xll.ciqfunctions.udf.CIQ(A468,"IQ_DILUT_EPS_EXCL",IQ_FY-10), _xll.ciqfunctions.udf.CIQ(A468, "IQ_DILUT_EPS_EXCL",IQ_FY-9))</f>
        <v>0.185</v>
      </c>
      <c r="G468" s="15">
        <f>IF(A476=A477,_xll.ciqfunctions.udf.CIQ(A468,"IQ_EBITDA_MARGIN",IQ_FY-10), _xll.ciqfunctions.udf.CIQ(A468, "IQ_EBITDA_MARGIN",IQ_FY-9))</f>
        <v>17.796600000000002</v>
      </c>
      <c r="H468" s="15">
        <f>IF(A476=A477,_xll.ciqfunctions.udf.CIQ(A468,"IQ_TOTAL_DIV_PAID_CF",IQ_FY-10)/-I468, _xll.ciqfunctions.udf.CIQ(A468, "IQ_TOTAL_DIV_PAID_CF",IQ_FY-9)/-I468)</f>
        <v>8.16431233384243E-2</v>
      </c>
      <c r="I468" s="17">
        <f>IF(A476=A477,_xll.ciqfunctions.udf.CIQ(A468,"IQ_TOTAL_OUTSTANDING_FILING_DATE",IQ_FY-10), _xll.ciqfunctions.udf.CIQ(A468, "IQ_TOTAL_OUTSTANDING_FILING_DATE",IQ_FY-9))</f>
        <v>2216.9656500000001</v>
      </c>
      <c r="J468" s="17">
        <f>IF(A476=A477,_xll.ciqfunctions.udf.CIQ(A468,"IQ_CASH_OPER",IQ_FY-10), _xll.ciqfunctions.udf.CIQ(A468, "IQ_CASH_OPER",IQ_FY-9))</f>
        <v>835</v>
      </c>
      <c r="K468" s="17">
        <f>IF(A476=A477,_xll.ciqfunctions.udf.CIQ(A468,"IQ_CAPEX",IQ_FY-10), _xll.ciqfunctions.udf.CIQ(A468, "IQ_CAPEX",IQ_FY-9))</f>
        <v>-255</v>
      </c>
      <c r="L468" s="15">
        <f t="shared" ref="L468:L478" si="124">(J468+K468)/I468</f>
        <v>0.26161884826677401</v>
      </c>
      <c r="M468" s="17">
        <f>IF(A476=A477,_xll.ciqfunctions.udf.CIQ(A468,"IQ_TOTAL_DEBT_ISSUED",IQ_FY-10), _xll.ciqfunctions.udf.CIQ(A468, "IQ_TOTAL_DEBT_ISSUED",IQ_FY-9))</f>
        <v>1478</v>
      </c>
      <c r="N468" s="17">
        <f>IF(A476=A477,_xll.ciqfunctions.udf.CIQ(A468,"IQ_TOTAL_DEBT_REPAID",IQ_FY-10), _xll.ciqfunctions.udf.CIQ(A468, "IQ_TOTAL_DEBT_REPAID",IQ_FY-9))</f>
        <v>-2</v>
      </c>
      <c r="O468" s="15">
        <f t="shared" ref="O468:O478" si="125">(M468+N468)/I468</f>
        <v>0.66577486214096282</v>
      </c>
      <c r="P468" s="15">
        <f t="shared" ref="P468:P478" si="126">L468+O468</f>
        <v>0.92739371040773677</v>
      </c>
      <c r="W468" s="43"/>
      <c r="AA468" s="43"/>
    </row>
    <row r="469" spans="1:27">
      <c r="A469" s="18" t="str">
        <f>_xll.ciqfunctions.udf.CIQ(A468,"IQ_COMPANY_NAME")</f>
        <v>NVIDIA Corporation</v>
      </c>
      <c r="B469" s="13">
        <v>2</v>
      </c>
      <c r="C469" s="14" t="s">
        <v>17</v>
      </c>
      <c r="D469" s="15">
        <f>IF(A476=A477,_xll.ciqfunctions.udf.CIQ(A468,"IQ_TOTAL_REV",IQ_FY-9)/I469, _xll.ciqfunctions.udf.CIQ(A468, "IQ_TOTAL_REV",IQ_FY-8)/I469)</f>
        <v>2.1288002927250447</v>
      </c>
      <c r="E469" s="16">
        <f t="shared" ref="E469:E478" si="127">(D469-D468)/D468</f>
        <v>0.14273053866376975</v>
      </c>
      <c r="F469" s="15">
        <f>IF(A476=A477,_xll.ciqfunctions.udf.CIQ(A468,"IQ_DILUT_EPS_EXCL",IQ_FY-9), _xll.ciqfunctions.udf.CIQ(A468, "IQ_DILUT_EPS_EXCL",IQ_FY-8))</f>
        <v>0.28000000000000003</v>
      </c>
      <c r="G469" s="15">
        <f>IF(A476=A477,_xll.ciqfunctions.udf.CIQ(A468,"IQ_EBITDA_MARGIN",IQ_FY-9), _xll.ciqfunctions.udf.CIQ(A468, "IQ_EBITDA_MARGIN",IQ_FY-8))</f>
        <v>20.909800000000001</v>
      </c>
      <c r="H469" s="15">
        <f>IF(A476=A477,_xll.ciqfunctions.udf.CIQ(A468,"IQ_TOTAL_DIV_PAID_CF",IQ_FY-9)/-I469, _xll.ciqfunctions.udf.CIQ(A468, "IQ_TOTAL_DIV_PAID_CF",IQ_FY-8)/-I469)</f>
        <v>8.4570024444010752E-2</v>
      </c>
      <c r="I469" s="17">
        <f>IF(A476=A477,_xll.ciqfunctions.udf.CIQ(A468,"IQ_TOTAL_OUTSTANDING_FILING_DATE",IQ_FY-9), _xll.ciqfunctions.udf.CIQ(A468, "IQ_TOTAL_OUTSTANDING_FILING_DATE",IQ_FY-8))</f>
        <v>2199.3608399999998</v>
      </c>
      <c r="J469" s="17">
        <f>IF(A476=A477,_xll.ciqfunctions.udf.CIQ(A468,"IQ_CASH_OPER",IQ_FY-9), _xll.ciqfunctions.udf.CIQ(A468, "IQ_CASH_OPER",IQ_FY-8))</f>
        <v>906</v>
      </c>
      <c r="K469" s="17">
        <f>IF(A476=A477,_xll.ciqfunctions.udf.CIQ(A468,"IQ_CAPEX",IQ_FY-9), _xll.ciqfunctions.udf.CIQ(A468, "IQ_CAPEX",IQ_FY-8))</f>
        <v>-122</v>
      </c>
      <c r="L469" s="15">
        <f t="shared" si="124"/>
        <v>0.35646719980701302</v>
      </c>
      <c r="M469" s="17">
        <f>IF(A476=A477,_xll.ciqfunctions.udf.CIQ(A468,"IQ_TOTAL_DEBT_ISSUED",IQ_FY-9), _xll.ciqfunctions.udf.CIQ(A468, "IQ_TOTAL_DEBT_ISSUED",IQ_FY-8))</f>
        <v>0</v>
      </c>
      <c r="N469" s="17">
        <f>IF(A476=A477,_xll.ciqfunctions.udf.CIQ(A468,"IQ_TOTAL_DEBT_REPAID",IQ_FY-9), _xll.ciqfunctions.udf.CIQ(A468, "IQ_TOTAL_DEBT_REPAID",IQ_FY-8))</f>
        <v>0</v>
      </c>
      <c r="O469" s="15">
        <f t="shared" si="125"/>
        <v>0</v>
      </c>
      <c r="P469" s="15">
        <f t="shared" si="126"/>
        <v>0.35646719980701302</v>
      </c>
      <c r="Q469" s="25" t="s">
        <v>18</v>
      </c>
      <c r="R469" s="39" t="s">
        <v>19</v>
      </c>
      <c r="S469" s="1">
        <f>R467/((AVERAGE(P473:P478))*(1+E479)^3)</f>
        <v>65.870708013990054</v>
      </c>
      <c r="U469" s="25" t="s">
        <v>48</v>
      </c>
      <c r="V469" s="39" t="s">
        <v>19</v>
      </c>
      <c r="W469" s="1">
        <f>V467/((AVERAGE(P473:P478))*(1+E479)^3)</f>
        <v>65.870708013990054</v>
      </c>
      <c r="Y469" s="25" t="s">
        <v>39</v>
      </c>
      <c r="Z469" s="39" t="s">
        <v>19</v>
      </c>
      <c r="AA469" s="1">
        <f>Z467/((AVERAGE(P473:P478))*(1+E479)^3)</f>
        <v>65.870708013990054</v>
      </c>
    </row>
    <row r="470" spans="1:27">
      <c r="B470" s="13">
        <v>3</v>
      </c>
      <c r="C470" s="14" t="s">
        <v>20</v>
      </c>
      <c r="D470" s="15" cm="1">
        <f t="array" ref="D470">_xlfn.SINGLE(IF(A476=A477,_xll.ciqfunctions.udf.CIQ(A468,"IQ_TOTAL_REV",IQ_FY-8)/I470, _xll.ciqfunctions.udf.CIQ(A468, "IQ_TOTAL_REV",IQ_FY-7)/I470))</f>
        <v>2.3108856088560885</v>
      </c>
      <c r="E470" s="16">
        <f t="shared" si="127"/>
        <v>8.5534240460836852E-2</v>
      </c>
      <c r="F470" s="15">
        <f>IF(A476=A477,_xll.ciqfunctions.udf.CIQ(A468,"IQ_DILUT_EPS_EXCL",IQ_FY-8), _xll.ciqfunctions.udf.CIQ(A468, "IQ_DILUT_EPS_EXCL",IQ_FY-7))</f>
        <v>0.27</v>
      </c>
      <c r="G470" s="15">
        <f>IF(A476=A477,_xll.ciqfunctions.udf.CIQ(A468,"IQ_EBITDA_MARGIN",IQ_FY-8), _xll.ciqfunctions.udf.CIQ(A468, "IQ_EBITDA_MARGIN",IQ_FY-7))</f>
        <v>21.457000000000001</v>
      </c>
      <c r="H470" s="15">
        <f>IF(A476=A477,_xll.ciqfunctions.udf.CIQ(A468,"IQ_TOTAL_DIV_PAID_CF",IQ_FY-8)/-I470, _xll.ciqfunctions.udf.CIQ(A468, "IQ_TOTAL_DIV_PAID_CF",IQ_FY-7)/-I470)</f>
        <v>9.8247232472324725E-2</v>
      </c>
      <c r="I470" s="17">
        <f>IF(A476=A477,_xll.ciqfunctions.udf.CIQ(A468,"IQ_TOTAL_OUTSTANDING_FILING_DATE",IQ_FY-8), _xll.ciqfunctions.udf.CIQ(A468, "IQ_TOTAL_OUTSTANDING_FILING_DATE",IQ_FY-7))</f>
        <v>2168</v>
      </c>
      <c r="J470" s="17">
        <f>IF(A476=A477,_xll.ciqfunctions.udf.CIQ(A468,"IQ_CASH_OPER",IQ_FY-8), _xll.ciqfunctions.udf.CIQ(A468, "IQ_CASH_OPER",IQ_FY-7))</f>
        <v>1175</v>
      </c>
      <c r="K470" s="17">
        <f>IF(A476=A477,_xll.ciqfunctions.udf.CIQ(A468,"IQ_CAPEX",IQ_FY-8), _xll.ciqfunctions.udf.CIQ(A468, "IQ_CAPEX",IQ_FY-7))</f>
        <v>-86</v>
      </c>
      <c r="L470" s="15">
        <f t="shared" si="124"/>
        <v>0.50230627306273068</v>
      </c>
      <c r="M470" s="17">
        <f>IF(A476=A477,_xll.ciqfunctions.udf.CIQ(A468,"IQ_TOTAL_DEBT_ISSUED",IQ_FY-8), _xll.ciqfunctions.udf.CIQ(A468, "IQ_TOTAL_DEBT_ISSUED",IQ_FY-7))</f>
        <v>0</v>
      </c>
      <c r="N470" s="17">
        <f>IF(A476=A477,_xll.ciqfunctions.udf.CIQ(A468,"IQ_TOTAL_DEBT_REPAID",IQ_FY-8), _xll.ciqfunctions.udf.CIQ(A468, "IQ_TOTAL_DEBT_REPAID",IQ_FY-7))</f>
        <v>0</v>
      </c>
      <c r="O470" s="15">
        <f t="shared" si="125"/>
        <v>0</v>
      </c>
      <c r="P470" s="15">
        <f t="shared" si="126"/>
        <v>0.50230627306273068</v>
      </c>
      <c r="Q470" s="25" t="s">
        <v>21</v>
      </c>
      <c r="R470" s="38" t="s">
        <v>49</v>
      </c>
      <c r="S470" s="2">
        <f>(R467*I478)/1000</f>
        <v>1193.64726</v>
      </c>
      <c r="U470" s="25" t="s">
        <v>59</v>
      </c>
      <c r="V470" s="38" t="s">
        <v>49</v>
      </c>
      <c r="W470" s="2">
        <f>(V467*I478)/1000</f>
        <v>1193.64726</v>
      </c>
      <c r="Y470" s="25" t="s">
        <v>46</v>
      </c>
      <c r="Z470" s="38" t="s">
        <v>49</v>
      </c>
      <c r="AA470" s="2">
        <f>(Z467*I478)/1000</f>
        <v>1193.64726</v>
      </c>
    </row>
    <row r="471" spans="1:27">
      <c r="A471" s="18"/>
      <c r="B471" s="13">
        <v>4</v>
      </c>
      <c r="C471" s="14" t="s">
        <v>22</v>
      </c>
      <c r="D471" s="15" cm="1">
        <f t="array" ref="D471">_xlfn.SINGLE(IF(A476=A477,_xll.ciqfunctions.udf.CIQ(A468,"IQ_TOTAL_REV",IQ_FY-7)/I471, _xll.ciqfunctions.udf.CIQ(A468, "IQ_TOTAL_REV",IQ_FY-6)/I471))</f>
        <v>2.9329371816638372</v>
      </c>
      <c r="E471" s="16">
        <f t="shared" si="127"/>
        <v>0.2691831955782833</v>
      </c>
      <c r="F471" s="15">
        <f>IF(A476=A477,_xll.ciqfunctions.udf.CIQ(A468,"IQ_DILUT_EPS_EXCL",IQ_FY-7), _xll.ciqfunctions.udf.CIQ(A468, "IQ_DILUT_EPS_EXCL",IQ_FY-6))</f>
        <v>0.64249999999999996</v>
      </c>
      <c r="G471" s="15">
        <f>IF(A476=A477,_xll.ciqfunctions.udf.CIQ(A468,"IQ_EBITDA_MARGIN",IQ_FY-7), _xll.ciqfunctions.udf.CIQ(A468, "IQ_EBITDA_MARGIN",IQ_FY-6))</f>
        <v>30.738</v>
      </c>
      <c r="H471" s="15">
        <f>IF(A476=A477,_xll.ciqfunctions.udf.CIQ(A468,"IQ_TOTAL_DIV_PAID_CF",IQ_FY-7)/-I471, _xll.ciqfunctions.udf.CIQ(A468, "IQ_TOTAL_DIV_PAID_CF",IQ_FY-6)/-I471)</f>
        <v>0.11078098471986418</v>
      </c>
      <c r="I471" s="17">
        <f>IF(A476=A477,_xll.ciqfunctions.udf.CIQ(A468,"IQ_TOTAL_OUTSTANDING_FILING_DATE",IQ_FY-7), _xll.ciqfunctions.udf.CIQ(A468, "IQ_TOTAL_OUTSTANDING_FILING_DATE",IQ_FY-6))</f>
        <v>2356</v>
      </c>
      <c r="J471" s="17">
        <f>IF(A476=A477,_xll.ciqfunctions.udf.CIQ(A468,"IQ_CASH_OPER",IQ_FY-7), _xll.ciqfunctions.udf.CIQ(A468, "IQ_CASH_OPER",IQ_FY-6))</f>
        <v>1672</v>
      </c>
      <c r="K471" s="17">
        <f>IF(A476=A477,_xll.ciqfunctions.udf.CIQ(A468,"IQ_CAPEX",IQ_FY-7), _xll.ciqfunctions.udf.CIQ(A468, "IQ_CAPEX",IQ_FY-6))</f>
        <v>-176</v>
      </c>
      <c r="L471" s="15">
        <f t="shared" si="124"/>
        <v>0.63497453310696095</v>
      </c>
      <c r="M471" s="17">
        <f>IF(A476=A477,_xll.ciqfunctions.udf.CIQ(A468,"IQ_TOTAL_DEBT_ISSUED",IQ_FY-7), _xll.ciqfunctions.udf.CIQ(A468, "IQ_TOTAL_DEBT_ISSUED",IQ_FY-6))</f>
        <v>1988</v>
      </c>
      <c r="N471" s="17">
        <f>IF(A476=A477,_xll.ciqfunctions.udf.CIQ(A468,"IQ_TOTAL_DEBT_REPAID",IQ_FY-7), _xll.ciqfunctions.udf.CIQ(A468, "IQ_TOTAL_DEBT_REPAID",IQ_FY-6))</f>
        <v>-673</v>
      </c>
      <c r="O471" s="15">
        <f t="shared" si="125"/>
        <v>0.55814940577249572</v>
      </c>
      <c r="P471" s="15">
        <f t="shared" si="126"/>
        <v>1.1931239388794568</v>
      </c>
      <c r="Q471" s="25" t="s">
        <v>23</v>
      </c>
      <c r="R471" s="38" t="s">
        <v>24</v>
      </c>
      <c r="S471" s="1">
        <f>R467/(AVERAGE(H473:H478)*(1+H479)/(0.5-H479))</f>
        <v>1486.0159324800134</v>
      </c>
      <c r="U471" s="25" t="s">
        <v>40</v>
      </c>
      <c r="V471" s="38" t="s">
        <v>24</v>
      </c>
      <c r="W471" s="1">
        <f>V467/(AVERAGE(H473:H478)*(1+H479)/(0.5-H479))</f>
        <v>1486.0159324800134</v>
      </c>
      <c r="Y471" s="25" t="s">
        <v>47</v>
      </c>
      <c r="Z471" s="38" t="s">
        <v>24</v>
      </c>
      <c r="AA471" s="1">
        <f>Z467/(AVERAGE(H473:H478)*(1+H479)/(0.5-H479))</f>
        <v>1486.0159324800134</v>
      </c>
    </row>
    <row r="472" spans="1:27">
      <c r="B472" s="13">
        <v>5</v>
      </c>
      <c r="C472" s="14" t="s">
        <v>25</v>
      </c>
      <c r="D472" s="15" cm="1">
        <f t="array" ref="D472">_xlfn.SINGLE(IF(A476=A477,_xll.ciqfunctions.udf.CIQ(A468,"IQ_TOTAL_REV",IQ_FY-6)/I472, _xll.ciqfunctions.udf.CIQ(A468, "IQ_TOTAL_REV",IQ_FY-5)/I472))</f>
        <v>4.0140495867768591</v>
      </c>
      <c r="E472" s="16">
        <f t="shared" si="127"/>
        <v>0.36861082871870904</v>
      </c>
      <c r="F472" s="15">
        <f>IF(A476=A477,_xll.ciqfunctions.udf.CIQ(A468,"IQ_DILUT_EPS_EXCL",IQ_FY-6), _xll.ciqfunctions.udf.CIQ(A468, "IQ_DILUT_EPS_EXCL",IQ_FY-5))</f>
        <v>1.2050000000000001</v>
      </c>
      <c r="G472" s="15">
        <f>IF(A476=A477,_xll.ciqfunctions.udf.CIQ(A468,"IQ_EBITDA_MARGIN",IQ_FY-6), _xll.ciqfunctions.udf.CIQ(A468, "IQ_EBITDA_MARGIN",IQ_FY-5))</f>
        <v>35.093600000000002</v>
      </c>
      <c r="H472" s="15">
        <f>IF(A476=A477,_xll.ciqfunctions.udf.CIQ(A468,"IQ_TOTAL_DIV_PAID_CF",IQ_FY-6)/-I472, _xll.ciqfunctions.udf.CIQ(A468, "IQ_TOTAL_DIV_PAID_CF",IQ_FY-5)/-I472)</f>
        <v>0.1409090909090909</v>
      </c>
      <c r="I472" s="17">
        <f>IF(A476=A477,_xll.ciqfunctions.udf.CIQ(A468,"IQ_TOTAL_OUTSTANDING_FILING_DATE",IQ_FY-6), _xll.ciqfunctions.udf.CIQ(A468, "IQ_TOTAL_OUTSTANDING_FILING_DATE",IQ_FY-5))</f>
        <v>2420</v>
      </c>
      <c r="J472" s="17">
        <f>IF(A476=A477,_xll.ciqfunctions.udf.CIQ(A468,"IQ_CASH_OPER",IQ_FY-6), _xll.ciqfunctions.udf.CIQ(A468, "IQ_CASH_OPER",IQ_FY-5))</f>
        <v>3502</v>
      </c>
      <c r="K472" s="17">
        <f>IF(A476=A477,_xll.ciqfunctions.udf.CIQ(A468,"IQ_CAPEX",IQ_FY-6), _xll.ciqfunctions.udf.CIQ(A468, "IQ_CAPEX",IQ_FY-5))</f>
        <v>-593</v>
      </c>
      <c r="L472" s="15">
        <f t="shared" si="124"/>
        <v>1.2020661157024792</v>
      </c>
      <c r="M472" s="17">
        <f>IF(A476=A477,_xll.ciqfunctions.udf.CIQ(A468,"IQ_TOTAL_DEBT_ISSUED",IQ_FY-6), _xll.ciqfunctions.udf.CIQ(A468, "IQ_TOTAL_DEBT_ISSUED",IQ_FY-5))</f>
        <v>0</v>
      </c>
      <c r="N472" s="17">
        <f>IF(A476=A477,_xll.ciqfunctions.udf.CIQ(A468,"IQ_TOTAL_DEBT_REPAID",IQ_FY-6), _xll.ciqfunctions.udf.CIQ(A468, "IQ_TOTAL_DEBT_REPAID",IQ_FY-5))</f>
        <v>-812</v>
      </c>
      <c r="O472" s="15">
        <f t="shared" si="125"/>
        <v>-0.33553719008264465</v>
      </c>
      <c r="P472" s="15">
        <f t="shared" si="126"/>
        <v>0.86652892561983452</v>
      </c>
      <c r="Q472" s="18"/>
      <c r="R472" s="38" t="s">
        <v>50</v>
      </c>
      <c r="S472" s="3">
        <f>I479</f>
        <v>3.7668934631680528E-3</v>
      </c>
      <c r="U472" s="18"/>
      <c r="V472" s="38" t="s">
        <v>50</v>
      </c>
      <c r="W472" s="3">
        <f>I479</f>
        <v>3.7668934631680528E-3</v>
      </c>
      <c r="Y472" s="18"/>
      <c r="Z472" s="38" t="s">
        <v>50</v>
      </c>
      <c r="AA472" s="3">
        <f>I479</f>
        <v>3.7668934631680528E-3</v>
      </c>
    </row>
    <row r="473" spans="1:27">
      <c r="B473" s="13">
        <v>6</v>
      </c>
      <c r="C473" s="14" t="s">
        <v>26</v>
      </c>
      <c r="D473" s="15" cm="1">
        <f t="array" ref="D473">_xlfn.SINGLE(IF(A476=A477,_xll.ciqfunctions.udf.CIQ(A468,"IQ_TOTAL_REV",IQ_FY-5)/I473, _xll.ciqfunctions.udf.CIQ(A468, "IQ_TOTAL_REV",IQ_FY-4)/I473))</f>
        <v>4.833333333333333</v>
      </c>
      <c r="E473" s="16">
        <f t="shared" si="127"/>
        <v>0.20410404227575327</v>
      </c>
      <c r="F473" s="15">
        <f>IF(A476=A477,_xll.ciqfunctions.udf.CIQ(A468,"IQ_DILUT_EPS_EXCL",IQ_FY-5), _xll.ciqfunctions.udf.CIQ(A468, "IQ_DILUT_EPS_EXCL",IQ_FY-4))</f>
        <v>1.6575</v>
      </c>
      <c r="G473" s="15">
        <f>IF(A476=A477,_xll.ciqfunctions.udf.CIQ(A468,"IQ_EBITDA_MARGIN",IQ_FY-5), _xll.ciqfunctions.udf.CIQ(A468, "IQ_EBITDA_MARGIN",IQ_FY-4))</f>
        <v>34.704599999999999</v>
      </c>
      <c r="H473" s="15">
        <f>IF(A476=A477,_xll.ciqfunctions.udf.CIQ(A468,"IQ_TOTAL_DIV_PAID_CF",IQ_FY-5)/-I473, _xll.ciqfunctions.udf.CIQ(A468, "IQ_TOTAL_DIV_PAID_CF",IQ_FY-4)/-I473)</f>
        <v>0.15305280528052806</v>
      </c>
      <c r="I473" s="17">
        <f>IF(A476=A477,_xll.ciqfunctions.udf.CIQ(A468,"IQ_TOTAL_OUTSTANDING_FILING_DATE",IQ_FY-5), _xll.ciqfunctions.udf.CIQ(A468, "IQ_TOTAL_OUTSTANDING_FILING_DATE",IQ_FY-4))</f>
        <v>2424</v>
      </c>
      <c r="J473" s="17">
        <f>IF(A476=A477,_xll.ciqfunctions.udf.CIQ(A468,"IQ_CASH_OPER",IQ_FY-5), _xll.ciqfunctions.udf.CIQ(A468, "IQ_CASH_OPER",IQ_FY-4))</f>
        <v>3743</v>
      </c>
      <c r="K473" s="17">
        <f>IF(A476=A477,_xll.ciqfunctions.udf.CIQ(A468,"IQ_CAPEX",IQ_FY-5), _xll.ciqfunctions.udf.CIQ(A468, "IQ_CAPEX",IQ_FY-4))</f>
        <v>-600</v>
      </c>
      <c r="L473" s="15">
        <f t="shared" si="124"/>
        <v>1.2966171617161717</v>
      </c>
      <c r="M473" s="17">
        <f>IF(A476=A477,_xll.ciqfunctions.udf.CIQ(A468,"IQ_TOTAL_DEBT_ISSUED",IQ_FY-5), _xll.ciqfunctions.udf.CIQ(A468, "IQ_TOTAL_DEBT_ISSUED",IQ_FY-4))</f>
        <v>0</v>
      </c>
      <c r="N473" s="17">
        <f>IF(A476=A477,_xll.ciqfunctions.udf.CIQ(A468,"IQ_TOTAL_DEBT_REPAID",IQ_FY-5), _xll.ciqfunctions.udf.CIQ(A468, "IQ_TOTAL_DEBT_REPAID",IQ_FY-4))</f>
        <v>-16</v>
      </c>
      <c r="O473" s="15">
        <f t="shared" si="125"/>
        <v>-6.6006600660066007E-3</v>
      </c>
      <c r="P473" s="15">
        <f t="shared" si="126"/>
        <v>1.290016501650165</v>
      </c>
      <c r="Q473" s="25" t="s">
        <v>27</v>
      </c>
      <c r="R473" s="38" t="s">
        <v>51</v>
      </c>
      <c r="S473" s="4">
        <f>AVERAGE(F473:F478)/AVERAGE(D473:D478)</f>
        <v>0.31693397701219267</v>
      </c>
      <c r="U473" s="25" t="s">
        <v>58</v>
      </c>
      <c r="V473" s="38" t="s">
        <v>51</v>
      </c>
      <c r="W473" s="4">
        <f>AVERAGE(F473:F478)/AVERAGE(D473:D478)</f>
        <v>0.31693397701219267</v>
      </c>
      <c r="Y473" s="25" t="s">
        <v>56</v>
      </c>
      <c r="Z473" s="38" t="s">
        <v>51</v>
      </c>
      <c r="AA473" s="4">
        <f>AVERAGE(F473:F478)/AVERAGE(D473:D478)</f>
        <v>0.31693397701219267</v>
      </c>
    </row>
    <row r="474" spans="1:27">
      <c r="A474" s="18"/>
      <c r="B474" s="13">
        <v>7</v>
      </c>
      <c r="C474" s="14" t="s">
        <v>28</v>
      </c>
      <c r="D474" s="15" cm="1">
        <f t="array" ref="D474">_xlfn.SINGLE(IF(A476=A477,_xll.ciqfunctions.udf.CIQ(A468,"IQ_TOTAL_REV",IQ_FY-4)/I474, _xll.ciqfunctions.udf.CIQ(A468, "IQ_TOTAL_REV",IQ_FY-3)/I474))</f>
        <v>4.4599673202614376</v>
      </c>
      <c r="E474" s="16">
        <f t="shared" si="127"/>
        <v>-7.724814063556458E-2</v>
      </c>
      <c r="F474" s="15">
        <f>IF(A476=A477,_xll.ciqfunctions.udf.CIQ(A468,"IQ_DILUT_EPS_EXCL",IQ_FY-4), _xll.ciqfunctions.udf.CIQ(A468, "IQ_DILUT_EPS_EXCL",IQ_FY-3))</f>
        <v>1.1299999999999999</v>
      </c>
      <c r="G474" s="15">
        <f>IF(A476=A477,_xll.ciqfunctions.udf.CIQ(A468,"IQ_EBITDA_MARGIN",IQ_FY-4), _xll.ciqfunctions.udf.CIQ(A468, "IQ_EBITDA_MARGIN",IQ_FY-3))</f>
        <v>29.5566</v>
      </c>
      <c r="H474" s="15">
        <f>IF(A476=A477,_xll.ciqfunctions.udf.CIQ(A468,"IQ_TOTAL_DIV_PAID_CF",IQ_FY-4)/-I474, _xll.ciqfunctions.udf.CIQ(A468, "IQ_TOTAL_DIV_PAID_CF",IQ_FY-3)/-I474)</f>
        <v>0.15931372549019607</v>
      </c>
      <c r="I474" s="17">
        <f>IF(A476=A477,_xll.ciqfunctions.udf.CIQ(A468,"IQ_TOTAL_OUTSTANDING_FILING_DATE",IQ_FY-4), _xll.ciqfunctions.udf.CIQ(A468, "IQ_TOTAL_OUTSTANDING_FILING_DATE",IQ_FY-3))</f>
        <v>2448</v>
      </c>
      <c r="J474" s="17">
        <f>IF(A476=A477,_xll.ciqfunctions.udf.CIQ(A468,"IQ_CASH_OPER",IQ_FY-4), _xll.ciqfunctions.udf.CIQ(A468, "IQ_CASH_OPER",IQ_FY-3))</f>
        <v>4761</v>
      </c>
      <c r="K474" s="17">
        <f>IF(A476=A477,_xll.ciqfunctions.udf.CIQ(A468,"IQ_CAPEX",IQ_FY-4), _xll.ciqfunctions.udf.CIQ(A468, "IQ_CAPEX",IQ_FY-3))</f>
        <v>-489</v>
      </c>
      <c r="L474" s="15">
        <f t="shared" si="124"/>
        <v>1.7450980392156863</v>
      </c>
      <c r="M474" s="17">
        <f>IF(A476=A477,_xll.ciqfunctions.udf.CIQ(A468,"IQ_TOTAL_DEBT_ISSUED",IQ_FY-4), _xll.ciqfunctions.udf.CIQ(A468, "IQ_TOTAL_DEBT_ISSUED",IQ_FY-3))</f>
        <v>0</v>
      </c>
      <c r="N474" s="17">
        <f>IF(A476=A477,_xll.ciqfunctions.udf.CIQ(A468,"IQ_TOTAL_DEBT_REPAID",IQ_FY-4), _xll.ciqfunctions.udf.CIQ(A468, "IQ_TOTAL_DEBT_REPAID",IQ_FY-3))</f>
        <v>0</v>
      </c>
      <c r="O474" s="15">
        <f t="shared" si="125"/>
        <v>0</v>
      </c>
      <c r="P474" s="15">
        <f t="shared" si="126"/>
        <v>1.7450980392156863</v>
      </c>
      <c r="Q474" s="18"/>
      <c r="R474" s="38" t="s">
        <v>29</v>
      </c>
      <c r="S474" s="4">
        <f>(AVERAGE(P473:P478)/_xlfn.STDEV.P(P473:P478))/(IF(A476=A477,(_xlfn.SINGLE(_xll.ciqfunctions.udf.CIQ(A468,"IQ_total_assets",IQ_FY)) - _xlfn.SINGLE(_xll.ciqfunctions.udf.CIQ(A468,"iq_gw_intan", IQ_FY)))/I478, (_xlfn.SINGLE(_xll.ciqfunctions.udf.CIQ(A468, "IQ_total_assets",IQ_LTM))-_xlfn.SINGLE(_xll.ciqfunctions.udf.CIQ(A468,"iq_gw_intan",IQ_LTM)))/I478))</f>
        <v>8.6208374602471632E-2</v>
      </c>
      <c r="U474" s="18"/>
      <c r="V474" s="38" t="s">
        <v>29</v>
      </c>
      <c r="W474" s="4">
        <f>(AVERAGE(P473:P478)/_xlfn.STDEV.P(P473:P478))/(IF(A476=A477,(_xlfn.SINGLE(_xll.ciqfunctions.udf.CIQ(A468,"IQ_total_assets",IQ_FY)) - _xlfn.SINGLE(_xll.ciqfunctions.udf.CIQ(A468,"iq_gw_intan", IQ_FY)))/I478, (_xlfn.SINGLE(_xll.ciqfunctions.udf.CIQ(A468, "IQ_total_assets",IQ_LTM))-_xlfn.SINGLE(_xll.ciqfunctions.udf.CIQ(A468,"iq_gw_intan",IQ_LTM)))/I478))</f>
        <v>8.6208374602471632E-2</v>
      </c>
      <c r="Y474" s="18"/>
      <c r="Z474" s="38" t="s">
        <v>29</v>
      </c>
      <c r="AA474" s="4">
        <f>(AVERAGE(P473:P478)/_xlfn.STDEV.P(P473:P478))/(IF(A476=A477,(_xlfn.SINGLE(_xll.ciqfunctions.udf.CIQ(A468,"IQ_total_assets",IQ_FY)) - _xlfn.SINGLE(_xll.ciqfunctions.udf.CIQ(A468,"iq_gw_intan", IQ_FY)))/I478, (_xlfn.SINGLE(_xll.ciqfunctions.udf.CIQ(A468, "IQ_total_assets",IQ_LTM))-_xlfn.SINGLE(_xll.ciqfunctions.udf.CIQ(A468,"iq_gw_intan",IQ_LTM)))/I478))</f>
        <v>8.6208374602471632E-2</v>
      </c>
    </row>
    <row r="475" spans="1:27">
      <c r="A475" s="18"/>
      <c r="B475" s="13">
        <v>8</v>
      </c>
      <c r="C475" s="14" t="s">
        <v>30</v>
      </c>
      <c r="D475" s="15" cm="1">
        <f t="array" ref="D475">_xlfn.SINGLE(IF(A476=A477,_xll.ciqfunctions.udf.CIQ(A468,"IQ_TOTAL_REV",IQ_FY-3)/I475, _xll.ciqfunctions.udf.CIQ(A468, "IQ_TOTAL_REV",IQ_FY-2)/I475))</f>
        <v>6.723790322580645</v>
      </c>
      <c r="E475" s="16">
        <f t="shared" si="127"/>
        <v>0.50758735204958971</v>
      </c>
      <c r="F475" s="15">
        <f>IF(A476=A477,_xll.ciqfunctions.udf.CIQ(A468,"IQ_DILUT_EPS_EXCL",IQ_FY-3), _xll.ciqfunctions.udf.CIQ(A468, "IQ_DILUT_EPS_EXCL",IQ_FY-2))</f>
        <v>1.73</v>
      </c>
      <c r="G475" s="15">
        <f>IF(A476=A477,_xll.ciqfunctions.udf.CIQ(A468,"IQ_EBITDA_MARGIN",IQ_FY-3), _xll.ciqfunctions.udf.CIQ(A468, "IQ_EBITDA_MARGIN",IQ_FY-2))</f>
        <v>34.896500000000003</v>
      </c>
      <c r="H475" s="15">
        <f>IF(A476=A477,_xll.ciqfunctions.udf.CIQ(A468,"IQ_TOTAL_DIV_PAID_CF",IQ_FY-3)/-I475, _xll.ciqfunctions.udf.CIQ(A468, "IQ_TOTAL_DIV_PAID_CF",IQ_FY-2)/-I475)</f>
        <v>0.15927419354838709</v>
      </c>
      <c r="I475" s="17">
        <f>IF(A476=A477,_xll.ciqfunctions.udf.CIQ(A468,"IQ_TOTAL_OUTSTANDING_FILING_DATE",IQ_FY-3), _xll.ciqfunctions.udf.CIQ(A468, "IQ_TOTAL_OUTSTANDING_FILING_DATE",IQ_FY-2))</f>
        <v>2480</v>
      </c>
      <c r="J475" s="17">
        <f>IF(A476=A477,_xll.ciqfunctions.udf.CIQ(A468,"IQ_CASH_OPER",IQ_FY-3), _xll.ciqfunctions.udf.CIQ(A468, "IQ_CASH_OPER",IQ_FY-2))</f>
        <v>5822</v>
      </c>
      <c r="K475" s="17">
        <f>IF(A476=A477,_xll.ciqfunctions.udf.CIQ(A468,"IQ_CAPEX",IQ_FY-3), _xll.ciqfunctions.udf.CIQ(A468, "IQ_CAPEX",IQ_FY-2))</f>
        <v>-1128</v>
      </c>
      <c r="L475" s="15">
        <f t="shared" si="124"/>
        <v>1.892741935483871</v>
      </c>
      <c r="M475" s="17">
        <f>IF(A476=A477,_xll.ciqfunctions.udf.CIQ(A468,"IQ_TOTAL_DEBT_ISSUED",IQ_FY-3), _xll.ciqfunctions.udf.CIQ(A468, "IQ_TOTAL_DEBT_ISSUED",IQ_FY-2))</f>
        <v>4968</v>
      </c>
      <c r="N475" s="17">
        <f>IF(A476=A477,_xll.ciqfunctions.udf.CIQ(A468,"IQ_TOTAL_DEBT_REPAID",IQ_FY-3), _xll.ciqfunctions.udf.CIQ(A468, "IQ_TOTAL_DEBT_REPAID",IQ_FY-2))</f>
        <v>0</v>
      </c>
      <c r="O475" s="15">
        <f t="shared" si="125"/>
        <v>2.0032258064516131</v>
      </c>
      <c r="P475" s="15">
        <f t="shared" si="126"/>
        <v>3.8959677419354843</v>
      </c>
      <c r="Q475" s="18"/>
      <c r="R475" s="39" t="s">
        <v>31</v>
      </c>
      <c r="S475" s="5">
        <f>IF(NOT(D468&gt;0),FALSE,SLOPE(G468:G478,B468:B478))</f>
        <v>2.2121818181818176</v>
      </c>
      <c r="U475" s="18"/>
      <c r="V475" s="39" t="s">
        <v>31</v>
      </c>
      <c r="W475" s="5">
        <f>IF(NOT(D468&gt;0),FALSE,SLOPE(G468:G478,B468:B478))</f>
        <v>2.2121818181818176</v>
      </c>
      <c r="Y475" s="18"/>
      <c r="Z475" s="39" t="s">
        <v>31</v>
      </c>
      <c r="AA475" s="5">
        <f>IF(NOT(L468&gt;0),FALSE,SLOPE(O468:O478,J468:J478))</f>
        <v>-1.2153969385908756E-5</v>
      </c>
    </row>
    <row r="476" spans="1:27">
      <c r="A476" s="19">
        <f>_xll.ciqfunctions.udf.CIQ(A468,"IQ_TOTAL_REV",IQ_FY)</f>
        <v>26974</v>
      </c>
      <c r="B476" s="13">
        <v>9</v>
      </c>
      <c r="C476" s="14" t="s">
        <v>32</v>
      </c>
      <c r="D476" s="15" cm="1">
        <f t="array" ref="D476">_xlfn.SINGLE(IF(A476=A477,_xll.ciqfunctions.udf.CIQ(A468,"IQ_TOTAL_REV",IQ_FY-2)/I476, _xll.ciqfunctions.udf.CIQ(A468, "IQ_TOTAL_REV",IQ_FY-1)/I476))</f>
        <v>10.739824421388667</v>
      </c>
      <c r="E476" s="16">
        <f t="shared" si="127"/>
        <v>0.59728723028748987</v>
      </c>
      <c r="F476" s="15">
        <f>IF(A476=A477,_xll.ciqfunctions.udf.CIQ(A468,"IQ_DILUT_EPS_EXCL",IQ_FY-2), _xll.ciqfunctions.udf.CIQ(A468, "IQ_DILUT_EPS_EXCL",IQ_FY-1))</f>
        <v>3.85</v>
      </c>
      <c r="G476" s="15">
        <f>IF(A476=A477,_xll.ciqfunctions.udf.CIQ(A468,"IQ_EBITDA_MARGIN",IQ_FY-2), _xll.ciqfunctions.udf.CIQ(A468, "IQ_EBITDA_MARGIN",IQ_FY-1))</f>
        <v>41.669699999999999</v>
      </c>
      <c r="H476" s="15">
        <f>IF(A476=A477,_xll.ciqfunctions.udf.CIQ(A468,"IQ_TOTAL_DIV_PAID_CF",IQ_FY-2)/-I476, _xll.ciqfunctions.udf.CIQ(A468, "IQ_TOTAL_DIV_PAID_CF",IQ_FY-1)/-I476)</f>
        <v>0.15921787709497207</v>
      </c>
      <c r="I476" s="17">
        <f>IF(A476=A477,_xll.ciqfunctions.udf.CIQ(A468,"IQ_TOTAL_OUTSTANDING_FILING_DATE",IQ_FY-2), _xll.ciqfunctions.udf.CIQ(A468, "IQ_TOTAL_OUTSTANDING_FILING_DATE",IQ_FY-1))</f>
        <v>2506</v>
      </c>
      <c r="J476" s="17">
        <f>IF(A476=A477,_xll.ciqfunctions.udf.CIQ(A468,"IQ_CASH_OPER",IQ_FY-2), _xll.ciqfunctions.udf.CIQ(A468, "IQ_CASH_OPER",IQ_FY-1))</f>
        <v>9108</v>
      </c>
      <c r="K476" s="17">
        <f>IF(A476=A477,_xll.ciqfunctions.udf.CIQ(A468,"IQ_CAPEX",IQ_FY-2), _xll.ciqfunctions.udf.CIQ(A468, "IQ_CAPEX",IQ_FY-1))</f>
        <v>-976</v>
      </c>
      <c r="L476" s="15">
        <f t="shared" si="124"/>
        <v>3.2450119712689545</v>
      </c>
      <c r="M476" s="17">
        <f>IF(A476=A477,_xll.ciqfunctions.udf.CIQ(A468,"IQ_TOTAL_DEBT_ISSUED",IQ_FY-2), _xll.ciqfunctions.udf.CIQ(A468, "IQ_TOTAL_DEBT_ISSUED",IQ_FY-1))</f>
        <v>4977</v>
      </c>
      <c r="N476" s="17">
        <f>IF(A476=A477,_xll.ciqfunctions.udf.CIQ(A468,"IQ_TOTAL_DEBT_REPAID",IQ_FY-2), _xll.ciqfunctions.udf.CIQ(A468, "IQ_TOTAL_DEBT_REPAID",IQ_FY-1))</f>
        <v>-1000</v>
      </c>
      <c r="O476" s="15">
        <f t="shared" si="125"/>
        <v>1.5869912210694335</v>
      </c>
      <c r="P476" s="15">
        <f t="shared" si="126"/>
        <v>4.8320031923383882</v>
      </c>
      <c r="Q476" s="25" t="s">
        <v>33</v>
      </c>
      <c r="R476" s="38" t="s">
        <v>52</v>
      </c>
      <c r="S476" s="4">
        <f>(AVERAGE(O473:O478)/AVERAGE(P473:P478))</f>
        <v>0.15472968785833416</v>
      </c>
      <c r="U476" s="25" t="s">
        <v>54</v>
      </c>
      <c r="V476" s="38" t="s">
        <v>52</v>
      </c>
      <c r="W476" s="4">
        <f>(AVERAGE(O473:O478)/AVERAGE(P473:P478))</f>
        <v>0.15472968785833416</v>
      </c>
      <c r="Y476" s="25" t="s">
        <v>60</v>
      </c>
      <c r="Z476" s="38" t="s">
        <v>52</v>
      </c>
      <c r="AA476" s="4">
        <f>(AVERAGE(O473:O478)/AVERAGE(P473:P478))</f>
        <v>0.15472968785833416</v>
      </c>
    </row>
    <row r="477" spans="1:27">
      <c r="A477" s="19">
        <f>_xll.ciqfunctions.udf.CIQ(A468,"IQ_TOTAL_REV",IQ_LTM)</f>
        <v>44870</v>
      </c>
      <c r="B477" s="13">
        <v>10</v>
      </c>
      <c r="C477" s="14" t="s">
        <v>34</v>
      </c>
      <c r="D477" s="15" cm="1">
        <f t="array" ref="D477">_xlfn.SINGLE(IF(A476=A477,_xll.ciqfunctions.udf.CIQ(A468,"IQ_TOTAL_REV",IQ_FY-1)/I477, _xll.ciqfunctions.udf.CIQ(A468, "IQ_TOTAL_REV",IQ_FY)/I477))</f>
        <v>10.920647773279352</v>
      </c>
      <c r="E477" s="16">
        <f t="shared" si="127"/>
        <v>1.6836713971838384E-2</v>
      </c>
      <c r="F477" s="15">
        <f>IF(A476=A477,_xll.ciqfunctions.udf.CIQ(A468,"IQ_DILUT_EPS_EXCL",IQ_FY-1), _xll.ciqfunctions.udf.CIQ(A468, "IQ_DILUT_EPS_EXCL",IQ_FY))</f>
        <v>1.74</v>
      </c>
      <c r="G477" s="15">
        <f>IF(A476=A477,_xll.ciqfunctions.udf.CIQ(A468,"IQ_EBITDA_MARGIN",IQ_FY-1), _xll.ciqfunctions.udf.CIQ(A468, "IQ_EBITDA_MARGIN",IQ_FY))</f>
        <v>26.3994</v>
      </c>
      <c r="H477" s="15">
        <f>IF(A476=A477,_xll.ciqfunctions.udf.CIQ(A468,"IQ_TOTAL_DIV_PAID_CF",IQ_FY-1)/-I477, _xll.ciqfunctions.udf.CIQ(A468, "IQ_TOTAL_DIV_PAID_CF",IQ_FY)/-I477)</f>
        <v>0.16113360323886639</v>
      </c>
      <c r="I477" s="17">
        <f>IF(A476=A477,_xll.ciqfunctions.udf.CIQ(A468,"IQ_TOTAL_OUTSTANDING_FILING_DATE",IQ_FY-1), _xll.ciqfunctions.udf.CIQ(A468, "IQ_TOTAL_OUTSTANDING_FILING_DATE",IQ_FY))</f>
        <v>2470</v>
      </c>
      <c r="J477" s="17">
        <f>IF(A476=A477,_xll.ciqfunctions.udf.CIQ(A468,"IQ_CASH_OPER",IQ_FY-1), _xll.ciqfunctions.udf.CIQ(A468, "IQ_CASH_OPER",IQ_FY))</f>
        <v>5641</v>
      </c>
      <c r="K477" s="17">
        <f>IF(A476=A477,_xll.ciqfunctions.udf.CIQ(A468,"IQ_CAPEX",IQ_FY-1), _xll.ciqfunctions.udf.CIQ(A468, "IQ_CAPEX",IQ_FY))</f>
        <v>-1833</v>
      </c>
      <c r="L477" s="15">
        <f t="shared" si="124"/>
        <v>1.5417004048582996</v>
      </c>
      <c r="M477" s="17">
        <f>IF(A476=A477,_xll.ciqfunctions.udf.CIQ(A468,"IQ_TOTAL_DEBT_ISSUED",IQ_FY-1), _xll.ciqfunctions.udf.CIQ(A468, "IQ_TOTAL_DEBT_ISSUED",IQ_FY))</f>
        <v>0</v>
      </c>
      <c r="N477" s="17">
        <f>IF(A476=A477,_xll.ciqfunctions.udf.CIQ(A468,"IQ_TOTAL_DEBT_REPAID",IQ_FY-1), _xll.ciqfunctions.udf.CIQ(A468, "IQ_TOTAL_DEBT_REPAID",IQ_FY))</f>
        <v>0</v>
      </c>
      <c r="O477" s="15">
        <f t="shared" si="125"/>
        <v>0</v>
      </c>
      <c r="P477" s="15">
        <f t="shared" si="126"/>
        <v>1.5417004048582996</v>
      </c>
      <c r="Q477" s="25" t="s">
        <v>44</v>
      </c>
      <c r="R477" s="38" t="s">
        <v>35</v>
      </c>
      <c r="S477" s="1">
        <f>_xll.ciqfunctions.udf.CIQ(A468,"IQ_TEV_EBITDA")</f>
        <v>52.33437</v>
      </c>
      <c r="U477" s="25" t="s">
        <v>55</v>
      </c>
      <c r="V477" s="38" t="s">
        <v>53</v>
      </c>
      <c r="W477" s="1">
        <f>V467/(AVERAGE(D473:D478)/_xlfn.STDEV.P(E473:E478))</f>
        <v>14.886111254990373</v>
      </c>
      <c r="Y477" s="25" t="s">
        <v>57</v>
      </c>
      <c r="Z477" s="38" t="s">
        <v>53</v>
      </c>
      <c r="AA477" s="1">
        <f>Z467/(AVERAGE(D473:D478)/_xlfn.STDEV.P(E473:E478))</f>
        <v>14.886111254990373</v>
      </c>
    </row>
    <row r="478" spans="1:27">
      <c r="B478" s="13">
        <v>11</v>
      </c>
      <c r="C478" s="20" t="s">
        <v>36</v>
      </c>
      <c r="D478" s="21" cm="1">
        <f t="array" ref="D478">_xlfn.SINGLE(IF(A476=A477,_xll.ciqfunctions.udf.CIQ(A468,"IQ_TOTAL_REV",IQ_FY)/I478, _xll.ciqfunctions.udf.CIQ(A468, "IQ_TOTAL_REV",IQ_LTM)/I478))</f>
        <v>18.165991902834008</v>
      </c>
      <c r="E478" s="22">
        <f t="shared" si="127"/>
        <v>0.6634536961518499</v>
      </c>
      <c r="F478" s="21">
        <f>IF(A476=A477,_xll.ciqfunctions.udf.CIQ(A468,"IQ_DILUT_EPS_EXCL",IQ_FY), _xll.ciqfunctions.udf.CIQ(A468, "IQ_DILUT_EPS_EXCL",IQ_LTM))</f>
        <v>7.5912199999999999</v>
      </c>
      <c r="G478" s="21">
        <f>IF(A476=A477,_xll.ciqfunctions.udf.CIQ(A468,"IQ_EBITDA_MARGIN",IQ_FY), _xll.ciqfunctions.udf.CIQ(A468, "IQ_EBITDA_MARGIN",IQ_LTM))</f>
        <v>49.389299999999999</v>
      </c>
      <c r="H478" s="21">
        <f>IF(A476=A477,_xll.ciqfunctions.udf.CIQ(A468,"IQ_TOTAL_DIV_PAID_CF",IQ_FY)/-I478, _xll.ciqfunctions.udf.CIQ(A468, "IQ_TOTAL_DIV_PAID_CF",IQ_LTM)/-I478)</f>
        <v>0.15951417004048582</v>
      </c>
      <c r="I478" s="23">
        <f>IF(A476=A477,_xll.ciqfunctions.udf.CIQ(A468,"IQ_TOTAL_OUTSTANDING_FILING_DATE",IQ_FY),_xll.ciqfunctions.udf.CIQ(A468,"IQ_sharesoutstanding"))</f>
        <v>2470</v>
      </c>
      <c r="J478" s="23">
        <f>IF(A476=A477,_xll.ciqfunctions.udf.CIQ(A468,"IQ_CASH_OPER",IQ_FY), _xll.ciqfunctions.udf.CIQ(A468, "IQ_CASH_OPER",IQ_LTM))</f>
        <v>18839</v>
      </c>
      <c r="K478" s="23">
        <f>IF(A476=A477,_xll.ciqfunctions.udf.CIQ(A468,"IQ_CAPEX",IQ_FY), _xll.ciqfunctions.udf.CIQ(A468, "IQ_CAPEX",IQ_LTM))</f>
        <v>-1324</v>
      </c>
      <c r="L478" s="21">
        <f t="shared" si="124"/>
        <v>7.0910931174089065</v>
      </c>
      <c r="M478" s="23">
        <f>IF(A476=A477,_xll.ciqfunctions.udf.CIQ(A468,"IQ_TOTAL_DEBT_ISSUED",IQ_FY), _xll.ciqfunctions.udf.CIQ(A468, "IQ_TOTAL_DEBT_ISSUED",IQ_LTM))</f>
        <v>0</v>
      </c>
      <c r="N478" s="23">
        <f>IF(A476=A477,_xll.ciqfunctions.udf.CIQ(A468,"IQ_TOTAL_DEBT_REPAID",IQ_FY), _xll.ciqfunctions.udf.CIQ(A468, "IQ_TOTAL_DEBT_REPAID",IQ_LTM))</f>
        <v>-1250</v>
      </c>
      <c r="O478" s="21">
        <f t="shared" si="125"/>
        <v>-0.50607287449392713</v>
      </c>
      <c r="P478" s="21">
        <f t="shared" si="126"/>
        <v>6.5850202429149789</v>
      </c>
      <c r="Q478" s="25" t="s">
        <v>45</v>
      </c>
      <c r="S478" s="45"/>
      <c r="U478" s="25"/>
      <c r="W478" s="45"/>
      <c r="Y478" s="25"/>
      <c r="AA478" s="45"/>
    </row>
    <row r="479" spans="1:27">
      <c r="B479" s="24"/>
      <c r="C479" s="25" t="s">
        <v>37</v>
      </c>
      <c r="E479" s="26">
        <f>((D478/D473)^(1/5))-1</f>
        <v>0.30317420134216744</v>
      </c>
      <c r="F479" s="27">
        <f>((F478/F473)^(1/5))-1</f>
        <v>0.35572501091898734</v>
      </c>
      <c r="G479" s="28"/>
      <c r="H479" s="27">
        <f>((H478/H473)^(1/5))-1</f>
        <v>8.3042433734388243E-3</v>
      </c>
      <c r="I479" s="27">
        <f>((I478/I473)^(1/5))-1</f>
        <v>3.7668934631680528E-3</v>
      </c>
      <c r="J479" s="27"/>
      <c r="K479" s="27"/>
      <c r="L479" s="26">
        <f>((L478/L473)^(1/5))-1</f>
        <v>0.40468933334641743</v>
      </c>
      <c r="M479" s="26"/>
      <c r="N479" s="26"/>
      <c r="O479" s="26"/>
      <c r="P479" s="26">
        <f>((P478/P473)^(1/5))-1</f>
        <v>0.38545482579192014</v>
      </c>
      <c r="Q479" s="18"/>
      <c r="R479" s="36"/>
      <c r="S479" s="45"/>
      <c r="U479" s="18"/>
      <c r="V479" s="36"/>
      <c r="W479" s="45"/>
      <c r="Y479" s="18"/>
      <c r="Z479" s="36"/>
      <c r="AA479" s="45"/>
    </row>
    <row r="480" spans="1:27">
      <c r="A480" s="29"/>
      <c r="B480" s="30"/>
      <c r="C480" s="31" t="s">
        <v>38</v>
      </c>
      <c r="D480" s="29"/>
      <c r="E480" s="32">
        <f>((D478/D468)^(1/10))-1</f>
        <v>0.25576045573175832</v>
      </c>
      <c r="F480" s="33">
        <f>((F478/F468)^(1/10))-1</f>
        <v>0.44981966106841931</v>
      </c>
      <c r="G480" s="34"/>
      <c r="H480" s="33">
        <f>((H478/H468)^(1/10))-1</f>
        <v>6.9271436832593514E-2</v>
      </c>
      <c r="I480" s="33">
        <f>((I478/I468)^(1/10))-1</f>
        <v>1.086648742693308E-2</v>
      </c>
      <c r="J480" s="33"/>
      <c r="K480" s="33"/>
      <c r="L480" s="32">
        <f>((L478/L468)^(1/10))-1</f>
        <v>0.39092725102249437</v>
      </c>
      <c r="M480" s="32"/>
      <c r="N480" s="32"/>
      <c r="O480" s="32"/>
      <c r="P480" s="32">
        <f>((P478/P468)^(1/10))-1</f>
        <v>0.21654813370672876</v>
      </c>
      <c r="Q480" s="40"/>
      <c r="R480" s="41"/>
      <c r="S480" s="46"/>
      <c r="U480" s="40"/>
      <c r="V480" s="41"/>
      <c r="W480" s="46"/>
      <c r="Y480" s="40"/>
      <c r="Z480" s="41"/>
      <c r="AA480" s="46"/>
    </row>
    <row r="481" spans="1:27">
      <c r="B481" s="24"/>
      <c r="C481" s="25"/>
      <c r="E481" s="26"/>
      <c r="F481" s="27"/>
      <c r="G481" s="28"/>
      <c r="H481" s="27"/>
      <c r="I481" s="27"/>
      <c r="J481" s="27"/>
      <c r="K481" s="27"/>
      <c r="L481" s="26"/>
      <c r="M481" s="17"/>
      <c r="N481" s="17"/>
      <c r="O481" s="17"/>
      <c r="P481" s="35"/>
      <c r="Q481" s="18"/>
      <c r="R481" s="36"/>
    </row>
    <row r="482" spans="1:27">
      <c r="A482" s="9" t="s">
        <v>0</v>
      </c>
      <c r="B482" s="10"/>
      <c r="C482" s="9" t="s">
        <v>1</v>
      </c>
      <c r="D482" s="9" t="s">
        <v>2</v>
      </c>
      <c r="E482" s="9" t="s">
        <v>3</v>
      </c>
      <c r="F482" s="11" t="s">
        <v>4</v>
      </c>
      <c r="G482" s="11" t="s">
        <v>5</v>
      </c>
      <c r="H482" s="9" t="s">
        <v>6</v>
      </c>
      <c r="I482" s="11" t="s">
        <v>7</v>
      </c>
      <c r="J482" s="11" t="s">
        <v>8</v>
      </c>
      <c r="K482" s="11" t="s">
        <v>9</v>
      </c>
      <c r="L482" s="11" t="s">
        <v>10</v>
      </c>
      <c r="M482" s="11" t="s">
        <v>11</v>
      </c>
      <c r="N482" s="11" t="s">
        <v>12</v>
      </c>
      <c r="O482" s="11" t="s">
        <v>13</v>
      </c>
      <c r="P482" s="11" t="s">
        <v>14</v>
      </c>
      <c r="Q482" s="37" t="s">
        <v>15</v>
      </c>
      <c r="R482" s="42">
        <f>_xll.ciqfunctions.udf.CIQ(A483,("IQ_LASTSALEPRICE"))</f>
        <v>551.88</v>
      </c>
      <c r="S482" s="44"/>
      <c r="U482" s="37" t="s">
        <v>15</v>
      </c>
      <c r="V482" s="42">
        <f>_xll.ciqfunctions.udf.CIQ(A483,("IQ_LASTSALEPRICE"))</f>
        <v>551.88</v>
      </c>
      <c r="W482" s="44"/>
      <c r="Y482" s="37" t="s">
        <v>15</v>
      </c>
      <c r="Z482" s="42">
        <f>_xll.ciqfunctions.udf.CIQ(A483,("IQ_LASTSALEPRICE"))</f>
        <v>551.88</v>
      </c>
      <c r="AA482" s="44"/>
    </row>
    <row r="483" spans="1:27">
      <c r="A483" s="12" t="str">
        <f>Analysis!B34</f>
        <v>NasdaqGS:MPWR</v>
      </c>
      <c r="B483" s="13">
        <v>1</v>
      </c>
      <c r="C483" s="14" t="s">
        <v>16</v>
      </c>
      <c r="D483" s="15">
        <f>IF(A491=A492,_xll.ciqfunctions.udf.CIQ(A483,"IQ_TOTAL_REV",IQ_FY-10)/I483,_xll.ciqfunctions.udf.CIQ(A483, "IQ_TOTAL_REV",IQ_FY-9)/I483)</f>
        <v>6.1544215930395803</v>
      </c>
      <c r="E483" s="16"/>
      <c r="F483" s="15">
        <f>IF(A491=A492,_xll.ciqfunctions.udf.CIQ(A483,"IQ_DILUT_EPS_EXCL",IQ_FY-10), _xll.ciqfunctions.udf.CIQ(A483, "IQ_DILUT_EPS_EXCL",IQ_FY-9))</f>
        <v>0.59</v>
      </c>
      <c r="G483" s="15">
        <f>IF(A491=A492,_xll.ciqfunctions.udf.CIQ(A483,"IQ_EBITDA_MARGIN",IQ_FY-10), _xll.ciqfunctions.udf.CIQ(A483, "IQ_EBITDA_MARGIN",IQ_FY-9))</f>
        <v>14.995900000000001</v>
      </c>
      <c r="H483" s="15">
        <f>IF(A491=A492,_xll.ciqfunctions.udf.CIQ(A483,"IQ_TOTAL_DIV_PAID_CF",IQ_FY-10)/-I483, _xll.ciqfunctions.udf.CIQ(A483, "IQ_TOTAL_DIV_PAID_CF",IQ_FY-9)/-I483)</f>
        <v>0</v>
      </c>
      <c r="I483" s="17">
        <f>IF(A491=A492,_xll.ciqfunctions.udf.CIQ(A483,"IQ_TOTAL_OUTSTANDING_FILING_DATE",IQ_FY-10), _xll.ciqfunctions.udf.CIQ(A483, "IQ_TOTAL_OUTSTANDING_FILING_DATE",IQ_FY-9))</f>
        <v>38.686169999999997</v>
      </c>
      <c r="J483" s="17">
        <f>IF(A491=A492,_xll.ciqfunctions.udf.CIQ(A483,"IQ_CASH_OPER",IQ_FY-10), _xll.ciqfunctions.udf.CIQ(A483, "IQ_CASH_OPER",IQ_FY-9))</f>
        <v>60.686</v>
      </c>
      <c r="K483" s="17">
        <f>IF(A491=A492,_xll.ciqfunctions.udf.CIQ(A483,"IQ_CAPEX",IQ_FY-10), _xll.ciqfunctions.udf.CIQ(A483, "IQ_CAPEX",IQ_FY-9))</f>
        <v>-15.763999999999999</v>
      </c>
      <c r="L483" s="15">
        <f t="shared" ref="L483:L493" si="128">(J483+K483)/I483</f>
        <v>1.1611901617554801</v>
      </c>
      <c r="M483" s="17">
        <f>IF(A491=A492,_xll.ciqfunctions.udf.CIQ(A483,"IQ_TOTAL_DEBT_ISSUED",IQ_FY-10), _xll.ciqfunctions.udf.CIQ(A483, "IQ_TOTAL_DEBT_ISSUED",IQ_FY-9))</f>
        <v>0</v>
      </c>
      <c r="N483" s="17">
        <f>IF(A491=A492,_xll.ciqfunctions.udf.CIQ(A483,"IQ_TOTAL_DEBT_REPAID",IQ_FY-10), _xll.ciqfunctions.udf.CIQ(A483, "IQ_TOTAL_DEBT_REPAID",IQ_FY-9))</f>
        <v>0</v>
      </c>
      <c r="O483" s="15">
        <f t="shared" ref="O483:O493" si="129">(M483+N483)/I483</f>
        <v>0</v>
      </c>
      <c r="P483" s="15">
        <f t="shared" ref="P483:P493" si="130">L483+O483</f>
        <v>1.1611901617554801</v>
      </c>
      <c r="W483" s="43"/>
      <c r="AA483" s="43"/>
    </row>
    <row r="484" spans="1:27">
      <c r="A484" s="18" t="str">
        <f>_xll.ciqfunctions.udf.CIQ(A483,"IQ_COMPANY_NAME")</f>
        <v>Monolithic Power Systems, Inc.</v>
      </c>
      <c r="B484" s="13">
        <v>2</v>
      </c>
      <c r="C484" s="14" t="s">
        <v>17</v>
      </c>
      <c r="D484" s="15">
        <f>IF(A491=A492,_xll.ciqfunctions.udf.CIQ(A483,"IQ_TOTAL_REV",IQ_FY-9)/I484, _xll.ciqfunctions.udf.CIQ(A483, "IQ_TOTAL_REV",IQ_FY-8)/I484)</f>
        <v>7.1908544680088617</v>
      </c>
      <c r="E484" s="16">
        <f t="shared" ref="E484:E493" si="131">(D484-D483)/D483</f>
        <v>0.16840459485932002</v>
      </c>
      <c r="F484" s="15">
        <f>IF(A491=A492,_xll.ciqfunctions.udf.CIQ(A483,"IQ_DILUT_EPS_EXCL",IQ_FY-9), _xll.ciqfunctions.udf.CIQ(A483, "IQ_DILUT_EPS_EXCL",IQ_FY-8))</f>
        <v>0.89</v>
      </c>
      <c r="G484" s="15">
        <f>IF(A491=A492,_xll.ciqfunctions.udf.CIQ(A483,"IQ_EBITDA_MARGIN",IQ_FY-9), _xll.ciqfunctions.udf.CIQ(A483, "IQ_EBITDA_MARGIN",IQ_FY-8))</f>
        <v>14.512499999999999</v>
      </c>
      <c r="H484" s="15">
        <f>IF(A491=A492,_xll.ciqfunctions.udf.CIQ(A483,"IQ_TOTAL_DIV_PAID_CF",IQ_FY-9)/-I484, _xll.ciqfunctions.udf.CIQ(A483, "IQ_TOTAL_DIV_PAID_CF",IQ_FY-8)/-I484)</f>
        <v>0.29671007623143081</v>
      </c>
      <c r="I484" s="17">
        <f>IF(A491=A492,_xll.ciqfunctions.udf.CIQ(A483,"IQ_TOTAL_OUTSTANDING_FILING_DATE",IQ_FY-9), _xll.ciqfunctions.udf.CIQ(A483, "IQ_TOTAL_OUTSTANDING_FILING_DATE",IQ_FY-8))</f>
        <v>39.290880000000001</v>
      </c>
      <c r="J484" s="17">
        <f>IF(A491=A492,_xll.ciqfunctions.udf.CIQ(A483,"IQ_CASH_OPER",IQ_FY-9), _xll.ciqfunctions.udf.CIQ(A483, "IQ_CASH_OPER",IQ_FY-8))</f>
        <v>74.132999999999996</v>
      </c>
      <c r="K484" s="17">
        <f>IF(A491=A492,_xll.ciqfunctions.udf.CIQ(A483,"IQ_CAPEX",IQ_FY-9), _xll.ciqfunctions.udf.CIQ(A483, "IQ_CAPEX",IQ_FY-8))</f>
        <v>-9.5109999999999992</v>
      </c>
      <c r="L484" s="15">
        <f t="shared" si="128"/>
        <v>1.6447073722960646</v>
      </c>
      <c r="M484" s="17">
        <f>IF(A491=A492,_xll.ciqfunctions.udf.CIQ(A483,"IQ_TOTAL_DEBT_ISSUED",IQ_FY-9), _xll.ciqfunctions.udf.CIQ(A483, "IQ_TOTAL_DEBT_ISSUED",IQ_FY-8))</f>
        <v>0</v>
      </c>
      <c r="N484" s="17">
        <f>IF(A491=A492,_xll.ciqfunctions.udf.CIQ(A483,"IQ_TOTAL_DEBT_REPAID",IQ_FY-9), _xll.ciqfunctions.udf.CIQ(A483, "IQ_TOTAL_DEBT_REPAID",IQ_FY-8))</f>
        <v>0</v>
      </c>
      <c r="O484" s="15">
        <f t="shared" si="129"/>
        <v>0</v>
      </c>
      <c r="P484" s="15">
        <f t="shared" si="130"/>
        <v>1.6447073722960646</v>
      </c>
      <c r="Q484" s="25" t="s">
        <v>18</v>
      </c>
      <c r="R484" s="39" t="s">
        <v>19</v>
      </c>
      <c r="S484" s="1">
        <f>R482/((AVERAGE(P488:P493))*(1+E494)^3)</f>
        <v>61.483637317811322</v>
      </c>
      <c r="U484" s="25" t="s">
        <v>48</v>
      </c>
      <c r="V484" s="39" t="s">
        <v>19</v>
      </c>
      <c r="W484" s="1">
        <f>V482/((AVERAGE(P488:P493))*(1+E494)^3)</f>
        <v>61.483637317811322</v>
      </c>
      <c r="Y484" s="25" t="s">
        <v>39</v>
      </c>
      <c r="Z484" s="39" t="s">
        <v>19</v>
      </c>
      <c r="AA484" s="1">
        <f>Z482/((AVERAGE(P488:P493))*(1+E494)^3)</f>
        <v>61.483637317811322</v>
      </c>
    </row>
    <row r="485" spans="1:27">
      <c r="B485" s="13">
        <v>3</v>
      </c>
      <c r="C485" s="14" t="s">
        <v>20</v>
      </c>
      <c r="D485" s="15" cm="1">
        <f t="array" ref="D485">_xlfn.SINGLE(IF(A491=A492,_xll.ciqfunctions.udf.CIQ(A483,"IQ_TOTAL_REV",IQ_FY-8)/I485, _xll.ciqfunctions.udf.CIQ(A483, "IQ_TOTAL_REV",IQ_FY-7)/I485))</f>
        <v>8.2853270752310593</v>
      </c>
      <c r="E485" s="16">
        <f t="shared" si="131"/>
        <v>0.15220341505885818</v>
      </c>
      <c r="F485" s="15">
        <f>IF(A491=A492,_xll.ciqfunctions.udf.CIQ(A483,"IQ_DILUT_EPS_EXCL",IQ_FY-8), _xll.ciqfunctions.udf.CIQ(A483, "IQ_DILUT_EPS_EXCL",IQ_FY-7))</f>
        <v>0.86</v>
      </c>
      <c r="G485" s="15">
        <f>IF(A491=A492,_xll.ciqfunctions.udf.CIQ(A483,"IQ_EBITDA_MARGIN",IQ_FY-8), _xll.ciqfunctions.udf.CIQ(A483, "IQ_EBITDA_MARGIN",IQ_FY-7))</f>
        <v>16.016500000000001</v>
      </c>
      <c r="H485" s="15">
        <f>IF(A491=A492,_xll.ciqfunctions.udf.CIQ(A483,"IQ_TOTAL_DIV_PAID_CF",IQ_FY-8)/-I485, _xll.ciqfunctions.udf.CIQ(A483, "IQ_TOTAL_DIV_PAID_CF",IQ_FY-7)/-I485)</f>
        <v>0.74540505606769414</v>
      </c>
      <c r="I485" s="17">
        <f>IF(A491=A492,_xll.ciqfunctions.udf.CIQ(A483,"IQ_TOTAL_OUTSTANDING_FILING_DATE",IQ_FY-8), _xll.ciqfunctions.udf.CIQ(A483, "IQ_TOTAL_OUTSTANDING_FILING_DATE",IQ_FY-7))</f>
        <v>40.199620000000003</v>
      </c>
      <c r="J485" s="17">
        <f>IF(A491=A492,_xll.ciqfunctions.udf.CIQ(A483,"IQ_CASH_OPER",IQ_FY-8), _xll.ciqfunctions.udf.CIQ(A483, "IQ_CASH_OPER",IQ_FY-7))</f>
        <v>69.736000000000004</v>
      </c>
      <c r="K485" s="17">
        <f>IF(A491=A492,_xll.ciqfunctions.udf.CIQ(A483,"IQ_CAPEX",IQ_FY-8), _xll.ciqfunctions.udf.CIQ(A483, "IQ_CAPEX",IQ_FY-7))</f>
        <v>-16.024000000000001</v>
      </c>
      <c r="L485" s="15">
        <f t="shared" si="128"/>
        <v>1.33613203308887</v>
      </c>
      <c r="M485" s="17">
        <f>IF(A491=A492,_xll.ciqfunctions.udf.CIQ(A483,"IQ_TOTAL_DEBT_ISSUED",IQ_FY-8), _xll.ciqfunctions.udf.CIQ(A483, "IQ_TOTAL_DEBT_ISSUED",IQ_FY-7))</f>
        <v>0</v>
      </c>
      <c r="N485" s="17">
        <f>IF(A491=A492,_xll.ciqfunctions.udf.CIQ(A483,"IQ_TOTAL_DEBT_REPAID",IQ_FY-8), _xll.ciqfunctions.udf.CIQ(A483, "IQ_TOTAL_DEBT_REPAID",IQ_FY-7))</f>
        <v>0</v>
      </c>
      <c r="O485" s="15">
        <f t="shared" si="129"/>
        <v>0</v>
      </c>
      <c r="P485" s="15">
        <f t="shared" si="130"/>
        <v>1.33613203308887</v>
      </c>
      <c r="Q485" s="25" t="s">
        <v>21</v>
      </c>
      <c r="R485" s="38" t="s">
        <v>49</v>
      </c>
      <c r="S485" s="2">
        <f>(R482*I493)/1000</f>
        <v>26.441674559999999</v>
      </c>
      <c r="U485" s="25" t="s">
        <v>59</v>
      </c>
      <c r="V485" s="38" t="s">
        <v>49</v>
      </c>
      <c r="W485" s="2">
        <f>(V482*I493)/1000</f>
        <v>26.441674559999999</v>
      </c>
      <c r="Y485" s="25" t="s">
        <v>46</v>
      </c>
      <c r="Z485" s="38" t="s">
        <v>49</v>
      </c>
      <c r="AA485" s="2">
        <f>(Z482*I493)/1000</f>
        <v>26.441674559999999</v>
      </c>
    </row>
    <row r="486" spans="1:27">
      <c r="A486" s="18"/>
      <c r="B486" s="13">
        <v>4</v>
      </c>
      <c r="C486" s="14" t="s">
        <v>22</v>
      </c>
      <c r="D486" s="15" cm="1">
        <f t="array" ref="D486">_xlfn.SINGLE(IF(A491=A492,_xll.ciqfunctions.udf.CIQ(A483,"IQ_TOTAL_REV",IQ_FY-7)/I486, _xll.ciqfunctions.udf.CIQ(A483, "IQ_TOTAL_REV",IQ_FY-6)/I486))</f>
        <v>9.4400389391131885</v>
      </c>
      <c r="E486" s="16">
        <f t="shared" si="131"/>
        <v>0.13936828967611117</v>
      </c>
      <c r="F486" s="15">
        <f>IF(A491=A492,_xll.ciqfunctions.udf.CIQ(A483,"IQ_DILUT_EPS_EXCL",IQ_FY-7), _xll.ciqfunctions.udf.CIQ(A483, "IQ_DILUT_EPS_EXCL",IQ_FY-6))</f>
        <v>1.26</v>
      </c>
      <c r="G486" s="15">
        <f>IF(A491=A492,_xll.ciqfunctions.udf.CIQ(A483,"IQ_EBITDA_MARGIN",IQ_FY-7), _xll.ciqfunctions.udf.CIQ(A483, "IQ_EBITDA_MARGIN",IQ_FY-6))</f>
        <v>16.979099999999999</v>
      </c>
      <c r="H486" s="15">
        <f>IF(A491=A492,_xll.ciqfunctions.udf.CIQ(A483,"IQ_TOTAL_DIV_PAID_CF",IQ_FY-7)/-I486, _xll.ciqfunctions.udf.CIQ(A483, "IQ_TOTAL_DIV_PAID_CF",IQ_FY-6)/-I486)</f>
        <v>0.80392072567817363</v>
      </c>
      <c r="I486" s="17">
        <f>IF(A491=A492,_xll.ciqfunctions.udf.CIQ(A483,"IQ_TOTAL_OUTSTANDING_FILING_DATE",IQ_FY-7), _xll.ciqfunctions.udf.CIQ(A483, "IQ_TOTAL_OUTSTANDING_FILING_DATE",IQ_FY-6))</f>
        <v>41.171970000000002</v>
      </c>
      <c r="J486" s="17">
        <f>IF(A491=A492,_xll.ciqfunctions.udf.CIQ(A483,"IQ_CASH_OPER",IQ_FY-7), _xll.ciqfunctions.udf.CIQ(A483, "IQ_CASH_OPER",IQ_FY-6))</f>
        <v>107.786</v>
      </c>
      <c r="K486" s="17">
        <f>IF(A491=A492,_xll.ciqfunctions.udf.CIQ(A483,"IQ_CAPEX",IQ_FY-7), _xll.ciqfunctions.udf.CIQ(A483, "IQ_CAPEX",IQ_FY-6))</f>
        <v>-37.112000000000002</v>
      </c>
      <c r="L486" s="15">
        <f t="shared" si="128"/>
        <v>1.71655619102025</v>
      </c>
      <c r="M486" s="17">
        <f>IF(A491=A492,_xll.ciqfunctions.udf.CIQ(A483,"IQ_TOTAL_DEBT_ISSUED",IQ_FY-7), _xll.ciqfunctions.udf.CIQ(A483, "IQ_TOTAL_DEBT_ISSUED",IQ_FY-6))</f>
        <v>0</v>
      </c>
      <c r="N486" s="17">
        <f>IF(A491=A492,_xll.ciqfunctions.udf.CIQ(A483,"IQ_TOTAL_DEBT_REPAID",IQ_FY-7), _xll.ciqfunctions.udf.CIQ(A483, "IQ_TOTAL_DEBT_REPAID",IQ_FY-6))</f>
        <v>0</v>
      </c>
      <c r="O486" s="15">
        <f t="shared" si="129"/>
        <v>0</v>
      </c>
      <c r="P486" s="15">
        <f t="shared" si="130"/>
        <v>1.71655619102025</v>
      </c>
      <c r="Q486" s="25" t="s">
        <v>23</v>
      </c>
      <c r="R486" s="38" t="s">
        <v>24</v>
      </c>
      <c r="S486" s="1">
        <f>R482/(AVERAGE(H488:H493)*(1+H494)/(0.5-H494))</f>
        <v>45.872471106062029</v>
      </c>
      <c r="U486" s="25" t="s">
        <v>40</v>
      </c>
      <c r="V486" s="38" t="s">
        <v>24</v>
      </c>
      <c r="W486" s="1">
        <f>V482/(AVERAGE(H488:H493)*(1+H494)/(0.5-H494))</f>
        <v>45.872471106062029</v>
      </c>
      <c r="Y486" s="25" t="s">
        <v>47</v>
      </c>
      <c r="Z486" s="38" t="s">
        <v>24</v>
      </c>
      <c r="AA486" s="1">
        <f>Z482/(AVERAGE(H488:H493)*(1+H494)/(0.5-H494))</f>
        <v>45.872471106062029</v>
      </c>
    </row>
    <row r="487" spans="1:27">
      <c r="B487" s="13">
        <v>5</v>
      </c>
      <c r="C487" s="14" t="s">
        <v>25</v>
      </c>
      <c r="D487" s="15" cm="1">
        <f t="array" ref="D487">_xlfn.SINGLE(IF(A491=A492,_xll.ciqfunctions.udf.CIQ(A483,"IQ_TOTAL_REV",IQ_FY-6)/I487, _xll.ciqfunctions.udf.CIQ(A483, "IQ_TOTAL_REV",IQ_FY-5)/I487))</f>
        <v>11.177402388289821</v>
      </c>
      <c r="E487" s="16">
        <f t="shared" si="131"/>
        <v>0.1840419791043619</v>
      </c>
      <c r="F487" s="15">
        <f>IF(A491=A492,_xll.ciqfunctions.udf.CIQ(A483,"IQ_DILUT_EPS_EXCL",IQ_FY-6), _xll.ciqfunctions.udf.CIQ(A483, "IQ_DILUT_EPS_EXCL",IQ_FY-5))</f>
        <v>1.5</v>
      </c>
      <c r="G487" s="15">
        <f>IF(A491=A492,_xll.ciqfunctions.udf.CIQ(A483,"IQ_EBITDA_MARGIN",IQ_FY-6), _xll.ciqfunctions.udf.CIQ(A483, "IQ_EBITDA_MARGIN",IQ_FY-5))</f>
        <v>20.1236</v>
      </c>
      <c r="H487" s="15">
        <f>IF(A491=A492,_xll.ciqfunctions.udf.CIQ(A483,"IQ_TOTAL_DIV_PAID_CF",IQ_FY-6)/-I487, _xll.ciqfunctions.udf.CIQ(A483, "IQ_TOTAL_DIV_PAID_CF",IQ_FY-5)/-I487)</f>
        <v>0.80522659132293939</v>
      </c>
      <c r="I487" s="17">
        <f>IF(A491=A492,_xll.ciqfunctions.udf.CIQ(A483,"IQ_TOTAL_OUTSTANDING_FILING_DATE",IQ_FY-6), _xll.ciqfunctions.udf.CIQ(A483, "IQ_TOTAL_OUTSTANDING_FILING_DATE",IQ_FY-5))</f>
        <v>42.132240000000003</v>
      </c>
      <c r="J487" s="17">
        <f>IF(A491=A492,_xll.ciqfunctions.udf.CIQ(A483,"IQ_CASH_OPER",IQ_FY-6), _xll.ciqfunctions.udf.CIQ(A483, "IQ_CASH_OPER",IQ_FY-5))</f>
        <v>133.821</v>
      </c>
      <c r="K487" s="17">
        <f>IF(A491=A492,_xll.ciqfunctions.udf.CIQ(A483,"IQ_CAPEX",IQ_FY-6), _xll.ciqfunctions.udf.CIQ(A483, "IQ_CAPEX",IQ_FY-5))</f>
        <v>-65.77</v>
      </c>
      <c r="L487" s="15">
        <f t="shared" si="128"/>
        <v>1.6151764064763705</v>
      </c>
      <c r="M487" s="17">
        <f>IF(A491=A492,_xll.ciqfunctions.udf.CIQ(A483,"IQ_TOTAL_DEBT_ISSUED",IQ_FY-6), _xll.ciqfunctions.udf.CIQ(A483, "IQ_TOTAL_DEBT_ISSUED",IQ_FY-5))</f>
        <v>0</v>
      </c>
      <c r="N487" s="17">
        <f>IF(A491=A492,_xll.ciqfunctions.udf.CIQ(A483,"IQ_TOTAL_DEBT_REPAID",IQ_FY-6), _xll.ciqfunctions.udf.CIQ(A483, "IQ_TOTAL_DEBT_REPAID",IQ_FY-5))</f>
        <v>0</v>
      </c>
      <c r="O487" s="15">
        <f t="shared" si="129"/>
        <v>0</v>
      </c>
      <c r="P487" s="15">
        <f t="shared" si="130"/>
        <v>1.6151764064763705</v>
      </c>
      <c r="Q487" s="18"/>
      <c r="R487" s="38" t="s">
        <v>50</v>
      </c>
      <c r="S487" s="3">
        <f>I494</f>
        <v>2.2268579945857736E-2</v>
      </c>
      <c r="U487" s="18"/>
      <c r="V487" s="38" t="s">
        <v>50</v>
      </c>
      <c r="W487" s="3">
        <f>I494</f>
        <v>2.2268579945857736E-2</v>
      </c>
      <c r="Y487" s="18"/>
      <c r="Z487" s="38" t="s">
        <v>50</v>
      </c>
      <c r="AA487" s="3">
        <f>I494</f>
        <v>2.2268579945857736E-2</v>
      </c>
    </row>
    <row r="488" spans="1:27">
      <c r="B488" s="13">
        <v>6</v>
      </c>
      <c r="C488" s="14" t="s">
        <v>26</v>
      </c>
      <c r="D488" s="15" cm="1">
        <f t="array" ref="D488">_xlfn.SINGLE(IF(A491=A492,_xll.ciqfunctions.udf.CIQ(A483,"IQ_TOTAL_REV",IQ_FY-5)/I488, _xll.ciqfunctions.udf.CIQ(A483, "IQ_TOTAL_REV",IQ_FY-4)/I488))</f>
        <v>13.570276819834094</v>
      </c>
      <c r="E488" s="16">
        <f t="shared" si="131"/>
        <v>0.21408144293446976</v>
      </c>
      <c r="F488" s="15">
        <f>IF(A491=A492,_xll.ciqfunctions.udf.CIQ(A483,"IQ_DILUT_EPS_EXCL",IQ_FY-5), _xll.ciqfunctions.udf.CIQ(A483, "IQ_DILUT_EPS_EXCL",IQ_FY-4))</f>
        <v>2.36</v>
      </c>
      <c r="G488" s="15">
        <f>IF(A491=A492,_xll.ciqfunctions.udf.CIQ(A483,"IQ_EBITDA_MARGIN",IQ_FY-5), _xll.ciqfunctions.udf.CIQ(A483, "IQ_EBITDA_MARGIN",IQ_FY-4))</f>
        <v>21.930700000000002</v>
      </c>
      <c r="H488" s="15">
        <f>IF(A491=A492,_xll.ciqfunctions.udf.CIQ(A483,"IQ_TOTAL_DIV_PAID_CF",IQ_FY-5)/-I488, _xll.ciqfunctions.udf.CIQ(A483, "IQ_TOTAL_DIV_PAID_CF",IQ_FY-4)/-I488)</f>
        <v>1.1062307764004102</v>
      </c>
      <c r="I488" s="17">
        <f>IF(A491=A492,_xll.ciqfunctions.udf.CIQ(A483,"IQ_TOTAL_OUTSTANDING_FILING_DATE",IQ_FY-5), _xll.ciqfunctions.udf.CIQ(A483, "IQ_TOTAL_OUTSTANDING_FILING_DATE",IQ_FY-4))</f>
        <v>42.915999999999997</v>
      </c>
      <c r="J488" s="17">
        <f>IF(A491=A492,_xll.ciqfunctions.udf.CIQ(A483,"IQ_CASH_OPER",IQ_FY-5), _xll.ciqfunctions.udf.CIQ(A483, "IQ_CASH_OPER",IQ_FY-4))</f>
        <v>141.45099999999999</v>
      </c>
      <c r="K488" s="17">
        <f>IF(A491=A492,_xll.ciqfunctions.udf.CIQ(A483,"IQ_CAPEX",IQ_FY-5), _xll.ciqfunctions.udf.CIQ(A483, "IQ_CAPEX",IQ_FY-4))</f>
        <v>-22.526</v>
      </c>
      <c r="L488" s="15">
        <f t="shared" si="128"/>
        <v>2.7711110075496319</v>
      </c>
      <c r="M488" s="17">
        <f>IF(A491=A492,_xll.ciqfunctions.udf.CIQ(A483,"IQ_TOTAL_DEBT_ISSUED",IQ_FY-5), _xll.ciqfunctions.udf.CIQ(A483, "IQ_TOTAL_DEBT_ISSUED",IQ_FY-4))</f>
        <v>0</v>
      </c>
      <c r="N488" s="17">
        <f>IF(A491=A492,_xll.ciqfunctions.udf.CIQ(A483,"IQ_TOTAL_DEBT_REPAID",IQ_FY-5), _xll.ciqfunctions.udf.CIQ(A483, "IQ_TOTAL_DEBT_REPAID",IQ_FY-4))</f>
        <v>0</v>
      </c>
      <c r="O488" s="15">
        <f t="shared" si="129"/>
        <v>0</v>
      </c>
      <c r="P488" s="15">
        <f t="shared" si="130"/>
        <v>2.7711110075496319</v>
      </c>
      <c r="Q488" s="25" t="s">
        <v>27</v>
      </c>
      <c r="R488" s="38" t="s">
        <v>51</v>
      </c>
      <c r="S488" s="4">
        <f>AVERAGE(F488:F493)/AVERAGE(D488:D493)</f>
        <v>0.21302845994122291</v>
      </c>
      <c r="U488" s="25" t="s">
        <v>58</v>
      </c>
      <c r="V488" s="38" t="s">
        <v>51</v>
      </c>
      <c r="W488" s="4">
        <f>AVERAGE(F488:F493)/AVERAGE(D488:D493)</f>
        <v>0.21302845994122291</v>
      </c>
      <c r="Y488" s="25" t="s">
        <v>56</v>
      </c>
      <c r="Z488" s="38" t="s">
        <v>51</v>
      </c>
      <c r="AA488" s="4">
        <f>AVERAGE(F488:F493)/AVERAGE(D488:D493)</f>
        <v>0.21302845994122291</v>
      </c>
    </row>
    <row r="489" spans="1:27">
      <c r="A489" s="18"/>
      <c r="B489" s="13">
        <v>7</v>
      </c>
      <c r="C489" s="14" t="s">
        <v>28</v>
      </c>
      <c r="D489" s="15" cm="1">
        <f t="array" ref="D489">_xlfn.SINGLE(IF(A491=A492,_xll.ciqfunctions.udf.CIQ(A483,"IQ_TOTAL_REV",IQ_FY-4)/I489, _xll.ciqfunctions.udf.CIQ(A483, "IQ_TOTAL_REV",IQ_FY-3)/I489))</f>
        <v>14.078314873772479</v>
      </c>
      <c r="E489" s="16">
        <f t="shared" si="131"/>
        <v>3.7437560094267588E-2</v>
      </c>
      <c r="F489" s="15">
        <f>IF(A491=A492,_xll.ciqfunctions.udf.CIQ(A483,"IQ_DILUT_EPS_EXCL",IQ_FY-4), _xll.ciqfunctions.udf.CIQ(A483, "IQ_DILUT_EPS_EXCL",IQ_FY-3))</f>
        <v>2.38</v>
      </c>
      <c r="G489" s="15">
        <f>IF(A491=A492,_xll.ciqfunctions.udf.CIQ(A483,"IQ_EBITDA_MARGIN",IQ_FY-4), _xll.ciqfunctions.udf.CIQ(A483, "IQ_EBITDA_MARGIN",IQ_FY-3))</f>
        <v>19.093599999999999</v>
      </c>
      <c r="H489" s="15">
        <f>IF(A491=A492,_xll.ciqfunctions.udf.CIQ(A483,"IQ_TOTAL_DIV_PAID_CF",IQ_FY-4)/-I489, _xll.ciqfunctions.udf.CIQ(A483, "IQ_TOTAL_DIV_PAID_CF",IQ_FY-3)/-I489)</f>
        <v>1.5087664230303575</v>
      </c>
      <c r="I489" s="17">
        <f>IF(A491=A492,_xll.ciqfunctions.udf.CIQ(A483,"IQ_TOTAL_OUTSTANDING_FILING_DATE",IQ_FY-4), _xll.ciqfunctions.udf.CIQ(A483, "IQ_TOTAL_OUTSTANDING_FILING_DATE",IQ_FY-3))</f>
        <v>44.601999999999997</v>
      </c>
      <c r="J489" s="17">
        <f>IF(A491=A492,_xll.ciqfunctions.udf.CIQ(A483,"IQ_CASH_OPER",IQ_FY-4), _xll.ciqfunctions.udf.CIQ(A483, "IQ_CASH_OPER",IQ_FY-3))</f>
        <v>216.303</v>
      </c>
      <c r="K489" s="17">
        <f>IF(A491=A492,_xll.ciqfunctions.udf.CIQ(A483,"IQ_CAPEX",IQ_FY-4), _xll.ciqfunctions.udf.CIQ(A483, "IQ_CAPEX",IQ_FY-3))</f>
        <v>-95.805999999999997</v>
      </c>
      <c r="L489" s="15">
        <f t="shared" si="128"/>
        <v>2.7016053091789609</v>
      </c>
      <c r="M489" s="17">
        <f>IF(A491=A492,_xll.ciqfunctions.udf.CIQ(A483,"IQ_TOTAL_DEBT_ISSUED",IQ_FY-4), _xll.ciqfunctions.udf.CIQ(A483, "IQ_TOTAL_DEBT_ISSUED",IQ_FY-3))</f>
        <v>0</v>
      </c>
      <c r="N489" s="17">
        <f>IF(A491=A492,_xll.ciqfunctions.udf.CIQ(A483,"IQ_TOTAL_DEBT_REPAID",IQ_FY-4), _xll.ciqfunctions.udf.CIQ(A483, "IQ_TOTAL_DEBT_REPAID",IQ_FY-3))</f>
        <v>0</v>
      </c>
      <c r="O489" s="15">
        <f t="shared" si="129"/>
        <v>0</v>
      </c>
      <c r="P489" s="15">
        <f t="shared" si="130"/>
        <v>2.7016053091789609</v>
      </c>
      <c r="Q489" s="18"/>
      <c r="R489" s="38" t="s">
        <v>29</v>
      </c>
      <c r="S489" s="4">
        <f>(AVERAGE(P488:P493)/_xlfn.STDEV.P(P488:P493))/(IF(A491=A492,(_xlfn.SINGLE(_xll.ciqfunctions.udf.CIQ(A483,"IQ_total_assets",IQ_FY)) - _xlfn.SINGLE(_xll.ciqfunctions.udf.CIQ(A483,"iq_gw_intan", IQ_FY)))/I493, (_xlfn.SINGLE(_xll.ciqfunctions.udf.CIQ(A483, "IQ_total_assets",IQ_LTM))-_xlfn.SINGLE(_xll.ciqfunctions.udf.CIQ(A483,"iq_gw_intan",IQ_LTM)))/I493))</f>
        <v>4.0370536318924392E-2</v>
      </c>
      <c r="U489" s="18"/>
      <c r="V489" s="38" t="s">
        <v>29</v>
      </c>
      <c r="W489" s="4">
        <f>(AVERAGE(P488:P493)/_xlfn.STDEV.P(P488:P493))/(IF(A491=A492,(_xlfn.SINGLE(_xll.ciqfunctions.udf.CIQ(A483,"IQ_total_assets",IQ_FY)) - _xlfn.SINGLE(_xll.ciqfunctions.udf.CIQ(A483,"iq_gw_intan", IQ_FY)))/I493, (_xlfn.SINGLE(_xll.ciqfunctions.udf.CIQ(A483, "IQ_total_assets",IQ_LTM))-_xlfn.SINGLE(_xll.ciqfunctions.udf.CIQ(A483,"iq_gw_intan",IQ_LTM)))/I493))</f>
        <v>4.0370536318924392E-2</v>
      </c>
      <c r="Y489" s="18"/>
      <c r="Z489" s="38" t="s">
        <v>29</v>
      </c>
      <c r="AA489" s="4">
        <f>(AVERAGE(P488:P493)/_xlfn.STDEV.P(P488:P493))/(IF(A491=A492,(_xlfn.SINGLE(_xll.ciqfunctions.udf.CIQ(A483,"IQ_total_assets",IQ_FY)) - _xlfn.SINGLE(_xll.ciqfunctions.udf.CIQ(A483,"iq_gw_intan", IQ_FY)))/I493, (_xlfn.SINGLE(_xll.ciqfunctions.udf.CIQ(A483, "IQ_total_assets",IQ_LTM))-_xlfn.SINGLE(_xll.ciqfunctions.udf.CIQ(A483,"iq_gw_intan",IQ_LTM)))/I493))</f>
        <v>4.0370536318924392E-2</v>
      </c>
    </row>
    <row r="490" spans="1:27">
      <c r="A490" s="18"/>
      <c r="B490" s="13">
        <v>8</v>
      </c>
      <c r="C490" s="14" t="s">
        <v>30</v>
      </c>
      <c r="D490" s="15" cm="1">
        <f t="array" ref="D490">_xlfn.SINGLE(IF(A491=A492,_xll.ciqfunctions.udf.CIQ(A483,"IQ_TOTAL_REV",IQ_FY-3)/I490, _xll.ciqfunctions.udf.CIQ(A483, "IQ_TOTAL_REV",IQ_FY-2)/I490))</f>
        <v>18.510159794831328</v>
      </c>
      <c r="E490" s="16">
        <f t="shared" si="131"/>
        <v>0.31479938904586202</v>
      </c>
      <c r="F490" s="15">
        <f>IF(A491=A492,_xll.ciqfunctions.udf.CIQ(A483,"IQ_DILUT_EPS_EXCL",IQ_FY-3), _xll.ciqfunctions.udf.CIQ(A483, "IQ_DILUT_EPS_EXCL",IQ_FY-2))</f>
        <v>3.5</v>
      </c>
      <c r="G490" s="15">
        <f>IF(A491=A492,_xll.ciqfunctions.udf.CIQ(A483,"IQ_EBITDA_MARGIN",IQ_FY-3), _xll.ciqfunctions.udf.CIQ(A483, "IQ_EBITDA_MARGIN",IQ_FY-2))</f>
        <v>22.010899999999999</v>
      </c>
      <c r="H490" s="15">
        <f>IF(A491=A492,_xll.ciqfunctions.udf.CIQ(A483,"IQ_TOTAL_DIV_PAID_CF",IQ_FY-3)/-I490, _xll.ciqfunctions.udf.CIQ(A483, "IQ_TOTAL_DIV_PAID_CF",IQ_FY-2)/-I490)</f>
        <v>1.9461651432454352</v>
      </c>
      <c r="I490" s="17">
        <f>IF(A491=A492,_xll.ciqfunctions.udf.CIQ(A483,"IQ_TOTAL_OUTSTANDING_FILING_DATE",IQ_FY-3), _xll.ciqfunctions.udf.CIQ(A483, "IQ_TOTAL_OUTSTANDING_FILING_DATE",IQ_FY-2))</f>
        <v>45.621000000000002</v>
      </c>
      <c r="J490" s="17">
        <f>IF(A491=A492,_xll.ciqfunctions.udf.CIQ(A483,"IQ_CASH_OPER",IQ_FY-3), _xll.ciqfunctions.udf.CIQ(A483, "IQ_CASH_OPER",IQ_FY-2))</f>
        <v>267.803</v>
      </c>
      <c r="K490" s="17">
        <f>IF(A491=A492,_xll.ciqfunctions.udf.CIQ(A483,"IQ_CAPEX",IQ_FY-3), _xll.ciqfunctions.udf.CIQ(A483, "IQ_CAPEX",IQ_FY-2))</f>
        <v>-55.61</v>
      </c>
      <c r="L490" s="15">
        <f t="shared" si="128"/>
        <v>4.6512132570526727</v>
      </c>
      <c r="M490" s="17">
        <f>IF(A491=A492,_xll.ciqfunctions.udf.CIQ(A483,"IQ_TOTAL_DEBT_ISSUED",IQ_FY-3), _xll.ciqfunctions.udf.CIQ(A483, "IQ_TOTAL_DEBT_ISSUED",IQ_FY-2))</f>
        <v>0</v>
      </c>
      <c r="N490" s="17">
        <f>IF(A491=A492,_xll.ciqfunctions.udf.CIQ(A483,"IQ_TOTAL_DEBT_REPAID",IQ_FY-3), _xll.ciqfunctions.udf.CIQ(A483, "IQ_TOTAL_DEBT_REPAID",IQ_FY-2))</f>
        <v>0</v>
      </c>
      <c r="O490" s="15">
        <f t="shared" si="129"/>
        <v>0</v>
      </c>
      <c r="P490" s="15">
        <f t="shared" si="130"/>
        <v>4.6512132570526727</v>
      </c>
      <c r="Q490" s="18"/>
      <c r="R490" s="39" t="s">
        <v>31</v>
      </c>
      <c r="S490" s="5">
        <f>IF(NOT(D483&gt;0),FALSE,SLOPE(G483:G493,B483:B493))</f>
        <v>1.6491318181818186</v>
      </c>
      <c r="U490" s="18"/>
      <c r="V490" s="39" t="s">
        <v>31</v>
      </c>
      <c r="W490" s="5">
        <f>IF(NOT(D483&gt;0),FALSE,SLOPE(G483:G493,B483:B493))</f>
        <v>1.6491318181818186</v>
      </c>
      <c r="Y490" s="18"/>
      <c r="Z490" s="39" t="s">
        <v>31</v>
      </c>
      <c r="AA490" s="5">
        <f>IF(NOT(L483&gt;0),FALSE,SLOPE(O483:O493,J483:J493))</f>
        <v>0</v>
      </c>
    </row>
    <row r="491" spans="1:27">
      <c r="A491" s="19">
        <f>_xll.ciqfunctions.udf.CIQ(A483,"IQ_TOTAL_REV",IQ_FY)</f>
        <v>1794.1479999999999</v>
      </c>
      <c r="B491" s="13">
        <v>9</v>
      </c>
      <c r="C491" s="14" t="s">
        <v>32</v>
      </c>
      <c r="D491" s="15" cm="1">
        <f t="array" ref="D491">_xlfn.SINGLE(IF(A491=A492,_xll.ciqfunctions.udf.CIQ(A483,"IQ_TOTAL_REV",IQ_FY-2)/I491, _xll.ciqfunctions.udf.CIQ(A483, "IQ_TOTAL_REV",IQ_FY-1)/I491))</f>
        <v>25.969124255520438</v>
      </c>
      <c r="E491" s="16">
        <f t="shared" si="131"/>
        <v>0.40296596806105955</v>
      </c>
      <c r="F491" s="15">
        <f>IF(A491=A492,_xll.ciqfunctions.udf.CIQ(A483,"IQ_DILUT_EPS_EXCL",IQ_FY-2), _xll.ciqfunctions.udf.CIQ(A483, "IQ_DILUT_EPS_EXCL",IQ_FY-1))</f>
        <v>5.05</v>
      </c>
      <c r="G491" s="15">
        <f>IF(A491=A492,_xll.ciqfunctions.udf.CIQ(A483,"IQ_EBITDA_MARGIN",IQ_FY-2), _xll.ciqfunctions.udf.CIQ(A483, "IQ_EBITDA_MARGIN",IQ_FY-1))</f>
        <v>24.618400000000001</v>
      </c>
      <c r="H491" s="15">
        <f>IF(A491=A492,_xll.ciqfunctions.udf.CIQ(A483,"IQ_TOTAL_DIV_PAID_CF",IQ_FY-2)/-I491, _xll.ciqfunctions.udf.CIQ(A483, "IQ_TOTAL_DIV_PAID_CF",IQ_FY-1)/-I491)</f>
        <v>2.3514588574254445</v>
      </c>
      <c r="I491" s="17">
        <f>IF(A491=A492,_xll.ciqfunctions.udf.CIQ(A483,"IQ_TOTAL_OUTSTANDING_FILING_DATE",IQ_FY-2), _xll.ciqfunctions.udf.CIQ(A483, "IQ_TOTAL_OUTSTANDING_FILING_DATE",IQ_FY-1))</f>
        <v>46.509</v>
      </c>
      <c r="J491" s="17">
        <f>IF(A491=A492,_xll.ciqfunctions.udf.CIQ(A483,"IQ_CASH_OPER",IQ_FY-2), _xll.ciqfunctions.udf.CIQ(A483, "IQ_CASH_OPER",IQ_FY-1))</f>
        <v>320.01</v>
      </c>
      <c r="K491" s="17">
        <f>IF(A491=A492,_xll.ciqfunctions.udf.CIQ(A483,"IQ_CAPEX",IQ_FY-2), _xll.ciqfunctions.udf.CIQ(A483, "IQ_CAPEX",IQ_FY-1))</f>
        <v>-94.42</v>
      </c>
      <c r="L491" s="15">
        <f t="shared" si="128"/>
        <v>4.8504590509363776</v>
      </c>
      <c r="M491" s="17">
        <f>IF(A491=A492,_xll.ciqfunctions.udf.CIQ(A483,"IQ_TOTAL_DEBT_ISSUED",IQ_FY-2), _xll.ciqfunctions.udf.CIQ(A483, "IQ_TOTAL_DEBT_ISSUED",IQ_FY-1))</f>
        <v>0</v>
      </c>
      <c r="N491" s="17">
        <f>IF(A491=A492,_xll.ciqfunctions.udf.CIQ(A483,"IQ_TOTAL_DEBT_REPAID",IQ_FY-2), _xll.ciqfunctions.udf.CIQ(A483, "IQ_TOTAL_DEBT_REPAID",IQ_FY-1))</f>
        <v>0</v>
      </c>
      <c r="O491" s="15">
        <f t="shared" si="129"/>
        <v>0</v>
      </c>
      <c r="P491" s="15">
        <f t="shared" si="130"/>
        <v>4.8504590509363776</v>
      </c>
      <c r="Q491" s="25" t="s">
        <v>33</v>
      </c>
      <c r="R491" s="38" t="s">
        <v>52</v>
      </c>
      <c r="S491" s="4">
        <f>(AVERAGE(O488:O493)/AVERAGE(P488:P493))</f>
        <v>0</v>
      </c>
      <c r="U491" s="25" t="s">
        <v>54</v>
      </c>
      <c r="V491" s="38" t="s">
        <v>52</v>
      </c>
      <c r="W491" s="4">
        <f>(AVERAGE(O488:O493)/AVERAGE(P488:P493))</f>
        <v>0</v>
      </c>
      <c r="Y491" s="25" t="s">
        <v>60</v>
      </c>
      <c r="Z491" s="38" t="s">
        <v>52</v>
      </c>
      <c r="AA491" s="4">
        <f>(AVERAGE(O488:O493)/AVERAGE(P488:P493))</f>
        <v>0</v>
      </c>
    </row>
    <row r="492" spans="1:27">
      <c r="A492" s="19">
        <f>_xll.ciqfunctions.udf.CIQ(A483,"IQ_TOTAL_REV",IQ_LTM)</f>
        <v>1827.0719999999999</v>
      </c>
      <c r="B492" s="13">
        <v>10</v>
      </c>
      <c r="C492" s="14" t="s">
        <v>34</v>
      </c>
      <c r="D492" s="15" cm="1">
        <f t="array" ref="D492">_xlfn.SINGLE(IF(A491=A492,_xll.ciqfunctions.udf.CIQ(A483,"IQ_TOTAL_REV",IQ_FY-1)/I492, _xll.ciqfunctions.udf.CIQ(A483, "IQ_TOTAL_REV",IQ_FY)/I492))</f>
        <v>37.927238135503643</v>
      </c>
      <c r="E492" s="16">
        <f t="shared" si="131"/>
        <v>0.46047428331901435</v>
      </c>
      <c r="F492" s="15">
        <f>IF(A491=A492,_xll.ciqfunctions.udf.CIQ(A483,"IQ_DILUT_EPS_EXCL",IQ_FY-1), _xll.ciqfunctions.udf.CIQ(A483, "IQ_DILUT_EPS_EXCL",IQ_FY))</f>
        <v>9.0500000000000007</v>
      </c>
      <c r="G492" s="15">
        <f>IF(A491=A492,_xll.ciqfunctions.udf.CIQ(A483,"IQ_EBITDA_MARGIN",IQ_FY-1), _xll.ciqfunctions.udf.CIQ(A483, "IQ_EBITDA_MARGIN",IQ_FY))</f>
        <v>31.875800000000002</v>
      </c>
      <c r="H492" s="15">
        <f>IF(A491=A492,_xll.ciqfunctions.udf.CIQ(A483,"IQ_TOTAL_DIV_PAID_CF",IQ_FY-1)/-I492, _xll.ciqfunctions.udf.CIQ(A483, "IQ_TOTAL_DIV_PAID_CF",IQ_FY)/-I492)</f>
        <v>2.9164993129690306</v>
      </c>
      <c r="I492" s="17">
        <f>IF(A491=A492,_xll.ciqfunctions.udf.CIQ(A483,"IQ_TOTAL_OUTSTANDING_FILING_DATE",IQ_FY-1), _xll.ciqfunctions.udf.CIQ(A483, "IQ_TOTAL_OUTSTANDING_FILING_DATE",IQ_FY))</f>
        <v>47.305</v>
      </c>
      <c r="J492" s="17">
        <f>IF(A491=A492,_xll.ciqfunctions.udf.CIQ(A483,"IQ_CASH_OPER",IQ_FY-1), _xll.ciqfunctions.udf.CIQ(A483, "IQ_CASH_OPER",IQ_FY))</f>
        <v>246.67400000000001</v>
      </c>
      <c r="K492" s="17">
        <f>IF(A491=A492,_xll.ciqfunctions.udf.CIQ(A483,"IQ_CAPEX",IQ_FY-1), _xll.ciqfunctions.udf.CIQ(A483, "IQ_CAPEX",IQ_FY))</f>
        <v>-58.843000000000004</v>
      </c>
      <c r="L492" s="15">
        <f t="shared" si="128"/>
        <v>3.9706373533453125</v>
      </c>
      <c r="M492" s="17">
        <f>IF(A491=A492,_xll.ciqfunctions.udf.CIQ(A483,"IQ_TOTAL_DEBT_ISSUED",IQ_FY-1), _xll.ciqfunctions.udf.CIQ(A483, "IQ_TOTAL_DEBT_ISSUED",IQ_FY))</f>
        <v>0</v>
      </c>
      <c r="N492" s="17">
        <f>IF(A491=A492,_xll.ciqfunctions.udf.CIQ(A483,"IQ_TOTAL_DEBT_REPAID",IQ_FY-1), _xll.ciqfunctions.udf.CIQ(A483, "IQ_TOTAL_DEBT_REPAID",IQ_FY))</f>
        <v>0</v>
      </c>
      <c r="O492" s="15">
        <f t="shared" si="129"/>
        <v>0</v>
      </c>
      <c r="P492" s="15">
        <f t="shared" si="130"/>
        <v>3.9706373533453125</v>
      </c>
      <c r="Q492" s="25" t="s">
        <v>44</v>
      </c>
      <c r="R492" s="38" t="s">
        <v>35</v>
      </c>
      <c r="S492" s="1">
        <f>_xll.ciqfunctions.udf.CIQ(A483,"IQ_TEV_EBITDA")</f>
        <v>45.095730000000003</v>
      </c>
      <c r="U492" s="25" t="s">
        <v>55</v>
      </c>
      <c r="V492" s="38" t="s">
        <v>53</v>
      </c>
      <c r="W492" s="1">
        <f>V482/(AVERAGE(D488:D493)/_xlfn.STDEV.P(E488:E493))</f>
        <v>3.84302507310773</v>
      </c>
      <c r="Y492" s="25" t="s">
        <v>57</v>
      </c>
      <c r="Z492" s="38" t="s">
        <v>53</v>
      </c>
      <c r="AA492" s="1">
        <f>Z482/(AVERAGE(D488:D493)/_xlfn.STDEV.P(E488:E493))</f>
        <v>3.84302507310773</v>
      </c>
    </row>
    <row r="493" spans="1:27">
      <c r="B493" s="13">
        <v>11</v>
      </c>
      <c r="C493" s="20" t="s">
        <v>36</v>
      </c>
      <c r="D493" s="21" cm="1">
        <f t="array" ref="D493">_xlfn.SINGLE(IF(A491=A492,_xll.ciqfunctions.udf.CIQ(A483,"IQ_TOTAL_REV",IQ_FY)/I493, _xll.ciqfunctions.udf.CIQ(A483, "IQ_TOTAL_REV",IQ_LTM)/I493))</f>
        <v>38.13391217231591</v>
      </c>
      <c r="E493" s="22">
        <f t="shared" si="131"/>
        <v>5.4492245407871997E-3</v>
      </c>
      <c r="F493" s="21">
        <f>IF(A491=A492,_xll.ciqfunctions.udf.CIQ(A483,"IQ_DILUT_EPS_EXCL",IQ_FY), _xll.ciqfunctions.udf.CIQ(A483, "IQ_DILUT_EPS_EXCL",IQ_LTM))</f>
        <v>9.2284799999999994</v>
      </c>
      <c r="G493" s="21">
        <f>IF(A491=A492,_xll.ciqfunctions.udf.CIQ(A483,"IQ_EBITDA_MARGIN",IQ_FY), _xll.ciqfunctions.udf.CIQ(A483, "IQ_EBITDA_MARGIN",IQ_LTM))</f>
        <v>30.418299999999999</v>
      </c>
      <c r="H493" s="21">
        <f>IF(A491=A492,_xll.ciqfunctions.udf.CIQ(A483,"IQ_TOTAL_DIV_PAID_CF",IQ_FY)/-I493, _xll.ciqfunctions.udf.CIQ(A483, "IQ_TOTAL_DIV_PAID_CF",IQ_LTM)/-I493)</f>
        <v>3.5829437301719818</v>
      </c>
      <c r="I493" s="23">
        <f>IF(A491=A492,_xll.ciqfunctions.udf.CIQ(A483,"IQ_TOTAL_OUTSTANDING_FILING_DATE",IQ_FY),_xll.ciqfunctions.udf.CIQ(A483,"IQ_sharesoutstanding"))</f>
        <v>47.911999999999999</v>
      </c>
      <c r="J493" s="23">
        <f>IF(A491=A492,_xll.ciqfunctions.udf.CIQ(A483,"IQ_CASH_OPER",IQ_FY), _xll.ciqfunctions.udf.CIQ(A483, "IQ_CASH_OPER",IQ_LTM))</f>
        <v>537.10299999999995</v>
      </c>
      <c r="K493" s="23">
        <f>IF(A491=A492,_xll.ciqfunctions.udf.CIQ(A483,"IQ_CAPEX",IQ_FY), _xll.ciqfunctions.udf.CIQ(A483, "IQ_CAPEX",IQ_LTM))</f>
        <v>-56.613</v>
      </c>
      <c r="L493" s="21">
        <f t="shared" si="128"/>
        <v>10.028594089163466</v>
      </c>
      <c r="M493" s="23">
        <f>IF(A491=A492,_xll.ciqfunctions.udf.CIQ(A483,"IQ_TOTAL_DEBT_ISSUED",IQ_FY), _xll.ciqfunctions.udf.CIQ(A483, "IQ_TOTAL_DEBT_ISSUED",IQ_LTM))</f>
        <v>0</v>
      </c>
      <c r="N493" s="23">
        <f>IF(A491=A492,_xll.ciqfunctions.udf.CIQ(A483,"IQ_TOTAL_DEBT_REPAID",IQ_FY), _xll.ciqfunctions.udf.CIQ(A483, "IQ_TOTAL_DEBT_REPAID",IQ_LTM))</f>
        <v>0</v>
      </c>
      <c r="O493" s="21">
        <f t="shared" si="129"/>
        <v>0</v>
      </c>
      <c r="P493" s="21">
        <f t="shared" si="130"/>
        <v>10.028594089163466</v>
      </c>
      <c r="Q493" s="25" t="s">
        <v>45</v>
      </c>
      <c r="S493" s="45"/>
      <c r="U493" s="25"/>
      <c r="W493" s="45"/>
      <c r="Y493" s="25"/>
      <c r="AA493" s="45"/>
    </row>
    <row r="494" spans="1:27">
      <c r="B494" s="24"/>
      <c r="C494" s="25" t="s">
        <v>37</v>
      </c>
      <c r="E494" s="26">
        <f>((D493/D488)^(1/5))-1</f>
        <v>0.22954529145818925</v>
      </c>
      <c r="F494" s="27">
        <f>((F493/F488)^(1/5))-1</f>
        <v>0.31354100411923258</v>
      </c>
      <c r="G494" s="28"/>
      <c r="H494" s="27">
        <f>((H493/H488)^(1/5))-1</f>
        <v>0.2649659928826229</v>
      </c>
      <c r="I494" s="27">
        <f>((I493/I488)^(1/5))-1</f>
        <v>2.2268579945857736E-2</v>
      </c>
      <c r="J494" s="27"/>
      <c r="K494" s="27"/>
      <c r="L494" s="26">
        <f>((L493/L488)^(1/5))-1</f>
        <v>0.29335345030630511</v>
      </c>
      <c r="M494" s="26"/>
      <c r="N494" s="26"/>
      <c r="O494" s="26"/>
      <c r="P494" s="26">
        <f>((P493/P488)^(1/5))-1</f>
        <v>0.29335345030630511</v>
      </c>
      <c r="Q494" s="18"/>
      <c r="R494" s="36"/>
      <c r="S494" s="45"/>
      <c r="U494" s="18"/>
      <c r="V494" s="36"/>
      <c r="W494" s="45"/>
      <c r="Y494" s="18"/>
      <c r="Z494" s="36"/>
      <c r="AA494" s="45"/>
    </row>
    <row r="495" spans="1:27">
      <c r="A495" s="29"/>
      <c r="B495" s="30"/>
      <c r="C495" s="31" t="s">
        <v>38</v>
      </c>
      <c r="D495" s="29"/>
      <c r="E495" s="32">
        <f>((D493/D483)^(1/10))-1</f>
        <v>0.20008611747280636</v>
      </c>
      <c r="F495" s="33">
        <f>((F493/F483)^(1/10))-1</f>
        <v>0.31652107695239673</v>
      </c>
      <c r="G495" s="34"/>
      <c r="H495" s="33" t="e">
        <f>((H493/H483)^(1/10))-1</f>
        <v>#DIV/0!</v>
      </c>
      <c r="I495" s="33">
        <f>((I493/I483)^(1/10))-1</f>
        <v>2.1618753251741119E-2</v>
      </c>
      <c r="J495" s="33"/>
      <c r="K495" s="33"/>
      <c r="L495" s="32">
        <f>((L493/L483)^(1/10))-1</f>
        <v>0.24060540969232047</v>
      </c>
      <c r="M495" s="32"/>
      <c r="N495" s="32"/>
      <c r="O495" s="32"/>
      <c r="P495" s="32">
        <f>((P493/P483)^(1/10))-1</f>
        <v>0.24060540969232047</v>
      </c>
      <c r="Q495" s="40"/>
      <c r="R495" s="41"/>
      <c r="S495" s="46"/>
      <c r="U495" s="40"/>
      <c r="V495" s="41"/>
      <c r="W495" s="46"/>
      <c r="Y495" s="40"/>
      <c r="Z495" s="41"/>
      <c r="AA495" s="46"/>
    </row>
    <row r="496" spans="1:27">
      <c r="B496" s="24"/>
      <c r="C496" s="25"/>
      <c r="E496" s="26"/>
      <c r="F496" s="27"/>
      <c r="G496" s="28"/>
      <c r="H496" s="27"/>
      <c r="I496" s="27"/>
      <c r="J496" s="27"/>
      <c r="K496" s="27"/>
      <c r="L496" s="26"/>
      <c r="M496" s="17"/>
      <c r="N496" s="17"/>
      <c r="O496" s="17"/>
      <c r="P496" s="35"/>
      <c r="Q496" s="18"/>
      <c r="R496" s="36"/>
    </row>
    <row r="497" spans="1:27">
      <c r="A497" s="9" t="s">
        <v>0</v>
      </c>
      <c r="B497" s="10"/>
      <c r="C497" s="9" t="s">
        <v>1</v>
      </c>
      <c r="D497" s="9" t="s">
        <v>2</v>
      </c>
      <c r="E497" s="9" t="s">
        <v>3</v>
      </c>
      <c r="F497" s="11" t="s">
        <v>4</v>
      </c>
      <c r="G497" s="11" t="s">
        <v>5</v>
      </c>
      <c r="H497" s="9" t="s">
        <v>6</v>
      </c>
      <c r="I497" s="11" t="s">
        <v>7</v>
      </c>
      <c r="J497" s="11" t="s">
        <v>8</v>
      </c>
      <c r="K497" s="11" t="s">
        <v>9</v>
      </c>
      <c r="L497" s="11" t="s">
        <v>10</v>
      </c>
      <c r="M497" s="11" t="s">
        <v>11</v>
      </c>
      <c r="N497" s="11" t="s">
        <v>12</v>
      </c>
      <c r="O497" s="11" t="s">
        <v>13</v>
      </c>
      <c r="P497" s="11" t="s">
        <v>14</v>
      </c>
      <c r="Q497" s="37" t="s">
        <v>15</v>
      </c>
      <c r="R497" s="42">
        <f>_xll.ciqfunctions.udf.CIQ(A498,("IQ_LASTSALEPRICE"))</f>
        <v>123.26609999999999</v>
      </c>
      <c r="S497" s="44"/>
      <c r="U497" s="37" t="s">
        <v>15</v>
      </c>
      <c r="V497" s="42">
        <f>_xll.ciqfunctions.udf.CIQ(A498,("IQ_LASTSALEPRICE"))</f>
        <v>123.26609999999999</v>
      </c>
      <c r="W497" s="44"/>
      <c r="Y497" s="37" t="s">
        <v>15</v>
      </c>
      <c r="Z497" s="42">
        <f>_xll.ciqfunctions.udf.CIQ(A498,("IQ_LASTSALEPRICE"))</f>
        <v>123.26609999999999</v>
      </c>
      <c r="AA497" s="44"/>
    </row>
    <row r="498" spans="1:27">
      <c r="A498" s="12" t="str">
        <f>Analysis!B35</f>
        <v>NasdaqGS:AMD</v>
      </c>
      <c r="B498" s="13">
        <v>1</v>
      </c>
      <c r="C498" s="14" t="s">
        <v>16</v>
      </c>
      <c r="D498" s="15">
        <f>IF(A506=A507,_xll.ciqfunctions.udf.CIQ(A498,"IQ_TOTAL_REV",IQ_FY-10)/I498,_xll.ciqfunctions.udf.CIQ(A498, "IQ_TOTAL_REV",IQ_FY-9)/I498)</f>
        <v>7.2977354599403625</v>
      </c>
      <c r="E498" s="16"/>
      <c r="F498" s="15">
        <f>IF(A506=A507,_xll.ciqfunctions.udf.CIQ(A498,"IQ_DILUT_EPS_EXCL",IQ_FY-10), _xll.ciqfunctions.udf.CIQ(A498, "IQ_DILUT_EPS_EXCL",IQ_FY-9))</f>
        <v>-0.11008</v>
      </c>
      <c r="G498" s="15">
        <f>IF(A506=A507,_xll.ciqfunctions.udf.CIQ(A498,"IQ_EBITDA_MARGIN",IQ_FY-10), _xll.ciqfunctions.udf.CIQ(A498, "IQ_EBITDA_MARGIN",IQ_FY-9))</f>
        <v>5.8124000000000002</v>
      </c>
      <c r="H498" s="15">
        <f>IF(A506=A507,_xll.ciqfunctions.udf.CIQ(A498,"IQ_TOTAL_DIV_PAID_CF",IQ_FY-10)/-I498, _xll.ciqfunctions.udf.CIQ(A498, "IQ_TOTAL_DIV_PAID_CF",IQ_FY-9)/-I498)</f>
        <v>0</v>
      </c>
      <c r="I498" s="17">
        <f>IF(A506=A507,_xll.ciqfunctions.udf.CIQ(A498,"IQ_TOTAL_OUTSTANDING_FILING_DATE",IQ_FY-10), _xll.ciqfunctions.udf.CIQ(A498, "IQ_TOTAL_OUTSTANDING_FILING_DATE",IQ_FY-9))</f>
        <v>726.11566000000005</v>
      </c>
      <c r="J498" s="17">
        <f>IF(A506=A507,_xll.ciqfunctions.udf.CIQ(A498,"IQ_CASH_OPER",IQ_FY-10), _xll.ciqfunctions.udf.CIQ(A498, "IQ_CASH_OPER",IQ_FY-9))</f>
        <v>-148</v>
      </c>
      <c r="K498" s="17">
        <f>IF(A506=A507,_xll.ciqfunctions.udf.CIQ(A498,"IQ_CAPEX",IQ_FY-10), _xll.ciqfunctions.udf.CIQ(A498, "IQ_CAPEX",IQ_FY-9))</f>
        <v>-84</v>
      </c>
      <c r="L498" s="15">
        <f t="shared" ref="L498:L508" si="132">(J498+K498)/I498</f>
        <v>-0.31950832736481677</v>
      </c>
      <c r="M498" s="17">
        <f>IF(A506=A507,_xll.ciqfunctions.udf.CIQ(A498,"IQ_TOTAL_DEBT_ISSUED",IQ_FY-10), _xll.ciqfunctions.udf.CIQ(A498, "IQ_TOTAL_DEBT_ISSUED",IQ_FY-9))</f>
        <v>55</v>
      </c>
      <c r="N498" s="17">
        <f>IF(A506=A507,_xll.ciqfunctions.udf.CIQ(A498,"IQ_TOTAL_DEBT_REPAID",IQ_FY-10), _xll.ciqfunctions.udf.CIQ(A498, "IQ_TOTAL_DEBT_REPAID",IQ_FY-9))</f>
        <v>-55</v>
      </c>
      <c r="O498" s="15">
        <f t="shared" ref="O498:O508" si="133">(M498+N498)/I498</f>
        <v>0</v>
      </c>
      <c r="P498" s="15">
        <f t="shared" ref="P498:P508" si="134">L498+O498</f>
        <v>-0.31950832736481677</v>
      </c>
      <c r="W498" s="43"/>
      <c r="AA498" s="43"/>
    </row>
    <row r="499" spans="1:27">
      <c r="A499" s="18" t="str">
        <f>_xll.ciqfunctions.udf.CIQ(A498,"IQ_COMPANY_NAME")</f>
        <v>Advanced Micro Devices, Inc.</v>
      </c>
      <c r="B499" s="13">
        <v>2</v>
      </c>
      <c r="C499" s="14" t="s">
        <v>17</v>
      </c>
      <c r="D499" s="15">
        <f>IF(A506=A507,_xll.ciqfunctions.udf.CIQ(A498,"IQ_TOTAL_REV",IQ_FY-9)/I499, _xll.ciqfunctions.udf.CIQ(A498, "IQ_TOTAL_REV",IQ_FY-8)/I499)</f>
        <v>7.0834917770386445</v>
      </c>
      <c r="E499" s="16">
        <f t="shared" ref="E499:E508" si="135">(D499-D498)/D498</f>
        <v>-2.9357556748634026E-2</v>
      </c>
      <c r="F499" s="15">
        <f>IF(A506=A507,_xll.ciqfunctions.udf.CIQ(A498,"IQ_DILUT_EPS_EXCL",IQ_FY-9), _xll.ciqfunctions.udf.CIQ(A498, "IQ_DILUT_EPS_EXCL",IQ_FY-8))</f>
        <v>-0.53</v>
      </c>
      <c r="G499" s="15">
        <f>IF(A506=A507,_xll.ciqfunctions.udf.CIQ(A498,"IQ_EBITDA_MARGIN",IQ_FY-9), _xll.ciqfunctions.udf.CIQ(A498, "IQ_EBITDA_MARGIN",IQ_FY-8))</f>
        <v>6.4111000000000002</v>
      </c>
      <c r="H499" s="15">
        <f>IF(A506=A507,_xll.ciqfunctions.udf.CIQ(A498,"IQ_TOTAL_DIV_PAID_CF",IQ_FY-9)/-I499, _xll.ciqfunctions.udf.CIQ(A498, "IQ_TOTAL_DIV_PAID_CF",IQ_FY-8)/-I499)</f>
        <v>0</v>
      </c>
      <c r="I499" s="17">
        <f>IF(A506=A507,_xll.ciqfunctions.udf.CIQ(A498,"IQ_TOTAL_OUTSTANDING_FILING_DATE",IQ_FY-9), _xll.ciqfunctions.udf.CIQ(A498, "IQ_TOTAL_OUTSTANDING_FILING_DATE",IQ_FY-8))</f>
        <v>777.30025999999998</v>
      </c>
      <c r="J499" s="17">
        <f>IF(A506=A507,_xll.ciqfunctions.udf.CIQ(A498,"IQ_CASH_OPER",IQ_FY-9), _xll.ciqfunctions.udf.CIQ(A498, "IQ_CASH_OPER",IQ_FY-8))</f>
        <v>-98</v>
      </c>
      <c r="K499" s="17">
        <f>IF(A506=A507,_xll.ciqfunctions.udf.CIQ(A498,"IQ_CAPEX",IQ_FY-9), _xll.ciqfunctions.udf.CIQ(A498, "IQ_CAPEX",IQ_FY-8))</f>
        <v>-95</v>
      </c>
      <c r="L499" s="15">
        <f t="shared" si="132"/>
        <v>-0.24829529839601494</v>
      </c>
      <c r="M499" s="17">
        <f>IF(A506=A507,_xll.ciqfunctions.udf.CIQ(A498,"IQ_TOTAL_DEBT_ISSUED",IQ_FY-9), _xll.ciqfunctions.udf.CIQ(A498, "IQ_TOTAL_DEBT_ISSUED",IQ_FY-8))</f>
        <v>1155</v>
      </c>
      <c r="N499" s="17">
        <f>IF(A506=A507,_xll.ciqfunctions.udf.CIQ(A498,"IQ_TOTAL_DEBT_REPAID",IQ_FY-9), _xll.ciqfunctions.udf.CIQ(A498, "IQ_TOTAL_DEBT_REPAID",IQ_FY-8))</f>
        <v>-1115</v>
      </c>
      <c r="O499" s="15">
        <f t="shared" si="133"/>
        <v>5.1460165470676673E-2</v>
      </c>
      <c r="P499" s="15">
        <f t="shared" si="134"/>
        <v>-0.19683513292533827</v>
      </c>
      <c r="Q499" s="25" t="s">
        <v>18</v>
      </c>
      <c r="R499" s="39" t="s">
        <v>19</v>
      </c>
      <c r="S499" s="1">
        <f>R497/((AVERAGE(P503:P508))*(1+E509)^3)</f>
        <v>76.363132687557254</v>
      </c>
      <c r="U499" s="25" t="s">
        <v>48</v>
      </c>
      <c r="V499" s="39" t="s">
        <v>19</v>
      </c>
      <c r="W499" s="1">
        <f>V497/((AVERAGE(P503:P508))*(1+E509)^3)</f>
        <v>76.363132687557254</v>
      </c>
      <c r="Y499" s="25" t="s">
        <v>39</v>
      </c>
      <c r="Z499" s="39" t="s">
        <v>19</v>
      </c>
      <c r="AA499" s="1">
        <f>Z497/((AVERAGE(P503:P508))*(1+E509)^3)</f>
        <v>76.363132687557254</v>
      </c>
    </row>
    <row r="500" spans="1:27">
      <c r="B500" s="13">
        <v>3</v>
      </c>
      <c r="C500" s="14" t="s">
        <v>20</v>
      </c>
      <c r="D500" s="15" cm="1">
        <f t="array" ref="D500">_xlfn.SINGLE(IF(A506=A507,_xll.ciqfunctions.udf.CIQ(A498,"IQ_TOTAL_REV",IQ_FY-8)/I500, _xll.ciqfunctions.udf.CIQ(A498, "IQ_TOTAL_REV",IQ_FY-7)/I500))</f>
        <v>5.0312122363619887</v>
      </c>
      <c r="E500" s="16">
        <f t="shared" si="135"/>
        <v>-0.28972710144581276</v>
      </c>
      <c r="F500" s="15">
        <f>IF(A506=A507,_xll.ciqfunctions.udf.CIQ(A498,"IQ_DILUT_EPS_EXCL",IQ_FY-8), _xll.ciqfunctions.udf.CIQ(A498, "IQ_DILUT_EPS_EXCL",IQ_FY-7))</f>
        <v>-0.84291000000000005</v>
      </c>
      <c r="G500" s="15">
        <f>IF(A506=A507,_xll.ciqfunctions.udf.CIQ(A498,"IQ_EBITDA_MARGIN",IQ_FY-8), _xll.ciqfunctions.udf.CIQ(A498, "IQ_EBITDA_MARGIN",IQ_FY-7))</f>
        <v>-4.6353999999999997</v>
      </c>
      <c r="H500" s="15">
        <f>IF(A506=A507,_xll.ciqfunctions.udf.CIQ(A498,"IQ_TOTAL_DIV_PAID_CF",IQ_FY-8)/-I500, _xll.ciqfunctions.udf.CIQ(A498, "IQ_TOTAL_DIV_PAID_CF",IQ_FY-7)/-I500)</f>
        <v>0</v>
      </c>
      <c r="I500" s="17">
        <f>IF(A506=A507,_xll.ciqfunctions.udf.CIQ(A498,"IQ_TOTAL_OUTSTANDING_FILING_DATE",IQ_FY-8), _xll.ciqfunctions.udf.CIQ(A498, "IQ_TOTAL_OUTSTANDING_FILING_DATE",IQ_FY-7))</f>
        <v>793.24819000000002</v>
      </c>
      <c r="J500" s="17">
        <f>IF(A506=A507,_xll.ciqfunctions.udf.CIQ(A498,"IQ_CASH_OPER",IQ_FY-8), _xll.ciqfunctions.udf.CIQ(A498, "IQ_CASH_OPER",IQ_FY-7))</f>
        <v>-226</v>
      </c>
      <c r="K500" s="17">
        <f>IF(A506=A507,_xll.ciqfunctions.udf.CIQ(A498,"IQ_CAPEX",IQ_FY-8), _xll.ciqfunctions.udf.CIQ(A498, "IQ_CAPEX",IQ_FY-7))</f>
        <v>-96</v>
      </c>
      <c r="L500" s="15">
        <f t="shared" si="132"/>
        <v>-0.40592591834341279</v>
      </c>
      <c r="M500" s="17">
        <f>IF(A506=A507,_xll.ciqfunctions.udf.CIQ(A498,"IQ_TOTAL_DEBT_ISSUED",IQ_FY-8), _xll.ciqfunctions.udf.CIQ(A498, "IQ_TOTAL_DEBT_ISSUED",IQ_FY-7))</f>
        <v>100</v>
      </c>
      <c r="N500" s="17">
        <f>IF(A506=A507,_xll.ciqfunctions.udf.CIQ(A498,"IQ_TOTAL_DEBT_REPAID",IQ_FY-8), _xll.ciqfunctions.udf.CIQ(A498, "IQ_TOTAL_DEBT_REPAID",IQ_FY-7))</f>
        <v>-44</v>
      </c>
      <c r="O500" s="15">
        <f t="shared" si="133"/>
        <v>7.0595811885810919E-2</v>
      </c>
      <c r="P500" s="15">
        <f t="shared" si="134"/>
        <v>-0.33533010645760186</v>
      </c>
      <c r="Q500" s="25" t="s">
        <v>21</v>
      </c>
      <c r="R500" s="38" t="s">
        <v>49</v>
      </c>
      <c r="S500" s="2">
        <f>(R497*I508)/1000</f>
        <v>199.13624772462902</v>
      </c>
      <c r="U500" s="25" t="s">
        <v>59</v>
      </c>
      <c r="V500" s="38" t="s">
        <v>49</v>
      </c>
      <c r="W500" s="2">
        <f>(V497*I508)/1000</f>
        <v>199.13624772462902</v>
      </c>
      <c r="Y500" s="25" t="s">
        <v>46</v>
      </c>
      <c r="Z500" s="38" t="s">
        <v>49</v>
      </c>
      <c r="AA500" s="2">
        <f>(Z497*I508)/1000</f>
        <v>199.13624772462902</v>
      </c>
    </row>
    <row r="501" spans="1:27">
      <c r="A501" s="18"/>
      <c r="B501" s="13">
        <v>4</v>
      </c>
      <c r="C501" s="14" t="s">
        <v>22</v>
      </c>
      <c r="D501" s="15" cm="1">
        <f t="array" ref="D501">_xlfn.SINGLE(IF(A506=A507,_xll.ciqfunctions.udf.CIQ(A498,"IQ_TOTAL_REV",IQ_FY-7)/I501, _xll.ciqfunctions.udf.CIQ(A498, "IQ_TOTAL_REV",IQ_FY-6)/I501))</f>
        <v>4.5909781783228194</v>
      </c>
      <c r="E501" s="16">
        <f t="shared" si="135"/>
        <v>-8.7500593764952644E-2</v>
      </c>
      <c r="F501" s="15">
        <f>IF(A506=A507,_xll.ciqfunctions.udf.CIQ(A498,"IQ_DILUT_EPS_EXCL",IQ_FY-7), _xll.ciqfunctions.udf.CIQ(A498, "IQ_DILUT_EPS_EXCL",IQ_FY-6))</f>
        <v>-0.6</v>
      </c>
      <c r="G501" s="15">
        <f>IF(A506=A507,_xll.ciqfunctions.udf.CIQ(A498,"IQ_EBITDA_MARGIN",IQ_FY-7), _xll.ciqfunctions.udf.CIQ(A498, "IQ_EBITDA_MARGIN",IQ_FY-6))</f>
        <v>-5.7882999999999996</v>
      </c>
      <c r="H501" s="15">
        <f>IF(A506=A507,_xll.ciqfunctions.udf.CIQ(A498,"IQ_TOTAL_DIV_PAID_CF",IQ_FY-7)/-I501, _xll.ciqfunctions.udf.CIQ(A498, "IQ_TOTAL_DIV_PAID_CF",IQ_FY-6)/-I501)</f>
        <v>0</v>
      </c>
      <c r="I501" s="17">
        <f>IF(A506=A507,_xll.ciqfunctions.udf.CIQ(A498,"IQ_TOTAL_OUTSTANDING_FILING_DATE",IQ_FY-7), _xll.ciqfunctions.udf.CIQ(A498, "IQ_TOTAL_OUTSTANDING_FILING_DATE",IQ_FY-6))</f>
        <v>940.75811999999996</v>
      </c>
      <c r="J501" s="17">
        <f>IF(A506=A507,_xll.ciqfunctions.udf.CIQ(A498,"IQ_CASH_OPER",IQ_FY-7), _xll.ciqfunctions.udf.CIQ(A498, "IQ_CASH_OPER",IQ_FY-6))</f>
        <v>81</v>
      </c>
      <c r="K501" s="17">
        <f>IF(A506=A507,_xll.ciqfunctions.udf.CIQ(A498,"IQ_CAPEX",IQ_FY-7), _xll.ciqfunctions.udf.CIQ(A498, "IQ_CAPEX",IQ_FY-6))</f>
        <v>-77</v>
      </c>
      <c r="L501" s="15">
        <f t="shared" si="132"/>
        <v>4.2518899544550307E-3</v>
      </c>
      <c r="M501" s="17">
        <f>IF(A506=A507,_xll.ciqfunctions.udf.CIQ(A498,"IQ_TOTAL_DEBT_ISSUED",IQ_FY-7), _xll.ciqfunctions.udf.CIQ(A498, "IQ_TOTAL_DEBT_ISSUED",IQ_FY-6))</f>
        <v>782</v>
      </c>
      <c r="N501" s="17">
        <f>IF(A506=A507,_xll.ciqfunctions.udf.CIQ(A498,"IQ_TOTAL_DEBT_REPAID",IQ_FY-7), _xll.ciqfunctions.udf.CIQ(A498, "IQ_TOTAL_DEBT_REPAID",IQ_FY-6))</f>
        <v>-1343</v>
      </c>
      <c r="O501" s="15">
        <f t="shared" si="133"/>
        <v>-0.59632756611231807</v>
      </c>
      <c r="P501" s="15">
        <f t="shared" si="134"/>
        <v>-0.59207567615786305</v>
      </c>
      <c r="Q501" s="25" t="s">
        <v>23</v>
      </c>
      <c r="R501" s="38" t="s">
        <v>24</v>
      </c>
      <c r="S501" s="1" t="e">
        <f>R497/(AVERAGE(H503:H508)*(1+H509)/(0.5-H509))</f>
        <v>#DIV/0!</v>
      </c>
      <c r="U501" s="25" t="s">
        <v>40</v>
      </c>
      <c r="V501" s="38" t="s">
        <v>24</v>
      </c>
      <c r="W501" s="1" t="e">
        <f>V497/(AVERAGE(H503:H508)*(1+H509)/(0.5-H509))</f>
        <v>#DIV/0!</v>
      </c>
      <c r="Y501" s="25" t="s">
        <v>47</v>
      </c>
      <c r="Z501" s="38" t="s">
        <v>24</v>
      </c>
      <c r="AA501" s="1" t="e">
        <f>Z497/(AVERAGE(H503:H508)*(1+H509)/(0.5-H509))</f>
        <v>#DIV/0!</v>
      </c>
    </row>
    <row r="502" spans="1:27">
      <c r="B502" s="13">
        <v>5</v>
      </c>
      <c r="C502" s="14" t="s">
        <v>25</v>
      </c>
      <c r="D502" s="15" cm="1">
        <f t="array" ref="D502">_xlfn.SINGLE(IF(A506=A507,_xll.ciqfunctions.udf.CIQ(A498,"IQ_TOTAL_REV",IQ_FY-6)/I502, _xll.ciqfunctions.udf.CIQ(A498, "IQ_TOTAL_REV",IQ_FY-5)/I502))</f>
        <v>5.4204362457482773</v>
      </c>
      <c r="E502" s="16">
        <f t="shared" si="135"/>
        <v>0.1806713156124119</v>
      </c>
      <c r="F502" s="15">
        <f>IF(A506=A507,_xll.ciqfunctions.udf.CIQ(A498,"IQ_DILUT_EPS_EXCL",IQ_FY-6), _xll.ciqfunctions.udf.CIQ(A498, "IQ_DILUT_EPS_EXCL",IQ_FY-5))</f>
        <v>-3.4660000000000003E-2</v>
      </c>
      <c r="G502" s="15">
        <f>IF(A506=A507,_xll.ciqfunctions.udf.CIQ(A498,"IQ_EBITDA_MARGIN",IQ_FY-6), _xll.ciqfunctions.udf.CIQ(A498, "IQ_EBITDA_MARGIN",IQ_FY-5))</f>
        <v>5.1589</v>
      </c>
      <c r="H502" s="15">
        <f>IF(A506=A507,_xll.ciqfunctions.udf.CIQ(A498,"IQ_TOTAL_DIV_PAID_CF",IQ_FY-6)/-I502, _xll.ciqfunctions.udf.CIQ(A498, "IQ_TOTAL_DIV_PAID_CF",IQ_FY-5)/-I502)</f>
        <v>0</v>
      </c>
      <c r="I502" s="17">
        <f>IF(A506=A507,_xll.ciqfunctions.udf.CIQ(A498,"IQ_TOTAL_OUTSTANDING_FILING_DATE",IQ_FY-6), _xll.ciqfunctions.udf.CIQ(A498, "IQ_TOTAL_OUTSTANDING_FILING_DATE",IQ_FY-5))</f>
        <v>969.11018999999999</v>
      </c>
      <c r="J502" s="17">
        <f>IF(A506=A507,_xll.ciqfunctions.udf.CIQ(A498,"IQ_CASH_OPER",IQ_FY-6), _xll.ciqfunctions.udf.CIQ(A498, "IQ_CASH_OPER",IQ_FY-5))</f>
        <v>12</v>
      </c>
      <c r="K502" s="17">
        <f>IF(A506=A507,_xll.ciqfunctions.udf.CIQ(A498,"IQ_CAPEX",IQ_FY-6), _xll.ciqfunctions.udf.CIQ(A498, "IQ_CAPEX",IQ_FY-5))</f>
        <v>-113</v>
      </c>
      <c r="L502" s="15">
        <f t="shared" si="132"/>
        <v>-0.10421931483353818</v>
      </c>
      <c r="M502" s="17">
        <f>IF(A506=A507,_xll.ciqfunctions.udf.CIQ(A498,"IQ_TOTAL_DEBT_ISSUED",IQ_FY-6), _xll.ciqfunctions.udf.CIQ(A498, "IQ_TOTAL_DEBT_ISSUED",IQ_FY-5))</f>
        <v>70</v>
      </c>
      <c r="N502" s="17">
        <f>IF(A506=A507,_xll.ciqfunctions.udf.CIQ(A498,"IQ_TOTAL_DEBT_REPAID",IQ_FY-6), _xll.ciqfunctions.udf.CIQ(A498, "IQ_TOTAL_DEBT_REPAID",IQ_FY-5))</f>
        <v>-110</v>
      </c>
      <c r="O502" s="15">
        <f t="shared" si="133"/>
        <v>-4.1274976171698285E-2</v>
      </c>
      <c r="P502" s="15">
        <f t="shared" si="134"/>
        <v>-0.14549429100523648</v>
      </c>
      <c r="Q502" s="18"/>
      <c r="R502" s="38" t="s">
        <v>50</v>
      </c>
      <c r="S502" s="3">
        <f>I509</f>
        <v>9.951787225204578E-2</v>
      </c>
      <c r="U502" s="18"/>
      <c r="V502" s="38" t="s">
        <v>50</v>
      </c>
      <c r="W502" s="3">
        <f>I509</f>
        <v>9.951787225204578E-2</v>
      </c>
      <c r="Y502" s="18"/>
      <c r="Z502" s="38" t="s">
        <v>50</v>
      </c>
      <c r="AA502" s="3">
        <f>I509</f>
        <v>9.951787225204578E-2</v>
      </c>
    </row>
    <row r="503" spans="1:27">
      <c r="B503" s="13">
        <v>6</v>
      </c>
      <c r="C503" s="14" t="s">
        <v>26</v>
      </c>
      <c r="D503" s="15" cm="1">
        <f t="array" ref="D503">_xlfn.SINGLE(IF(A506=A507,_xll.ciqfunctions.udf.CIQ(A498,"IQ_TOTAL_REV",IQ_FY-5)/I503, _xll.ciqfunctions.udf.CIQ(A498, "IQ_TOTAL_REV",IQ_FY-4)/I503))</f>
        <v>6.440870599597206</v>
      </c>
      <c r="E503" s="16">
        <f t="shared" si="135"/>
        <v>0.18825686855912099</v>
      </c>
      <c r="F503" s="15">
        <f>IF(A506=A507,_xll.ciqfunctions.udf.CIQ(A498,"IQ_DILUT_EPS_EXCL",IQ_FY-5), _xll.ciqfunctions.udf.CIQ(A498, "IQ_DILUT_EPS_EXCL",IQ_FY-4))</f>
        <v>0.32</v>
      </c>
      <c r="G503" s="15">
        <f>IF(A506=A507,_xll.ciqfunctions.udf.CIQ(A498,"IQ_EBITDA_MARGIN",IQ_FY-5), _xll.ciqfunctions.udf.CIQ(A498, "IQ_EBITDA_MARGIN",IQ_FY-4))</f>
        <v>9.5907</v>
      </c>
      <c r="H503" s="15">
        <f>IF(A506=A507,_xll.ciqfunctions.udf.CIQ(A498,"IQ_TOTAL_DIV_PAID_CF",IQ_FY-5)/-I503, _xll.ciqfunctions.udf.CIQ(A498, "IQ_TOTAL_DIV_PAID_CF",IQ_FY-4)/-I503)</f>
        <v>0</v>
      </c>
      <c r="I503" s="17">
        <f>IF(A506=A507,_xll.ciqfunctions.udf.CIQ(A498,"IQ_TOTAL_OUTSTANDING_FILING_DATE",IQ_FY-5), _xll.ciqfunctions.udf.CIQ(A498, "IQ_TOTAL_OUTSTANDING_FILING_DATE",IQ_FY-4))</f>
        <v>1005.2988800000001</v>
      </c>
      <c r="J503" s="17">
        <f>IF(A506=A507,_xll.ciqfunctions.udf.CIQ(A498,"IQ_CASH_OPER",IQ_FY-5), _xll.ciqfunctions.udf.CIQ(A498, "IQ_CASH_OPER",IQ_FY-4))</f>
        <v>34</v>
      </c>
      <c r="K503" s="17">
        <f>IF(A506=A507,_xll.ciqfunctions.udf.CIQ(A498,"IQ_CAPEX",IQ_FY-5), _xll.ciqfunctions.udf.CIQ(A498, "IQ_CAPEX",IQ_FY-4))</f>
        <v>-163</v>
      </c>
      <c r="L503" s="15">
        <f t="shared" si="132"/>
        <v>-0.1283200474668787</v>
      </c>
      <c r="M503" s="17">
        <f>IF(A506=A507,_xll.ciqfunctions.udf.CIQ(A498,"IQ_TOTAL_DEBT_ISSUED",IQ_FY-5), _xll.ciqfunctions.udf.CIQ(A498, "IQ_TOTAL_DEBT_ISSUED",IQ_FY-4))</f>
        <v>0</v>
      </c>
      <c r="N503" s="17">
        <f>IF(A506=A507,_xll.ciqfunctions.udf.CIQ(A498,"IQ_TOTAL_DEBT_REPAID",IQ_FY-5), _xll.ciqfunctions.udf.CIQ(A498, "IQ_TOTAL_DEBT_REPAID",IQ_FY-4))</f>
        <v>-41</v>
      </c>
      <c r="O503" s="15">
        <f t="shared" si="133"/>
        <v>-4.0783891055364549E-2</v>
      </c>
      <c r="P503" s="15">
        <f t="shared" si="134"/>
        <v>-0.16910393852224326</v>
      </c>
      <c r="Q503" s="25" t="s">
        <v>27</v>
      </c>
      <c r="R503" s="38" t="s">
        <v>51</v>
      </c>
      <c r="S503" s="4">
        <f>AVERAGE(F503:F508)/AVERAGE(D503:D508)</f>
        <v>9.972705713807932E-2</v>
      </c>
      <c r="U503" s="25" t="s">
        <v>58</v>
      </c>
      <c r="V503" s="38" t="s">
        <v>51</v>
      </c>
      <c r="W503" s="4">
        <f>AVERAGE(F503:F508)/AVERAGE(D503:D508)</f>
        <v>9.972705713807932E-2</v>
      </c>
      <c r="Y503" s="25" t="s">
        <v>56</v>
      </c>
      <c r="Z503" s="38" t="s">
        <v>51</v>
      </c>
      <c r="AA503" s="4">
        <f>AVERAGE(F503:F508)/AVERAGE(D503:D508)</f>
        <v>9.972705713807932E-2</v>
      </c>
    </row>
    <row r="504" spans="1:27">
      <c r="A504" s="18"/>
      <c r="B504" s="13">
        <v>7</v>
      </c>
      <c r="C504" s="14" t="s">
        <v>28</v>
      </c>
      <c r="D504" s="15" cm="1">
        <f t="array" ref="D504">_xlfn.SINGLE(IF(A506=A507,_xll.ciqfunctions.udf.CIQ(A498,"IQ_TOTAL_REV",IQ_FY-4)/I504, _xll.ciqfunctions.udf.CIQ(A498, "IQ_TOTAL_REV",IQ_FY-3)/I504))</f>
        <v>5.7546561717332345</v>
      </c>
      <c r="E504" s="16">
        <f t="shared" si="135"/>
        <v>-0.10654063255158168</v>
      </c>
      <c r="F504" s="15">
        <f>IF(A506=A507,_xll.ciqfunctions.udf.CIQ(A498,"IQ_DILUT_EPS_EXCL",IQ_FY-4), _xll.ciqfunctions.udf.CIQ(A498, "IQ_DILUT_EPS_EXCL",IQ_FY-3))</f>
        <v>0.3</v>
      </c>
      <c r="G504" s="15">
        <f>IF(A506=A507,_xll.ciqfunctions.udf.CIQ(A498,"IQ_EBITDA_MARGIN",IQ_FY-4), _xll.ciqfunctions.udf.CIQ(A498, "IQ_EBITDA_MARGIN",IQ_FY-3))</f>
        <v>12.672700000000001</v>
      </c>
      <c r="H504" s="15">
        <f>IF(A506=A507,_xll.ciqfunctions.udf.CIQ(A498,"IQ_TOTAL_DIV_PAID_CF",IQ_FY-4)/-I504, _xll.ciqfunctions.udf.CIQ(A498, "IQ_TOTAL_DIV_PAID_CF",IQ_FY-3)/-I504)</f>
        <v>0</v>
      </c>
      <c r="I504" s="17">
        <f>IF(A506=A507,_xll.ciqfunctions.udf.CIQ(A498,"IQ_TOTAL_OUTSTANDING_FILING_DATE",IQ_FY-4), _xll.ciqfunctions.udf.CIQ(A498, "IQ_TOTAL_OUTSTANDING_FILING_DATE",IQ_FY-3))</f>
        <v>1169.6615400000001</v>
      </c>
      <c r="J504" s="17">
        <f>IF(A506=A507,_xll.ciqfunctions.udf.CIQ(A498,"IQ_CASH_OPER",IQ_FY-4), _xll.ciqfunctions.udf.CIQ(A498, "IQ_CASH_OPER",IQ_FY-3))</f>
        <v>493</v>
      </c>
      <c r="K504" s="17">
        <f>IF(A506=A507,_xll.ciqfunctions.udf.CIQ(A498,"IQ_CAPEX",IQ_FY-4), _xll.ciqfunctions.udf.CIQ(A498, "IQ_CAPEX",IQ_FY-3))</f>
        <v>-217</v>
      </c>
      <c r="L504" s="15">
        <f t="shared" si="132"/>
        <v>0.23596569653816266</v>
      </c>
      <c r="M504" s="17">
        <f>IF(A506=A507,_xll.ciqfunctions.udf.CIQ(A498,"IQ_TOTAL_DEBT_ISSUED",IQ_FY-4), _xll.ciqfunctions.udf.CIQ(A498, "IQ_TOTAL_DEBT_ISSUED",IQ_FY-3))</f>
        <v>0</v>
      </c>
      <c r="N504" s="17">
        <f>IF(A506=A507,_xll.ciqfunctions.udf.CIQ(A498,"IQ_TOTAL_DEBT_REPAID",IQ_FY-4), _xll.ciqfunctions.udf.CIQ(A498, "IQ_TOTAL_DEBT_REPAID",IQ_FY-3))</f>
        <v>-473</v>
      </c>
      <c r="O504" s="15">
        <f t="shared" si="133"/>
        <v>-0.40439048718315557</v>
      </c>
      <c r="P504" s="15">
        <f t="shared" si="134"/>
        <v>-0.16842479064499291</v>
      </c>
      <c r="Q504" s="18"/>
      <c r="R504" s="38" t="s">
        <v>29</v>
      </c>
      <c r="S504" s="4">
        <f>(AVERAGE(P503:P508)/_xlfn.STDEV.P(P503:P508))/(IF(A506=A507,(_xlfn.SINGLE(_xll.ciqfunctions.udf.CIQ(A498,"IQ_total_assets",IQ_FY)) - _xlfn.SINGLE(_xll.ciqfunctions.udf.CIQ(A498,"iq_gw_intan", IQ_FY)))/I508, (_xlfn.SINGLE(_xll.ciqfunctions.udf.CIQ(A498, "IQ_total_assets",IQ_LTM))-_xlfn.SINGLE(_xll.ciqfunctions.udf.CIQ(A498,"iq_gw_intan",IQ_LTM)))/I508))</f>
        <v>6.8762615580529624E-2</v>
      </c>
      <c r="U504" s="18"/>
      <c r="V504" s="38" t="s">
        <v>29</v>
      </c>
      <c r="W504" s="4">
        <f>(AVERAGE(P503:P508)/_xlfn.STDEV.P(P503:P508))/(IF(A506=A507,(_xlfn.SINGLE(_xll.ciqfunctions.udf.CIQ(A498,"IQ_total_assets",IQ_FY)) - _xlfn.SINGLE(_xll.ciqfunctions.udf.CIQ(A498,"iq_gw_intan", IQ_FY)))/I508, (_xlfn.SINGLE(_xll.ciqfunctions.udf.CIQ(A498, "IQ_total_assets",IQ_LTM))-_xlfn.SINGLE(_xll.ciqfunctions.udf.CIQ(A498,"iq_gw_intan",IQ_LTM)))/I508))</f>
        <v>6.8762615580529624E-2</v>
      </c>
      <c r="Y504" s="18"/>
      <c r="Z504" s="38" t="s">
        <v>29</v>
      </c>
      <c r="AA504" s="4">
        <f>(AVERAGE(P503:P508)/_xlfn.STDEV.P(P503:P508))/(IF(A506=A507,(_xlfn.SINGLE(_xll.ciqfunctions.udf.CIQ(A498,"IQ_total_assets",IQ_FY)) - _xlfn.SINGLE(_xll.ciqfunctions.udf.CIQ(A498,"iq_gw_intan", IQ_FY)))/I508, (_xlfn.SINGLE(_xll.ciqfunctions.udf.CIQ(A498, "IQ_total_assets",IQ_LTM))-_xlfn.SINGLE(_xll.ciqfunctions.udf.CIQ(A498,"iq_gw_intan",IQ_LTM)))/I508))</f>
        <v>6.8762615580529624E-2</v>
      </c>
    </row>
    <row r="505" spans="1:27">
      <c r="A505" s="18"/>
      <c r="B505" s="13">
        <v>8</v>
      </c>
      <c r="C505" s="14" t="s">
        <v>30</v>
      </c>
      <c r="D505" s="15" cm="1">
        <f t="array" ref="D505">_xlfn.SINGLE(IF(A506=A507,_xll.ciqfunctions.udf.CIQ(A498,"IQ_TOTAL_REV",IQ_FY-3)/I505, _xll.ciqfunctions.udf.CIQ(A498, "IQ_TOTAL_REV",IQ_FY-2)/I505))</f>
        <v>8.0600686211274972</v>
      </c>
      <c r="E505" s="16">
        <f t="shared" si="135"/>
        <v>0.40061688841088477</v>
      </c>
      <c r="F505" s="15">
        <f>IF(A506=A507,_xll.ciqfunctions.udf.CIQ(A498,"IQ_DILUT_EPS_EXCL",IQ_FY-3), _xll.ciqfunctions.udf.CIQ(A498, "IQ_DILUT_EPS_EXCL",IQ_FY-2))</f>
        <v>2.06379</v>
      </c>
      <c r="G505" s="15">
        <f>IF(A506=A507,_xll.ciqfunctions.udf.CIQ(A498,"IQ_EBITDA_MARGIN",IQ_FY-3), _xll.ciqfunctions.udf.CIQ(A498, "IQ_EBITDA_MARGIN",IQ_FY-2))</f>
        <v>17.218</v>
      </c>
      <c r="H505" s="15">
        <f>IF(A506=A507,_xll.ciqfunctions.udf.CIQ(A498,"IQ_TOTAL_DIV_PAID_CF",IQ_FY-3)/-I505, _xll.ciqfunctions.udf.CIQ(A498, "IQ_TOTAL_DIV_PAID_CF",IQ_FY-2)/-I505)</f>
        <v>0</v>
      </c>
      <c r="I505" s="17">
        <f>IF(A506=A507,_xll.ciqfunctions.udf.CIQ(A498,"IQ_TOTAL_OUTSTANDING_FILING_DATE",IQ_FY-3), _xll.ciqfunctions.udf.CIQ(A498, "IQ_TOTAL_OUTSTANDING_FILING_DATE",IQ_FY-2))</f>
        <v>1211.2800099999999</v>
      </c>
      <c r="J505" s="17">
        <f>IF(A506=A507,_xll.ciqfunctions.udf.CIQ(A498,"IQ_CASH_OPER",IQ_FY-3), _xll.ciqfunctions.udf.CIQ(A498, "IQ_CASH_OPER",IQ_FY-2))</f>
        <v>1071</v>
      </c>
      <c r="K505" s="17">
        <f>IF(A506=A507,_xll.ciqfunctions.udf.CIQ(A498,"IQ_CAPEX",IQ_FY-3), _xll.ciqfunctions.udf.CIQ(A498, "IQ_CAPEX",IQ_FY-2))</f>
        <v>-294</v>
      </c>
      <c r="L505" s="15">
        <f t="shared" si="132"/>
        <v>0.64147017500932757</v>
      </c>
      <c r="M505" s="17">
        <f>IF(A506=A507,_xll.ciqfunctions.udf.CIQ(A498,"IQ_TOTAL_DEBT_ISSUED",IQ_FY-3), _xll.ciqfunctions.udf.CIQ(A498, "IQ_TOTAL_DEBT_ISSUED",IQ_FY-2))</f>
        <v>200</v>
      </c>
      <c r="N505" s="17">
        <f>IF(A506=A507,_xll.ciqfunctions.udf.CIQ(A498,"IQ_TOTAL_DEBT_REPAID",IQ_FY-3), _xll.ciqfunctions.udf.CIQ(A498, "IQ_TOTAL_DEBT_REPAID",IQ_FY-2))</f>
        <v>-200</v>
      </c>
      <c r="O505" s="15">
        <f t="shared" si="133"/>
        <v>0</v>
      </c>
      <c r="P505" s="15">
        <f t="shared" si="134"/>
        <v>0.64147017500932757</v>
      </c>
      <c r="Q505" s="18"/>
      <c r="R505" s="39" t="s">
        <v>31</v>
      </c>
      <c r="S505" s="5">
        <f>IF(NOT(D498&gt;0),FALSE,SLOPE(G498:G508,B498:B508))</f>
        <v>2.138968181818182</v>
      </c>
      <c r="U505" s="18"/>
      <c r="V505" s="39" t="s">
        <v>31</v>
      </c>
      <c r="W505" s="5">
        <f>IF(NOT(D498&gt;0),FALSE,SLOPE(G498:G508,B498:B508))</f>
        <v>2.138968181818182</v>
      </c>
      <c r="Y505" s="18"/>
      <c r="Z505" s="39" t="s">
        <v>31</v>
      </c>
      <c r="AA505" s="5" t="b">
        <f>IF(NOT(L498&gt;0),FALSE,SLOPE(O498:O508,J498:J508))</f>
        <v>0</v>
      </c>
    </row>
    <row r="506" spans="1:27">
      <c r="A506" s="19">
        <f>_xll.ciqfunctions.udf.CIQ(A498,"IQ_TOTAL_REV",IQ_FY)</f>
        <v>23601</v>
      </c>
      <c r="B506" s="13">
        <v>9</v>
      </c>
      <c r="C506" s="14" t="s">
        <v>32</v>
      </c>
      <c r="D506" s="15" cm="1">
        <f t="array" ref="D506">_xlfn.SINGLE(IF(A506=A507,_xll.ciqfunctions.udf.CIQ(A498,"IQ_TOTAL_REV",IQ_FY-2)/I506, _xll.ciqfunctions.udf.CIQ(A498, "IQ_TOTAL_REV",IQ_FY-1)/I506))</f>
        <v>13.70295433660983</v>
      </c>
      <c r="E506" s="16">
        <f t="shared" si="135"/>
        <v>0.70010392972224689</v>
      </c>
      <c r="F506" s="15">
        <f>IF(A506=A507,_xll.ciqfunctions.udf.CIQ(A498,"IQ_DILUT_EPS_EXCL",IQ_FY-2), _xll.ciqfunctions.udf.CIQ(A498, "IQ_DILUT_EPS_EXCL",IQ_FY-1))</f>
        <v>2.57</v>
      </c>
      <c r="G506" s="15">
        <f>IF(A506=A507,_xll.ciqfunctions.udf.CIQ(A498,"IQ_EBITDA_MARGIN",IQ_FY-2), _xll.ciqfunctions.udf.CIQ(A498, "IQ_EBITDA_MARGIN",IQ_FY-1))</f>
        <v>24.674399999999999</v>
      </c>
      <c r="H506" s="15">
        <f>IF(A506=A507,_xll.ciqfunctions.udf.CIQ(A498,"IQ_TOTAL_DIV_PAID_CF",IQ_FY-2)/-I506, _xll.ciqfunctions.udf.CIQ(A498, "IQ_TOTAL_DIV_PAID_CF",IQ_FY-1)/-I506)</f>
        <v>0</v>
      </c>
      <c r="I506" s="17">
        <f>IF(A506=A507,_xll.ciqfunctions.udf.CIQ(A498,"IQ_TOTAL_OUTSTANDING_FILING_DATE",IQ_FY-2), _xll.ciqfunctions.udf.CIQ(A498, "IQ_TOTAL_OUTSTANDING_FILING_DATE",IQ_FY-1))</f>
        <v>1199.30342</v>
      </c>
      <c r="J506" s="17">
        <f>IF(A506=A507,_xll.ciqfunctions.udf.CIQ(A498,"IQ_CASH_OPER",IQ_FY-2), _xll.ciqfunctions.udf.CIQ(A498, "IQ_CASH_OPER",IQ_FY-1))</f>
        <v>3521</v>
      </c>
      <c r="K506" s="17">
        <f>IF(A506=A507,_xll.ciqfunctions.udf.CIQ(A498,"IQ_CAPEX",IQ_FY-2), _xll.ciqfunctions.udf.CIQ(A498, "IQ_CAPEX",IQ_FY-1))</f>
        <v>-301</v>
      </c>
      <c r="L506" s="15">
        <f t="shared" si="132"/>
        <v>2.6848918683146925</v>
      </c>
      <c r="M506" s="17">
        <f>IF(A506=A507,_xll.ciqfunctions.udf.CIQ(A498,"IQ_TOTAL_DEBT_ISSUED",IQ_FY-2), _xll.ciqfunctions.udf.CIQ(A498, "IQ_TOTAL_DEBT_ISSUED",IQ_FY-1))</f>
        <v>0</v>
      </c>
      <c r="N506" s="17">
        <f>IF(A506=A507,_xll.ciqfunctions.udf.CIQ(A498,"IQ_TOTAL_DEBT_REPAID",IQ_FY-2), _xll.ciqfunctions.udf.CIQ(A498, "IQ_TOTAL_DEBT_REPAID",IQ_FY-1))</f>
        <v>0</v>
      </c>
      <c r="O506" s="15">
        <f t="shared" si="133"/>
        <v>0</v>
      </c>
      <c r="P506" s="15">
        <f t="shared" si="134"/>
        <v>2.6848918683146925</v>
      </c>
      <c r="Q506" s="25" t="s">
        <v>33</v>
      </c>
      <c r="R506" s="38" t="s">
        <v>52</v>
      </c>
      <c r="S506" s="4">
        <f>(AVERAGE(O503:O508)/AVERAGE(P503:P508))</f>
        <v>-3.8623723050704266E-3</v>
      </c>
      <c r="U506" s="25" t="s">
        <v>54</v>
      </c>
      <c r="V506" s="38" t="s">
        <v>52</v>
      </c>
      <c r="W506" s="4">
        <f>(AVERAGE(O503:O508)/AVERAGE(P503:P508))</f>
        <v>-3.8623723050704266E-3</v>
      </c>
      <c r="Y506" s="25" t="s">
        <v>60</v>
      </c>
      <c r="Z506" s="38" t="s">
        <v>52</v>
      </c>
      <c r="AA506" s="4">
        <f>(AVERAGE(O503:O508)/AVERAGE(P503:P508))</f>
        <v>-3.8623723050704266E-3</v>
      </c>
    </row>
    <row r="507" spans="1:27">
      <c r="A507" s="19">
        <f>_xll.ciqfunctions.udf.CIQ(A498,"IQ_TOTAL_REV",IQ_LTM)</f>
        <v>22111</v>
      </c>
      <c r="B507" s="13">
        <v>10</v>
      </c>
      <c r="C507" s="14" t="s">
        <v>34</v>
      </c>
      <c r="D507" s="15" cm="1">
        <f t="array" ref="D507">_xlfn.SINGLE(IF(A506=A507,_xll.ciqfunctions.udf.CIQ(A498,"IQ_TOTAL_REV",IQ_FY-1)/I507, _xll.ciqfunctions.udf.CIQ(A498, "IQ_TOTAL_REV",IQ_FY)/I507))</f>
        <v>14.646377395014095</v>
      </c>
      <c r="E507" s="16">
        <f t="shared" si="135"/>
        <v>6.8848150203912342E-2</v>
      </c>
      <c r="F507" s="15">
        <f>IF(A506=A507,_xll.ciqfunctions.udf.CIQ(A498,"IQ_DILUT_EPS_EXCL",IQ_FY-1), _xll.ciqfunctions.udf.CIQ(A498, "IQ_DILUT_EPS_EXCL",IQ_FY))</f>
        <v>0.84</v>
      </c>
      <c r="G507" s="15">
        <f>IF(A506=A507,_xll.ciqfunctions.udf.CIQ(A498,"IQ_EBITDA_MARGIN",IQ_FY-1), _xll.ciqfunctions.udf.CIQ(A498, "IQ_EBITDA_MARGIN",IQ_FY))</f>
        <v>19.914400000000001</v>
      </c>
      <c r="H507" s="15">
        <f>IF(A506=A507,_xll.ciqfunctions.udf.CIQ(A498,"IQ_TOTAL_DIV_PAID_CF",IQ_FY-1)/-I507, _xll.ciqfunctions.udf.CIQ(A498, "IQ_TOTAL_DIV_PAID_CF",IQ_FY)/-I507)</f>
        <v>0</v>
      </c>
      <c r="I507" s="17">
        <f>IF(A506=A507,_xll.ciqfunctions.udf.CIQ(A498,"IQ_TOTAL_OUTSTANDING_FILING_DATE",IQ_FY-1), _xll.ciqfunctions.udf.CIQ(A498, "IQ_TOTAL_OUTSTANDING_FILING_DATE",IQ_FY))</f>
        <v>1611.38822</v>
      </c>
      <c r="J507" s="17">
        <f>IF(A506=A507,_xll.ciqfunctions.udf.CIQ(A498,"IQ_CASH_OPER",IQ_FY-1), _xll.ciqfunctions.udf.CIQ(A498, "IQ_CASH_OPER",IQ_FY))</f>
        <v>3565</v>
      </c>
      <c r="K507" s="17">
        <f>IF(A506=A507,_xll.ciqfunctions.udf.CIQ(A498,"IQ_CAPEX",IQ_FY-1), _xll.ciqfunctions.udf.CIQ(A498, "IQ_CAPEX",IQ_FY))</f>
        <v>-450</v>
      </c>
      <c r="L507" s="15">
        <f t="shared" si="132"/>
        <v>1.9331157826138259</v>
      </c>
      <c r="M507" s="17">
        <f>IF(A506=A507,_xll.ciqfunctions.udf.CIQ(A498,"IQ_TOTAL_DEBT_ISSUED",IQ_FY-1), _xll.ciqfunctions.udf.CIQ(A498, "IQ_TOTAL_DEBT_ISSUED",IQ_FY))</f>
        <v>991</v>
      </c>
      <c r="N507" s="17">
        <f>IF(A506=A507,_xll.ciqfunctions.udf.CIQ(A498,"IQ_TOTAL_DEBT_REPAID",IQ_FY-1), _xll.ciqfunctions.udf.CIQ(A498, "IQ_TOTAL_DEBT_REPAID",IQ_FY))</f>
        <v>-312</v>
      </c>
      <c r="O507" s="15">
        <f t="shared" si="133"/>
        <v>0.42137579980571038</v>
      </c>
      <c r="P507" s="15">
        <f t="shared" si="134"/>
        <v>2.354491582419536</v>
      </c>
      <c r="Q507" s="25" t="s">
        <v>44</v>
      </c>
      <c r="R507" s="38" t="s">
        <v>35</v>
      </c>
      <c r="S507" s="1">
        <f>_xll.ciqfunctions.udf.CIQ(A498,"IQ_TEV_EBITDA")</f>
        <v>59.053139999999999</v>
      </c>
      <c r="U507" s="25" t="s">
        <v>55</v>
      </c>
      <c r="V507" s="38" t="s">
        <v>53</v>
      </c>
      <c r="W507" s="1">
        <f>V497/(AVERAGE(D503:D508)/_xlfn.STDEV.P(E503:E508))</f>
        <v>3.3305521306101307</v>
      </c>
      <c r="Y507" s="25" t="s">
        <v>57</v>
      </c>
      <c r="Z507" s="38" t="s">
        <v>53</v>
      </c>
      <c r="AA507" s="1">
        <f>Z497/(AVERAGE(D503:D508)/_xlfn.STDEV.P(E503:E508))</f>
        <v>3.3305521306101307</v>
      </c>
    </row>
    <row r="508" spans="1:27">
      <c r="B508" s="13">
        <v>11</v>
      </c>
      <c r="C508" s="20" t="s">
        <v>36</v>
      </c>
      <c r="D508" s="21" cm="1">
        <f t="array" ref="D508">_xlfn.SINGLE(IF(A506=A507,_xll.ciqfunctions.udf.CIQ(A498,"IQ_TOTAL_REV",IQ_FY)/I508, _xll.ciqfunctions.udf.CIQ(A498, "IQ_TOTAL_REV",IQ_LTM)/I508))</f>
        <v>13.686793681424318</v>
      </c>
      <c r="E508" s="22">
        <f t="shared" si="135"/>
        <v>-6.5516795567239605E-2</v>
      </c>
      <c r="F508" s="21">
        <f>IF(A506=A507,_xll.ciqfunctions.udf.CIQ(A498,"IQ_DILUT_EPS_EXCL",IQ_FY), _xll.ciqfunctions.udf.CIQ(A498, "IQ_DILUT_EPS_EXCL",IQ_LTM))</f>
        <v>0.11838</v>
      </c>
      <c r="G508" s="21">
        <f>IF(A506=A507,_xll.ciqfunctions.udf.CIQ(A498,"IQ_EBITDA_MARGIN",IQ_FY), _xll.ciqfunctions.udf.CIQ(A498, "IQ_EBITDA_MARGIN",IQ_LTM))</f>
        <v>13.7759</v>
      </c>
      <c r="H508" s="21">
        <f>IF(A506=A507,_xll.ciqfunctions.udf.CIQ(A498,"IQ_TOTAL_DIV_PAID_CF",IQ_FY)/-I508, _xll.ciqfunctions.udf.CIQ(A498, "IQ_TOTAL_DIV_PAID_CF",IQ_LTM)/-I508)</f>
        <v>0</v>
      </c>
      <c r="I508" s="23">
        <f>IF(A506=A507,_xll.ciqfunctions.udf.CIQ(A498,"IQ_TOTAL_OUTSTANDING_FILING_DATE",IQ_FY),_xll.ciqfunctions.udf.CIQ(A498,"IQ_sharesoutstanding"))</f>
        <v>1615.4988900000001</v>
      </c>
      <c r="J508" s="23">
        <f>IF(A506=A507,_xll.ciqfunctions.udf.CIQ(A498,"IQ_CASH_OPER",IQ_FY), _xll.ciqfunctions.udf.CIQ(A498, "IQ_CASH_OPER",IQ_LTM))</f>
        <v>1853</v>
      </c>
      <c r="K508" s="23">
        <f>IF(A506=A507,_xll.ciqfunctions.udf.CIQ(A498,"IQ_CAPEX",IQ_FY), _xll.ciqfunctions.udf.CIQ(A498, "IQ_CAPEX",IQ_LTM))</f>
        <v>-531</v>
      </c>
      <c r="L508" s="21">
        <f t="shared" si="132"/>
        <v>0.81832306303844005</v>
      </c>
      <c r="M508" s="23">
        <f>IF(A506=A507,_xll.ciqfunctions.udf.CIQ(A498,"IQ_TOTAL_DEBT_ISSUED",IQ_FY), _xll.ciqfunctions.udf.CIQ(A498, "IQ_TOTAL_DEBT_ISSUED",IQ_LTM))</f>
        <v>0</v>
      </c>
      <c r="N508" s="23">
        <f>IF(A506=A507,_xll.ciqfunctions.udf.CIQ(A498,"IQ_TOTAL_DEBT_REPAID",IQ_FY), _xll.ciqfunctions.udf.CIQ(A498, "IQ_TOTAL_DEBT_REPAID",IQ_LTM))</f>
        <v>0</v>
      </c>
      <c r="O508" s="21">
        <f t="shared" si="133"/>
        <v>0</v>
      </c>
      <c r="P508" s="21">
        <f t="shared" si="134"/>
        <v>0.81832306303844005</v>
      </c>
      <c r="Q508" s="25" t="s">
        <v>45</v>
      </c>
      <c r="S508" s="45"/>
      <c r="U508" s="25"/>
      <c r="W508" s="45"/>
      <c r="Y508" s="25"/>
      <c r="AA508" s="45"/>
    </row>
    <row r="509" spans="1:27">
      <c r="B509" s="24"/>
      <c r="C509" s="25" t="s">
        <v>37</v>
      </c>
      <c r="E509" s="26">
        <f>((D508/D503)^(1/5))-1</f>
        <v>0.16271005794432347</v>
      </c>
      <c r="F509" s="27">
        <f>((F508/F503)^(1/5))-1</f>
        <v>-0.18035523115072294</v>
      </c>
      <c r="G509" s="28"/>
      <c r="H509" s="27" t="e">
        <f>((H508/H503)^(1/5))-1</f>
        <v>#DIV/0!</v>
      </c>
      <c r="I509" s="27">
        <f>((I508/I503)^(1/5))-1</f>
        <v>9.951787225204578E-2</v>
      </c>
      <c r="J509" s="27"/>
      <c r="K509" s="27"/>
      <c r="L509" s="26">
        <f>((L508/L503)^(1/5))-1</f>
        <v>-2.4485252029774145</v>
      </c>
      <c r="M509" s="26"/>
      <c r="N509" s="26"/>
      <c r="O509" s="26"/>
      <c r="P509" s="26">
        <f>((P508/P503)^(1/5))-1</f>
        <v>-2.3707372460519887</v>
      </c>
      <c r="Q509" s="18"/>
      <c r="R509" s="36"/>
      <c r="S509" s="45"/>
      <c r="U509" s="18"/>
      <c r="V509" s="36"/>
      <c r="W509" s="45"/>
      <c r="Y509" s="18"/>
      <c r="Z509" s="36"/>
      <c r="AA509" s="45"/>
    </row>
    <row r="510" spans="1:27">
      <c r="A510" s="29"/>
      <c r="B510" s="30"/>
      <c r="C510" s="31" t="s">
        <v>38</v>
      </c>
      <c r="D510" s="29"/>
      <c r="E510" s="32">
        <f>((D508/D498)^(1/10))-1</f>
        <v>6.4906211964003369E-2</v>
      </c>
      <c r="F510" s="33" t="e">
        <f>((F508/F498)^(1/10))-1</f>
        <v>#NUM!</v>
      </c>
      <c r="G510" s="34"/>
      <c r="H510" s="33" t="e">
        <f>((H508/H498)^(1/10))-1</f>
        <v>#DIV/0!</v>
      </c>
      <c r="I510" s="33">
        <f>((I508/I498)^(1/10))-1</f>
        <v>8.325346297822489E-2</v>
      </c>
      <c r="J510" s="33"/>
      <c r="K510" s="33"/>
      <c r="L510" s="32" t="e">
        <f>((L508/L498)^(1/10))-1</f>
        <v>#NUM!</v>
      </c>
      <c r="M510" s="32"/>
      <c r="N510" s="32"/>
      <c r="O510" s="32"/>
      <c r="P510" s="32" t="e">
        <f>((P508/P498)^(1/10))-1</f>
        <v>#NUM!</v>
      </c>
      <c r="Q510" s="40"/>
      <c r="R510" s="41"/>
      <c r="S510" s="46"/>
      <c r="U510" s="40"/>
      <c r="V510" s="41"/>
      <c r="W510" s="46"/>
      <c r="Y510" s="40"/>
      <c r="Z510" s="41"/>
      <c r="AA510" s="46"/>
    </row>
    <row r="511" spans="1:27">
      <c r="B511" s="24"/>
      <c r="C511" s="25"/>
      <c r="E511" s="26"/>
      <c r="F511" s="27"/>
      <c r="G511" s="28"/>
      <c r="H511" s="27"/>
      <c r="I511" s="27"/>
      <c r="J511" s="27"/>
      <c r="K511" s="27"/>
      <c r="L511" s="26"/>
      <c r="M511" s="17"/>
      <c r="N511" s="17"/>
      <c r="O511" s="17"/>
      <c r="P511" s="35"/>
      <c r="Q511" s="18"/>
      <c r="R511" s="36"/>
    </row>
    <row r="512" spans="1:27">
      <c r="A512" s="9" t="s">
        <v>0</v>
      </c>
      <c r="B512" s="10"/>
      <c r="C512" s="9" t="s">
        <v>1</v>
      </c>
      <c r="D512" s="9" t="s">
        <v>2</v>
      </c>
      <c r="E512" s="9" t="s">
        <v>3</v>
      </c>
      <c r="F512" s="11" t="s">
        <v>4</v>
      </c>
      <c r="G512" s="11" t="s">
        <v>5</v>
      </c>
      <c r="H512" s="9" t="s">
        <v>6</v>
      </c>
      <c r="I512" s="11" t="s">
        <v>7</v>
      </c>
      <c r="J512" s="11" t="s">
        <v>8</v>
      </c>
      <c r="K512" s="11" t="s">
        <v>9</v>
      </c>
      <c r="L512" s="11" t="s">
        <v>10</v>
      </c>
      <c r="M512" s="11" t="s">
        <v>11</v>
      </c>
      <c r="N512" s="11" t="s">
        <v>12</v>
      </c>
      <c r="O512" s="11" t="s">
        <v>13</v>
      </c>
      <c r="P512" s="11" t="s">
        <v>14</v>
      </c>
      <c r="Q512" s="37" t="s">
        <v>15</v>
      </c>
      <c r="R512" s="42">
        <f>_xll.ciqfunctions.udf.CIQ(A513,("IQ_LASTSALEPRICE"))</f>
        <v>77.915000000000006</v>
      </c>
      <c r="S512" s="44"/>
      <c r="U512" s="37" t="s">
        <v>15</v>
      </c>
      <c r="V512" s="42">
        <f>_xll.ciqfunctions.udf.CIQ(A513,("IQ_LASTSALEPRICE"))</f>
        <v>77.915000000000006</v>
      </c>
      <c r="W512" s="44"/>
      <c r="Y512" s="37" t="s">
        <v>15</v>
      </c>
      <c r="Z512" s="42">
        <f>_xll.ciqfunctions.udf.CIQ(A513,("IQ_LASTSALEPRICE"))</f>
        <v>77.915000000000006</v>
      </c>
      <c r="AA512" s="44"/>
    </row>
    <row r="513" spans="1:27">
      <c r="A513" s="12" t="str">
        <f>Analysis!B36</f>
        <v>NasdaqGS:MU</v>
      </c>
      <c r="B513" s="13">
        <v>1</v>
      </c>
      <c r="C513" s="14" t="s">
        <v>16</v>
      </c>
      <c r="D513" s="15">
        <f>IF(A521=A522,_xll.ciqfunctions.udf.CIQ(A513,"IQ_TOTAL_REV",IQ_FY-10)/I513,_xll.ciqfunctions.udf.CIQ(A513, "IQ_TOTAL_REV",IQ_FY-9)/I513)</f>
        <v>8.6257099300098687</v>
      </c>
      <c r="E513" s="16"/>
      <c r="F513" s="15">
        <f>IF(A521=A522,_xll.ciqfunctions.udf.CIQ(A513,"IQ_DILUT_EPS_EXCL",IQ_FY-10), _xll.ciqfunctions.udf.CIQ(A513, "IQ_DILUT_EPS_EXCL",IQ_FY-9))</f>
        <v>1.1299999999999999</v>
      </c>
      <c r="G513" s="15">
        <f>IF(A521=A522,_xll.ciqfunctions.udf.CIQ(A513,"IQ_EBITDA_MARGIN",IQ_FY-10), _xll.ciqfunctions.udf.CIQ(A513, "IQ_EBITDA_MARGIN",IQ_FY-9))</f>
        <v>24.8429</v>
      </c>
      <c r="H513" s="15">
        <f>IF(A521=A522,_xll.ciqfunctions.udf.CIQ(A513,"IQ_TOTAL_DIV_PAID_CF",IQ_FY-10)/-I513, _xll.ciqfunctions.udf.CIQ(A513, "IQ_TOTAL_DIV_PAID_CF",IQ_FY-9)/-I513)</f>
        <v>0</v>
      </c>
      <c r="I513" s="17">
        <f>IF(A521=A522,_xll.ciqfunctions.udf.CIQ(A513,"IQ_TOTAL_OUTSTANDING_FILING_DATE",IQ_FY-10), _xll.ciqfunctions.udf.CIQ(A513, "IQ_TOTAL_OUTSTANDING_FILING_DATE",IQ_FY-9))</f>
        <v>1051.85545</v>
      </c>
      <c r="J513" s="17">
        <f>IF(A521=A522,_xll.ciqfunctions.udf.CIQ(A513,"IQ_CASH_OPER",IQ_FY-10), _xll.ciqfunctions.udf.CIQ(A513, "IQ_CASH_OPER",IQ_FY-9))</f>
        <v>1811</v>
      </c>
      <c r="K513" s="17">
        <f>IF(A521=A522,_xll.ciqfunctions.udf.CIQ(A513,"IQ_CAPEX",IQ_FY-10), _xll.ciqfunctions.udf.CIQ(A513, "IQ_CAPEX",IQ_FY-9))</f>
        <v>-1442</v>
      </c>
      <c r="L513" s="15">
        <f t="shared" ref="L513:L523" si="136">(J513+K513)/I513</f>
        <v>0.3508086591175622</v>
      </c>
      <c r="M513" s="17">
        <f>IF(A521=A522,_xll.ciqfunctions.udf.CIQ(A513,"IQ_TOTAL_DEBT_ISSUED",IQ_FY-10), _xll.ciqfunctions.udf.CIQ(A513, "IQ_TOTAL_DEBT_ISSUED",IQ_FY-9))</f>
        <v>1247</v>
      </c>
      <c r="N513" s="17">
        <f>IF(A521=A522,_xll.ciqfunctions.udf.CIQ(A513,"IQ_TOTAL_DEBT_REPAID",IQ_FY-10), _xll.ciqfunctions.udf.CIQ(A513, "IQ_TOTAL_DEBT_REPAID",IQ_FY-9))</f>
        <v>-743</v>
      </c>
      <c r="O513" s="15">
        <f t="shared" ref="O513:O523" si="137">(M513+N513)/I513</f>
        <v>0.4791532905020362</v>
      </c>
      <c r="P513" s="15">
        <f t="shared" ref="P513:P523" si="138">L513+O513</f>
        <v>0.82996194961959846</v>
      </c>
      <c r="W513" s="43"/>
      <c r="AA513" s="43"/>
    </row>
    <row r="514" spans="1:27">
      <c r="A514" s="18" t="str">
        <f>_xll.ciqfunctions.udf.CIQ(A513,"IQ_COMPANY_NAME")</f>
        <v>Micron Technology, Inc.</v>
      </c>
      <c r="B514" s="13">
        <v>2</v>
      </c>
      <c r="C514" s="14" t="s">
        <v>17</v>
      </c>
      <c r="D514" s="15">
        <f>IF(A521=A522,_xll.ciqfunctions.udf.CIQ(A513,"IQ_TOTAL_REV",IQ_FY-9)/I514, _xll.ciqfunctions.udf.CIQ(A513, "IQ_TOTAL_REV",IQ_FY-8)/I514)</f>
        <v>15.23864246966245</v>
      </c>
      <c r="E514" s="16">
        <f t="shared" ref="E514:E523" si="139">(D514-D513)/D513</f>
        <v>0.76665371236811519</v>
      </c>
      <c r="F514" s="15">
        <f>IF(A521=A522,_xll.ciqfunctions.udf.CIQ(A513,"IQ_DILUT_EPS_EXCL",IQ_FY-9), _xll.ciqfunctions.udf.CIQ(A513, "IQ_DILUT_EPS_EXCL",IQ_FY-8))</f>
        <v>2.5400700000000001</v>
      </c>
      <c r="G514" s="15">
        <f>IF(A521=A522,_xll.ciqfunctions.udf.CIQ(A513,"IQ_EBITDA_MARGIN",IQ_FY-9), _xll.ciqfunctions.udf.CIQ(A513, "IQ_EBITDA_MARGIN",IQ_FY-8))</f>
        <v>33.457599999999999</v>
      </c>
      <c r="H514" s="15">
        <f>IF(A521=A522,_xll.ciqfunctions.udf.CIQ(A513,"IQ_TOTAL_DIV_PAID_CF",IQ_FY-9)/-I514, _xll.ciqfunctions.udf.CIQ(A513, "IQ_TOTAL_DIV_PAID_CF",IQ_FY-8)/-I514)</f>
        <v>0</v>
      </c>
      <c r="I514" s="17">
        <f>IF(A521=A522,_xll.ciqfunctions.udf.CIQ(A513,"IQ_TOTAL_OUTSTANDING_FILING_DATE",IQ_FY-9), _xll.ciqfunctions.udf.CIQ(A513, "IQ_TOTAL_OUTSTANDING_FILING_DATE",IQ_FY-8))</f>
        <v>1073.4552000000001</v>
      </c>
      <c r="J514" s="17">
        <f>IF(A521=A522,_xll.ciqfunctions.udf.CIQ(A513,"IQ_CASH_OPER",IQ_FY-9), _xll.ciqfunctions.udf.CIQ(A513, "IQ_CASH_OPER",IQ_FY-8))</f>
        <v>5699</v>
      </c>
      <c r="K514" s="17">
        <f>IF(A521=A522,_xll.ciqfunctions.udf.CIQ(A513,"IQ_CAPEX",IQ_FY-9), _xll.ciqfunctions.udf.CIQ(A513, "IQ_CAPEX",IQ_FY-8))</f>
        <v>-3107</v>
      </c>
      <c r="L514" s="15">
        <f t="shared" si="136"/>
        <v>2.414632674004467</v>
      </c>
      <c r="M514" s="17">
        <f>IF(A521=A522,_xll.ciqfunctions.udf.CIQ(A513,"IQ_TOTAL_DEBT_ISSUED",IQ_FY-9), _xll.ciqfunctions.udf.CIQ(A513, "IQ_TOTAL_DEBT_ISSUED",IQ_FY-8))</f>
        <v>2226</v>
      </c>
      <c r="N514" s="17">
        <f>IF(A521=A522,_xll.ciqfunctions.udf.CIQ(A513,"IQ_TOTAL_DEBT_REPAID",IQ_FY-9), _xll.ciqfunctions.udf.CIQ(A513, "IQ_TOTAL_DEBT_REPAID",IQ_FY-8))</f>
        <v>-3843</v>
      </c>
      <c r="O514" s="15">
        <f t="shared" si="137"/>
        <v>-1.5063507075097311</v>
      </c>
      <c r="P514" s="15">
        <f t="shared" si="138"/>
        <v>0.90828196649473592</v>
      </c>
      <c r="Q514" s="25" t="s">
        <v>18</v>
      </c>
      <c r="R514" s="39" t="s">
        <v>19</v>
      </c>
      <c r="S514" s="1">
        <f>R512/((AVERAGE(P518:P523))*(1+E524)^3)</f>
        <v>86.81386479602196</v>
      </c>
      <c r="U514" s="25" t="s">
        <v>48</v>
      </c>
      <c r="V514" s="39" t="s">
        <v>19</v>
      </c>
      <c r="W514" s="1">
        <f>V512/((AVERAGE(P518:P523))*(1+E524)^3)</f>
        <v>86.81386479602196</v>
      </c>
      <c r="Y514" s="25" t="s">
        <v>39</v>
      </c>
      <c r="Z514" s="39" t="s">
        <v>19</v>
      </c>
      <c r="AA514" s="1">
        <f>Z512/((AVERAGE(P518:P523))*(1+E524)^3)</f>
        <v>86.81386479602196</v>
      </c>
    </row>
    <row r="515" spans="1:27">
      <c r="B515" s="13">
        <v>3</v>
      </c>
      <c r="C515" s="14" t="s">
        <v>20</v>
      </c>
      <c r="D515" s="15" cm="1">
        <f t="array" ref="D515">_xlfn.SINGLE(IF(A521=A522,_xll.ciqfunctions.udf.CIQ(A513,"IQ_TOTAL_REV",IQ_FY-8)/I515, _xll.ciqfunctions.udf.CIQ(A513, "IQ_TOTAL_REV",IQ_FY-7)/I515))</f>
        <v>15.584215591915303</v>
      </c>
      <c r="E515" s="16">
        <f t="shared" si="139"/>
        <v>2.2677421754649766E-2</v>
      </c>
      <c r="F515" s="15">
        <f>IF(A521=A522,_xll.ciqfunctions.udf.CIQ(A513,"IQ_DILUT_EPS_EXCL",IQ_FY-8), _xll.ciqfunctions.udf.CIQ(A513, "IQ_DILUT_EPS_EXCL",IQ_FY-7))</f>
        <v>2.4752100000000001</v>
      </c>
      <c r="G515" s="15">
        <f>IF(A521=A522,_xll.ciqfunctions.udf.CIQ(A513,"IQ_EBITDA_MARGIN",IQ_FY-8), _xll.ciqfunctions.udf.CIQ(A513, "IQ_EBITDA_MARGIN",IQ_FY-7))</f>
        <v>34.899900000000002</v>
      </c>
      <c r="H515" s="15">
        <f>IF(A521=A522,_xll.ciqfunctions.udf.CIQ(A513,"IQ_TOTAL_DIV_PAID_CF",IQ_FY-8)/-I515, _xll.ciqfunctions.udf.CIQ(A513, "IQ_TOTAL_DIV_PAID_CF",IQ_FY-7)/-I515)</f>
        <v>0</v>
      </c>
      <c r="I515" s="17">
        <f>IF(A521=A522,_xll.ciqfunctions.udf.CIQ(A513,"IQ_TOTAL_OUTSTANDING_FILING_DATE",IQ_FY-8), _xll.ciqfunctions.udf.CIQ(A513, "IQ_TOTAL_OUTSTANDING_FILING_DATE",IQ_FY-7))</f>
        <v>1039</v>
      </c>
      <c r="J515" s="17">
        <f>IF(A521=A522,_xll.ciqfunctions.udf.CIQ(A513,"IQ_CASH_OPER",IQ_FY-8), _xll.ciqfunctions.udf.CIQ(A513, "IQ_CASH_OPER",IQ_FY-7))</f>
        <v>5208</v>
      </c>
      <c r="K515" s="17">
        <f>IF(A521=A522,_xll.ciqfunctions.udf.CIQ(A513,"IQ_CAPEX",IQ_FY-8), _xll.ciqfunctions.udf.CIQ(A513, "IQ_CAPEX",IQ_FY-7))</f>
        <v>-4021</v>
      </c>
      <c r="L515" s="15">
        <f t="shared" si="136"/>
        <v>1.1424446583253127</v>
      </c>
      <c r="M515" s="17">
        <f>IF(A521=A522,_xll.ciqfunctions.udf.CIQ(A513,"IQ_TOTAL_DEBT_ISSUED",IQ_FY-8), _xll.ciqfunctions.udf.CIQ(A513, "IQ_TOTAL_DEBT_ISSUED",IQ_FY-7))</f>
        <v>2503</v>
      </c>
      <c r="N515" s="17">
        <f>IF(A521=A522,_xll.ciqfunctions.udf.CIQ(A513,"IQ_TOTAL_DEBT_REPAID",IQ_FY-8), _xll.ciqfunctions.udf.CIQ(A513, "IQ_TOTAL_DEBT_REPAID",IQ_FY-7))</f>
        <v>-2329</v>
      </c>
      <c r="O515" s="15">
        <f t="shared" si="137"/>
        <v>0.16746871992300288</v>
      </c>
      <c r="P515" s="15">
        <f t="shared" si="138"/>
        <v>1.3099133782483157</v>
      </c>
      <c r="Q515" s="25" t="s">
        <v>21</v>
      </c>
      <c r="R515" s="38" t="s">
        <v>49</v>
      </c>
      <c r="S515" s="2">
        <f>(R512*I523)/1000</f>
        <v>85.553355730050015</v>
      </c>
      <c r="U515" s="25" t="s">
        <v>59</v>
      </c>
      <c r="V515" s="38" t="s">
        <v>49</v>
      </c>
      <c r="W515" s="2">
        <f>(V512*I523)/1000</f>
        <v>85.553355730050015</v>
      </c>
      <c r="Y515" s="25" t="s">
        <v>46</v>
      </c>
      <c r="Z515" s="38" t="s">
        <v>49</v>
      </c>
      <c r="AA515" s="2">
        <f>(Z512*I523)/1000</f>
        <v>85.553355730050015</v>
      </c>
    </row>
    <row r="516" spans="1:27">
      <c r="A516" s="18"/>
      <c r="B516" s="13">
        <v>4</v>
      </c>
      <c r="C516" s="14" t="s">
        <v>22</v>
      </c>
      <c r="D516" s="15" cm="1">
        <f t="array" ref="D516">_xlfn.SINGLE(IF(A521=A522,_xll.ciqfunctions.udf.CIQ(A513,"IQ_TOTAL_REV",IQ_FY-7)/I516, _xll.ciqfunctions.udf.CIQ(A513, "IQ_TOTAL_REV",IQ_FY-6)/I516))</f>
        <v>11.904521189097197</v>
      </c>
      <c r="E516" s="16">
        <f t="shared" si="139"/>
        <v>-0.23611675423221418</v>
      </c>
      <c r="F516" s="15">
        <f>IF(A521=A522,_xll.ciqfunctions.udf.CIQ(A513,"IQ_DILUT_EPS_EXCL",IQ_FY-7), _xll.ciqfunctions.udf.CIQ(A513, "IQ_DILUT_EPS_EXCL",IQ_FY-6))</f>
        <v>-0.27</v>
      </c>
      <c r="G516" s="15">
        <f>IF(A521=A522,_xll.ciqfunctions.udf.CIQ(A513,"IQ_EBITDA_MARGIN",IQ_FY-7), _xll.ciqfunctions.udf.CIQ(A513, "IQ_EBITDA_MARGIN",IQ_FY-6))</f>
        <v>25.921399999999998</v>
      </c>
      <c r="H516" s="15">
        <f>IF(A521=A522,_xll.ciqfunctions.udf.CIQ(A513,"IQ_TOTAL_DIV_PAID_CF",IQ_FY-7)/-I516, _xll.ciqfunctions.udf.CIQ(A513, "IQ_TOTAL_DIV_PAID_CF",IQ_FY-6)/-I516)</f>
        <v>0</v>
      </c>
      <c r="I516" s="17">
        <f>IF(A521=A522,_xll.ciqfunctions.udf.CIQ(A513,"IQ_TOTAL_OUTSTANDING_FILING_DATE",IQ_FY-7), _xll.ciqfunctions.udf.CIQ(A513, "IQ_TOTAL_OUTSTANDING_FILING_DATE",IQ_FY-6))</f>
        <v>1041.5370600000001</v>
      </c>
      <c r="J516" s="17">
        <f>IF(A521=A522,_xll.ciqfunctions.udf.CIQ(A513,"IQ_CASH_OPER",IQ_FY-7), _xll.ciqfunctions.udf.CIQ(A513, "IQ_CASH_OPER",IQ_FY-6))</f>
        <v>3168</v>
      </c>
      <c r="K516" s="17">
        <f>IF(A521=A522,_xll.ciqfunctions.udf.CIQ(A513,"IQ_CAPEX",IQ_FY-7), _xll.ciqfunctions.udf.CIQ(A513, "IQ_CAPEX",IQ_FY-6))</f>
        <v>-5817</v>
      </c>
      <c r="L516" s="15">
        <f t="shared" si="136"/>
        <v>-2.5433564505136279</v>
      </c>
      <c r="M516" s="17">
        <f>IF(A521=A522,_xll.ciqfunctions.udf.CIQ(A513,"IQ_TOTAL_DEBT_ISSUED",IQ_FY-7), _xll.ciqfunctions.udf.CIQ(A513, "IQ_TOTAL_DEBT_ISSUED",IQ_FY-6))</f>
        <v>2964</v>
      </c>
      <c r="N516" s="17">
        <f>IF(A521=A522,_xll.ciqfunctions.udf.CIQ(A513,"IQ_TOTAL_DEBT_REPAID",IQ_FY-7), _xll.ciqfunctions.udf.CIQ(A513, "IQ_TOTAL_DEBT_REPAID",IQ_FY-6))</f>
        <v>-870</v>
      </c>
      <c r="O516" s="15">
        <f t="shared" si="137"/>
        <v>2.0104901500096402</v>
      </c>
      <c r="P516" s="15">
        <f t="shared" si="138"/>
        <v>-0.53286630050398776</v>
      </c>
      <c r="Q516" s="25" t="s">
        <v>23</v>
      </c>
      <c r="R516" s="38" t="s">
        <v>24</v>
      </c>
      <c r="S516" s="1" t="e">
        <f>R512/(AVERAGE(H518:H523)*(1+H524)/(0.5-H524))</f>
        <v>#DIV/0!</v>
      </c>
      <c r="U516" s="25" t="s">
        <v>40</v>
      </c>
      <c r="V516" s="38" t="s">
        <v>24</v>
      </c>
      <c r="W516" s="1" t="e">
        <f>V512/(AVERAGE(H518:H523)*(1+H524)/(0.5-H524))</f>
        <v>#DIV/0!</v>
      </c>
      <c r="Y516" s="25" t="s">
        <v>47</v>
      </c>
      <c r="Z516" s="38" t="s">
        <v>24</v>
      </c>
      <c r="AA516" s="1" t="e">
        <f>Z512/(AVERAGE(H518:H523)*(1+H524)/(0.5-H524))</f>
        <v>#DIV/0!</v>
      </c>
    </row>
    <row r="517" spans="1:27">
      <c r="B517" s="13">
        <v>5</v>
      </c>
      <c r="C517" s="14" t="s">
        <v>25</v>
      </c>
      <c r="D517" s="15" cm="1">
        <f t="array" ref="D517">_xlfn.SINGLE(IF(A521=A522,_xll.ciqfunctions.udf.CIQ(A513,"IQ_TOTAL_REV",IQ_FY-6)/I517, _xll.ciqfunctions.udf.CIQ(A513, "IQ_TOTAL_REV",IQ_FY-5)/I517))</f>
        <v>17.621424683427836</v>
      </c>
      <c r="E517" s="16">
        <f t="shared" si="139"/>
        <v>0.48022960382199054</v>
      </c>
      <c r="F517" s="15">
        <f>IF(A521=A522,_xll.ciqfunctions.udf.CIQ(A513,"IQ_DILUT_EPS_EXCL",IQ_FY-6), _xll.ciqfunctions.udf.CIQ(A513, "IQ_DILUT_EPS_EXCL",IQ_FY-5))</f>
        <v>4.41</v>
      </c>
      <c r="G517" s="15">
        <f>IF(A521=A522,_xll.ciqfunctions.udf.CIQ(A513,"IQ_EBITDA_MARGIN",IQ_FY-6), _xll.ciqfunctions.udf.CIQ(A513, "IQ_EBITDA_MARGIN",IQ_FY-5))</f>
        <v>47.918500000000002</v>
      </c>
      <c r="H517" s="15">
        <f>IF(A521=A522,_xll.ciqfunctions.udf.CIQ(A513,"IQ_TOTAL_DIV_PAID_CF",IQ_FY-6)/-I517, _xll.ciqfunctions.udf.CIQ(A513, "IQ_TOTAL_DIV_PAID_CF",IQ_FY-5)/-I517)</f>
        <v>0</v>
      </c>
      <c r="I517" s="17">
        <f>IF(A521=A522,_xll.ciqfunctions.udf.CIQ(A513,"IQ_TOTAL_OUTSTANDING_FILING_DATE",IQ_FY-6), _xll.ciqfunctions.udf.CIQ(A513, "IQ_TOTAL_OUTSTANDING_FILING_DATE",IQ_FY-5))</f>
        <v>1153.25522</v>
      </c>
      <c r="J517" s="17">
        <f>IF(A521=A522,_xll.ciqfunctions.udf.CIQ(A513,"IQ_CASH_OPER",IQ_FY-6), _xll.ciqfunctions.udf.CIQ(A513, "IQ_CASH_OPER",IQ_FY-5))</f>
        <v>8153</v>
      </c>
      <c r="K517" s="17">
        <f>IF(A521=A522,_xll.ciqfunctions.udf.CIQ(A513,"IQ_CAPEX",IQ_FY-6), _xll.ciqfunctions.udf.CIQ(A513, "IQ_CAPEX",IQ_FY-5))</f>
        <v>-4734</v>
      </c>
      <c r="L517" s="15">
        <f t="shared" si="136"/>
        <v>2.964651657939168</v>
      </c>
      <c r="M517" s="17">
        <f>IF(A521=A522,_xll.ciqfunctions.udf.CIQ(A513,"IQ_TOTAL_DEBT_ISSUED",IQ_FY-6), _xll.ciqfunctions.udf.CIQ(A513, "IQ_TOTAL_DEBT_ISSUED",IQ_FY-5))</f>
        <v>3311</v>
      </c>
      <c r="N517" s="17">
        <f>IF(A521=A522,_xll.ciqfunctions.udf.CIQ(A513,"IQ_TOTAL_DEBT_REPAID",IQ_FY-6), _xll.ciqfunctions.udf.CIQ(A513, "IQ_TOTAL_DEBT_REPAID",IQ_FY-5))</f>
        <v>-2558</v>
      </c>
      <c r="O517" s="15">
        <f t="shared" si="137"/>
        <v>0.65293439556250177</v>
      </c>
      <c r="P517" s="15">
        <f t="shared" si="138"/>
        <v>3.61758605350167</v>
      </c>
      <c r="Q517" s="18"/>
      <c r="R517" s="38" t="s">
        <v>50</v>
      </c>
      <c r="S517" s="3">
        <f>I524</f>
        <v>-6.4699087708972591E-3</v>
      </c>
      <c r="U517" s="18"/>
      <c r="V517" s="38" t="s">
        <v>50</v>
      </c>
      <c r="W517" s="3">
        <f>I524</f>
        <v>-6.4699087708972591E-3</v>
      </c>
      <c r="Y517" s="18"/>
      <c r="Z517" s="38" t="s">
        <v>50</v>
      </c>
      <c r="AA517" s="3">
        <f>I524</f>
        <v>-6.4699087708972591E-3</v>
      </c>
    </row>
    <row r="518" spans="1:27">
      <c r="B518" s="13">
        <v>6</v>
      </c>
      <c r="C518" s="14" t="s">
        <v>26</v>
      </c>
      <c r="D518" s="15" cm="1">
        <f t="array" ref="D518">_xlfn.SINGLE(IF(A521=A522,_xll.ciqfunctions.udf.CIQ(A513,"IQ_TOTAL_REV",IQ_FY-5)/I518, _xll.ciqfunctions.udf.CIQ(A513, "IQ_TOTAL_REV",IQ_FY-4)/I518))</f>
        <v>26.79378959613134</v>
      </c>
      <c r="E518" s="16">
        <f t="shared" si="139"/>
        <v>0.52052345809074696</v>
      </c>
      <c r="F518" s="15">
        <f>IF(A521=A522,_xll.ciqfunctions.udf.CIQ(A513,"IQ_DILUT_EPS_EXCL",IQ_FY-5), _xll.ciqfunctions.udf.CIQ(A513, "IQ_DILUT_EPS_EXCL",IQ_FY-4))</f>
        <v>11.51</v>
      </c>
      <c r="G518" s="15">
        <f>IF(A521=A522,_xll.ciqfunctions.udf.CIQ(A513,"IQ_EBITDA_MARGIN",IQ_FY-5), _xll.ciqfunctions.udf.CIQ(A513, "IQ_EBITDA_MARGIN",IQ_FY-4))</f>
        <v>64.772400000000005</v>
      </c>
      <c r="H518" s="15">
        <f>IF(A521=A522,_xll.ciqfunctions.udf.CIQ(A513,"IQ_TOTAL_DIV_PAID_CF",IQ_FY-5)/-I518, _xll.ciqfunctions.udf.CIQ(A513, "IQ_TOTAL_DIV_PAID_CF",IQ_FY-4)/-I518)</f>
        <v>0</v>
      </c>
      <c r="I518" s="17">
        <f>IF(A521=A522,_xll.ciqfunctions.udf.CIQ(A513,"IQ_TOTAL_OUTSTANDING_FILING_DATE",IQ_FY-5), _xll.ciqfunctions.udf.CIQ(A513, "IQ_TOTAL_OUTSTANDING_FILING_DATE",IQ_FY-4))</f>
        <v>1134.2553800000001</v>
      </c>
      <c r="J518" s="17">
        <f>IF(A521=A522,_xll.ciqfunctions.udf.CIQ(A513,"IQ_CASH_OPER",IQ_FY-5), _xll.ciqfunctions.udf.CIQ(A513, "IQ_CASH_OPER",IQ_FY-4))</f>
        <v>17400</v>
      </c>
      <c r="K518" s="17">
        <f>IF(A521=A522,_xll.ciqfunctions.udf.CIQ(A513,"IQ_CAPEX",IQ_FY-5), _xll.ciqfunctions.udf.CIQ(A513, "IQ_CAPEX",IQ_FY-4))</f>
        <v>-8879</v>
      </c>
      <c r="L518" s="15">
        <f t="shared" si="136"/>
        <v>7.5124175298159042</v>
      </c>
      <c r="M518" s="17">
        <f>IF(A521=A522,_xll.ciqfunctions.udf.CIQ(A513,"IQ_TOTAL_DEBT_ISSUED",IQ_FY-5), _xll.ciqfunctions.udf.CIQ(A513, "IQ_TOTAL_DEBT_ISSUED",IQ_FY-4))</f>
        <v>1009</v>
      </c>
      <c r="N518" s="17">
        <f>IF(A521=A522,_xll.ciqfunctions.udf.CIQ(A513,"IQ_TOTAL_DEBT_REPAID",IQ_FY-5), _xll.ciqfunctions.udf.CIQ(A513, "IQ_TOTAL_DEBT_REPAID",IQ_FY-4))</f>
        <v>-10194</v>
      </c>
      <c r="O518" s="15">
        <f t="shared" si="137"/>
        <v>-8.0978236135851525</v>
      </c>
      <c r="P518" s="15">
        <f t="shared" si="138"/>
        <v>-0.5854060837692483</v>
      </c>
      <c r="Q518" s="25" t="s">
        <v>27</v>
      </c>
      <c r="R518" s="38" t="s">
        <v>51</v>
      </c>
      <c r="S518" s="4">
        <f>AVERAGE(F518:F523)/AVERAGE(D518:D523)</f>
        <v>0.20047890966448129</v>
      </c>
      <c r="U518" s="25" t="s">
        <v>58</v>
      </c>
      <c r="V518" s="38" t="s">
        <v>51</v>
      </c>
      <c r="W518" s="4">
        <f>AVERAGE(F518:F523)/AVERAGE(D518:D523)</f>
        <v>0.20047890966448129</v>
      </c>
      <c r="Y518" s="25" t="s">
        <v>56</v>
      </c>
      <c r="Z518" s="38" t="s">
        <v>51</v>
      </c>
      <c r="AA518" s="4">
        <f>AVERAGE(F518:F523)/AVERAGE(D518:D523)</f>
        <v>0.20047890966448129</v>
      </c>
    </row>
    <row r="519" spans="1:27">
      <c r="A519" s="18"/>
      <c r="B519" s="13">
        <v>7</v>
      </c>
      <c r="C519" s="14" t="s">
        <v>28</v>
      </c>
      <c r="D519" s="15" cm="1">
        <f t="array" ref="D519">_xlfn.SINGLE(IF(A521=A522,_xll.ciqfunctions.udf.CIQ(A513,"IQ_TOTAL_REV",IQ_FY-4)/I519, _xll.ciqfunctions.udf.CIQ(A513, "IQ_TOTAL_REV",IQ_FY-3)/I519))</f>
        <v>21.142660822020801</v>
      </c>
      <c r="E519" s="16">
        <f t="shared" si="139"/>
        <v>-0.21091188888512005</v>
      </c>
      <c r="F519" s="15">
        <f>IF(A521=A522,_xll.ciqfunctions.udf.CIQ(A513,"IQ_DILUT_EPS_EXCL",IQ_FY-4), _xll.ciqfunctions.udf.CIQ(A513, "IQ_DILUT_EPS_EXCL",IQ_FY-3))</f>
        <v>5.5126900000000001</v>
      </c>
      <c r="G519" s="15">
        <f>IF(A521=A522,_xll.ciqfunctions.udf.CIQ(A513,"IQ_EBITDA_MARGIN",IQ_FY-4), _xll.ciqfunctions.udf.CIQ(A513, "IQ_EBITDA_MARGIN",IQ_FY-3))</f>
        <v>54.746600000000001</v>
      </c>
      <c r="H519" s="15">
        <f>IF(A521=A522,_xll.ciqfunctions.udf.CIQ(A513,"IQ_TOTAL_DIV_PAID_CF",IQ_FY-4)/-I519, _xll.ciqfunctions.udf.CIQ(A513, "IQ_TOTAL_DIV_PAID_CF",IQ_FY-3)/-I519)</f>
        <v>0</v>
      </c>
      <c r="I519" s="17">
        <f>IF(A521=A522,_xll.ciqfunctions.udf.CIQ(A513,"IQ_TOTAL_OUTSTANDING_FILING_DATE",IQ_FY-4), _xll.ciqfunctions.udf.CIQ(A513, "IQ_TOTAL_OUTSTANDING_FILING_DATE",IQ_FY-3))</f>
        <v>1107.0508199999999</v>
      </c>
      <c r="J519" s="17">
        <f>IF(A521=A522,_xll.ciqfunctions.udf.CIQ(A513,"IQ_CASH_OPER",IQ_FY-4), _xll.ciqfunctions.udf.CIQ(A513, "IQ_CASH_OPER",IQ_FY-3))</f>
        <v>13189</v>
      </c>
      <c r="K519" s="17">
        <f>IF(A521=A522,_xll.ciqfunctions.udf.CIQ(A513,"IQ_CAPEX",IQ_FY-4), _xll.ciqfunctions.udf.CIQ(A513, "IQ_CAPEX",IQ_FY-3))</f>
        <v>-9780</v>
      </c>
      <c r="L519" s="15">
        <f t="shared" si="136"/>
        <v>3.0793527617819749</v>
      </c>
      <c r="M519" s="17">
        <f>IF(A521=A522,_xll.ciqfunctions.udf.CIQ(A513,"IQ_TOTAL_DEBT_ISSUED",IQ_FY-4), _xll.ciqfunctions.udf.CIQ(A513, "IQ_TOTAL_DEBT_ISSUED",IQ_FY-3))</f>
        <v>3550</v>
      </c>
      <c r="N519" s="17">
        <f>IF(A521=A522,_xll.ciqfunctions.udf.CIQ(A513,"IQ_TOTAL_DEBT_REPAID",IQ_FY-4), _xll.ciqfunctions.udf.CIQ(A513, "IQ_TOTAL_DEBT_REPAID",IQ_FY-3))</f>
        <v>-3340</v>
      </c>
      <c r="O519" s="15">
        <f t="shared" si="137"/>
        <v>0.18969318861079928</v>
      </c>
      <c r="P519" s="15">
        <f t="shared" si="138"/>
        <v>3.269045950392774</v>
      </c>
      <c r="Q519" s="18"/>
      <c r="R519" s="38" t="s">
        <v>29</v>
      </c>
      <c r="S519" s="4">
        <f>(AVERAGE(P518:P523)/_xlfn.STDEV.P(P518:P523))/(IF(A521=A522,(_xlfn.SINGLE(_xll.ciqfunctions.udf.CIQ(A513,"IQ_total_assets",IQ_FY)) - _xlfn.SINGLE(_xll.ciqfunctions.udf.CIQ(A513,"iq_gw_intan", IQ_FY)))/I523, (_xlfn.SINGLE(_xll.ciqfunctions.udf.CIQ(A513, "IQ_total_assets",IQ_LTM))-_xlfn.SINGLE(_xll.ciqfunctions.udf.CIQ(A513,"iq_gw_intan",IQ_LTM)))/I523))</f>
        <v>1.5874796527114283E-2</v>
      </c>
      <c r="U519" s="18"/>
      <c r="V519" s="38" t="s">
        <v>29</v>
      </c>
      <c r="W519" s="4">
        <f>(AVERAGE(P518:P523)/_xlfn.STDEV.P(P518:P523))/(IF(A521=A522,(_xlfn.SINGLE(_xll.ciqfunctions.udf.CIQ(A513,"IQ_total_assets",IQ_FY)) - _xlfn.SINGLE(_xll.ciqfunctions.udf.CIQ(A513,"iq_gw_intan", IQ_FY)))/I523, (_xlfn.SINGLE(_xll.ciqfunctions.udf.CIQ(A513, "IQ_total_assets",IQ_LTM))-_xlfn.SINGLE(_xll.ciqfunctions.udf.CIQ(A513,"iq_gw_intan",IQ_LTM)))/I523))</f>
        <v>1.5874796527114283E-2</v>
      </c>
      <c r="Y519" s="18"/>
      <c r="Z519" s="38" t="s">
        <v>29</v>
      </c>
      <c r="AA519" s="4">
        <f>(AVERAGE(P518:P523)/_xlfn.STDEV.P(P518:P523))/(IF(A521=A522,(_xlfn.SINGLE(_xll.ciqfunctions.udf.CIQ(A513,"IQ_total_assets",IQ_FY)) - _xlfn.SINGLE(_xll.ciqfunctions.udf.CIQ(A513,"iq_gw_intan", IQ_FY)))/I523, (_xlfn.SINGLE(_xll.ciqfunctions.udf.CIQ(A513, "IQ_total_assets",IQ_LTM))-_xlfn.SINGLE(_xll.ciqfunctions.udf.CIQ(A513,"iq_gw_intan",IQ_LTM)))/I523))</f>
        <v>1.5874796527114283E-2</v>
      </c>
    </row>
    <row r="520" spans="1:27">
      <c r="A520" s="18"/>
      <c r="B520" s="13">
        <v>8</v>
      </c>
      <c r="C520" s="14" t="s">
        <v>30</v>
      </c>
      <c r="D520" s="15" cm="1">
        <f t="array" ref="D520">_xlfn.SINGLE(IF(A521=A522,_xll.ciqfunctions.udf.CIQ(A513,"IQ_TOTAL_REV",IQ_FY-3)/I520, _xll.ciqfunctions.udf.CIQ(A513, "IQ_TOTAL_REV",IQ_FY-2)/I520))</f>
        <v>19.254922963240567</v>
      </c>
      <c r="E520" s="16">
        <f t="shared" si="139"/>
        <v>-8.9285727783803392E-2</v>
      </c>
      <c r="F520" s="15">
        <f>IF(A521=A522,_xll.ciqfunctions.udf.CIQ(A513,"IQ_DILUT_EPS_EXCL",IQ_FY-3), _xll.ciqfunctions.udf.CIQ(A513, "IQ_DILUT_EPS_EXCL",IQ_FY-2))</f>
        <v>2.3722400000000001</v>
      </c>
      <c r="G520" s="15">
        <f>IF(A521=A522,_xll.ciqfunctions.udf.CIQ(A513,"IQ_EBITDA_MARGIN",IQ_FY-3), _xll.ciqfunctions.udf.CIQ(A513, "IQ_EBITDA_MARGIN",IQ_FY-2))</f>
        <v>40.634399999999999</v>
      </c>
      <c r="H520" s="15">
        <f>IF(A521=A522,_xll.ciqfunctions.udf.CIQ(A513,"IQ_TOTAL_DIV_PAID_CF",IQ_FY-3)/-I520, _xll.ciqfunctions.udf.CIQ(A513, "IQ_TOTAL_DIV_PAID_CF",IQ_FY-2)/-I520)</f>
        <v>0</v>
      </c>
      <c r="I520" s="17">
        <f>IF(A521=A522,_xll.ciqfunctions.udf.CIQ(A513,"IQ_TOTAL_OUTSTANDING_FILING_DATE",IQ_FY-3), _xll.ciqfunctions.udf.CIQ(A513, "IQ_TOTAL_OUTSTANDING_FILING_DATE",IQ_FY-2))</f>
        <v>1113.2218</v>
      </c>
      <c r="J520" s="17">
        <f>IF(A521=A522,_xll.ciqfunctions.udf.CIQ(A513,"IQ_CASH_OPER",IQ_FY-3), _xll.ciqfunctions.udf.CIQ(A513, "IQ_CASH_OPER",IQ_FY-2))</f>
        <v>8306</v>
      </c>
      <c r="K520" s="17">
        <f>IF(A521=A522,_xll.ciqfunctions.udf.CIQ(A513,"IQ_CAPEX",IQ_FY-3), _xll.ciqfunctions.udf.CIQ(A513, "IQ_CAPEX",IQ_FY-2))</f>
        <v>-8223</v>
      </c>
      <c r="L520" s="15">
        <f t="shared" si="136"/>
        <v>7.4558367434054917E-2</v>
      </c>
      <c r="M520" s="17">
        <f>IF(A521=A522,_xll.ciqfunctions.udf.CIQ(A513,"IQ_TOTAL_DEBT_ISSUED",IQ_FY-3), _xll.ciqfunctions.udf.CIQ(A513, "IQ_TOTAL_DEBT_ISSUED",IQ_FY-2))</f>
        <v>5000</v>
      </c>
      <c r="N520" s="17">
        <f>IF(A521=A522,_xll.ciqfunctions.udf.CIQ(A513,"IQ_TOTAL_DEBT_REPAID",IQ_FY-3), _xll.ciqfunctions.udf.CIQ(A513, "IQ_TOTAL_DEBT_REPAID",IQ_FY-2))</f>
        <v>-4366</v>
      </c>
      <c r="O520" s="15">
        <f t="shared" si="137"/>
        <v>0.56951813196615442</v>
      </c>
      <c r="P520" s="15">
        <f t="shared" si="138"/>
        <v>0.64407649940020928</v>
      </c>
      <c r="Q520" s="18"/>
      <c r="R520" s="39" t="s">
        <v>31</v>
      </c>
      <c r="S520" s="5">
        <f>IF(NOT(D513&gt;0),FALSE,SLOPE(G513:G523,B513:B523))</f>
        <v>0.93032909090909077</v>
      </c>
      <c r="U520" s="18"/>
      <c r="V520" s="39" t="s">
        <v>31</v>
      </c>
      <c r="W520" s="5">
        <f>IF(NOT(D513&gt;0),FALSE,SLOPE(G513:G523,B513:B523))</f>
        <v>0.93032909090909077</v>
      </c>
      <c r="Y520" s="18"/>
      <c r="Z520" s="39" t="s">
        <v>31</v>
      </c>
      <c r="AA520" s="5">
        <f>IF(NOT(L513&gt;0),FALSE,SLOPE(O513:O523,J513:J523))</f>
        <v>-4.0068446364585489E-4</v>
      </c>
    </row>
    <row r="521" spans="1:27">
      <c r="A521" s="19">
        <f>_xll.ciqfunctions.udf.CIQ(A513,"IQ_TOTAL_REV",IQ_FY)</f>
        <v>15540</v>
      </c>
      <c r="B521" s="13">
        <v>9</v>
      </c>
      <c r="C521" s="14" t="s">
        <v>32</v>
      </c>
      <c r="D521" s="15" cm="1">
        <f t="array" ref="D521">_xlfn.SINGLE(IF(A521=A522,_xll.ciqfunctions.udf.CIQ(A513,"IQ_TOTAL_REV",IQ_FY-2)/I521, _xll.ciqfunctions.udf.CIQ(A513, "IQ_TOTAL_REV",IQ_FY-1)/I521))</f>
        <v>24.767040971256339</v>
      </c>
      <c r="E521" s="16">
        <f t="shared" si="139"/>
        <v>0.28627058225779017</v>
      </c>
      <c r="F521" s="15">
        <f>IF(A521=A522,_xll.ciqfunctions.udf.CIQ(A513,"IQ_DILUT_EPS_EXCL",IQ_FY-2), _xll.ciqfunctions.udf.CIQ(A513, "IQ_DILUT_EPS_EXCL",IQ_FY-1))</f>
        <v>5.14</v>
      </c>
      <c r="G521" s="15">
        <f>IF(A521=A522,_xll.ciqfunctions.udf.CIQ(A513,"IQ_EBITDA_MARGIN",IQ_FY-2), _xll.ciqfunctions.udf.CIQ(A513, "IQ_EBITDA_MARGIN",IQ_FY-1))</f>
        <v>46.662999999999997</v>
      </c>
      <c r="H521" s="15">
        <f>IF(A521=A522,_xll.ciqfunctions.udf.CIQ(A513,"IQ_TOTAL_DIV_PAID_CF",IQ_FY-2)/-I521, _xll.ciqfunctions.udf.CIQ(A513, "IQ_TOTAL_DIV_PAID_CF",IQ_FY-1)/-I521)</f>
        <v>0</v>
      </c>
      <c r="I521" s="17">
        <f>IF(A521=A522,_xll.ciqfunctions.udf.CIQ(A513,"IQ_TOTAL_OUTSTANDING_FILING_DATE",IQ_FY-2), _xll.ciqfunctions.udf.CIQ(A513, "IQ_TOTAL_OUTSTANDING_FILING_DATE",IQ_FY-1))</f>
        <v>1118.62374</v>
      </c>
      <c r="J521" s="17">
        <f>IF(A521=A522,_xll.ciqfunctions.udf.CIQ(A513,"IQ_CASH_OPER",IQ_FY-2), _xll.ciqfunctions.udf.CIQ(A513, "IQ_CASH_OPER",IQ_FY-1))</f>
        <v>12468</v>
      </c>
      <c r="K521" s="17">
        <f>IF(A521=A522,_xll.ciqfunctions.udf.CIQ(A513,"IQ_CAPEX",IQ_FY-2), _xll.ciqfunctions.udf.CIQ(A513, "IQ_CAPEX",IQ_FY-1))</f>
        <v>-10030</v>
      </c>
      <c r="L521" s="15">
        <f t="shared" si="136"/>
        <v>2.1794638472450085</v>
      </c>
      <c r="M521" s="17">
        <f>IF(A521=A522,_xll.ciqfunctions.udf.CIQ(A513,"IQ_TOTAL_DEBT_ISSUED",IQ_FY-2), _xll.ciqfunctions.udf.CIQ(A513, "IQ_TOTAL_DEBT_ISSUED",IQ_FY-1))</f>
        <v>1188</v>
      </c>
      <c r="N521" s="17">
        <f>IF(A521=A522,_xll.ciqfunctions.udf.CIQ(A513,"IQ_TOTAL_DEBT_REPAID",IQ_FY-2), _xll.ciqfunctions.udf.CIQ(A513, "IQ_TOTAL_DEBT_REPAID",IQ_FY-1))</f>
        <v>-1520</v>
      </c>
      <c r="O521" s="15">
        <f t="shared" si="137"/>
        <v>-0.29679327206125627</v>
      </c>
      <c r="P521" s="15">
        <f t="shared" si="138"/>
        <v>1.8826705751837522</v>
      </c>
      <c r="Q521" s="25" t="s">
        <v>33</v>
      </c>
      <c r="R521" s="38" t="s">
        <v>52</v>
      </c>
      <c r="S521" s="4">
        <f>(AVERAGE(O518:O523)/AVERAGE(P518:P523))</f>
        <v>-0.28381708126233551</v>
      </c>
      <c r="U521" s="25" t="s">
        <v>54</v>
      </c>
      <c r="V521" s="38" t="s">
        <v>52</v>
      </c>
      <c r="W521" s="4">
        <f>(AVERAGE(O518:O523)/AVERAGE(P518:P523))</f>
        <v>-0.28381708126233551</v>
      </c>
      <c r="Y521" s="25" t="s">
        <v>60</v>
      </c>
      <c r="Z521" s="38" t="s">
        <v>52</v>
      </c>
      <c r="AA521" s="4">
        <f>(AVERAGE(O518:O523)/AVERAGE(P518:P523))</f>
        <v>-0.28381708126233551</v>
      </c>
    </row>
    <row r="522" spans="1:27">
      <c r="A522" s="19">
        <f>_xll.ciqfunctions.udf.CIQ(A513,"IQ_TOTAL_REV",IQ_LTM)</f>
        <v>15540</v>
      </c>
      <c r="B522" s="13">
        <v>10</v>
      </c>
      <c r="C522" s="14" t="s">
        <v>34</v>
      </c>
      <c r="D522" s="15" cm="1">
        <f t="array" ref="D522">_xlfn.SINGLE(IF(A521=A522,_xll.ciqfunctions.udf.CIQ(A513,"IQ_TOTAL_REV",IQ_FY-1)/I522, _xll.ciqfunctions.udf.CIQ(A513, "IQ_TOTAL_REV",IQ_FY)/I522))</f>
        <v>28.291840442997348</v>
      </c>
      <c r="E522" s="16">
        <f t="shared" si="139"/>
        <v>0.14231815079693022</v>
      </c>
      <c r="F522" s="15">
        <f>IF(A521=A522,_xll.ciqfunctions.udf.CIQ(A513,"IQ_DILUT_EPS_EXCL",IQ_FY-1), _xll.ciqfunctions.udf.CIQ(A513, "IQ_DILUT_EPS_EXCL",IQ_FY))</f>
        <v>7.75</v>
      </c>
      <c r="G522" s="15">
        <f>IF(A521=A522,_xll.ciqfunctions.udf.CIQ(A513,"IQ_EBITDA_MARGIN",IQ_FY-1), _xll.ciqfunctions.udf.CIQ(A513, "IQ_EBITDA_MARGIN",IQ_FY))</f>
        <v>54.424799999999998</v>
      </c>
      <c r="H522" s="15">
        <f>IF(A521=A522,_xll.ciqfunctions.udf.CIQ(A513,"IQ_TOTAL_DIV_PAID_CF",IQ_FY-1)/-I522, _xll.ciqfunctions.udf.CIQ(A513, "IQ_TOTAL_DIV_PAID_CF",IQ_FY)/-I522)</f>
        <v>0.42403727304186806</v>
      </c>
      <c r="I522" s="17">
        <f>IF(A521=A522,_xll.ciqfunctions.udf.CIQ(A513,"IQ_TOTAL_OUTSTANDING_FILING_DATE",IQ_FY-1), _xll.ciqfunctions.udf.CIQ(A513, "IQ_TOTAL_OUTSTANDING_FILING_DATE",IQ_FY))</f>
        <v>1087.16858</v>
      </c>
      <c r="J522" s="17">
        <f>IF(A521=A522,_xll.ciqfunctions.udf.CIQ(A513,"IQ_CASH_OPER",IQ_FY-1), _xll.ciqfunctions.udf.CIQ(A513, "IQ_CASH_OPER",IQ_FY))</f>
        <v>15181</v>
      </c>
      <c r="K522" s="17">
        <f>IF(A521=A522,_xll.ciqfunctions.udf.CIQ(A513,"IQ_CAPEX",IQ_FY-1), _xll.ciqfunctions.udf.CIQ(A513, "IQ_CAPEX",IQ_FY))</f>
        <v>-12067</v>
      </c>
      <c r="L522" s="15">
        <f t="shared" si="136"/>
        <v>2.8643211892676295</v>
      </c>
      <c r="M522" s="17">
        <f>IF(A521=A522,_xll.ciqfunctions.udf.CIQ(A513,"IQ_TOTAL_DEBT_ISSUED",IQ_FY-1), _xll.ciqfunctions.udf.CIQ(A513, "IQ_TOTAL_DEBT_ISSUED",IQ_FY))</f>
        <v>2000</v>
      </c>
      <c r="N522" s="17">
        <f>IF(A521=A522,_xll.ciqfunctions.udf.CIQ(A513,"IQ_TOTAL_DEBT_REPAID",IQ_FY-1), _xll.ciqfunctions.udf.CIQ(A513, "IQ_TOTAL_DEBT_REPAID",IQ_FY))</f>
        <v>-2032</v>
      </c>
      <c r="O522" s="15">
        <f t="shared" si="137"/>
        <v>-2.943425756472837E-2</v>
      </c>
      <c r="P522" s="15">
        <f t="shared" si="138"/>
        <v>2.8348869317029011</v>
      </c>
      <c r="Q522" s="25" t="s">
        <v>44</v>
      </c>
      <c r="R522" s="38" t="s">
        <v>35</v>
      </c>
      <c r="S522" s="1">
        <f>_xll.ciqfunctions.udf.CIQ(A513,"IQ_TEV_EBITDA")</f>
        <v>37.432729999999999</v>
      </c>
      <c r="U522" s="25" t="s">
        <v>55</v>
      </c>
      <c r="V522" s="38" t="s">
        <v>53</v>
      </c>
      <c r="W522" s="1">
        <f>V512/(AVERAGE(D518:D523)/_xlfn.STDEV.P(E518:E523))</f>
        <v>1.1637620723259143</v>
      </c>
      <c r="Y522" s="25" t="s">
        <v>57</v>
      </c>
      <c r="Z522" s="38" t="s">
        <v>53</v>
      </c>
      <c r="AA522" s="1">
        <f>Z512/(AVERAGE(D518:D523)/_xlfn.STDEV.P(E518:E523))</f>
        <v>1.1637620723259143</v>
      </c>
    </row>
    <row r="523" spans="1:27">
      <c r="B523" s="13">
        <v>11</v>
      </c>
      <c r="C523" s="20" t="s">
        <v>36</v>
      </c>
      <c r="D523" s="21" cm="1">
        <f t="array" ref="D523">_xlfn.SINGLE(IF(A521=A522,_xll.ciqfunctions.udf.CIQ(A513,"IQ_TOTAL_REV",IQ_FY)/I523, _xll.ciqfunctions.udf.CIQ(A513, "IQ_TOTAL_REV",IQ_LTM)/I523))</f>
        <v>14.152561166863913</v>
      </c>
      <c r="E523" s="22">
        <f t="shared" si="139"/>
        <v>-0.49976526994139459</v>
      </c>
      <c r="F523" s="21">
        <f>IF(A521=A522,_xll.ciqfunctions.udf.CIQ(A513,"IQ_DILUT_EPS_EXCL",IQ_FY), _xll.ciqfunctions.udf.CIQ(A513, "IQ_DILUT_EPS_EXCL",IQ_LTM))</f>
        <v>-5.34</v>
      </c>
      <c r="G523" s="21">
        <f>IF(A521=A522,_xll.ciqfunctions.udf.CIQ(A513,"IQ_EBITDA_MARGIN",IQ_FY), _xll.ciqfunctions.udf.CIQ(A513, "IQ_EBITDA_MARGIN",IQ_LTM))</f>
        <v>14.2277</v>
      </c>
      <c r="H523" s="21">
        <f>IF(A521=A522,_xll.ciqfunctions.udf.CIQ(A513,"IQ_TOTAL_DIV_PAID_CF",IQ_FY)/-I523, _xll.ciqfunctions.udf.CIQ(A513, "IQ_TOTAL_DIV_PAID_CF",IQ_LTM)/-I523)</f>
        <v>0.45900198379018098</v>
      </c>
      <c r="I523" s="23">
        <f>IF(A521=A522,_xll.ciqfunctions.udf.CIQ(A513,"IQ_TOTAL_OUTSTANDING_FILING_DATE",IQ_FY),_xll.ciqfunctions.udf.CIQ(A513,"IQ_sharesoutstanding"))</f>
        <v>1098.0344700000001</v>
      </c>
      <c r="J523" s="23">
        <f>IF(A521=A522,_xll.ciqfunctions.udf.CIQ(A513,"IQ_CASH_OPER",IQ_FY), _xll.ciqfunctions.udf.CIQ(A513, "IQ_CASH_OPER",IQ_LTM))</f>
        <v>1559</v>
      </c>
      <c r="K523" s="23">
        <f>IF(A521=A522,_xll.ciqfunctions.udf.CIQ(A513,"IQ_CAPEX",IQ_FY), _xll.ciqfunctions.udf.CIQ(A513, "IQ_CAPEX",IQ_LTM))</f>
        <v>-7676</v>
      </c>
      <c r="L523" s="21">
        <f t="shared" si="136"/>
        <v>-5.5708633627867803</v>
      </c>
      <c r="M523" s="23">
        <f>IF(A521=A522,_xll.ciqfunctions.udf.CIQ(A513,"IQ_TOTAL_DEBT_ISSUED",IQ_FY), _xll.ciqfunctions.udf.CIQ(A513, "IQ_TOTAL_DEBT_ISSUED",IQ_LTM))</f>
        <v>6716</v>
      </c>
      <c r="N523" s="23">
        <f>IF(A521=A522,_xll.ciqfunctions.udf.CIQ(A513,"IQ_TOTAL_DEBT_REPAID",IQ_FY), _xll.ciqfunctions.udf.CIQ(A513, "IQ_TOTAL_DEBT_REPAID",IQ_LTM))</f>
        <v>-761</v>
      </c>
      <c r="O523" s="21">
        <f t="shared" si="137"/>
        <v>5.423327010854222</v>
      </c>
      <c r="P523" s="21">
        <f t="shared" si="138"/>
        <v>-0.14753635193255832</v>
      </c>
      <c r="Q523" s="25" t="s">
        <v>45</v>
      </c>
      <c r="S523" s="45"/>
      <c r="U523" s="25"/>
      <c r="W523" s="45"/>
      <c r="Y523" s="25"/>
      <c r="AA523" s="45"/>
    </row>
    <row r="524" spans="1:27">
      <c r="B524" s="24"/>
      <c r="C524" s="25" t="s">
        <v>37</v>
      </c>
      <c r="E524" s="26">
        <f>((D523/D518)^(1/5))-1</f>
        <v>-0.1198429346242339</v>
      </c>
      <c r="F524" s="27">
        <f>((F523/F518)^(1/5))-1</f>
        <v>-1.8576166159150573</v>
      </c>
      <c r="G524" s="28"/>
      <c r="H524" s="27" t="e">
        <f>((H523/H518)^(1/5))-1</f>
        <v>#DIV/0!</v>
      </c>
      <c r="I524" s="27">
        <f>((I523/I518)^(1/5))-1</f>
        <v>-6.4699087708972591E-3</v>
      </c>
      <c r="J524" s="27"/>
      <c r="K524" s="27"/>
      <c r="L524" s="26">
        <f>((L523/L518)^(1/5))-1</f>
        <v>-1.9419515342502121</v>
      </c>
      <c r="M524" s="26"/>
      <c r="N524" s="26"/>
      <c r="O524" s="26"/>
      <c r="P524" s="26">
        <f>((P523/P518)^(1/5))-1</f>
        <v>-0.24091857915672987</v>
      </c>
      <c r="Q524" s="18"/>
      <c r="R524" s="36"/>
      <c r="S524" s="45"/>
      <c r="U524" s="18"/>
      <c r="V524" s="36"/>
      <c r="W524" s="45"/>
      <c r="Y524" s="18"/>
      <c r="Z524" s="36"/>
      <c r="AA524" s="45"/>
    </row>
    <row r="525" spans="1:27">
      <c r="A525" s="29"/>
      <c r="B525" s="30"/>
      <c r="C525" s="31" t="s">
        <v>38</v>
      </c>
      <c r="D525" s="29"/>
      <c r="E525" s="32">
        <f>((D523/D513)^(1/10))-1</f>
        <v>5.0761178948319996E-2</v>
      </c>
      <c r="F525" s="33" t="e">
        <f>((F523/F513)^(1/10))-1</f>
        <v>#NUM!</v>
      </c>
      <c r="G525" s="34"/>
      <c r="H525" s="33" t="e">
        <f>((H523/H513)^(1/10))-1</f>
        <v>#DIV/0!</v>
      </c>
      <c r="I525" s="33">
        <f>((I523/I513)^(1/10))-1</f>
        <v>4.3058472458541441E-3</v>
      </c>
      <c r="J525" s="33"/>
      <c r="K525" s="33"/>
      <c r="L525" s="32" t="e">
        <f>((L523/L513)^(1/10))-1</f>
        <v>#NUM!</v>
      </c>
      <c r="M525" s="32"/>
      <c r="N525" s="32"/>
      <c r="O525" s="32"/>
      <c r="P525" s="32" t="e">
        <f>((P523/P513)^(1/10))-1</f>
        <v>#NUM!</v>
      </c>
      <c r="Q525" s="40"/>
      <c r="R525" s="41"/>
      <c r="S525" s="46"/>
      <c r="U525" s="40"/>
      <c r="V525" s="41"/>
      <c r="W525" s="46"/>
      <c r="Y525" s="40"/>
      <c r="Z525" s="41"/>
      <c r="AA525" s="46"/>
    </row>
    <row r="526" spans="1:27">
      <c r="B526" s="24"/>
      <c r="C526" s="25"/>
      <c r="E526" s="26"/>
      <c r="F526" s="27"/>
      <c r="G526" s="28"/>
      <c r="H526" s="27"/>
      <c r="I526" s="27"/>
      <c r="J526" s="27"/>
      <c r="K526" s="27"/>
      <c r="L526" s="26"/>
      <c r="M526" s="17"/>
      <c r="N526" s="17"/>
      <c r="O526" s="17"/>
      <c r="P526" s="35"/>
      <c r="Q526" s="18"/>
      <c r="R526" s="36"/>
    </row>
    <row r="527" spans="1:27">
      <c r="A527" s="9" t="s">
        <v>0</v>
      </c>
      <c r="B527" s="10"/>
      <c r="C527" s="9" t="s">
        <v>1</v>
      </c>
      <c r="D527" s="9" t="s">
        <v>2</v>
      </c>
      <c r="E527" s="9" t="s">
        <v>3</v>
      </c>
      <c r="F527" s="11" t="s">
        <v>4</v>
      </c>
      <c r="G527" s="11" t="s">
        <v>5</v>
      </c>
      <c r="H527" s="9" t="s">
        <v>6</v>
      </c>
      <c r="I527" s="11" t="s">
        <v>7</v>
      </c>
      <c r="J527" s="11" t="s">
        <v>8</v>
      </c>
      <c r="K527" s="11" t="s">
        <v>9</v>
      </c>
      <c r="L527" s="11" t="s">
        <v>10</v>
      </c>
      <c r="M527" s="11" t="s">
        <v>11</v>
      </c>
      <c r="N527" s="11" t="s">
        <v>12</v>
      </c>
      <c r="O527" s="11" t="s">
        <v>13</v>
      </c>
      <c r="P527" s="11" t="s">
        <v>14</v>
      </c>
      <c r="Q527" s="37" t="s">
        <v>15</v>
      </c>
      <c r="R527" s="42">
        <f>_xll.ciqfunctions.udf.CIQ(A528,("IQ_LASTSALEPRICE"))</f>
        <v>155.2885</v>
      </c>
      <c r="S527" s="44"/>
      <c r="U527" s="37" t="s">
        <v>15</v>
      </c>
      <c r="V527" s="42">
        <f>_xll.ciqfunctions.udf.CIQ(A528,("IQ_LASTSALEPRICE"))</f>
        <v>155.2885</v>
      </c>
      <c r="W527" s="44"/>
      <c r="Y527" s="37" t="s">
        <v>15</v>
      </c>
      <c r="Z527" s="42">
        <f>_xll.ciqfunctions.udf.CIQ(A528,("IQ_LASTSALEPRICE"))</f>
        <v>155.2885</v>
      </c>
      <c r="AA527" s="44"/>
    </row>
    <row r="528" spans="1:27">
      <c r="A528" s="12" t="str">
        <f>Analysis!B37</f>
        <v>NasdaqGS:FSLR</v>
      </c>
      <c r="B528" s="13">
        <v>1</v>
      </c>
      <c r="C528" s="14" t="s">
        <v>16</v>
      </c>
      <c r="D528" s="15">
        <f>IF(A536=A537,_xll.ciqfunctions.udf.CIQ(A528,"IQ_TOTAL_REV",IQ_FY-10)/I528,_xll.ciqfunctions.udf.CIQ(A528, "IQ_TOTAL_REV",IQ_FY-9)/I528)</f>
        <v>33.258197262884501</v>
      </c>
      <c r="E528" s="16"/>
      <c r="F528" s="15">
        <f>IF(A536=A537,_xll.ciqfunctions.udf.CIQ(A528,"IQ_DILUT_EPS_EXCL",IQ_FY-10), _xll.ciqfunctions.udf.CIQ(A528, "IQ_DILUT_EPS_EXCL",IQ_FY-9))</f>
        <v>3.67</v>
      </c>
      <c r="G528" s="15">
        <f>IF(A536=A537,_xll.ciqfunctions.udf.CIQ(A528,"IQ_EBITDA_MARGIN",IQ_FY-10), _xll.ciqfunctions.udf.CIQ(A528, "IQ_EBITDA_MARGIN",IQ_FY-9))</f>
        <v>20.898800000000001</v>
      </c>
      <c r="H528" s="15">
        <f>IF(A536=A537,_xll.ciqfunctions.udf.CIQ(A528,"IQ_TOTAL_DIV_PAID_CF",IQ_FY-10)/-I528, _xll.ciqfunctions.udf.CIQ(A528, "IQ_TOTAL_DIV_PAID_CF",IQ_FY-9)/-I528)</f>
        <v>0</v>
      </c>
      <c r="I528" s="17">
        <f>IF(A536=A537,_xll.ciqfunctions.udf.CIQ(A528,"IQ_TOTAL_OUTSTANDING_FILING_DATE",IQ_FY-10), _xll.ciqfunctions.udf.CIQ(A528, "IQ_TOTAL_OUTSTANDING_FILING_DATE",IQ_FY-9))</f>
        <v>99.512789999999995</v>
      </c>
      <c r="J528" s="17">
        <f>IF(A536=A537,_xll.ciqfunctions.udf.CIQ(A528,"IQ_CASH_OPER",IQ_FY-10), _xll.ciqfunctions.udf.CIQ(A528, "IQ_CASH_OPER",IQ_FY-9))</f>
        <v>856.12599999999998</v>
      </c>
      <c r="K528" s="17">
        <f>IF(A536=A537,_xll.ciqfunctions.udf.CIQ(A528,"IQ_CAPEX",IQ_FY-10), _xll.ciqfunctions.udf.CIQ(A528, "IQ_CAPEX",IQ_FY-9))</f>
        <v>-282.57600000000002</v>
      </c>
      <c r="L528" s="15">
        <f t="shared" ref="L528:L538" si="140">(J528+K528)/I528</f>
        <v>5.7635807417317917</v>
      </c>
      <c r="M528" s="17">
        <f>IF(A536=A537,_xll.ciqfunctions.udf.CIQ(A528,"IQ_TOTAL_DEBT_ISSUED",IQ_FY-10), _xll.ciqfunctions.udf.CIQ(A528, "IQ_TOTAL_DEBT_ISSUED",IQ_FY-9))</f>
        <v>335</v>
      </c>
      <c r="N528" s="17">
        <f>IF(A536=A537,_xll.ciqfunctions.udf.CIQ(A528,"IQ_TOTAL_DEBT_REPAID",IQ_FY-10), _xll.ciqfunctions.udf.CIQ(A528, "IQ_TOTAL_DEBT_REPAID",IQ_FY-9))</f>
        <v>-669.95399999999995</v>
      </c>
      <c r="O528" s="15">
        <f t="shared" ref="O528:O538" si="141">(M528+N528)/I528</f>
        <v>-3.3659391923389945</v>
      </c>
      <c r="P528" s="15">
        <f t="shared" ref="P528:P538" si="142">L528+O528</f>
        <v>2.3976415493927972</v>
      </c>
      <c r="W528" s="43"/>
      <c r="AA528" s="43"/>
    </row>
    <row r="529" spans="1:27">
      <c r="A529" s="18" t="str">
        <f>_xll.ciqfunctions.udf.CIQ(A528,"IQ_COMPANY_NAME")</f>
        <v>First Solar, Inc.</v>
      </c>
      <c r="B529" s="13">
        <v>2</v>
      </c>
      <c r="C529" s="14" t="s">
        <v>17</v>
      </c>
      <c r="D529" s="15">
        <f>IF(A536=A537,_xll.ciqfunctions.udf.CIQ(A528,"IQ_TOTAL_REV",IQ_FY-9)/I529, _xll.ciqfunctions.udf.CIQ(A528, "IQ_TOTAL_REV",IQ_FY-8)/I529)</f>
        <v>33.813189587507821</v>
      </c>
      <c r="E529" s="16">
        <f t="shared" ref="E529:E538" si="143">(D529-D528)/D528</f>
        <v>1.6687384473561988E-2</v>
      </c>
      <c r="F529" s="15">
        <f>IF(A536=A537,_xll.ciqfunctions.udf.CIQ(A528,"IQ_DILUT_EPS_EXCL",IQ_FY-9), _xll.ciqfunctions.udf.CIQ(A528, "IQ_DILUT_EPS_EXCL",IQ_FY-8))</f>
        <v>3.9</v>
      </c>
      <c r="G529" s="15">
        <f>IF(A536=A537,_xll.ciqfunctions.udf.CIQ(A528,"IQ_EBITDA_MARGIN",IQ_FY-9), _xll.ciqfunctions.udf.CIQ(A528, "IQ_EBITDA_MARGIN",IQ_FY-8))</f>
        <v>19.6921</v>
      </c>
      <c r="H529" s="15">
        <f>IF(A536=A537,_xll.ciqfunctions.udf.CIQ(A528,"IQ_TOTAL_DIV_PAID_CF",IQ_FY-9)/-I529, _xll.ciqfunctions.udf.CIQ(A528, "IQ_TOTAL_DIV_PAID_CF",IQ_FY-8)/-I529)</f>
        <v>0</v>
      </c>
      <c r="I529" s="17">
        <f>IF(A536=A537,_xll.ciqfunctions.udf.CIQ(A528,"IQ_TOTAL_OUTSTANDING_FILING_DATE",IQ_FY-9), _xll.ciqfunctions.udf.CIQ(A528, "IQ_TOTAL_OUTSTANDING_FILING_DATE",IQ_FY-8))</f>
        <v>100.29183999999999</v>
      </c>
      <c r="J529" s="17">
        <f>IF(A536=A537,_xll.ciqfunctions.udf.CIQ(A528,"IQ_CASH_OPER",IQ_FY-9), _xll.ciqfunctions.udf.CIQ(A528, "IQ_CASH_OPER",IQ_FY-8))</f>
        <v>735.51599999999996</v>
      </c>
      <c r="K529" s="17">
        <f>IF(A536=A537,_xll.ciqfunctions.udf.CIQ(A528,"IQ_CAPEX",IQ_FY-9), _xll.ciqfunctions.udf.CIQ(A528, "IQ_CAPEX",IQ_FY-8))</f>
        <v>-257.54899999999998</v>
      </c>
      <c r="L529" s="15">
        <f t="shared" si="140"/>
        <v>4.7657616013426418</v>
      </c>
      <c r="M529" s="17">
        <f>IF(A536=A537,_xll.ciqfunctions.udf.CIQ(A528,"IQ_TOTAL_DEBT_ISSUED",IQ_FY-9), _xll.ciqfunctions.udf.CIQ(A528, "IQ_TOTAL_DEBT_ISSUED",IQ_FY-8))</f>
        <v>65.563000000000002</v>
      </c>
      <c r="N529" s="17">
        <f>IF(A536=A537,_xll.ciqfunctions.udf.CIQ(A528,"IQ_TOTAL_DEBT_REPAID",IQ_FY-9), _xll.ciqfunctions.udf.CIQ(A528, "IQ_TOTAL_DEBT_REPAID",IQ_FY-8))</f>
        <v>-60.063000000000002</v>
      </c>
      <c r="O529" s="15">
        <f t="shared" si="141"/>
        <v>5.4839955075108804E-2</v>
      </c>
      <c r="P529" s="15">
        <f t="shared" si="142"/>
        <v>4.8206015564177509</v>
      </c>
      <c r="Q529" s="25" t="s">
        <v>18</v>
      </c>
      <c r="R529" s="39" t="s">
        <v>19</v>
      </c>
      <c r="S529" s="1">
        <f>R527/((AVERAGE(P533:P538))*(1+E539)^3)</f>
        <v>-46.82464359252117</v>
      </c>
      <c r="U529" s="25" t="s">
        <v>48</v>
      </c>
      <c r="V529" s="39" t="s">
        <v>19</v>
      </c>
      <c r="W529" s="1">
        <f>V527/((AVERAGE(P533:P538))*(1+E539)^3)</f>
        <v>-46.82464359252117</v>
      </c>
      <c r="Y529" s="25" t="s">
        <v>39</v>
      </c>
      <c r="Z529" s="39" t="s">
        <v>19</v>
      </c>
      <c r="AA529" s="1">
        <f>Z527/((AVERAGE(P533:P538))*(1+E539)^3)</f>
        <v>-46.82464359252117</v>
      </c>
    </row>
    <row r="530" spans="1:27">
      <c r="B530" s="13">
        <v>3</v>
      </c>
      <c r="C530" s="14" t="s">
        <v>20</v>
      </c>
      <c r="D530" s="15" cm="1">
        <f t="array" ref="D530">_xlfn.SINGLE(IF(A536=A537,_xll.ciqfunctions.udf.CIQ(A528,"IQ_TOTAL_REV",IQ_FY-8)/I530, _xll.ciqfunctions.udf.CIQ(A528, "IQ_TOTAL_REV",IQ_FY-7)/I530))</f>
        <v>40.412146608053419</v>
      </c>
      <c r="E530" s="16">
        <f t="shared" si="143"/>
        <v>0.19515925888824051</v>
      </c>
      <c r="F530" s="15">
        <f>IF(A536=A537,_xll.ciqfunctions.udf.CIQ(A528,"IQ_DILUT_EPS_EXCL",IQ_FY-8), _xll.ciqfunctions.udf.CIQ(A528, "IQ_DILUT_EPS_EXCL",IQ_FY-7))</f>
        <v>5.83</v>
      </c>
      <c r="G530" s="15">
        <f>IF(A536=A537,_xll.ciqfunctions.udf.CIQ(A528,"IQ_EBITDA_MARGIN",IQ_FY-8), _xll.ciqfunctions.udf.CIQ(A528, "IQ_EBITDA_MARGIN",IQ_FY-7))</f>
        <v>24.023</v>
      </c>
      <c r="H530" s="15">
        <f>IF(A536=A537,_xll.ciqfunctions.udf.CIQ(A528,"IQ_TOTAL_DIV_PAID_CF",IQ_FY-8)/-I530, _xll.ciqfunctions.udf.CIQ(A528, "IQ_TOTAL_DIV_PAID_CF",IQ_FY-7)/-I530)</f>
        <v>0</v>
      </c>
      <c r="I530" s="17">
        <f>IF(A536=A537,_xll.ciqfunctions.udf.CIQ(A528,"IQ_TOTAL_OUTSTANDING_FILING_DATE",IQ_FY-8), _xll.ciqfunctions.udf.CIQ(A528, "IQ_TOTAL_OUTSTANDING_FILING_DATE",IQ_FY-7))</f>
        <v>101.76767</v>
      </c>
      <c r="J530" s="17">
        <f>IF(A536=A537,_xll.ciqfunctions.udf.CIQ(A528,"IQ_CASH_OPER",IQ_FY-8), _xll.ciqfunctions.udf.CIQ(A528, "IQ_CASH_OPER",IQ_FY-7))</f>
        <v>-325.209</v>
      </c>
      <c r="K530" s="17">
        <f>IF(A536=A537,_xll.ciqfunctions.udf.CIQ(A528,"IQ_CAPEX",IQ_FY-8), _xll.ciqfunctions.udf.CIQ(A528, "IQ_CAPEX",IQ_FY-7))</f>
        <v>-166.43799999999999</v>
      </c>
      <c r="L530" s="15">
        <f t="shared" si="140"/>
        <v>-4.831072579336837</v>
      </c>
      <c r="M530" s="17">
        <f>IF(A536=A537,_xll.ciqfunctions.udf.CIQ(A528,"IQ_TOTAL_DEBT_ISSUED",IQ_FY-8), _xll.ciqfunctions.udf.CIQ(A528, "IQ_TOTAL_DEBT_ISSUED",IQ_FY-7))</f>
        <v>201.94499999999999</v>
      </c>
      <c r="N530" s="17">
        <f>IF(A536=A537,_xll.ciqfunctions.udf.CIQ(A528,"IQ_TOTAL_DEBT_REPAID",IQ_FY-8), _xll.ciqfunctions.udf.CIQ(A528, "IQ_TOTAL_DEBT_REPAID",IQ_FY-7))</f>
        <v>-50.78</v>
      </c>
      <c r="O530" s="15">
        <f t="shared" si="141"/>
        <v>1.4853931508896685</v>
      </c>
      <c r="P530" s="15">
        <f t="shared" si="142"/>
        <v>-3.3456794284471685</v>
      </c>
      <c r="Q530" s="25" t="s">
        <v>21</v>
      </c>
      <c r="R530" s="38" t="s">
        <v>49</v>
      </c>
      <c r="S530" s="2">
        <f>(R527*I538)/1000</f>
        <v>16.591677104584999</v>
      </c>
      <c r="U530" s="25" t="s">
        <v>59</v>
      </c>
      <c r="V530" s="38" t="s">
        <v>49</v>
      </c>
      <c r="W530" s="2">
        <f>(V527*I538)/1000</f>
        <v>16.591677104584999</v>
      </c>
      <c r="Y530" s="25" t="s">
        <v>46</v>
      </c>
      <c r="Z530" s="38" t="s">
        <v>49</v>
      </c>
      <c r="AA530" s="2">
        <f>(Z527*I538)/1000</f>
        <v>16.591677104584999</v>
      </c>
    </row>
    <row r="531" spans="1:27">
      <c r="A531" s="18"/>
      <c r="B531" s="13">
        <v>4</v>
      </c>
      <c r="C531" s="14" t="s">
        <v>22</v>
      </c>
      <c r="D531" s="15" cm="1">
        <f t="array" ref="D531">_xlfn.SINGLE(IF(A536=A537,_xll.ciqfunctions.udf.CIQ(A528,"IQ_TOTAL_REV",IQ_FY-7)/I531, _xll.ciqfunctions.udf.CIQ(A528, "IQ_TOTAL_REV",IQ_FY-6)/I531))</f>
        <v>27.916494344881993</v>
      </c>
      <c r="E531" s="16">
        <f t="shared" si="143"/>
        <v>-0.30920535809105637</v>
      </c>
      <c r="F531" s="15">
        <f>IF(A536=A537,_xll.ciqfunctions.udf.CIQ(A528,"IQ_DILUT_EPS_EXCL",IQ_FY-7), _xll.ciqfunctions.udf.CIQ(A528, "IQ_DILUT_EPS_EXCL",IQ_FY-6))</f>
        <v>-4.05</v>
      </c>
      <c r="G531" s="15">
        <f>IF(A536=A537,_xll.ciqfunctions.udf.CIQ(A528,"IQ_EBITDA_MARGIN",IQ_FY-7), _xll.ciqfunctions.udf.CIQ(A528, "IQ_EBITDA_MARGIN",IQ_FY-6))</f>
        <v>16.580100000000002</v>
      </c>
      <c r="H531" s="15">
        <f>IF(A536=A537,_xll.ciqfunctions.udf.CIQ(A528,"IQ_TOTAL_DIV_PAID_CF",IQ_FY-7)/-I531, _xll.ciqfunctions.udf.CIQ(A528, "IQ_TOTAL_DIV_PAID_CF",IQ_FY-6)/-I531)</f>
        <v>0</v>
      </c>
      <c r="I531" s="17">
        <f>IF(A536=A537,_xll.ciqfunctions.udf.CIQ(A528,"IQ_TOTAL_OUTSTANDING_FILING_DATE",IQ_FY-7), _xll.ciqfunctions.udf.CIQ(A528, "IQ_TOTAL_OUTSTANDING_FILING_DATE",IQ_FY-6))</f>
        <v>104.04469</v>
      </c>
      <c r="J531" s="17">
        <f>IF(A536=A537,_xll.ciqfunctions.udf.CIQ(A528,"IQ_CASH_OPER",IQ_FY-7), _xll.ciqfunctions.udf.CIQ(A528, "IQ_CASH_OPER",IQ_FY-6))</f>
        <v>206.75299999999999</v>
      </c>
      <c r="K531" s="17">
        <f>IF(A536=A537,_xll.ciqfunctions.udf.CIQ(A528,"IQ_CAPEX",IQ_FY-7), _xll.ciqfunctions.udf.CIQ(A528, "IQ_CAPEX",IQ_FY-6))</f>
        <v>-229.452</v>
      </c>
      <c r="L531" s="15">
        <f t="shared" si="140"/>
        <v>-0.2181658669942696</v>
      </c>
      <c r="M531" s="17">
        <f>IF(A536=A537,_xll.ciqfunctions.udf.CIQ(A528,"IQ_TOTAL_DEBT_ISSUED",IQ_FY-7), _xll.ciqfunctions.udf.CIQ(A528, "IQ_TOTAL_DEBT_ISSUED",IQ_FY-6))</f>
        <v>576.81600000000003</v>
      </c>
      <c r="N531" s="17">
        <f>IF(A536=A537,_xll.ciqfunctions.udf.CIQ(A528,"IQ_TOTAL_DEBT_REPAID",IQ_FY-7), _xll.ciqfunctions.udf.CIQ(A528, "IQ_TOTAL_DEBT_REPAID",IQ_FY-6))</f>
        <v>-687.36699999999996</v>
      </c>
      <c r="O531" s="15">
        <f t="shared" si="141"/>
        <v>-1.0625338015808392</v>
      </c>
      <c r="P531" s="15">
        <f t="shared" si="142"/>
        <v>-1.2806996685751089</v>
      </c>
      <c r="Q531" s="25" t="s">
        <v>23</v>
      </c>
      <c r="R531" s="38" t="s">
        <v>24</v>
      </c>
      <c r="S531" s="1" t="e">
        <f>R527/(AVERAGE(H533:H538)*(1+H539)/(0.5-H539))</f>
        <v>#DIV/0!</v>
      </c>
      <c r="U531" s="25" t="s">
        <v>40</v>
      </c>
      <c r="V531" s="38" t="s">
        <v>24</v>
      </c>
      <c r="W531" s="1" t="e">
        <f>V527/(AVERAGE(H533:H538)*(1+H539)/(0.5-H539))</f>
        <v>#DIV/0!</v>
      </c>
      <c r="Y531" s="25" t="s">
        <v>47</v>
      </c>
      <c r="Z531" s="38" t="s">
        <v>24</v>
      </c>
      <c r="AA531" s="1" t="e">
        <f>Z527/(AVERAGE(H533:H538)*(1+H539)/(0.5-H539))</f>
        <v>#DIV/0!</v>
      </c>
    </row>
    <row r="532" spans="1:27">
      <c r="B532" s="13">
        <v>5</v>
      </c>
      <c r="C532" s="14" t="s">
        <v>25</v>
      </c>
      <c r="D532" s="15" cm="1">
        <f t="array" ref="D532">_xlfn.SINGLE(IF(A536=A537,_xll.ciqfunctions.udf.CIQ(A528,"IQ_TOTAL_REV",IQ_FY-6)/I532, _xll.ciqfunctions.udf.CIQ(A528, "IQ_TOTAL_REV",IQ_FY-5)/I532))</f>
        <v>28.15346802755807</v>
      </c>
      <c r="E532" s="16">
        <f t="shared" si="143"/>
        <v>8.4886619268339999E-3</v>
      </c>
      <c r="F532" s="15">
        <f>IF(A536=A537,_xll.ciqfunctions.udf.CIQ(A528,"IQ_DILUT_EPS_EXCL",IQ_FY-6), _xll.ciqfunctions.udf.CIQ(A528, "IQ_DILUT_EPS_EXCL",IQ_FY-5))</f>
        <v>-1.59</v>
      </c>
      <c r="G532" s="15">
        <f>IF(A536=A537,_xll.ciqfunctions.udf.CIQ(A528,"IQ_EBITDA_MARGIN",IQ_FY-6), _xll.ciqfunctions.udf.CIQ(A528, "IQ_EBITDA_MARGIN",IQ_FY-5))</f>
        <v>11.2311</v>
      </c>
      <c r="H532" s="15">
        <f>IF(A536=A537,_xll.ciqfunctions.udf.CIQ(A528,"IQ_TOTAL_DIV_PAID_CF",IQ_FY-6)/-I532, _xll.ciqfunctions.udf.CIQ(A528, "IQ_TOTAL_DIV_PAID_CF",IQ_FY-5)/-I532)</f>
        <v>0</v>
      </c>
      <c r="I532" s="17">
        <f>IF(A536=A537,_xll.ciqfunctions.udf.CIQ(A528,"IQ_TOTAL_OUTSTANDING_FILING_DATE",IQ_FY-6), _xll.ciqfunctions.udf.CIQ(A528, "IQ_TOTAL_OUTSTANDING_FILING_DATE",IQ_FY-5))</f>
        <v>104.47466</v>
      </c>
      <c r="J532" s="17">
        <f>IF(A536=A537,_xll.ciqfunctions.udf.CIQ(A528,"IQ_CASH_OPER",IQ_FY-6), _xll.ciqfunctions.udf.CIQ(A528, "IQ_CASH_OPER",IQ_FY-5))</f>
        <v>1340.6769999999999</v>
      </c>
      <c r="K532" s="17">
        <f>IF(A536=A537,_xll.ciqfunctions.udf.CIQ(A528,"IQ_CAPEX",IQ_FY-6), _xll.ciqfunctions.udf.CIQ(A528, "IQ_CAPEX",IQ_FY-5))</f>
        <v>-514.35699999999997</v>
      </c>
      <c r="L532" s="15">
        <f t="shared" si="140"/>
        <v>7.9092863283785748</v>
      </c>
      <c r="M532" s="17">
        <f>IF(A536=A537,_xll.ciqfunctions.udf.CIQ(A528,"IQ_TOTAL_DEBT_ISSUED",IQ_FY-6), _xll.ciqfunctions.udf.CIQ(A528, "IQ_TOTAL_DEBT_ISSUED",IQ_FY-5))</f>
        <v>258.44</v>
      </c>
      <c r="N532" s="17">
        <f>IF(A536=A537,_xll.ciqfunctions.udf.CIQ(A528,"IQ_TOTAL_DEBT_REPAID",IQ_FY-6), _xll.ciqfunctions.udf.CIQ(A528, "IQ_TOTAL_DEBT_REPAID",IQ_FY-5))</f>
        <v>-24.077999999999999</v>
      </c>
      <c r="O532" s="15">
        <f t="shared" si="141"/>
        <v>2.2432425240723446</v>
      </c>
      <c r="P532" s="15">
        <f t="shared" si="142"/>
        <v>10.152528852450919</v>
      </c>
      <c r="Q532" s="18"/>
      <c r="R532" s="38" t="s">
        <v>50</v>
      </c>
      <c r="S532" s="3">
        <f>I539</f>
        <v>3.6899996881925023E-3</v>
      </c>
      <c r="U532" s="18"/>
      <c r="V532" s="38" t="s">
        <v>50</v>
      </c>
      <c r="W532" s="3">
        <f>I539</f>
        <v>3.6899996881925023E-3</v>
      </c>
      <c r="Y532" s="18"/>
      <c r="Z532" s="38" t="s">
        <v>50</v>
      </c>
      <c r="AA532" s="3">
        <f>I539</f>
        <v>3.6899996881925023E-3</v>
      </c>
    </row>
    <row r="533" spans="1:27">
      <c r="B533" s="13">
        <v>6</v>
      </c>
      <c r="C533" s="14" t="s">
        <v>26</v>
      </c>
      <c r="D533" s="15" cm="1">
        <f t="array" ref="D533">_xlfn.SINGLE(IF(A536=A537,_xll.ciqfunctions.udf.CIQ(A528,"IQ_TOTAL_REV",IQ_FY-5)/I533, _xll.ciqfunctions.udf.CIQ(A528, "IQ_TOTAL_REV",IQ_FY-4)/I533))</f>
        <v>21.393328558380095</v>
      </c>
      <c r="E533" s="16">
        <f t="shared" si="143"/>
        <v>-0.24011746839006837</v>
      </c>
      <c r="F533" s="15">
        <f>IF(A536=A537,_xll.ciqfunctions.udf.CIQ(A528,"IQ_DILUT_EPS_EXCL",IQ_FY-5), _xll.ciqfunctions.udf.CIQ(A528, "IQ_DILUT_EPS_EXCL",IQ_FY-4))</f>
        <v>1.36</v>
      </c>
      <c r="G533" s="15">
        <f>IF(A536=A537,_xll.ciqfunctions.udf.CIQ(A528,"IQ_EBITDA_MARGIN",IQ_FY-5), _xll.ciqfunctions.udf.CIQ(A528, "IQ_EBITDA_MARGIN",IQ_FY-4))</f>
        <v>7.6134000000000004</v>
      </c>
      <c r="H533" s="15">
        <f>IF(A536=A537,_xll.ciqfunctions.udf.CIQ(A528,"IQ_TOTAL_DIV_PAID_CF",IQ_FY-5)/-I533, _xll.ciqfunctions.udf.CIQ(A528, "IQ_TOTAL_DIV_PAID_CF",IQ_FY-4)/-I533)</f>
        <v>0</v>
      </c>
      <c r="I533" s="17">
        <f>IF(A536=A537,_xll.ciqfunctions.udf.CIQ(A528,"IQ_TOTAL_OUTSTANDING_FILING_DATE",IQ_FY-5), _xll.ciqfunctions.udf.CIQ(A528, "IQ_TOTAL_OUTSTANDING_FILING_DATE",IQ_FY-4))</f>
        <v>104.89457</v>
      </c>
      <c r="J533" s="17">
        <f>IF(A536=A537,_xll.ciqfunctions.udf.CIQ(A528,"IQ_CASH_OPER",IQ_FY-5), _xll.ciqfunctions.udf.CIQ(A528, "IQ_CASH_OPER",IQ_FY-4))</f>
        <v>-326.80900000000003</v>
      </c>
      <c r="K533" s="17">
        <f>IF(A536=A537,_xll.ciqfunctions.udf.CIQ(A528,"IQ_CAPEX",IQ_FY-5), _xll.ciqfunctions.udf.CIQ(A528, "IQ_CAPEX",IQ_FY-4))</f>
        <v>-739.83799999999997</v>
      </c>
      <c r="L533" s="15">
        <f t="shared" si="140"/>
        <v>-10.168753253862425</v>
      </c>
      <c r="M533" s="17">
        <f>IF(A536=A537,_xll.ciqfunctions.udf.CIQ(A528,"IQ_TOTAL_DEBT_ISSUED",IQ_FY-5), _xll.ciqfunctions.udf.CIQ(A528, "IQ_TOTAL_DEBT_ISSUED",IQ_FY-4))</f>
        <v>290.92500000000001</v>
      </c>
      <c r="N533" s="17">
        <f>IF(A536=A537,_xll.ciqfunctions.udf.CIQ(A528,"IQ_TOTAL_DEBT_REPAID",IQ_FY-5), _xll.ciqfunctions.udf.CIQ(A528, "IQ_TOTAL_DEBT_REPAID",IQ_FY-4))</f>
        <v>-18.937000000000001</v>
      </c>
      <c r="O533" s="15">
        <f t="shared" si="141"/>
        <v>2.5929654890620171</v>
      </c>
      <c r="P533" s="15">
        <f t="shared" si="142"/>
        <v>-7.5757877648004079</v>
      </c>
      <c r="Q533" s="25" t="s">
        <v>27</v>
      </c>
      <c r="R533" s="38" t="s">
        <v>51</v>
      </c>
      <c r="S533" s="4">
        <f>AVERAGE(F533:F538)/AVERAGE(D533:D538)</f>
        <v>7.8588495745952738E-2</v>
      </c>
      <c r="U533" s="25" t="s">
        <v>58</v>
      </c>
      <c r="V533" s="38" t="s">
        <v>51</v>
      </c>
      <c r="W533" s="4">
        <f>AVERAGE(F533:F538)/AVERAGE(D533:D538)</f>
        <v>7.8588495745952738E-2</v>
      </c>
      <c r="Y533" s="25" t="s">
        <v>56</v>
      </c>
      <c r="Z533" s="38" t="s">
        <v>51</v>
      </c>
      <c r="AA533" s="4">
        <f>AVERAGE(F533:F538)/AVERAGE(D533:D538)</f>
        <v>7.8588495745952738E-2</v>
      </c>
    </row>
    <row r="534" spans="1:27">
      <c r="A534" s="18"/>
      <c r="B534" s="13">
        <v>7</v>
      </c>
      <c r="C534" s="14" t="s">
        <v>28</v>
      </c>
      <c r="D534" s="15" cm="1">
        <f t="array" ref="D534">_xlfn.SINGLE(IF(A536=A537,_xll.ciqfunctions.udf.CIQ(A528,"IQ_TOTAL_REV",IQ_FY-4)/I534, _xll.ciqfunctions.udf.CIQ(A528, "IQ_TOTAL_REV",IQ_FY-3)/I534))</f>
        <v>29.045938526804171</v>
      </c>
      <c r="E534" s="16">
        <f t="shared" si="143"/>
        <v>0.35771011264287028</v>
      </c>
      <c r="F534" s="15">
        <f>IF(A536=A537,_xll.ciqfunctions.udf.CIQ(A528,"IQ_DILUT_EPS_EXCL",IQ_FY-4), _xll.ciqfunctions.udf.CIQ(A528, "IQ_DILUT_EPS_EXCL",IQ_FY-3))</f>
        <v>-1.09138</v>
      </c>
      <c r="G534" s="15">
        <f>IF(A536=A537,_xll.ciqfunctions.udf.CIQ(A528,"IQ_EBITDA_MARGIN",IQ_FY-4), _xll.ciqfunctions.udf.CIQ(A528, "IQ_EBITDA_MARGIN",IQ_FY-3))</f>
        <v>13.276899999999999</v>
      </c>
      <c r="H534" s="15">
        <f>IF(A536=A537,_xll.ciqfunctions.udf.CIQ(A528,"IQ_TOTAL_DIV_PAID_CF",IQ_FY-4)/-I534, _xll.ciqfunctions.udf.CIQ(A528, "IQ_TOTAL_DIV_PAID_CF",IQ_FY-3)/-I534)</f>
        <v>0</v>
      </c>
      <c r="I534" s="17">
        <f>IF(A536=A537,_xll.ciqfunctions.udf.CIQ(A528,"IQ_TOTAL_OUTSTANDING_FILING_DATE",IQ_FY-4), _xll.ciqfunctions.udf.CIQ(A528, "IQ_TOTAL_OUTSTANDING_FILING_DATE",IQ_FY-3))</f>
        <v>105.45766999999999</v>
      </c>
      <c r="J534" s="17">
        <f>IF(A536=A537,_xll.ciqfunctions.udf.CIQ(A528,"IQ_CASH_OPER",IQ_FY-4), _xll.ciqfunctions.udf.CIQ(A528, "IQ_CASH_OPER",IQ_FY-3))</f>
        <v>174.20099999999999</v>
      </c>
      <c r="K534" s="17">
        <f>IF(A536=A537,_xll.ciqfunctions.udf.CIQ(A528,"IQ_CAPEX",IQ_FY-4), _xll.ciqfunctions.udf.CIQ(A528, "IQ_CAPEX",IQ_FY-3))</f>
        <v>-668.71699999999998</v>
      </c>
      <c r="L534" s="15">
        <f t="shared" si="140"/>
        <v>-4.6892369232128868</v>
      </c>
      <c r="M534" s="17">
        <f>IF(A536=A537,_xll.ciqfunctions.udf.CIQ(A528,"IQ_TOTAL_DEBT_ISSUED",IQ_FY-4), _xll.ciqfunctions.udf.CIQ(A528, "IQ_TOTAL_DEBT_ISSUED",IQ_FY-3))</f>
        <v>120.13200000000001</v>
      </c>
      <c r="N534" s="17">
        <f>IF(A536=A537,_xll.ciqfunctions.udf.CIQ(A528,"IQ_TOTAL_DEBT_REPAID",IQ_FY-4), _xll.ciqfunctions.udf.CIQ(A528, "IQ_TOTAL_DEBT_REPAID",IQ_FY-3))</f>
        <v>-30.099</v>
      </c>
      <c r="O534" s="15">
        <f t="shared" si="141"/>
        <v>0.8537359112902837</v>
      </c>
      <c r="P534" s="15">
        <f t="shared" si="142"/>
        <v>-3.8355010119226032</v>
      </c>
      <c r="Q534" s="18"/>
      <c r="R534" s="38" t="s">
        <v>29</v>
      </c>
      <c r="S534" s="4">
        <f>(AVERAGE(P533:P538)/_xlfn.STDEV.P(P533:P538))/(IF(A536=A537,(_xlfn.SINGLE(_xll.ciqfunctions.udf.CIQ(A528,"IQ_total_assets",IQ_FY)) - _xlfn.SINGLE(_xll.ciqfunctions.udf.CIQ(A528,"iq_gw_intan", IQ_FY)))/I538, (_xlfn.SINGLE(_xll.ciqfunctions.udf.CIQ(A528, "IQ_total_assets",IQ_LTM))-_xlfn.SINGLE(_xll.ciqfunctions.udf.CIQ(A528,"iq_gw_intan",IQ_LTM)))/I538))</f>
        <v>-9.7653593701815516E-3</v>
      </c>
      <c r="U534" s="18"/>
      <c r="V534" s="38" t="s">
        <v>29</v>
      </c>
      <c r="W534" s="4">
        <f>(AVERAGE(P533:P538)/_xlfn.STDEV.P(P533:P538))/(IF(A536=A537,(_xlfn.SINGLE(_xll.ciqfunctions.udf.CIQ(A528,"IQ_total_assets",IQ_FY)) - _xlfn.SINGLE(_xll.ciqfunctions.udf.CIQ(A528,"iq_gw_intan", IQ_FY)))/I538, (_xlfn.SINGLE(_xll.ciqfunctions.udf.CIQ(A528, "IQ_total_assets",IQ_LTM))-_xlfn.SINGLE(_xll.ciqfunctions.udf.CIQ(A528,"iq_gw_intan",IQ_LTM)))/I538))</f>
        <v>-9.7653593701815516E-3</v>
      </c>
      <c r="Y534" s="18"/>
      <c r="Z534" s="38" t="s">
        <v>29</v>
      </c>
      <c r="AA534" s="4">
        <f>(AVERAGE(P533:P538)/_xlfn.STDEV.P(P533:P538))/(IF(A536=A537,(_xlfn.SINGLE(_xll.ciqfunctions.udf.CIQ(A528,"IQ_total_assets",IQ_FY)) - _xlfn.SINGLE(_xll.ciqfunctions.udf.CIQ(A528,"iq_gw_intan", IQ_FY)))/I538, (_xlfn.SINGLE(_xll.ciqfunctions.udf.CIQ(A528, "IQ_total_assets",IQ_LTM))-_xlfn.SINGLE(_xll.ciqfunctions.udf.CIQ(A528,"iq_gw_intan",IQ_LTM)))/I538))</f>
        <v>-9.7653593701815516E-3</v>
      </c>
    </row>
    <row r="535" spans="1:27">
      <c r="A535" s="18"/>
      <c r="B535" s="13">
        <v>8</v>
      </c>
      <c r="C535" s="14" t="s">
        <v>30</v>
      </c>
      <c r="D535" s="15" cm="1">
        <f t="array" ref="D535">_xlfn.SINGLE(IF(A536=A537,_xll.ciqfunctions.udf.CIQ(A528,"IQ_TOTAL_REV",IQ_FY-3)/I535, _xll.ciqfunctions.udf.CIQ(A528, "IQ_TOTAL_REV",IQ_FY-2)/I535))</f>
        <v>25.581885977823568</v>
      </c>
      <c r="E535" s="16">
        <f t="shared" si="143"/>
        <v>-0.11926116781469832</v>
      </c>
      <c r="F535" s="15">
        <f>IF(A536=A537,_xll.ciqfunctions.udf.CIQ(A528,"IQ_DILUT_EPS_EXCL",IQ_FY-3), _xll.ciqfunctions.udf.CIQ(A528, "IQ_DILUT_EPS_EXCL",IQ_FY-2))</f>
        <v>3.73</v>
      </c>
      <c r="G535" s="15">
        <f>IF(A536=A537,_xll.ciqfunctions.udf.CIQ(A528,"IQ_EBITDA_MARGIN",IQ_FY-3), _xll.ciqfunctions.udf.CIQ(A528, "IQ_EBITDA_MARGIN",IQ_FY-2))</f>
        <v>21.163499999999999</v>
      </c>
      <c r="H535" s="15">
        <f>IF(A536=A537,_xll.ciqfunctions.udf.CIQ(A528,"IQ_TOTAL_DIV_PAID_CF",IQ_FY-3)/-I535, _xll.ciqfunctions.udf.CIQ(A528, "IQ_TOTAL_DIV_PAID_CF",IQ_FY-2)/-I535)</f>
        <v>0</v>
      </c>
      <c r="I535" s="17">
        <f>IF(A536=A537,_xll.ciqfunctions.udf.CIQ(A528,"IQ_TOTAL_OUTSTANDING_FILING_DATE",IQ_FY-3), _xll.ciqfunctions.udf.CIQ(A528, "IQ_TOTAL_OUTSTANDING_FILING_DATE",IQ_FY-2))</f>
        <v>105.9864</v>
      </c>
      <c r="J535" s="17">
        <f>IF(A536=A537,_xll.ciqfunctions.udf.CIQ(A528,"IQ_CASH_OPER",IQ_FY-3), _xll.ciqfunctions.udf.CIQ(A528, "IQ_CASH_OPER",IQ_FY-2))</f>
        <v>37.119999999999997</v>
      </c>
      <c r="K535" s="17">
        <f>IF(A536=A537,_xll.ciqfunctions.udf.CIQ(A528,"IQ_CAPEX",IQ_FY-3), _xll.ciqfunctions.udf.CIQ(A528, "IQ_CAPEX",IQ_FY-2))</f>
        <v>-416.63499999999999</v>
      </c>
      <c r="L535" s="15">
        <f t="shared" si="140"/>
        <v>-3.5807896107425101</v>
      </c>
      <c r="M535" s="17">
        <f>IF(A536=A537,_xll.ciqfunctions.udf.CIQ(A528,"IQ_TOTAL_DEBT_ISSUED",IQ_FY-3), _xll.ciqfunctions.udf.CIQ(A528, "IQ_TOTAL_DEBT_ISSUED",IQ_FY-2))</f>
        <v>156.679</v>
      </c>
      <c r="N535" s="17">
        <f>IF(A536=A537,_xll.ciqfunctions.udf.CIQ(A528,"IQ_TOTAL_DEBT_REPAID",IQ_FY-3), _xll.ciqfunctions.udf.CIQ(A528, "IQ_TOTAL_DEBT_REPAID",IQ_FY-2))</f>
        <v>-225.34399999999999</v>
      </c>
      <c r="O535" s="15">
        <f t="shared" si="141"/>
        <v>-0.6478661413162442</v>
      </c>
      <c r="P535" s="15">
        <f t="shared" si="142"/>
        <v>-4.2286557520587547</v>
      </c>
      <c r="Q535" s="18"/>
      <c r="R535" s="39" t="s">
        <v>31</v>
      </c>
      <c r="S535" s="5">
        <f>IF(NOT(D528&gt;0),FALSE,SLOPE(G528:G538,B528:B538))</f>
        <v>-0.43241636363636371</v>
      </c>
      <c r="U535" s="18"/>
      <c r="V535" s="39" t="s">
        <v>31</v>
      </c>
      <c r="W535" s="5">
        <f>IF(NOT(D528&gt;0),FALSE,SLOPE(G528:G538,B528:B538))</f>
        <v>-0.43241636363636371</v>
      </c>
      <c r="Y535" s="18"/>
      <c r="Z535" s="39" t="s">
        <v>31</v>
      </c>
      <c r="AA535" s="5">
        <f>IF(NOT(L528&gt;0),FALSE,SLOPE(O528:O538,J528:J538))</f>
        <v>2.3010855548437594E-4</v>
      </c>
    </row>
    <row r="536" spans="1:27">
      <c r="A536" s="19">
        <f>_xll.ciqfunctions.udf.CIQ(A528,"IQ_TOTAL_REV",IQ_FY)</f>
        <v>2619.319</v>
      </c>
      <c r="B536" s="13">
        <v>9</v>
      </c>
      <c r="C536" s="14" t="s">
        <v>32</v>
      </c>
      <c r="D536" s="15" cm="1">
        <f t="array" ref="D536">_xlfn.SINGLE(IF(A536=A537,_xll.ciqfunctions.udf.CIQ(A528,"IQ_TOTAL_REV",IQ_FY-2)/I536, _xll.ciqfunctions.udf.CIQ(A528, "IQ_TOTAL_REV",IQ_FY-1)/I536))</f>
        <v>27.492463353125103</v>
      </c>
      <c r="E536" s="16">
        <f t="shared" si="143"/>
        <v>7.4684774099836787E-2</v>
      </c>
      <c r="F536" s="15">
        <f>IF(A536=A537,_xll.ciqfunctions.udf.CIQ(A528,"IQ_DILUT_EPS_EXCL",IQ_FY-2), _xll.ciqfunctions.udf.CIQ(A528, "IQ_DILUT_EPS_EXCL",IQ_FY-1))</f>
        <v>4.38</v>
      </c>
      <c r="G536" s="15">
        <f>IF(A536=A537,_xll.ciqfunctions.udf.CIQ(A528,"IQ_EBITDA_MARGIN",IQ_FY-2), _xll.ciqfunctions.udf.CIQ(A528, "IQ_EBITDA_MARGIN",IQ_FY-1))</f>
        <v>24.272099999999998</v>
      </c>
      <c r="H536" s="15">
        <f>IF(A536=A537,_xll.ciqfunctions.udf.CIQ(A528,"IQ_TOTAL_DIV_PAID_CF",IQ_FY-2)/-I536, _xll.ciqfunctions.udf.CIQ(A528, "IQ_TOTAL_DIV_PAID_CF",IQ_FY-1)/-I536)</f>
        <v>0</v>
      </c>
      <c r="I536" s="17">
        <f>IF(A536=A537,_xll.ciqfunctions.udf.CIQ(A528,"IQ_TOTAL_OUTSTANDING_FILING_DATE",IQ_FY-2), _xll.ciqfunctions.udf.CIQ(A528, "IQ_TOTAL_OUTSTANDING_FILING_DATE",IQ_FY-1))</f>
        <v>106.33376</v>
      </c>
      <c r="J536" s="17">
        <f>IF(A536=A537,_xll.ciqfunctions.udf.CIQ(A528,"IQ_CASH_OPER",IQ_FY-2), _xll.ciqfunctions.udf.CIQ(A528, "IQ_CASH_OPER",IQ_FY-1))</f>
        <v>237.559</v>
      </c>
      <c r="K536" s="17">
        <f>IF(A536=A537,_xll.ciqfunctions.udf.CIQ(A528,"IQ_CAPEX",IQ_FY-2), _xll.ciqfunctions.udf.CIQ(A528, "IQ_CAPEX",IQ_FY-1))</f>
        <v>-540.29100000000005</v>
      </c>
      <c r="L536" s="15">
        <f t="shared" si="140"/>
        <v>-2.8469979806977586</v>
      </c>
      <c r="M536" s="17">
        <f>IF(A536=A537,_xll.ciqfunctions.udf.CIQ(A528,"IQ_TOTAL_DEBT_ISSUED",IQ_FY-2), _xll.ciqfunctions.udf.CIQ(A528, "IQ_TOTAL_DEBT_ISSUED",IQ_FY-1))</f>
        <v>129.215</v>
      </c>
      <c r="N536" s="17">
        <f>IF(A536=A537,_xll.ciqfunctions.udf.CIQ(A528,"IQ_TOTAL_DEBT_REPAID",IQ_FY-2), _xll.ciqfunctions.udf.CIQ(A528, "IQ_TOTAL_DEBT_REPAID",IQ_FY-1))</f>
        <v>-72.676000000000002</v>
      </c>
      <c r="O536" s="15">
        <f t="shared" si="141"/>
        <v>0.53171260002467702</v>
      </c>
      <c r="P536" s="15">
        <f t="shared" si="142"/>
        <v>-2.3152853806730818</v>
      </c>
      <c r="Q536" s="25" t="s">
        <v>33</v>
      </c>
      <c r="R536" s="38" t="s">
        <v>52</v>
      </c>
      <c r="S536" s="4">
        <f>(AVERAGE(O533:O538)/AVERAGE(P533:P538))</f>
        <v>-0.62022776828574622</v>
      </c>
      <c r="U536" s="25" t="s">
        <v>54</v>
      </c>
      <c r="V536" s="38" t="s">
        <v>52</v>
      </c>
      <c r="W536" s="4">
        <f>(AVERAGE(O533:O538)/AVERAGE(P533:P538))</f>
        <v>-0.62022776828574622</v>
      </c>
      <c r="Y536" s="25" t="s">
        <v>60</v>
      </c>
      <c r="Z536" s="38" t="s">
        <v>52</v>
      </c>
      <c r="AA536" s="4">
        <f>(AVERAGE(O533:O538)/AVERAGE(P533:P538))</f>
        <v>-0.62022776828574622</v>
      </c>
    </row>
    <row r="537" spans="1:27">
      <c r="A537" s="19">
        <f>_xll.ciqfunctions.udf.CIQ(A528,"IQ_TOTAL_REV",IQ_LTM)</f>
        <v>3162.44</v>
      </c>
      <c r="B537" s="13">
        <v>10</v>
      </c>
      <c r="C537" s="14" t="s">
        <v>34</v>
      </c>
      <c r="D537" s="15" cm="1">
        <f t="array" ref="D537">_xlfn.SINGLE(IF(A536=A537,_xll.ciqfunctions.udf.CIQ(A528,"IQ_TOTAL_REV",IQ_FY-1)/I537, _xll.ciqfunctions.udf.CIQ(A528, "IQ_TOTAL_REV",IQ_FY)/I537))</f>
        <v>24.569377714414408</v>
      </c>
      <c r="E537" s="16">
        <f t="shared" si="143"/>
        <v>-0.10632316213957686</v>
      </c>
      <c r="F537" s="15">
        <f>IF(A536=A537,_xll.ciqfunctions.udf.CIQ(A528,"IQ_DILUT_EPS_EXCL",IQ_FY-1), _xll.ciqfunctions.udf.CIQ(A528, "IQ_DILUT_EPS_EXCL",IQ_FY))</f>
        <v>-0.41450999999999999</v>
      </c>
      <c r="G537" s="15">
        <f>IF(A536=A537,_xll.ciqfunctions.udf.CIQ(A528,"IQ_EBITDA_MARGIN",IQ_FY-1), _xll.ciqfunctions.udf.CIQ(A528, "IQ_EBITDA_MARGIN",IQ_FY))</f>
        <v>1.7858000000000001</v>
      </c>
      <c r="H537" s="15">
        <f>IF(A536=A537,_xll.ciqfunctions.udf.CIQ(A528,"IQ_TOTAL_DIV_PAID_CF",IQ_FY-1)/-I537, _xll.ciqfunctions.udf.CIQ(A528, "IQ_TOTAL_DIV_PAID_CF",IQ_FY)/-I537)</f>
        <v>0</v>
      </c>
      <c r="I537" s="17">
        <f>IF(A536=A537,_xll.ciqfunctions.udf.CIQ(A528,"IQ_TOTAL_OUTSTANDING_FILING_DATE",IQ_FY-1), _xll.ciqfunctions.udf.CIQ(A528, "IQ_TOTAL_OUTSTANDING_FILING_DATE",IQ_FY))</f>
        <v>106.60908999999999</v>
      </c>
      <c r="J537" s="17">
        <f>IF(A536=A537,_xll.ciqfunctions.udf.CIQ(A528,"IQ_CASH_OPER",IQ_FY-1), _xll.ciqfunctions.udf.CIQ(A528, "IQ_CASH_OPER",IQ_FY))</f>
        <v>873.36900000000003</v>
      </c>
      <c r="K537" s="17">
        <f>IF(A536=A537,_xll.ciqfunctions.udf.CIQ(A528,"IQ_CAPEX",IQ_FY-1), _xll.ciqfunctions.udf.CIQ(A528, "IQ_CAPEX",IQ_FY))</f>
        <v>-903.60500000000002</v>
      </c>
      <c r="L537" s="15">
        <f t="shared" si="140"/>
        <v>-0.28361559037789358</v>
      </c>
      <c r="M537" s="17">
        <f>IF(A536=A537,_xll.ciqfunctions.udf.CIQ(A528,"IQ_TOTAL_DEBT_ISSUED",IQ_FY-1), _xll.ciqfunctions.udf.CIQ(A528, "IQ_TOTAL_DEBT_ISSUED",IQ_FY))</f>
        <v>397.38</v>
      </c>
      <c r="N537" s="17">
        <f>IF(A536=A537,_xll.ciqfunctions.udf.CIQ(A528,"IQ_TOTAL_DEBT_REPAID",IQ_FY-1), _xll.ciqfunctions.udf.CIQ(A528, "IQ_TOTAL_DEBT_REPAID",IQ_FY))</f>
        <v>-75.896000000000001</v>
      </c>
      <c r="O537" s="15">
        <f t="shared" si="141"/>
        <v>3.0155402320758951</v>
      </c>
      <c r="P537" s="15">
        <f t="shared" si="142"/>
        <v>2.7319246416980016</v>
      </c>
      <c r="Q537" s="25" t="s">
        <v>44</v>
      </c>
      <c r="R537" s="38" t="s">
        <v>35</v>
      </c>
      <c r="S537" s="1">
        <f>_xll.ciqfunctions.udf.CIQ(A528,"IQ_TEV_EBITDA")</f>
        <v>20.208379999999998</v>
      </c>
      <c r="U537" s="25" t="s">
        <v>55</v>
      </c>
      <c r="V537" s="38" t="s">
        <v>53</v>
      </c>
      <c r="W537" s="1">
        <f>V527/(AVERAGE(D533:D538)/_xlfn.STDEV.P(E533:E538))</f>
        <v>1.2151050437113522</v>
      </c>
      <c r="Y537" s="25" t="s">
        <v>57</v>
      </c>
      <c r="Z537" s="38" t="s">
        <v>53</v>
      </c>
      <c r="AA537" s="1">
        <f>Z527/(AVERAGE(D533:D538)/_xlfn.STDEV.P(E533:E538))</f>
        <v>1.2151050437113522</v>
      </c>
    </row>
    <row r="538" spans="1:27">
      <c r="B538" s="13">
        <v>11</v>
      </c>
      <c r="C538" s="20" t="s">
        <v>36</v>
      </c>
      <c r="D538" s="21" cm="1">
        <f t="array" ref="D538">_xlfn.SINGLE(IF(A536=A537,_xll.ciqfunctions.udf.CIQ(A528,"IQ_TOTAL_REV",IQ_FY)/I538, _xll.ciqfunctions.udf.CIQ(A528, "IQ_TOTAL_REV",IQ_LTM)/I538))</f>
        <v>29.598609040209105</v>
      </c>
      <c r="E538" s="22">
        <f t="shared" si="143"/>
        <v>0.20469510397262275</v>
      </c>
      <c r="F538" s="21">
        <f>IF(A536=A537,_xll.ciqfunctions.udf.CIQ(A528,"IQ_DILUT_EPS_EXCL",IQ_FY), _xll.ciqfunctions.udf.CIQ(A528, "IQ_DILUT_EPS_EXCL",IQ_LTM))</f>
        <v>4.4278500000000003</v>
      </c>
      <c r="G538" s="21">
        <f>IF(A536=A537,_xll.ciqfunctions.udf.CIQ(A528,"IQ_EBITDA_MARGIN",IQ_FY), _xll.ciqfunctions.udf.CIQ(A528, "IQ_EBITDA_MARGIN",IQ_LTM))</f>
        <v>23.3187</v>
      </c>
      <c r="H538" s="21">
        <f>IF(A536=A537,_xll.ciqfunctions.udf.CIQ(A528,"IQ_TOTAL_DIV_PAID_CF",IQ_FY)/-I538, _xll.ciqfunctions.udf.CIQ(A528, "IQ_TOTAL_DIV_PAID_CF",IQ_LTM)/-I538)</f>
        <v>0</v>
      </c>
      <c r="I538" s="23">
        <f>IF(A536=A537,_xll.ciqfunctions.udf.CIQ(A528,"IQ_TOTAL_OUTSTANDING_FILING_DATE",IQ_FY),_xll.ciqfunctions.udf.CIQ(A528,"IQ_sharesoutstanding"))</f>
        <v>106.84421</v>
      </c>
      <c r="J538" s="23">
        <f>IF(A536=A537,_xll.ciqfunctions.udf.CIQ(A528,"IQ_CASH_OPER",IQ_FY), _xll.ciqfunctions.udf.CIQ(A528, "IQ_CASH_OPER",IQ_LTM))</f>
        <v>836.36599999999999</v>
      </c>
      <c r="K538" s="23">
        <f>IF(A536=A537,_xll.ciqfunctions.udf.CIQ(A528,"IQ_CAPEX",IQ_FY), _xll.ciqfunctions.udf.CIQ(A528, "IQ_CAPEX",IQ_LTM))</f>
        <v>-1366.7639999999999</v>
      </c>
      <c r="L538" s="21">
        <f t="shared" si="140"/>
        <v>-4.9642184634993312</v>
      </c>
      <c r="M538" s="23">
        <f>IF(A536=A537,_xll.ciqfunctions.udf.CIQ(A528,"IQ_TOTAL_DEBT_ISSUED",IQ_FY), _xll.ciqfunctions.udf.CIQ(A528, "IQ_TOTAL_DEBT_ISSUED",IQ_LTM))</f>
        <v>407.18900000000002</v>
      </c>
      <c r="N538" s="23">
        <f>IF(A536=A537,_xll.ciqfunctions.udf.CIQ(A528,"IQ_TOTAL_DEBT_REPAID",IQ_FY), _xll.ciqfunctions.udf.CIQ(A528, "IQ_TOTAL_DEBT_REPAID",IQ_LTM))</f>
        <v>0</v>
      </c>
      <c r="O538" s="21">
        <f t="shared" si="141"/>
        <v>3.8110534955520752</v>
      </c>
      <c r="P538" s="21">
        <f t="shared" si="142"/>
        <v>-1.153164967947256</v>
      </c>
      <c r="Q538" s="25" t="s">
        <v>45</v>
      </c>
      <c r="S538" s="45"/>
      <c r="U538" s="25"/>
      <c r="W538" s="45"/>
      <c r="Y538" s="25"/>
      <c r="AA538" s="45"/>
    </row>
    <row r="539" spans="1:27">
      <c r="B539" s="24"/>
      <c r="C539" s="25" t="s">
        <v>37</v>
      </c>
      <c r="E539" s="26">
        <f>((D538/D533)^(1/5))-1</f>
        <v>6.7083951219196525E-2</v>
      </c>
      <c r="F539" s="27">
        <f>((F538/F533)^(1/5))-1</f>
        <v>0.26628306381011235</v>
      </c>
      <c r="G539" s="28"/>
      <c r="H539" s="27" t="e">
        <f>((H538/H533)^(1/5))-1</f>
        <v>#DIV/0!</v>
      </c>
      <c r="I539" s="27">
        <f>((I538/I533)^(1/5))-1</f>
        <v>3.6899996881925023E-3</v>
      </c>
      <c r="J539" s="27"/>
      <c r="K539" s="27"/>
      <c r="L539" s="26">
        <f>((L538/L533)^(1/5))-1</f>
        <v>-0.13360360760448053</v>
      </c>
      <c r="M539" s="26"/>
      <c r="N539" s="26"/>
      <c r="O539" s="26"/>
      <c r="P539" s="26">
        <f>((P538/P533)^(1/5))-1</f>
        <v>-0.31373361247727849</v>
      </c>
      <c r="Q539" s="18"/>
      <c r="R539" s="36"/>
      <c r="S539" s="45"/>
      <c r="U539" s="18"/>
      <c r="V539" s="36"/>
      <c r="W539" s="45"/>
      <c r="Y539" s="18"/>
      <c r="Z539" s="36"/>
      <c r="AA539" s="45"/>
    </row>
    <row r="540" spans="1:27">
      <c r="A540" s="29"/>
      <c r="B540" s="30"/>
      <c r="C540" s="31" t="s">
        <v>38</v>
      </c>
      <c r="D540" s="29"/>
      <c r="E540" s="32">
        <f>((D538/D528)^(1/10))-1</f>
        <v>-1.1589706148001033E-2</v>
      </c>
      <c r="F540" s="33">
        <f>((F538/F528)^(1/10))-1</f>
        <v>1.8949554070339047E-2</v>
      </c>
      <c r="G540" s="34"/>
      <c r="H540" s="33" t="e">
        <f>((H538/H528)^(1/10))-1</f>
        <v>#DIV/0!</v>
      </c>
      <c r="I540" s="33">
        <f>((I538/I528)^(1/10))-1</f>
        <v>7.1338871532617976E-3</v>
      </c>
      <c r="J540" s="33"/>
      <c r="K540" s="33"/>
      <c r="L540" s="32" t="e">
        <f>((L538/L528)^(1/10))-1</f>
        <v>#NUM!</v>
      </c>
      <c r="M540" s="32"/>
      <c r="N540" s="32"/>
      <c r="O540" s="32"/>
      <c r="P540" s="32" t="e">
        <f>((P538/P528)^(1/10))-1</f>
        <v>#NUM!</v>
      </c>
      <c r="Q540" s="40"/>
      <c r="R540" s="41"/>
      <c r="S540" s="46"/>
      <c r="U540" s="40"/>
      <c r="V540" s="41"/>
      <c r="W540" s="46"/>
      <c r="Y540" s="40"/>
      <c r="Z540" s="41"/>
      <c r="AA540" s="46"/>
    </row>
    <row r="541" spans="1:27">
      <c r="B541" s="24"/>
      <c r="C541" s="25"/>
      <c r="E541" s="26"/>
      <c r="F541" s="27"/>
      <c r="G541" s="28"/>
      <c r="H541" s="27"/>
      <c r="I541" s="27"/>
      <c r="J541" s="27"/>
      <c r="K541" s="27"/>
      <c r="L541" s="26"/>
      <c r="M541" s="17"/>
      <c r="N541" s="17"/>
      <c r="O541" s="17"/>
      <c r="P541" s="35"/>
      <c r="Q541" s="18"/>
      <c r="R541" s="36"/>
    </row>
    <row r="542" spans="1:27">
      <c r="A542" s="9" t="s">
        <v>0</v>
      </c>
      <c r="B542" s="10"/>
      <c r="C542" s="9" t="s">
        <v>1</v>
      </c>
      <c r="D542" s="9" t="s">
        <v>2</v>
      </c>
      <c r="E542" s="9" t="s">
        <v>3</v>
      </c>
      <c r="F542" s="11" t="s">
        <v>4</v>
      </c>
      <c r="G542" s="11" t="s">
        <v>5</v>
      </c>
      <c r="H542" s="9" t="s">
        <v>6</v>
      </c>
      <c r="I542" s="11" t="s">
        <v>7</v>
      </c>
      <c r="J542" s="11" t="s">
        <v>8</v>
      </c>
      <c r="K542" s="11" t="s">
        <v>9</v>
      </c>
      <c r="L542" s="11" t="s">
        <v>10</v>
      </c>
      <c r="M542" s="11" t="s">
        <v>11</v>
      </c>
      <c r="N542" s="11" t="s">
        <v>12</v>
      </c>
      <c r="O542" s="11" t="s">
        <v>13</v>
      </c>
      <c r="P542" s="11" t="s">
        <v>14</v>
      </c>
      <c r="Q542" s="37" t="s">
        <v>15</v>
      </c>
      <c r="R542" s="42">
        <f>_xll.ciqfunctions.udf.CIQ(A543,("IQ_LASTSALEPRICE"))</f>
        <v>55.71</v>
      </c>
      <c r="S542" s="44"/>
      <c r="U542" s="37" t="s">
        <v>15</v>
      </c>
      <c r="V542" s="42">
        <f>_xll.ciqfunctions.udf.CIQ(A543,("IQ_LASTSALEPRICE"))</f>
        <v>55.71</v>
      </c>
      <c r="W542" s="44"/>
      <c r="Y542" s="37" t="s">
        <v>15</v>
      </c>
      <c r="Z542" s="42">
        <f>_xll.ciqfunctions.udf.CIQ(A543,("IQ_LASTSALEPRICE"))</f>
        <v>55.71</v>
      </c>
      <c r="AA542" s="44"/>
    </row>
    <row r="543" spans="1:27">
      <c r="A543" s="12" t="str">
        <f>Analysis!B38</f>
        <v>NasdaqGS:GFS</v>
      </c>
      <c r="B543" s="13">
        <v>1</v>
      </c>
      <c r="C543" s="14" t="s">
        <v>16</v>
      </c>
      <c r="D543" s="15" t="e">
        <f>IF(A551=A552,_xll.ciqfunctions.udf.CIQ(A543,"IQ_TOTAL_REV",IQ_FY-10)/I543,_xll.ciqfunctions.udf.CIQ(A543, "IQ_TOTAL_REV",IQ_FY-9)/I543)</f>
        <v>#DIV/0!</v>
      </c>
      <c r="E543" s="16"/>
      <c r="F543" s="15">
        <f>IF(A551=A552,_xll.ciqfunctions.udf.CIQ(A543,"IQ_DILUT_EPS_EXCL",IQ_FY-10), _xll.ciqfunctions.udf.CIQ(A543, "IQ_DILUT_EPS_EXCL",IQ_FY-9))</f>
        <v>0</v>
      </c>
      <c r="G543" s="15">
        <f>IF(A551=A552,_xll.ciqfunctions.udf.CIQ(A543,"IQ_EBITDA_MARGIN",IQ_FY-10), _xll.ciqfunctions.udf.CIQ(A543, "IQ_EBITDA_MARGIN",IQ_FY-9))</f>
        <v>0</v>
      </c>
      <c r="H543" s="15" t="e">
        <f>IF(A551=A552,_xll.ciqfunctions.udf.CIQ(A543,"IQ_TOTAL_DIV_PAID_CF",IQ_FY-10)/-I543, _xll.ciqfunctions.udf.CIQ(A543, "IQ_TOTAL_DIV_PAID_CF",IQ_FY-9)/-I543)</f>
        <v>#DIV/0!</v>
      </c>
      <c r="I543" s="17">
        <f>IF(A551=A552,_xll.ciqfunctions.udf.CIQ(A543,"IQ_TOTAL_OUTSTANDING_FILING_DATE",IQ_FY-10), _xll.ciqfunctions.udf.CIQ(A543, "IQ_TOTAL_OUTSTANDING_FILING_DATE",IQ_FY-9))</f>
        <v>0</v>
      </c>
      <c r="J543" s="17">
        <f>IF(A551=A552,_xll.ciqfunctions.udf.CIQ(A543,"IQ_CASH_OPER",IQ_FY-10), _xll.ciqfunctions.udf.CIQ(A543, "IQ_CASH_OPER",IQ_FY-9))</f>
        <v>0</v>
      </c>
      <c r="K543" s="17">
        <f>IF(A551=A552,_xll.ciqfunctions.udf.CIQ(A543,"IQ_CAPEX",IQ_FY-10), _xll.ciqfunctions.udf.CIQ(A543, "IQ_CAPEX",IQ_FY-9))</f>
        <v>0</v>
      </c>
      <c r="L543" s="15" t="e">
        <f t="shared" ref="L543:L553" si="144">(J543+K543)/I543</f>
        <v>#DIV/0!</v>
      </c>
      <c r="M543" s="17">
        <f>IF(A551=A552,_xll.ciqfunctions.udf.CIQ(A543,"IQ_TOTAL_DEBT_ISSUED",IQ_FY-10), _xll.ciqfunctions.udf.CIQ(A543, "IQ_TOTAL_DEBT_ISSUED",IQ_FY-9))</f>
        <v>0</v>
      </c>
      <c r="N543" s="17">
        <f>IF(A551=A552,_xll.ciqfunctions.udf.CIQ(A543,"IQ_TOTAL_DEBT_REPAID",IQ_FY-10), _xll.ciqfunctions.udf.CIQ(A543, "IQ_TOTAL_DEBT_REPAID",IQ_FY-9))</f>
        <v>0</v>
      </c>
      <c r="O543" s="15" t="e">
        <f t="shared" ref="O543:O553" si="145">(M543+N543)/I543</f>
        <v>#DIV/0!</v>
      </c>
      <c r="P543" s="15" t="e">
        <f t="shared" ref="P543:P553" si="146">L543+O543</f>
        <v>#DIV/0!</v>
      </c>
      <c r="W543" s="43"/>
      <c r="AA543" s="43"/>
    </row>
    <row r="544" spans="1:27">
      <c r="A544" s="18" t="str">
        <f>_xll.ciqfunctions.udf.CIQ(A543,"IQ_COMPANY_NAME")</f>
        <v>GLOBALFOUNDRIES Inc.</v>
      </c>
      <c r="B544" s="13">
        <v>2</v>
      </c>
      <c r="C544" s="14" t="s">
        <v>17</v>
      </c>
      <c r="D544" s="15" t="e">
        <f>IF(A551=A552,_xll.ciqfunctions.udf.CIQ(A543,"IQ_TOTAL_REV",IQ_FY-9)/I544, _xll.ciqfunctions.udf.CIQ(A543, "IQ_TOTAL_REV",IQ_FY-8)/I544)</f>
        <v>#DIV/0!</v>
      </c>
      <c r="E544" s="16" t="e">
        <f t="shared" ref="E544:E553" si="147">(D544-D543)/D543</f>
        <v>#DIV/0!</v>
      </c>
      <c r="F544" s="15">
        <f>IF(A551=A552,_xll.ciqfunctions.udf.CIQ(A543,"IQ_DILUT_EPS_EXCL",IQ_FY-9), _xll.ciqfunctions.udf.CIQ(A543, "IQ_DILUT_EPS_EXCL",IQ_FY-8))</f>
        <v>0</v>
      </c>
      <c r="G544" s="15">
        <f>IF(A551=A552,_xll.ciqfunctions.udf.CIQ(A543,"IQ_EBITDA_MARGIN",IQ_FY-9), _xll.ciqfunctions.udf.CIQ(A543, "IQ_EBITDA_MARGIN",IQ_FY-8))</f>
        <v>0</v>
      </c>
      <c r="H544" s="15" t="e">
        <f>IF(A551=A552,_xll.ciqfunctions.udf.CIQ(A543,"IQ_TOTAL_DIV_PAID_CF",IQ_FY-9)/-I544, _xll.ciqfunctions.udf.CIQ(A543, "IQ_TOTAL_DIV_PAID_CF",IQ_FY-8)/-I544)</f>
        <v>#DIV/0!</v>
      </c>
      <c r="I544" s="17">
        <f>IF(A551=A552,_xll.ciqfunctions.udf.CIQ(A543,"IQ_TOTAL_OUTSTANDING_FILING_DATE",IQ_FY-9), _xll.ciqfunctions.udf.CIQ(A543, "IQ_TOTAL_OUTSTANDING_FILING_DATE",IQ_FY-8))</f>
        <v>0</v>
      </c>
      <c r="J544" s="17">
        <f>IF(A551=A552,_xll.ciqfunctions.udf.CIQ(A543,"IQ_CASH_OPER",IQ_FY-9), _xll.ciqfunctions.udf.CIQ(A543, "IQ_CASH_OPER",IQ_FY-8))</f>
        <v>0</v>
      </c>
      <c r="K544" s="17">
        <f>IF(A551=A552,_xll.ciqfunctions.udf.CIQ(A543,"IQ_CAPEX",IQ_FY-9), _xll.ciqfunctions.udf.CIQ(A543, "IQ_CAPEX",IQ_FY-8))</f>
        <v>0</v>
      </c>
      <c r="L544" s="15" t="e">
        <f t="shared" si="144"/>
        <v>#DIV/0!</v>
      </c>
      <c r="M544" s="17">
        <f>IF(A551=A552,_xll.ciqfunctions.udf.CIQ(A543,"IQ_TOTAL_DEBT_ISSUED",IQ_FY-9), _xll.ciqfunctions.udf.CIQ(A543, "IQ_TOTAL_DEBT_ISSUED",IQ_FY-8))</f>
        <v>0</v>
      </c>
      <c r="N544" s="17">
        <f>IF(A551=A552,_xll.ciqfunctions.udf.CIQ(A543,"IQ_TOTAL_DEBT_REPAID",IQ_FY-9), _xll.ciqfunctions.udf.CIQ(A543, "IQ_TOTAL_DEBT_REPAID",IQ_FY-8))</f>
        <v>0</v>
      </c>
      <c r="O544" s="15" t="e">
        <f t="shared" si="145"/>
        <v>#DIV/0!</v>
      </c>
      <c r="P544" s="15" t="e">
        <f t="shared" si="146"/>
        <v>#DIV/0!</v>
      </c>
      <c r="Q544" s="25" t="s">
        <v>18</v>
      </c>
      <c r="R544" s="39" t="s">
        <v>19</v>
      </c>
      <c r="S544" s="1">
        <f>R542/((AVERAGE(P548:P553))*(1+E554)^3)</f>
        <v>-74.345054680850524</v>
      </c>
      <c r="U544" s="25" t="s">
        <v>48</v>
      </c>
      <c r="V544" s="39" t="s">
        <v>19</v>
      </c>
      <c r="W544" s="1">
        <f>V542/((AVERAGE(P548:P553))*(1+E554)^3)</f>
        <v>-74.345054680850524</v>
      </c>
      <c r="Y544" s="25" t="s">
        <v>39</v>
      </c>
      <c r="Z544" s="39" t="s">
        <v>19</v>
      </c>
      <c r="AA544" s="1">
        <f>Z542/((AVERAGE(P548:P553))*(1+E554)^3)</f>
        <v>-74.345054680850524</v>
      </c>
    </row>
    <row r="545" spans="1:27">
      <c r="B545" s="13">
        <v>3</v>
      </c>
      <c r="C545" s="14" t="s">
        <v>20</v>
      </c>
      <c r="D545" s="15" t="e" cm="1">
        <f t="array" ref="D545">_xlfn.SINGLE(IF(A551=A552,_xll.ciqfunctions.udf.CIQ(A543,"IQ_TOTAL_REV",IQ_FY-8)/I545, _xll.ciqfunctions.udf.CIQ(A543, "IQ_TOTAL_REV",IQ_FY-7)/I545))</f>
        <v>#DIV/0!</v>
      </c>
      <c r="E545" s="16" t="e">
        <f t="shared" si="147"/>
        <v>#DIV/0!</v>
      </c>
      <c r="F545" s="15">
        <f>IF(A551=A552,_xll.ciqfunctions.udf.CIQ(A543,"IQ_DILUT_EPS_EXCL",IQ_FY-8), _xll.ciqfunctions.udf.CIQ(A543, "IQ_DILUT_EPS_EXCL",IQ_FY-7))</f>
        <v>0</v>
      </c>
      <c r="G545" s="15">
        <f>IF(A551=A552,_xll.ciqfunctions.udf.CIQ(A543,"IQ_EBITDA_MARGIN",IQ_FY-8), _xll.ciqfunctions.udf.CIQ(A543, "IQ_EBITDA_MARGIN",IQ_FY-7))</f>
        <v>0</v>
      </c>
      <c r="H545" s="15" t="e">
        <f>IF(A551=A552,_xll.ciqfunctions.udf.CIQ(A543,"IQ_TOTAL_DIV_PAID_CF",IQ_FY-8)/-I545, _xll.ciqfunctions.udf.CIQ(A543, "IQ_TOTAL_DIV_PAID_CF",IQ_FY-7)/-I545)</f>
        <v>#DIV/0!</v>
      </c>
      <c r="I545" s="17">
        <f>IF(A551=A552,_xll.ciqfunctions.udf.CIQ(A543,"IQ_TOTAL_OUTSTANDING_FILING_DATE",IQ_FY-8), _xll.ciqfunctions.udf.CIQ(A543, "IQ_TOTAL_OUTSTANDING_FILING_DATE",IQ_FY-7))</f>
        <v>0</v>
      </c>
      <c r="J545" s="17">
        <f>IF(A551=A552,_xll.ciqfunctions.udf.CIQ(A543,"IQ_CASH_OPER",IQ_FY-8), _xll.ciqfunctions.udf.CIQ(A543, "IQ_CASH_OPER",IQ_FY-7))</f>
        <v>0</v>
      </c>
      <c r="K545" s="17">
        <f>IF(A551=A552,_xll.ciqfunctions.udf.CIQ(A543,"IQ_CAPEX",IQ_FY-8), _xll.ciqfunctions.udf.CIQ(A543, "IQ_CAPEX",IQ_FY-7))</f>
        <v>0</v>
      </c>
      <c r="L545" s="15" t="e">
        <f t="shared" si="144"/>
        <v>#DIV/0!</v>
      </c>
      <c r="M545" s="17">
        <f>IF(A551=A552,_xll.ciqfunctions.udf.CIQ(A543,"IQ_TOTAL_DEBT_ISSUED",IQ_FY-8), _xll.ciqfunctions.udf.CIQ(A543, "IQ_TOTAL_DEBT_ISSUED",IQ_FY-7))</f>
        <v>0</v>
      </c>
      <c r="N545" s="17">
        <f>IF(A551=A552,_xll.ciqfunctions.udf.CIQ(A543,"IQ_TOTAL_DEBT_REPAID",IQ_FY-8), _xll.ciqfunctions.udf.CIQ(A543, "IQ_TOTAL_DEBT_REPAID",IQ_FY-7))</f>
        <v>0</v>
      </c>
      <c r="O545" s="15" t="e">
        <f t="shared" si="145"/>
        <v>#DIV/0!</v>
      </c>
      <c r="P545" s="15" t="e">
        <f t="shared" si="146"/>
        <v>#DIV/0!</v>
      </c>
      <c r="Q545" s="25" t="s">
        <v>21</v>
      </c>
      <c r="R545" s="38" t="s">
        <v>49</v>
      </c>
      <c r="S545" s="2">
        <f>(R542*I553)/1000</f>
        <v>30.818716289999998</v>
      </c>
      <c r="U545" s="25" t="s">
        <v>59</v>
      </c>
      <c r="V545" s="38" t="s">
        <v>49</v>
      </c>
      <c r="W545" s="2">
        <f>(V542*I553)/1000</f>
        <v>30.818716289999998</v>
      </c>
      <c r="Y545" s="25" t="s">
        <v>46</v>
      </c>
      <c r="Z545" s="38" t="s">
        <v>49</v>
      </c>
      <c r="AA545" s="2">
        <f>(Z542*I553)/1000</f>
        <v>30.818716289999998</v>
      </c>
    </row>
    <row r="546" spans="1:27">
      <c r="A546" s="18"/>
      <c r="B546" s="13">
        <v>4</v>
      </c>
      <c r="C546" s="14" t="s">
        <v>22</v>
      </c>
      <c r="D546" s="15" t="e" cm="1">
        <f t="array" ref="D546">_xlfn.SINGLE(IF(A551=A552,_xll.ciqfunctions.udf.CIQ(A543,"IQ_TOTAL_REV",IQ_FY-7)/I546, _xll.ciqfunctions.udf.CIQ(A543, "IQ_TOTAL_REV",IQ_FY-6)/I546))</f>
        <v>#DIV/0!</v>
      </c>
      <c r="E546" s="16" t="e">
        <f t="shared" si="147"/>
        <v>#DIV/0!</v>
      </c>
      <c r="F546" s="15">
        <f>IF(A551=A552,_xll.ciqfunctions.udf.CIQ(A543,"IQ_DILUT_EPS_EXCL",IQ_FY-7), _xll.ciqfunctions.udf.CIQ(A543, "IQ_DILUT_EPS_EXCL",IQ_FY-6))</f>
        <v>0</v>
      </c>
      <c r="G546" s="15">
        <f>IF(A551=A552,_xll.ciqfunctions.udf.CIQ(A543,"IQ_EBITDA_MARGIN",IQ_FY-7), _xll.ciqfunctions.udf.CIQ(A543, "IQ_EBITDA_MARGIN",IQ_FY-6))</f>
        <v>0</v>
      </c>
      <c r="H546" s="15" t="e">
        <f>IF(A551=A552,_xll.ciqfunctions.udf.CIQ(A543,"IQ_TOTAL_DIV_PAID_CF",IQ_FY-7)/-I546, _xll.ciqfunctions.udf.CIQ(A543, "IQ_TOTAL_DIV_PAID_CF",IQ_FY-6)/-I546)</f>
        <v>#DIV/0!</v>
      </c>
      <c r="I546" s="17">
        <f>IF(A551=A552,_xll.ciqfunctions.udf.CIQ(A543,"IQ_TOTAL_OUTSTANDING_FILING_DATE",IQ_FY-7), _xll.ciqfunctions.udf.CIQ(A543, "IQ_TOTAL_OUTSTANDING_FILING_DATE",IQ_FY-6))</f>
        <v>0</v>
      </c>
      <c r="J546" s="17">
        <f>IF(A551=A552,_xll.ciqfunctions.udf.CIQ(A543,"IQ_CASH_OPER",IQ_FY-7), _xll.ciqfunctions.udf.CIQ(A543, "IQ_CASH_OPER",IQ_FY-6))</f>
        <v>0</v>
      </c>
      <c r="K546" s="17">
        <f>IF(A551=A552,_xll.ciqfunctions.udf.CIQ(A543,"IQ_CAPEX",IQ_FY-7), _xll.ciqfunctions.udf.CIQ(A543, "IQ_CAPEX",IQ_FY-6))</f>
        <v>0</v>
      </c>
      <c r="L546" s="15" t="e">
        <f t="shared" si="144"/>
        <v>#DIV/0!</v>
      </c>
      <c r="M546" s="17">
        <f>IF(A551=A552,_xll.ciqfunctions.udf.CIQ(A543,"IQ_TOTAL_DEBT_ISSUED",IQ_FY-7), _xll.ciqfunctions.udf.CIQ(A543, "IQ_TOTAL_DEBT_ISSUED",IQ_FY-6))</f>
        <v>0</v>
      </c>
      <c r="N546" s="17">
        <f>IF(A551=A552,_xll.ciqfunctions.udf.CIQ(A543,"IQ_TOTAL_DEBT_REPAID",IQ_FY-7), _xll.ciqfunctions.udf.CIQ(A543, "IQ_TOTAL_DEBT_REPAID",IQ_FY-6))</f>
        <v>0</v>
      </c>
      <c r="O546" s="15" t="e">
        <f t="shared" si="145"/>
        <v>#DIV/0!</v>
      </c>
      <c r="P546" s="15" t="e">
        <f t="shared" si="146"/>
        <v>#DIV/0!</v>
      </c>
      <c r="Q546" s="25" t="s">
        <v>23</v>
      </c>
      <c r="R546" s="38" t="s">
        <v>24</v>
      </c>
      <c r="S546" s="1" t="e">
        <f>R542/(AVERAGE(H548:H553)*(1+H554)/(0.5-H554))</f>
        <v>#DIV/0!</v>
      </c>
      <c r="U546" s="25" t="s">
        <v>40</v>
      </c>
      <c r="V546" s="38" t="s">
        <v>24</v>
      </c>
      <c r="W546" s="1" t="e">
        <f>V542/(AVERAGE(H548:H553)*(1+H554)/(0.5-H554))</f>
        <v>#DIV/0!</v>
      </c>
      <c r="Y546" s="25" t="s">
        <v>47</v>
      </c>
      <c r="Z546" s="38" t="s">
        <v>24</v>
      </c>
      <c r="AA546" s="1" t="e">
        <f>Z542/(AVERAGE(H548:H553)*(1+H554)/(0.5-H554))</f>
        <v>#DIV/0!</v>
      </c>
    </row>
    <row r="547" spans="1:27">
      <c r="B547" s="13">
        <v>5</v>
      </c>
      <c r="C547" s="14" t="s">
        <v>25</v>
      </c>
      <c r="D547" s="15" t="e" cm="1">
        <f t="array" ref="D547">_xlfn.SINGLE(IF(A551=A552,_xll.ciqfunctions.udf.CIQ(A543,"IQ_TOTAL_REV",IQ_FY-6)/I547, _xll.ciqfunctions.udf.CIQ(A543, "IQ_TOTAL_REV",IQ_FY-5)/I547))</f>
        <v>#DIV/0!</v>
      </c>
      <c r="E547" s="16" t="e">
        <f t="shared" si="147"/>
        <v>#DIV/0!</v>
      </c>
      <c r="F547" s="15">
        <f>IF(A551=A552,_xll.ciqfunctions.udf.CIQ(A543,"IQ_DILUT_EPS_EXCL",IQ_FY-6), _xll.ciqfunctions.udf.CIQ(A543, "IQ_DILUT_EPS_EXCL",IQ_FY-5))</f>
        <v>0</v>
      </c>
      <c r="G547" s="15">
        <f>IF(A551=A552,_xll.ciqfunctions.udf.CIQ(A543,"IQ_EBITDA_MARGIN",IQ_FY-6), _xll.ciqfunctions.udf.CIQ(A543, "IQ_EBITDA_MARGIN",IQ_FY-5))</f>
        <v>0</v>
      </c>
      <c r="H547" s="15" t="e">
        <f>IF(A551=A552,_xll.ciqfunctions.udf.CIQ(A543,"IQ_TOTAL_DIV_PAID_CF",IQ_FY-6)/-I547, _xll.ciqfunctions.udf.CIQ(A543, "IQ_TOTAL_DIV_PAID_CF",IQ_FY-5)/-I547)</f>
        <v>#DIV/0!</v>
      </c>
      <c r="I547" s="17">
        <f>IF(A551=A552,_xll.ciqfunctions.udf.CIQ(A543,"IQ_TOTAL_OUTSTANDING_FILING_DATE",IQ_FY-6), _xll.ciqfunctions.udf.CIQ(A543, "IQ_TOTAL_OUTSTANDING_FILING_DATE",IQ_FY-5))</f>
        <v>0</v>
      </c>
      <c r="J547" s="17">
        <f>IF(A551=A552,_xll.ciqfunctions.udf.CIQ(A543,"IQ_CASH_OPER",IQ_FY-6), _xll.ciqfunctions.udf.CIQ(A543, "IQ_CASH_OPER",IQ_FY-5))</f>
        <v>0</v>
      </c>
      <c r="K547" s="17">
        <f>IF(A551=A552,_xll.ciqfunctions.udf.CIQ(A543,"IQ_CAPEX",IQ_FY-6), _xll.ciqfunctions.udf.CIQ(A543, "IQ_CAPEX",IQ_FY-5))</f>
        <v>0</v>
      </c>
      <c r="L547" s="15" t="e">
        <f t="shared" si="144"/>
        <v>#DIV/0!</v>
      </c>
      <c r="M547" s="17">
        <f>IF(A551=A552,_xll.ciqfunctions.udf.CIQ(A543,"IQ_TOTAL_DEBT_ISSUED",IQ_FY-6), _xll.ciqfunctions.udf.CIQ(A543, "IQ_TOTAL_DEBT_ISSUED",IQ_FY-5))</f>
        <v>0</v>
      </c>
      <c r="N547" s="17">
        <f>IF(A551=A552,_xll.ciqfunctions.udf.CIQ(A543,"IQ_TOTAL_DEBT_REPAID",IQ_FY-6), _xll.ciqfunctions.udf.CIQ(A543, "IQ_TOTAL_DEBT_REPAID",IQ_FY-5))</f>
        <v>0</v>
      </c>
      <c r="O547" s="15" t="e">
        <f t="shared" si="145"/>
        <v>#DIV/0!</v>
      </c>
      <c r="P547" s="15" t="e">
        <f t="shared" si="146"/>
        <v>#DIV/0!</v>
      </c>
      <c r="Q547" s="18"/>
      <c r="R547" s="38" t="s">
        <v>50</v>
      </c>
      <c r="S547" s="3">
        <f>I554</f>
        <v>-8.3558692168549387E-3</v>
      </c>
      <c r="U547" s="18"/>
      <c r="V547" s="38" t="s">
        <v>50</v>
      </c>
      <c r="W547" s="3">
        <f>I554</f>
        <v>-8.3558692168549387E-3</v>
      </c>
      <c r="Y547" s="18"/>
      <c r="Z547" s="38" t="s">
        <v>50</v>
      </c>
      <c r="AA547" s="3">
        <f>I554</f>
        <v>-8.3558692168549387E-3</v>
      </c>
    </row>
    <row r="548" spans="1:27">
      <c r="B548" s="13">
        <v>6</v>
      </c>
      <c r="C548" s="14" t="s">
        <v>26</v>
      </c>
      <c r="D548" s="15" cm="1">
        <f t="array" ref="D548">_xlfn.SINGLE(IF(A551=A552,_xll.ciqfunctions.udf.CIQ(A543,"IQ_TOTAL_REV",IQ_FY-5)/I548, _xll.ciqfunctions.udf.CIQ(A543, "IQ_TOTAL_REV",IQ_FY-4)/I548))</f>
        <v>10.740190515843977</v>
      </c>
      <c r="E548" s="16" t="e">
        <f t="shared" si="147"/>
        <v>#DIV/0!</v>
      </c>
      <c r="F548" s="15">
        <f>IF(A551=A552,_xll.ciqfunctions.udf.CIQ(A543,"IQ_DILUT_EPS_EXCL",IQ_FY-5), _xll.ciqfunctions.udf.CIQ(A543, "IQ_DILUT_EPS_EXCL",IQ_FY-4))</f>
        <v>-4.4263700000000004</v>
      </c>
      <c r="G548" s="15">
        <f>IF(A551=A552,_xll.ciqfunctions.udf.CIQ(A543,"IQ_EBITDA_MARGIN",IQ_FY-5), _xll.ciqfunctions.udf.CIQ(A543, "IQ_EBITDA_MARGIN",IQ_FY-4))</f>
        <v>18.058399999999999</v>
      </c>
      <c r="H548" s="15">
        <f>IF(A551=A552,_xll.ciqfunctions.udf.CIQ(A543,"IQ_TOTAL_DIV_PAID_CF",IQ_FY-5)/-I548, _xll.ciqfunctions.udf.CIQ(A543, "IQ_TOTAL_DIV_PAID_CF",IQ_FY-4)/-I548)</f>
        <v>0</v>
      </c>
      <c r="I548" s="17">
        <f>IF(A551=A552,_xll.ciqfunctions.udf.CIQ(A543,"IQ_TOTAL_OUTSTANDING_FILING_DATE",IQ_FY-5), _xll.ciqfunctions.udf.CIQ(A543, "IQ_TOTAL_OUTSTANDING_FILING_DATE",IQ_FY-4))</f>
        <v>576.90215000000001</v>
      </c>
      <c r="J548" s="17">
        <f>IF(A551=A552,_xll.ciqfunctions.udf.CIQ(A543,"IQ_CASH_OPER",IQ_FY-5), _xll.ciqfunctions.udf.CIQ(A543, "IQ_CASH_OPER",IQ_FY-4))</f>
        <v>279.30900000000003</v>
      </c>
      <c r="K548" s="17">
        <f>IF(A551=A552,_xll.ciqfunctions.udf.CIQ(A543,"IQ_CAPEX",IQ_FY-5), _xll.ciqfunctions.udf.CIQ(A543, "IQ_CAPEX",IQ_FY-4))</f>
        <v>-1150.2550000000001</v>
      </c>
      <c r="L548" s="15">
        <f t="shared" si="144"/>
        <v>-1.5096944949849815</v>
      </c>
      <c r="M548" s="17">
        <f>IF(A551=A552,_xll.ciqfunctions.udf.CIQ(A543,"IQ_TOTAL_DEBT_ISSUED",IQ_FY-5), _xll.ciqfunctions.udf.CIQ(A543, "IQ_TOTAL_DEBT_ISSUED",IQ_FY-4))</f>
        <v>2900.9160000000002</v>
      </c>
      <c r="N548" s="17">
        <f>IF(A551=A552,_xll.ciqfunctions.udf.CIQ(A543,"IQ_TOTAL_DEBT_REPAID",IQ_FY-5), _xll.ciqfunctions.udf.CIQ(A543, "IQ_TOTAL_DEBT_REPAID",IQ_FY-4))</f>
        <v>-2064.3789999999999</v>
      </c>
      <c r="O548" s="15">
        <f t="shared" si="145"/>
        <v>1.4500500648160182</v>
      </c>
      <c r="P548" s="15">
        <f t="shared" si="146"/>
        <v>-5.9644430168963369E-2</v>
      </c>
      <c r="Q548" s="25" t="s">
        <v>27</v>
      </c>
      <c r="R548" s="38" t="s">
        <v>51</v>
      </c>
      <c r="S548" s="4">
        <f>AVERAGE(F548:F553)/AVERAGE(D548:D553)</f>
        <v>-7.1071985168345647E-2</v>
      </c>
      <c r="U548" s="25" t="s">
        <v>58</v>
      </c>
      <c r="V548" s="38" t="s">
        <v>51</v>
      </c>
      <c r="W548" s="4">
        <f>AVERAGE(F548:F553)/AVERAGE(D548:D553)</f>
        <v>-7.1071985168345647E-2</v>
      </c>
      <c r="Y548" s="25" t="s">
        <v>56</v>
      </c>
      <c r="Z548" s="38" t="s">
        <v>51</v>
      </c>
      <c r="AA548" s="4">
        <f>AVERAGE(F548:F553)/AVERAGE(D548:D553)</f>
        <v>-7.1071985168345647E-2</v>
      </c>
    </row>
    <row r="549" spans="1:27">
      <c r="A549" s="18"/>
      <c r="B549" s="13">
        <v>7</v>
      </c>
      <c r="C549" s="14" t="s">
        <v>28</v>
      </c>
      <c r="D549" s="15" cm="1">
        <f t="array" ref="D549">_xlfn.SINGLE(IF(A551=A552,_xll.ciqfunctions.udf.CIQ(A543,"IQ_TOTAL_REV",IQ_FY-4)/I549, _xll.ciqfunctions.udf.CIQ(A543, "IQ_TOTAL_REV",IQ_FY-3)/I549))</f>
        <v>11.533237898740827</v>
      </c>
      <c r="E549" s="16">
        <f t="shared" si="147"/>
        <v>7.3839228617680733E-2</v>
      </c>
      <c r="F549" s="15">
        <f>IF(A551=A552,_xll.ciqfunctions.udf.CIQ(A543,"IQ_DILUT_EPS_EXCL",IQ_FY-4), _xll.ciqfunctions.udf.CIQ(A543, "IQ_DILUT_EPS_EXCL",IQ_FY-3))</f>
        <v>-2.7205900000000001</v>
      </c>
      <c r="G549" s="15">
        <f>IF(A551=A552,_xll.ciqfunctions.udf.CIQ(A543,"IQ_EBITDA_MARGIN",IQ_FY-4), _xll.ciqfunctions.udf.CIQ(A543, "IQ_EBITDA_MARGIN",IQ_FY-3))</f>
        <v>19.2227</v>
      </c>
      <c r="H549" s="15">
        <f>IF(A551=A552,_xll.ciqfunctions.udf.CIQ(A543,"IQ_TOTAL_DIV_PAID_CF",IQ_FY-4)/-I549, _xll.ciqfunctions.udf.CIQ(A543, "IQ_TOTAL_DIV_PAID_CF",IQ_FY-3)/-I549)</f>
        <v>0</v>
      </c>
      <c r="I549" s="17">
        <f>IF(A551=A552,_xll.ciqfunctions.udf.CIQ(A543,"IQ_TOTAL_OUTSTANDING_FILING_DATE",IQ_FY-4), _xll.ciqfunctions.udf.CIQ(A543, "IQ_TOTAL_OUTSTANDING_FILING_DATE",IQ_FY-3))</f>
        <v>504.00313</v>
      </c>
      <c r="J549" s="17">
        <f>IF(A551=A552,_xll.ciqfunctions.udf.CIQ(A543,"IQ_CASH_OPER",IQ_FY-4), _xll.ciqfunctions.udf.CIQ(A543, "IQ_CASH_OPER",IQ_FY-3))</f>
        <v>496.81900000000002</v>
      </c>
      <c r="K549" s="17">
        <f>IF(A551=A552,_xll.ciqfunctions.udf.CIQ(A543,"IQ_CAPEX",IQ_FY-4), _xll.ciqfunctions.udf.CIQ(A543, "IQ_CAPEX",IQ_FY-3))</f>
        <v>-587.93399999999997</v>
      </c>
      <c r="L549" s="15">
        <f t="shared" si="144"/>
        <v>-0.18078260744134655</v>
      </c>
      <c r="M549" s="17">
        <f>IF(A551=A552,_xll.ciqfunctions.udf.CIQ(A543,"IQ_TOTAL_DEBT_ISSUED",IQ_FY-4), _xll.ciqfunctions.udf.CIQ(A543, "IQ_TOTAL_DEBT_ISSUED",IQ_FY-3))</f>
        <v>2814.8270000000002</v>
      </c>
      <c r="N549" s="17">
        <f>IF(A551=A552,_xll.ciqfunctions.udf.CIQ(A543,"IQ_TOTAL_DEBT_REPAID",IQ_FY-4), _xll.ciqfunctions.udf.CIQ(A543, "IQ_TOTAL_DEBT_REPAID",IQ_FY-3))</f>
        <v>-3805.8449999999998</v>
      </c>
      <c r="O549" s="15">
        <f t="shared" si="145"/>
        <v>-1.9662933442496668</v>
      </c>
      <c r="P549" s="15">
        <f t="shared" si="146"/>
        <v>-2.1470759516910132</v>
      </c>
      <c r="Q549" s="18"/>
      <c r="R549" s="38" t="s">
        <v>29</v>
      </c>
      <c r="S549" s="4">
        <f>(AVERAGE(P548:P553)/_xlfn.STDEV.P(P548:P553))/(IF(A551=A552,(_xlfn.SINGLE(_xll.ciqfunctions.udf.CIQ(A543,"IQ_total_assets",IQ_FY)) - _xlfn.SINGLE(_xll.ciqfunctions.udf.CIQ(A543,"iq_gw_intan", IQ_FY)))/I553, (_xlfn.SINGLE(_xll.ciqfunctions.udf.CIQ(A543, "IQ_total_assets",IQ_LTM))-_xlfn.SINGLE(_xll.ciqfunctions.udf.CIQ(A543,"iq_gw_intan",IQ_LTM)))/I553))</f>
        <v>-2.2792591406829897E-2</v>
      </c>
      <c r="U549" s="18"/>
      <c r="V549" s="38" t="s">
        <v>29</v>
      </c>
      <c r="W549" s="4">
        <f>(AVERAGE(P548:P553)/_xlfn.STDEV.P(P548:P553))/(IF(A551=A552,(_xlfn.SINGLE(_xll.ciqfunctions.udf.CIQ(A543,"IQ_total_assets",IQ_FY)) - _xlfn.SINGLE(_xll.ciqfunctions.udf.CIQ(A543,"iq_gw_intan", IQ_FY)))/I553, (_xlfn.SINGLE(_xll.ciqfunctions.udf.CIQ(A543, "IQ_total_assets",IQ_LTM))-_xlfn.SINGLE(_xll.ciqfunctions.udf.CIQ(A543,"iq_gw_intan",IQ_LTM)))/I553))</f>
        <v>-2.2792591406829897E-2</v>
      </c>
      <c r="Y549" s="18"/>
      <c r="Z549" s="38" t="s">
        <v>29</v>
      </c>
      <c r="AA549" s="4">
        <f>(AVERAGE(P548:P553)/_xlfn.STDEV.P(P548:P553))/(IF(A551=A552,(_xlfn.SINGLE(_xll.ciqfunctions.udf.CIQ(A543,"IQ_total_assets",IQ_FY)) - _xlfn.SINGLE(_xll.ciqfunctions.udf.CIQ(A543,"iq_gw_intan", IQ_FY)))/I553, (_xlfn.SINGLE(_xll.ciqfunctions.udf.CIQ(A543, "IQ_total_assets",IQ_LTM))-_xlfn.SINGLE(_xll.ciqfunctions.udf.CIQ(A543,"iq_gw_intan",IQ_LTM)))/I553))</f>
        <v>-2.2792591406829897E-2</v>
      </c>
    </row>
    <row r="550" spans="1:27">
      <c r="A550" s="18"/>
      <c r="B550" s="13">
        <v>8</v>
      </c>
      <c r="C550" s="14" t="s">
        <v>30</v>
      </c>
      <c r="D550" s="15" cm="1">
        <f t="array" ref="D550">_xlfn.SINGLE(IF(A551=A552,_xll.ciqfunctions.udf.CIQ(A543,"IQ_TOTAL_REV",IQ_FY-3)/I550, _xll.ciqfunctions.udf.CIQ(A543, "IQ_TOTAL_REV",IQ_FY-2)/I550))</f>
        <v>9.702</v>
      </c>
      <c r="E550" s="16">
        <f t="shared" si="147"/>
        <v>-0.15877916633808081</v>
      </c>
      <c r="F550" s="15">
        <f>IF(A551=A552,_xll.ciqfunctions.udf.CIQ(A543,"IQ_DILUT_EPS_EXCL",IQ_FY-3), _xll.ciqfunctions.udf.CIQ(A543, "IQ_DILUT_EPS_EXCL",IQ_FY-2))</f>
        <v>-2.7</v>
      </c>
      <c r="G550" s="15">
        <f>IF(A551=A552,_xll.ciqfunctions.udf.CIQ(A543,"IQ_EBITDA_MARGIN",IQ_FY-3), _xll.ciqfunctions.udf.CIQ(A543, "IQ_EBITDA_MARGIN",IQ_FY-2))</f>
        <v>18.3261</v>
      </c>
      <c r="H550" s="15">
        <f>IF(A551=A552,_xll.ciqfunctions.udf.CIQ(A543,"IQ_TOTAL_DIV_PAID_CF",IQ_FY-3)/-I550, _xll.ciqfunctions.udf.CIQ(A543, "IQ_TOTAL_DIV_PAID_CF",IQ_FY-2)/-I550)</f>
        <v>0</v>
      </c>
      <c r="I550" s="17">
        <f>IF(A551=A552,_xll.ciqfunctions.udf.CIQ(A543,"IQ_TOTAL_OUTSTANDING_FILING_DATE",IQ_FY-3), _xll.ciqfunctions.udf.CIQ(A543, "IQ_TOTAL_OUTSTANDING_FILING_DATE",IQ_FY-2))</f>
        <v>500</v>
      </c>
      <c r="J550" s="17">
        <f>IF(A551=A552,_xll.ciqfunctions.udf.CIQ(A543,"IQ_CASH_OPER",IQ_FY-3), _xll.ciqfunctions.udf.CIQ(A543, "IQ_CASH_OPER",IQ_FY-2))</f>
        <v>1004</v>
      </c>
      <c r="K550" s="17">
        <f>IF(A551=A552,_xll.ciqfunctions.udf.CIQ(A543,"IQ_CAPEX",IQ_FY-3), _xll.ciqfunctions.udf.CIQ(A543, "IQ_CAPEX",IQ_FY-2))</f>
        <v>-592</v>
      </c>
      <c r="L550" s="15">
        <f t="shared" si="144"/>
        <v>0.82399999999999995</v>
      </c>
      <c r="M550" s="17">
        <f>IF(A551=A552,_xll.ciqfunctions.udf.CIQ(A543,"IQ_TOTAL_DEBT_ISSUED",IQ_FY-3), _xll.ciqfunctions.udf.CIQ(A543, "IQ_TOTAL_DEBT_ISSUED",IQ_FY-2))</f>
        <v>2801</v>
      </c>
      <c r="N550" s="17">
        <f>IF(A551=A552,_xll.ciqfunctions.udf.CIQ(A543,"IQ_TOTAL_DEBT_REPAID",IQ_FY-3), _xll.ciqfunctions.udf.CIQ(A543, "IQ_TOTAL_DEBT_REPAID",IQ_FY-2))</f>
        <v>-3845</v>
      </c>
      <c r="O550" s="15">
        <f t="shared" si="145"/>
        <v>-2.0880000000000001</v>
      </c>
      <c r="P550" s="15">
        <f t="shared" si="146"/>
        <v>-1.2640000000000002</v>
      </c>
      <c r="Q550" s="18"/>
      <c r="R550" s="39" t="s">
        <v>31</v>
      </c>
      <c r="S550" s="5" t="e">
        <f>IF(NOT(D543&gt;0),FALSE,SLOPE(G543:G553,B543:B553))</f>
        <v>#DIV/0!</v>
      </c>
      <c r="U550" s="18"/>
      <c r="V550" s="39" t="s">
        <v>31</v>
      </c>
      <c r="W550" s="5" t="e">
        <f>IF(NOT(D543&gt;0),FALSE,SLOPE(G543:G553,B543:B553))</f>
        <v>#DIV/0!</v>
      </c>
      <c r="Y550" s="18"/>
      <c r="Z550" s="39" t="s">
        <v>31</v>
      </c>
      <c r="AA550" s="5" t="e">
        <f>IF(NOT(L543&gt;0),FALSE,SLOPE(O543:O553,J543:J553))</f>
        <v>#DIV/0!</v>
      </c>
    </row>
    <row r="551" spans="1:27">
      <c r="A551" s="19">
        <f>_xll.ciqfunctions.udf.CIQ(A543,"IQ_TOTAL_REV",IQ_FY)</f>
        <v>8108</v>
      </c>
      <c r="B551" s="13">
        <v>9</v>
      </c>
      <c r="C551" s="14" t="s">
        <v>32</v>
      </c>
      <c r="D551" s="15" cm="1">
        <f t="array" ref="D551">_xlfn.SINGLE(IF(A551=A552,_xll.ciqfunctions.udf.CIQ(A543,"IQ_TOTAL_REV",IQ_FY-2)/I551, _xll.ciqfunctions.udf.CIQ(A543, "IQ_TOTAL_REV",IQ_FY-1)/I551))</f>
        <v>12.381409692216394</v>
      </c>
      <c r="E551" s="16">
        <f t="shared" si="147"/>
        <v>0.27617086087573633</v>
      </c>
      <c r="F551" s="15">
        <f>IF(A551=A552,_xll.ciqfunctions.udf.CIQ(A543,"IQ_DILUT_EPS_EXCL",IQ_FY-2), _xll.ciqfunctions.udf.CIQ(A543, "IQ_DILUT_EPS_EXCL",IQ_FY-1))</f>
        <v>-0.49407000000000001</v>
      </c>
      <c r="G551" s="15">
        <f>IF(A551=A552,_xll.ciqfunctions.udf.CIQ(A543,"IQ_EBITDA_MARGIN",IQ_FY-2), _xll.ciqfunctions.udf.CIQ(A543, "IQ_EBITDA_MARGIN",IQ_FY-1))</f>
        <v>23.431999999999999</v>
      </c>
      <c r="H551" s="15">
        <f>IF(A551=A552,_xll.ciqfunctions.udf.CIQ(A543,"IQ_TOTAL_DIV_PAID_CF",IQ_FY-2)/-I551, _xll.ciqfunctions.udf.CIQ(A543, "IQ_TOTAL_DIV_PAID_CF",IQ_FY-1)/-I551)</f>
        <v>0</v>
      </c>
      <c r="I551" s="17">
        <f>IF(A551=A552,_xll.ciqfunctions.udf.CIQ(A543,"IQ_TOTAL_OUTSTANDING_FILING_DATE",IQ_FY-2), _xll.ciqfunctions.udf.CIQ(A543, "IQ_TOTAL_OUTSTANDING_FILING_DATE",IQ_FY-1))</f>
        <v>531.84573999999998</v>
      </c>
      <c r="J551" s="17">
        <f>IF(A551=A552,_xll.ciqfunctions.udf.CIQ(A543,"IQ_CASH_OPER",IQ_FY-2), _xll.ciqfunctions.udf.CIQ(A543, "IQ_CASH_OPER",IQ_FY-1))</f>
        <v>2839</v>
      </c>
      <c r="K551" s="17">
        <f>IF(A551=A552,_xll.ciqfunctions.udf.CIQ(A543,"IQ_CAPEX",IQ_FY-2), _xll.ciqfunctions.udf.CIQ(A543, "IQ_CAPEX",IQ_FY-1))</f>
        <v>-1767</v>
      </c>
      <c r="L551" s="15">
        <f t="shared" si="144"/>
        <v>2.0156220486037926</v>
      </c>
      <c r="M551" s="17">
        <f>IF(A551=A552,_xll.ciqfunctions.udf.CIQ(A543,"IQ_TOTAL_DEBT_ISSUED",IQ_FY-2), _xll.ciqfunctions.udf.CIQ(A543, "IQ_TOTAL_DEBT_ISSUED",IQ_FY-1))</f>
        <v>617</v>
      </c>
      <c r="N551" s="17">
        <f>IF(A551=A552,_xll.ciqfunctions.udf.CIQ(A543,"IQ_TOTAL_DEBT_REPAID",IQ_FY-2), _xll.ciqfunctions.udf.CIQ(A543, "IQ_TOTAL_DEBT_REPAID",IQ_FY-1))</f>
        <v>-1528</v>
      </c>
      <c r="O551" s="15">
        <f t="shared" si="145"/>
        <v>-1.7129026924235589</v>
      </c>
      <c r="P551" s="15">
        <f t="shared" si="146"/>
        <v>0.30271935618023371</v>
      </c>
      <c r="Q551" s="25" t="s">
        <v>33</v>
      </c>
      <c r="R551" s="38" t="s">
        <v>52</v>
      </c>
      <c r="S551" s="4">
        <f>(AVERAGE(O548:O553)/AVERAGE(P548:P553))</f>
        <v>0.80336558024952953</v>
      </c>
      <c r="U551" s="25" t="s">
        <v>54</v>
      </c>
      <c r="V551" s="38" t="s">
        <v>52</v>
      </c>
      <c r="W551" s="4">
        <f>(AVERAGE(O548:O553)/AVERAGE(P548:P553))</f>
        <v>0.80336558024952953</v>
      </c>
      <c r="Y551" s="25" t="s">
        <v>60</v>
      </c>
      <c r="Z551" s="38" t="s">
        <v>52</v>
      </c>
      <c r="AA551" s="4">
        <f>(AVERAGE(O548:O553)/AVERAGE(P548:P553))</f>
        <v>0.80336558024952953</v>
      </c>
    </row>
    <row r="552" spans="1:27">
      <c r="A552" s="19">
        <f>_xll.ciqfunctions.udf.CIQ(A543,"IQ_TOTAL_REV",IQ_LTM)</f>
        <v>7639</v>
      </c>
      <c r="B552" s="13">
        <v>10</v>
      </c>
      <c r="C552" s="14" t="s">
        <v>34</v>
      </c>
      <c r="D552" s="15" cm="1">
        <f t="array" ref="D552">_xlfn.SINGLE(IF(A551=A552,_xll.ciqfunctions.udf.CIQ(A543,"IQ_TOTAL_REV",IQ_FY-1)/I552, _xll.ciqfunctions.udf.CIQ(A543, "IQ_TOTAL_REV",IQ_FY)/I552))</f>
        <v>14.802238497179186</v>
      </c>
      <c r="E552" s="16">
        <f t="shared" si="147"/>
        <v>0.19552125849487495</v>
      </c>
      <c r="F552" s="15">
        <f>IF(A551=A552,_xll.ciqfunctions.udf.CIQ(A543,"IQ_DILUT_EPS_EXCL",IQ_FY-1), _xll.ciqfunctions.udf.CIQ(A543, "IQ_DILUT_EPS_EXCL",IQ_FY))</f>
        <v>2.62</v>
      </c>
      <c r="G552" s="15">
        <f>IF(A551=A552,_xll.ciqfunctions.udf.CIQ(A543,"IQ_EBITDA_MARGIN",IQ_FY-1), _xll.ciqfunctions.udf.CIQ(A543, "IQ_EBITDA_MARGIN",IQ_FY))</f>
        <v>35.446399999999997</v>
      </c>
      <c r="H552" s="15">
        <f>IF(A551=A552,_xll.ciqfunctions.udf.CIQ(A543,"IQ_TOTAL_DIV_PAID_CF",IQ_FY-1)/-I552, _xll.ciqfunctions.udf.CIQ(A543, "IQ_TOTAL_DIV_PAID_CF",IQ_FY)/-I552)</f>
        <v>0</v>
      </c>
      <c r="I552" s="17">
        <f>IF(A551=A552,_xll.ciqfunctions.udf.CIQ(A543,"IQ_TOTAL_OUTSTANDING_FILING_DATE",IQ_FY-1), _xll.ciqfunctions.udf.CIQ(A543, "IQ_TOTAL_OUTSTANDING_FILING_DATE",IQ_FY))</f>
        <v>547.75499000000002</v>
      </c>
      <c r="J552" s="17">
        <f>IF(A551=A552,_xll.ciqfunctions.udf.CIQ(A543,"IQ_CASH_OPER",IQ_FY-1), _xll.ciqfunctions.udf.CIQ(A543, "IQ_CASH_OPER",IQ_FY))</f>
        <v>2624</v>
      </c>
      <c r="K552" s="17">
        <f>IF(A551=A552,_xll.ciqfunctions.udf.CIQ(A543,"IQ_CAPEX",IQ_FY-1), _xll.ciqfunctions.udf.CIQ(A543, "IQ_CAPEX",IQ_FY))</f>
        <v>-3059</v>
      </c>
      <c r="L552" s="15">
        <f t="shared" si="144"/>
        <v>-0.79415068404945066</v>
      </c>
      <c r="M552" s="17">
        <f>IF(A551=A552,_xll.ciqfunctions.udf.CIQ(A543,"IQ_TOTAL_DEBT_ISSUED",IQ_FY-1), _xll.ciqfunctions.udf.CIQ(A543, "IQ_TOTAL_DEBT_ISSUED",IQ_FY))</f>
        <v>971</v>
      </c>
      <c r="N552" s="17">
        <f>IF(A551=A552,_xll.ciqfunctions.udf.CIQ(A543,"IQ_TOTAL_DEBT_REPAID",IQ_FY-1), _xll.ciqfunctions.udf.CIQ(A543, "IQ_TOTAL_DEBT_REPAID",IQ_FY))</f>
        <v>-390</v>
      </c>
      <c r="O552" s="15">
        <f t="shared" si="145"/>
        <v>1.0606932124890363</v>
      </c>
      <c r="P552" s="15">
        <f t="shared" si="146"/>
        <v>0.26654252843958559</v>
      </c>
      <c r="Q552" s="25" t="s">
        <v>44</v>
      </c>
      <c r="R552" s="38" t="s">
        <v>35</v>
      </c>
      <c r="S552" s="1">
        <f>_xll.ciqfunctions.udf.CIQ(A543,"IQ_TEV_EBITDA")</f>
        <v>11.26113</v>
      </c>
      <c r="U552" s="25" t="s">
        <v>55</v>
      </c>
      <c r="V552" s="38" t="s">
        <v>53</v>
      </c>
      <c r="W552" s="1" t="e">
        <f>V542/(AVERAGE(D548:D553)/_xlfn.STDEV.P(E548:E553))</f>
        <v>#DIV/0!</v>
      </c>
      <c r="Y552" s="25" t="s">
        <v>57</v>
      </c>
      <c r="Z552" s="38" t="s">
        <v>53</v>
      </c>
      <c r="AA552" s="1" t="e">
        <f>Z542/(AVERAGE(D548:D553)/_xlfn.STDEV.P(E548:E553))</f>
        <v>#DIV/0!</v>
      </c>
    </row>
    <row r="553" spans="1:27">
      <c r="B553" s="13">
        <v>11</v>
      </c>
      <c r="C553" s="20" t="s">
        <v>36</v>
      </c>
      <c r="D553" s="21" cm="1">
        <f t="array" ref="D553">_xlfn.SINGLE(IF(A551=A552,_xll.ciqfunctions.udf.CIQ(A543,"IQ_TOTAL_REV",IQ_FY)/I553, _xll.ciqfunctions.udf.CIQ(A543, "IQ_TOTAL_REV",IQ_LTM)/I553))</f>
        <v>13.80877405779837</v>
      </c>
      <c r="E553" s="22">
        <f t="shared" si="147"/>
        <v>-6.7115824378193675E-2</v>
      </c>
      <c r="F553" s="21">
        <f>IF(A551=A552,_xll.ciqfunctions.udf.CIQ(A543,"IQ_DILUT_EPS_EXCL",IQ_FY), _xll.ciqfunctions.udf.CIQ(A543, "IQ_DILUT_EPS_EXCL",IQ_LTM))</f>
        <v>2.5350600000000001</v>
      </c>
      <c r="G553" s="21">
        <f>IF(A551=A552,_xll.ciqfunctions.udf.CIQ(A543,"IQ_EBITDA_MARGIN",IQ_FY), _xll.ciqfunctions.udf.CIQ(A543, "IQ_EBITDA_MARGIN",IQ_LTM))</f>
        <v>35.305599999999998</v>
      </c>
      <c r="H553" s="21">
        <f>IF(A551=A552,_xll.ciqfunctions.udf.CIQ(A543,"IQ_TOTAL_DIV_PAID_CF",IQ_FY)/-I553, _xll.ciqfunctions.udf.CIQ(A543, "IQ_TOTAL_DIV_PAID_CF",IQ_LTM)/-I553)</f>
        <v>0</v>
      </c>
      <c r="I553" s="23">
        <f>IF(A551=A552,_xll.ciqfunctions.udf.CIQ(A543,"IQ_TOTAL_OUTSTANDING_FILING_DATE",IQ_FY),_xll.ciqfunctions.udf.CIQ(A543,"IQ_sharesoutstanding"))</f>
        <v>553.19899999999996</v>
      </c>
      <c r="J553" s="23">
        <f>IF(A551=A552,_xll.ciqfunctions.udf.CIQ(A543,"IQ_CASH_OPER",IQ_FY), _xll.ciqfunctions.udf.CIQ(A543, "IQ_CASH_OPER",IQ_LTM))</f>
        <v>1932</v>
      </c>
      <c r="K553" s="23">
        <f>IF(A551=A552,_xll.ciqfunctions.udf.CIQ(A543,"IQ_CAPEX",IQ_FY), _xll.ciqfunctions.udf.CIQ(A543, "IQ_CAPEX",IQ_LTM))</f>
        <v>-2549</v>
      </c>
      <c r="L553" s="21">
        <f t="shared" si="144"/>
        <v>-1.1153310110828112</v>
      </c>
      <c r="M553" s="23">
        <f>IF(A551=A552,_xll.ciqfunctions.udf.CIQ(A543,"IQ_TOTAL_DEBT_ISSUED",IQ_FY), _xll.ciqfunctions.udf.CIQ(A543, "IQ_TOTAL_DEBT_ISSUED",IQ_LTM))</f>
        <v>405</v>
      </c>
      <c r="N553" s="23">
        <f>IF(A551=A552,_xll.ciqfunctions.udf.CIQ(A543,"IQ_TOTAL_DEBT_REPAID",IQ_FY), _xll.ciqfunctions.udf.CIQ(A543, "IQ_TOTAL_DEBT_REPAID",IQ_LTM))</f>
        <v>-322</v>
      </c>
      <c r="O553" s="21">
        <f t="shared" si="145"/>
        <v>0.15003642450546731</v>
      </c>
      <c r="P553" s="21">
        <f t="shared" si="146"/>
        <v>-0.9652945865773439</v>
      </c>
      <c r="Q553" s="25" t="s">
        <v>45</v>
      </c>
      <c r="S553" s="45"/>
      <c r="U553" s="25"/>
      <c r="W553" s="45"/>
      <c r="Y553" s="25"/>
      <c r="AA553" s="45"/>
    </row>
    <row r="554" spans="1:27">
      <c r="B554" s="24"/>
      <c r="C554" s="25" t="s">
        <v>37</v>
      </c>
      <c r="E554" s="26">
        <f>((D553/D548)^(1/5))-1</f>
        <v>5.1546852263469001E-2</v>
      </c>
      <c r="F554" s="27">
        <f>((F553/F548)^(1/5))-1</f>
        <v>-1.8945159849484996</v>
      </c>
      <c r="G554" s="28"/>
      <c r="H554" s="27" t="e">
        <f>((H553/H548)^(1/5))-1</f>
        <v>#DIV/0!</v>
      </c>
      <c r="I554" s="27">
        <f>((I553/I548)^(1/5))-1</f>
        <v>-8.3558692168549387E-3</v>
      </c>
      <c r="J554" s="27"/>
      <c r="K554" s="27"/>
      <c r="L554" s="26">
        <f>((L553/L548)^(1/5))-1</f>
        <v>-5.8754438554445398E-2</v>
      </c>
      <c r="M554" s="26"/>
      <c r="N554" s="26"/>
      <c r="O554" s="26"/>
      <c r="P554" s="26">
        <f>((P553/P548)^(1/5))-1</f>
        <v>0.74509066507539035</v>
      </c>
      <c r="Q554" s="18"/>
      <c r="R554" s="36"/>
      <c r="S554" s="45"/>
      <c r="U554" s="18"/>
      <c r="V554" s="36"/>
      <c r="W554" s="45"/>
      <c r="Y554" s="18"/>
      <c r="Z554" s="36"/>
      <c r="AA554" s="45"/>
    </row>
    <row r="555" spans="1:27">
      <c r="A555" s="29"/>
      <c r="B555" s="30"/>
      <c r="C555" s="31" t="s">
        <v>38</v>
      </c>
      <c r="D555" s="29"/>
      <c r="E555" s="32" t="e">
        <f>((D553/D543)^(1/10))-1</f>
        <v>#DIV/0!</v>
      </c>
      <c r="F555" s="33" t="e">
        <f>((F553/F543)^(1/10))-1</f>
        <v>#DIV/0!</v>
      </c>
      <c r="G555" s="34"/>
      <c r="H555" s="33" t="e">
        <f>((H553/H543)^(1/10))-1</f>
        <v>#DIV/0!</v>
      </c>
      <c r="I555" s="33" t="e">
        <f>((I553/I543)^(1/10))-1</f>
        <v>#DIV/0!</v>
      </c>
      <c r="J555" s="33"/>
      <c r="K555" s="33"/>
      <c r="L555" s="32" t="e">
        <f>((L553/L543)^(1/10))-1</f>
        <v>#DIV/0!</v>
      </c>
      <c r="M555" s="32"/>
      <c r="N555" s="32"/>
      <c r="O555" s="32"/>
      <c r="P555" s="32" t="e">
        <f>((P553/P543)^(1/10))-1</f>
        <v>#DIV/0!</v>
      </c>
      <c r="Q555" s="40"/>
      <c r="R555" s="41"/>
      <c r="S555" s="46"/>
      <c r="U555" s="40"/>
      <c r="V555" s="41"/>
      <c r="W555" s="46"/>
      <c r="Y555" s="40"/>
      <c r="Z555" s="41"/>
      <c r="AA555" s="46"/>
    </row>
    <row r="556" spans="1:27">
      <c r="B556" s="24"/>
      <c r="C556" s="25"/>
      <c r="E556" s="26"/>
      <c r="F556" s="27"/>
      <c r="G556" s="28"/>
      <c r="H556" s="27"/>
      <c r="I556" s="27"/>
      <c r="J556" s="27"/>
      <c r="K556" s="27"/>
      <c r="L556" s="26"/>
      <c r="M556" s="17"/>
      <c r="N556" s="17"/>
      <c r="O556" s="17"/>
      <c r="P556" s="35"/>
      <c r="Q556" s="18"/>
      <c r="R556" s="36"/>
    </row>
    <row r="557" spans="1:27">
      <c r="A557" s="9" t="s">
        <v>0</v>
      </c>
      <c r="B557" s="10"/>
      <c r="C557" s="9" t="s">
        <v>1</v>
      </c>
      <c r="D557" s="9" t="s">
        <v>2</v>
      </c>
      <c r="E557" s="9" t="s">
        <v>3</v>
      </c>
      <c r="F557" s="11" t="s">
        <v>4</v>
      </c>
      <c r="G557" s="11" t="s">
        <v>5</v>
      </c>
      <c r="H557" s="9" t="s">
        <v>6</v>
      </c>
      <c r="I557" s="11" t="s">
        <v>7</v>
      </c>
      <c r="J557" s="11" t="s">
        <v>8</v>
      </c>
      <c r="K557" s="11" t="s">
        <v>9</v>
      </c>
      <c r="L557" s="11" t="s">
        <v>10</v>
      </c>
      <c r="M557" s="11" t="s">
        <v>11</v>
      </c>
      <c r="N557" s="11" t="s">
        <v>12</v>
      </c>
      <c r="O557" s="11" t="s">
        <v>13</v>
      </c>
      <c r="P557" s="11" t="s">
        <v>14</v>
      </c>
      <c r="Q557" s="37" t="s">
        <v>15</v>
      </c>
      <c r="R557" s="42">
        <f>_xll.ciqfunctions.udf.CIQ(A558,("IQ_LASTSALEPRICE"))</f>
        <v>116.42</v>
      </c>
      <c r="S557" s="44"/>
      <c r="U557" s="37" t="s">
        <v>15</v>
      </c>
      <c r="V557" s="42">
        <f>_xll.ciqfunctions.udf.CIQ(A558,("IQ_LASTSALEPRICE"))</f>
        <v>116.42</v>
      </c>
      <c r="W557" s="44"/>
      <c r="Y557" s="37" t="s">
        <v>15</v>
      </c>
      <c r="Z557" s="42">
        <f>_xll.ciqfunctions.udf.CIQ(A558,("IQ_LASTSALEPRICE"))</f>
        <v>116.42</v>
      </c>
      <c r="AA557" s="44"/>
    </row>
    <row r="558" spans="1:27">
      <c r="A558" s="12" t="str">
        <f>Analysis!B39</f>
        <v>NYSE:ORCL</v>
      </c>
      <c r="B558" s="13">
        <v>1</v>
      </c>
      <c r="C558" s="14" t="s">
        <v>16</v>
      </c>
      <c r="D558" s="15">
        <f>IF(A566=A567,_xll.ciqfunctions.udf.CIQ(A558,"IQ_TOTAL_REV",IQ_FY-10)/I558,_xll.ciqfunctions.udf.CIQ(A558, "IQ_TOTAL_REV",IQ_FY-9)/I558)</f>
        <v>8.5916843270393493</v>
      </c>
      <c r="E558" s="16"/>
      <c r="F558" s="15">
        <f>IF(A566=A567,_xll.ciqfunctions.udf.CIQ(A558,"IQ_DILUT_EPS_EXCL",IQ_FY-10), _xll.ciqfunctions.udf.CIQ(A558, "IQ_DILUT_EPS_EXCL",IQ_FY-9))</f>
        <v>2.38</v>
      </c>
      <c r="G558" s="15">
        <f>IF(A566=A567,_xll.ciqfunctions.udf.CIQ(A558,"IQ_EBITDA_MARGIN",IQ_FY-10), _xll.ciqfunctions.udf.CIQ(A558, "IQ_EBITDA_MARGIN",IQ_FY-9))</f>
        <v>43.676000000000002</v>
      </c>
      <c r="H558" s="15">
        <f>IF(A566=A567,_xll.ciqfunctions.udf.CIQ(A558,"IQ_TOTAL_DIV_PAID_CF",IQ_FY-10)/-I558, _xll.ciqfunctions.udf.CIQ(A558, "IQ_TOTAL_DIV_PAID_CF",IQ_FY-9)/-I558)</f>
        <v>0.48890107026235669</v>
      </c>
      <c r="I558" s="17">
        <f>IF(A566=A567,_xll.ciqfunctions.udf.CIQ(A558,"IQ_TOTAL_OUTSTANDING_FILING_DATE",IQ_FY-10), _xll.ciqfunctions.udf.CIQ(A558, "IQ_TOTAL_OUTSTANDING_FILING_DATE",IQ_FY-9))</f>
        <v>4454.8890000000001</v>
      </c>
      <c r="J558" s="17">
        <f>IF(A566=A567,_xll.ciqfunctions.udf.CIQ(A558,"IQ_CASH_OPER",IQ_FY-10), _xll.ciqfunctions.udf.CIQ(A558, "IQ_CASH_OPER",IQ_FY-9))</f>
        <v>14921</v>
      </c>
      <c r="K558" s="17">
        <f>IF(A566=A567,_xll.ciqfunctions.udf.CIQ(A558,"IQ_CAPEX",IQ_FY-10), _xll.ciqfunctions.udf.CIQ(A558, "IQ_CAPEX",IQ_FY-9))</f>
        <v>-580</v>
      </c>
      <c r="L558" s="15">
        <f t="shared" ref="L558:L568" si="148">(J558+K558)/I558</f>
        <v>3.2191598937706414</v>
      </c>
      <c r="M558" s="17">
        <f>IF(A566=A567,_xll.ciqfunctions.udf.CIQ(A558,"IQ_TOTAL_DEBT_ISSUED",IQ_FY-10), _xll.ciqfunctions.udf.CIQ(A558, "IQ_TOTAL_DEBT_ISSUED",IQ_FY-9))</f>
        <v>5566</v>
      </c>
      <c r="N558" s="17">
        <f>IF(A566=A567,_xll.ciqfunctions.udf.CIQ(A558,"IQ_TOTAL_DEBT_REPAID",IQ_FY-10), _xll.ciqfunctions.udf.CIQ(A558, "IQ_TOTAL_DEBT_REPAID",IQ_FY-9))</f>
        <v>0</v>
      </c>
      <c r="O558" s="15">
        <f t="shared" ref="O558:O568" si="149">(M558+N558)/I558</f>
        <v>1.2494138462260227</v>
      </c>
      <c r="P558" s="15">
        <f t="shared" ref="P558:P568" si="150">L558+O558</f>
        <v>4.4685737399966641</v>
      </c>
      <c r="W558" s="43"/>
      <c r="AA558" s="43"/>
    </row>
    <row r="559" spans="1:27">
      <c r="A559" s="18" t="str">
        <f>_xll.ciqfunctions.udf.CIQ(A558,"IQ_COMPANY_NAME")</f>
        <v>Oracle Corporation</v>
      </c>
      <c r="B559" s="13">
        <v>2</v>
      </c>
      <c r="C559" s="14" t="s">
        <v>17</v>
      </c>
      <c r="D559" s="15">
        <f>IF(A566=A567,_xll.ciqfunctions.udf.CIQ(A558,"IQ_TOTAL_REV",IQ_FY-9)/I559, _xll.ciqfunctions.udf.CIQ(A558, "IQ_TOTAL_REV",IQ_FY-8)/I559)</f>
        <v>8.8158028558994683</v>
      </c>
      <c r="E559" s="16">
        <f t="shared" ref="E559:E568" si="151">(D559-D558)/D558</f>
        <v>2.608551714997066E-2</v>
      </c>
      <c r="F559" s="15">
        <f>IF(A566=A567,_xll.ciqfunctions.udf.CIQ(A558,"IQ_DILUT_EPS_EXCL",IQ_FY-9), _xll.ciqfunctions.udf.CIQ(A558, "IQ_DILUT_EPS_EXCL",IQ_FY-8))</f>
        <v>2.21</v>
      </c>
      <c r="G559" s="15">
        <f>IF(A566=A567,_xll.ciqfunctions.udf.CIQ(A558,"IQ_EBITDA_MARGIN",IQ_FY-9), _xll.ciqfunctions.udf.CIQ(A558, "IQ_EBITDA_MARGIN",IQ_FY-8))</f>
        <v>44.864699999999999</v>
      </c>
      <c r="H559" s="15">
        <f>IF(A566=A567,_xll.ciqfunctions.udf.CIQ(A558,"IQ_TOTAL_DIV_PAID_CF",IQ_FY-9)/-I559, _xll.ciqfunctions.udf.CIQ(A558, "IQ_TOTAL_DIV_PAID_CF",IQ_FY-8)/-I559)</f>
        <v>0.5200553403456627</v>
      </c>
      <c r="I559" s="17">
        <f>IF(A566=A567,_xll.ciqfunctions.udf.CIQ(A558,"IQ_TOTAL_OUTSTANDING_FILING_DATE",IQ_FY-9), _xll.ciqfunctions.udf.CIQ(A558, "IQ_TOTAL_OUTSTANDING_FILING_DATE",IQ_FY-8))</f>
        <v>4336.0770000000002</v>
      </c>
      <c r="J559" s="17">
        <f>IF(A566=A567,_xll.ciqfunctions.udf.CIQ(A558,"IQ_CASH_OPER",IQ_FY-9), _xll.ciqfunctions.udf.CIQ(A558, "IQ_CASH_OPER",IQ_FY-8))</f>
        <v>14580</v>
      </c>
      <c r="K559" s="17">
        <f>IF(A566=A567,_xll.ciqfunctions.udf.CIQ(A558,"IQ_CAPEX",IQ_FY-9), _xll.ciqfunctions.udf.CIQ(A558, "IQ_CAPEX",IQ_FY-8))</f>
        <v>-1391</v>
      </c>
      <c r="L559" s="15">
        <f t="shared" si="148"/>
        <v>3.0416895271924367</v>
      </c>
      <c r="M559" s="17">
        <f>IF(A566=A567,_xll.ciqfunctions.udf.CIQ(A558,"IQ_TOTAL_DEBT_ISSUED",IQ_FY-9), _xll.ciqfunctions.udf.CIQ(A558, "IQ_TOTAL_DEBT_ISSUED",IQ_FY-8))</f>
        <v>19842</v>
      </c>
      <c r="N559" s="17">
        <f>IF(A566=A567,_xll.ciqfunctions.udf.CIQ(A558,"IQ_TOTAL_DEBT_REPAID",IQ_FY-9), _xll.ciqfunctions.udf.CIQ(A558, "IQ_TOTAL_DEBT_REPAID",IQ_FY-8))</f>
        <v>-1500</v>
      </c>
      <c r="O559" s="15">
        <f t="shared" si="149"/>
        <v>4.2300909324257843</v>
      </c>
      <c r="P559" s="15">
        <f t="shared" si="150"/>
        <v>7.2717804596182205</v>
      </c>
      <c r="Q559" s="25" t="s">
        <v>18</v>
      </c>
      <c r="R559" s="39" t="s">
        <v>19</v>
      </c>
      <c r="S559" s="1">
        <f>R557/((AVERAGE(P563:P568))*(1+E569)^3)</f>
        <v>17.906116359696401</v>
      </c>
      <c r="U559" s="25" t="s">
        <v>48</v>
      </c>
      <c r="V559" s="39" t="s">
        <v>19</v>
      </c>
      <c r="W559" s="1">
        <f>V557/((AVERAGE(P563:P568))*(1+E569)^3)</f>
        <v>17.906116359696401</v>
      </c>
      <c r="Y559" s="25" t="s">
        <v>39</v>
      </c>
      <c r="Z559" s="39" t="s">
        <v>19</v>
      </c>
      <c r="AA559" s="1">
        <f>Z557/((AVERAGE(P563:P568))*(1+E569)^3)</f>
        <v>17.906116359696401</v>
      </c>
    </row>
    <row r="560" spans="1:27">
      <c r="B560" s="13">
        <v>3</v>
      </c>
      <c r="C560" s="14" t="s">
        <v>20</v>
      </c>
      <c r="D560" s="15" cm="1">
        <f t="array" ref="D560">_xlfn.SINGLE(IF(A566=A567,_xll.ciqfunctions.udf.CIQ(A558,"IQ_TOTAL_REV",IQ_FY-8)/I560, _xll.ciqfunctions.udf.CIQ(A558, "IQ_TOTAL_REV",IQ_FY-7)/I560))</f>
        <v>8.9860359519056558</v>
      </c>
      <c r="E560" s="16">
        <f t="shared" si="151"/>
        <v>1.9309993518317942E-2</v>
      </c>
      <c r="F560" s="15">
        <f>IF(A566=A567,_xll.ciqfunctions.udf.CIQ(A558,"IQ_DILUT_EPS_EXCL",IQ_FY-8), _xll.ciqfunctions.udf.CIQ(A558, "IQ_DILUT_EPS_EXCL",IQ_FY-7))</f>
        <v>2.0699999999999998</v>
      </c>
      <c r="G560" s="15">
        <f>IF(A566=A567,_xll.ciqfunctions.udf.CIQ(A558,"IQ_EBITDA_MARGIN",IQ_FY-8), _xll.ciqfunctions.udf.CIQ(A558, "IQ_EBITDA_MARGIN",IQ_FY-7))</f>
        <v>40.634799999999998</v>
      </c>
      <c r="H560" s="15">
        <f>IF(A566=A567,_xll.ciqfunctions.udf.CIQ(A558,"IQ_TOTAL_DIV_PAID_CF",IQ_FY-8)/-I560, _xll.ciqfunctions.udf.CIQ(A558, "IQ_TOTAL_DIV_PAID_CF",IQ_FY-7)/-I560)</f>
        <v>0.61633917331476962</v>
      </c>
      <c r="I560" s="17">
        <f>IF(A566=A567,_xll.ciqfunctions.udf.CIQ(A558,"IQ_TOTAL_OUTSTANDING_FILING_DATE",IQ_FY-8), _xll.ciqfunctions.udf.CIQ(A558, "IQ_TOTAL_OUTSTANDING_FILING_DATE",IQ_FY-7))</f>
        <v>4122.7299999999996</v>
      </c>
      <c r="J560" s="17">
        <f>IF(A566=A567,_xll.ciqfunctions.udf.CIQ(A558,"IQ_CASH_OPER",IQ_FY-8), _xll.ciqfunctions.udf.CIQ(A558, "IQ_CASH_OPER",IQ_FY-7))</f>
        <v>13685</v>
      </c>
      <c r="K560" s="17">
        <f>IF(A566=A567,_xll.ciqfunctions.udf.CIQ(A558,"IQ_CAPEX",IQ_FY-8), _xll.ciqfunctions.udf.CIQ(A558, "IQ_CAPEX",IQ_FY-7))</f>
        <v>-1189</v>
      </c>
      <c r="L560" s="15">
        <f t="shared" si="148"/>
        <v>3.0310013025349711</v>
      </c>
      <c r="M560" s="17">
        <f>IF(A566=A567,_xll.ciqfunctions.udf.CIQ(A558,"IQ_TOTAL_DEBT_ISSUED",IQ_FY-8), _xll.ciqfunctions.udf.CIQ(A558, "IQ_TOTAL_DEBT_ISSUED",IQ_FY-7))</f>
        <v>3750</v>
      </c>
      <c r="N560" s="17">
        <f>IF(A566=A567,_xll.ciqfunctions.udf.CIQ(A558,"IQ_TOTAL_DEBT_REPAID",IQ_FY-8), _xll.ciqfunctions.udf.CIQ(A558, "IQ_TOTAL_DEBT_REPAID",IQ_FY-7))</f>
        <v>-2000</v>
      </c>
      <c r="O560" s="15">
        <f t="shared" si="149"/>
        <v>0.42447601467959339</v>
      </c>
      <c r="P560" s="15">
        <f t="shared" si="150"/>
        <v>3.4554773172145645</v>
      </c>
      <c r="Q560" s="25" t="s">
        <v>21</v>
      </c>
      <c r="R560" s="38" t="s">
        <v>49</v>
      </c>
      <c r="S560" s="2">
        <f>(R557*I568)/1000</f>
        <v>318.91816090520001</v>
      </c>
      <c r="U560" s="25" t="s">
        <v>59</v>
      </c>
      <c r="V560" s="38" t="s">
        <v>49</v>
      </c>
      <c r="W560" s="2">
        <f>(V557*I568)/1000</f>
        <v>318.91816090520001</v>
      </c>
      <c r="Y560" s="25" t="s">
        <v>46</v>
      </c>
      <c r="Z560" s="38" t="s">
        <v>49</v>
      </c>
      <c r="AA560" s="2">
        <f>(Z557*I568)/1000</f>
        <v>318.91816090520001</v>
      </c>
    </row>
    <row r="561" spans="1:27">
      <c r="A561" s="18"/>
      <c r="B561" s="13">
        <v>4</v>
      </c>
      <c r="C561" s="14" t="s">
        <v>22</v>
      </c>
      <c r="D561" s="15" cm="1">
        <f t="array" ref="D561">_xlfn.SINGLE(IF(A566=A567,_xll.ciqfunctions.udf.CIQ(A558,"IQ_TOTAL_REV",IQ_FY-7)/I561, _xll.ciqfunctions.udf.CIQ(A558, "IQ_TOTAL_REV",IQ_FY-6)/I561))</f>
        <v>9.1358243152362206</v>
      </c>
      <c r="E561" s="16">
        <f t="shared" si="151"/>
        <v>1.6669014472260081E-2</v>
      </c>
      <c r="F561" s="15">
        <f>IF(A566=A567,_xll.ciqfunctions.udf.CIQ(A558,"IQ_DILUT_EPS_EXCL",IQ_FY-7), _xll.ciqfunctions.udf.CIQ(A558, "IQ_DILUT_EPS_EXCL",IQ_FY-6))</f>
        <v>2.2400000000000002</v>
      </c>
      <c r="G561" s="15">
        <f>IF(A566=A567,_xll.ciqfunctions.udf.CIQ(A558,"IQ_EBITDA_MARGIN",IQ_FY-7), _xll.ciqfunctions.udf.CIQ(A558, "IQ_EBITDA_MARGIN",IQ_FY-6))</f>
        <v>42.040599999999998</v>
      </c>
      <c r="H561" s="15">
        <f>IF(A566=A567,_xll.ciqfunctions.udf.CIQ(A558,"IQ_TOTAL_DIV_PAID_CF",IQ_FY-7)/-I561, _xll.ciqfunctions.udf.CIQ(A558, "IQ_TOTAL_DIV_PAID_CF",IQ_FY-6)/-I561)</f>
        <v>0.63601698172593402</v>
      </c>
      <c r="I561" s="17">
        <f>IF(A566=A567,_xll.ciqfunctions.udf.CIQ(A558,"IQ_TOTAL_OUTSTANDING_FILING_DATE",IQ_FY-7), _xll.ciqfunctions.udf.CIQ(A558, "IQ_TOTAL_OUTSTANDING_FILING_DATE",IQ_FY-6))</f>
        <v>4136.6819999999998</v>
      </c>
      <c r="J561" s="17">
        <f>IF(A566=A567,_xll.ciqfunctions.udf.CIQ(A558,"IQ_CASH_OPER",IQ_FY-7), _xll.ciqfunctions.udf.CIQ(A558, "IQ_CASH_OPER",IQ_FY-6))</f>
        <v>14126</v>
      </c>
      <c r="K561" s="17">
        <f>IF(A566=A567,_xll.ciqfunctions.udf.CIQ(A558,"IQ_CAPEX",IQ_FY-7), _xll.ciqfunctions.udf.CIQ(A558, "IQ_CAPEX",IQ_FY-6))</f>
        <v>-2021</v>
      </c>
      <c r="L561" s="15">
        <f t="shared" si="148"/>
        <v>2.926258291065158</v>
      </c>
      <c r="M561" s="17">
        <f>IF(A566=A567,_xll.ciqfunctions.udf.CIQ(A558,"IQ_TOTAL_DEBT_ISSUED",IQ_FY-7), _xll.ciqfunctions.udf.CIQ(A558, "IQ_TOTAL_DEBT_ISSUED",IQ_FY-6))</f>
        <v>17732</v>
      </c>
      <c r="N561" s="17">
        <f>IF(A566=A567,_xll.ciqfunctions.udf.CIQ(A558,"IQ_TOTAL_DEBT_REPAID",IQ_FY-7), _xll.ciqfunctions.udf.CIQ(A558, "IQ_TOTAL_DEBT_REPAID",IQ_FY-6))</f>
        <v>-4094</v>
      </c>
      <c r="O561" s="15">
        <f t="shared" si="149"/>
        <v>3.2968451527093454</v>
      </c>
      <c r="P561" s="15">
        <f t="shared" si="150"/>
        <v>6.2231034437745034</v>
      </c>
      <c r="Q561" s="25" t="s">
        <v>23</v>
      </c>
      <c r="R561" s="38" t="s">
        <v>24</v>
      </c>
      <c r="S561" s="1">
        <f>R557/(AVERAGE(H563:H568)*(1+H569)/(0.5-H569))</f>
        <v>35.889965898781291</v>
      </c>
      <c r="U561" s="25" t="s">
        <v>40</v>
      </c>
      <c r="V561" s="38" t="s">
        <v>24</v>
      </c>
      <c r="W561" s="1">
        <f>V557/(AVERAGE(H563:H568)*(1+H569)/(0.5-H569))</f>
        <v>35.889965898781291</v>
      </c>
      <c r="Y561" s="25" t="s">
        <v>47</v>
      </c>
      <c r="Z561" s="38" t="s">
        <v>24</v>
      </c>
      <c r="AA561" s="1">
        <f>Z557/(AVERAGE(H563:H568)*(1+H569)/(0.5-H569))</f>
        <v>35.889965898781291</v>
      </c>
    </row>
    <row r="562" spans="1:27">
      <c r="B562" s="13">
        <v>5</v>
      </c>
      <c r="C562" s="14" t="s">
        <v>25</v>
      </c>
      <c r="D562" s="15" cm="1">
        <f t="array" ref="D562">_xlfn.SINGLE(IF(A566=A567,_xll.ciqfunctions.udf.CIQ(A558,"IQ_TOTAL_REV",IQ_FY-6)/I562, _xll.ciqfunctions.udf.CIQ(A558, "IQ_TOTAL_REV",IQ_FY-5)/I562))</f>
        <v>9.8923553591859648</v>
      </c>
      <c r="E562" s="16">
        <f t="shared" si="151"/>
        <v>8.2809281116323977E-2</v>
      </c>
      <c r="F562" s="15">
        <f>IF(A566=A567,_xll.ciqfunctions.udf.CIQ(A558,"IQ_DILUT_EPS_EXCL",IQ_FY-6), _xll.ciqfunctions.udf.CIQ(A558, "IQ_DILUT_EPS_EXCL",IQ_FY-5))</f>
        <v>0.85</v>
      </c>
      <c r="G562" s="15">
        <f>IF(A566=A567,_xll.ciqfunctions.udf.CIQ(A558,"IQ_EBITDA_MARGIN",IQ_FY-6), _xll.ciqfunctions.udf.CIQ(A558, "IQ_EBITDA_MARGIN",IQ_FY-5))</f>
        <v>42.368499999999997</v>
      </c>
      <c r="H562" s="15">
        <f>IF(A566=A567,_xll.ciqfunctions.udf.CIQ(A558,"IQ_TOTAL_DIV_PAID_CF",IQ_FY-6)/-I562, _xll.ciqfunctions.udf.CIQ(A558, "IQ_TOTAL_DIV_PAID_CF",IQ_FY-5)/-I562)</f>
        <v>0.7887158374893718</v>
      </c>
      <c r="I562" s="17">
        <f>IF(A566=A567,_xll.ciqfunctions.udf.CIQ(A558,"IQ_TOTAL_OUTSTANDING_FILING_DATE",IQ_FY-6), _xll.ciqfunctions.udf.CIQ(A558, "IQ_TOTAL_OUTSTANDING_FILING_DATE",IQ_FY-5))</f>
        <v>3981.1550000000002</v>
      </c>
      <c r="J562" s="17">
        <f>IF(A566=A567,_xll.ciqfunctions.udf.CIQ(A558,"IQ_CASH_OPER",IQ_FY-6), _xll.ciqfunctions.udf.CIQ(A558, "IQ_CASH_OPER",IQ_FY-5))</f>
        <v>15386</v>
      </c>
      <c r="K562" s="17">
        <f>IF(A566=A567,_xll.ciqfunctions.udf.CIQ(A558,"IQ_CAPEX",IQ_FY-6), _xll.ciqfunctions.udf.CIQ(A558, "IQ_CAPEX",IQ_FY-5))</f>
        <v>-1736</v>
      </c>
      <c r="L562" s="15">
        <f t="shared" si="148"/>
        <v>3.4286532425891481</v>
      </c>
      <c r="M562" s="17">
        <f>IF(A566=A567,_xll.ciqfunctions.udf.CIQ(A558,"IQ_TOTAL_DEBT_ISSUED",IQ_FY-6), _xll.ciqfunctions.udf.CIQ(A558, "IQ_TOTAL_DEBT_ISSUED",IQ_FY-5))</f>
        <v>12443</v>
      </c>
      <c r="N562" s="17">
        <f>IF(A566=A567,_xll.ciqfunctions.udf.CIQ(A558,"IQ_TOTAL_DEBT_REPAID",IQ_FY-6), _xll.ciqfunctions.udf.CIQ(A558, "IQ_TOTAL_DEBT_REPAID",IQ_FY-5))</f>
        <v>-9800</v>
      </c>
      <c r="O562" s="15">
        <f t="shared" si="149"/>
        <v>0.66387769378484385</v>
      </c>
      <c r="P562" s="15">
        <f t="shared" si="150"/>
        <v>4.0925309363739917</v>
      </c>
      <c r="Q562" s="18"/>
      <c r="R562" s="38" t="s">
        <v>50</v>
      </c>
      <c r="S562" s="3">
        <f>I569</f>
        <v>-3.863161601862386E-2</v>
      </c>
      <c r="U562" s="18"/>
      <c r="V562" s="38" t="s">
        <v>50</v>
      </c>
      <c r="W562" s="3">
        <f>I569</f>
        <v>-3.863161601862386E-2</v>
      </c>
      <c r="Y562" s="18"/>
      <c r="Z562" s="38" t="s">
        <v>50</v>
      </c>
      <c r="AA562" s="3">
        <f>I569</f>
        <v>-3.863161601862386E-2</v>
      </c>
    </row>
    <row r="563" spans="1:27">
      <c r="B563" s="13">
        <v>6</v>
      </c>
      <c r="C563" s="14" t="s">
        <v>26</v>
      </c>
      <c r="D563" s="15" cm="1">
        <f t="array" ref="D563">_xlfn.SINGLE(IF(A566=A567,_xll.ciqfunctions.udf.CIQ(A558,"IQ_TOTAL_REV",IQ_FY-5)/I563, _xll.ciqfunctions.udf.CIQ(A558, "IQ_TOTAL_REV",IQ_FY-4)/I563))</f>
        <v>11.842968698241721</v>
      </c>
      <c r="E563" s="16">
        <f t="shared" si="151"/>
        <v>0.19718391305508773</v>
      </c>
      <c r="F563" s="15">
        <f>IF(A566=A567,_xll.ciqfunctions.udf.CIQ(A558,"IQ_DILUT_EPS_EXCL",IQ_FY-5), _xll.ciqfunctions.udf.CIQ(A558, "IQ_DILUT_EPS_EXCL",IQ_FY-4))</f>
        <v>2.97</v>
      </c>
      <c r="G563" s="15">
        <f>IF(A566=A567,_xll.ciqfunctions.udf.CIQ(A558,"IQ_EBITDA_MARGIN",IQ_FY-5), _xll.ciqfunctions.udf.CIQ(A558, "IQ_EBITDA_MARGIN",IQ_FY-4))</f>
        <v>42.841500000000003</v>
      </c>
      <c r="H563" s="15">
        <f>IF(A566=A567,_xll.ciqfunctions.udf.CIQ(A558,"IQ_TOTAL_DIV_PAID_CF",IQ_FY-5)/-I563, _xll.ciqfunctions.udf.CIQ(A558, "IQ_TOTAL_DIV_PAID_CF",IQ_FY-4)/-I563)</f>
        <v>0.87894457103338042</v>
      </c>
      <c r="I563" s="17">
        <f>IF(A566=A567,_xll.ciqfunctions.udf.CIQ(A558,"IQ_TOTAL_OUTSTANDING_FILING_DATE",IQ_FY-5), _xll.ciqfunctions.udf.CIQ(A558, "IQ_TOTAL_OUTSTANDING_FILING_DATE",IQ_FY-4))</f>
        <v>3335.819</v>
      </c>
      <c r="J563" s="17">
        <f>IF(A566=A567,_xll.ciqfunctions.udf.CIQ(A558,"IQ_CASH_OPER",IQ_FY-5), _xll.ciqfunctions.udf.CIQ(A558, "IQ_CASH_OPER",IQ_FY-4))</f>
        <v>14551</v>
      </c>
      <c r="K563" s="17">
        <f>IF(A566=A567,_xll.ciqfunctions.udf.CIQ(A558,"IQ_CAPEX",IQ_FY-5), _xll.ciqfunctions.udf.CIQ(A558, "IQ_CAPEX",IQ_FY-4))</f>
        <v>-1660</v>
      </c>
      <c r="L563" s="15">
        <f t="shared" si="148"/>
        <v>3.8644183032712505</v>
      </c>
      <c r="M563" s="17">
        <f>IF(A566=A567,_xll.ciqfunctions.udf.CIQ(A558,"IQ_TOTAL_DEBT_ISSUED",IQ_FY-5), _xll.ciqfunctions.udf.CIQ(A558, "IQ_TOTAL_DEBT_ISSUED",IQ_FY-4))</f>
        <v>0</v>
      </c>
      <c r="N563" s="17">
        <f>IF(A566=A567,_xll.ciqfunctions.udf.CIQ(A558,"IQ_TOTAL_DEBT_REPAID",IQ_FY-5), _xll.ciqfunctions.udf.CIQ(A558, "IQ_TOTAL_DEBT_REPAID",IQ_FY-4))</f>
        <v>-4500</v>
      </c>
      <c r="O563" s="15">
        <f t="shared" si="149"/>
        <v>-1.3489940551330872</v>
      </c>
      <c r="P563" s="15">
        <f t="shared" si="150"/>
        <v>2.5154242481381632</v>
      </c>
      <c r="Q563" s="25" t="s">
        <v>27</v>
      </c>
      <c r="R563" s="38" t="s">
        <v>51</v>
      </c>
      <c r="S563" s="4">
        <f>AVERAGE(F563:F568)/AVERAGE(D563:D568)</f>
        <v>0.21138319290582372</v>
      </c>
      <c r="U563" s="25" t="s">
        <v>58</v>
      </c>
      <c r="V563" s="38" t="s">
        <v>51</v>
      </c>
      <c r="W563" s="4">
        <f>AVERAGE(F563:F568)/AVERAGE(D563:D568)</f>
        <v>0.21138319290582372</v>
      </c>
      <c r="Y563" s="25" t="s">
        <v>56</v>
      </c>
      <c r="Z563" s="38" t="s">
        <v>51</v>
      </c>
      <c r="AA563" s="4">
        <f>AVERAGE(F563:F568)/AVERAGE(D563:D568)</f>
        <v>0.21138319290582372</v>
      </c>
    </row>
    <row r="564" spans="1:27">
      <c r="A564" s="18"/>
      <c r="B564" s="13">
        <v>7</v>
      </c>
      <c r="C564" s="14" t="s">
        <v>28</v>
      </c>
      <c r="D564" s="15" cm="1">
        <f t="array" ref="D564">_xlfn.SINGLE(IF(A566=A567,_xll.ciqfunctions.udf.CIQ(A558,"IQ_TOTAL_REV",IQ_FY-4)/I564, _xll.ciqfunctions.udf.CIQ(A558, "IQ_TOTAL_REV",IQ_FY-3)/I564))</f>
        <v>12.731198605785806</v>
      </c>
      <c r="E564" s="16">
        <f t="shared" si="151"/>
        <v>7.5000612614635823E-2</v>
      </c>
      <c r="F564" s="15">
        <f>IF(A566=A567,_xll.ciqfunctions.udf.CIQ(A558,"IQ_DILUT_EPS_EXCL",IQ_FY-4), _xll.ciqfunctions.udf.CIQ(A558, "IQ_DILUT_EPS_EXCL",IQ_FY-3))</f>
        <v>3.08</v>
      </c>
      <c r="G564" s="15">
        <f>IF(A566=A567,_xll.ciqfunctions.udf.CIQ(A558,"IQ_EBITDA_MARGIN",IQ_FY-4), _xll.ciqfunctions.udf.CIQ(A558, "IQ_EBITDA_MARGIN",IQ_FY-3))</f>
        <v>43.818399999999997</v>
      </c>
      <c r="H564" s="15">
        <f>IF(A566=A567,_xll.ciqfunctions.udf.CIQ(A558,"IQ_TOTAL_DIV_PAID_CF",IQ_FY-4)/-I564, _xll.ciqfunctions.udf.CIQ(A558, "IQ_TOTAL_DIV_PAID_CF",IQ_FY-3)/-I564)</f>
        <v>1.0004295003522685</v>
      </c>
      <c r="I564" s="17">
        <f>IF(A566=A567,_xll.ciqfunctions.udf.CIQ(A558,"IQ_TOTAL_OUTSTANDING_FILING_DATE",IQ_FY-4), _xll.ciqfunctions.udf.CIQ(A558, "IQ_TOTAL_OUTSTANDING_FILING_DATE",IQ_FY-3))</f>
        <v>3068.6819999999998</v>
      </c>
      <c r="J564" s="17">
        <f>IF(A566=A567,_xll.ciqfunctions.udf.CIQ(A558,"IQ_CASH_OPER",IQ_FY-4), _xll.ciqfunctions.udf.CIQ(A558, "IQ_CASH_OPER",IQ_FY-3))</f>
        <v>13139</v>
      </c>
      <c r="K564" s="17">
        <f>IF(A566=A567,_xll.ciqfunctions.udf.CIQ(A558,"IQ_CAPEX",IQ_FY-4), _xll.ciqfunctions.udf.CIQ(A558, "IQ_CAPEX",IQ_FY-3))</f>
        <v>-1564</v>
      </c>
      <c r="L564" s="15">
        <f t="shared" si="148"/>
        <v>3.771977676409612</v>
      </c>
      <c r="M564" s="17">
        <f>IF(A566=A567,_xll.ciqfunctions.udf.CIQ(A558,"IQ_TOTAL_DEBT_ISSUED",IQ_FY-4), _xll.ciqfunctions.udf.CIQ(A558, "IQ_TOTAL_DEBT_ISSUED",IQ_FY-3))</f>
        <v>19888</v>
      </c>
      <c r="N564" s="17">
        <f>IF(A566=A567,_xll.ciqfunctions.udf.CIQ(A558,"IQ_TOTAL_DEBT_REPAID",IQ_FY-4), _xll.ciqfunctions.udf.CIQ(A558, "IQ_TOTAL_DEBT_REPAID",IQ_FY-3))</f>
        <v>-4500</v>
      </c>
      <c r="O564" s="15">
        <f t="shared" si="149"/>
        <v>5.0145306682152144</v>
      </c>
      <c r="P564" s="15">
        <f t="shared" si="150"/>
        <v>8.786508344624826</v>
      </c>
      <c r="Q564" s="18"/>
      <c r="R564" s="38" t="s">
        <v>29</v>
      </c>
      <c r="S564" s="4">
        <f>(AVERAGE(P563:P568)/_xlfn.STDEV.P(P563:P568))/(IF(A566=A567,(_xlfn.SINGLE(_xll.ciqfunctions.udf.CIQ(A558,"IQ_total_assets",IQ_FY)) - _xlfn.SINGLE(_xll.ciqfunctions.udf.CIQ(A558,"iq_gw_intan", IQ_FY)))/I568, (_xlfn.SINGLE(_xll.ciqfunctions.udf.CIQ(A558, "IQ_total_assets",IQ_LTM))-_xlfn.SINGLE(_xll.ciqfunctions.udf.CIQ(A558,"iq_gw_intan",IQ_LTM)))/I568))</f>
        <v>5.2842146789337088E-2</v>
      </c>
      <c r="U564" s="18"/>
      <c r="V564" s="38" t="s">
        <v>29</v>
      </c>
      <c r="W564" s="4">
        <f>(AVERAGE(P563:P568)/_xlfn.STDEV.P(P563:P568))/(IF(A566=A567,(_xlfn.SINGLE(_xll.ciqfunctions.udf.CIQ(A558,"IQ_total_assets",IQ_FY)) - _xlfn.SINGLE(_xll.ciqfunctions.udf.CIQ(A558,"iq_gw_intan", IQ_FY)))/I568, (_xlfn.SINGLE(_xll.ciqfunctions.udf.CIQ(A558, "IQ_total_assets",IQ_LTM))-_xlfn.SINGLE(_xll.ciqfunctions.udf.CIQ(A558,"iq_gw_intan",IQ_LTM)))/I568))</f>
        <v>5.2842146789337088E-2</v>
      </c>
      <c r="Y564" s="18"/>
      <c r="Z564" s="38" t="s">
        <v>29</v>
      </c>
      <c r="AA564" s="4">
        <f>(AVERAGE(P563:P568)/_xlfn.STDEV.P(P563:P568))/(IF(A566=A567,(_xlfn.SINGLE(_xll.ciqfunctions.udf.CIQ(A558,"IQ_total_assets",IQ_FY)) - _xlfn.SINGLE(_xll.ciqfunctions.udf.CIQ(A558,"iq_gw_intan", IQ_FY)))/I568, (_xlfn.SINGLE(_xll.ciqfunctions.udf.CIQ(A558, "IQ_total_assets",IQ_LTM))-_xlfn.SINGLE(_xll.ciqfunctions.udf.CIQ(A558,"iq_gw_intan",IQ_LTM)))/I568))</f>
        <v>5.2842146789337088E-2</v>
      </c>
    </row>
    <row r="565" spans="1:27">
      <c r="A565" s="18"/>
      <c r="B565" s="13">
        <v>8</v>
      </c>
      <c r="C565" s="14" t="s">
        <v>30</v>
      </c>
      <c r="D565" s="15" cm="1">
        <f t="array" ref="D565">_xlfn.SINGLE(IF(A566=A567,_xll.ciqfunctions.udf.CIQ(A558,"IQ_TOTAL_REV",IQ_FY-3)/I565, _xll.ciqfunctions.udf.CIQ(A558, "IQ_TOTAL_REV",IQ_FY-2)/I565))</f>
        <v>14.498209169054441</v>
      </c>
      <c r="E565" s="16">
        <f t="shared" si="151"/>
        <v>0.1387937316809747</v>
      </c>
      <c r="F565" s="15">
        <f>IF(A566=A567,_xll.ciqfunctions.udf.CIQ(A558,"IQ_DILUT_EPS_EXCL",IQ_FY-3), _xll.ciqfunctions.udf.CIQ(A558, "IQ_DILUT_EPS_EXCL",IQ_FY-2))</f>
        <v>4.55</v>
      </c>
      <c r="G565" s="15">
        <f>IF(A566=A567,_xll.ciqfunctions.udf.CIQ(A558,"IQ_EBITDA_MARGIN",IQ_FY-3), _xll.ciqfunctions.udf.CIQ(A558, "IQ_EBITDA_MARGIN",IQ_FY-2))</f>
        <v>45.873100000000001</v>
      </c>
      <c r="H565" s="15">
        <f>IF(A566=A567,_xll.ciqfunctions.udf.CIQ(A558,"IQ_TOTAL_DIV_PAID_CF",IQ_FY-3)/-I565, _xll.ciqfunctions.udf.CIQ(A558, "IQ_TOTAL_DIV_PAID_CF",IQ_FY-2)/-I565)</f>
        <v>1.0970630372492836</v>
      </c>
      <c r="I565" s="17">
        <f>IF(A566=A567,_xll.ciqfunctions.udf.CIQ(A558,"IQ_TOTAL_OUTSTANDING_FILING_DATE",IQ_FY-3), _xll.ciqfunctions.udf.CIQ(A558, "IQ_TOTAL_OUTSTANDING_FILING_DATE",IQ_FY-2))</f>
        <v>2792</v>
      </c>
      <c r="J565" s="17">
        <f>IF(A566=A567,_xll.ciqfunctions.udf.CIQ(A558,"IQ_CASH_OPER",IQ_FY-3), _xll.ciqfunctions.udf.CIQ(A558, "IQ_CASH_OPER",IQ_FY-2))</f>
        <v>15887</v>
      </c>
      <c r="K565" s="17">
        <f>IF(A566=A567,_xll.ciqfunctions.udf.CIQ(A558,"IQ_CAPEX",IQ_FY-3), _xll.ciqfunctions.udf.CIQ(A558, "IQ_CAPEX",IQ_FY-2))</f>
        <v>-2135</v>
      </c>
      <c r="L565" s="15">
        <f t="shared" si="148"/>
        <v>4.9255014326647562</v>
      </c>
      <c r="M565" s="17">
        <f>IF(A566=A567,_xll.ciqfunctions.udf.CIQ(A558,"IQ_TOTAL_DEBT_ISSUED",IQ_FY-3), _xll.ciqfunctions.udf.CIQ(A558, "IQ_TOTAL_DEBT_ISSUED",IQ_FY-2))</f>
        <v>14934</v>
      </c>
      <c r="N565" s="17">
        <f>IF(A566=A567,_xll.ciqfunctions.udf.CIQ(A558,"IQ_TOTAL_DEBT_REPAID",IQ_FY-3), _xll.ciqfunctions.udf.CIQ(A558, "IQ_TOTAL_DEBT_REPAID",IQ_FY-2))</f>
        <v>-2631</v>
      </c>
      <c r="O565" s="15">
        <f t="shared" si="149"/>
        <v>4.4065186246418335</v>
      </c>
      <c r="P565" s="15">
        <f t="shared" si="150"/>
        <v>9.3320200573065897</v>
      </c>
      <c r="Q565" s="18"/>
      <c r="R565" s="39" t="s">
        <v>31</v>
      </c>
      <c r="S565" s="5">
        <f>IF(NOT(D558&gt;0),FALSE,SLOPE(G558:G568,B558:B568))</f>
        <v>-0.31408454545454528</v>
      </c>
      <c r="U565" s="18"/>
      <c r="V565" s="39" t="s">
        <v>31</v>
      </c>
      <c r="W565" s="5">
        <f>IF(NOT(D558&gt;0),FALSE,SLOPE(G558:G568,B558:B568))</f>
        <v>-0.31408454545454528</v>
      </c>
      <c r="Y565" s="18"/>
      <c r="Z565" s="39" t="s">
        <v>31</v>
      </c>
      <c r="AA565" s="5">
        <f>IF(NOT(L558&gt;0),FALSE,SLOPE(O558:O568,J558:J568))</f>
        <v>4.5732650268060448E-4</v>
      </c>
    </row>
    <row r="566" spans="1:27">
      <c r="A566" s="19">
        <f>_xll.ciqfunctions.udf.CIQ(A558,"IQ_TOTAL_REV",IQ_FY)</f>
        <v>49954</v>
      </c>
      <c r="B566" s="13">
        <v>9</v>
      </c>
      <c r="C566" s="14" t="s">
        <v>32</v>
      </c>
      <c r="D566" s="15" cm="1">
        <f t="array" ref="D566">_xlfn.SINGLE(IF(A566=A567,_xll.ciqfunctions.udf.CIQ(A558,"IQ_TOTAL_REV",IQ_FY-2)/I566, _xll.ciqfunctions.udf.CIQ(A558, "IQ_TOTAL_REV",IQ_FY-1)/I566))</f>
        <v>15.92539530178324</v>
      </c>
      <c r="E566" s="16">
        <f t="shared" si="151"/>
        <v>9.8438787583161838E-2</v>
      </c>
      <c r="F566" s="15">
        <f>IF(A566=A567,_xll.ciqfunctions.udf.CIQ(A558,"IQ_DILUT_EPS_EXCL",IQ_FY-2), _xll.ciqfunctions.udf.CIQ(A558, "IQ_DILUT_EPS_EXCL",IQ_FY-1))</f>
        <v>2.41</v>
      </c>
      <c r="G566" s="15">
        <f>IF(A566=A567,_xll.ciqfunctions.udf.CIQ(A558,"IQ_EBITDA_MARGIN",IQ_FY-2), _xll.ciqfunctions.udf.CIQ(A558, "IQ_EBITDA_MARGIN",IQ_FY-1))</f>
        <v>43.550800000000002</v>
      </c>
      <c r="H566" s="15">
        <f>IF(A566=A567,_xll.ciqfunctions.udf.CIQ(A558,"IQ_TOTAL_DIV_PAID_CF",IQ_FY-2)/-I566, _xll.ciqfunctions.udf.CIQ(A558, "IQ_TOTAL_DIV_PAID_CF",IQ_FY-1)/-I566)</f>
        <v>1.2972217615048223</v>
      </c>
      <c r="I566" s="17">
        <f>IF(A566=A567,_xll.ciqfunctions.udf.CIQ(A558,"IQ_TOTAL_OUTSTANDING_FILING_DATE",IQ_FY-2), _xll.ciqfunctions.udf.CIQ(A558, "IQ_TOTAL_OUTSTANDING_FILING_DATE",IQ_FY-1))</f>
        <v>2664.9259999999999</v>
      </c>
      <c r="J566" s="17">
        <f>IF(A566=A567,_xll.ciqfunctions.udf.CIQ(A558,"IQ_CASH_OPER",IQ_FY-2), _xll.ciqfunctions.udf.CIQ(A558, "IQ_CASH_OPER",IQ_FY-1))</f>
        <v>9539</v>
      </c>
      <c r="K566" s="17">
        <f>IF(A566=A567,_xll.ciqfunctions.udf.CIQ(A558,"IQ_CAPEX",IQ_FY-2), _xll.ciqfunctions.udf.CIQ(A558, "IQ_CAPEX",IQ_FY-1))</f>
        <v>-4511</v>
      </c>
      <c r="L566" s="15">
        <f t="shared" si="148"/>
        <v>1.8867315640284197</v>
      </c>
      <c r="M566" s="17">
        <f>IF(A566=A567,_xll.ciqfunctions.udf.CIQ(A558,"IQ_TOTAL_DEBT_ISSUED",IQ_FY-2), _xll.ciqfunctions.udf.CIQ(A558, "IQ_TOTAL_DEBT_ISSUED",IQ_FY-1))</f>
        <v>0</v>
      </c>
      <c r="N566" s="17">
        <f>IF(A566=A567,_xll.ciqfunctions.udf.CIQ(A558,"IQ_TOTAL_DEBT_REPAID",IQ_FY-2), _xll.ciqfunctions.udf.CIQ(A558, "IQ_TOTAL_DEBT_REPAID",IQ_FY-1))</f>
        <v>-8250</v>
      </c>
      <c r="O566" s="15">
        <f t="shared" si="149"/>
        <v>-3.0957707643664403</v>
      </c>
      <c r="P566" s="15">
        <f t="shared" si="150"/>
        <v>-1.2090392003380206</v>
      </c>
      <c r="Q566" s="25" t="s">
        <v>33</v>
      </c>
      <c r="R566" s="38" t="s">
        <v>52</v>
      </c>
      <c r="S566" s="4">
        <f>(AVERAGE(O563:O568)/AVERAGE(P563:P568))</f>
        <v>0.29343795237983483</v>
      </c>
      <c r="U566" s="25" t="s">
        <v>54</v>
      </c>
      <c r="V566" s="38" t="s">
        <v>52</v>
      </c>
      <c r="W566" s="4">
        <f>(AVERAGE(O563:O568)/AVERAGE(P563:P568))</f>
        <v>0.29343795237983483</v>
      </c>
      <c r="Y566" s="25" t="s">
        <v>60</v>
      </c>
      <c r="Z566" s="38" t="s">
        <v>52</v>
      </c>
      <c r="AA566" s="4">
        <f>(AVERAGE(O563:O568)/AVERAGE(P563:P568))</f>
        <v>0.29343795237983483</v>
      </c>
    </row>
    <row r="567" spans="1:27">
      <c r="A567" s="19">
        <f>_xll.ciqfunctions.udf.CIQ(A558,"IQ_TOTAL_REV",IQ_LTM)</f>
        <v>50962</v>
      </c>
      <c r="B567" s="13">
        <v>10</v>
      </c>
      <c r="C567" s="14" t="s">
        <v>34</v>
      </c>
      <c r="D567" s="15" cm="1">
        <f t="array" ref="D567">_xlfn.SINGLE(IF(A566=A567,_xll.ciqfunctions.udf.CIQ(A558,"IQ_TOTAL_REV",IQ_FY-1)/I567, _xll.ciqfunctions.udf.CIQ(A558, "IQ_TOTAL_REV",IQ_FY)/I567))</f>
        <v>18.404286400081936</v>
      </c>
      <c r="E567" s="16">
        <f t="shared" si="151"/>
        <v>0.15565648772442864</v>
      </c>
      <c r="F567" s="15">
        <f>IF(A566=A567,_xll.ciqfunctions.udf.CIQ(A558,"IQ_DILUT_EPS_EXCL",IQ_FY-1), _xll.ciqfunctions.udf.CIQ(A558, "IQ_DILUT_EPS_EXCL",IQ_FY))</f>
        <v>3.07</v>
      </c>
      <c r="G567" s="15">
        <f>IF(A566=A567,_xll.ciqfunctions.udf.CIQ(A558,"IQ_EBITDA_MARGIN",IQ_FY-1), _xll.ciqfunctions.udf.CIQ(A558, "IQ_EBITDA_MARGIN",IQ_FY))</f>
        <v>38.006900000000002</v>
      </c>
      <c r="H567" s="15">
        <f>IF(A566=A567,_xll.ciqfunctions.udf.CIQ(A558,"IQ_TOTAL_DIV_PAID_CF",IQ_FY-1)/-I567, _xll.ciqfunctions.udf.CIQ(A558, "IQ_TOTAL_DIV_PAID_CF",IQ_FY)/-I567)</f>
        <v>1.3513817214937853</v>
      </c>
      <c r="I567" s="17">
        <f>IF(A566=A567,_xll.ciqfunctions.udf.CIQ(A558,"IQ_TOTAL_OUTSTANDING_FILING_DATE",IQ_FY-1), _xll.ciqfunctions.udf.CIQ(A558, "IQ_TOTAL_OUTSTANDING_FILING_DATE",IQ_FY))</f>
        <v>2714.259</v>
      </c>
      <c r="J567" s="17">
        <f>IF(A566=A567,_xll.ciqfunctions.udf.CIQ(A558,"IQ_CASH_OPER",IQ_FY-1), _xll.ciqfunctions.udf.CIQ(A558, "IQ_CASH_OPER",IQ_FY))</f>
        <v>17165</v>
      </c>
      <c r="K567" s="17">
        <f>IF(A566=A567,_xll.ciqfunctions.udf.CIQ(A558,"IQ_CAPEX",IQ_FY-1), _xll.ciqfunctions.udf.CIQ(A558, "IQ_CAPEX",IQ_FY))</f>
        <v>-8695</v>
      </c>
      <c r="L567" s="15">
        <f t="shared" si="148"/>
        <v>3.1205570286402291</v>
      </c>
      <c r="M567" s="17">
        <f>IF(A566=A567,_xll.ciqfunctions.udf.CIQ(A558,"IQ_TOTAL_DEBT_ISSUED",IQ_FY-1), _xll.ciqfunctions.udf.CIQ(A558, "IQ_TOTAL_DEBT_ISSUED",IQ_FY))</f>
        <v>33994</v>
      </c>
      <c r="N567" s="17">
        <f>IF(A566=A567,_xll.ciqfunctions.udf.CIQ(A558,"IQ_TOTAL_DEBT_REPAID",IQ_FY-1), _xll.ciqfunctions.udf.CIQ(A558, "IQ_TOTAL_DEBT_REPAID",IQ_FY))</f>
        <v>-21050</v>
      </c>
      <c r="O567" s="15">
        <f t="shared" si="149"/>
        <v>4.7688890411710894</v>
      </c>
      <c r="P567" s="15">
        <f t="shared" si="150"/>
        <v>7.8894460698113189</v>
      </c>
      <c r="Q567" s="25" t="s">
        <v>44</v>
      </c>
      <c r="R567" s="38" t="s">
        <v>35</v>
      </c>
      <c r="S567" s="1">
        <f>_xll.ciqfunctions.udf.CIQ(A558,"IQ_TEV_EBITDA")</f>
        <v>19.226690000000001</v>
      </c>
      <c r="U567" s="25" t="s">
        <v>55</v>
      </c>
      <c r="V567" s="38" t="s">
        <v>53</v>
      </c>
      <c r="W567" s="1">
        <f>V557/(AVERAGE(D563:D568)/_xlfn.STDEV.P(E563:E568))</f>
        <v>0.45623356418526873</v>
      </c>
      <c r="Y567" s="25" t="s">
        <v>57</v>
      </c>
      <c r="Z567" s="38" t="s">
        <v>53</v>
      </c>
      <c r="AA567" s="1">
        <f>Z557/(AVERAGE(D563:D568)/_xlfn.STDEV.P(E563:E568))</f>
        <v>0.45623356418526873</v>
      </c>
    </row>
    <row r="568" spans="1:27">
      <c r="B568" s="13">
        <v>11</v>
      </c>
      <c r="C568" s="20" t="s">
        <v>36</v>
      </c>
      <c r="D568" s="21" cm="1">
        <f t="array" ref="D568">_xlfn.SINGLE(IF(A566=A567,_xll.ciqfunctions.udf.CIQ(A558,"IQ_TOTAL_REV",IQ_FY)/I568, _xll.ciqfunctions.udf.CIQ(A558, "IQ_TOTAL_REV",IQ_LTM)/I568))</f>
        <v>18.603506376557878</v>
      </c>
      <c r="E568" s="22">
        <f t="shared" si="151"/>
        <v>1.0824650961476796E-2</v>
      </c>
      <c r="F568" s="21">
        <f>IF(A566=A567,_xll.ciqfunctions.udf.CIQ(A558,"IQ_DILUT_EPS_EXCL",IQ_FY), _xll.ciqfunctions.udf.CIQ(A558, "IQ_DILUT_EPS_EXCL",IQ_LTM))</f>
        <v>3.36843</v>
      </c>
      <c r="G568" s="21">
        <f>IF(A566=A567,_xll.ciqfunctions.udf.CIQ(A558,"IQ_EBITDA_MARGIN",IQ_FY), _xll.ciqfunctions.udf.CIQ(A558, "IQ_EBITDA_MARGIN",IQ_LTM))</f>
        <v>38.6798</v>
      </c>
      <c r="H568" s="21">
        <f>IF(A566=A567,_xll.ciqfunctions.udf.CIQ(A558,"IQ_TOTAL_DIV_PAID_CF",IQ_FY)/-I568, _xll.ciqfunctions.udf.CIQ(A558, "IQ_TOTAL_DIV_PAID_CF",IQ_LTM)/-I568)</f>
        <v>1.4233168117852355</v>
      </c>
      <c r="I568" s="23">
        <f>IF(A566=A567,_xll.ciqfunctions.udf.CIQ(A558,"IQ_TOTAL_OUTSTANDING_FILING_DATE",IQ_FY),_xll.ciqfunctions.udf.CIQ(A558,"IQ_sharesoutstanding"))</f>
        <v>2739.3760600000001</v>
      </c>
      <c r="J568" s="23">
        <f>IF(A566=A567,_xll.ciqfunctions.udf.CIQ(A558,"IQ_CASH_OPER",IQ_FY), _xll.ciqfunctions.udf.CIQ(A558, "IQ_CASH_OPER",IQ_LTM))</f>
        <v>17745</v>
      </c>
      <c r="K568" s="23">
        <f>IF(A566=A567,_xll.ciqfunctions.udf.CIQ(A558,"IQ_CAPEX",IQ_FY), _xll.ciqfunctions.udf.CIQ(A558, "IQ_CAPEX",IQ_LTM))</f>
        <v>-8290</v>
      </c>
      <c r="L568" s="21">
        <f t="shared" si="148"/>
        <v>3.4515158900819189</v>
      </c>
      <c r="M568" s="23">
        <f>IF(A566=A567,_xll.ciqfunctions.udf.CIQ(A558,"IQ_TOTAL_DEBT_ISSUED",IQ_FY), _xll.ciqfunctions.udf.CIQ(A558, "IQ_TOTAL_DEBT_ISSUED",IQ_LTM))</f>
        <v>13948</v>
      </c>
      <c r="N568" s="23">
        <f>IF(A566=A567,_xll.ciqfunctions.udf.CIQ(A558,"IQ_TOTAL_DEBT_REPAID",IQ_FY), _xll.ciqfunctions.udf.CIQ(A558, "IQ_TOTAL_DEBT_REPAID",IQ_LTM))</f>
        <v>-16729</v>
      </c>
      <c r="O568" s="21">
        <f t="shared" si="149"/>
        <v>-1.0151946790394306</v>
      </c>
      <c r="P568" s="21">
        <f t="shared" si="150"/>
        <v>2.4363212110424883</v>
      </c>
      <c r="Q568" s="25" t="s">
        <v>45</v>
      </c>
      <c r="S568" s="45"/>
      <c r="U568" s="25"/>
      <c r="W568" s="45"/>
      <c r="Y568" s="25"/>
      <c r="AA568" s="45"/>
    </row>
    <row r="569" spans="1:27">
      <c r="B569" s="24"/>
      <c r="C569" s="25" t="s">
        <v>37</v>
      </c>
      <c r="E569" s="26">
        <f>((D568/D563)^(1/5))-1</f>
        <v>9.4527922198478276E-2</v>
      </c>
      <c r="F569" s="27">
        <f>((F568/F563)^(1/5))-1</f>
        <v>2.5496577906795936E-2</v>
      </c>
      <c r="G569" s="28"/>
      <c r="H569" s="27">
        <f>((H568/H563)^(1/5))-1</f>
        <v>0.10120460342951421</v>
      </c>
      <c r="I569" s="27">
        <f>((I568/I563)^(1/5))-1</f>
        <v>-3.863161601862386E-2</v>
      </c>
      <c r="J569" s="27"/>
      <c r="K569" s="27"/>
      <c r="L569" s="26">
        <f>((L568/L563)^(1/5))-1</f>
        <v>-2.2346072383324755E-2</v>
      </c>
      <c r="M569" s="26"/>
      <c r="N569" s="26"/>
      <c r="O569" s="26"/>
      <c r="P569" s="26">
        <f>((P568/P563)^(1/5))-1</f>
        <v>-6.3700795220507089E-3</v>
      </c>
      <c r="Q569" s="18"/>
      <c r="R569" s="36"/>
      <c r="S569" s="45"/>
      <c r="U569" s="18"/>
      <c r="V569" s="36"/>
      <c r="W569" s="45"/>
      <c r="Y569" s="18"/>
      <c r="Z569" s="36"/>
      <c r="AA569" s="45"/>
    </row>
    <row r="570" spans="1:27">
      <c r="A570" s="29"/>
      <c r="B570" s="30"/>
      <c r="C570" s="31" t="s">
        <v>38</v>
      </c>
      <c r="D570" s="29"/>
      <c r="E570" s="32">
        <f>((D568/D558)^(1/10))-1</f>
        <v>8.031809276277535E-2</v>
      </c>
      <c r="F570" s="33">
        <f>((F568/F558)^(1/10))-1</f>
        <v>3.5344920038423711E-2</v>
      </c>
      <c r="G570" s="34"/>
      <c r="H570" s="33">
        <f>((H568/H558)^(1/10))-1</f>
        <v>0.11277679111388905</v>
      </c>
      <c r="I570" s="33">
        <f>((I568/I558)^(1/10))-1</f>
        <v>-4.7463827728883579E-2</v>
      </c>
      <c r="J570" s="33"/>
      <c r="K570" s="33"/>
      <c r="L570" s="32">
        <f>((L568/L558)^(1/10))-1</f>
        <v>6.9936521584703648E-3</v>
      </c>
      <c r="M570" s="32"/>
      <c r="N570" s="32"/>
      <c r="O570" s="32"/>
      <c r="P570" s="32">
        <f>((P568/P558)^(1/10))-1</f>
        <v>-5.8854951431344782E-2</v>
      </c>
      <c r="Q570" s="40"/>
      <c r="R570" s="41"/>
      <c r="S570" s="46"/>
      <c r="U570" s="40"/>
      <c r="V570" s="41"/>
      <c r="W570" s="46"/>
      <c r="Y570" s="40"/>
      <c r="Z570" s="41"/>
      <c r="AA570" s="46"/>
    </row>
    <row r="571" spans="1:27">
      <c r="B571" s="24"/>
      <c r="C571" s="25"/>
      <c r="E571" s="26"/>
      <c r="F571" s="27"/>
      <c r="G571" s="28"/>
      <c r="H571" s="27"/>
      <c r="I571" s="27"/>
      <c r="J571" s="27"/>
      <c r="K571" s="27"/>
      <c r="L571" s="26"/>
      <c r="M571" s="17"/>
      <c r="N571" s="17"/>
      <c r="O571" s="17"/>
      <c r="P571" s="35"/>
      <c r="Q571" s="18"/>
      <c r="R571" s="36"/>
    </row>
    <row r="572" spans="1:27">
      <c r="A572" s="9" t="s">
        <v>0</v>
      </c>
      <c r="B572" s="10"/>
      <c r="C572" s="9" t="s">
        <v>1</v>
      </c>
      <c r="D572" s="9" t="s">
        <v>2</v>
      </c>
      <c r="E572" s="9" t="s">
        <v>3</v>
      </c>
      <c r="F572" s="11" t="s">
        <v>4</v>
      </c>
      <c r="G572" s="11" t="s">
        <v>5</v>
      </c>
      <c r="H572" s="9" t="s">
        <v>6</v>
      </c>
      <c r="I572" s="11" t="s">
        <v>7</v>
      </c>
      <c r="J572" s="11" t="s">
        <v>8</v>
      </c>
      <c r="K572" s="11" t="s">
        <v>9</v>
      </c>
      <c r="L572" s="11" t="s">
        <v>10</v>
      </c>
      <c r="M572" s="11" t="s">
        <v>11</v>
      </c>
      <c r="N572" s="11" t="s">
        <v>12</v>
      </c>
      <c r="O572" s="11" t="s">
        <v>13</v>
      </c>
      <c r="P572" s="11" t="s">
        <v>14</v>
      </c>
      <c r="Q572" s="37" t="s">
        <v>15</v>
      </c>
      <c r="R572" s="42">
        <f>_xll.ciqfunctions.udf.CIQ(A573,("IQ_LASTSALEPRICE"))</f>
        <v>379.45499999999998</v>
      </c>
      <c r="S572" s="44"/>
      <c r="U572" s="37" t="s">
        <v>15</v>
      </c>
      <c r="V572" s="42">
        <f>_xll.ciqfunctions.udf.CIQ(A573,("IQ_LASTSALEPRICE"))</f>
        <v>379.45499999999998</v>
      </c>
      <c r="W572" s="44"/>
      <c r="Y572" s="37" t="s">
        <v>15</v>
      </c>
      <c r="Z572" s="42">
        <f>_xll.ciqfunctions.udf.CIQ(A573,("IQ_LASTSALEPRICE"))</f>
        <v>379.45499999999998</v>
      </c>
      <c r="AA572" s="44"/>
    </row>
    <row r="573" spans="1:27">
      <c r="A573" s="12" t="str">
        <f>Analysis!B40</f>
        <v>NasdaqGS:MSFT</v>
      </c>
      <c r="B573" s="13">
        <v>1</v>
      </c>
      <c r="C573" s="14" t="s">
        <v>16</v>
      </c>
      <c r="D573" s="15">
        <f>IF(A581=A582,_xll.ciqfunctions.udf.CIQ(A573,"IQ_TOTAL_REV",IQ_FY-10)/I573,_xll.ciqfunctions.udf.CIQ(A573, "IQ_TOTAL_REV",IQ_FY-9)/I573)</f>
        <v>10.538178820147985</v>
      </c>
      <c r="E573" s="16"/>
      <c r="F573" s="15">
        <f>IF(A581=A582,_xll.ciqfunctions.udf.CIQ(A573,"IQ_DILUT_EPS_EXCL",IQ_FY-10), _xll.ciqfunctions.udf.CIQ(A573, "IQ_DILUT_EPS_EXCL",IQ_FY-9))</f>
        <v>2.63</v>
      </c>
      <c r="G573" s="15">
        <f>IF(A581=A582,_xll.ciqfunctions.udf.CIQ(A573,"IQ_EBITDA_MARGIN",IQ_FY-10), _xll.ciqfunctions.udf.CIQ(A573, "IQ_EBITDA_MARGIN",IQ_FY-9))</f>
        <v>37.0032</v>
      </c>
      <c r="H573" s="15">
        <f>IF(A581=A582,_xll.ciqfunctions.udf.CIQ(A573,"IQ_TOTAL_DIV_PAID_CF",IQ_FY-10)/-I573, _xll.ciqfunctions.udf.CIQ(A573, "IQ_TOTAL_DIV_PAID_CF",IQ_FY-9)/-I573)</f>
        <v>1.0775683178525901</v>
      </c>
      <c r="I573" s="17">
        <f>IF(A581=A582,_xll.ciqfunctions.udf.CIQ(A573,"IQ_TOTAL_OUTSTANDING_FILING_DATE",IQ_FY-10), _xll.ciqfunctions.udf.CIQ(A573, "IQ_TOTAL_OUTSTANDING_FILING_DATE",IQ_FY-9))</f>
        <v>8239.84879</v>
      </c>
      <c r="J573" s="17">
        <f>IF(A581=A582,_xll.ciqfunctions.udf.CIQ(A573,"IQ_CASH_OPER",IQ_FY-10), _xll.ciqfunctions.udf.CIQ(A573, "IQ_CASH_OPER",IQ_FY-9))</f>
        <v>32502</v>
      </c>
      <c r="K573" s="17">
        <f>IF(A581=A582,_xll.ciqfunctions.udf.CIQ(A573,"IQ_CAPEX",IQ_FY-10), _xll.ciqfunctions.udf.CIQ(A573, "IQ_CAPEX",IQ_FY-9))</f>
        <v>-5485</v>
      </c>
      <c r="L573" s="15">
        <f t="shared" ref="L573:L583" si="152">(J573+K573)/I573</f>
        <v>3.2788223046991134</v>
      </c>
      <c r="M573" s="17">
        <f>IF(A581=A582,_xll.ciqfunctions.udf.CIQ(A573,"IQ_TOTAL_DEBT_ISSUED",IQ_FY-10), _xll.ciqfunctions.udf.CIQ(A573, "IQ_TOTAL_DEBT_ISSUED",IQ_FY-9))</f>
        <v>10850</v>
      </c>
      <c r="N573" s="17">
        <f>IF(A581=A582,_xll.ciqfunctions.udf.CIQ(A573,"IQ_TOTAL_DEBT_REPAID",IQ_FY-10), _xll.ciqfunctions.udf.CIQ(A573, "IQ_TOTAL_DEBT_REPAID",IQ_FY-9))</f>
        <v>-3888</v>
      </c>
      <c r="O573" s="15">
        <f t="shared" ref="O573:O583" si="153">(M573+N573)/I573</f>
        <v>0.84491841748955199</v>
      </c>
      <c r="P573" s="15">
        <f t="shared" ref="P573:P583" si="154">L573+O573</f>
        <v>4.1237407221886651</v>
      </c>
      <c r="W573" s="43"/>
      <c r="AA573" s="43"/>
    </row>
    <row r="574" spans="1:27">
      <c r="A574" s="18" t="str">
        <f>_xll.ciqfunctions.udf.CIQ(A573,"IQ_COMPANY_NAME")</f>
        <v>Microsoft Corporation</v>
      </c>
      <c r="B574" s="13">
        <v>2</v>
      </c>
      <c r="C574" s="14" t="s">
        <v>17</v>
      </c>
      <c r="D574" s="15">
        <f>IF(A581=A582,_xll.ciqfunctions.udf.CIQ(A573,"IQ_TOTAL_REV",IQ_FY-9)/I574, _xll.ciqfunctions.udf.CIQ(A573, "IQ_TOTAL_REV",IQ_FY-8)/I574)</f>
        <v>11.700452945688868</v>
      </c>
      <c r="E574" s="16">
        <f t="shared" ref="E574:E583" si="155">(D574-D573)/D573</f>
        <v>0.11029174446335321</v>
      </c>
      <c r="F574" s="15">
        <f>IF(A581=A582,_xll.ciqfunctions.udf.CIQ(A573,"IQ_DILUT_EPS_EXCL",IQ_FY-9), _xll.ciqfunctions.udf.CIQ(A573, "IQ_DILUT_EPS_EXCL",IQ_FY-8))</f>
        <v>1.48</v>
      </c>
      <c r="G574" s="15">
        <f>IF(A581=A582,_xll.ciqfunctions.udf.CIQ(A573,"IQ_EBITDA_MARGIN",IQ_FY-9), _xll.ciqfunctions.udf.CIQ(A573, "IQ_EBITDA_MARGIN",IQ_FY-8))</f>
        <v>35.875100000000003</v>
      </c>
      <c r="H574" s="15">
        <f>IF(A581=A582,_xll.ciqfunctions.udf.CIQ(A573,"IQ_TOTAL_DIV_PAID_CF",IQ_FY-9)/-I574, _xll.ciqfunctions.udf.CIQ(A573, "IQ_TOTAL_DIV_PAID_CF",IQ_FY-8)/-I574)</f>
        <v>1.2355618295500896</v>
      </c>
      <c r="I574" s="17">
        <f>IF(A581=A582,_xll.ciqfunctions.udf.CIQ(A573,"IQ_TOTAL_OUTSTANDING_FILING_DATE",IQ_FY-9), _xll.ciqfunctions.udf.CIQ(A573, "IQ_TOTAL_OUTSTANDING_FILING_DATE",IQ_FY-8))</f>
        <v>7997.9809699999996</v>
      </c>
      <c r="J574" s="17">
        <f>IF(A581=A582,_xll.ciqfunctions.udf.CIQ(A573,"IQ_CASH_OPER",IQ_FY-9), _xll.ciqfunctions.udf.CIQ(A573, "IQ_CASH_OPER",IQ_FY-8))</f>
        <v>29668</v>
      </c>
      <c r="K574" s="17">
        <f>IF(A581=A582,_xll.ciqfunctions.udf.CIQ(A573,"IQ_CAPEX",IQ_FY-9), _xll.ciqfunctions.udf.CIQ(A573, "IQ_CAPEX",IQ_FY-8))</f>
        <v>-5944</v>
      </c>
      <c r="L574" s="15">
        <f t="shared" si="152"/>
        <v>2.96624861811843</v>
      </c>
      <c r="M574" s="17">
        <f>IF(A581=A582,_xll.ciqfunctions.udf.CIQ(A573,"IQ_TOTAL_DEBT_ISSUED",IQ_FY-9), _xll.ciqfunctions.udf.CIQ(A573, "IQ_TOTAL_DEBT_ISSUED",IQ_FY-8))</f>
        <v>15161</v>
      </c>
      <c r="N574" s="17">
        <f>IF(A581=A582,_xll.ciqfunctions.udf.CIQ(A573,"IQ_TOTAL_DEBT_REPAID",IQ_FY-9), _xll.ciqfunctions.udf.CIQ(A573, "IQ_TOTAL_DEBT_REPAID",IQ_FY-8))</f>
        <v>-1500</v>
      </c>
      <c r="O574" s="15">
        <f t="shared" si="153"/>
        <v>1.7080560770576578</v>
      </c>
      <c r="P574" s="15">
        <f t="shared" si="154"/>
        <v>4.6743046951760876</v>
      </c>
      <c r="Q574" s="25" t="s">
        <v>18</v>
      </c>
      <c r="R574" s="39" t="s">
        <v>19</v>
      </c>
      <c r="S574" s="1">
        <f>R572/((AVERAGE(P578:P583))*(1+E584)^3)</f>
        <v>37.088793662084953</v>
      </c>
      <c r="U574" s="25" t="s">
        <v>48</v>
      </c>
      <c r="V574" s="39" t="s">
        <v>19</v>
      </c>
      <c r="W574" s="1">
        <f>V572/((AVERAGE(P578:P583))*(1+E584)^3)</f>
        <v>37.088793662084953</v>
      </c>
      <c r="Y574" s="25" t="s">
        <v>39</v>
      </c>
      <c r="Z574" s="39" t="s">
        <v>19</v>
      </c>
      <c r="AA574" s="1">
        <f>Z572/((AVERAGE(P578:P583))*(1+E584)^3)</f>
        <v>37.088793662084953</v>
      </c>
    </row>
    <row r="575" spans="1:27">
      <c r="B575" s="13">
        <v>3</v>
      </c>
      <c r="C575" s="14" t="s">
        <v>20</v>
      </c>
      <c r="D575" s="15" cm="1">
        <f t="array" ref="D575">_xlfn.SINGLE(IF(A581=A582,_xll.ciqfunctions.udf.CIQ(A573,"IQ_TOTAL_REV",IQ_FY-8)/I575, _xll.ciqfunctions.udf.CIQ(A573, "IQ_TOTAL_REV",IQ_FY-7)/I575))</f>
        <v>11.697634631739337</v>
      </c>
      <c r="E575" s="16">
        <f t="shared" si="155"/>
        <v>-2.4087220918821232E-4</v>
      </c>
      <c r="F575" s="15">
        <f>IF(A581=A582,_xll.ciqfunctions.udf.CIQ(A573,"IQ_DILUT_EPS_EXCL",IQ_FY-8), _xll.ciqfunctions.udf.CIQ(A573, "IQ_DILUT_EPS_EXCL",IQ_FY-7))</f>
        <v>2.56</v>
      </c>
      <c r="G575" s="15">
        <f>IF(A581=A582,_xll.ciqfunctions.udf.CIQ(A573,"IQ_EBITDA_MARGIN",IQ_FY-8), _xll.ciqfunctions.udf.CIQ(A573, "IQ_EBITDA_MARGIN",IQ_FY-7))</f>
        <v>36.274799999999999</v>
      </c>
      <c r="H575" s="15">
        <f>IF(A581=A582,_xll.ciqfunctions.udf.CIQ(A573,"IQ_TOTAL_DIV_PAID_CF",IQ_FY-8)/-I575, _xll.ciqfunctions.udf.CIQ(A573, "IQ_TOTAL_DIV_PAID_CF",IQ_FY-7)/-I575)</f>
        <v>1.4123808802348021</v>
      </c>
      <c r="I575" s="17">
        <f>IF(A581=A582,_xll.ciqfunctions.udf.CIQ(A573,"IQ_TOTAL_OUTSTANDING_FILING_DATE",IQ_FY-8), _xll.ciqfunctions.udf.CIQ(A573, "IQ_TOTAL_OUTSTANDING_FILING_DATE",IQ_FY-7))</f>
        <v>7792.5155699999996</v>
      </c>
      <c r="J575" s="17">
        <f>IF(A581=A582,_xll.ciqfunctions.udf.CIQ(A573,"IQ_CASH_OPER",IQ_FY-8), _xll.ciqfunctions.udf.CIQ(A573, "IQ_CASH_OPER",IQ_FY-7))</f>
        <v>33325</v>
      </c>
      <c r="K575" s="17">
        <f>IF(A581=A582,_xll.ciqfunctions.udf.CIQ(A573,"IQ_CAPEX",IQ_FY-8), _xll.ciqfunctions.udf.CIQ(A573, "IQ_CAPEX",IQ_FY-7))</f>
        <v>-8343</v>
      </c>
      <c r="L575" s="15">
        <f t="shared" si="152"/>
        <v>3.2058967063443418</v>
      </c>
      <c r="M575" s="17">
        <f>IF(A581=A582,_xll.ciqfunctions.udf.CIQ(A573,"IQ_TOTAL_DEBT_ISSUED",IQ_FY-8), _xll.ciqfunctions.udf.CIQ(A573, "IQ_TOTAL_DEBT_ISSUED",IQ_FY-7))</f>
        <v>21079</v>
      </c>
      <c r="N575" s="17">
        <f>IF(A581=A582,_xll.ciqfunctions.udf.CIQ(A573,"IQ_TOTAL_DEBT_REPAID",IQ_FY-8), _xll.ciqfunctions.udf.CIQ(A573, "IQ_TOTAL_DEBT_REPAID",IQ_FY-7))</f>
        <v>-2796</v>
      </c>
      <c r="O575" s="15">
        <f t="shared" si="153"/>
        <v>2.3462256617602115</v>
      </c>
      <c r="P575" s="15">
        <f t="shared" si="154"/>
        <v>5.5521223681045537</v>
      </c>
      <c r="Q575" s="25" t="s">
        <v>21</v>
      </c>
      <c r="R575" s="38" t="s">
        <v>49</v>
      </c>
      <c r="S575" s="2">
        <f>(R572*I583)/1000</f>
        <v>2820.2091024301499</v>
      </c>
      <c r="U575" s="25" t="s">
        <v>59</v>
      </c>
      <c r="V575" s="38" t="s">
        <v>49</v>
      </c>
      <c r="W575" s="2">
        <f>(V572*I583)/1000</f>
        <v>2820.2091024301499</v>
      </c>
      <c r="Y575" s="25" t="s">
        <v>46</v>
      </c>
      <c r="Z575" s="38" t="s">
        <v>49</v>
      </c>
      <c r="AA575" s="2">
        <f>(Z572*I583)/1000</f>
        <v>2820.2091024301499</v>
      </c>
    </row>
    <row r="576" spans="1:27">
      <c r="A576" s="18"/>
      <c r="B576" s="13">
        <v>4</v>
      </c>
      <c r="C576" s="14" t="s">
        <v>22</v>
      </c>
      <c r="D576" s="15" cm="1">
        <f t="array" ref="D576">_xlfn.SINGLE(IF(A581=A582,_xll.ciqfunctions.udf.CIQ(A573,"IQ_TOTAL_REV",IQ_FY-7)/I576, _xll.ciqfunctions.udf.CIQ(A573, "IQ_TOTAL_REV",IQ_FY-6)/I576))</f>
        <v>12.538034402800104</v>
      </c>
      <c r="E576" s="16">
        <f t="shared" si="155"/>
        <v>7.1843564747739661E-2</v>
      </c>
      <c r="F576" s="15">
        <f>IF(A581=A582,_xll.ciqfunctions.udf.CIQ(A573,"IQ_DILUT_EPS_EXCL",IQ_FY-7), _xll.ciqfunctions.udf.CIQ(A573, "IQ_DILUT_EPS_EXCL",IQ_FY-6))</f>
        <v>3.25</v>
      </c>
      <c r="G576" s="15">
        <f>IF(A581=A582,_xll.ciqfunctions.udf.CIQ(A573,"IQ_EBITDA_MARGIN",IQ_FY-7), _xll.ciqfunctions.udf.CIQ(A573, "IQ_EBITDA_MARGIN",IQ_FY-6))</f>
        <v>38.449399999999997</v>
      </c>
      <c r="H576" s="15">
        <f>IF(A581=A582,_xll.ciqfunctions.udf.CIQ(A573,"IQ_TOTAL_DIV_PAID_CF",IQ_FY-7)/-I576, _xll.ciqfunctions.udf.CIQ(A573, "IQ_TOTAL_DIV_PAID_CF",IQ_FY-6)/-I576)</f>
        <v>1.5378635149389281</v>
      </c>
      <c r="I576" s="17">
        <f>IF(A581=A582,_xll.ciqfunctions.udf.CIQ(A573,"IQ_TOTAL_OUTSTANDING_FILING_DATE",IQ_FY-7), _xll.ciqfunctions.udf.CIQ(A573, "IQ_TOTAL_OUTSTANDING_FILING_DATE",IQ_FY-6))</f>
        <v>7702.2439800000002</v>
      </c>
      <c r="J576" s="17">
        <f>IF(A581=A582,_xll.ciqfunctions.udf.CIQ(A573,"IQ_CASH_OPER",IQ_FY-7), _xll.ciqfunctions.udf.CIQ(A573, "IQ_CASH_OPER",IQ_FY-6))</f>
        <v>39507</v>
      </c>
      <c r="K576" s="17">
        <f>IF(A581=A582,_xll.ciqfunctions.udf.CIQ(A573,"IQ_CAPEX",IQ_FY-7), _xll.ciqfunctions.udf.CIQ(A573, "IQ_CAPEX",IQ_FY-6))</f>
        <v>-8129</v>
      </c>
      <c r="L576" s="15">
        <f t="shared" si="152"/>
        <v>4.073877701287774</v>
      </c>
      <c r="M576" s="17">
        <f>IF(A581=A582,_xll.ciqfunctions.udf.CIQ(A573,"IQ_TOTAL_DEBT_ISSUED",IQ_FY-7), _xll.ciqfunctions.udf.CIQ(A573, "IQ_TOTAL_DEBT_ISSUED",IQ_FY-6))</f>
        <v>44344</v>
      </c>
      <c r="N576" s="17">
        <f>IF(A581=A582,_xll.ciqfunctions.udf.CIQ(A573,"IQ_TOTAL_DEBT_REPAID",IQ_FY-7), _xll.ciqfunctions.udf.CIQ(A573, "IQ_TOTAL_DEBT_REPAID",IQ_FY-6))</f>
        <v>-12885</v>
      </c>
      <c r="O576" s="15">
        <f t="shared" si="153"/>
        <v>4.0843941170505484</v>
      </c>
      <c r="P576" s="15">
        <f t="shared" si="154"/>
        <v>8.1582718183383225</v>
      </c>
      <c r="Q576" s="25" t="s">
        <v>23</v>
      </c>
      <c r="R576" s="38" t="s">
        <v>24</v>
      </c>
      <c r="S576" s="1">
        <f>R572/(AVERAGE(H578:H583)*(1+H584)/(0.5-H584))</f>
        <v>62.949528453970416</v>
      </c>
      <c r="U576" s="25" t="s">
        <v>40</v>
      </c>
      <c r="V576" s="38" t="s">
        <v>24</v>
      </c>
      <c r="W576" s="1">
        <f>V572/(AVERAGE(H578:H583)*(1+H584)/(0.5-H584))</f>
        <v>62.949528453970416</v>
      </c>
      <c r="Y576" s="25" t="s">
        <v>47</v>
      </c>
      <c r="Z576" s="38" t="s">
        <v>24</v>
      </c>
      <c r="AA576" s="1">
        <f>Z572/(AVERAGE(H578:H583)*(1+H584)/(0.5-H584))</f>
        <v>62.949528453970416</v>
      </c>
    </row>
    <row r="577" spans="1:27">
      <c r="B577" s="13">
        <v>5</v>
      </c>
      <c r="C577" s="14" t="s">
        <v>25</v>
      </c>
      <c r="D577" s="15" cm="1">
        <f t="array" ref="D577">_xlfn.SINGLE(IF(A581=A582,_xll.ciqfunctions.udf.CIQ(A573,"IQ_TOTAL_REV",IQ_FY-6)/I577, _xll.ciqfunctions.udf.CIQ(A573, "IQ_TOTAL_REV",IQ_FY-5)/I577))</f>
        <v>14.391871721235987</v>
      </c>
      <c r="E577" s="16">
        <f t="shared" si="155"/>
        <v>0.1478570929763813</v>
      </c>
      <c r="F577" s="15">
        <f>IF(A581=A582,_xll.ciqfunctions.udf.CIQ(A573,"IQ_DILUT_EPS_EXCL",IQ_FY-6), _xll.ciqfunctions.udf.CIQ(A573, "IQ_DILUT_EPS_EXCL",IQ_FY-5))</f>
        <v>2.13</v>
      </c>
      <c r="G577" s="15">
        <f>IF(A581=A582,_xll.ciqfunctions.udf.CIQ(A573,"IQ_EBITDA_MARGIN",IQ_FY-6), _xll.ciqfunctions.udf.CIQ(A573, "IQ_EBITDA_MARGIN",IQ_FY-5))</f>
        <v>40.737499999999997</v>
      </c>
      <c r="H577" s="15">
        <f>IF(A581=A582,_xll.ciqfunctions.udf.CIQ(A573,"IQ_TOTAL_DIV_PAID_CF",IQ_FY-6)/-I577, _xll.ciqfunctions.udf.CIQ(A573, "IQ_TOTAL_DIV_PAID_CF",IQ_FY-5)/-I577)</f>
        <v>1.6560563518301539</v>
      </c>
      <c r="I577" s="17">
        <f>IF(A581=A582,_xll.ciqfunctions.udf.CIQ(A573,"IQ_TOTAL_OUTSTANDING_FILING_DATE",IQ_FY-6), _xll.ciqfunctions.udf.CIQ(A573, "IQ_TOTAL_OUTSTANDING_FILING_DATE",IQ_FY-5))</f>
        <v>7668.2173199999997</v>
      </c>
      <c r="J577" s="17">
        <f>IF(A581=A582,_xll.ciqfunctions.udf.CIQ(A573,"IQ_CASH_OPER",IQ_FY-6), _xll.ciqfunctions.udf.CIQ(A573, "IQ_CASH_OPER",IQ_FY-5))</f>
        <v>43884</v>
      </c>
      <c r="K577" s="17">
        <f>IF(A581=A582,_xll.ciqfunctions.udf.CIQ(A573,"IQ_CAPEX",IQ_FY-6), _xll.ciqfunctions.udf.CIQ(A573, "IQ_CAPEX",IQ_FY-5))</f>
        <v>-11632</v>
      </c>
      <c r="L577" s="15">
        <f t="shared" si="152"/>
        <v>4.2059319205627315</v>
      </c>
      <c r="M577" s="17">
        <f>IF(A581=A582,_xll.ciqfunctions.udf.CIQ(A573,"IQ_TOTAL_DEBT_ISSUED",IQ_FY-6), _xll.ciqfunctions.udf.CIQ(A573, "IQ_TOTAL_DEBT_ISSUED",IQ_FY-5))</f>
        <v>7183</v>
      </c>
      <c r="N577" s="17">
        <f>IF(A581=A582,_xll.ciqfunctions.udf.CIQ(A573,"IQ_TOTAL_DEBT_REPAID",IQ_FY-6), _xll.ciqfunctions.udf.CIQ(A573, "IQ_TOTAL_DEBT_REPAID",IQ_FY-5))</f>
        <v>-17384</v>
      </c>
      <c r="O577" s="15">
        <f t="shared" si="153"/>
        <v>-1.3302961528482087</v>
      </c>
      <c r="P577" s="15">
        <f t="shared" si="154"/>
        <v>2.875635767714523</v>
      </c>
      <c r="Q577" s="18"/>
      <c r="R577" s="38" t="s">
        <v>50</v>
      </c>
      <c r="S577" s="3">
        <f>I584</f>
        <v>-5.3787346187952334E-3</v>
      </c>
      <c r="U577" s="18"/>
      <c r="V577" s="38" t="s">
        <v>50</v>
      </c>
      <c r="W577" s="3">
        <f>I584</f>
        <v>-5.3787346187952334E-3</v>
      </c>
      <c r="Y577" s="18"/>
      <c r="Z577" s="38" t="s">
        <v>50</v>
      </c>
      <c r="AA577" s="3">
        <f>I584</f>
        <v>-5.3787346187952334E-3</v>
      </c>
    </row>
    <row r="578" spans="1:27">
      <c r="B578" s="13">
        <v>6</v>
      </c>
      <c r="C578" s="14" t="s">
        <v>26</v>
      </c>
      <c r="D578" s="15" cm="1">
        <f t="array" ref="D578">_xlfn.SINGLE(IF(A581=A582,_xll.ciqfunctions.udf.CIQ(A573,"IQ_TOTAL_REV",IQ_FY-5)/I578, _xll.ciqfunctions.udf.CIQ(A573, "IQ_TOTAL_REV",IQ_FY-4)/I578))</f>
        <v>16.481499996581718</v>
      </c>
      <c r="E578" s="16">
        <f t="shared" si="155"/>
        <v>0.14519503201674397</v>
      </c>
      <c r="F578" s="15">
        <f>IF(A581=A582,_xll.ciqfunctions.udf.CIQ(A573,"IQ_DILUT_EPS_EXCL",IQ_FY-5), _xll.ciqfunctions.udf.CIQ(A573, "IQ_DILUT_EPS_EXCL",IQ_FY-4))</f>
        <v>5.0599999999999996</v>
      </c>
      <c r="G578" s="15">
        <f>IF(A581=A582,_xll.ciqfunctions.udf.CIQ(A573,"IQ_EBITDA_MARGIN",IQ_FY-5), _xll.ciqfunctions.udf.CIQ(A573, "IQ_EBITDA_MARGIN",IQ_FY-4))</f>
        <v>43.354799999999997</v>
      </c>
      <c r="H578" s="15">
        <f>IF(A581=A582,_xll.ciqfunctions.udf.CIQ(A573,"IQ_TOTAL_DIV_PAID_CF",IQ_FY-5)/-I578, _xll.ciqfunctions.udf.CIQ(A573, "IQ_TOTAL_DIV_PAID_CF",IQ_FY-4)/-I578)</f>
        <v>1.8088093612897824</v>
      </c>
      <c r="I578" s="17">
        <f>IF(A581=A582,_xll.ciqfunctions.udf.CIQ(A573,"IQ_TOTAL_OUTSTANDING_FILING_DATE",IQ_FY-5), _xll.ciqfunctions.udf.CIQ(A573, "IQ_TOTAL_OUTSTANDING_FILING_DATE",IQ_FY-4))</f>
        <v>7635.4093999999996</v>
      </c>
      <c r="J578" s="17">
        <f>IF(A581=A582,_xll.ciqfunctions.udf.CIQ(A573,"IQ_CASH_OPER",IQ_FY-5), _xll.ciqfunctions.udf.CIQ(A573, "IQ_CASH_OPER",IQ_FY-4))</f>
        <v>52185</v>
      </c>
      <c r="K578" s="17">
        <f>IF(A581=A582,_xll.ciqfunctions.udf.CIQ(A573,"IQ_CAPEX",IQ_FY-5), _xll.ciqfunctions.udf.CIQ(A573, "IQ_CAPEX",IQ_FY-4))</f>
        <v>-13925</v>
      </c>
      <c r="L578" s="15">
        <f t="shared" si="152"/>
        <v>5.010864250448706</v>
      </c>
      <c r="M578" s="17">
        <f>IF(A581=A582,_xll.ciqfunctions.udf.CIQ(A573,"IQ_TOTAL_DEBT_ISSUED",IQ_FY-5), _xll.ciqfunctions.udf.CIQ(A573, "IQ_TOTAL_DEBT_ISSUED",IQ_FY-4))</f>
        <v>0</v>
      </c>
      <c r="N578" s="17">
        <f>IF(A581=A582,_xll.ciqfunctions.udf.CIQ(A573,"IQ_TOTAL_DEBT_REPAID",IQ_FY-5), _xll.ciqfunctions.udf.CIQ(A573, "IQ_TOTAL_DEBT_REPAID",IQ_FY-4))</f>
        <v>-4000</v>
      </c>
      <c r="O578" s="15">
        <f t="shared" si="153"/>
        <v>-0.52387498697843238</v>
      </c>
      <c r="P578" s="15">
        <f t="shared" si="154"/>
        <v>4.4869892634702735</v>
      </c>
      <c r="Q578" s="25" t="s">
        <v>27</v>
      </c>
      <c r="R578" s="38" t="s">
        <v>51</v>
      </c>
      <c r="S578" s="4">
        <f>AVERAGE(F578:F583)/AVERAGE(D578:D583)</f>
        <v>0.34114130510456964</v>
      </c>
      <c r="U578" s="25" t="s">
        <v>58</v>
      </c>
      <c r="V578" s="38" t="s">
        <v>51</v>
      </c>
      <c r="W578" s="4">
        <f>AVERAGE(F578:F583)/AVERAGE(D578:D583)</f>
        <v>0.34114130510456964</v>
      </c>
      <c r="Y578" s="25" t="s">
        <v>56</v>
      </c>
      <c r="Z578" s="38" t="s">
        <v>51</v>
      </c>
      <c r="AA578" s="4">
        <f>AVERAGE(F578:F583)/AVERAGE(D578:D583)</f>
        <v>0.34114130510456964</v>
      </c>
    </row>
    <row r="579" spans="1:27">
      <c r="A579" s="18"/>
      <c r="B579" s="13">
        <v>7</v>
      </c>
      <c r="C579" s="14" t="s">
        <v>28</v>
      </c>
      <c r="D579" s="15" cm="1">
        <f t="array" ref="D579">_xlfn.SINGLE(IF(A581=A582,_xll.ciqfunctions.udf.CIQ(A573,"IQ_TOTAL_REV",IQ_FY-4)/I579, _xll.ciqfunctions.udf.CIQ(A573, "IQ_TOTAL_REV",IQ_FY-3)/I579))</f>
        <v>18.898197516970168</v>
      </c>
      <c r="E579" s="16">
        <f t="shared" si="155"/>
        <v>0.1466309207832828</v>
      </c>
      <c r="F579" s="15">
        <f>IF(A581=A582,_xll.ciqfunctions.udf.CIQ(A573,"IQ_DILUT_EPS_EXCL",IQ_FY-4), _xll.ciqfunctions.udf.CIQ(A573, "IQ_DILUT_EPS_EXCL",IQ_FY-3))</f>
        <v>5.76</v>
      </c>
      <c r="G579" s="15">
        <f>IF(A581=A582,_xll.ciqfunctions.udf.CIQ(A573,"IQ_EBITDA_MARGIN",IQ_FY-4), _xll.ciqfunctions.udf.CIQ(A573, "IQ_EBITDA_MARGIN",IQ_FY-3))</f>
        <v>45.630800000000001</v>
      </c>
      <c r="H579" s="15">
        <f>IF(A581=A582,_xll.ciqfunctions.udf.CIQ(A573,"IQ_TOTAL_DIV_PAID_CF",IQ_FY-4)/-I579, _xll.ciqfunctions.udf.CIQ(A573, "IQ_TOTAL_DIV_PAID_CF",IQ_FY-3)/-I579)</f>
        <v>2.0002238633316605</v>
      </c>
      <c r="I579" s="17">
        <f>IF(A581=A582,_xll.ciqfunctions.udf.CIQ(A573,"IQ_TOTAL_OUTSTANDING_FILING_DATE",IQ_FY-4), _xll.ciqfunctions.udf.CIQ(A573, "IQ_TOTAL_OUTSTANDING_FILING_DATE",IQ_FY-3))</f>
        <v>7567.6529399999999</v>
      </c>
      <c r="J579" s="17">
        <f>IF(A581=A582,_xll.ciqfunctions.udf.CIQ(A573,"IQ_CASH_OPER",IQ_FY-4), _xll.ciqfunctions.udf.CIQ(A573, "IQ_CASH_OPER",IQ_FY-3))</f>
        <v>60675</v>
      </c>
      <c r="K579" s="17">
        <f>IF(A581=A582,_xll.ciqfunctions.udf.CIQ(A573,"IQ_CAPEX",IQ_FY-4), _xll.ciqfunctions.udf.CIQ(A573, "IQ_CAPEX",IQ_FY-3))</f>
        <v>-15441</v>
      </c>
      <c r="L579" s="15">
        <f t="shared" si="152"/>
        <v>5.9772825681406054</v>
      </c>
      <c r="M579" s="17">
        <f>IF(A581=A582,_xll.ciqfunctions.udf.CIQ(A573,"IQ_TOTAL_DEBT_ISSUED",IQ_FY-4), _xll.ciqfunctions.udf.CIQ(A573, "IQ_TOTAL_DEBT_ISSUED",IQ_FY-3))</f>
        <v>0</v>
      </c>
      <c r="N579" s="17">
        <f>IF(A581=A582,_xll.ciqfunctions.udf.CIQ(A573,"IQ_TOTAL_DEBT_REPAID",IQ_FY-4), _xll.ciqfunctions.udf.CIQ(A573, "IQ_TOTAL_DEBT_REPAID",IQ_FY-3))</f>
        <v>-5518</v>
      </c>
      <c r="O579" s="15">
        <f t="shared" si="153"/>
        <v>-0.72915605984436171</v>
      </c>
      <c r="P579" s="15">
        <f t="shared" si="154"/>
        <v>5.2481265082962434</v>
      </c>
      <c r="Q579" s="18"/>
      <c r="R579" s="38" t="s">
        <v>29</v>
      </c>
      <c r="S579" s="4">
        <f>(AVERAGE(P578:P583)/_xlfn.STDEV.P(P578:P583))/(IF(A581=A582,(_xlfn.SINGLE(_xll.ciqfunctions.udf.CIQ(A573,"IQ_total_assets",IQ_FY)) - _xlfn.SINGLE(_xll.ciqfunctions.udf.CIQ(A573,"iq_gw_intan", IQ_FY)))/I583, (_xlfn.SINGLE(_xll.ciqfunctions.udf.CIQ(A573, "IQ_total_assets",IQ_LTM))-_xlfn.SINGLE(_xll.ciqfunctions.udf.CIQ(A573,"iq_gw_intan",IQ_LTM)))/I583))</f>
        <v>6.4797878128471001E-2</v>
      </c>
      <c r="U579" s="18"/>
      <c r="V579" s="38" t="s">
        <v>29</v>
      </c>
      <c r="W579" s="4">
        <f>(AVERAGE(P578:P583)/_xlfn.STDEV.P(P578:P583))/(IF(A581=A582,(_xlfn.SINGLE(_xll.ciqfunctions.udf.CIQ(A573,"IQ_total_assets",IQ_FY)) - _xlfn.SINGLE(_xll.ciqfunctions.udf.CIQ(A573,"iq_gw_intan", IQ_FY)))/I583, (_xlfn.SINGLE(_xll.ciqfunctions.udf.CIQ(A573, "IQ_total_assets",IQ_LTM))-_xlfn.SINGLE(_xll.ciqfunctions.udf.CIQ(A573,"iq_gw_intan",IQ_LTM)))/I583))</f>
        <v>6.4797878128471001E-2</v>
      </c>
      <c r="Y579" s="18"/>
      <c r="Z579" s="38" t="s">
        <v>29</v>
      </c>
      <c r="AA579" s="4">
        <f>(AVERAGE(P578:P583)/_xlfn.STDEV.P(P578:P583))/(IF(A581=A582,(_xlfn.SINGLE(_xll.ciqfunctions.udf.CIQ(A573,"IQ_total_assets",IQ_FY)) - _xlfn.SINGLE(_xll.ciqfunctions.udf.CIQ(A573,"iq_gw_intan", IQ_FY)))/I583, (_xlfn.SINGLE(_xll.ciqfunctions.udf.CIQ(A573, "IQ_total_assets",IQ_LTM))-_xlfn.SINGLE(_xll.ciqfunctions.udf.CIQ(A573,"iq_gw_intan",IQ_LTM)))/I583))</f>
        <v>6.4797878128471001E-2</v>
      </c>
    </row>
    <row r="580" spans="1:27">
      <c r="A580" s="18"/>
      <c r="B580" s="13">
        <v>8</v>
      </c>
      <c r="C580" s="14" t="s">
        <v>30</v>
      </c>
      <c r="D580" s="15" cm="1">
        <f t="array" ref="D580">_xlfn.SINGLE(IF(A581=A582,_xll.ciqfunctions.udf.CIQ(A573,"IQ_TOTAL_REV",IQ_FY-3)/I580, _xll.ciqfunctions.udf.CIQ(A573, "IQ_TOTAL_REV",IQ_FY-2)/I580))</f>
        <v>22.367323013490051</v>
      </c>
      <c r="E580" s="16">
        <f t="shared" si="155"/>
        <v>0.18356912046266233</v>
      </c>
      <c r="F580" s="15">
        <f>IF(A581=A582,_xll.ciqfunctions.udf.CIQ(A573,"IQ_DILUT_EPS_EXCL",IQ_FY-3), _xll.ciqfunctions.udf.CIQ(A573, "IQ_DILUT_EPS_EXCL",IQ_FY-2))</f>
        <v>8.0500000000000007</v>
      </c>
      <c r="G580" s="15">
        <f>IF(A581=A582,_xll.ciqfunctions.udf.CIQ(A573,"IQ_EBITDA_MARGIN",IQ_FY-3), _xll.ciqfunctions.udf.CIQ(A573, "IQ_EBITDA_MARGIN",IQ_FY-2))</f>
        <v>48.079500000000003</v>
      </c>
      <c r="H580" s="15">
        <f>IF(A581=A582,_xll.ciqfunctions.udf.CIQ(A573,"IQ_TOTAL_DIV_PAID_CF",IQ_FY-3)/-I580, _xll.ciqfunctions.udf.CIQ(A573, "IQ_TOTAL_DIV_PAID_CF",IQ_FY-2)/-I580)</f>
        <v>2.1984350072930199</v>
      </c>
      <c r="I580" s="17">
        <f>IF(A581=A582,_xll.ciqfunctions.udf.CIQ(A573,"IQ_TOTAL_OUTSTANDING_FILING_DATE",IQ_FY-3), _xll.ciqfunctions.udf.CIQ(A573, "IQ_TOTAL_OUTSTANDING_FILING_DATE",IQ_FY-2))</f>
        <v>7514.8912499999997</v>
      </c>
      <c r="J580" s="17">
        <f>IF(A581=A582,_xll.ciqfunctions.udf.CIQ(A573,"IQ_CASH_OPER",IQ_FY-3), _xll.ciqfunctions.udf.CIQ(A573, "IQ_CASH_OPER",IQ_FY-2))</f>
        <v>76740</v>
      </c>
      <c r="K580" s="17">
        <f>IF(A581=A582,_xll.ciqfunctions.udf.CIQ(A573,"IQ_CAPEX",IQ_FY-3), _xll.ciqfunctions.udf.CIQ(A573, "IQ_CAPEX",IQ_FY-2))</f>
        <v>-20622</v>
      </c>
      <c r="L580" s="15">
        <f t="shared" si="152"/>
        <v>7.4675731335433504</v>
      </c>
      <c r="M580" s="17">
        <f>IF(A581=A582,_xll.ciqfunctions.udf.CIQ(A573,"IQ_TOTAL_DEBT_ISSUED",IQ_FY-3), _xll.ciqfunctions.udf.CIQ(A573, "IQ_TOTAL_DEBT_ISSUED",IQ_FY-2))</f>
        <v>0</v>
      </c>
      <c r="N580" s="17">
        <f>IF(A581=A582,_xll.ciqfunctions.udf.CIQ(A573,"IQ_TOTAL_DEBT_REPAID",IQ_FY-3), _xll.ciqfunctions.udf.CIQ(A573, "IQ_TOTAL_DEBT_REPAID",IQ_FY-2))</f>
        <v>-3750</v>
      </c>
      <c r="O580" s="15">
        <f t="shared" si="153"/>
        <v>-0.4990092171992509</v>
      </c>
      <c r="P580" s="15">
        <f t="shared" si="154"/>
        <v>6.9685639163440998</v>
      </c>
      <c r="Q580" s="18"/>
      <c r="R580" s="39" t="s">
        <v>31</v>
      </c>
      <c r="S580" s="5">
        <f>IF(NOT(D573&gt;0),FALSE,SLOPE(G573:G583,B573:B583))</f>
        <v>1.6019372727272732</v>
      </c>
      <c r="U580" s="18"/>
      <c r="V580" s="39" t="s">
        <v>31</v>
      </c>
      <c r="W580" s="5">
        <f>IF(NOT(D573&gt;0),FALSE,SLOPE(G573:G583,B573:B583))</f>
        <v>1.6019372727272732</v>
      </c>
      <c r="Y580" s="18"/>
      <c r="Z580" s="39" t="s">
        <v>31</v>
      </c>
      <c r="AA580" s="5">
        <f>IF(NOT(L573&gt;0),FALSE,SLOPE(O573:O583,J573:J583))</f>
        <v>-2.1087570369797647E-5</v>
      </c>
    </row>
    <row r="581" spans="1:27">
      <c r="A581" s="19">
        <f>_xll.ciqfunctions.udf.CIQ(A573,"IQ_TOTAL_REV",IQ_FY)</f>
        <v>211915</v>
      </c>
      <c r="B581" s="13">
        <v>9</v>
      </c>
      <c r="C581" s="14" t="s">
        <v>32</v>
      </c>
      <c r="D581" s="15" cm="1">
        <f t="array" ref="D581">_xlfn.SINGLE(IF(A581=A582,_xll.ciqfunctions.udf.CIQ(A573,"IQ_TOTAL_REV",IQ_FY-2)/I581, _xll.ciqfunctions.udf.CIQ(A573, "IQ_TOTAL_REV",IQ_FY-1)/I581))</f>
        <v>26.585260748759019</v>
      </c>
      <c r="E581" s="16">
        <f t="shared" si="155"/>
        <v>0.18857588513051249</v>
      </c>
      <c r="F581" s="15">
        <f>IF(A581=A582,_xll.ciqfunctions.udf.CIQ(A573,"IQ_DILUT_EPS_EXCL",IQ_FY-2), _xll.ciqfunctions.udf.CIQ(A573, "IQ_DILUT_EPS_EXCL",IQ_FY-1))</f>
        <v>9.65</v>
      </c>
      <c r="G581" s="15">
        <f>IF(A581=A582,_xll.ciqfunctions.udf.CIQ(A573,"IQ_EBITDA_MARGIN",IQ_FY-2), _xll.ciqfunctions.udf.CIQ(A573, "IQ_EBITDA_MARGIN",IQ_FY-1))</f>
        <v>49.418900000000001</v>
      </c>
      <c r="H581" s="15">
        <f>IF(A581=A582,_xll.ciqfunctions.udf.CIQ(A573,"IQ_TOTAL_DIV_PAID_CF",IQ_FY-2)/-I581, _xll.ciqfunctions.udf.CIQ(A573, "IQ_TOTAL_DIV_PAID_CF",IQ_FY-1)/-I581)</f>
        <v>2.4316523108828605</v>
      </c>
      <c r="I581" s="17">
        <f>IF(A581=A582,_xll.ciqfunctions.udf.CIQ(A573,"IQ_TOTAL_OUTSTANDING_FILING_DATE",IQ_FY-2), _xll.ciqfunctions.udf.CIQ(A573, "IQ_TOTAL_OUTSTANDING_FILING_DATE",IQ_FY-1))</f>
        <v>7457.8918700000004</v>
      </c>
      <c r="J581" s="17">
        <f>IF(A581=A582,_xll.ciqfunctions.udf.CIQ(A573,"IQ_CASH_OPER",IQ_FY-2), _xll.ciqfunctions.udf.CIQ(A573, "IQ_CASH_OPER",IQ_FY-1))</f>
        <v>89035</v>
      </c>
      <c r="K581" s="17">
        <f>IF(A581=A582,_xll.ciqfunctions.udf.CIQ(A573,"IQ_CAPEX",IQ_FY-2), _xll.ciqfunctions.udf.CIQ(A573, "IQ_CAPEX",IQ_FY-1))</f>
        <v>-23886</v>
      </c>
      <c r="L581" s="15">
        <f t="shared" si="152"/>
        <v>8.7355785167746074</v>
      </c>
      <c r="M581" s="17">
        <f>IF(A581=A582,_xll.ciqfunctions.udf.CIQ(A573,"IQ_TOTAL_DEBT_ISSUED",IQ_FY-2), _xll.ciqfunctions.udf.CIQ(A573, "IQ_TOTAL_DEBT_ISSUED",IQ_FY-1))</f>
        <v>0</v>
      </c>
      <c r="N581" s="17">
        <f>IF(A581=A582,_xll.ciqfunctions.udf.CIQ(A573,"IQ_TOTAL_DEBT_REPAID",IQ_FY-2), _xll.ciqfunctions.udf.CIQ(A573, "IQ_TOTAL_DEBT_REPAID",IQ_FY-1))</f>
        <v>-9023</v>
      </c>
      <c r="O581" s="15">
        <f t="shared" si="153"/>
        <v>-1.2098593218139537</v>
      </c>
      <c r="P581" s="15">
        <f t="shared" si="154"/>
        <v>7.5257191949606534</v>
      </c>
      <c r="Q581" s="25" t="s">
        <v>33</v>
      </c>
      <c r="R581" s="38" t="s">
        <v>52</v>
      </c>
      <c r="S581" s="4">
        <f>(AVERAGE(O578:O583)/AVERAGE(P578:P583))</f>
        <v>-6.9739253848439056E-3</v>
      </c>
      <c r="U581" s="25" t="s">
        <v>54</v>
      </c>
      <c r="V581" s="38" t="s">
        <v>52</v>
      </c>
      <c r="W581" s="4">
        <f>(AVERAGE(O578:O583)/AVERAGE(P578:P583))</f>
        <v>-6.9739253848439056E-3</v>
      </c>
      <c r="Y581" s="25" t="s">
        <v>60</v>
      </c>
      <c r="Z581" s="38" t="s">
        <v>52</v>
      </c>
      <c r="AA581" s="4">
        <f>(AVERAGE(O578:O583)/AVERAGE(P578:P583))</f>
        <v>-6.9739253848439056E-3</v>
      </c>
    </row>
    <row r="582" spans="1:27">
      <c r="A582" s="19">
        <f>_xll.ciqfunctions.udf.CIQ(A573,"IQ_TOTAL_REV",IQ_LTM)</f>
        <v>218310</v>
      </c>
      <c r="B582" s="13">
        <v>10</v>
      </c>
      <c r="C582" s="14" t="s">
        <v>34</v>
      </c>
      <c r="D582" s="15" cm="1">
        <f t="array" ref="D582">_xlfn.SINGLE(IF(A581=A582,_xll.ciqfunctions.udf.CIQ(A573,"IQ_TOTAL_REV",IQ_FY-1)/I582, _xll.ciqfunctions.udf.CIQ(A573, "IQ_TOTAL_REV",IQ_FY)/I582))</f>
        <v>28.522441356991095</v>
      </c>
      <c r="E582" s="16">
        <f t="shared" si="155"/>
        <v>7.2866714625791362E-2</v>
      </c>
      <c r="F582" s="15">
        <f>IF(A581=A582,_xll.ciqfunctions.udf.CIQ(A573,"IQ_DILUT_EPS_EXCL",IQ_FY-1), _xll.ciqfunctions.udf.CIQ(A573, "IQ_DILUT_EPS_EXCL",IQ_FY))</f>
        <v>9.68</v>
      </c>
      <c r="G582" s="15">
        <f>IF(A581=A582,_xll.ciqfunctions.udf.CIQ(A573,"IQ_EBITDA_MARGIN",IQ_FY-1), _xll.ciqfunctions.udf.CIQ(A573, "IQ_EBITDA_MARGIN",IQ_FY))</f>
        <v>48.143300000000004</v>
      </c>
      <c r="H582" s="15">
        <f>IF(A581=A582,_xll.ciqfunctions.udf.CIQ(A573,"IQ_TOTAL_DIV_PAID_CF",IQ_FY-1)/-I582, _xll.ciqfunctions.udf.CIQ(A573, "IQ_TOTAL_DIV_PAID_CF",IQ_FY)/-I582)</f>
        <v>2.6649568877541641</v>
      </c>
      <c r="I582" s="17">
        <f>IF(A581=A582,_xll.ciqfunctions.udf.CIQ(A573,"IQ_TOTAL_OUTSTANDING_FILING_DATE",IQ_FY-1), _xll.ciqfunctions.udf.CIQ(A573, "IQ_TOTAL_OUTSTANDING_FILING_DATE",IQ_FY))</f>
        <v>7429.7637199999999</v>
      </c>
      <c r="J582" s="17">
        <f>IF(A581=A582,_xll.ciqfunctions.udf.CIQ(A573,"IQ_CASH_OPER",IQ_FY-1), _xll.ciqfunctions.udf.CIQ(A573, "IQ_CASH_OPER",IQ_FY))</f>
        <v>87582</v>
      </c>
      <c r="K582" s="17">
        <f>IF(A581=A582,_xll.ciqfunctions.udf.CIQ(A573,"IQ_CAPEX",IQ_FY-1), _xll.ciqfunctions.udf.CIQ(A573, "IQ_CAPEX",IQ_FY))</f>
        <v>-28107</v>
      </c>
      <c r="L582" s="15">
        <f t="shared" si="152"/>
        <v>8.0049651969282269</v>
      </c>
      <c r="M582" s="17">
        <f>IF(A581=A582,_xll.ciqfunctions.udf.CIQ(A573,"IQ_TOTAL_DEBT_ISSUED",IQ_FY-1), _xll.ciqfunctions.udf.CIQ(A573, "IQ_TOTAL_DEBT_ISSUED",IQ_FY))</f>
        <v>0</v>
      </c>
      <c r="N582" s="17">
        <f>IF(A581=A582,_xll.ciqfunctions.udf.CIQ(A573,"IQ_TOTAL_DEBT_REPAID",IQ_FY-1), _xll.ciqfunctions.udf.CIQ(A573, "IQ_TOTAL_DEBT_REPAID",IQ_FY))</f>
        <v>-2750</v>
      </c>
      <c r="O582" s="15">
        <f t="shared" si="153"/>
        <v>-0.37013290107696722</v>
      </c>
      <c r="P582" s="15">
        <f t="shared" si="154"/>
        <v>7.6348322958512593</v>
      </c>
      <c r="Q582" s="25" t="s">
        <v>44</v>
      </c>
      <c r="R582" s="38" t="s">
        <v>35</v>
      </c>
      <c r="S582" s="1">
        <f>_xll.ciqfunctions.udf.CIQ(A573,"IQ_TEV_EBITDA")</f>
        <v>24.810970000000001</v>
      </c>
      <c r="U582" s="25" t="s">
        <v>55</v>
      </c>
      <c r="V582" s="38" t="s">
        <v>53</v>
      </c>
      <c r="W582" s="1">
        <f>V572/(AVERAGE(D578:D583)/_xlfn.STDEV.P(E578:E583))</f>
        <v>0.9259702121750143</v>
      </c>
      <c r="Y582" s="25" t="s">
        <v>57</v>
      </c>
      <c r="Z582" s="38" t="s">
        <v>53</v>
      </c>
      <c r="AA582" s="1">
        <f>Z572/(AVERAGE(D578:D583)/_xlfn.STDEV.P(E578:E583))</f>
        <v>0.9259702121750143</v>
      </c>
    </row>
    <row r="583" spans="1:27">
      <c r="B583" s="13">
        <v>11</v>
      </c>
      <c r="C583" s="20" t="s">
        <v>36</v>
      </c>
      <c r="D583" s="21" cm="1">
        <f t="array" ref="D583">_xlfn.SINGLE(IF(A581=A582,_xll.ciqfunctions.udf.CIQ(A573,"IQ_TOTAL_REV",IQ_FY)/I583, _xll.ciqfunctions.udf.CIQ(A573, "IQ_TOTAL_REV",IQ_LTM)/I583))</f>
        <v>29.373290433896727</v>
      </c>
      <c r="E583" s="22">
        <f t="shared" si="155"/>
        <v>2.9830864274775059E-2</v>
      </c>
      <c r="F583" s="21">
        <f>IF(A581=A582,_xll.ciqfunctions.udf.CIQ(A573,"IQ_DILUT_EPS_EXCL",IQ_FY), _xll.ciqfunctions.udf.CIQ(A573, "IQ_DILUT_EPS_EXCL",IQ_LTM))</f>
        <v>10.319850000000001</v>
      </c>
      <c r="G583" s="21">
        <f>IF(A581=A582,_xll.ciqfunctions.udf.CIQ(A573,"IQ_EBITDA_MARGIN",IQ_FY), _xll.ciqfunctions.udf.CIQ(A573, "IQ_EBITDA_MARGIN",IQ_LTM))</f>
        <v>49.714100000000002</v>
      </c>
      <c r="H583" s="21">
        <f>IF(A581=A582,_xll.ciqfunctions.udf.CIQ(A573,"IQ_TOTAL_DIV_PAID_CF",IQ_FY)/-I583, _xll.ciqfunctions.udf.CIQ(A573, "IQ_TOTAL_DIV_PAID_CF",IQ_LTM)/-I583)</f>
        <v>2.7219168406290635</v>
      </c>
      <c r="I583" s="23">
        <f>IF(A581=A582,_xll.ciqfunctions.udf.CIQ(A573,"IQ_TOTAL_OUTSTANDING_FILING_DATE",IQ_FY),_xll.ciqfunctions.udf.CIQ(A573,"IQ_sharesoutstanding"))</f>
        <v>7432.2623299999996</v>
      </c>
      <c r="J583" s="23">
        <f>IF(A581=A582,_xll.ciqfunctions.udf.CIQ(A573,"IQ_CASH_OPER",IQ_FY), _xll.ciqfunctions.udf.CIQ(A573, "IQ_CASH_OPER",IQ_LTM))</f>
        <v>94967</v>
      </c>
      <c r="K583" s="23">
        <f>IF(A581=A582,_xll.ciqfunctions.udf.CIQ(A573,"IQ_CAPEX",IQ_FY), _xll.ciqfunctions.udf.CIQ(A573, "IQ_CAPEX",IQ_LTM))</f>
        <v>-31741</v>
      </c>
      <c r="L583" s="21">
        <f t="shared" si="152"/>
        <v>8.5069656038365373</v>
      </c>
      <c r="M583" s="23">
        <f>IF(A581=A582,_xll.ciqfunctions.udf.CIQ(A573,"IQ_TOTAL_DEBT_ISSUED",IQ_FY), _xll.ciqfunctions.udf.CIQ(A573, "IQ_TOTAL_DEBT_ISSUED",IQ_LTM))</f>
        <v>25765</v>
      </c>
      <c r="N583" s="23">
        <f>IF(A581=A582,_xll.ciqfunctions.udf.CIQ(A573,"IQ_TOTAL_DEBT_REPAID",IQ_FY), _xll.ciqfunctions.udf.CIQ(A573, "IQ_TOTAL_DEBT_REPAID",IQ_LTM))</f>
        <v>-3250</v>
      </c>
      <c r="O583" s="21">
        <f t="shared" si="153"/>
        <v>3.0293602405715947</v>
      </c>
      <c r="P583" s="21">
        <f t="shared" si="154"/>
        <v>11.536325844408132</v>
      </c>
      <c r="Q583" s="25" t="s">
        <v>45</v>
      </c>
      <c r="S583" s="45"/>
      <c r="U583" s="25"/>
      <c r="W583" s="45"/>
      <c r="Y583" s="25"/>
      <c r="AA583" s="45"/>
    </row>
    <row r="584" spans="1:27">
      <c r="B584" s="24"/>
      <c r="C584" s="25" t="s">
        <v>37</v>
      </c>
      <c r="E584" s="26">
        <f>((D583/D578)^(1/5))-1</f>
        <v>0.12251246656657488</v>
      </c>
      <c r="F584" s="27">
        <f>((F583/F578)^(1/5))-1</f>
        <v>0.15319984036348955</v>
      </c>
      <c r="G584" s="28"/>
      <c r="H584" s="27">
        <f>((H583/H578)^(1/5))-1</f>
        <v>8.5166582113130662E-2</v>
      </c>
      <c r="I584" s="27">
        <f>((I583/I578)^(1/5))-1</f>
        <v>-5.3787346187952334E-3</v>
      </c>
      <c r="J584" s="27"/>
      <c r="K584" s="27"/>
      <c r="L584" s="26">
        <f>((L583/L578)^(1/5))-1</f>
        <v>0.11166109765558696</v>
      </c>
      <c r="M584" s="26"/>
      <c r="N584" s="26"/>
      <c r="O584" s="26"/>
      <c r="P584" s="26">
        <f>((P583/P578)^(1/5))-1</f>
        <v>0.20787640237957938</v>
      </c>
      <c r="Q584" s="18"/>
      <c r="R584" s="36"/>
      <c r="S584" s="45"/>
      <c r="U584" s="18"/>
      <c r="V584" s="36"/>
      <c r="W584" s="45"/>
      <c r="Y584" s="18"/>
      <c r="Z584" s="36"/>
      <c r="AA584" s="45"/>
    </row>
    <row r="585" spans="1:27">
      <c r="A585" s="29"/>
      <c r="B585" s="30"/>
      <c r="C585" s="31" t="s">
        <v>38</v>
      </c>
      <c r="D585" s="29"/>
      <c r="E585" s="32">
        <f>((D583/D573)^(1/10))-1</f>
        <v>0.10794627978973437</v>
      </c>
      <c r="F585" s="33">
        <f>((F583/F573)^(1/10))-1</f>
        <v>0.14649394027237306</v>
      </c>
      <c r="G585" s="34"/>
      <c r="H585" s="33">
        <f>((H583/H573)^(1/10))-1</f>
        <v>9.7091888016624495E-2</v>
      </c>
      <c r="I585" s="33">
        <f>((I583/I573)^(1/10))-1</f>
        <v>-1.0262150572934003E-2</v>
      </c>
      <c r="J585" s="33"/>
      <c r="K585" s="33"/>
      <c r="L585" s="32">
        <f>((L583/L573)^(1/10))-1</f>
        <v>0.10003291339319409</v>
      </c>
      <c r="M585" s="32"/>
      <c r="N585" s="32"/>
      <c r="O585" s="32"/>
      <c r="P585" s="32">
        <f>((P583/P573)^(1/10))-1</f>
        <v>0.10835176262170276</v>
      </c>
      <c r="Q585" s="40"/>
      <c r="R585" s="41"/>
      <c r="S585" s="46"/>
      <c r="U585" s="40"/>
      <c r="V585" s="41"/>
      <c r="W585" s="46"/>
      <c r="Y585" s="40"/>
      <c r="Z585" s="41"/>
      <c r="AA585" s="46"/>
    </row>
    <row r="586" spans="1:27">
      <c r="B586" s="24"/>
      <c r="C586" s="25"/>
      <c r="E586" s="26"/>
      <c r="F586" s="27"/>
      <c r="G586" s="28"/>
      <c r="H586" s="27"/>
      <c r="I586" s="27"/>
      <c r="J586" s="27"/>
      <c r="K586" s="27"/>
      <c r="L586" s="26"/>
      <c r="M586" s="17"/>
      <c r="N586" s="17"/>
      <c r="O586" s="17"/>
      <c r="P586" s="35"/>
      <c r="Q586" s="18"/>
      <c r="R586" s="36"/>
    </row>
    <row r="587" spans="1:27">
      <c r="A587" s="9" t="s">
        <v>0</v>
      </c>
      <c r="B587" s="10"/>
      <c r="C587" s="9" t="s">
        <v>1</v>
      </c>
      <c r="D587" s="9" t="s">
        <v>2</v>
      </c>
      <c r="E587" s="9" t="s">
        <v>3</v>
      </c>
      <c r="F587" s="11" t="s">
        <v>4</v>
      </c>
      <c r="G587" s="11" t="s">
        <v>5</v>
      </c>
      <c r="H587" s="9" t="s">
        <v>6</v>
      </c>
      <c r="I587" s="11" t="s">
        <v>7</v>
      </c>
      <c r="J587" s="11" t="s">
        <v>8</v>
      </c>
      <c r="K587" s="11" t="s">
        <v>9</v>
      </c>
      <c r="L587" s="11" t="s">
        <v>10</v>
      </c>
      <c r="M587" s="11" t="s">
        <v>11</v>
      </c>
      <c r="N587" s="11" t="s">
        <v>12</v>
      </c>
      <c r="O587" s="11" t="s">
        <v>13</v>
      </c>
      <c r="P587" s="11" t="s">
        <v>14</v>
      </c>
      <c r="Q587" s="37" t="s">
        <v>15</v>
      </c>
      <c r="R587" s="42">
        <f>_xll.ciqfunctions.udf.CIQ(A588,("IQ_LASTSALEPRICE"))</f>
        <v>622.67999999999995</v>
      </c>
      <c r="S587" s="44"/>
      <c r="U587" s="37" t="s">
        <v>15</v>
      </c>
      <c r="V587" s="42">
        <f>_xll.ciqfunctions.udf.CIQ(A588,("IQ_LASTSALEPRICE"))</f>
        <v>622.67999999999995</v>
      </c>
      <c r="W587" s="44"/>
      <c r="Y587" s="37" t="s">
        <v>15</v>
      </c>
      <c r="Z587" s="42">
        <f>_xll.ciqfunctions.udf.CIQ(A588,("IQ_LASTSALEPRICE"))</f>
        <v>622.67999999999995</v>
      </c>
      <c r="AA587" s="44"/>
    </row>
    <row r="588" spans="1:27">
      <c r="A588" s="12" t="str">
        <f>Analysis!B41</f>
        <v>NasdaqGS:ADBE</v>
      </c>
      <c r="B588" s="13">
        <v>1</v>
      </c>
      <c r="C588" s="14" t="s">
        <v>16</v>
      </c>
      <c r="D588" s="15">
        <f>IF(A596=A597,_xll.ciqfunctions.udf.CIQ(A588,"IQ_TOTAL_REV",IQ_FY-10)/I588,_xll.ciqfunctions.udf.CIQ(A588, "IQ_TOTAL_REV",IQ_FY-9)/I588)</f>
        <v>8.165935521400673</v>
      </c>
      <c r="E588" s="16"/>
      <c r="F588" s="15">
        <f>IF(A596=A597,_xll.ciqfunctions.udf.CIQ(A588,"IQ_DILUT_EPS_EXCL",IQ_FY-10), _xll.ciqfunctions.udf.CIQ(A588, "IQ_DILUT_EPS_EXCL",IQ_FY-9))</f>
        <v>0.56000000000000005</v>
      </c>
      <c r="G588" s="15">
        <f>IF(A596=A597,_xll.ciqfunctions.udf.CIQ(A588,"IQ_EBITDA_MARGIN",IQ_FY-10), _xll.ciqfunctions.udf.CIQ(A588, "IQ_EBITDA_MARGIN",IQ_FY-9))</f>
        <v>18.998799999999999</v>
      </c>
      <c r="H588" s="15">
        <f>IF(A596=A597,_xll.ciqfunctions.udf.CIQ(A588,"IQ_TOTAL_DIV_PAID_CF",IQ_FY-10)/-I588, _xll.ciqfunctions.udf.CIQ(A588, "IQ_TOTAL_DIV_PAID_CF",IQ_FY-9)/-I588)</f>
        <v>0</v>
      </c>
      <c r="I588" s="17">
        <f>IF(A596=A597,_xll.ciqfunctions.udf.CIQ(A588,"IQ_TOTAL_OUTSTANDING_FILING_DATE",IQ_FY-10), _xll.ciqfunctions.udf.CIQ(A588, "IQ_TOTAL_OUTSTANDING_FILING_DATE",IQ_FY-9))</f>
        <v>496.60446000000002</v>
      </c>
      <c r="J588" s="17">
        <f>IF(A596=A597,_xll.ciqfunctions.udf.CIQ(A588,"IQ_CASH_OPER",IQ_FY-10), _xll.ciqfunctions.udf.CIQ(A588, "IQ_CASH_OPER",IQ_FY-9))</f>
        <v>1151.6859999999999</v>
      </c>
      <c r="K588" s="17">
        <f>IF(A596=A597,_xll.ciqfunctions.udf.CIQ(A588,"IQ_CAPEX",IQ_FY-10), _xll.ciqfunctions.udf.CIQ(A588, "IQ_CAPEX",IQ_FY-9))</f>
        <v>-188.358</v>
      </c>
      <c r="L588" s="15">
        <f t="shared" ref="L588:L598" si="156">(J588+K588)/I588</f>
        <v>1.9398295375760417</v>
      </c>
      <c r="M588" s="17">
        <f>IF(A596=A597,_xll.ciqfunctions.udf.CIQ(A588,"IQ_TOTAL_DEBT_ISSUED",IQ_FY-10), _xll.ciqfunctions.udf.CIQ(A588, "IQ_TOTAL_DEBT_ISSUED",IQ_FY-9))</f>
        <v>25.702999999999999</v>
      </c>
      <c r="N588" s="17">
        <f>IF(A596=A597,_xll.ciqfunctions.udf.CIQ(A588,"IQ_TOTAL_DEBT_REPAID",IQ_FY-10), _xll.ciqfunctions.udf.CIQ(A588, "IQ_TOTAL_DEBT_REPAID",IQ_FY-9))</f>
        <v>-25.879000000000001</v>
      </c>
      <c r="O588" s="15">
        <f t="shared" ref="O588:O598" si="157">(M588+N588)/I588</f>
        <v>-3.5440680496506599E-4</v>
      </c>
      <c r="P588" s="15">
        <f t="shared" ref="P588:P598" si="158">L588+O588</f>
        <v>1.9394751307710767</v>
      </c>
      <c r="W588" s="43"/>
      <c r="AA588" s="43"/>
    </row>
    <row r="589" spans="1:27">
      <c r="A589" s="18" t="str">
        <f>_xll.ciqfunctions.udf.CIQ(A588,"IQ_COMPANY_NAME")</f>
        <v>Adobe Inc.</v>
      </c>
      <c r="B589" s="13">
        <v>2</v>
      </c>
      <c r="C589" s="14" t="s">
        <v>17</v>
      </c>
      <c r="D589" s="15">
        <f>IF(A596=A597,_xll.ciqfunctions.udf.CIQ(A588,"IQ_TOTAL_REV",IQ_FY-9)/I589, _xll.ciqfunctions.udf.CIQ(A588, "IQ_TOTAL_REV",IQ_FY-8)/I589)</f>
        <v>8.3221914308418263</v>
      </c>
      <c r="E589" s="16">
        <f t="shared" ref="E589:E598" si="159">(D589-D588)/D588</f>
        <v>1.9135089792424825E-2</v>
      </c>
      <c r="F589" s="15">
        <f>IF(A596=A597,_xll.ciqfunctions.udf.CIQ(A588,"IQ_DILUT_EPS_EXCL",IQ_FY-9), _xll.ciqfunctions.udf.CIQ(A588, "IQ_DILUT_EPS_EXCL",IQ_FY-8))</f>
        <v>0.53</v>
      </c>
      <c r="G589" s="15">
        <f>IF(A596=A597,_xll.ciqfunctions.udf.CIQ(A588,"IQ_EBITDA_MARGIN",IQ_FY-9), _xll.ciqfunctions.udf.CIQ(A588, "IQ_EBITDA_MARGIN",IQ_FY-8))</f>
        <v>17.9924</v>
      </c>
      <c r="H589" s="15">
        <f>IF(A596=A597,_xll.ciqfunctions.udf.CIQ(A588,"IQ_TOTAL_DIV_PAID_CF",IQ_FY-9)/-I589, _xll.ciqfunctions.udf.CIQ(A588, "IQ_TOTAL_DIV_PAID_CF",IQ_FY-8)/-I589)</f>
        <v>0</v>
      </c>
      <c r="I589" s="17">
        <f>IF(A596=A597,_xll.ciqfunctions.udf.CIQ(A588,"IQ_TOTAL_OUTSTANDING_FILING_DATE",IQ_FY-9), _xll.ciqfunctions.udf.CIQ(A588, "IQ_TOTAL_OUTSTANDING_FILING_DATE",IQ_FY-8))</f>
        <v>498.31405999999998</v>
      </c>
      <c r="J589" s="17">
        <f>IF(A596=A597,_xll.ciqfunctions.udf.CIQ(A588,"IQ_CASH_OPER",IQ_FY-9), _xll.ciqfunctions.udf.CIQ(A588, "IQ_CASH_OPER",IQ_FY-8))</f>
        <v>1287.482</v>
      </c>
      <c r="K589" s="17">
        <f>IF(A596=A597,_xll.ciqfunctions.udf.CIQ(A588,"IQ_CAPEX",IQ_FY-9), _xll.ciqfunctions.udf.CIQ(A588, "IQ_CAPEX",IQ_FY-8))</f>
        <v>-148.33199999999999</v>
      </c>
      <c r="L589" s="15">
        <f t="shared" si="156"/>
        <v>2.2860081451444501</v>
      </c>
      <c r="M589" s="17">
        <f>IF(A596=A597,_xll.ciqfunctions.udf.CIQ(A588,"IQ_TOTAL_DEBT_ISSUED",IQ_FY-9), _xll.ciqfunctions.udf.CIQ(A588, "IQ_TOTAL_DEBT_ISSUED",IQ_FY-8))</f>
        <v>0</v>
      </c>
      <c r="N589" s="17">
        <f>IF(A596=A597,_xll.ciqfunctions.udf.CIQ(A588,"IQ_TOTAL_DEBT_REPAID",IQ_FY-9), _xll.ciqfunctions.udf.CIQ(A588, "IQ_TOTAL_DEBT_REPAID",IQ_FY-8))</f>
        <v>-14.683999999999999</v>
      </c>
      <c r="O589" s="15">
        <f t="shared" si="157"/>
        <v>-2.9467360403196328E-2</v>
      </c>
      <c r="P589" s="15">
        <f t="shared" si="158"/>
        <v>2.2565407847412535</v>
      </c>
      <c r="Q589" s="25" t="s">
        <v>18</v>
      </c>
      <c r="R589" s="39" t="s">
        <v>19</v>
      </c>
      <c r="S589" s="1">
        <f>R587/((AVERAGE(P593:P598))*(1+E599)^3)</f>
        <v>29.464809413591649</v>
      </c>
      <c r="U589" s="25" t="s">
        <v>48</v>
      </c>
      <c r="V589" s="39" t="s">
        <v>19</v>
      </c>
      <c r="W589" s="1">
        <f>V587/((AVERAGE(P593:P598))*(1+E599)^3)</f>
        <v>29.464809413591649</v>
      </c>
      <c r="Y589" s="25" t="s">
        <v>39</v>
      </c>
      <c r="Z589" s="39" t="s">
        <v>19</v>
      </c>
      <c r="AA589" s="1">
        <f>Z587/((AVERAGE(P593:P598))*(1+E599)^3)</f>
        <v>29.464809413591649</v>
      </c>
    </row>
    <row r="590" spans="1:27">
      <c r="B590" s="13">
        <v>3</v>
      </c>
      <c r="C590" s="14" t="s">
        <v>20</v>
      </c>
      <c r="D590" s="15" cm="1">
        <f t="array" ref="D590">_xlfn.SINGLE(IF(A596=A597,_xll.ciqfunctions.udf.CIQ(A588,"IQ_TOTAL_REV",IQ_FY-8)/I590, _xll.ciqfunctions.udf.CIQ(A588, "IQ_TOTAL_REV",IQ_FY-7)/I590))</f>
        <v>9.6231554482095536</v>
      </c>
      <c r="E590" s="16">
        <f t="shared" si="159"/>
        <v>0.15632469262199236</v>
      </c>
      <c r="F590" s="15">
        <f>IF(A596=A597,_xll.ciqfunctions.udf.CIQ(A588,"IQ_DILUT_EPS_EXCL",IQ_FY-8), _xll.ciqfunctions.udf.CIQ(A588, "IQ_DILUT_EPS_EXCL",IQ_FY-7))</f>
        <v>1.24</v>
      </c>
      <c r="G590" s="15">
        <f>IF(A596=A597,_xll.ciqfunctions.udf.CIQ(A588,"IQ_EBITDA_MARGIN",IQ_FY-8), _xll.ciqfunctions.udf.CIQ(A588, "IQ_EBITDA_MARGIN",IQ_FY-7))</f>
        <v>25.911000000000001</v>
      </c>
      <c r="H590" s="15">
        <f>IF(A596=A597,_xll.ciqfunctions.udf.CIQ(A588,"IQ_TOTAL_DIV_PAID_CF",IQ_FY-8)/-I590, _xll.ciqfunctions.udf.CIQ(A588, "IQ_TOTAL_DIV_PAID_CF",IQ_FY-7)/-I590)</f>
        <v>0</v>
      </c>
      <c r="I590" s="17">
        <f>IF(A596=A597,_xll.ciqfunctions.udf.CIQ(A588,"IQ_TOTAL_OUTSTANDING_FILING_DATE",IQ_FY-8), _xll.ciqfunctions.udf.CIQ(A588, "IQ_TOTAL_OUTSTANDING_FILING_DATE",IQ_FY-7))</f>
        <v>498.33040999999997</v>
      </c>
      <c r="J590" s="17">
        <f>IF(A596=A597,_xll.ciqfunctions.udf.CIQ(A588,"IQ_CASH_OPER",IQ_FY-8), _xll.ciqfunctions.udf.CIQ(A588, "IQ_CASH_OPER",IQ_FY-7))</f>
        <v>1469.502</v>
      </c>
      <c r="K590" s="17">
        <f>IF(A596=A597,_xll.ciqfunctions.udf.CIQ(A588,"IQ_CAPEX",IQ_FY-8), _xll.ciqfunctions.udf.CIQ(A588, "IQ_CAPEX",IQ_FY-7))</f>
        <v>-184.93600000000001</v>
      </c>
      <c r="L590" s="15">
        <f t="shared" si="156"/>
        <v>2.5777395363048385</v>
      </c>
      <c r="M590" s="17">
        <f>IF(A596=A597,_xll.ciqfunctions.udf.CIQ(A588,"IQ_TOTAL_DEBT_ISSUED",IQ_FY-8), _xll.ciqfunctions.udf.CIQ(A588, "IQ_TOTAL_DEBT_ISSUED",IQ_FY-7))</f>
        <v>989.28</v>
      </c>
      <c r="N590" s="17">
        <f>IF(A596=A597,_xll.ciqfunctions.udf.CIQ(A588,"IQ_TOTAL_DEBT_REPAID",IQ_FY-8), _xll.ciqfunctions.udf.CIQ(A588, "IQ_TOTAL_DEBT_REPAID",IQ_FY-7))</f>
        <v>-602.18899999999996</v>
      </c>
      <c r="O590" s="15">
        <f t="shared" si="157"/>
        <v>0.77677579419646503</v>
      </c>
      <c r="P590" s="15">
        <f t="shared" si="158"/>
        <v>3.3545153305013038</v>
      </c>
      <c r="Q590" s="25" t="s">
        <v>21</v>
      </c>
      <c r="R590" s="38" t="s">
        <v>49</v>
      </c>
      <c r="S590" s="2">
        <f>(R587*I598)/1000</f>
        <v>283.50620399999997</v>
      </c>
      <c r="U590" s="25" t="s">
        <v>59</v>
      </c>
      <c r="V590" s="38" t="s">
        <v>49</v>
      </c>
      <c r="W590" s="2">
        <f>(V587*I598)/1000</f>
        <v>283.50620399999997</v>
      </c>
      <c r="Y590" s="25" t="s">
        <v>46</v>
      </c>
      <c r="Z590" s="38" t="s">
        <v>49</v>
      </c>
      <c r="AA590" s="2">
        <f>(Z587*I598)/1000</f>
        <v>283.50620399999997</v>
      </c>
    </row>
    <row r="591" spans="1:27">
      <c r="A591" s="18"/>
      <c r="B591" s="13">
        <v>4</v>
      </c>
      <c r="C591" s="14" t="s">
        <v>22</v>
      </c>
      <c r="D591" s="15" cm="1">
        <f t="array" ref="D591">_xlfn.SINGLE(IF(A596=A597,_xll.ciqfunctions.udf.CIQ(A588,"IQ_TOTAL_REV",IQ_FY-7)/I591, _xll.ciqfunctions.udf.CIQ(A588, "IQ_TOTAL_REV",IQ_FY-6)/I591))</f>
        <v>11.849190436304776</v>
      </c>
      <c r="E591" s="16">
        <f t="shared" si="159"/>
        <v>0.23132069310065953</v>
      </c>
      <c r="F591" s="15">
        <f>IF(A596=A597,_xll.ciqfunctions.udf.CIQ(A588,"IQ_DILUT_EPS_EXCL",IQ_FY-7), _xll.ciqfunctions.udf.CIQ(A588, "IQ_DILUT_EPS_EXCL",IQ_FY-6))</f>
        <v>2.3199999999999998</v>
      </c>
      <c r="G591" s="15">
        <f>IF(A596=A597,_xll.ciqfunctions.udf.CIQ(A588,"IQ_EBITDA_MARGIN",IQ_FY-7), _xll.ciqfunctions.udf.CIQ(A588, "IQ_EBITDA_MARGIN",IQ_FY-6))</f>
        <v>31.1753</v>
      </c>
      <c r="H591" s="15">
        <f>IF(A596=A597,_xll.ciqfunctions.udf.CIQ(A588,"IQ_TOTAL_DIV_PAID_CF",IQ_FY-7)/-I591, _xll.ciqfunctions.udf.CIQ(A588, "IQ_TOTAL_DIV_PAID_CF",IQ_FY-6)/-I591)</f>
        <v>0</v>
      </c>
      <c r="I591" s="17">
        <f>IF(A596=A597,_xll.ciqfunctions.udf.CIQ(A588,"IQ_TOTAL_OUTSTANDING_FILING_DATE",IQ_FY-7), _xll.ciqfunctions.udf.CIQ(A588, "IQ_TOTAL_OUTSTANDING_FILING_DATE",IQ_FY-6))</f>
        <v>494.07848000000001</v>
      </c>
      <c r="J591" s="17">
        <f>IF(A596=A597,_xll.ciqfunctions.udf.CIQ(A588,"IQ_CASH_OPER",IQ_FY-7), _xll.ciqfunctions.udf.CIQ(A588, "IQ_CASH_OPER",IQ_FY-6))</f>
        <v>2199.7280000000001</v>
      </c>
      <c r="K591" s="17">
        <f>IF(A596=A597,_xll.ciqfunctions.udf.CIQ(A588,"IQ_CAPEX",IQ_FY-7), _xll.ciqfunctions.udf.CIQ(A588, "IQ_CAPEX",IQ_FY-6))</f>
        <v>-203.80500000000001</v>
      </c>
      <c r="L591" s="15">
        <f t="shared" si="156"/>
        <v>4.0396881888075757</v>
      </c>
      <c r="M591" s="17">
        <f>IF(A596=A597,_xll.ciqfunctions.udf.CIQ(A588,"IQ_TOTAL_DEBT_ISSUED",IQ_FY-7), _xll.ciqfunctions.udf.CIQ(A588, "IQ_TOTAL_DEBT_ISSUED",IQ_FY-6))</f>
        <v>0</v>
      </c>
      <c r="N591" s="17">
        <f>IF(A596=A597,_xll.ciqfunctions.udf.CIQ(A588,"IQ_TOTAL_DEBT_REPAID",IQ_FY-7), _xll.ciqfunctions.udf.CIQ(A588, "IQ_TOTAL_DEBT_REPAID",IQ_FY-6))</f>
        <v>-0.108</v>
      </c>
      <c r="O591" s="15">
        <f t="shared" si="157"/>
        <v>-2.1858875537343782E-4</v>
      </c>
      <c r="P591" s="15">
        <f t="shared" si="158"/>
        <v>4.0394696000522021</v>
      </c>
      <c r="Q591" s="25" t="s">
        <v>23</v>
      </c>
      <c r="R591" s="38" t="s">
        <v>24</v>
      </c>
      <c r="S591" s="1" t="e">
        <f>R587/(AVERAGE(H593:H598)*(1+H599)/(0.5-H599))</f>
        <v>#DIV/0!</v>
      </c>
      <c r="U591" s="25" t="s">
        <v>40</v>
      </c>
      <c r="V591" s="38" t="s">
        <v>24</v>
      </c>
      <c r="W591" s="1" t="e">
        <f>V587/(AVERAGE(H593:H598)*(1+H599)/(0.5-H599))</f>
        <v>#DIV/0!</v>
      </c>
      <c r="Y591" s="25" t="s">
        <v>47</v>
      </c>
      <c r="Z591" s="38" t="s">
        <v>24</v>
      </c>
      <c r="AA591" s="1" t="e">
        <f>Z587/(AVERAGE(H593:H598)*(1+H599)/(0.5-H599))</f>
        <v>#DIV/0!</v>
      </c>
    </row>
    <row r="592" spans="1:27">
      <c r="B592" s="13">
        <v>5</v>
      </c>
      <c r="C592" s="14" t="s">
        <v>25</v>
      </c>
      <c r="D592" s="15" cm="1">
        <f t="array" ref="D592">_xlfn.SINGLE(IF(A596=A597,_xll.ciqfunctions.udf.CIQ(A588,"IQ_TOTAL_REV",IQ_FY-6)/I592, _xll.ciqfunctions.udf.CIQ(A588, "IQ_TOTAL_REV",IQ_FY-5)/I592))</f>
        <v>14.853181240441888</v>
      </c>
      <c r="E592" s="16">
        <f t="shared" si="159"/>
        <v>0.25351865347131014</v>
      </c>
      <c r="F592" s="15">
        <f>IF(A596=A597,_xll.ciqfunctions.udf.CIQ(A588,"IQ_DILUT_EPS_EXCL",IQ_FY-6), _xll.ciqfunctions.udf.CIQ(A588, "IQ_DILUT_EPS_EXCL",IQ_FY-5))</f>
        <v>3.38</v>
      </c>
      <c r="G592" s="15">
        <f>IF(A596=A597,_xll.ciqfunctions.udf.CIQ(A588,"IQ_EBITDA_MARGIN",IQ_FY-6), _xll.ciqfunctions.udf.CIQ(A588, "IQ_EBITDA_MARGIN",IQ_FY-5))</f>
        <v>34.1586</v>
      </c>
      <c r="H592" s="15">
        <f>IF(A596=A597,_xll.ciqfunctions.udf.CIQ(A588,"IQ_TOTAL_DIV_PAID_CF",IQ_FY-6)/-I592, _xll.ciqfunctions.udf.CIQ(A588, "IQ_TOTAL_DIV_PAID_CF",IQ_FY-5)/-I592)</f>
        <v>0</v>
      </c>
      <c r="I592" s="17">
        <f>IF(A596=A597,_xll.ciqfunctions.udf.CIQ(A588,"IQ_TOTAL_OUTSTANDING_FILING_DATE",IQ_FY-6), _xll.ciqfunctions.udf.CIQ(A588, "IQ_TOTAL_OUTSTANDING_FILING_DATE",IQ_FY-5))</f>
        <v>491.57853</v>
      </c>
      <c r="J592" s="17">
        <f>IF(A596=A597,_xll.ciqfunctions.udf.CIQ(A588,"IQ_CASH_OPER",IQ_FY-6), _xll.ciqfunctions.udf.CIQ(A588, "IQ_CASH_OPER",IQ_FY-5))</f>
        <v>2912.8530000000001</v>
      </c>
      <c r="K592" s="17">
        <f>IF(A596=A597,_xll.ciqfunctions.udf.CIQ(A588,"IQ_CAPEX",IQ_FY-6), _xll.ciqfunctions.udf.CIQ(A588, "IQ_CAPEX",IQ_FY-5))</f>
        <v>-178.12200000000001</v>
      </c>
      <c r="L592" s="15">
        <f t="shared" si="156"/>
        <v>5.5631620038409739</v>
      </c>
      <c r="M592" s="17">
        <f>IF(A596=A597,_xll.ciqfunctions.udf.CIQ(A588,"IQ_TOTAL_DEBT_ISSUED",IQ_FY-6), _xll.ciqfunctions.udf.CIQ(A588, "IQ_TOTAL_DEBT_ISSUED",IQ_FY-5))</f>
        <v>0</v>
      </c>
      <c r="N592" s="17">
        <f>IF(A596=A597,_xll.ciqfunctions.udf.CIQ(A588,"IQ_TOTAL_DEBT_REPAID",IQ_FY-6), _xll.ciqfunctions.udf.CIQ(A588, "IQ_TOTAL_DEBT_REPAID",IQ_FY-5))</f>
        <v>0</v>
      </c>
      <c r="O592" s="15">
        <f t="shared" si="157"/>
        <v>0</v>
      </c>
      <c r="P592" s="15">
        <f t="shared" si="158"/>
        <v>5.5631620038409739</v>
      </c>
      <c r="Q592" s="18"/>
      <c r="R592" s="38" t="s">
        <v>50</v>
      </c>
      <c r="S592" s="3">
        <f>I599</f>
        <v>-1.3665185220407605E-2</v>
      </c>
      <c r="U592" s="18"/>
      <c r="V592" s="38" t="s">
        <v>50</v>
      </c>
      <c r="W592" s="3">
        <f>I599</f>
        <v>-1.3665185220407605E-2</v>
      </c>
      <c r="Y592" s="18"/>
      <c r="Z592" s="38" t="s">
        <v>50</v>
      </c>
      <c r="AA592" s="3">
        <f>I599</f>
        <v>-1.3665185220407605E-2</v>
      </c>
    </row>
    <row r="593" spans="1:27">
      <c r="B593" s="13">
        <v>6</v>
      </c>
      <c r="C593" s="14" t="s">
        <v>26</v>
      </c>
      <c r="D593" s="15" cm="1">
        <f t="array" ref="D593">_xlfn.SINGLE(IF(A596=A597,_xll.ciqfunctions.udf.CIQ(A588,"IQ_TOTAL_REV",IQ_FY-5)/I593, _xll.ciqfunctions.udf.CIQ(A588, "IQ_TOTAL_REV",IQ_FY-4)/I593))</f>
        <v>18.514496830514975</v>
      </c>
      <c r="E593" s="16">
        <f t="shared" si="159"/>
        <v>0.24650043184716178</v>
      </c>
      <c r="F593" s="15">
        <f>IF(A596=A597,_xll.ciqfunctions.udf.CIQ(A588,"IQ_DILUT_EPS_EXCL",IQ_FY-5), _xll.ciqfunctions.udf.CIQ(A588, "IQ_DILUT_EPS_EXCL",IQ_FY-4))</f>
        <v>5.2</v>
      </c>
      <c r="G593" s="15">
        <f>IF(A596=A597,_xll.ciqfunctions.udf.CIQ(A588,"IQ_EBITDA_MARGIN",IQ_FY-5), _xll.ciqfunctions.udf.CIQ(A588, "IQ_EBITDA_MARGIN",IQ_FY-4))</f>
        <v>35.282299999999999</v>
      </c>
      <c r="H593" s="15">
        <f>IF(A596=A597,_xll.ciqfunctions.udf.CIQ(A588,"IQ_TOTAL_DIV_PAID_CF",IQ_FY-5)/-I593, _xll.ciqfunctions.udf.CIQ(A588, "IQ_TOTAL_DIV_PAID_CF",IQ_FY-4)/-I593)</f>
        <v>0</v>
      </c>
      <c r="I593" s="17">
        <f>IF(A596=A597,_xll.ciqfunctions.udf.CIQ(A588,"IQ_TOTAL_OUTSTANDING_FILING_DATE",IQ_FY-5), _xll.ciqfunctions.udf.CIQ(A588, "IQ_TOTAL_OUTSTANDING_FILING_DATE",IQ_FY-4))</f>
        <v>487.72591999999997</v>
      </c>
      <c r="J593" s="17">
        <f>IF(A596=A597,_xll.ciqfunctions.udf.CIQ(A588,"IQ_CASH_OPER",IQ_FY-5), _xll.ciqfunctions.udf.CIQ(A588, "IQ_CASH_OPER",IQ_FY-4))</f>
        <v>4029</v>
      </c>
      <c r="K593" s="17">
        <f>IF(A596=A597,_xll.ciqfunctions.udf.CIQ(A588,"IQ_CAPEX",IQ_FY-5), _xll.ciqfunctions.udf.CIQ(A588, "IQ_CAPEX",IQ_FY-4))</f>
        <v>-267</v>
      </c>
      <c r="L593" s="15">
        <f t="shared" si="156"/>
        <v>7.7133485134437807</v>
      </c>
      <c r="M593" s="17">
        <f>IF(A596=A597,_xll.ciqfunctions.udf.CIQ(A588,"IQ_TOTAL_DEBT_ISSUED",IQ_FY-5), _xll.ciqfunctions.udf.CIQ(A588, "IQ_TOTAL_DEBT_ISSUED",IQ_FY-4))</f>
        <v>2248</v>
      </c>
      <c r="N593" s="17">
        <f>IF(A596=A597,_xll.ciqfunctions.udf.CIQ(A588,"IQ_TOTAL_DEBT_REPAID",IQ_FY-5), _xll.ciqfunctions.udf.CIQ(A588, "IQ_TOTAL_DEBT_REPAID",IQ_FY-4))</f>
        <v>0</v>
      </c>
      <c r="O593" s="15">
        <f t="shared" si="157"/>
        <v>4.6091460548170176</v>
      </c>
      <c r="P593" s="15">
        <f t="shared" si="158"/>
        <v>12.322494568260797</v>
      </c>
      <c r="Q593" s="25" t="s">
        <v>27</v>
      </c>
      <c r="R593" s="38" t="s">
        <v>51</v>
      </c>
      <c r="S593" s="4">
        <f>AVERAGE(F593:F598)/AVERAGE(D593:D598)</f>
        <v>0.29272552700678395</v>
      </c>
      <c r="U593" s="25" t="s">
        <v>58</v>
      </c>
      <c r="V593" s="38" t="s">
        <v>51</v>
      </c>
      <c r="W593" s="4">
        <f>AVERAGE(F593:F598)/AVERAGE(D593:D598)</f>
        <v>0.29272552700678395</v>
      </c>
      <c r="Y593" s="25" t="s">
        <v>56</v>
      </c>
      <c r="Z593" s="38" t="s">
        <v>51</v>
      </c>
      <c r="AA593" s="4">
        <f>AVERAGE(F593:F598)/AVERAGE(D593:D598)</f>
        <v>0.29272552700678395</v>
      </c>
    </row>
    <row r="594" spans="1:27">
      <c r="A594" s="18"/>
      <c r="B594" s="13">
        <v>7</v>
      </c>
      <c r="C594" s="14" t="s">
        <v>28</v>
      </c>
      <c r="D594" s="15" cm="1">
        <f t="array" ref="D594">_xlfn.SINGLE(IF(A596=A597,_xll.ciqfunctions.udf.CIQ(A588,"IQ_TOTAL_REV",IQ_FY-4)/I594, _xll.ciqfunctions.udf.CIQ(A588, "IQ_TOTAL_REV",IQ_FY-3)/I594))</f>
        <v>23.170052254265013</v>
      </c>
      <c r="E594" s="16">
        <f t="shared" si="159"/>
        <v>0.25145460156804839</v>
      </c>
      <c r="F594" s="15">
        <f>IF(A596=A597,_xll.ciqfunctions.udf.CIQ(A588,"IQ_DILUT_EPS_EXCL",IQ_FY-4), _xll.ciqfunctions.udf.CIQ(A588, "IQ_DILUT_EPS_EXCL",IQ_FY-3))</f>
        <v>6</v>
      </c>
      <c r="G594" s="15">
        <f>IF(A596=A597,_xll.ciqfunctions.udf.CIQ(A588,"IQ_EBITDA_MARGIN",IQ_FY-4), _xll.ciqfunctions.udf.CIQ(A588, "IQ_EBITDA_MARGIN",IQ_FY-3))</f>
        <v>36.030700000000003</v>
      </c>
      <c r="H594" s="15">
        <f>IF(A596=A597,_xll.ciqfunctions.udf.CIQ(A588,"IQ_TOTAL_DIV_PAID_CF",IQ_FY-4)/-I594, _xll.ciqfunctions.udf.CIQ(A588, "IQ_TOTAL_DIV_PAID_CF",IQ_FY-3)/-I594)</f>
        <v>0</v>
      </c>
      <c r="I594" s="17">
        <f>IF(A596=A597,_xll.ciqfunctions.udf.CIQ(A588,"IQ_TOTAL_OUTSTANDING_FILING_DATE",IQ_FY-4), _xll.ciqfunctions.udf.CIQ(A588, "IQ_TOTAL_OUTSTANDING_FILING_DATE",IQ_FY-3))</f>
        <v>482.13098000000002</v>
      </c>
      <c r="J594" s="17">
        <f>IF(A596=A597,_xll.ciqfunctions.udf.CIQ(A588,"IQ_CASH_OPER",IQ_FY-4), _xll.ciqfunctions.udf.CIQ(A588, "IQ_CASH_OPER",IQ_FY-3))</f>
        <v>4422</v>
      </c>
      <c r="K594" s="17">
        <f>IF(A596=A597,_xll.ciqfunctions.udf.CIQ(A588,"IQ_CAPEX",IQ_FY-4), _xll.ciqfunctions.udf.CIQ(A588, "IQ_CAPEX",IQ_FY-3))</f>
        <v>-395</v>
      </c>
      <c r="L594" s="15">
        <f t="shared" si="156"/>
        <v>8.3525020524505607</v>
      </c>
      <c r="M594" s="17">
        <f>IF(A596=A597,_xll.ciqfunctions.udf.CIQ(A588,"IQ_TOTAL_DEBT_ISSUED",IQ_FY-4), _xll.ciqfunctions.udf.CIQ(A588, "IQ_TOTAL_DEBT_ISSUED",IQ_FY-3))</f>
        <v>0</v>
      </c>
      <c r="N594" s="17">
        <f>IF(A596=A597,_xll.ciqfunctions.udf.CIQ(A588,"IQ_TOTAL_DEBT_REPAID",IQ_FY-4), _xll.ciqfunctions.udf.CIQ(A588, "IQ_TOTAL_DEBT_REPAID",IQ_FY-3))</f>
        <v>0</v>
      </c>
      <c r="O594" s="15">
        <f t="shared" si="157"/>
        <v>0</v>
      </c>
      <c r="P594" s="15">
        <f t="shared" si="158"/>
        <v>8.3525020524505607</v>
      </c>
      <c r="Q594" s="18"/>
      <c r="R594" s="38" t="s">
        <v>29</v>
      </c>
      <c r="S594" s="4">
        <f>(AVERAGE(P593:P598)/_xlfn.STDEV.P(P593:P598))/(IF(A596=A597,(_xlfn.SINGLE(_xll.ciqfunctions.udf.CIQ(A588,"IQ_total_assets",IQ_FY)) - _xlfn.SINGLE(_xll.ciqfunctions.udf.CIQ(A588,"iq_gw_intan", IQ_FY)))/I598, (_xlfn.SINGLE(_xll.ciqfunctions.udf.CIQ(A588, "IQ_total_assets",IQ_LTM))-_xlfn.SINGLE(_xll.ciqfunctions.udf.CIQ(A588,"iq_gw_intan",IQ_LTM)))/I598))</f>
        <v>0.14275436093251992</v>
      </c>
      <c r="U594" s="18"/>
      <c r="V594" s="38" t="s">
        <v>29</v>
      </c>
      <c r="W594" s="4">
        <f>(AVERAGE(P593:P598)/_xlfn.STDEV.P(P593:P598))/(IF(A596=A597,(_xlfn.SINGLE(_xll.ciqfunctions.udf.CIQ(A588,"IQ_total_assets",IQ_FY)) - _xlfn.SINGLE(_xll.ciqfunctions.udf.CIQ(A588,"iq_gw_intan", IQ_FY)))/I598, (_xlfn.SINGLE(_xll.ciqfunctions.udf.CIQ(A588, "IQ_total_assets",IQ_LTM))-_xlfn.SINGLE(_xll.ciqfunctions.udf.CIQ(A588,"iq_gw_intan",IQ_LTM)))/I598))</f>
        <v>0.14275436093251992</v>
      </c>
      <c r="Y594" s="18"/>
      <c r="Z594" s="38" t="s">
        <v>29</v>
      </c>
      <c r="AA594" s="4">
        <f>(AVERAGE(P593:P598)/_xlfn.STDEV.P(P593:P598))/(IF(A596=A597,(_xlfn.SINGLE(_xll.ciqfunctions.udf.CIQ(A588,"IQ_total_assets",IQ_FY)) - _xlfn.SINGLE(_xll.ciqfunctions.udf.CIQ(A588,"iq_gw_intan", IQ_FY)))/I598, (_xlfn.SINGLE(_xll.ciqfunctions.udf.CIQ(A588, "IQ_total_assets",IQ_LTM))-_xlfn.SINGLE(_xll.ciqfunctions.udf.CIQ(A588,"iq_gw_intan",IQ_LTM)))/I598))</f>
        <v>0.14275436093251992</v>
      </c>
    </row>
    <row r="595" spans="1:27">
      <c r="A595" s="18"/>
      <c r="B595" s="13">
        <v>8</v>
      </c>
      <c r="C595" s="14" t="s">
        <v>30</v>
      </c>
      <c r="D595" s="15" cm="1">
        <f t="array" ref="D595">_xlfn.SINGLE(IF(A596=A597,_xll.ciqfunctions.udf.CIQ(A588,"IQ_TOTAL_REV",IQ_FY-3)/I595, _xll.ciqfunctions.udf.CIQ(A588, "IQ_TOTAL_REV",IQ_FY-2)/I595))</f>
        <v>26.881136411113435</v>
      </c>
      <c r="E595" s="16">
        <f t="shared" si="159"/>
        <v>0.16016727610811954</v>
      </c>
      <c r="F595" s="15">
        <f>IF(A596=A597,_xll.ciqfunctions.udf.CIQ(A588,"IQ_DILUT_EPS_EXCL",IQ_FY-3), _xll.ciqfunctions.udf.CIQ(A588, "IQ_DILUT_EPS_EXCL",IQ_FY-2))</f>
        <v>10.83</v>
      </c>
      <c r="G595" s="15">
        <f>IF(A596=A597,_xll.ciqfunctions.udf.CIQ(A588,"IQ_EBITDA_MARGIN",IQ_FY-3), _xll.ciqfunctions.udf.CIQ(A588, "IQ_EBITDA_MARGIN",IQ_FY-2))</f>
        <v>37.363999999999997</v>
      </c>
      <c r="H595" s="15">
        <f>IF(A596=A597,_xll.ciqfunctions.udf.CIQ(A588,"IQ_TOTAL_DIV_PAID_CF",IQ_FY-3)/-I595, _xll.ciqfunctions.udf.CIQ(A588, "IQ_TOTAL_DIV_PAID_CF",IQ_FY-2)/-I595)</f>
        <v>0</v>
      </c>
      <c r="I595" s="17">
        <f>IF(A596=A597,_xll.ciqfunctions.udf.CIQ(A588,"IQ_TOTAL_OUTSTANDING_FILING_DATE",IQ_FY-3), _xll.ciqfunctions.udf.CIQ(A588, "IQ_TOTAL_OUTSTANDING_FILING_DATE",IQ_FY-2))</f>
        <v>478.7</v>
      </c>
      <c r="J595" s="17">
        <f>IF(A596=A597,_xll.ciqfunctions.udf.CIQ(A588,"IQ_CASH_OPER",IQ_FY-3), _xll.ciqfunctions.udf.CIQ(A588, "IQ_CASH_OPER",IQ_FY-2))</f>
        <v>5727</v>
      </c>
      <c r="K595" s="17">
        <f>IF(A596=A597,_xll.ciqfunctions.udf.CIQ(A588,"IQ_CAPEX",IQ_FY-3), _xll.ciqfunctions.udf.CIQ(A588, "IQ_CAPEX",IQ_FY-2))</f>
        <v>-419</v>
      </c>
      <c r="L595" s="15">
        <f t="shared" si="156"/>
        <v>11.088364320033424</v>
      </c>
      <c r="M595" s="17">
        <f>IF(A596=A597,_xll.ciqfunctions.udf.CIQ(A588,"IQ_TOTAL_DEBT_ISSUED",IQ_FY-3), _xll.ciqfunctions.udf.CIQ(A588, "IQ_TOTAL_DEBT_ISSUED",IQ_FY-2))</f>
        <v>3144</v>
      </c>
      <c r="N595" s="17">
        <f>IF(A596=A597,_xll.ciqfunctions.udf.CIQ(A588,"IQ_TOTAL_DEBT_REPAID",IQ_FY-3), _xll.ciqfunctions.udf.CIQ(A588, "IQ_TOTAL_DEBT_REPAID",IQ_FY-2))</f>
        <v>-3150</v>
      </c>
      <c r="O595" s="15">
        <f t="shared" si="157"/>
        <v>-1.2533946104031753E-2</v>
      </c>
      <c r="P595" s="15">
        <f t="shared" si="158"/>
        <v>11.075830373929392</v>
      </c>
      <c r="Q595" s="18"/>
      <c r="R595" s="39" t="s">
        <v>31</v>
      </c>
      <c r="S595" s="5">
        <f>IF(NOT(D588&gt;0),FALSE,SLOPE(G588:G598,B588:B598))</f>
        <v>2.0882509090909092</v>
      </c>
      <c r="U595" s="18"/>
      <c r="V595" s="39" t="s">
        <v>31</v>
      </c>
      <c r="W595" s="5">
        <f>IF(NOT(D588&gt;0),FALSE,SLOPE(G588:G598,B588:B598))</f>
        <v>2.0882509090909092</v>
      </c>
      <c r="Y595" s="18"/>
      <c r="Z595" s="39" t="s">
        <v>31</v>
      </c>
      <c r="AA595" s="5">
        <f>IF(NOT(L588&gt;0),FALSE,SLOPE(O588:O598,J588:J598))</f>
        <v>-1.0065681782305343E-4</v>
      </c>
    </row>
    <row r="596" spans="1:27">
      <c r="A596" s="19">
        <f>_xll.ciqfunctions.udf.CIQ(A588,"IQ_TOTAL_REV",IQ_FY)</f>
        <v>17606</v>
      </c>
      <c r="B596" s="13">
        <v>9</v>
      </c>
      <c r="C596" s="14" t="s">
        <v>32</v>
      </c>
      <c r="D596" s="15" cm="1">
        <f t="array" ref="D596">_xlfn.SINGLE(IF(A596=A597,_xll.ciqfunctions.udf.CIQ(A588,"IQ_TOTAL_REV",IQ_FY-2)/I596, _xll.ciqfunctions.udf.CIQ(A588, "IQ_TOTAL_REV",IQ_FY-1)/I596))</f>
        <v>33.464066143735423</v>
      </c>
      <c r="E596" s="16">
        <f t="shared" si="159"/>
        <v>0.24489030641950152</v>
      </c>
      <c r="F596" s="15">
        <f>IF(A596=A597,_xll.ciqfunctions.udf.CIQ(A588,"IQ_DILUT_EPS_EXCL",IQ_FY-2), _xll.ciqfunctions.udf.CIQ(A588, "IQ_DILUT_EPS_EXCL",IQ_FY-1))</f>
        <v>10.02</v>
      </c>
      <c r="G596" s="15">
        <f>IF(A596=A597,_xll.ciqfunctions.udf.CIQ(A588,"IQ_EBITDA_MARGIN",IQ_FY-2), _xll.ciqfunctions.udf.CIQ(A588, "IQ_EBITDA_MARGIN",IQ_FY-1))</f>
        <v>40.4054</v>
      </c>
      <c r="H596" s="15">
        <f>IF(A596=A597,_xll.ciqfunctions.udf.CIQ(A588,"IQ_TOTAL_DIV_PAID_CF",IQ_FY-2)/-I596, _xll.ciqfunctions.udf.CIQ(A588, "IQ_TOTAL_DIV_PAID_CF",IQ_FY-1)/-I596)</f>
        <v>0</v>
      </c>
      <c r="I596" s="17">
        <f>IF(A596=A597,_xll.ciqfunctions.udf.CIQ(A588,"IQ_TOTAL_OUTSTANDING_FILING_DATE",IQ_FY-2), _xll.ciqfunctions.udf.CIQ(A588, "IQ_TOTAL_OUTSTANDING_FILING_DATE",IQ_FY-1))</f>
        <v>471.7</v>
      </c>
      <c r="J596" s="17">
        <f>IF(A596=A597,_xll.ciqfunctions.udf.CIQ(A588,"IQ_CASH_OPER",IQ_FY-2), _xll.ciqfunctions.udf.CIQ(A588, "IQ_CASH_OPER",IQ_FY-1))</f>
        <v>7230</v>
      </c>
      <c r="K596" s="17">
        <f>IF(A596=A597,_xll.ciqfunctions.udf.CIQ(A588,"IQ_CAPEX",IQ_FY-2), _xll.ciqfunctions.udf.CIQ(A588, "IQ_CAPEX",IQ_FY-1))</f>
        <v>-348</v>
      </c>
      <c r="L596" s="15">
        <f t="shared" si="156"/>
        <v>14.589781640873436</v>
      </c>
      <c r="M596" s="17">
        <f>IF(A596=A597,_xll.ciqfunctions.udf.CIQ(A588,"IQ_TOTAL_DEBT_ISSUED",IQ_FY-2), _xll.ciqfunctions.udf.CIQ(A588, "IQ_TOTAL_DEBT_ISSUED",IQ_FY-1))</f>
        <v>0</v>
      </c>
      <c r="N596" s="17">
        <f>IF(A596=A597,_xll.ciqfunctions.udf.CIQ(A588,"IQ_TOTAL_DEBT_REPAID",IQ_FY-2), _xll.ciqfunctions.udf.CIQ(A588, "IQ_TOTAL_DEBT_REPAID",IQ_FY-1))</f>
        <v>0</v>
      </c>
      <c r="O596" s="15">
        <f t="shared" si="157"/>
        <v>0</v>
      </c>
      <c r="P596" s="15">
        <f t="shared" si="158"/>
        <v>14.589781640873436</v>
      </c>
      <c r="Q596" s="25" t="s">
        <v>33</v>
      </c>
      <c r="R596" s="38" t="s">
        <v>52</v>
      </c>
      <c r="S596" s="4">
        <f>(AVERAGE(O593:O598)/AVERAGE(P593:P598))</f>
        <v>4.476715975132986E-2</v>
      </c>
      <c r="U596" s="25" t="s">
        <v>54</v>
      </c>
      <c r="V596" s="38" t="s">
        <v>52</v>
      </c>
      <c r="W596" s="4">
        <f>(AVERAGE(O593:O598)/AVERAGE(P593:P598))</f>
        <v>4.476715975132986E-2</v>
      </c>
      <c r="Y596" s="25" t="s">
        <v>60</v>
      </c>
      <c r="Z596" s="38" t="s">
        <v>52</v>
      </c>
      <c r="AA596" s="4">
        <f>(AVERAGE(O593:O598)/AVERAGE(P593:P598))</f>
        <v>4.476715975132986E-2</v>
      </c>
    </row>
    <row r="597" spans="1:27">
      <c r="A597" s="19">
        <f>_xll.ciqfunctions.udf.CIQ(A588,"IQ_TOTAL_REV",IQ_LTM)</f>
        <v>18886</v>
      </c>
      <c r="B597" s="13">
        <v>10</v>
      </c>
      <c r="C597" s="14" t="s">
        <v>34</v>
      </c>
      <c r="D597" s="15" cm="1">
        <f t="array" ref="D597">_xlfn.SINGLE(IF(A596=A597,_xll.ciqfunctions.udf.CIQ(A588,"IQ_TOTAL_REV",IQ_FY-1)/I597, _xll.ciqfunctions.udf.CIQ(A588, "IQ_TOTAL_REV",IQ_FY)/I597))</f>
        <v>38.457841852337268</v>
      </c>
      <c r="E597" s="16">
        <f t="shared" si="159"/>
        <v>0.14922800137773143</v>
      </c>
      <c r="F597" s="15">
        <f>IF(A596=A597,_xll.ciqfunctions.udf.CIQ(A588,"IQ_DILUT_EPS_EXCL",IQ_FY-1), _xll.ciqfunctions.udf.CIQ(A588, "IQ_DILUT_EPS_EXCL",IQ_FY))</f>
        <v>10.1</v>
      </c>
      <c r="G597" s="15">
        <f>IF(A596=A597,_xll.ciqfunctions.udf.CIQ(A588,"IQ_EBITDA_MARGIN",IQ_FY-1), _xll.ciqfunctions.udf.CIQ(A588, "IQ_EBITDA_MARGIN",IQ_FY))</f>
        <v>38.146000000000001</v>
      </c>
      <c r="H597" s="15">
        <f>IF(A596=A597,_xll.ciqfunctions.udf.CIQ(A588,"IQ_TOTAL_DIV_PAID_CF",IQ_FY-1)/-I597, _xll.ciqfunctions.udf.CIQ(A588, "IQ_TOTAL_DIV_PAID_CF",IQ_FY)/-I597)</f>
        <v>0</v>
      </c>
      <c r="I597" s="17">
        <f>IF(A596=A597,_xll.ciqfunctions.udf.CIQ(A588,"IQ_TOTAL_OUTSTANDING_FILING_DATE",IQ_FY-1), _xll.ciqfunctions.udf.CIQ(A588, "IQ_TOTAL_OUTSTANDING_FILING_DATE",IQ_FY))</f>
        <v>457.8</v>
      </c>
      <c r="J597" s="17">
        <f>IF(A596=A597,_xll.ciqfunctions.udf.CIQ(A588,"IQ_CASH_OPER",IQ_FY-1), _xll.ciqfunctions.udf.CIQ(A588, "IQ_CASH_OPER",IQ_FY))</f>
        <v>7838</v>
      </c>
      <c r="K597" s="17">
        <f>IF(A596=A597,_xll.ciqfunctions.udf.CIQ(A588,"IQ_CAPEX",IQ_FY-1), _xll.ciqfunctions.udf.CIQ(A588, "IQ_CAPEX",IQ_FY))</f>
        <v>-442</v>
      </c>
      <c r="L597" s="15">
        <f t="shared" si="156"/>
        <v>16.155526430755788</v>
      </c>
      <c r="M597" s="17">
        <f>IF(A596=A597,_xll.ciqfunctions.udf.CIQ(A588,"IQ_TOTAL_DEBT_ISSUED",IQ_FY-1), _xll.ciqfunctions.udf.CIQ(A588, "IQ_TOTAL_DEBT_ISSUED",IQ_FY))</f>
        <v>0</v>
      </c>
      <c r="N597" s="17">
        <f>IF(A596=A597,_xll.ciqfunctions.udf.CIQ(A588,"IQ_TOTAL_DEBT_REPAID",IQ_FY-1), _xll.ciqfunctions.udf.CIQ(A588, "IQ_TOTAL_DEBT_REPAID",IQ_FY))</f>
        <v>0</v>
      </c>
      <c r="O597" s="15">
        <f t="shared" si="157"/>
        <v>0</v>
      </c>
      <c r="P597" s="15">
        <f t="shared" si="158"/>
        <v>16.155526430755788</v>
      </c>
      <c r="Q597" s="25" t="s">
        <v>44</v>
      </c>
      <c r="R597" s="38" t="s">
        <v>35</v>
      </c>
      <c r="S597" s="1">
        <f>_xll.ciqfunctions.udf.CIQ(A588,"IQ_TEV_EBITDA")</f>
        <v>38.903370000000002</v>
      </c>
      <c r="U597" s="25" t="s">
        <v>55</v>
      </c>
      <c r="V597" s="38" t="s">
        <v>53</v>
      </c>
      <c r="W597" s="1">
        <f>V587/(AVERAGE(D593:D598)/_xlfn.STDEV.P(E593:E598))</f>
        <v>1.3234974052869328</v>
      </c>
      <c r="Y597" s="25" t="s">
        <v>57</v>
      </c>
      <c r="Z597" s="38" t="s">
        <v>53</v>
      </c>
      <c r="AA597" s="1">
        <f>Z587/(AVERAGE(D593:D598)/_xlfn.STDEV.P(E593:E598))</f>
        <v>1.3234974052869328</v>
      </c>
    </row>
    <row r="598" spans="1:27">
      <c r="B598" s="13">
        <v>11</v>
      </c>
      <c r="C598" s="20" t="s">
        <v>36</v>
      </c>
      <c r="D598" s="21" cm="1">
        <f t="array" ref="D598">_xlfn.SINGLE(IF(A596=A597,_xll.ciqfunctions.udf.CIQ(A588,"IQ_TOTAL_REV",IQ_FY)/I598, _xll.ciqfunctions.udf.CIQ(A588, "IQ_TOTAL_REV",IQ_LTM)/I598))</f>
        <v>41.480342631232155</v>
      </c>
      <c r="E598" s="22">
        <f t="shared" si="159"/>
        <v>7.8592573928097195E-2</v>
      </c>
      <c r="F598" s="21">
        <f>IF(A596=A597,_xll.ciqfunctions.udf.CIQ(A588,"IQ_DILUT_EPS_EXCL",IQ_FY), _xll.ciqfunctions.udf.CIQ(A588, "IQ_DILUT_EPS_EXCL",IQ_LTM))</f>
        <v>11.11666</v>
      </c>
      <c r="G598" s="21">
        <f>IF(A596=A597,_xll.ciqfunctions.udf.CIQ(A588,"IQ_EBITDA_MARGIN",IQ_FY), _xll.ciqfunctions.udf.CIQ(A588, "IQ_EBITDA_MARGIN",IQ_LTM))</f>
        <v>37.270899999999997</v>
      </c>
      <c r="H598" s="21">
        <f>IF(A596=A597,_xll.ciqfunctions.udf.CIQ(A588,"IQ_TOTAL_DIV_PAID_CF",IQ_FY)/-I598, _xll.ciqfunctions.udf.CIQ(A588, "IQ_TOTAL_DIV_PAID_CF",IQ_LTM)/-I598)</f>
        <v>0</v>
      </c>
      <c r="I598" s="23">
        <f>IF(A596=A597,_xll.ciqfunctions.udf.CIQ(A588,"IQ_TOTAL_OUTSTANDING_FILING_DATE",IQ_FY),_xll.ciqfunctions.udf.CIQ(A588,"IQ_sharesoutstanding"))</f>
        <v>455.3</v>
      </c>
      <c r="J598" s="23">
        <f>IF(A596=A597,_xll.ciqfunctions.udf.CIQ(A588,"IQ_CASH_OPER",IQ_FY), _xll.ciqfunctions.udf.CIQ(A588, "IQ_CASH_OPER",IQ_LTM))</f>
        <v>8030</v>
      </c>
      <c r="K598" s="23">
        <f>IF(A596=A597,_xll.ciqfunctions.udf.CIQ(A588,"IQ_CAPEX",IQ_FY), _xll.ciqfunctions.udf.CIQ(A588, "IQ_CAPEX",IQ_LTM))</f>
        <v>-404</v>
      </c>
      <c r="L598" s="21">
        <f t="shared" si="156"/>
        <v>16.749396002635624</v>
      </c>
      <c r="M598" s="23">
        <f>IF(A596=A597,_xll.ciqfunctions.udf.CIQ(A588,"IQ_TOTAL_DEBT_ISSUED",IQ_FY), _xll.ciqfunctions.udf.CIQ(A588, "IQ_TOTAL_DEBT_ISSUED",IQ_LTM))</f>
        <v>0</v>
      </c>
      <c r="N598" s="23">
        <f>IF(A596=A597,_xll.ciqfunctions.udf.CIQ(A588,"IQ_TOTAL_DEBT_REPAID",IQ_FY), _xll.ciqfunctions.udf.CIQ(A588, "IQ_TOTAL_DEBT_REPAID",IQ_LTM))</f>
        <v>-500</v>
      </c>
      <c r="O598" s="21">
        <f t="shared" si="157"/>
        <v>-1.0981770261366133</v>
      </c>
      <c r="P598" s="21">
        <f t="shared" si="158"/>
        <v>15.651218976499012</v>
      </c>
      <c r="Q598" s="25" t="s">
        <v>45</v>
      </c>
      <c r="S598" s="45"/>
      <c r="U598" s="25"/>
      <c r="W598" s="45"/>
      <c r="Y598" s="25"/>
      <c r="AA598" s="45"/>
    </row>
    <row r="599" spans="1:27">
      <c r="B599" s="24"/>
      <c r="C599" s="25" t="s">
        <v>37</v>
      </c>
      <c r="E599" s="26">
        <f>((D598/D593)^(1/5))-1</f>
        <v>0.17507634641817282</v>
      </c>
      <c r="F599" s="27">
        <f>((F598/F593)^(1/5))-1</f>
        <v>0.16411047160283609</v>
      </c>
      <c r="G599" s="28"/>
      <c r="H599" s="27" t="e">
        <f>((H598/H593)^(1/5))-1</f>
        <v>#DIV/0!</v>
      </c>
      <c r="I599" s="27">
        <f>((I598/I593)^(1/5))-1</f>
        <v>-1.3665185220407605E-2</v>
      </c>
      <c r="J599" s="27"/>
      <c r="K599" s="27"/>
      <c r="L599" s="26">
        <f>((L598/L593)^(1/5))-1</f>
        <v>0.16775366556035021</v>
      </c>
      <c r="M599" s="26"/>
      <c r="N599" s="26"/>
      <c r="O599" s="26"/>
      <c r="P599" s="26">
        <f>((P598/P593)^(1/5))-1</f>
        <v>4.8986517909686E-2</v>
      </c>
      <c r="Q599" s="18"/>
      <c r="R599" s="36"/>
      <c r="S599" s="45"/>
      <c r="U599" s="18"/>
      <c r="V599" s="36"/>
      <c r="W599" s="45"/>
      <c r="Y599" s="18"/>
      <c r="Z599" s="36"/>
      <c r="AA599" s="45"/>
    </row>
    <row r="600" spans="1:27">
      <c r="A600" s="29"/>
      <c r="B600" s="30"/>
      <c r="C600" s="31" t="s">
        <v>38</v>
      </c>
      <c r="D600" s="29"/>
      <c r="E600" s="32">
        <f>((D598/D588)^(1/10))-1</f>
        <v>0.17647753550540424</v>
      </c>
      <c r="F600" s="33">
        <f>((F598/F588)^(1/10))-1</f>
        <v>0.34827545882636746</v>
      </c>
      <c r="G600" s="34"/>
      <c r="H600" s="33" t="e">
        <f>((H598/H588)^(1/10))-1</f>
        <v>#DIV/0!</v>
      </c>
      <c r="I600" s="33">
        <f>((I598/I588)^(1/10))-1</f>
        <v>-8.6461364822972842E-3</v>
      </c>
      <c r="J600" s="33"/>
      <c r="K600" s="33"/>
      <c r="L600" s="32">
        <f>((L598/L588)^(1/10))-1</f>
        <v>0.24057652317251343</v>
      </c>
      <c r="M600" s="32"/>
      <c r="N600" s="32"/>
      <c r="O600" s="32"/>
      <c r="P600" s="32">
        <f>((P598/P588)^(1/10))-1</f>
        <v>0.23221472765304796</v>
      </c>
      <c r="Q600" s="40"/>
      <c r="R600" s="41"/>
      <c r="S600" s="46"/>
      <c r="U600" s="40"/>
      <c r="V600" s="41"/>
      <c r="W600" s="46"/>
      <c r="Y600" s="40"/>
      <c r="Z600" s="41"/>
      <c r="AA600" s="46"/>
    </row>
    <row r="601" spans="1:27">
      <c r="B601" s="24"/>
      <c r="C601" s="25"/>
      <c r="E601" s="26"/>
      <c r="F601" s="27"/>
      <c r="G601" s="28"/>
      <c r="H601" s="27"/>
      <c r="I601" s="27"/>
      <c r="J601" s="27"/>
      <c r="K601" s="27"/>
      <c r="L601" s="26"/>
      <c r="M601" s="17"/>
      <c r="N601" s="17"/>
      <c r="O601" s="17"/>
      <c r="P601" s="35"/>
      <c r="Q601" s="18"/>
      <c r="R601" s="36"/>
    </row>
    <row r="602" spans="1:27">
      <c r="A602" s="9" t="s">
        <v>0</v>
      </c>
      <c r="B602" s="10"/>
      <c r="C602" s="9" t="s">
        <v>1</v>
      </c>
      <c r="D602" s="9" t="s">
        <v>2</v>
      </c>
      <c r="E602" s="9" t="s">
        <v>3</v>
      </c>
      <c r="F602" s="11" t="s">
        <v>4</v>
      </c>
      <c r="G602" s="11" t="s">
        <v>5</v>
      </c>
      <c r="H602" s="9" t="s">
        <v>6</v>
      </c>
      <c r="I602" s="11" t="s">
        <v>7</v>
      </c>
      <c r="J602" s="11" t="s">
        <v>8</v>
      </c>
      <c r="K602" s="11" t="s">
        <v>9</v>
      </c>
      <c r="L602" s="11" t="s">
        <v>10</v>
      </c>
      <c r="M602" s="11" t="s">
        <v>11</v>
      </c>
      <c r="N602" s="11" t="s">
        <v>12</v>
      </c>
      <c r="O602" s="11" t="s">
        <v>13</v>
      </c>
      <c r="P602" s="11" t="s">
        <v>14</v>
      </c>
      <c r="Q602" s="37" t="s">
        <v>15</v>
      </c>
      <c r="R602" s="42">
        <f>_xll.ciqfunctions.udf.CIQ(A603,("IQ_LASTSALEPRICE"))</f>
        <v>225.7944</v>
      </c>
      <c r="S602" s="44"/>
      <c r="U602" s="37" t="s">
        <v>15</v>
      </c>
      <c r="V602" s="42">
        <f>_xll.ciqfunctions.udf.CIQ(A603,("IQ_LASTSALEPRICE"))</f>
        <v>225.7944</v>
      </c>
      <c r="W602" s="44"/>
      <c r="Y602" s="37" t="s">
        <v>15</v>
      </c>
      <c r="Z602" s="42">
        <f>_xll.ciqfunctions.udf.CIQ(A603,("IQ_LASTSALEPRICE"))</f>
        <v>225.7944</v>
      </c>
      <c r="AA602" s="44"/>
    </row>
    <row r="603" spans="1:27">
      <c r="A603" s="12" t="str">
        <f>Analysis!B42</f>
        <v>NYSE:CRM</v>
      </c>
      <c r="B603" s="13">
        <v>1</v>
      </c>
      <c r="C603" s="14" t="s">
        <v>16</v>
      </c>
      <c r="D603" s="15">
        <f>IF(A611=A612,_xll.ciqfunctions.udf.CIQ(A603,"IQ_TOTAL_REV",IQ_FY-10)/I603,_xll.ciqfunctions.udf.CIQ(A603, "IQ_TOTAL_REV",IQ_FY-9)/I603)</f>
        <v>6.6722112685059072</v>
      </c>
      <c r="E603" s="16"/>
      <c r="F603" s="15">
        <f>IF(A611=A612,_xll.ciqfunctions.udf.CIQ(A603,"IQ_DILUT_EPS_EXCL",IQ_FY-10), _xll.ciqfunctions.udf.CIQ(A603, "IQ_DILUT_EPS_EXCL",IQ_FY-9))</f>
        <v>-0.39</v>
      </c>
      <c r="G603" s="15">
        <f>IF(A611=A612,_xll.ciqfunctions.udf.CIQ(A603,"IQ_EBITDA_MARGIN",IQ_FY-10), _xll.ciqfunctions.udf.CIQ(A603, "IQ_EBITDA_MARGIN",IQ_FY-9))</f>
        <v>-1.4873000000000001</v>
      </c>
      <c r="H603" s="15">
        <f>IF(A611=A612,_xll.ciqfunctions.udf.CIQ(A603,"IQ_TOTAL_DIV_PAID_CF",IQ_FY-10)/-I603, _xll.ciqfunctions.udf.CIQ(A603, "IQ_TOTAL_DIV_PAID_CF",IQ_FY-9)/-I603)</f>
        <v>0</v>
      </c>
      <c r="I603" s="17">
        <f>IF(A611=A612,_xll.ciqfunctions.udf.CIQ(A603,"IQ_TOTAL_OUTSTANDING_FILING_DATE",IQ_FY-10), _xll.ciqfunctions.udf.CIQ(A603, "IQ_TOTAL_OUTSTANDING_FILING_DATE",IQ_FY-9))</f>
        <v>610.14300000000003</v>
      </c>
      <c r="J603" s="17">
        <f>IF(A611=A612,_xll.ciqfunctions.udf.CIQ(A603,"IQ_CASH_OPER",IQ_FY-10), _xll.ciqfunctions.udf.CIQ(A603, "IQ_CASH_OPER",IQ_FY-9))</f>
        <v>875.46900000000005</v>
      </c>
      <c r="K603" s="17">
        <f>IF(A611=A612,_xll.ciqfunctions.udf.CIQ(A603,"IQ_CAPEX",IQ_FY-10), _xll.ciqfunctions.udf.CIQ(A603, "IQ_CAPEX",IQ_FY-9))</f>
        <v>-299.11</v>
      </c>
      <c r="L603" s="15">
        <f t="shared" ref="L603:L613" si="160">(J603+K603)/I603</f>
        <v>0.94462937376975564</v>
      </c>
      <c r="M603" s="17">
        <f>IF(A611=A612,_xll.ciqfunctions.udf.CIQ(A603,"IQ_TOTAL_DEBT_ISSUED",IQ_FY-10), _xll.ciqfunctions.udf.CIQ(A603, "IQ_TOTAL_DEBT_ISSUED",IQ_FY-9))</f>
        <v>1416.25</v>
      </c>
      <c r="N603" s="17">
        <f>IF(A611=A612,_xll.ciqfunctions.udf.CIQ(A603,"IQ_TOTAL_DEBT_REPAID",IQ_FY-10), _xll.ciqfunctions.udf.CIQ(A603, "IQ_TOTAL_DEBT_REPAID",IQ_FY-9))</f>
        <v>-47.091000000000001</v>
      </c>
      <c r="O603" s="15">
        <f t="shared" ref="O603:O613" si="161">(M603+N603)/I603</f>
        <v>2.2439968990875911</v>
      </c>
      <c r="P603" s="15">
        <f t="shared" ref="P603:P613" si="162">L603+O603</f>
        <v>3.1886262728573467</v>
      </c>
      <c r="W603" s="43"/>
      <c r="AA603" s="43"/>
    </row>
    <row r="604" spans="1:27">
      <c r="A604" s="18" t="str">
        <f>_xll.ciqfunctions.udf.CIQ(A603,"IQ_COMPANY_NAME")</f>
        <v>Salesforce, Inc.</v>
      </c>
      <c r="B604" s="13">
        <v>2</v>
      </c>
      <c r="C604" s="14" t="s">
        <v>17</v>
      </c>
      <c r="D604" s="15">
        <f>IF(A611=A612,_xll.ciqfunctions.udf.CIQ(A603,"IQ_TOTAL_REV",IQ_FY-9)/I604, _xll.ciqfunctions.udf.CIQ(A603, "IQ_TOTAL_REV",IQ_FY-8)/I604)</f>
        <v>8.2594820748974787</v>
      </c>
      <c r="E604" s="16">
        <f t="shared" ref="E604:E613" si="163">(D604-D603)/D603</f>
        <v>0.23789276785700542</v>
      </c>
      <c r="F604" s="15">
        <f>IF(A611=A612,_xll.ciqfunctions.udf.CIQ(A603,"IQ_DILUT_EPS_EXCL",IQ_FY-9), _xll.ciqfunctions.udf.CIQ(A603, "IQ_DILUT_EPS_EXCL",IQ_FY-8))</f>
        <v>-0.42087000000000002</v>
      </c>
      <c r="G604" s="15">
        <f>IF(A611=A612,_xll.ciqfunctions.udf.CIQ(A603,"IQ_EBITDA_MARGIN",IQ_FY-9), _xll.ciqfunctions.udf.CIQ(A603, "IQ_EBITDA_MARGIN",IQ_FY-8))</f>
        <v>4.7465999999999999</v>
      </c>
      <c r="H604" s="15">
        <f>IF(A611=A612,_xll.ciqfunctions.udf.CIQ(A603,"IQ_TOTAL_DIV_PAID_CF",IQ_FY-9)/-I604, _xll.ciqfunctions.udf.CIQ(A603, "IQ_TOTAL_DIV_PAID_CF",IQ_FY-8)/-I604)</f>
        <v>0</v>
      </c>
      <c r="I604" s="17">
        <f>IF(A611=A612,_xll.ciqfunctions.udf.CIQ(A603,"IQ_TOTAL_OUTSTANDING_FILING_DATE",IQ_FY-9), _xll.ciqfunctions.udf.CIQ(A603, "IQ_TOTAL_OUTSTANDING_FILING_DATE",IQ_FY-8))</f>
        <v>650.596</v>
      </c>
      <c r="J604" s="17">
        <f>IF(A611=A612,_xll.ciqfunctions.udf.CIQ(A603,"IQ_CASH_OPER",IQ_FY-9), _xll.ciqfunctions.udf.CIQ(A603, "IQ_CASH_OPER",IQ_FY-8))</f>
        <v>1181.444</v>
      </c>
      <c r="K604" s="17">
        <f>IF(A611=A612,_xll.ciqfunctions.udf.CIQ(A603,"IQ_CAPEX",IQ_FY-9), _xll.ciqfunctions.udf.CIQ(A603, "IQ_CAPEX",IQ_FY-8))</f>
        <v>-416.88900000000001</v>
      </c>
      <c r="L604" s="15">
        <f t="shared" si="160"/>
        <v>1.1751609293632299</v>
      </c>
      <c r="M604" s="17">
        <f>IF(A611=A612,_xll.ciqfunctions.udf.CIQ(A603,"IQ_TOTAL_DEBT_ISSUED",IQ_FY-9), _xll.ciqfunctions.udf.CIQ(A603, "IQ_TOTAL_DEBT_ISSUED",IQ_FY-8))</f>
        <v>297.32499999999999</v>
      </c>
      <c r="N604" s="17">
        <f>IF(A611=A612,_xll.ciqfunctions.udf.CIQ(A603,"IQ_TOTAL_DEBT_REPAID",IQ_FY-9), _xll.ciqfunctions.udf.CIQ(A603, "IQ_TOTAL_DEBT_REPAID",IQ_FY-8))</f>
        <v>-924.52499999999998</v>
      </c>
      <c r="O604" s="15">
        <f t="shared" si="161"/>
        <v>-0.96403912720029028</v>
      </c>
      <c r="P604" s="15">
        <f t="shared" si="162"/>
        <v>0.21112180216293963</v>
      </c>
      <c r="Q604" s="25" t="s">
        <v>18</v>
      </c>
      <c r="R604" s="39" t="s">
        <v>19</v>
      </c>
      <c r="S604" s="1">
        <f>R602/((AVERAGE(P608:P613))*(1+E614)^3)</f>
        <v>24.552895288018082</v>
      </c>
      <c r="U604" s="25" t="s">
        <v>48</v>
      </c>
      <c r="V604" s="39" t="s">
        <v>19</v>
      </c>
      <c r="W604" s="1">
        <f>V602/((AVERAGE(P608:P613))*(1+E614)^3)</f>
        <v>24.552895288018082</v>
      </c>
      <c r="Y604" s="25" t="s">
        <v>39</v>
      </c>
      <c r="Z604" s="39" t="s">
        <v>19</v>
      </c>
      <c r="AA604" s="1">
        <f>Z602/((AVERAGE(P608:P613))*(1+E614)^3)</f>
        <v>24.552895288018082</v>
      </c>
    </row>
    <row r="605" spans="1:27">
      <c r="B605" s="13">
        <v>3</v>
      </c>
      <c r="C605" s="14" t="s">
        <v>20</v>
      </c>
      <c r="D605" s="15" cm="1">
        <f t="array" ref="D605">_xlfn.SINGLE(IF(A611=A612,_xll.ciqfunctions.udf.CIQ(A603,"IQ_TOTAL_REV",IQ_FY-8)/I605, _xll.ciqfunctions.udf.CIQ(A603, "IQ_TOTAL_REV",IQ_FY-7)/I605))</f>
        <v>9.9372899367891403</v>
      </c>
      <c r="E605" s="16">
        <f t="shared" si="163"/>
        <v>0.20313717575475065</v>
      </c>
      <c r="F605" s="15">
        <f>IF(A611=A612,_xll.ciqfunctions.udf.CIQ(A603,"IQ_DILUT_EPS_EXCL",IQ_FY-8), _xll.ciqfunctions.udf.CIQ(A603, "IQ_DILUT_EPS_EXCL",IQ_FY-7))</f>
        <v>-7.1679999999999994E-2</v>
      </c>
      <c r="G605" s="15">
        <f>IF(A611=A612,_xll.ciqfunctions.udf.CIQ(A603,"IQ_EBITDA_MARGIN",IQ_FY-8), _xll.ciqfunctions.udf.CIQ(A603, "IQ_EBITDA_MARGIN",IQ_FY-7))</f>
        <v>8.0791000000000004</v>
      </c>
      <c r="H605" s="15">
        <f>IF(A611=A612,_xll.ciqfunctions.udf.CIQ(A603,"IQ_TOTAL_DIV_PAID_CF",IQ_FY-8)/-I605, _xll.ciqfunctions.udf.CIQ(A603, "IQ_TOTAL_DIV_PAID_CF",IQ_FY-7)/-I605)</f>
        <v>0</v>
      </c>
      <c r="I605" s="17">
        <f>IF(A611=A612,_xll.ciqfunctions.udf.CIQ(A603,"IQ_TOTAL_OUTSTANDING_FILING_DATE",IQ_FY-8), _xll.ciqfunctions.udf.CIQ(A603, "IQ_TOTAL_OUTSTANDING_FILING_DATE",IQ_FY-7))</f>
        <v>670.92899999999997</v>
      </c>
      <c r="J605" s="17">
        <f>IF(A611=A612,_xll.ciqfunctions.udf.CIQ(A603,"IQ_CASH_OPER",IQ_FY-8), _xll.ciqfunctions.udf.CIQ(A603, "IQ_CASH_OPER",IQ_FY-7))</f>
        <v>1672.0809999999999</v>
      </c>
      <c r="K605" s="17">
        <f>IF(A611=A612,_xll.ciqfunctions.udf.CIQ(A603,"IQ_CAPEX",IQ_FY-8), _xll.ciqfunctions.udf.CIQ(A603, "IQ_CAPEX",IQ_FY-7))</f>
        <v>-709.85199999999998</v>
      </c>
      <c r="L605" s="15">
        <f t="shared" si="160"/>
        <v>1.4341741078415151</v>
      </c>
      <c r="M605" s="17">
        <f>IF(A611=A612,_xll.ciqfunctions.udf.CIQ(A603,"IQ_TOTAL_DEBT_ISSUED",IQ_FY-8), _xll.ciqfunctions.udf.CIQ(A603, "IQ_TOTAL_DEBT_ISSUED",IQ_FY-7))</f>
        <v>0</v>
      </c>
      <c r="N605" s="17">
        <f>IF(A611=A612,_xll.ciqfunctions.udf.CIQ(A603,"IQ_TOTAL_DEBT_REPAID",IQ_FY-8), _xll.ciqfunctions.udf.CIQ(A603, "IQ_TOTAL_DEBT_REPAID",IQ_FY-7))</f>
        <v>-382.33</v>
      </c>
      <c r="O605" s="15">
        <f t="shared" si="161"/>
        <v>-0.56985165345364408</v>
      </c>
      <c r="P605" s="15">
        <f t="shared" si="162"/>
        <v>0.86432245438787103</v>
      </c>
      <c r="Q605" s="25" t="s">
        <v>21</v>
      </c>
      <c r="R605" s="38" t="s">
        <v>49</v>
      </c>
      <c r="S605" s="2">
        <f>(R602*I613)/1000</f>
        <v>219.69795120000001</v>
      </c>
      <c r="U605" s="25" t="s">
        <v>59</v>
      </c>
      <c r="V605" s="38" t="s">
        <v>49</v>
      </c>
      <c r="W605" s="2">
        <f>(V602*I613)/1000</f>
        <v>219.69795120000001</v>
      </c>
      <c r="Y605" s="25" t="s">
        <v>46</v>
      </c>
      <c r="Z605" s="38" t="s">
        <v>49</v>
      </c>
      <c r="AA605" s="2">
        <f>(Z602*I613)/1000</f>
        <v>219.69795120000001</v>
      </c>
    </row>
    <row r="606" spans="1:27">
      <c r="A606" s="18"/>
      <c r="B606" s="13">
        <v>4</v>
      </c>
      <c r="C606" s="14" t="s">
        <v>22</v>
      </c>
      <c r="D606" s="15" cm="1">
        <f t="array" ref="D606">_xlfn.SINGLE(IF(A611=A612,_xll.ciqfunctions.udf.CIQ(A603,"IQ_TOTAL_REV",IQ_FY-7)/I606, _xll.ciqfunctions.udf.CIQ(A603, "IQ_TOTAL_REV",IQ_FY-6)/I606))</f>
        <v>11.925762587284087</v>
      </c>
      <c r="E606" s="16">
        <f t="shared" si="163"/>
        <v>0.20010210662500266</v>
      </c>
      <c r="F606" s="15">
        <f>IF(A611=A612,_xll.ciqfunctions.udf.CIQ(A603,"IQ_DILUT_EPS_EXCL",IQ_FY-7), _xll.ciqfunctions.udf.CIQ(A603, "IQ_DILUT_EPS_EXCL",IQ_FY-6))</f>
        <v>0.46</v>
      </c>
      <c r="G606" s="15">
        <f>IF(A611=A612,_xll.ciqfunctions.udf.CIQ(A603,"IQ_EBITDA_MARGIN",IQ_FY-7), _xll.ciqfunctions.udf.CIQ(A603, "IQ_EBITDA_MARGIN",IQ_FY-6))</f>
        <v>10.0746</v>
      </c>
      <c r="H606" s="15">
        <f>IF(A611=A612,_xll.ciqfunctions.udf.CIQ(A603,"IQ_TOTAL_DIV_PAID_CF",IQ_FY-7)/-I606, _xll.ciqfunctions.udf.CIQ(A603, "IQ_TOTAL_DIV_PAID_CF",IQ_FY-6)/-I606)</f>
        <v>0</v>
      </c>
      <c r="I606" s="17">
        <f>IF(A611=A612,_xll.ciqfunctions.udf.CIQ(A603,"IQ_TOTAL_OUTSTANDING_FILING_DATE",IQ_FY-7), _xll.ciqfunctions.udf.CIQ(A603, "IQ_TOTAL_OUTSTANDING_FILING_DATE",IQ_FY-6))</f>
        <v>707.46</v>
      </c>
      <c r="J606" s="17">
        <f>IF(A611=A612,_xll.ciqfunctions.udf.CIQ(A603,"IQ_CASH_OPER",IQ_FY-7), _xll.ciqfunctions.udf.CIQ(A603, "IQ_CASH_OPER",IQ_FY-6))</f>
        <v>2162</v>
      </c>
      <c r="K606" s="17">
        <f>IF(A611=A612,_xll.ciqfunctions.udf.CIQ(A603,"IQ_CAPEX",IQ_FY-7), _xll.ciqfunctions.udf.CIQ(A603, "IQ_CAPEX",IQ_FY-6))</f>
        <v>-464</v>
      </c>
      <c r="L606" s="15">
        <f t="shared" si="160"/>
        <v>2.4001356967178356</v>
      </c>
      <c r="M606" s="17">
        <f>IF(A611=A612,_xll.ciqfunctions.udf.CIQ(A603,"IQ_TOTAL_DEBT_ISSUED",IQ_FY-7), _xll.ciqfunctions.udf.CIQ(A603, "IQ_TOTAL_DEBT_ISSUED",IQ_FY-6))</f>
        <v>1245</v>
      </c>
      <c r="N606" s="17">
        <f>IF(A611=A612,_xll.ciqfunctions.udf.CIQ(A603,"IQ_TOTAL_DEBT_REPAID",IQ_FY-7), _xll.ciqfunctions.udf.CIQ(A603, "IQ_TOTAL_DEBT_REPAID",IQ_FY-6))</f>
        <v>-648</v>
      </c>
      <c r="O606" s="15">
        <f t="shared" si="161"/>
        <v>0.84386396404036979</v>
      </c>
      <c r="P606" s="15">
        <f t="shared" si="162"/>
        <v>3.2439996607582051</v>
      </c>
      <c r="Q606" s="25" t="s">
        <v>23</v>
      </c>
      <c r="R606" s="38" t="s">
        <v>24</v>
      </c>
      <c r="S606" s="1" t="e">
        <f>R602/(AVERAGE(H608:H613)*(1+H614)/(0.5-H614))</f>
        <v>#DIV/0!</v>
      </c>
      <c r="U606" s="25" t="s">
        <v>40</v>
      </c>
      <c r="V606" s="38" t="s">
        <v>24</v>
      </c>
      <c r="W606" s="1" t="e">
        <f>V602/(AVERAGE(H608:H613)*(1+H614)/(0.5-H614))</f>
        <v>#DIV/0!</v>
      </c>
      <c r="Y606" s="25" t="s">
        <v>47</v>
      </c>
      <c r="Z606" s="38" t="s">
        <v>24</v>
      </c>
      <c r="AA606" s="1" t="e">
        <f>Z602/(AVERAGE(H608:H613)*(1+H614)/(0.5-H614))</f>
        <v>#DIV/0!</v>
      </c>
    </row>
    <row r="607" spans="1:27">
      <c r="B607" s="13">
        <v>5</v>
      </c>
      <c r="C607" s="14" t="s">
        <v>25</v>
      </c>
      <c r="D607" s="15" cm="1">
        <f t="array" ref="D607">_xlfn.SINGLE(IF(A611=A612,_xll.ciqfunctions.udf.CIQ(A603,"IQ_TOTAL_REV",IQ_FY-6)/I607, _xll.ciqfunctions.udf.CIQ(A603, "IQ_TOTAL_REV",IQ_FY-5)/I607))</f>
        <v>14.408749145591251</v>
      </c>
      <c r="E607" s="16">
        <f t="shared" si="163"/>
        <v>0.20820358783216622</v>
      </c>
      <c r="F607" s="15">
        <f>IF(A611=A612,_xll.ciqfunctions.udf.CIQ(A603,"IQ_DILUT_EPS_EXCL",IQ_FY-6), _xll.ciqfunctions.udf.CIQ(A603, "IQ_DILUT_EPS_EXCL",IQ_FY-5))</f>
        <v>0.49</v>
      </c>
      <c r="G607" s="15">
        <f>IF(A611=A612,_xll.ciqfunctions.udf.CIQ(A603,"IQ_EBITDA_MARGIN",IQ_FY-6), _xll.ciqfunctions.udf.CIQ(A603, "IQ_EBITDA_MARGIN",IQ_FY-5))</f>
        <v>11.745699999999999</v>
      </c>
      <c r="H607" s="15">
        <f>IF(A611=A612,_xll.ciqfunctions.udf.CIQ(A603,"IQ_TOTAL_DIV_PAID_CF",IQ_FY-6)/-I607, _xll.ciqfunctions.udf.CIQ(A603, "IQ_TOTAL_DIV_PAID_CF",IQ_FY-5)/-I607)</f>
        <v>0</v>
      </c>
      <c r="I607" s="17">
        <f>IF(A611=A612,_xll.ciqfunctions.udf.CIQ(A603,"IQ_TOTAL_OUTSTANDING_FILING_DATE",IQ_FY-6), _xll.ciqfunctions.udf.CIQ(A603, "IQ_TOTAL_OUTSTANDING_FILING_DATE",IQ_FY-5))</f>
        <v>731.5</v>
      </c>
      <c r="J607" s="17">
        <f>IF(A611=A612,_xll.ciqfunctions.udf.CIQ(A603,"IQ_CASH_OPER",IQ_FY-6), _xll.ciqfunctions.udf.CIQ(A603, "IQ_CASH_OPER",IQ_FY-5))</f>
        <v>2738</v>
      </c>
      <c r="K607" s="17">
        <f>IF(A611=A612,_xll.ciqfunctions.udf.CIQ(A603,"IQ_CAPEX",IQ_FY-6), _xll.ciqfunctions.udf.CIQ(A603, "IQ_CAPEX",IQ_FY-5))</f>
        <v>-534</v>
      </c>
      <c r="L607" s="15">
        <f t="shared" si="160"/>
        <v>3.0129870129870131</v>
      </c>
      <c r="M607" s="17">
        <f>IF(A611=A612,_xll.ciqfunctions.udf.CIQ(A603,"IQ_TOTAL_DEBT_ISSUED",IQ_FY-6), _xll.ciqfunctions.udf.CIQ(A603, "IQ_TOTAL_DEBT_ISSUED",IQ_FY-5))</f>
        <v>0</v>
      </c>
      <c r="N607" s="17">
        <f>IF(A611=A612,_xll.ciqfunctions.udf.CIQ(A603,"IQ_TOTAL_DEBT_REPAID",IQ_FY-6), _xll.ciqfunctions.udf.CIQ(A603, "IQ_TOTAL_DEBT_REPAID",IQ_FY-5))</f>
        <v>-429</v>
      </c>
      <c r="O607" s="15">
        <f t="shared" si="161"/>
        <v>-0.5864661654135338</v>
      </c>
      <c r="P607" s="15">
        <f t="shared" si="162"/>
        <v>2.4265208475734794</v>
      </c>
      <c r="Q607" s="18"/>
      <c r="R607" s="38" t="s">
        <v>50</v>
      </c>
      <c r="S607" s="3">
        <f>I614</f>
        <v>4.7639084666477816E-2</v>
      </c>
      <c r="U607" s="18"/>
      <c r="V607" s="38" t="s">
        <v>50</v>
      </c>
      <c r="W607" s="3">
        <f>I614</f>
        <v>4.7639084666477816E-2</v>
      </c>
      <c r="Y607" s="18"/>
      <c r="Z607" s="38" t="s">
        <v>50</v>
      </c>
      <c r="AA607" s="3">
        <f>I614</f>
        <v>4.7639084666477816E-2</v>
      </c>
    </row>
    <row r="608" spans="1:27">
      <c r="B608" s="13">
        <v>6</v>
      </c>
      <c r="C608" s="14" t="s">
        <v>26</v>
      </c>
      <c r="D608" s="15" cm="1">
        <f t="array" ref="D608">_xlfn.SINGLE(IF(A611=A612,_xll.ciqfunctions.udf.CIQ(A603,"IQ_TOTAL_REV",IQ_FY-5)/I608, _xll.ciqfunctions.udf.CIQ(A603, "IQ_TOTAL_REV",IQ_FY-4)/I608))</f>
        <v>17.226977950713358</v>
      </c>
      <c r="E608" s="16">
        <f t="shared" si="163"/>
        <v>0.19559149629476483</v>
      </c>
      <c r="F608" s="15">
        <f>IF(A611=A612,_xll.ciqfunctions.udf.CIQ(A603,"IQ_DILUT_EPS_EXCL",IQ_FY-5), _xll.ciqfunctions.udf.CIQ(A603, "IQ_DILUT_EPS_EXCL",IQ_FY-4))</f>
        <v>1.43</v>
      </c>
      <c r="G608" s="15">
        <f>IF(A611=A612,_xll.ciqfunctions.udf.CIQ(A603,"IQ_EBITDA_MARGIN",IQ_FY-5), _xll.ciqfunctions.udf.CIQ(A603, "IQ_EBITDA_MARGIN",IQ_FY-4))</f>
        <v>11.4214</v>
      </c>
      <c r="H608" s="15">
        <f>IF(A611=A612,_xll.ciqfunctions.udf.CIQ(A603,"IQ_TOTAL_DIV_PAID_CF",IQ_FY-5)/-I608, _xll.ciqfunctions.udf.CIQ(A603, "IQ_TOTAL_DIV_PAID_CF",IQ_FY-4)/-I608)</f>
        <v>0</v>
      </c>
      <c r="I608" s="17">
        <f>IF(A611=A612,_xll.ciqfunctions.udf.CIQ(A603,"IQ_TOTAL_OUTSTANDING_FILING_DATE",IQ_FY-5), _xll.ciqfunctions.udf.CIQ(A603, "IQ_TOTAL_OUTSTANDING_FILING_DATE",IQ_FY-4))</f>
        <v>771</v>
      </c>
      <c r="J608" s="17">
        <f>IF(A611=A612,_xll.ciqfunctions.udf.CIQ(A603,"IQ_CASH_OPER",IQ_FY-5), _xll.ciqfunctions.udf.CIQ(A603, "IQ_CASH_OPER",IQ_FY-4))</f>
        <v>3398</v>
      </c>
      <c r="K608" s="17">
        <f>IF(A611=A612,_xll.ciqfunctions.udf.CIQ(A603,"IQ_CAPEX",IQ_FY-5), _xll.ciqfunctions.udf.CIQ(A603, "IQ_CAPEX",IQ_FY-4))</f>
        <v>-595</v>
      </c>
      <c r="L608" s="15">
        <f t="shared" si="160"/>
        <v>3.6355382619974059</v>
      </c>
      <c r="M608" s="17">
        <f>IF(A611=A612,_xll.ciqfunctions.udf.CIQ(A603,"IQ_TOTAL_DEBT_ISSUED",IQ_FY-5), _xll.ciqfunctions.udf.CIQ(A603, "IQ_TOTAL_DEBT_ISSUED",IQ_FY-4))</f>
        <v>2966</v>
      </c>
      <c r="N608" s="17">
        <f>IF(A611=A612,_xll.ciqfunctions.udf.CIQ(A603,"IQ_TOTAL_DEBT_REPAID",IQ_FY-5), _xll.ciqfunctions.udf.CIQ(A603, "IQ_TOTAL_DEBT_REPAID",IQ_FY-4))</f>
        <v>-1660</v>
      </c>
      <c r="O608" s="15">
        <f t="shared" si="161"/>
        <v>1.6939040207522698</v>
      </c>
      <c r="P608" s="15">
        <f t="shared" si="162"/>
        <v>5.3294422827496755</v>
      </c>
      <c r="Q608" s="25" t="s">
        <v>27</v>
      </c>
      <c r="R608" s="38" t="s">
        <v>51</v>
      </c>
      <c r="S608" s="4">
        <f>AVERAGE(F608:F613)/AVERAGE(D608:D613)</f>
        <v>6.1024210452230256E-2</v>
      </c>
      <c r="U608" s="25" t="s">
        <v>58</v>
      </c>
      <c r="V608" s="38" t="s">
        <v>51</v>
      </c>
      <c r="W608" s="4">
        <f>AVERAGE(F608:F613)/AVERAGE(D608:D613)</f>
        <v>6.1024210452230256E-2</v>
      </c>
      <c r="Y608" s="25" t="s">
        <v>56</v>
      </c>
      <c r="Z608" s="38" t="s">
        <v>51</v>
      </c>
      <c r="AA608" s="4">
        <f>AVERAGE(F608:F613)/AVERAGE(D608:D613)</f>
        <v>6.1024210452230256E-2</v>
      </c>
    </row>
    <row r="609" spans="1:27">
      <c r="A609" s="18"/>
      <c r="B609" s="13">
        <v>7</v>
      </c>
      <c r="C609" s="14" t="s">
        <v>28</v>
      </c>
      <c r="D609" s="15" cm="1">
        <f t="array" ref="D609">_xlfn.SINGLE(IF(A611=A612,_xll.ciqfunctions.udf.CIQ(A603,"IQ_TOTAL_REV",IQ_FY-4)/I609, _xll.ciqfunctions.udf.CIQ(A603, "IQ_TOTAL_REV",IQ_FY-3)/I609))</f>
        <v>19.103910614525141</v>
      </c>
      <c r="E609" s="16">
        <f t="shared" si="163"/>
        <v>0.10895310072269872</v>
      </c>
      <c r="F609" s="15">
        <f>IF(A611=A612,_xll.ciqfunctions.udf.CIQ(A603,"IQ_DILUT_EPS_EXCL",IQ_FY-4), _xll.ciqfunctions.udf.CIQ(A603, "IQ_DILUT_EPS_EXCL",IQ_FY-3))</f>
        <v>0.15</v>
      </c>
      <c r="G609" s="15">
        <f>IF(A611=A612,_xll.ciqfunctions.udf.CIQ(A603,"IQ_EBITDA_MARGIN",IQ_FY-4), _xll.ciqfunctions.udf.CIQ(A603, "IQ_EBITDA_MARGIN",IQ_FY-3))</f>
        <v>15.194699999999999</v>
      </c>
      <c r="H609" s="15">
        <f>IF(A611=A612,_xll.ciqfunctions.udf.CIQ(A603,"IQ_TOTAL_DIV_PAID_CF",IQ_FY-4)/-I609, _xll.ciqfunctions.udf.CIQ(A603, "IQ_TOTAL_DIV_PAID_CF",IQ_FY-3)/-I609)</f>
        <v>0</v>
      </c>
      <c r="I609" s="17">
        <f>IF(A611=A612,_xll.ciqfunctions.udf.CIQ(A603,"IQ_TOTAL_OUTSTANDING_FILING_DATE",IQ_FY-4), _xll.ciqfunctions.udf.CIQ(A603, "IQ_TOTAL_OUTSTANDING_FILING_DATE",IQ_FY-3))</f>
        <v>895</v>
      </c>
      <c r="J609" s="17">
        <f>IF(A611=A612,_xll.ciqfunctions.udf.CIQ(A603,"IQ_CASH_OPER",IQ_FY-4), _xll.ciqfunctions.udf.CIQ(A603, "IQ_CASH_OPER",IQ_FY-3))</f>
        <v>4331</v>
      </c>
      <c r="K609" s="17">
        <f>IF(A611=A612,_xll.ciqfunctions.udf.CIQ(A603,"IQ_CAPEX",IQ_FY-4), _xll.ciqfunctions.udf.CIQ(A603, "IQ_CAPEX",IQ_FY-3))</f>
        <v>-643</v>
      </c>
      <c r="L609" s="15">
        <f t="shared" si="160"/>
        <v>4.1206703910614522</v>
      </c>
      <c r="M609" s="17">
        <f>IF(A611=A612,_xll.ciqfunctions.udf.CIQ(A603,"IQ_TOTAL_DEBT_ISSUED",IQ_FY-4), _xll.ciqfunctions.udf.CIQ(A603, "IQ_TOTAL_DEBT_ISSUED",IQ_FY-3))</f>
        <v>0</v>
      </c>
      <c r="N609" s="17">
        <f>IF(A611=A612,_xll.ciqfunctions.udf.CIQ(A603,"IQ_TOTAL_DEBT_REPAID",IQ_FY-4), _xll.ciqfunctions.udf.CIQ(A603, "IQ_TOTAL_DEBT_REPAID",IQ_FY-3))</f>
        <v>-676</v>
      </c>
      <c r="O609" s="15">
        <f t="shared" si="161"/>
        <v>-0.75530726256983238</v>
      </c>
      <c r="P609" s="15">
        <f t="shared" si="162"/>
        <v>3.3653631284916199</v>
      </c>
      <c r="Q609" s="18"/>
      <c r="R609" s="38" t="s">
        <v>29</v>
      </c>
      <c r="S609" s="4">
        <f>(AVERAGE(P608:P613)/_xlfn.STDEV.P(P608:P613))/(IF(A611=A612,(_xlfn.SINGLE(_xll.ciqfunctions.udf.CIQ(A603,"IQ_total_assets",IQ_FY)) - _xlfn.SINGLE(_xll.ciqfunctions.udf.CIQ(A603,"iq_gw_intan", IQ_FY)))/I613, (_xlfn.SINGLE(_xll.ciqfunctions.udf.CIQ(A603, "IQ_total_assets",IQ_LTM))-_xlfn.SINGLE(_xll.ciqfunctions.udf.CIQ(A603,"iq_gw_intan",IQ_LTM)))/I613))</f>
        <v>5.728652077761593E-2</v>
      </c>
      <c r="U609" s="18"/>
      <c r="V609" s="38" t="s">
        <v>29</v>
      </c>
      <c r="W609" s="4">
        <f>(AVERAGE(P608:P613)/_xlfn.STDEV.P(P608:P613))/(IF(A611=A612,(_xlfn.SINGLE(_xll.ciqfunctions.udf.CIQ(A603,"IQ_total_assets",IQ_FY)) - _xlfn.SINGLE(_xll.ciqfunctions.udf.CIQ(A603,"iq_gw_intan", IQ_FY)))/I613, (_xlfn.SINGLE(_xll.ciqfunctions.udf.CIQ(A603, "IQ_total_assets",IQ_LTM))-_xlfn.SINGLE(_xll.ciqfunctions.udf.CIQ(A603,"iq_gw_intan",IQ_LTM)))/I613))</f>
        <v>5.728652077761593E-2</v>
      </c>
      <c r="Y609" s="18"/>
      <c r="Z609" s="38" t="s">
        <v>29</v>
      </c>
      <c r="AA609" s="4">
        <f>(AVERAGE(P608:P613)/_xlfn.STDEV.P(P608:P613))/(IF(A611=A612,(_xlfn.SINGLE(_xll.ciqfunctions.udf.CIQ(A603,"IQ_total_assets",IQ_FY)) - _xlfn.SINGLE(_xll.ciqfunctions.udf.CIQ(A603,"iq_gw_intan", IQ_FY)))/I613, (_xlfn.SINGLE(_xll.ciqfunctions.udf.CIQ(A603, "IQ_total_assets",IQ_LTM))-_xlfn.SINGLE(_xll.ciqfunctions.udf.CIQ(A603,"iq_gw_intan",IQ_LTM)))/I613))</f>
        <v>5.728652077761593E-2</v>
      </c>
    </row>
    <row r="610" spans="1:27">
      <c r="A610" s="18"/>
      <c r="B610" s="13">
        <v>8</v>
      </c>
      <c r="C610" s="14" t="s">
        <v>30</v>
      </c>
      <c r="D610" s="15" cm="1">
        <f t="array" ref="D610">_xlfn.SINGLE(IF(A611=A612,_xll.ciqfunctions.udf.CIQ(A603,"IQ_TOTAL_REV",IQ_FY-3)/I610, _xll.ciqfunctions.udf.CIQ(A603, "IQ_TOTAL_REV",IQ_FY-2)/I610))</f>
        <v>23.074918566775246</v>
      </c>
      <c r="E610" s="16">
        <f t="shared" si="163"/>
        <v>0.20786361663725836</v>
      </c>
      <c r="F610" s="15">
        <f>IF(A611=A612,_xll.ciqfunctions.udf.CIQ(A603,"IQ_DILUT_EPS_EXCL",IQ_FY-3), _xll.ciqfunctions.udf.CIQ(A603, "IQ_DILUT_EPS_EXCL",IQ_FY-2))</f>
        <v>4.38</v>
      </c>
      <c r="G610" s="15">
        <f>IF(A611=A612,_xll.ciqfunctions.udf.CIQ(A603,"IQ_EBITDA_MARGIN",IQ_FY-3), _xll.ciqfunctions.udf.CIQ(A603, "IQ_EBITDA_MARGIN",IQ_FY-2))</f>
        <v>15.5326</v>
      </c>
      <c r="H610" s="15">
        <f>IF(A611=A612,_xll.ciqfunctions.udf.CIQ(A603,"IQ_TOTAL_DIV_PAID_CF",IQ_FY-3)/-I610, _xll.ciqfunctions.udf.CIQ(A603, "IQ_TOTAL_DIV_PAID_CF",IQ_FY-2)/-I610)</f>
        <v>0</v>
      </c>
      <c r="I610" s="17">
        <f>IF(A611=A612,_xll.ciqfunctions.udf.CIQ(A603,"IQ_TOTAL_OUTSTANDING_FILING_DATE",IQ_FY-3), _xll.ciqfunctions.udf.CIQ(A603, "IQ_TOTAL_OUTSTANDING_FILING_DATE",IQ_FY-2))</f>
        <v>921</v>
      </c>
      <c r="J610" s="17">
        <f>IF(A611=A612,_xll.ciqfunctions.udf.CIQ(A603,"IQ_CASH_OPER",IQ_FY-3), _xll.ciqfunctions.udf.CIQ(A603, "IQ_CASH_OPER",IQ_FY-2))</f>
        <v>4801</v>
      </c>
      <c r="K610" s="17">
        <f>IF(A611=A612,_xll.ciqfunctions.udf.CIQ(A603,"IQ_CAPEX",IQ_FY-3), _xll.ciqfunctions.udf.CIQ(A603, "IQ_CAPEX",IQ_FY-2))</f>
        <v>-710</v>
      </c>
      <c r="L610" s="15">
        <f t="shared" si="160"/>
        <v>4.4419109663409335</v>
      </c>
      <c r="M610" s="17">
        <f>IF(A611=A612,_xll.ciqfunctions.udf.CIQ(A603,"IQ_TOTAL_DEBT_ISSUED",IQ_FY-3), _xll.ciqfunctions.udf.CIQ(A603, "IQ_TOTAL_DEBT_ISSUED",IQ_FY-2))</f>
        <v>0</v>
      </c>
      <c r="N610" s="17">
        <f>IF(A611=A612,_xll.ciqfunctions.udf.CIQ(A603,"IQ_TOTAL_DEBT_REPAID",IQ_FY-3), _xll.ciqfunctions.udf.CIQ(A603, "IQ_TOTAL_DEBT_REPAID",IQ_FY-2))</f>
        <v>-107</v>
      </c>
      <c r="O610" s="15">
        <f t="shared" si="161"/>
        <v>-0.11617806731813246</v>
      </c>
      <c r="P610" s="15">
        <f t="shared" si="162"/>
        <v>4.3257328990228014</v>
      </c>
      <c r="Q610" s="18"/>
      <c r="R610" s="39" t="s">
        <v>31</v>
      </c>
      <c r="S610" s="5">
        <f>IF(NOT(D603&gt;0),FALSE,SLOPE(G603:G613,B603:B613))</f>
        <v>1.8961172727272728</v>
      </c>
      <c r="U610" s="18"/>
      <c r="V610" s="39" t="s">
        <v>31</v>
      </c>
      <c r="W610" s="5">
        <f>IF(NOT(D603&gt;0),FALSE,SLOPE(G603:G613,B603:B613))</f>
        <v>1.8961172727272728</v>
      </c>
      <c r="Y610" s="18"/>
      <c r="Z610" s="39" t="s">
        <v>31</v>
      </c>
      <c r="AA610" s="5">
        <f>IF(NOT(L603&gt;0),FALSE,SLOPE(O603:O613,J603:J613))</f>
        <v>-1.598408257439092E-5</v>
      </c>
    </row>
    <row r="611" spans="1:27">
      <c r="A611" s="19">
        <f>_xll.ciqfunctions.udf.CIQ(A603,"IQ_TOTAL_REV",IQ_FY)</f>
        <v>31352</v>
      </c>
      <c r="B611" s="13">
        <v>9</v>
      </c>
      <c r="C611" s="14" t="s">
        <v>32</v>
      </c>
      <c r="D611" s="15" cm="1">
        <f t="array" ref="D611">_xlfn.SINGLE(IF(A611=A612,_xll.ciqfunctions.udf.CIQ(A603,"IQ_TOTAL_REV",IQ_FY-2)/I611, _xll.ciqfunctions.udf.CIQ(A603, "IQ_TOTAL_REV",IQ_FY-1)/I611))</f>
        <v>26.759595959595959</v>
      </c>
      <c r="E611" s="16">
        <f t="shared" si="163"/>
        <v>0.1596832241101015</v>
      </c>
      <c r="F611" s="15">
        <f>IF(A611=A612,_xll.ciqfunctions.udf.CIQ(A603,"IQ_DILUT_EPS_EXCL",IQ_FY-2), _xll.ciqfunctions.udf.CIQ(A603, "IQ_DILUT_EPS_EXCL",IQ_FY-1))</f>
        <v>1.48</v>
      </c>
      <c r="G611" s="15">
        <f>IF(A611=A612,_xll.ciqfunctions.udf.CIQ(A603,"IQ_EBITDA_MARGIN",IQ_FY-2), _xll.ciqfunctions.udf.CIQ(A603, "IQ_EBITDA_MARGIN",IQ_FY-1))</f>
        <v>14.721399999999999</v>
      </c>
      <c r="H611" s="15">
        <f>IF(A611=A612,_xll.ciqfunctions.udf.CIQ(A603,"IQ_TOTAL_DIV_PAID_CF",IQ_FY-2)/-I611, _xll.ciqfunctions.udf.CIQ(A603, "IQ_TOTAL_DIV_PAID_CF",IQ_FY-1)/-I611)</f>
        <v>0</v>
      </c>
      <c r="I611" s="17">
        <f>IF(A611=A612,_xll.ciqfunctions.udf.CIQ(A603,"IQ_TOTAL_OUTSTANDING_FILING_DATE",IQ_FY-2), _xll.ciqfunctions.udf.CIQ(A603, "IQ_TOTAL_OUTSTANDING_FILING_DATE",IQ_FY-1))</f>
        <v>990</v>
      </c>
      <c r="J611" s="17">
        <f>IF(A611=A612,_xll.ciqfunctions.udf.CIQ(A603,"IQ_CASH_OPER",IQ_FY-2), _xll.ciqfunctions.udf.CIQ(A603, "IQ_CASH_OPER",IQ_FY-1))</f>
        <v>6000</v>
      </c>
      <c r="K611" s="17">
        <f>IF(A611=A612,_xll.ciqfunctions.udf.CIQ(A603,"IQ_CAPEX",IQ_FY-2), _xll.ciqfunctions.udf.CIQ(A603, "IQ_CAPEX",IQ_FY-1))</f>
        <v>-717</v>
      </c>
      <c r="L611" s="15">
        <f t="shared" si="160"/>
        <v>5.336363636363636</v>
      </c>
      <c r="M611" s="17">
        <f>IF(A611=A612,_xll.ciqfunctions.udf.CIQ(A603,"IQ_TOTAL_DEBT_ISSUED",IQ_FY-2), _xll.ciqfunctions.udf.CIQ(A603, "IQ_TOTAL_DEBT_ISSUED",IQ_FY-1))</f>
        <v>7906</v>
      </c>
      <c r="N611" s="17">
        <f>IF(A611=A612,_xll.ciqfunctions.udf.CIQ(A603,"IQ_TOTAL_DEBT_REPAID",IQ_FY-2), _xll.ciqfunctions.udf.CIQ(A603, "IQ_TOTAL_DEBT_REPAID",IQ_FY-1))</f>
        <v>-1357</v>
      </c>
      <c r="O611" s="15">
        <f t="shared" si="161"/>
        <v>6.6151515151515152</v>
      </c>
      <c r="P611" s="15">
        <f t="shared" si="162"/>
        <v>11.951515151515151</v>
      </c>
      <c r="Q611" s="25" t="s">
        <v>33</v>
      </c>
      <c r="R611" s="38" t="s">
        <v>52</v>
      </c>
      <c r="S611" s="4">
        <f>(AVERAGE(O608:O613)/AVERAGE(P608:P613))</f>
        <v>0.13850655418140628</v>
      </c>
      <c r="U611" s="25" t="s">
        <v>54</v>
      </c>
      <c r="V611" s="38" t="s">
        <v>52</v>
      </c>
      <c r="W611" s="4">
        <f>(AVERAGE(O608:O613)/AVERAGE(P608:P613))</f>
        <v>0.13850655418140628</v>
      </c>
      <c r="Y611" s="25" t="s">
        <v>60</v>
      </c>
      <c r="Z611" s="38" t="s">
        <v>52</v>
      </c>
      <c r="AA611" s="4">
        <f>(AVERAGE(O608:O613)/AVERAGE(P608:P613))</f>
        <v>0.13850655418140628</v>
      </c>
    </row>
    <row r="612" spans="1:27">
      <c r="A612" s="19">
        <f>_xll.ciqfunctions.udf.CIQ(A603,"IQ_TOTAL_REV",IQ_LTM)</f>
        <v>33071</v>
      </c>
      <c r="B612" s="13">
        <v>10</v>
      </c>
      <c r="C612" s="14" t="s">
        <v>34</v>
      </c>
      <c r="D612" s="15" cm="1">
        <f t="array" ref="D612">_xlfn.SINGLE(IF(A611=A612,_xll.ciqfunctions.udf.CIQ(A603,"IQ_TOTAL_REV",IQ_FY-1)/I612, _xll.ciqfunctions.udf.CIQ(A603, "IQ_TOTAL_REV",IQ_FY)/I612))</f>
        <v>31.352</v>
      </c>
      <c r="E612" s="16">
        <f t="shared" si="163"/>
        <v>0.17161709195228753</v>
      </c>
      <c r="F612" s="15">
        <f>IF(A611=A612,_xll.ciqfunctions.udf.CIQ(A603,"IQ_DILUT_EPS_EXCL",IQ_FY-1), _xll.ciqfunctions.udf.CIQ(A603, "IQ_DILUT_EPS_EXCL",IQ_FY))</f>
        <v>0.20968000000000001</v>
      </c>
      <c r="G612" s="15">
        <f>IF(A611=A612,_xll.ciqfunctions.udf.CIQ(A603,"IQ_EBITDA_MARGIN",IQ_FY-1), _xll.ciqfunctions.udf.CIQ(A603, "IQ_EBITDA_MARGIN",IQ_FY))</f>
        <v>17.3386</v>
      </c>
      <c r="H612" s="15">
        <f>IF(A611=A612,_xll.ciqfunctions.udf.CIQ(A603,"IQ_TOTAL_DIV_PAID_CF",IQ_FY-1)/-I612, _xll.ciqfunctions.udf.CIQ(A603, "IQ_TOTAL_DIV_PAID_CF",IQ_FY)/-I612)</f>
        <v>0</v>
      </c>
      <c r="I612" s="17">
        <f>IF(A611=A612,_xll.ciqfunctions.udf.CIQ(A603,"IQ_TOTAL_OUTSTANDING_FILING_DATE",IQ_FY-1), _xll.ciqfunctions.udf.CIQ(A603, "IQ_TOTAL_OUTSTANDING_FILING_DATE",IQ_FY))</f>
        <v>1000</v>
      </c>
      <c r="J612" s="17">
        <f>IF(A611=A612,_xll.ciqfunctions.udf.CIQ(A603,"IQ_CASH_OPER",IQ_FY-1), _xll.ciqfunctions.udf.CIQ(A603, "IQ_CASH_OPER",IQ_FY))</f>
        <v>7111</v>
      </c>
      <c r="K612" s="17">
        <f>IF(A611=A612,_xll.ciqfunctions.udf.CIQ(A603,"IQ_CAPEX",IQ_FY-1), _xll.ciqfunctions.udf.CIQ(A603, "IQ_CAPEX",IQ_FY))</f>
        <v>-798</v>
      </c>
      <c r="L612" s="15">
        <f t="shared" si="160"/>
        <v>6.3129999999999997</v>
      </c>
      <c r="M612" s="17">
        <f>IF(A611=A612,_xll.ciqfunctions.udf.CIQ(A603,"IQ_TOTAL_DEBT_ISSUED",IQ_FY-1), _xll.ciqfunctions.udf.CIQ(A603, "IQ_TOTAL_DEBT_ISSUED",IQ_FY))</f>
        <v>0</v>
      </c>
      <c r="N612" s="17">
        <f>IF(A611=A612,_xll.ciqfunctions.udf.CIQ(A603,"IQ_TOTAL_DEBT_REPAID",IQ_FY-1), _xll.ciqfunctions.udf.CIQ(A603, "IQ_TOTAL_DEBT_REPAID",IQ_FY))</f>
        <v>-423</v>
      </c>
      <c r="O612" s="15">
        <f t="shared" si="161"/>
        <v>-0.42299999999999999</v>
      </c>
      <c r="P612" s="15">
        <f t="shared" si="162"/>
        <v>5.89</v>
      </c>
      <c r="Q612" s="25" t="s">
        <v>44</v>
      </c>
      <c r="R612" s="38" t="s">
        <v>35</v>
      </c>
      <c r="S612" s="1">
        <f>_xll.ciqfunctions.udf.CIQ(A603,"IQ_TEV_EBITDA")</f>
        <v>24.707850000000001</v>
      </c>
      <c r="U612" s="25" t="s">
        <v>55</v>
      </c>
      <c r="V612" s="38" t="s">
        <v>53</v>
      </c>
      <c r="W612" s="1">
        <f>V602/(AVERAGE(D608:D613)/_xlfn.STDEV.P(E608:E613))</f>
        <v>0.39800500445326181</v>
      </c>
      <c r="Y612" s="25" t="s">
        <v>57</v>
      </c>
      <c r="Z612" s="38" t="s">
        <v>53</v>
      </c>
      <c r="AA612" s="1">
        <f>Z602/(AVERAGE(D608:D613)/_xlfn.STDEV.P(E608:E613))</f>
        <v>0.39800500445326181</v>
      </c>
    </row>
    <row r="613" spans="1:27">
      <c r="B613" s="13">
        <v>11</v>
      </c>
      <c r="C613" s="20" t="s">
        <v>36</v>
      </c>
      <c r="D613" s="21" cm="1">
        <f t="array" ref="D613">_xlfn.SINGLE(IF(A611=A612,_xll.ciqfunctions.udf.CIQ(A603,"IQ_TOTAL_REV",IQ_FY)/I613, _xll.ciqfunctions.udf.CIQ(A603, "IQ_TOTAL_REV",IQ_LTM)/I613))</f>
        <v>33.988694758478928</v>
      </c>
      <c r="E613" s="22">
        <f t="shared" si="163"/>
        <v>8.4099730750157184E-2</v>
      </c>
      <c r="F613" s="21">
        <f>IF(A611=A612,_xll.ciqfunctions.udf.CIQ(A603,"IQ_DILUT_EPS_EXCL",IQ_FY), _xll.ciqfunctions.udf.CIQ(A603, "IQ_DILUT_EPS_EXCL",IQ_LTM))</f>
        <v>1.5958600000000001</v>
      </c>
      <c r="G613" s="21">
        <f>IF(A611=A612,_xll.ciqfunctions.udf.CIQ(A603,"IQ_EBITDA_MARGIN",IQ_FY), _xll.ciqfunctions.udf.CIQ(A603, "IQ_EBITDA_MARGIN",IQ_LTM))</f>
        <v>23.295300000000001</v>
      </c>
      <c r="H613" s="21">
        <f>IF(A611=A612,_xll.ciqfunctions.udf.CIQ(A603,"IQ_TOTAL_DIV_PAID_CF",IQ_FY)/-I613, _xll.ciqfunctions.udf.CIQ(A603, "IQ_TOTAL_DIV_PAID_CF",IQ_LTM)/-I613)</f>
        <v>0</v>
      </c>
      <c r="I613" s="23">
        <f>IF(A611=A612,_xll.ciqfunctions.udf.CIQ(A603,"IQ_TOTAL_OUTSTANDING_FILING_DATE",IQ_FY),_xll.ciqfunctions.udf.CIQ(A603,"IQ_sharesoutstanding"))</f>
        <v>973</v>
      </c>
      <c r="J613" s="23">
        <f>IF(A611=A612,_xll.ciqfunctions.udf.CIQ(A603,"IQ_CASH_OPER",IQ_FY), _xll.ciqfunctions.udf.CIQ(A603, "IQ_CASH_OPER",IQ_LTM))</f>
        <v>8400</v>
      </c>
      <c r="K613" s="23">
        <f>IF(A611=A612,_xll.ciqfunctions.udf.CIQ(A603,"IQ_CAPEX",IQ_FY), _xll.ciqfunctions.udf.CIQ(A603, "IQ_CAPEX",IQ_LTM))</f>
        <v>-839</v>
      </c>
      <c r="L613" s="21">
        <f t="shared" si="160"/>
        <v>7.7708119218910587</v>
      </c>
      <c r="M613" s="23">
        <f>IF(A611=A612,_xll.ciqfunctions.udf.CIQ(A603,"IQ_TOTAL_DEBT_ISSUED",IQ_FY), _xll.ciqfunctions.udf.CIQ(A603, "IQ_TOTAL_DEBT_ISSUED",IQ_LTM))</f>
        <v>0</v>
      </c>
      <c r="N613" s="23">
        <f>IF(A611=A612,_xll.ciqfunctions.udf.CIQ(A603,"IQ_TOTAL_DEBT_REPAID",IQ_FY), _xll.ciqfunctions.udf.CIQ(A603, "IQ_TOTAL_DEBT_REPAID",IQ_LTM))</f>
        <v>-1879</v>
      </c>
      <c r="O613" s="21">
        <f t="shared" si="161"/>
        <v>-1.9311408016443987</v>
      </c>
      <c r="P613" s="21">
        <f t="shared" si="162"/>
        <v>5.8396711202466598</v>
      </c>
      <c r="Q613" s="25" t="s">
        <v>45</v>
      </c>
      <c r="S613" s="45"/>
      <c r="U613" s="25"/>
      <c r="W613" s="45"/>
      <c r="Y613" s="25"/>
      <c r="AA613" s="45"/>
    </row>
    <row r="614" spans="1:27">
      <c r="B614" s="24"/>
      <c r="C614" s="25" t="s">
        <v>37</v>
      </c>
      <c r="E614" s="26">
        <f>((D613/D608)^(1/5))-1</f>
        <v>0.14557908968264388</v>
      </c>
      <c r="F614" s="27">
        <f>((F613/F608)^(1/5))-1</f>
        <v>2.2190288093226096E-2</v>
      </c>
      <c r="G614" s="28"/>
      <c r="H614" s="27" t="e">
        <f>((H613/H608)^(1/5))-1</f>
        <v>#DIV/0!</v>
      </c>
      <c r="I614" s="27">
        <f>((I613/I608)^(1/5))-1</f>
        <v>4.7639084666477816E-2</v>
      </c>
      <c r="J614" s="27"/>
      <c r="K614" s="27"/>
      <c r="L614" s="26">
        <f>((L613/L608)^(1/5))-1</f>
        <v>0.16407117593951548</v>
      </c>
      <c r="M614" s="26"/>
      <c r="N614" s="26"/>
      <c r="O614" s="26"/>
      <c r="P614" s="26">
        <f>((P613/P608)^(1/5))-1</f>
        <v>1.8453781821070159E-2</v>
      </c>
      <c r="Q614" s="18"/>
      <c r="R614" s="36"/>
      <c r="S614" s="45"/>
      <c r="U614" s="18"/>
      <c r="V614" s="36"/>
      <c r="W614" s="45"/>
      <c r="Y614" s="18"/>
      <c r="Z614" s="36"/>
      <c r="AA614" s="45"/>
    </row>
    <row r="615" spans="1:27">
      <c r="A615" s="29"/>
      <c r="B615" s="30"/>
      <c r="C615" s="31" t="s">
        <v>38</v>
      </c>
      <c r="D615" s="29"/>
      <c r="E615" s="32">
        <f>((D613/D603)^(1/10))-1</f>
        <v>0.17681032407283981</v>
      </c>
      <c r="F615" s="33" t="e">
        <f>((F613/F603)^(1/10))-1</f>
        <v>#NUM!</v>
      </c>
      <c r="G615" s="34"/>
      <c r="H615" s="33" t="e">
        <f>((H613/H603)^(1/10))-1</f>
        <v>#DIV/0!</v>
      </c>
      <c r="I615" s="33">
        <f>((I613/I603)^(1/10))-1</f>
        <v>4.7775214200963756E-2</v>
      </c>
      <c r="J615" s="33"/>
      <c r="K615" s="33"/>
      <c r="L615" s="32">
        <f>((L613/L603)^(1/10))-1</f>
        <v>0.23458357611217018</v>
      </c>
      <c r="M615" s="32"/>
      <c r="N615" s="32"/>
      <c r="O615" s="32"/>
      <c r="P615" s="32">
        <f>((P613/P603)^(1/10))-1</f>
        <v>6.2376552479770142E-2</v>
      </c>
      <c r="Q615" s="40"/>
      <c r="R615" s="41"/>
      <c r="S615" s="46"/>
      <c r="U615" s="40"/>
      <c r="V615" s="41"/>
      <c r="W615" s="46"/>
      <c r="Y615" s="40"/>
      <c r="Z615" s="41"/>
      <c r="AA615" s="46"/>
    </row>
    <row r="616" spans="1:27">
      <c r="B616" s="24"/>
      <c r="C616" s="25"/>
      <c r="E616" s="26"/>
      <c r="F616" s="27"/>
      <c r="G616" s="28"/>
      <c r="H616" s="27"/>
      <c r="I616" s="27"/>
      <c r="J616" s="27"/>
      <c r="K616" s="27"/>
      <c r="L616" s="26"/>
      <c r="M616" s="17"/>
      <c r="N616" s="17"/>
      <c r="O616" s="17"/>
      <c r="P616" s="35"/>
      <c r="Q616" s="18"/>
      <c r="R616" s="36"/>
    </row>
    <row r="617" spans="1:27">
      <c r="A617" s="9" t="s">
        <v>0</v>
      </c>
      <c r="B617" s="10"/>
      <c r="C617" s="9" t="s">
        <v>1</v>
      </c>
      <c r="D617" s="9" t="s">
        <v>2</v>
      </c>
      <c r="E617" s="9" t="s">
        <v>3</v>
      </c>
      <c r="F617" s="11" t="s">
        <v>4</v>
      </c>
      <c r="G617" s="11" t="s">
        <v>5</v>
      </c>
      <c r="H617" s="9" t="s">
        <v>6</v>
      </c>
      <c r="I617" s="11" t="s">
        <v>7</v>
      </c>
      <c r="J617" s="11" t="s">
        <v>8</v>
      </c>
      <c r="K617" s="11" t="s">
        <v>9</v>
      </c>
      <c r="L617" s="11" t="s">
        <v>10</v>
      </c>
      <c r="M617" s="11" t="s">
        <v>11</v>
      </c>
      <c r="N617" s="11" t="s">
        <v>12</v>
      </c>
      <c r="O617" s="11" t="s">
        <v>13</v>
      </c>
      <c r="P617" s="11" t="s">
        <v>14</v>
      </c>
      <c r="Q617" s="37" t="s">
        <v>15</v>
      </c>
      <c r="R617" s="42">
        <f>_xll.ciqfunctions.udf.CIQ(A618,("IQ_LASTSALEPRICE"))</f>
        <v>564.54499999999996</v>
      </c>
      <c r="S617" s="44"/>
      <c r="U617" s="37" t="s">
        <v>15</v>
      </c>
      <c r="V617" s="42">
        <f>_xll.ciqfunctions.udf.CIQ(A618,("IQ_LASTSALEPRICE"))</f>
        <v>564.54499999999996</v>
      </c>
      <c r="W617" s="44"/>
      <c r="Y617" s="37" t="s">
        <v>15</v>
      </c>
      <c r="Z617" s="42">
        <f>_xll.ciqfunctions.udf.CIQ(A618,("IQ_LASTSALEPRICE"))</f>
        <v>564.54499999999996</v>
      </c>
      <c r="AA617" s="44"/>
    </row>
    <row r="618" spans="1:27">
      <c r="A618" s="12" t="str">
        <f>Analysis!B43</f>
        <v>NasdaqGS:INTU</v>
      </c>
      <c r="B618" s="13">
        <v>1</v>
      </c>
      <c r="C618" s="14" t="s">
        <v>16</v>
      </c>
      <c r="D618" s="15">
        <f>IF(A626=A627,_xll.ciqfunctions.udf.CIQ(A618,"IQ_TOTAL_REV",IQ_FY-10)/I618,_xll.ciqfunctions.udf.CIQ(A618, "IQ_TOTAL_REV",IQ_FY-9)/I618)</f>
        <v>13.957625695387588</v>
      </c>
      <c r="E618" s="16"/>
      <c r="F618" s="15">
        <f>IF(A626=A627,_xll.ciqfunctions.udf.CIQ(A618,"IQ_DILUT_EPS_EXCL",IQ_FY-10), _xll.ciqfunctions.udf.CIQ(A618, "IQ_DILUT_EPS_EXCL",IQ_FY-9))</f>
        <v>2.66</v>
      </c>
      <c r="G618" s="15">
        <f>IF(A626=A627,_xll.ciqfunctions.udf.CIQ(A618,"IQ_EBITDA_MARGIN",IQ_FY-10), _xll.ciqfunctions.udf.CIQ(A618, "IQ_EBITDA_MARGIN",IQ_FY-9))</f>
        <v>36.163200000000003</v>
      </c>
      <c r="H618" s="15">
        <f>IF(A626=A627,_xll.ciqfunctions.udf.CIQ(A618,"IQ_TOTAL_DIV_PAID_CF",IQ_FY-10)/-I618, _xll.ciqfunctions.udf.CIQ(A618, "IQ_TOTAL_DIV_PAID_CF",IQ_FY-9)/-I618)</f>
        <v>0.71804308569784092</v>
      </c>
      <c r="I618" s="17">
        <f>IF(A626=A627,_xll.ciqfunctions.udf.CIQ(A618,"IQ_TOTAL_OUTSTANDING_FILING_DATE",IQ_FY-10), _xll.ciqfunctions.udf.CIQ(A618, "IQ_TOTAL_OUTSTANDING_FILING_DATE",IQ_FY-9))</f>
        <v>282.71284000000003</v>
      </c>
      <c r="J618" s="17">
        <f>IF(A626=A627,_xll.ciqfunctions.udf.CIQ(A618,"IQ_CASH_OPER",IQ_FY-10), _xll.ciqfunctions.udf.CIQ(A618, "IQ_CASH_OPER",IQ_FY-9))</f>
        <v>1366</v>
      </c>
      <c r="K618" s="17">
        <f>IF(A626=A627,_xll.ciqfunctions.udf.CIQ(A618,"IQ_CAPEX",IQ_FY-10), _xll.ciqfunctions.udf.CIQ(A618, "IQ_CAPEX",IQ_FY-9))</f>
        <v>-129</v>
      </c>
      <c r="L618" s="15">
        <f t="shared" ref="L618:L628" si="164">(J618+K618)/I618</f>
        <v>4.3754645172819169</v>
      </c>
      <c r="M618" s="17">
        <f>IF(A626=A627,_xll.ciqfunctions.udf.CIQ(A618,"IQ_TOTAL_DEBT_ISSUED",IQ_FY-10), _xll.ciqfunctions.udf.CIQ(A618, "IQ_TOTAL_DEBT_ISSUED",IQ_FY-9))</f>
        <v>0</v>
      </c>
      <c r="N618" s="17">
        <f>IF(A626=A627,_xll.ciqfunctions.udf.CIQ(A618,"IQ_TOTAL_DEBT_REPAID",IQ_FY-10), _xll.ciqfunctions.udf.CIQ(A618, "IQ_TOTAL_DEBT_REPAID",IQ_FY-9))</f>
        <v>0</v>
      </c>
      <c r="O618" s="15">
        <f t="shared" ref="O618:O628" si="165">(M618+N618)/I618</f>
        <v>0</v>
      </c>
      <c r="P618" s="15">
        <f t="shared" ref="P618:P628" si="166">L618+O618</f>
        <v>4.3754645172819169</v>
      </c>
      <c r="W618" s="43"/>
      <c r="AA618" s="43"/>
    </row>
    <row r="619" spans="1:27">
      <c r="A619" s="18" t="str">
        <f>_xll.ciqfunctions.udf.CIQ(A618,"IQ_COMPANY_NAME")</f>
        <v>Intuit Inc.</v>
      </c>
      <c r="B619" s="13">
        <v>2</v>
      </c>
      <c r="C619" s="14" t="s">
        <v>17</v>
      </c>
      <c r="D619" s="15">
        <f>IF(A626=A627,_xll.ciqfunctions.udf.CIQ(A618,"IQ_TOTAL_REV",IQ_FY-9)/I619, _xll.ciqfunctions.udf.CIQ(A618, "IQ_TOTAL_REV",IQ_FY-8)/I619)</f>
        <v>14.859555487411807</v>
      </c>
      <c r="E619" s="16">
        <f t="shared" ref="E619:E628" si="167">(D619-D618)/D618</f>
        <v>6.4619141658331589E-2</v>
      </c>
      <c r="F619" s="15">
        <f>IF(A626=A627,_xll.ciqfunctions.udf.CIQ(A618,"IQ_DILUT_EPS_EXCL",IQ_FY-9), _xll.ciqfunctions.udf.CIQ(A618, "IQ_DILUT_EPS_EXCL",IQ_FY-8))</f>
        <v>2.94</v>
      </c>
      <c r="G619" s="15">
        <f>IF(A626=A627,_xll.ciqfunctions.udf.CIQ(A618,"IQ_EBITDA_MARGIN",IQ_FY-9), _xll.ciqfunctions.udf.CIQ(A618, "IQ_EBITDA_MARGIN",IQ_FY-8))</f>
        <v>34.857399999999998</v>
      </c>
      <c r="H619" s="15">
        <f>IF(A626=A627,_xll.ciqfunctions.udf.CIQ(A618,"IQ_TOTAL_DIV_PAID_CF",IQ_FY-9)/-I619, _xll.ciqfunctions.udf.CIQ(A618, "IQ_TOTAL_DIV_PAID_CF",IQ_FY-8)/-I619)</f>
        <v>0.7704695279827003</v>
      </c>
      <c r="I619" s="17">
        <f>IF(A626=A627,_xll.ciqfunctions.udf.CIQ(A618,"IQ_TOTAL_OUTSTANDING_FILING_DATE",IQ_FY-9), _xll.ciqfunctions.udf.CIQ(A618, "IQ_TOTAL_OUTSTANDING_FILING_DATE",IQ_FY-8))</f>
        <v>285.54016999999999</v>
      </c>
      <c r="J619" s="17">
        <f>IF(A626=A627,_xll.ciqfunctions.udf.CIQ(A618,"IQ_CASH_OPER",IQ_FY-9), _xll.ciqfunctions.udf.CIQ(A618, "IQ_CASH_OPER",IQ_FY-8))</f>
        <v>1446</v>
      </c>
      <c r="K619" s="17">
        <f>IF(A626=A627,_xll.ciqfunctions.udf.CIQ(A618,"IQ_CAPEX",IQ_FY-9), _xll.ciqfunctions.udf.CIQ(A618, "IQ_CAPEX",IQ_FY-8))</f>
        <v>-104</v>
      </c>
      <c r="L619" s="15">
        <f t="shared" si="164"/>
        <v>4.699864120694472</v>
      </c>
      <c r="M619" s="17">
        <f>IF(A626=A627,_xll.ciqfunctions.udf.CIQ(A618,"IQ_TOTAL_DEBT_ISSUED",IQ_FY-9), _xll.ciqfunctions.udf.CIQ(A618, "IQ_TOTAL_DEBT_ISSUED",IQ_FY-8))</f>
        <v>0</v>
      </c>
      <c r="N619" s="17">
        <f>IF(A626=A627,_xll.ciqfunctions.udf.CIQ(A618,"IQ_TOTAL_DEBT_REPAID",IQ_FY-9), _xll.ciqfunctions.udf.CIQ(A618, "IQ_TOTAL_DEBT_REPAID",IQ_FY-8))</f>
        <v>0</v>
      </c>
      <c r="O619" s="15">
        <f t="shared" si="165"/>
        <v>0</v>
      </c>
      <c r="P619" s="15">
        <f t="shared" si="166"/>
        <v>4.699864120694472</v>
      </c>
      <c r="Q619" s="25" t="s">
        <v>18</v>
      </c>
      <c r="R619" s="39" t="s">
        <v>19</v>
      </c>
      <c r="S619" s="1">
        <f>R617/((AVERAGE(P623:P628))*(1+E629)^3)</f>
        <v>23.870599574342442</v>
      </c>
      <c r="U619" s="25" t="s">
        <v>48</v>
      </c>
      <c r="V619" s="39" t="s">
        <v>19</v>
      </c>
      <c r="W619" s="1">
        <f>V617/((AVERAGE(P623:P628))*(1+E629)^3)</f>
        <v>23.870599574342442</v>
      </c>
      <c r="Y619" s="25" t="s">
        <v>39</v>
      </c>
      <c r="Z619" s="39" t="s">
        <v>19</v>
      </c>
      <c r="AA619" s="1">
        <f>Z617/((AVERAGE(P623:P628))*(1+E629)^3)</f>
        <v>23.870599574342442</v>
      </c>
    </row>
    <row r="620" spans="1:27">
      <c r="B620" s="13">
        <v>3</v>
      </c>
      <c r="C620" s="14" t="s">
        <v>20</v>
      </c>
      <c r="D620" s="15" cm="1">
        <f t="array" ref="D620">_xlfn.SINGLE(IF(A626=A627,_xll.ciqfunctions.udf.CIQ(A618,"IQ_TOTAL_REV",IQ_FY-8)/I620, _xll.ciqfunctions.udf.CIQ(A618, "IQ_TOTAL_REV",IQ_FY-7)/I620))</f>
        <v>15.116841246589832</v>
      </c>
      <c r="E620" s="16">
        <f t="shared" si="167"/>
        <v>1.7314499037066292E-2</v>
      </c>
      <c r="F620" s="15">
        <f>IF(A626=A627,_xll.ciqfunctions.udf.CIQ(A618,"IQ_DILUT_EPS_EXCL",IQ_FY-8), _xll.ciqfunctions.udf.CIQ(A618, "IQ_DILUT_EPS_EXCL",IQ_FY-7))</f>
        <v>1.45</v>
      </c>
      <c r="G620" s="15">
        <f>IF(A626=A627,_xll.ciqfunctions.udf.CIQ(A618,"IQ_EBITDA_MARGIN",IQ_FY-8), _xll.ciqfunctions.udf.CIQ(A618, "IQ_EBITDA_MARGIN",IQ_FY-7))</f>
        <v>25.930299999999999</v>
      </c>
      <c r="H620" s="15">
        <f>IF(A626=A627,_xll.ciqfunctions.udf.CIQ(A618,"IQ_TOTAL_DIV_PAID_CF",IQ_FY-8)/-I620, _xll.ciqfunctions.udf.CIQ(A618, "IQ_TOTAL_DIV_PAID_CF",IQ_FY-7)/-I620)</f>
        <v>1.0205310288131972</v>
      </c>
      <c r="I620" s="17">
        <f>IF(A626=A627,_xll.ciqfunctions.udf.CIQ(A618,"IQ_TOTAL_OUTSTANDING_FILING_DATE",IQ_FY-8), _xll.ciqfunctions.udf.CIQ(A618, "IQ_TOTAL_OUTSTANDING_FILING_DATE",IQ_FY-7))</f>
        <v>277.30660999999998</v>
      </c>
      <c r="J620" s="17">
        <f>IF(A626=A627,_xll.ciqfunctions.udf.CIQ(A618,"IQ_CASH_OPER",IQ_FY-8), _xll.ciqfunctions.udf.CIQ(A618, "IQ_CASH_OPER",IQ_FY-7))</f>
        <v>1589</v>
      </c>
      <c r="K620" s="17">
        <f>IF(A626=A627,_xll.ciqfunctions.udf.CIQ(A618,"IQ_CAPEX",IQ_FY-8), _xll.ciqfunctions.udf.CIQ(A618, "IQ_CAPEX",IQ_FY-7))</f>
        <v>-142</v>
      </c>
      <c r="L620" s="15">
        <f t="shared" si="164"/>
        <v>5.218050878772778</v>
      </c>
      <c r="M620" s="17">
        <f>IF(A626=A627,_xll.ciqfunctions.udf.CIQ(A618,"IQ_TOTAL_DEBT_ISSUED",IQ_FY-8), _xll.ciqfunctions.udf.CIQ(A618, "IQ_TOTAL_DEBT_ISSUED",IQ_FY-7))</f>
        <v>0</v>
      </c>
      <c r="N620" s="17">
        <f>IF(A626=A627,_xll.ciqfunctions.udf.CIQ(A618,"IQ_TOTAL_DEBT_REPAID",IQ_FY-8), _xll.ciqfunctions.udf.CIQ(A618, "IQ_TOTAL_DEBT_REPAID",IQ_FY-7))</f>
        <v>0</v>
      </c>
      <c r="O620" s="15">
        <f t="shared" si="165"/>
        <v>0</v>
      </c>
      <c r="P620" s="15">
        <f t="shared" si="166"/>
        <v>5.218050878772778</v>
      </c>
      <c r="Q620" s="25" t="s">
        <v>21</v>
      </c>
      <c r="R620" s="38" t="s">
        <v>49</v>
      </c>
      <c r="S620" s="2">
        <f>(R617*I628)/1000</f>
        <v>158.21909378205001</v>
      </c>
      <c r="U620" s="25" t="s">
        <v>59</v>
      </c>
      <c r="V620" s="38" t="s">
        <v>49</v>
      </c>
      <c r="W620" s="2">
        <f>(V617*I628)/1000</f>
        <v>158.21909378205001</v>
      </c>
      <c r="Y620" s="25" t="s">
        <v>46</v>
      </c>
      <c r="Z620" s="38" t="s">
        <v>49</v>
      </c>
      <c r="AA620" s="2">
        <f>(Z617*I628)/1000</f>
        <v>158.21909378205001</v>
      </c>
    </row>
    <row r="621" spans="1:27">
      <c r="A621" s="18"/>
      <c r="B621" s="13">
        <v>4</v>
      </c>
      <c r="C621" s="14" t="s">
        <v>22</v>
      </c>
      <c r="D621" s="15" cm="1">
        <f t="array" ref="D621">_xlfn.SINGLE(IF(A626=A627,_xll.ciqfunctions.udf.CIQ(A618,"IQ_TOTAL_REV",IQ_FY-7)/I621, _xll.ciqfunctions.udf.CIQ(A618, "IQ_TOTAL_REV",IQ_FY-6)/I621))</f>
        <v>18.198168126028712</v>
      </c>
      <c r="E621" s="16">
        <f t="shared" si="167"/>
        <v>0.20383404371161126</v>
      </c>
      <c r="F621" s="15">
        <f>IF(A626=A627,_xll.ciqfunctions.udf.CIQ(A618,"IQ_DILUT_EPS_EXCL",IQ_FY-7), _xll.ciqfunctions.udf.CIQ(A618, "IQ_DILUT_EPS_EXCL",IQ_FY-6))</f>
        <v>3.04</v>
      </c>
      <c r="G621" s="15">
        <f>IF(A626=A627,_xll.ciqfunctions.udf.CIQ(A618,"IQ_EBITDA_MARGIN",IQ_FY-7), _xll.ciqfunctions.udf.CIQ(A618, "IQ_EBITDA_MARGIN",IQ_FY-6))</f>
        <v>31.0609</v>
      </c>
      <c r="H621" s="15">
        <f>IF(A626=A627,_xll.ciqfunctions.udf.CIQ(A618,"IQ_TOTAL_DIV_PAID_CF",IQ_FY-7)/-I621, _xll.ciqfunctions.udf.CIQ(A618, "IQ_TOTAL_DIV_PAID_CF",IQ_FY-6)/-I621)</f>
        <v>1.2328541678903133</v>
      </c>
      <c r="I621" s="17">
        <f>IF(A626=A627,_xll.ciqfunctions.udf.CIQ(A618,"IQ_TOTAL_OUTSTANDING_FILING_DATE",IQ_FY-7), _xll.ciqfunctions.udf.CIQ(A618, "IQ_TOTAL_OUTSTANDING_FILING_DATE",IQ_FY-6))</f>
        <v>257.93804999999998</v>
      </c>
      <c r="J621" s="17">
        <f>IF(A626=A627,_xll.ciqfunctions.udf.CIQ(A618,"IQ_CASH_OPER",IQ_FY-7), _xll.ciqfunctions.udf.CIQ(A618, "IQ_CASH_OPER",IQ_FY-6))</f>
        <v>1460</v>
      </c>
      <c r="K621" s="17">
        <f>IF(A626=A627,_xll.ciqfunctions.udf.CIQ(A618,"IQ_CAPEX",IQ_FY-7), _xll.ciqfunctions.udf.CIQ(A618, "IQ_CAPEX",IQ_FY-6))</f>
        <v>-416</v>
      </c>
      <c r="L621" s="15">
        <f t="shared" si="164"/>
        <v>4.0474834945832932</v>
      </c>
      <c r="M621" s="17">
        <f>IF(A626=A627,_xll.ciqfunctions.udf.CIQ(A618,"IQ_TOTAL_DEBT_ISSUED",IQ_FY-7), _xll.ciqfunctions.udf.CIQ(A618, "IQ_TOTAL_DEBT_ISSUED",IQ_FY-6))</f>
        <v>1495</v>
      </c>
      <c r="N621" s="17">
        <f>IF(A626=A627,_xll.ciqfunctions.udf.CIQ(A618,"IQ_TOTAL_DEBT_REPAID",IQ_FY-7), _xll.ciqfunctions.udf.CIQ(A618, "IQ_TOTAL_DEBT_REPAID",IQ_FY-6))</f>
        <v>-995</v>
      </c>
      <c r="O621" s="15">
        <f t="shared" si="165"/>
        <v>1.9384499495130711</v>
      </c>
      <c r="P621" s="15">
        <f t="shared" si="166"/>
        <v>5.9859334440963643</v>
      </c>
      <c r="Q621" s="25" t="s">
        <v>23</v>
      </c>
      <c r="R621" s="38" t="s">
        <v>24</v>
      </c>
      <c r="S621" s="1">
        <f>R617/(AVERAGE(H623:H628)*(1+H629)/(0.5-H629))</f>
        <v>73.87996827733599</v>
      </c>
      <c r="U621" s="25" t="s">
        <v>40</v>
      </c>
      <c r="V621" s="38" t="s">
        <v>24</v>
      </c>
      <c r="W621" s="1">
        <f>V617/(AVERAGE(H623:H628)*(1+H629)/(0.5-H629))</f>
        <v>73.87996827733599</v>
      </c>
      <c r="Y621" s="25" t="s">
        <v>47</v>
      </c>
      <c r="Z621" s="38" t="s">
        <v>24</v>
      </c>
      <c r="AA621" s="1">
        <f>Z617/(AVERAGE(H623:H628)*(1+H629)/(0.5-H629))</f>
        <v>73.87996827733599</v>
      </c>
    </row>
    <row r="622" spans="1:27">
      <c r="B622" s="13">
        <v>5</v>
      </c>
      <c r="C622" s="14" t="s">
        <v>25</v>
      </c>
      <c r="D622" s="15" cm="1">
        <f t="array" ref="D622">_xlfn.SINGLE(IF(A626=A627,_xll.ciqfunctions.udf.CIQ(A618,"IQ_TOTAL_REV",IQ_FY-6)/I622, _xll.ciqfunctions.udf.CIQ(A618, "IQ_TOTAL_REV",IQ_FY-5)/I622))</f>
        <v>20.378588363104402</v>
      </c>
      <c r="E622" s="16">
        <f t="shared" si="167"/>
        <v>0.11981536943584177</v>
      </c>
      <c r="F622" s="15">
        <f>IF(A626=A627,_xll.ciqfunctions.udf.CIQ(A618,"IQ_DILUT_EPS_EXCL",IQ_FY-6), _xll.ciqfunctions.udf.CIQ(A618, "IQ_DILUT_EPS_EXCL",IQ_FY-5))</f>
        <v>3.78</v>
      </c>
      <c r="G622" s="15">
        <f>IF(A626=A627,_xll.ciqfunctions.udf.CIQ(A618,"IQ_EBITDA_MARGIN",IQ_FY-6), _xll.ciqfunctions.udf.CIQ(A618, "IQ_EBITDA_MARGIN",IQ_FY-5))</f>
        <v>31.601199999999999</v>
      </c>
      <c r="H622" s="15">
        <f>IF(A626=A627,_xll.ciqfunctions.udf.CIQ(A618,"IQ_TOTAL_DIV_PAID_CF",IQ_FY-6)/-I622, _xll.ciqfunctions.udf.CIQ(A618, "IQ_TOTAL_DIV_PAID_CF",IQ_FY-5)/-I622)</f>
        <v>1.3844576004957379</v>
      </c>
      <c r="I622" s="17">
        <f>IF(A626=A627,_xll.ciqfunctions.udf.CIQ(A618,"IQ_TOTAL_OUTSTANDING_FILING_DATE",IQ_FY-6), _xll.ciqfunctions.udf.CIQ(A618, "IQ_TOTAL_OUTSTANDING_FILING_DATE",IQ_FY-5))</f>
        <v>254.9735</v>
      </c>
      <c r="J622" s="17">
        <f>IF(A626=A627,_xll.ciqfunctions.udf.CIQ(A618,"IQ_CASH_OPER",IQ_FY-6), _xll.ciqfunctions.udf.CIQ(A618, "IQ_CASH_OPER",IQ_FY-5))</f>
        <v>1599</v>
      </c>
      <c r="K622" s="17">
        <f>IF(A626=A627,_xll.ciqfunctions.udf.CIQ(A618,"IQ_CAPEX",IQ_FY-6), _xll.ciqfunctions.udf.CIQ(A618, "IQ_CAPEX",IQ_FY-5))</f>
        <v>-102</v>
      </c>
      <c r="L622" s="15">
        <f t="shared" si="164"/>
        <v>5.8711983794394316</v>
      </c>
      <c r="M622" s="17">
        <f>IF(A626=A627,_xll.ciqfunctions.udf.CIQ(A618,"IQ_TOTAL_DEBT_ISSUED",IQ_FY-6), _xll.ciqfunctions.udf.CIQ(A618, "IQ_TOTAL_DEBT_ISSUED",IQ_FY-5))</f>
        <v>150</v>
      </c>
      <c r="N622" s="17">
        <f>IF(A626=A627,_xll.ciqfunctions.udf.CIQ(A618,"IQ_TOTAL_DEBT_REPAID",IQ_FY-6), _xll.ciqfunctions.udf.CIQ(A618, "IQ_TOTAL_DEBT_REPAID",IQ_FY-5))</f>
        <v>-662</v>
      </c>
      <c r="O622" s="15">
        <f t="shared" si="165"/>
        <v>-2.0080518171496253</v>
      </c>
      <c r="P622" s="15">
        <f t="shared" si="166"/>
        <v>3.8631465622898062</v>
      </c>
      <c r="Q622" s="18"/>
      <c r="R622" s="38" t="s">
        <v>50</v>
      </c>
      <c r="S622" s="3">
        <f>I629</f>
        <v>1.6160499508339088E-2</v>
      </c>
      <c r="U622" s="18"/>
      <c r="V622" s="38" t="s">
        <v>50</v>
      </c>
      <c r="W622" s="3">
        <f>I629</f>
        <v>1.6160499508339088E-2</v>
      </c>
      <c r="Y622" s="18"/>
      <c r="Z622" s="38" t="s">
        <v>50</v>
      </c>
      <c r="AA622" s="3">
        <f>I629</f>
        <v>1.6160499508339088E-2</v>
      </c>
    </row>
    <row r="623" spans="1:27">
      <c r="B623" s="13">
        <v>6</v>
      </c>
      <c r="C623" s="14" t="s">
        <v>26</v>
      </c>
      <c r="D623" s="15" cm="1">
        <f t="array" ref="D623">_xlfn.SINGLE(IF(A626=A627,_xll.ciqfunctions.udf.CIQ(A618,"IQ_TOTAL_REV",IQ_FY-5)/I623, _xll.ciqfunctions.udf.CIQ(A618, "IQ_TOTAL_REV",IQ_FY-4)/I623))</f>
        <v>23.292079741875046</v>
      </c>
      <c r="E623" s="16">
        <f t="shared" si="167"/>
        <v>0.1429682629070394</v>
      </c>
      <c r="F623" s="15">
        <f>IF(A626=A627,_xll.ciqfunctions.udf.CIQ(A618,"IQ_DILUT_EPS_EXCL",IQ_FY-5), _xll.ciqfunctions.udf.CIQ(A618, "IQ_DILUT_EPS_EXCL",IQ_FY-4))</f>
        <v>5.09</v>
      </c>
      <c r="G623" s="15">
        <f>IF(A626=A627,_xll.ciqfunctions.udf.CIQ(A618,"IQ_EBITDA_MARGIN",IQ_FY-5), _xll.ciqfunctions.udf.CIQ(A618, "IQ_EBITDA_MARGIN",IQ_FY-4))</f>
        <v>29.842300000000002</v>
      </c>
      <c r="H623" s="15">
        <f>IF(A626=A627,_xll.ciqfunctions.udf.CIQ(A618,"IQ_TOTAL_DIV_PAID_CF",IQ_FY-5)/-I623, _xll.ciqfunctions.udf.CIQ(A618, "IQ_TOTAL_DIV_PAID_CF",IQ_FY-4)/-I623)</f>
        <v>1.5734234779988618</v>
      </c>
      <c r="I623" s="17">
        <f>IF(A626=A627,_xll.ciqfunctions.udf.CIQ(A618,"IQ_TOTAL_OUTSTANDING_FILING_DATE",IQ_FY-5), _xll.ciqfunctions.udf.CIQ(A618, "IQ_TOTAL_OUTSTANDING_FILING_DATE",IQ_FY-4))</f>
        <v>258.67162000000002</v>
      </c>
      <c r="J623" s="17">
        <f>IF(A626=A627,_xll.ciqfunctions.udf.CIQ(A618,"IQ_CASH_OPER",IQ_FY-5), _xll.ciqfunctions.udf.CIQ(A618, "IQ_CASH_OPER",IQ_FY-4))</f>
        <v>2112</v>
      </c>
      <c r="K623" s="17">
        <f>IF(A626=A627,_xll.ciqfunctions.udf.CIQ(A618,"IQ_CAPEX",IQ_FY-5), _xll.ciqfunctions.udf.CIQ(A618, "IQ_CAPEX",IQ_FY-4))</f>
        <v>-38</v>
      </c>
      <c r="L623" s="15">
        <f t="shared" si="164"/>
        <v>8.017887698696903</v>
      </c>
      <c r="M623" s="17">
        <f>IF(A626=A627,_xll.ciqfunctions.udf.CIQ(A618,"IQ_TOTAL_DEBT_ISSUED",IQ_FY-5), _xll.ciqfunctions.udf.CIQ(A618, "IQ_TOTAL_DEBT_ISSUED",IQ_FY-4))</f>
        <v>800</v>
      </c>
      <c r="N623" s="17">
        <f>IF(A626=A627,_xll.ciqfunctions.udf.CIQ(A618,"IQ_TOTAL_DEBT_REPAID",IQ_FY-5), _xll.ciqfunctions.udf.CIQ(A618, "IQ_TOTAL_DEBT_REPAID",IQ_FY-4))</f>
        <v>-850</v>
      </c>
      <c r="O623" s="15">
        <f t="shared" si="165"/>
        <v>-0.19329526756742776</v>
      </c>
      <c r="P623" s="15">
        <f t="shared" si="166"/>
        <v>7.8245924311294752</v>
      </c>
      <c r="Q623" s="25" t="s">
        <v>27</v>
      </c>
      <c r="R623" s="38" t="s">
        <v>51</v>
      </c>
      <c r="S623" s="4">
        <f>AVERAGE(F623:F628)/AVERAGE(D623:D628)</f>
        <v>0.19563030914908811</v>
      </c>
      <c r="U623" s="25" t="s">
        <v>58</v>
      </c>
      <c r="V623" s="38" t="s">
        <v>51</v>
      </c>
      <c r="W623" s="4">
        <f>AVERAGE(F623:F628)/AVERAGE(D623:D628)</f>
        <v>0.19563030914908811</v>
      </c>
      <c r="Y623" s="25" t="s">
        <v>56</v>
      </c>
      <c r="Z623" s="38" t="s">
        <v>51</v>
      </c>
      <c r="AA623" s="4">
        <f>AVERAGE(F623:F628)/AVERAGE(D623:D628)</f>
        <v>0.19563030914908811</v>
      </c>
    </row>
    <row r="624" spans="1:27">
      <c r="A624" s="18"/>
      <c r="B624" s="13">
        <v>7</v>
      </c>
      <c r="C624" s="14" t="s">
        <v>28</v>
      </c>
      <c r="D624" s="15" cm="1">
        <f t="array" ref="D624">_xlfn.SINGLE(IF(A626=A627,_xll.ciqfunctions.udf.CIQ(A618,"IQ_TOTAL_REV",IQ_FY-4)/I624, _xll.ciqfunctions.udf.CIQ(A618, "IQ_TOTAL_REV",IQ_FY-3)/I624))</f>
        <v>26.084919640452604</v>
      </c>
      <c r="E624" s="16">
        <f t="shared" si="167"/>
        <v>0.11990513211048841</v>
      </c>
      <c r="F624" s="15">
        <f>IF(A626=A627,_xll.ciqfunctions.udf.CIQ(A618,"IQ_DILUT_EPS_EXCL",IQ_FY-4), _xll.ciqfunctions.udf.CIQ(A618, "IQ_DILUT_EPS_EXCL",IQ_FY-3))</f>
        <v>5.89</v>
      </c>
      <c r="G624" s="15">
        <f>IF(A626=A627,_xll.ciqfunctions.udf.CIQ(A618,"IQ_EBITDA_MARGIN",IQ_FY-4), _xll.ciqfunctions.udf.CIQ(A618, "IQ_EBITDA_MARGIN",IQ_FY-3))</f>
        <v>30.3508</v>
      </c>
      <c r="H624" s="15">
        <f>IF(A626=A627,_xll.ciqfunctions.udf.CIQ(A618,"IQ_TOTAL_DIV_PAID_CF",IQ_FY-4)/-I624, _xll.ciqfunctions.udf.CIQ(A618, "IQ_TOTAL_DIV_PAID_CF",IQ_FY-3)/-I624)</f>
        <v>1.9263774675511136</v>
      </c>
      <c r="I624" s="17">
        <f>IF(A626=A627,_xll.ciqfunctions.udf.CIQ(A618,"IQ_TOTAL_OUTSTANDING_FILING_DATE",IQ_FY-4), _xll.ciqfunctions.udf.CIQ(A618, "IQ_TOTAL_OUTSTANDING_FILING_DATE",IQ_FY-3))</f>
        <v>260.07364000000001</v>
      </c>
      <c r="J624" s="17">
        <f>IF(A626=A627,_xll.ciqfunctions.udf.CIQ(A618,"IQ_CASH_OPER",IQ_FY-4), _xll.ciqfunctions.udf.CIQ(A618, "IQ_CASH_OPER",IQ_FY-3))</f>
        <v>2324</v>
      </c>
      <c r="K624" s="17">
        <f>IF(A626=A627,_xll.ciqfunctions.udf.CIQ(A618,"IQ_CAPEX",IQ_FY-4), _xll.ciqfunctions.udf.CIQ(A618, "IQ_CAPEX",IQ_FY-3))</f>
        <v>-76</v>
      </c>
      <c r="L624" s="15">
        <f t="shared" si="164"/>
        <v>8.6437056827443186</v>
      </c>
      <c r="M624" s="17">
        <f>IF(A626=A627,_xll.ciqfunctions.udf.CIQ(A618,"IQ_TOTAL_DEBT_ISSUED",IQ_FY-4), _xll.ciqfunctions.udf.CIQ(A618, "IQ_TOTAL_DEBT_ISSUED",IQ_FY-3))</f>
        <v>48</v>
      </c>
      <c r="N624" s="17">
        <f>IF(A626=A627,_xll.ciqfunctions.udf.CIQ(A618,"IQ_TOTAL_DEBT_REPAID",IQ_FY-4), _xll.ciqfunctions.udf.CIQ(A618, "IQ_TOTAL_DEBT_REPAID",IQ_FY-3))</f>
        <v>-50</v>
      </c>
      <c r="O624" s="15">
        <f t="shared" si="165"/>
        <v>-7.690129610982489E-3</v>
      </c>
      <c r="P624" s="15">
        <f t="shared" si="166"/>
        <v>8.6360155531333369</v>
      </c>
      <c r="Q624" s="18"/>
      <c r="R624" s="38" t="s">
        <v>29</v>
      </c>
      <c r="S624" s="4">
        <f>(AVERAGE(P623:P628)/_xlfn.STDEV.P(P623:P628))/(IF(A626=A627,(_xlfn.SINGLE(_xll.ciqfunctions.udf.CIQ(A618,"IQ_total_assets",IQ_FY)) - _xlfn.SINGLE(_xll.ciqfunctions.udf.CIQ(A618,"iq_gw_intan", IQ_FY)))/I628, (_xlfn.SINGLE(_xll.ciqfunctions.udf.CIQ(A618, "IQ_total_assets",IQ_LTM))-_xlfn.SINGLE(_xll.ciqfunctions.udf.CIQ(A618,"iq_gw_intan",IQ_LTM)))/I628))</f>
        <v>6.4466603329300751E-2</v>
      </c>
      <c r="U624" s="18"/>
      <c r="V624" s="38" t="s">
        <v>29</v>
      </c>
      <c r="W624" s="4">
        <f>(AVERAGE(P623:P628)/_xlfn.STDEV.P(P623:P628))/(IF(A626=A627,(_xlfn.SINGLE(_xll.ciqfunctions.udf.CIQ(A618,"IQ_total_assets",IQ_FY)) - _xlfn.SINGLE(_xll.ciqfunctions.udf.CIQ(A618,"iq_gw_intan", IQ_FY)))/I628, (_xlfn.SINGLE(_xll.ciqfunctions.udf.CIQ(A618, "IQ_total_assets",IQ_LTM))-_xlfn.SINGLE(_xll.ciqfunctions.udf.CIQ(A618,"iq_gw_intan",IQ_LTM)))/I628))</f>
        <v>6.4466603329300751E-2</v>
      </c>
      <c r="Y624" s="18"/>
      <c r="Z624" s="38" t="s">
        <v>29</v>
      </c>
      <c r="AA624" s="4">
        <f>(AVERAGE(P623:P628)/_xlfn.STDEV.P(P623:P628))/(IF(A626=A627,(_xlfn.SINGLE(_xll.ciqfunctions.udf.CIQ(A618,"IQ_total_assets",IQ_FY)) - _xlfn.SINGLE(_xll.ciqfunctions.udf.CIQ(A618,"iq_gw_intan", IQ_FY)))/I628, (_xlfn.SINGLE(_xll.ciqfunctions.udf.CIQ(A618, "IQ_total_assets",IQ_LTM))-_xlfn.SINGLE(_xll.ciqfunctions.udf.CIQ(A618,"iq_gw_intan",IQ_LTM)))/I628))</f>
        <v>6.4466603329300751E-2</v>
      </c>
    </row>
    <row r="625" spans="1:27">
      <c r="A625" s="18"/>
      <c r="B625" s="13">
        <v>8</v>
      </c>
      <c r="C625" s="14" t="s">
        <v>30</v>
      </c>
      <c r="D625" s="15" cm="1">
        <f t="array" ref="D625">_xlfn.SINGLE(IF(A626=A627,_xll.ciqfunctions.udf.CIQ(A618,"IQ_TOTAL_REV",IQ_FY-3)/I625, _xll.ciqfunctions.udf.CIQ(A618, "IQ_TOTAL_REV",IQ_FY-2)/I625))</f>
        <v>29.330744150657427</v>
      </c>
      <c r="E625" s="16">
        <f t="shared" si="167"/>
        <v>0.12443298867485046</v>
      </c>
      <c r="F625" s="15">
        <f>IF(A626=A627,_xll.ciqfunctions.udf.CIQ(A618,"IQ_DILUT_EPS_EXCL",IQ_FY-3), _xll.ciqfunctions.udf.CIQ(A618, "IQ_DILUT_EPS_EXCL",IQ_FY-2))</f>
        <v>6.92</v>
      </c>
      <c r="G625" s="15">
        <f>IF(A626=A627,_xll.ciqfunctions.udf.CIQ(A618,"IQ_EBITDA_MARGIN",IQ_FY-3), _xll.ciqfunctions.udf.CIQ(A618, "IQ_EBITDA_MARGIN",IQ_FY-2))</f>
        <v>31.254000000000001</v>
      </c>
      <c r="H625" s="15">
        <f>IF(A626=A627,_xll.ciqfunctions.udf.CIQ(A618,"IQ_TOTAL_DIV_PAID_CF",IQ_FY-3)/-I625, _xll.ciqfunctions.udf.CIQ(A618, "IQ_TOTAL_DIV_PAID_CF",IQ_FY-2)/-I625)</f>
        <v>2.1427982118138842</v>
      </c>
      <c r="I625" s="17">
        <f>IF(A626=A627,_xll.ciqfunctions.udf.CIQ(A618,"IQ_TOTAL_OUTSTANDING_FILING_DATE",IQ_FY-3), _xll.ciqfunctions.udf.CIQ(A618, "IQ_TOTAL_OUTSTANDING_FILING_DATE",IQ_FY-2))</f>
        <v>261.80720000000002</v>
      </c>
      <c r="J625" s="17">
        <f>IF(A626=A627,_xll.ciqfunctions.udf.CIQ(A618,"IQ_CASH_OPER",IQ_FY-3), _xll.ciqfunctions.udf.CIQ(A618, "IQ_CASH_OPER",IQ_FY-2))</f>
        <v>2414</v>
      </c>
      <c r="K625" s="17">
        <f>IF(A626=A627,_xll.ciqfunctions.udf.CIQ(A618,"IQ_CAPEX",IQ_FY-3), _xll.ciqfunctions.udf.CIQ(A618, "IQ_CAPEX",IQ_FY-2))</f>
        <v>-59</v>
      </c>
      <c r="L625" s="15">
        <f t="shared" si="164"/>
        <v>8.9951689640315458</v>
      </c>
      <c r="M625" s="17">
        <f>IF(A626=A627,_xll.ciqfunctions.udf.CIQ(A618,"IQ_TOTAL_DEBT_ISSUED",IQ_FY-3), _xll.ciqfunctions.udf.CIQ(A618, "IQ_TOTAL_DEBT_ISSUED",IQ_FY-2))</f>
        <v>2983</v>
      </c>
      <c r="N625" s="17">
        <f>IF(A626=A627,_xll.ciqfunctions.udf.CIQ(A618,"IQ_TOTAL_DEBT_REPAID",IQ_FY-3), _xll.ciqfunctions.udf.CIQ(A618, "IQ_TOTAL_DEBT_REPAID",IQ_FY-2))</f>
        <v>-50</v>
      </c>
      <c r="O625" s="15">
        <f t="shared" si="165"/>
        <v>11.202900454991305</v>
      </c>
      <c r="P625" s="15">
        <f t="shared" si="166"/>
        <v>20.19806941902285</v>
      </c>
      <c r="Q625" s="18"/>
      <c r="R625" s="39" t="s">
        <v>31</v>
      </c>
      <c r="S625" s="5">
        <f>IF(NOT(D618&gt;0),FALSE,SLOPE(G618:G628,B618:B628))</f>
        <v>-0.6982754545454547</v>
      </c>
      <c r="U625" s="18"/>
      <c r="V625" s="39" t="s">
        <v>31</v>
      </c>
      <c r="W625" s="5">
        <f>IF(NOT(D618&gt;0),FALSE,SLOPE(G618:G628,B618:B628))</f>
        <v>-0.6982754545454547</v>
      </c>
      <c r="Y625" s="18"/>
      <c r="Z625" s="39" t="s">
        <v>31</v>
      </c>
      <c r="AA625" s="5">
        <f>IF(NOT(L618&gt;0),FALSE,SLOPE(O618:O628,J618:J628))</f>
        <v>9.7245187267940751E-4</v>
      </c>
    </row>
    <row r="626" spans="1:27">
      <c r="A626" s="19">
        <f>_xll.ciqfunctions.udf.CIQ(A618,"IQ_TOTAL_REV",IQ_FY)</f>
        <v>14368</v>
      </c>
      <c r="B626" s="13">
        <v>9</v>
      </c>
      <c r="C626" s="14" t="s">
        <v>32</v>
      </c>
      <c r="D626" s="15" cm="1">
        <f t="array" ref="D626">_xlfn.SINGLE(IF(A626=A627,_xll.ciqfunctions.udf.CIQ(A618,"IQ_TOTAL_REV",IQ_FY-2)/I626, _xll.ciqfunctions.udf.CIQ(A618, "IQ_TOTAL_REV",IQ_FY-1)/I626))</f>
        <v>35.273836176704307</v>
      </c>
      <c r="E626" s="16">
        <f t="shared" si="167"/>
        <v>0.20262329504905077</v>
      </c>
      <c r="F626" s="15">
        <f>IF(A626=A627,_xll.ciqfunctions.udf.CIQ(A618,"IQ_DILUT_EPS_EXCL",IQ_FY-2), _xll.ciqfunctions.udf.CIQ(A618, "IQ_DILUT_EPS_EXCL",IQ_FY-1))</f>
        <v>7.56</v>
      </c>
      <c r="G626" s="15">
        <f>IF(A626=A627,_xll.ciqfunctions.udf.CIQ(A618,"IQ_EBITDA_MARGIN",IQ_FY-2), _xll.ciqfunctions.udf.CIQ(A618, "IQ_EBITDA_MARGIN",IQ_FY-1))</f>
        <v>29.523499999999999</v>
      </c>
      <c r="H626" s="15">
        <f>IF(A626=A627,_xll.ciqfunctions.udf.CIQ(A618,"IQ_TOTAL_DIV_PAID_CF",IQ_FY-2)/-I626, _xll.ciqfunctions.udf.CIQ(A618, "IQ_TOTAL_DIV_PAID_CF",IQ_FY-1)/-I626)</f>
        <v>2.3655038067217879</v>
      </c>
      <c r="I626" s="17">
        <f>IF(A626=A627,_xll.ciqfunctions.udf.CIQ(A618,"IQ_TOTAL_OUTSTANDING_FILING_DATE",IQ_FY-2), _xll.ciqfunctions.udf.CIQ(A618, "IQ_TOTAL_OUTSTANDING_FILING_DATE",IQ_FY-1))</f>
        <v>273.09192999999999</v>
      </c>
      <c r="J626" s="17">
        <f>IF(A626=A627,_xll.ciqfunctions.udf.CIQ(A618,"IQ_CASH_OPER",IQ_FY-2), _xll.ciqfunctions.udf.CIQ(A618, "IQ_CASH_OPER",IQ_FY-1))</f>
        <v>3250</v>
      </c>
      <c r="K626" s="17">
        <f>IF(A626=A627,_xll.ciqfunctions.udf.CIQ(A618,"IQ_CAPEX",IQ_FY-2), _xll.ciqfunctions.udf.CIQ(A618, "IQ_CAPEX",IQ_FY-1))</f>
        <v>-53</v>
      </c>
      <c r="L626" s="15">
        <f t="shared" si="164"/>
        <v>11.706680603853801</v>
      </c>
      <c r="M626" s="17">
        <f>IF(A626=A627,_xll.ciqfunctions.udf.CIQ(A618,"IQ_TOTAL_DEBT_ISSUED",IQ_FY-2), _xll.ciqfunctions.udf.CIQ(A618, "IQ_TOTAL_DEBT_ISSUED",IQ_FY-1))</f>
        <v>0</v>
      </c>
      <c r="N626" s="17">
        <f>IF(A626=A627,_xll.ciqfunctions.udf.CIQ(A618,"IQ_TOTAL_DEBT_REPAID",IQ_FY-2), _xll.ciqfunctions.udf.CIQ(A618, "IQ_TOTAL_DEBT_REPAID",IQ_FY-1))</f>
        <v>-1338</v>
      </c>
      <c r="O626" s="15">
        <f t="shared" si="165"/>
        <v>-4.8994490609810404</v>
      </c>
      <c r="P626" s="15">
        <f t="shared" si="166"/>
        <v>6.8072315428727608</v>
      </c>
      <c r="Q626" s="25" t="s">
        <v>33</v>
      </c>
      <c r="R626" s="38" t="s">
        <v>52</v>
      </c>
      <c r="S626" s="4">
        <f>(AVERAGE(O623:O628)/AVERAGE(P623:P628))</f>
        <v>0.2322889258098626</v>
      </c>
      <c r="U626" s="25" t="s">
        <v>54</v>
      </c>
      <c r="V626" s="38" t="s">
        <v>52</v>
      </c>
      <c r="W626" s="4">
        <f>(AVERAGE(O623:O628)/AVERAGE(P623:P628))</f>
        <v>0.2322889258098626</v>
      </c>
      <c r="Y626" s="25" t="s">
        <v>60</v>
      </c>
      <c r="Z626" s="38" t="s">
        <v>52</v>
      </c>
      <c r="AA626" s="4">
        <f>(AVERAGE(O623:O628)/AVERAGE(P623:P628))</f>
        <v>0.2322889258098626</v>
      </c>
    </row>
    <row r="627" spans="1:27">
      <c r="A627" s="19">
        <f>_xll.ciqfunctions.udf.CIQ(A618,"IQ_TOTAL_REV",IQ_LTM)</f>
        <v>14368</v>
      </c>
      <c r="B627" s="13">
        <v>10</v>
      </c>
      <c r="C627" s="14" t="s">
        <v>34</v>
      </c>
      <c r="D627" s="15" cm="1">
        <f t="array" ref="D627">_xlfn.SINGLE(IF(A626=A627,_xll.ciqfunctions.udf.CIQ(A618,"IQ_TOTAL_REV",IQ_FY-1)/I627, _xll.ciqfunctions.udf.CIQ(A618, "IQ_TOTAL_REV",IQ_FY)/I627))</f>
        <v>45.148491921165892</v>
      </c>
      <c r="E627" s="16">
        <f t="shared" si="167"/>
        <v>0.27994277954329916</v>
      </c>
      <c r="F627" s="15">
        <f>IF(A626=A627,_xll.ciqfunctions.udf.CIQ(A618,"IQ_DILUT_EPS_EXCL",IQ_FY-1), _xll.ciqfunctions.udf.CIQ(A618, "IQ_DILUT_EPS_EXCL",IQ_FY))</f>
        <v>7.28</v>
      </c>
      <c r="G627" s="15">
        <f>IF(A626=A627,_xll.ciqfunctions.udf.CIQ(A618,"IQ_EBITDA_MARGIN",IQ_FY-1), _xll.ciqfunctions.udf.CIQ(A618, "IQ_EBITDA_MARGIN",IQ_FY))</f>
        <v>25.459599999999998</v>
      </c>
      <c r="H627" s="15">
        <f>IF(A626=A627,_xll.ciqfunctions.udf.CIQ(A618,"IQ_TOTAL_DIV_PAID_CF",IQ_FY-1)/-I627, _xll.ciqfunctions.udf.CIQ(A618, "IQ_TOTAL_DIV_PAID_CF",IQ_FY)/-I627)</f>
        <v>2.7459478820511078</v>
      </c>
      <c r="I627" s="17">
        <f>IF(A626=A627,_xll.ciqfunctions.udf.CIQ(A618,"IQ_TOTAL_OUTSTANDING_FILING_DATE",IQ_FY-1), _xll.ciqfunctions.udf.CIQ(A618, "IQ_TOTAL_OUTSTANDING_FILING_DATE",IQ_FY))</f>
        <v>281.86988000000002</v>
      </c>
      <c r="J627" s="17">
        <f>IF(A626=A627,_xll.ciqfunctions.udf.CIQ(A618,"IQ_CASH_OPER",IQ_FY-1), _xll.ciqfunctions.udf.CIQ(A618, "IQ_CASH_OPER",IQ_FY))</f>
        <v>3889</v>
      </c>
      <c r="K627" s="17">
        <f>IF(A626=A627,_xll.ciqfunctions.udf.CIQ(A618,"IQ_CAPEX",IQ_FY-1), _xll.ciqfunctions.udf.CIQ(A618, "IQ_CAPEX",IQ_FY))</f>
        <v>-157</v>
      </c>
      <c r="L627" s="15">
        <f t="shared" si="164"/>
        <v>13.240151803378209</v>
      </c>
      <c r="M627" s="17">
        <f>IF(A626=A627,_xll.ciqfunctions.udf.CIQ(A618,"IQ_TOTAL_DEBT_ISSUED",IQ_FY-1), _xll.ciqfunctions.udf.CIQ(A618, "IQ_TOTAL_DEBT_ISSUED",IQ_FY))</f>
        <v>4882</v>
      </c>
      <c r="N627" s="17">
        <f>IF(A626=A627,_xll.ciqfunctions.udf.CIQ(A618,"IQ_TOTAL_DEBT_REPAID",IQ_FY-1), _xll.ciqfunctions.udf.CIQ(A618, "IQ_TOTAL_DEBT_REPAID",IQ_FY))</f>
        <v>0</v>
      </c>
      <c r="O627" s="15">
        <f t="shared" si="165"/>
        <v>17.320048527355954</v>
      </c>
      <c r="P627" s="15">
        <f t="shared" si="166"/>
        <v>30.560200330734162</v>
      </c>
      <c r="Q627" s="25" t="s">
        <v>44</v>
      </c>
      <c r="R627" s="38" t="s">
        <v>35</v>
      </c>
      <c r="S627" s="1">
        <f>_xll.ciqfunctions.udf.CIQ(A618,"IQ_TEV_EBITDA")</f>
        <v>41.120040000000003</v>
      </c>
      <c r="U627" s="25" t="s">
        <v>55</v>
      </c>
      <c r="V627" s="38" t="s">
        <v>53</v>
      </c>
      <c r="W627" s="1">
        <f>V617/(AVERAGE(D623:D628)/_xlfn.STDEV.P(E623:E628))</f>
        <v>0.92067334719899274</v>
      </c>
      <c r="Y627" s="25" t="s">
        <v>57</v>
      </c>
      <c r="Z627" s="38" t="s">
        <v>53</v>
      </c>
      <c r="AA627" s="1">
        <f>Z617/(AVERAGE(D623:D628)/_xlfn.STDEV.P(E623:E628))</f>
        <v>0.92067334719899274</v>
      </c>
    </row>
    <row r="628" spans="1:27">
      <c r="B628" s="13">
        <v>11</v>
      </c>
      <c r="C628" s="20" t="s">
        <v>36</v>
      </c>
      <c r="D628" s="21" cm="1">
        <f t="array" ref="D628">_xlfn.SINGLE(IF(A626=A627,_xll.ciqfunctions.udf.CIQ(A618,"IQ_TOTAL_REV",IQ_FY)/I628, _xll.ciqfunctions.udf.CIQ(A618, "IQ_TOTAL_REV",IQ_LTM)/I628))</f>
        <v>51.266774231266879</v>
      </c>
      <c r="E628" s="22">
        <f t="shared" si="167"/>
        <v>0.13551465508048782</v>
      </c>
      <c r="F628" s="21">
        <f>IF(A626=A627,_xll.ciqfunctions.udf.CIQ(A618,"IQ_DILUT_EPS_EXCL",IQ_FY), _xll.ciqfunctions.udf.CIQ(A618, "IQ_DILUT_EPS_EXCL",IQ_LTM))</f>
        <v>8.42</v>
      </c>
      <c r="G628" s="21">
        <f>IF(A626=A627,_xll.ciqfunctions.udf.CIQ(A618,"IQ_EBITDA_MARGIN",IQ_FY), _xll.ciqfunctions.udf.CIQ(A618, "IQ_EBITDA_MARGIN",IQ_LTM))</f>
        <v>26.336300000000001</v>
      </c>
      <c r="H628" s="21">
        <f>IF(A626=A627,_xll.ciqfunctions.udf.CIQ(A618,"IQ_TOTAL_DIV_PAID_CF",IQ_FY)/-I628, _xll.ciqfunctions.udf.CIQ(A618, "IQ_TOTAL_DIV_PAID_CF",IQ_LTM)/-I628)</f>
        <v>3.1720602931233475</v>
      </c>
      <c r="I628" s="23">
        <f>IF(A626=A627,_xll.ciqfunctions.udf.CIQ(A618,"IQ_TOTAL_OUTSTANDING_FILING_DATE",IQ_FY),_xll.ciqfunctions.udf.CIQ(A618,"IQ_sharesoutstanding"))</f>
        <v>280.25949000000003</v>
      </c>
      <c r="J628" s="23">
        <f>IF(A626=A627,_xll.ciqfunctions.udf.CIQ(A618,"IQ_CASH_OPER",IQ_FY), _xll.ciqfunctions.udf.CIQ(A618, "IQ_CASH_OPER",IQ_LTM))</f>
        <v>5046</v>
      </c>
      <c r="K628" s="23">
        <f>IF(A626=A627,_xll.ciqfunctions.udf.CIQ(A618,"IQ_CAPEX",IQ_FY), _xll.ciqfunctions.udf.CIQ(A618, "IQ_CAPEX",IQ_LTM))</f>
        <v>-210</v>
      </c>
      <c r="L628" s="21">
        <f t="shared" si="164"/>
        <v>17.255437095100685</v>
      </c>
      <c r="M628" s="23">
        <f>IF(A626=A627,_xll.ciqfunctions.udf.CIQ(A618,"IQ_TOTAL_DEBT_ISSUED",IQ_FY), _xll.ciqfunctions.udf.CIQ(A618, "IQ_TOTAL_DEBT_ISSUED",IQ_LTM))</f>
        <v>222</v>
      </c>
      <c r="N628" s="23">
        <f>IF(A626=A627,_xll.ciqfunctions.udf.CIQ(A618,"IQ_TOTAL_DEBT_REPAID",IQ_FY), _xll.ciqfunctions.udf.CIQ(A618, "IQ_TOTAL_DEBT_REPAID",IQ_LTM))</f>
        <v>-1032</v>
      </c>
      <c r="O628" s="21">
        <f t="shared" si="165"/>
        <v>-2.8901786697749285</v>
      </c>
      <c r="P628" s="21">
        <f t="shared" si="166"/>
        <v>14.365258425325756</v>
      </c>
      <c r="Q628" s="25" t="s">
        <v>45</v>
      </c>
      <c r="S628" s="45"/>
      <c r="U628" s="25"/>
      <c r="W628" s="45"/>
      <c r="Y628" s="25"/>
      <c r="AA628" s="45"/>
    </row>
    <row r="629" spans="1:27">
      <c r="B629" s="24"/>
      <c r="C629" s="25" t="s">
        <v>37</v>
      </c>
      <c r="E629" s="26">
        <f>((D628/D623)^(1/5))-1</f>
        <v>0.17091547228937465</v>
      </c>
      <c r="F629" s="27">
        <f>((F628/F623)^(1/5))-1</f>
        <v>0.10590764891654469</v>
      </c>
      <c r="G629" s="28"/>
      <c r="H629" s="27">
        <f>((H628/H623)^(1/5))-1</f>
        <v>0.15053321643143835</v>
      </c>
      <c r="I629" s="27">
        <f>((I628/I623)^(1/5))-1</f>
        <v>1.6160499508339088E-2</v>
      </c>
      <c r="J629" s="27"/>
      <c r="K629" s="27"/>
      <c r="L629" s="26">
        <f>((L628/L623)^(1/5))-1</f>
        <v>0.16566350367974625</v>
      </c>
      <c r="M629" s="26"/>
      <c r="N629" s="26"/>
      <c r="O629" s="26"/>
      <c r="P629" s="26">
        <f>((P628/P623)^(1/5))-1</f>
        <v>0.1291986326798944</v>
      </c>
      <c r="Q629" s="18"/>
      <c r="R629" s="36"/>
      <c r="S629" s="45"/>
      <c r="U629" s="18"/>
      <c r="V629" s="36"/>
      <c r="W629" s="45"/>
      <c r="Y629" s="18"/>
      <c r="Z629" s="36"/>
      <c r="AA629" s="45"/>
    </row>
    <row r="630" spans="1:27">
      <c r="A630" s="29"/>
      <c r="B630" s="30"/>
      <c r="C630" s="31" t="s">
        <v>38</v>
      </c>
      <c r="D630" s="29"/>
      <c r="E630" s="32">
        <f>((D628/D618)^(1/10))-1</f>
        <v>0.1389441924342758</v>
      </c>
      <c r="F630" s="33">
        <f>((F628/F618)^(1/10))-1</f>
        <v>0.1221296696783094</v>
      </c>
      <c r="G630" s="34"/>
      <c r="H630" s="33">
        <f>((H628/H618)^(1/10))-1</f>
        <v>0.16016321932078559</v>
      </c>
      <c r="I630" s="33">
        <f>((I628/I618)^(1/10))-1</f>
        <v>-8.7119617194231225E-4</v>
      </c>
      <c r="J630" s="33"/>
      <c r="K630" s="33"/>
      <c r="L630" s="32">
        <f>((L628/L618)^(1/10))-1</f>
        <v>0.14707068223423847</v>
      </c>
      <c r="M630" s="32"/>
      <c r="N630" s="32"/>
      <c r="O630" s="32"/>
      <c r="P630" s="32">
        <f>((P628/P618)^(1/10))-1</f>
        <v>0.12623476117946875</v>
      </c>
      <c r="Q630" s="40"/>
      <c r="R630" s="41"/>
      <c r="S630" s="46"/>
      <c r="U630" s="40"/>
      <c r="V630" s="41"/>
      <c r="W630" s="46"/>
      <c r="Y630" s="40"/>
      <c r="Z630" s="41"/>
      <c r="AA630" s="46"/>
    </row>
    <row r="631" spans="1:27">
      <c r="B631" s="24"/>
      <c r="C631" s="25"/>
      <c r="E631" s="26"/>
      <c r="F631" s="27"/>
      <c r="G631" s="28"/>
      <c r="H631" s="27"/>
      <c r="I631" s="27"/>
      <c r="J631" s="27"/>
      <c r="K631" s="27"/>
      <c r="L631" s="26"/>
      <c r="M631" s="17"/>
      <c r="N631" s="17"/>
      <c r="O631" s="17"/>
      <c r="P631" s="35"/>
      <c r="Q631" s="18"/>
      <c r="R631" s="36"/>
    </row>
    <row r="632" spans="1:27">
      <c r="A632" s="9" t="s">
        <v>0</v>
      </c>
      <c r="B632" s="10"/>
      <c r="C632" s="9" t="s">
        <v>1</v>
      </c>
      <c r="D632" s="9" t="s">
        <v>2</v>
      </c>
      <c r="E632" s="9" t="s">
        <v>3</v>
      </c>
      <c r="F632" s="11" t="s">
        <v>4</v>
      </c>
      <c r="G632" s="11" t="s">
        <v>5</v>
      </c>
      <c r="H632" s="9" t="s">
        <v>6</v>
      </c>
      <c r="I632" s="11" t="s">
        <v>7</v>
      </c>
      <c r="J632" s="11" t="s">
        <v>8</v>
      </c>
      <c r="K632" s="11" t="s">
        <v>9</v>
      </c>
      <c r="L632" s="11" t="s">
        <v>10</v>
      </c>
      <c r="M632" s="11" t="s">
        <v>11</v>
      </c>
      <c r="N632" s="11" t="s">
        <v>12</v>
      </c>
      <c r="O632" s="11" t="s">
        <v>13</v>
      </c>
      <c r="P632" s="11" t="s">
        <v>14</v>
      </c>
      <c r="Q632" s="37" t="s">
        <v>15</v>
      </c>
      <c r="R632" s="42" t="str">
        <f>_xll.ciqfunctions.udf.CIQ(A633,("IQ_LASTSALEPRICE"))</f>
        <v>(Invalid Identifier)</v>
      </c>
      <c r="S632" s="44"/>
      <c r="U632" s="37" t="s">
        <v>15</v>
      </c>
      <c r="V632" s="42" t="str">
        <f>_xll.ciqfunctions.udf.CIQ(A633,("IQ_LASTSALEPRICE"))</f>
        <v>(Invalid Identifier)</v>
      </c>
      <c r="W632" s="44"/>
      <c r="Y632" s="37" t="s">
        <v>15</v>
      </c>
      <c r="Z632" s="42" t="str">
        <f>_xll.ciqfunctions.udf.CIQ(A633,("IQ_LASTSALEPRICE"))</f>
        <v>(Invalid Identifier)</v>
      </c>
      <c r="AA632" s="44"/>
    </row>
    <row r="633" spans="1:27">
      <c r="A633" s="12" t="str">
        <f>Analysis!B44</f>
        <v>NYSE:VMW</v>
      </c>
      <c r="B633" s="13">
        <v>1</v>
      </c>
      <c r="C633" s="14" t="s">
        <v>16</v>
      </c>
      <c r="D633" s="15" t="e">
        <f>IF(A641=A642,_xll.ciqfunctions.udf.CIQ(A633,"IQ_TOTAL_REV",IQ_FY-10)/I633,_xll.ciqfunctions.udf.CIQ(A633, "IQ_TOTAL_REV",IQ_FY-9)/I633)</f>
        <v>#VALUE!</v>
      </c>
      <c r="E633" s="16"/>
      <c r="F633" s="15" t="str">
        <f>IF(A641=A642,_xll.ciqfunctions.udf.CIQ(A633,"IQ_DILUT_EPS_EXCL",IQ_FY-10), _xll.ciqfunctions.udf.CIQ(A633, "IQ_DILUT_EPS_EXCL",IQ_FY-9))</f>
        <v>(Invalid Identifier)</v>
      </c>
      <c r="G633" s="15" t="str">
        <f>IF(A641=A642,_xll.ciqfunctions.udf.CIQ(A633,"IQ_EBITDA_MARGIN",IQ_FY-10), _xll.ciqfunctions.udf.CIQ(A633, "IQ_EBITDA_MARGIN",IQ_FY-9))</f>
        <v>(Invalid Identifier)</v>
      </c>
      <c r="H633" s="15" t="e">
        <f>IF(A641=A642,_xll.ciqfunctions.udf.CIQ(A633,"IQ_TOTAL_DIV_PAID_CF",IQ_FY-10)/-I633, _xll.ciqfunctions.udf.CIQ(A633, "IQ_TOTAL_DIV_PAID_CF",IQ_FY-9)/-I633)</f>
        <v>#VALUE!</v>
      </c>
      <c r="I633" s="17" t="str">
        <f>IF(A641=A642,_xll.ciqfunctions.udf.CIQ(A633,"IQ_TOTAL_OUTSTANDING_FILING_DATE",IQ_FY-10), _xll.ciqfunctions.udf.CIQ(A633, "IQ_TOTAL_OUTSTANDING_FILING_DATE",IQ_FY-9))</f>
        <v>(Invalid Identifier)</v>
      </c>
      <c r="J633" s="17" t="str">
        <f>IF(A641=A642,_xll.ciqfunctions.udf.CIQ(A633,"IQ_CASH_OPER",IQ_FY-10), _xll.ciqfunctions.udf.CIQ(A633, "IQ_CASH_OPER",IQ_FY-9))</f>
        <v>(Invalid Identifier)</v>
      </c>
      <c r="K633" s="17" t="str">
        <f>IF(A641=A642,_xll.ciqfunctions.udf.CIQ(A633,"IQ_CAPEX",IQ_FY-10), _xll.ciqfunctions.udf.CIQ(A633, "IQ_CAPEX",IQ_FY-9))</f>
        <v>(Invalid Identifier)</v>
      </c>
      <c r="L633" s="15" t="e">
        <f t="shared" ref="L633:L643" si="168">(J633+K633)/I633</f>
        <v>#VALUE!</v>
      </c>
      <c r="M633" s="17" t="str">
        <f>IF(A641=A642,_xll.ciqfunctions.udf.CIQ(A633,"IQ_TOTAL_DEBT_ISSUED",IQ_FY-10), _xll.ciqfunctions.udf.CIQ(A633, "IQ_TOTAL_DEBT_ISSUED",IQ_FY-9))</f>
        <v>(Invalid Identifier)</v>
      </c>
      <c r="N633" s="17" t="str">
        <f>IF(A641=A642,_xll.ciqfunctions.udf.CIQ(A633,"IQ_TOTAL_DEBT_REPAID",IQ_FY-10), _xll.ciqfunctions.udf.CIQ(A633, "IQ_TOTAL_DEBT_REPAID",IQ_FY-9))</f>
        <v>(Invalid Identifier)</v>
      </c>
      <c r="O633" s="15" t="e">
        <f t="shared" ref="O633:O643" si="169">(M633+N633)/I633</f>
        <v>#VALUE!</v>
      </c>
      <c r="P633" s="15" t="e">
        <f t="shared" ref="P633:P643" si="170">L633+O633</f>
        <v>#VALUE!</v>
      </c>
      <c r="W633" s="43"/>
      <c r="AA633" s="43"/>
    </row>
    <row r="634" spans="1:27">
      <c r="A634" s="18" t="str">
        <f>_xll.ciqfunctions.udf.CIQ(A633,"IQ_COMPANY_NAME")</f>
        <v>(Invalid Identifier)</v>
      </c>
      <c r="B634" s="13">
        <v>2</v>
      </c>
      <c r="C634" s="14" t="s">
        <v>17</v>
      </c>
      <c r="D634" s="15" t="e">
        <f>IF(A641=A642,_xll.ciqfunctions.udf.CIQ(A633,"IQ_TOTAL_REV",IQ_FY-9)/I634, _xll.ciqfunctions.udf.CIQ(A633, "IQ_TOTAL_REV",IQ_FY-8)/I634)</f>
        <v>#VALUE!</v>
      </c>
      <c r="E634" s="16" t="e">
        <f t="shared" ref="E634:E643" si="171">(D634-D633)/D633</f>
        <v>#VALUE!</v>
      </c>
      <c r="F634" s="15" t="str">
        <f>IF(A641=A642,_xll.ciqfunctions.udf.CIQ(A633,"IQ_DILUT_EPS_EXCL",IQ_FY-9), _xll.ciqfunctions.udf.CIQ(A633, "IQ_DILUT_EPS_EXCL",IQ_FY-8))</f>
        <v>(Invalid Identifier)</v>
      </c>
      <c r="G634" s="15" t="str">
        <f>IF(A641=A642,_xll.ciqfunctions.udf.CIQ(A633,"IQ_EBITDA_MARGIN",IQ_FY-9), _xll.ciqfunctions.udf.CIQ(A633, "IQ_EBITDA_MARGIN",IQ_FY-8))</f>
        <v>(Invalid Identifier)</v>
      </c>
      <c r="H634" s="15" t="e">
        <f>IF(A641=A642,_xll.ciqfunctions.udf.CIQ(A633,"IQ_TOTAL_DIV_PAID_CF",IQ_FY-9)/-I634, _xll.ciqfunctions.udf.CIQ(A633, "IQ_TOTAL_DIV_PAID_CF",IQ_FY-8)/-I634)</f>
        <v>#VALUE!</v>
      </c>
      <c r="I634" s="17" t="str">
        <f>IF(A641=A642,_xll.ciqfunctions.udf.CIQ(A633,"IQ_TOTAL_OUTSTANDING_FILING_DATE",IQ_FY-9), _xll.ciqfunctions.udf.CIQ(A633, "IQ_TOTAL_OUTSTANDING_FILING_DATE",IQ_FY-8))</f>
        <v>(Invalid Identifier)</v>
      </c>
      <c r="J634" s="17" t="str">
        <f>IF(A641=A642,_xll.ciqfunctions.udf.CIQ(A633,"IQ_CASH_OPER",IQ_FY-9), _xll.ciqfunctions.udf.CIQ(A633, "IQ_CASH_OPER",IQ_FY-8))</f>
        <v>(Invalid Identifier)</v>
      </c>
      <c r="K634" s="17" t="str">
        <f>IF(A641=A642,_xll.ciqfunctions.udf.CIQ(A633,"IQ_CAPEX",IQ_FY-9), _xll.ciqfunctions.udf.CIQ(A633, "IQ_CAPEX",IQ_FY-8))</f>
        <v>(Invalid Identifier)</v>
      </c>
      <c r="L634" s="15" t="e">
        <f t="shared" si="168"/>
        <v>#VALUE!</v>
      </c>
      <c r="M634" s="17" t="str">
        <f>IF(A641=A642,_xll.ciqfunctions.udf.CIQ(A633,"IQ_TOTAL_DEBT_ISSUED",IQ_FY-9), _xll.ciqfunctions.udf.CIQ(A633, "IQ_TOTAL_DEBT_ISSUED",IQ_FY-8))</f>
        <v>(Invalid Identifier)</v>
      </c>
      <c r="N634" s="17" t="str">
        <f>IF(A641=A642,_xll.ciqfunctions.udf.CIQ(A633,"IQ_TOTAL_DEBT_REPAID",IQ_FY-9), _xll.ciqfunctions.udf.CIQ(A633, "IQ_TOTAL_DEBT_REPAID",IQ_FY-8))</f>
        <v>(Invalid Identifier)</v>
      </c>
      <c r="O634" s="15" t="e">
        <f t="shared" si="169"/>
        <v>#VALUE!</v>
      </c>
      <c r="P634" s="15" t="e">
        <f t="shared" si="170"/>
        <v>#VALUE!</v>
      </c>
      <c r="Q634" s="25" t="s">
        <v>18</v>
      </c>
      <c r="R634" s="39" t="s">
        <v>19</v>
      </c>
      <c r="S634" s="1" t="e">
        <f>R632/((AVERAGE(P638:P643))*(1+E644)^3)</f>
        <v>#VALUE!</v>
      </c>
      <c r="U634" s="25" t="s">
        <v>48</v>
      </c>
      <c r="V634" s="39" t="s">
        <v>19</v>
      </c>
      <c r="W634" s="1" t="e">
        <f>V632/((AVERAGE(P638:P643))*(1+E644)^3)</f>
        <v>#VALUE!</v>
      </c>
      <c r="Y634" s="25" t="s">
        <v>39</v>
      </c>
      <c r="Z634" s="39" t="s">
        <v>19</v>
      </c>
      <c r="AA634" s="1" t="e">
        <f>Z632/((AVERAGE(P638:P643))*(1+E644)^3)</f>
        <v>#VALUE!</v>
      </c>
    </row>
    <row r="635" spans="1:27">
      <c r="B635" s="13">
        <v>3</v>
      </c>
      <c r="C635" s="14" t="s">
        <v>20</v>
      </c>
      <c r="D635" s="15" t="e" cm="1">
        <f t="array" ref="D635">_xlfn.SINGLE(IF(A641=A642,_xll.ciqfunctions.udf.CIQ(A633,"IQ_TOTAL_REV",IQ_FY-8)/I635, _xll.ciqfunctions.udf.CIQ(A633, "IQ_TOTAL_REV",IQ_FY-7)/I635))</f>
        <v>#VALUE!</v>
      </c>
      <c r="E635" s="16" t="e">
        <f t="shared" si="171"/>
        <v>#VALUE!</v>
      </c>
      <c r="F635" s="15" t="str">
        <f>IF(A641=A642,_xll.ciqfunctions.udf.CIQ(A633,"IQ_DILUT_EPS_EXCL",IQ_FY-8), _xll.ciqfunctions.udf.CIQ(A633, "IQ_DILUT_EPS_EXCL",IQ_FY-7))</f>
        <v>(Invalid Identifier)</v>
      </c>
      <c r="G635" s="15" t="str">
        <f>IF(A641=A642,_xll.ciqfunctions.udf.CIQ(A633,"IQ_EBITDA_MARGIN",IQ_FY-8), _xll.ciqfunctions.udf.CIQ(A633, "IQ_EBITDA_MARGIN",IQ_FY-7))</f>
        <v>(Invalid Identifier)</v>
      </c>
      <c r="H635" s="15" t="e">
        <f>IF(A641=A642,_xll.ciqfunctions.udf.CIQ(A633,"IQ_TOTAL_DIV_PAID_CF",IQ_FY-8)/-I635, _xll.ciqfunctions.udf.CIQ(A633, "IQ_TOTAL_DIV_PAID_CF",IQ_FY-7)/-I635)</f>
        <v>#VALUE!</v>
      </c>
      <c r="I635" s="17" t="str">
        <f>IF(A641=A642,_xll.ciqfunctions.udf.CIQ(A633,"IQ_TOTAL_OUTSTANDING_FILING_DATE",IQ_FY-8), _xll.ciqfunctions.udf.CIQ(A633, "IQ_TOTAL_OUTSTANDING_FILING_DATE",IQ_FY-7))</f>
        <v>(Invalid Identifier)</v>
      </c>
      <c r="J635" s="17" t="str">
        <f>IF(A641=A642,_xll.ciqfunctions.udf.CIQ(A633,"IQ_CASH_OPER",IQ_FY-8), _xll.ciqfunctions.udf.CIQ(A633, "IQ_CASH_OPER",IQ_FY-7))</f>
        <v>(Invalid Identifier)</v>
      </c>
      <c r="K635" s="17" t="str">
        <f>IF(A641=A642,_xll.ciqfunctions.udf.CIQ(A633,"IQ_CAPEX",IQ_FY-8), _xll.ciqfunctions.udf.CIQ(A633, "IQ_CAPEX",IQ_FY-7))</f>
        <v>(Invalid Identifier)</v>
      </c>
      <c r="L635" s="15" t="e">
        <f t="shared" si="168"/>
        <v>#VALUE!</v>
      </c>
      <c r="M635" s="17" t="str">
        <f>IF(A641=A642,_xll.ciqfunctions.udf.CIQ(A633,"IQ_TOTAL_DEBT_ISSUED",IQ_FY-8), _xll.ciqfunctions.udf.CIQ(A633, "IQ_TOTAL_DEBT_ISSUED",IQ_FY-7))</f>
        <v>(Invalid Identifier)</v>
      </c>
      <c r="N635" s="17" t="str">
        <f>IF(A641=A642,_xll.ciqfunctions.udf.CIQ(A633,"IQ_TOTAL_DEBT_REPAID",IQ_FY-8), _xll.ciqfunctions.udf.CIQ(A633, "IQ_TOTAL_DEBT_REPAID",IQ_FY-7))</f>
        <v>(Invalid Identifier)</v>
      </c>
      <c r="O635" s="15" t="e">
        <f t="shared" si="169"/>
        <v>#VALUE!</v>
      </c>
      <c r="P635" s="15" t="e">
        <f t="shared" si="170"/>
        <v>#VALUE!</v>
      </c>
      <c r="Q635" s="25" t="s">
        <v>21</v>
      </c>
      <c r="R635" s="38" t="s">
        <v>49</v>
      </c>
      <c r="S635" s="2" t="e">
        <f>(R632*I643)/1000</f>
        <v>#VALUE!</v>
      </c>
      <c r="U635" s="25" t="s">
        <v>59</v>
      </c>
      <c r="V635" s="38" t="s">
        <v>49</v>
      </c>
      <c r="W635" s="2" t="e">
        <f>(V632*I643)/1000</f>
        <v>#VALUE!</v>
      </c>
      <c r="Y635" s="25" t="s">
        <v>46</v>
      </c>
      <c r="Z635" s="38" t="s">
        <v>49</v>
      </c>
      <c r="AA635" s="2" t="e">
        <f>(Z632*I643)/1000</f>
        <v>#VALUE!</v>
      </c>
    </row>
    <row r="636" spans="1:27">
      <c r="A636" s="18"/>
      <c r="B636" s="13">
        <v>4</v>
      </c>
      <c r="C636" s="14" t="s">
        <v>22</v>
      </c>
      <c r="D636" s="15" t="e" cm="1">
        <f t="array" ref="D636">_xlfn.SINGLE(IF(A641=A642,_xll.ciqfunctions.udf.CIQ(A633,"IQ_TOTAL_REV",IQ_FY-7)/I636, _xll.ciqfunctions.udf.CIQ(A633, "IQ_TOTAL_REV",IQ_FY-6)/I636))</f>
        <v>#VALUE!</v>
      </c>
      <c r="E636" s="16" t="e">
        <f t="shared" si="171"/>
        <v>#VALUE!</v>
      </c>
      <c r="F636" s="15" t="str">
        <f>IF(A641=A642,_xll.ciqfunctions.udf.CIQ(A633,"IQ_DILUT_EPS_EXCL",IQ_FY-7), _xll.ciqfunctions.udf.CIQ(A633, "IQ_DILUT_EPS_EXCL",IQ_FY-6))</f>
        <v>(Invalid Identifier)</v>
      </c>
      <c r="G636" s="15" t="str">
        <f>IF(A641=A642,_xll.ciqfunctions.udf.CIQ(A633,"IQ_EBITDA_MARGIN",IQ_FY-7), _xll.ciqfunctions.udf.CIQ(A633, "IQ_EBITDA_MARGIN",IQ_FY-6))</f>
        <v>(Invalid Identifier)</v>
      </c>
      <c r="H636" s="15" t="e">
        <f>IF(A641=A642,_xll.ciqfunctions.udf.CIQ(A633,"IQ_TOTAL_DIV_PAID_CF",IQ_FY-7)/-I636, _xll.ciqfunctions.udf.CIQ(A633, "IQ_TOTAL_DIV_PAID_CF",IQ_FY-6)/-I636)</f>
        <v>#VALUE!</v>
      </c>
      <c r="I636" s="17" t="str">
        <f>IF(A641=A642,_xll.ciqfunctions.udf.CIQ(A633,"IQ_TOTAL_OUTSTANDING_FILING_DATE",IQ_FY-7), _xll.ciqfunctions.udf.CIQ(A633, "IQ_TOTAL_OUTSTANDING_FILING_DATE",IQ_FY-6))</f>
        <v>(Invalid Identifier)</v>
      </c>
      <c r="J636" s="17" t="str">
        <f>IF(A641=A642,_xll.ciqfunctions.udf.CIQ(A633,"IQ_CASH_OPER",IQ_FY-7), _xll.ciqfunctions.udf.CIQ(A633, "IQ_CASH_OPER",IQ_FY-6))</f>
        <v>(Invalid Identifier)</v>
      </c>
      <c r="K636" s="17" t="str">
        <f>IF(A641=A642,_xll.ciqfunctions.udf.CIQ(A633,"IQ_CAPEX",IQ_FY-7), _xll.ciqfunctions.udf.CIQ(A633, "IQ_CAPEX",IQ_FY-6))</f>
        <v>(Invalid Identifier)</v>
      </c>
      <c r="L636" s="15" t="e">
        <f t="shared" si="168"/>
        <v>#VALUE!</v>
      </c>
      <c r="M636" s="17" t="str">
        <f>IF(A641=A642,_xll.ciqfunctions.udf.CIQ(A633,"IQ_TOTAL_DEBT_ISSUED",IQ_FY-7), _xll.ciqfunctions.udf.CIQ(A633, "IQ_TOTAL_DEBT_ISSUED",IQ_FY-6))</f>
        <v>(Invalid Identifier)</v>
      </c>
      <c r="N636" s="17" t="str">
        <f>IF(A641=A642,_xll.ciqfunctions.udf.CIQ(A633,"IQ_TOTAL_DEBT_REPAID",IQ_FY-7), _xll.ciqfunctions.udf.CIQ(A633, "IQ_TOTAL_DEBT_REPAID",IQ_FY-6))</f>
        <v>(Invalid Identifier)</v>
      </c>
      <c r="O636" s="15" t="e">
        <f t="shared" si="169"/>
        <v>#VALUE!</v>
      </c>
      <c r="P636" s="15" t="e">
        <f t="shared" si="170"/>
        <v>#VALUE!</v>
      </c>
      <c r="Q636" s="25" t="s">
        <v>23</v>
      </c>
      <c r="R636" s="38" t="s">
        <v>24</v>
      </c>
      <c r="S636" s="1" t="e">
        <f>R632/(AVERAGE(H638:H643)*(1+H644)/(0.5-H644))</f>
        <v>#VALUE!</v>
      </c>
      <c r="U636" s="25" t="s">
        <v>40</v>
      </c>
      <c r="V636" s="38" t="s">
        <v>24</v>
      </c>
      <c r="W636" s="1" t="e">
        <f>V632/(AVERAGE(H638:H643)*(1+H644)/(0.5-H644))</f>
        <v>#VALUE!</v>
      </c>
      <c r="Y636" s="25" t="s">
        <v>47</v>
      </c>
      <c r="Z636" s="38" t="s">
        <v>24</v>
      </c>
      <c r="AA636" s="1" t="e">
        <f>Z632/(AVERAGE(H638:H643)*(1+H644)/(0.5-H644))</f>
        <v>#VALUE!</v>
      </c>
    </row>
    <row r="637" spans="1:27">
      <c r="B637" s="13">
        <v>5</v>
      </c>
      <c r="C637" s="14" t="s">
        <v>25</v>
      </c>
      <c r="D637" s="15" t="e" cm="1">
        <f t="array" ref="D637">_xlfn.SINGLE(IF(A641=A642,_xll.ciqfunctions.udf.CIQ(A633,"IQ_TOTAL_REV",IQ_FY-6)/I637, _xll.ciqfunctions.udf.CIQ(A633, "IQ_TOTAL_REV",IQ_FY-5)/I637))</f>
        <v>#VALUE!</v>
      </c>
      <c r="E637" s="16" t="e">
        <f t="shared" si="171"/>
        <v>#VALUE!</v>
      </c>
      <c r="F637" s="15" t="str">
        <f>IF(A641=A642,_xll.ciqfunctions.udf.CIQ(A633,"IQ_DILUT_EPS_EXCL",IQ_FY-6), _xll.ciqfunctions.udf.CIQ(A633, "IQ_DILUT_EPS_EXCL",IQ_FY-5))</f>
        <v>(Invalid Identifier)</v>
      </c>
      <c r="G637" s="15" t="str">
        <f>IF(A641=A642,_xll.ciqfunctions.udf.CIQ(A633,"IQ_EBITDA_MARGIN",IQ_FY-6), _xll.ciqfunctions.udf.CIQ(A633, "IQ_EBITDA_MARGIN",IQ_FY-5))</f>
        <v>(Invalid Identifier)</v>
      </c>
      <c r="H637" s="15" t="e">
        <f>IF(A641=A642,_xll.ciqfunctions.udf.CIQ(A633,"IQ_TOTAL_DIV_PAID_CF",IQ_FY-6)/-I637, _xll.ciqfunctions.udf.CIQ(A633, "IQ_TOTAL_DIV_PAID_CF",IQ_FY-5)/-I637)</f>
        <v>#VALUE!</v>
      </c>
      <c r="I637" s="17" t="str">
        <f>IF(A641=A642,_xll.ciqfunctions.udf.CIQ(A633,"IQ_TOTAL_OUTSTANDING_FILING_DATE",IQ_FY-6), _xll.ciqfunctions.udf.CIQ(A633, "IQ_TOTAL_OUTSTANDING_FILING_DATE",IQ_FY-5))</f>
        <v>(Invalid Identifier)</v>
      </c>
      <c r="J637" s="17" t="str">
        <f>IF(A641=A642,_xll.ciqfunctions.udf.CIQ(A633,"IQ_CASH_OPER",IQ_FY-6), _xll.ciqfunctions.udf.CIQ(A633, "IQ_CASH_OPER",IQ_FY-5))</f>
        <v>(Invalid Identifier)</v>
      </c>
      <c r="K637" s="17" t="str">
        <f>IF(A641=A642,_xll.ciqfunctions.udf.CIQ(A633,"IQ_CAPEX",IQ_FY-6), _xll.ciqfunctions.udf.CIQ(A633, "IQ_CAPEX",IQ_FY-5))</f>
        <v>(Invalid Identifier)</v>
      </c>
      <c r="L637" s="15" t="e">
        <f t="shared" si="168"/>
        <v>#VALUE!</v>
      </c>
      <c r="M637" s="17" t="str">
        <f>IF(A641=A642,_xll.ciqfunctions.udf.CIQ(A633,"IQ_TOTAL_DEBT_ISSUED",IQ_FY-6), _xll.ciqfunctions.udf.CIQ(A633, "IQ_TOTAL_DEBT_ISSUED",IQ_FY-5))</f>
        <v>(Invalid Identifier)</v>
      </c>
      <c r="N637" s="17" t="str">
        <f>IF(A641=A642,_xll.ciqfunctions.udf.CIQ(A633,"IQ_TOTAL_DEBT_REPAID",IQ_FY-6), _xll.ciqfunctions.udf.CIQ(A633, "IQ_TOTAL_DEBT_REPAID",IQ_FY-5))</f>
        <v>(Invalid Identifier)</v>
      </c>
      <c r="O637" s="15" t="e">
        <f t="shared" si="169"/>
        <v>#VALUE!</v>
      </c>
      <c r="P637" s="15" t="e">
        <f t="shared" si="170"/>
        <v>#VALUE!</v>
      </c>
      <c r="Q637" s="18"/>
      <c r="R637" s="38" t="s">
        <v>50</v>
      </c>
      <c r="S637" s="3" t="e">
        <f>I644</f>
        <v>#VALUE!</v>
      </c>
      <c r="U637" s="18"/>
      <c r="V637" s="38" t="s">
        <v>50</v>
      </c>
      <c r="W637" s="3" t="e">
        <f>I644</f>
        <v>#VALUE!</v>
      </c>
      <c r="Y637" s="18"/>
      <c r="Z637" s="38" t="s">
        <v>50</v>
      </c>
      <c r="AA637" s="3" t="e">
        <f>I644</f>
        <v>#VALUE!</v>
      </c>
    </row>
    <row r="638" spans="1:27">
      <c r="B638" s="13">
        <v>6</v>
      </c>
      <c r="C638" s="14" t="s">
        <v>26</v>
      </c>
      <c r="D638" s="15" t="e" cm="1">
        <f t="array" ref="D638">_xlfn.SINGLE(IF(A641=A642,_xll.ciqfunctions.udf.CIQ(A633,"IQ_TOTAL_REV",IQ_FY-5)/I638, _xll.ciqfunctions.udf.CIQ(A633, "IQ_TOTAL_REV",IQ_FY-4)/I638))</f>
        <v>#VALUE!</v>
      </c>
      <c r="E638" s="16" t="e">
        <f t="shared" si="171"/>
        <v>#VALUE!</v>
      </c>
      <c r="F638" s="15" t="str">
        <f>IF(A641=A642,_xll.ciqfunctions.udf.CIQ(A633,"IQ_DILUT_EPS_EXCL",IQ_FY-5), _xll.ciqfunctions.udf.CIQ(A633, "IQ_DILUT_EPS_EXCL",IQ_FY-4))</f>
        <v>(Invalid Identifier)</v>
      </c>
      <c r="G638" s="15" t="str">
        <f>IF(A641=A642,_xll.ciqfunctions.udf.CIQ(A633,"IQ_EBITDA_MARGIN",IQ_FY-5), _xll.ciqfunctions.udf.CIQ(A633, "IQ_EBITDA_MARGIN",IQ_FY-4))</f>
        <v>(Invalid Identifier)</v>
      </c>
      <c r="H638" s="15" t="e">
        <f>IF(A641=A642,_xll.ciqfunctions.udf.CIQ(A633,"IQ_TOTAL_DIV_PAID_CF",IQ_FY-5)/-I638, _xll.ciqfunctions.udf.CIQ(A633, "IQ_TOTAL_DIV_PAID_CF",IQ_FY-4)/-I638)</f>
        <v>#VALUE!</v>
      </c>
      <c r="I638" s="17" t="str">
        <f>IF(A641=A642,_xll.ciqfunctions.udf.CIQ(A633,"IQ_TOTAL_OUTSTANDING_FILING_DATE",IQ_FY-5), _xll.ciqfunctions.udf.CIQ(A633, "IQ_TOTAL_OUTSTANDING_FILING_DATE",IQ_FY-4))</f>
        <v>(Invalid Identifier)</v>
      </c>
      <c r="J638" s="17" t="str">
        <f>IF(A641=A642,_xll.ciqfunctions.udf.CIQ(A633,"IQ_CASH_OPER",IQ_FY-5), _xll.ciqfunctions.udf.CIQ(A633, "IQ_CASH_OPER",IQ_FY-4))</f>
        <v>(Invalid Identifier)</v>
      </c>
      <c r="K638" s="17" t="str">
        <f>IF(A641=A642,_xll.ciqfunctions.udf.CIQ(A633,"IQ_CAPEX",IQ_FY-5), _xll.ciqfunctions.udf.CIQ(A633, "IQ_CAPEX",IQ_FY-4))</f>
        <v>(Invalid Identifier)</v>
      </c>
      <c r="L638" s="15" t="e">
        <f t="shared" si="168"/>
        <v>#VALUE!</v>
      </c>
      <c r="M638" s="17" t="str">
        <f>IF(A641=A642,_xll.ciqfunctions.udf.CIQ(A633,"IQ_TOTAL_DEBT_ISSUED",IQ_FY-5), _xll.ciqfunctions.udf.CIQ(A633, "IQ_TOTAL_DEBT_ISSUED",IQ_FY-4))</f>
        <v>(Invalid Identifier)</v>
      </c>
      <c r="N638" s="17" t="str">
        <f>IF(A641=A642,_xll.ciqfunctions.udf.CIQ(A633,"IQ_TOTAL_DEBT_REPAID",IQ_FY-5), _xll.ciqfunctions.udf.CIQ(A633, "IQ_TOTAL_DEBT_REPAID",IQ_FY-4))</f>
        <v>(Invalid Identifier)</v>
      </c>
      <c r="O638" s="15" t="e">
        <f t="shared" si="169"/>
        <v>#VALUE!</v>
      </c>
      <c r="P638" s="15" t="e">
        <f t="shared" si="170"/>
        <v>#VALUE!</v>
      </c>
      <c r="Q638" s="25" t="s">
        <v>27</v>
      </c>
      <c r="R638" s="38" t="s">
        <v>51</v>
      </c>
      <c r="S638" s="4" t="e">
        <f>AVERAGE(F638:F643)/AVERAGE(D638:D643)</f>
        <v>#DIV/0!</v>
      </c>
      <c r="U638" s="25" t="s">
        <v>58</v>
      </c>
      <c r="V638" s="38" t="s">
        <v>51</v>
      </c>
      <c r="W638" s="4" t="e">
        <f>AVERAGE(F638:F643)/AVERAGE(D638:D643)</f>
        <v>#DIV/0!</v>
      </c>
      <c r="Y638" s="25" t="s">
        <v>56</v>
      </c>
      <c r="Z638" s="38" t="s">
        <v>51</v>
      </c>
      <c r="AA638" s="4" t="e">
        <f>AVERAGE(F638:F643)/AVERAGE(D638:D643)</f>
        <v>#DIV/0!</v>
      </c>
    </row>
    <row r="639" spans="1:27">
      <c r="A639" s="18"/>
      <c r="B639" s="13">
        <v>7</v>
      </c>
      <c r="C639" s="14" t="s">
        <v>28</v>
      </c>
      <c r="D639" s="15" t="e" cm="1">
        <f t="array" ref="D639">_xlfn.SINGLE(IF(A641=A642,_xll.ciqfunctions.udf.CIQ(A633,"IQ_TOTAL_REV",IQ_FY-4)/I639, _xll.ciqfunctions.udf.CIQ(A633, "IQ_TOTAL_REV",IQ_FY-3)/I639))</f>
        <v>#VALUE!</v>
      </c>
      <c r="E639" s="16" t="e">
        <f t="shared" si="171"/>
        <v>#VALUE!</v>
      </c>
      <c r="F639" s="15" t="str">
        <f>IF(A641=A642,_xll.ciqfunctions.udf.CIQ(A633,"IQ_DILUT_EPS_EXCL",IQ_FY-4), _xll.ciqfunctions.udf.CIQ(A633, "IQ_DILUT_EPS_EXCL",IQ_FY-3))</f>
        <v>(Invalid Identifier)</v>
      </c>
      <c r="G639" s="15" t="str">
        <f>IF(A641=A642,_xll.ciqfunctions.udf.CIQ(A633,"IQ_EBITDA_MARGIN",IQ_FY-4), _xll.ciqfunctions.udf.CIQ(A633, "IQ_EBITDA_MARGIN",IQ_FY-3))</f>
        <v>(Invalid Identifier)</v>
      </c>
      <c r="H639" s="15" t="e">
        <f>IF(A641=A642,_xll.ciqfunctions.udf.CIQ(A633,"IQ_TOTAL_DIV_PAID_CF",IQ_FY-4)/-I639, _xll.ciqfunctions.udf.CIQ(A633, "IQ_TOTAL_DIV_PAID_CF",IQ_FY-3)/-I639)</f>
        <v>#VALUE!</v>
      </c>
      <c r="I639" s="17" t="str">
        <f>IF(A641=A642,_xll.ciqfunctions.udf.CIQ(A633,"IQ_TOTAL_OUTSTANDING_FILING_DATE",IQ_FY-4), _xll.ciqfunctions.udf.CIQ(A633, "IQ_TOTAL_OUTSTANDING_FILING_DATE",IQ_FY-3))</f>
        <v>(Invalid Identifier)</v>
      </c>
      <c r="J639" s="17" t="str">
        <f>IF(A641=A642,_xll.ciqfunctions.udf.CIQ(A633,"IQ_CASH_OPER",IQ_FY-4), _xll.ciqfunctions.udf.CIQ(A633, "IQ_CASH_OPER",IQ_FY-3))</f>
        <v>(Invalid Identifier)</v>
      </c>
      <c r="K639" s="17" t="str">
        <f>IF(A641=A642,_xll.ciqfunctions.udf.CIQ(A633,"IQ_CAPEX",IQ_FY-4), _xll.ciqfunctions.udf.CIQ(A633, "IQ_CAPEX",IQ_FY-3))</f>
        <v>(Invalid Identifier)</v>
      </c>
      <c r="L639" s="15" t="e">
        <f t="shared" si="168"/>
        <v>#VALUE!</v>
      </c>
      <c r="M639" s="17" t="str">
        <f>IF(A641=A642,_xll.ciqfunctions.udf.CIQ(A633,"IQ_TOTAL_DEBT_ISSUED",IQ_FY-4), _xll.ciqfunctions.udf.CIQ(A633, "IQ_TOTAL_DEBT_ISSUED",IQ_FY-3))</f>
        <v>(Invalid Identifier)</v>
      </c>
      <c r="N639" s="17" t="str">
        <f>IF(A641=A642,_xll.ciqfunctions.udf.CIQ(A633,"IQ_TOTAL_DEBT_REPAID",IQ_FY-4), _xll.ciqfunctions.udf.CIQ(A633, "IQ_TOTAL_DEBT_REPAID",IQ_FY-3))</f>
        <v>(Invalid Identifier)</v>
      </c>
      <c r="O639" s="15" t="e">
        <f t="shared" si="169"/>
        <v>#VALUE!</v>
      </c>
      <c r="P639" s="15" t="e">
        <f t="shared" si="170"/>
        <v>#VALUE!</v>
      </c>
      <c r="Q639" s="18"/>
      <c r="R639" s="38" t="s">
        <v>29</v>
      </c>
      <c r="S639" s="4" t="e">
        <f>(AVERAGE(P638:P643)/_xlfn.STDEV.P(P638:P643))/(IF(A641=A642,(_xlfn.SINGLE(_xll.ciqfunctions.udf.CIQ(A633,"IQ_total_assets",IQ_FY)) - _xlfn.SINGLE(_xll.ciqfunctions.udf.CIQ(A633,"iq_gw_intan", IQ_FY)))/I643, (_xlfn.SINGLE(_xll.ciqfunctions.udf.CIQ(A633, "IQ_total_assets",IQ_LTM))-_xlfn.SINGLE(_xll.ciqfunctions.udf.CIQ(A633,"iq_gw_intan",IQ_LTM)))/I643))</f>
        <v>#VALUE!</v>
      </c>
      <c r="U639" s="18"/>
      <c r="V639" s="38" t="s">
        <v>29</v>
      </c>
      <c r="W639" s="4" t="e">
        <f>(AVERAGE(P638:P643)/_xlfn.STDEV.P(P638:P643))/(IF(A641=A642,(_xlfn.SINGLE(_xll.ciqfunctions.udf.CIQ(A633,"IQ_total_assets",IQ_FY)) - _xlfn.SINGLE(_xll.ciqfunctions.udf.CIQ(A633,"iq_gw_intan", IQ_FY)))/I643, (_xlfn.SINGLE(_xll.ciqfunctions.udf.CIQ(A633, "IQ_total_assets",IQ_LTM))-_xlfn.SINGLE(_xll.ciqfunctions.udf.CIQ(A633,"iq_gw_intan",IQ_LTM)))/I643))</f>
        <v>#VALUE!</v>
      </c>
      <c r="Y639" s="18"/>
      <c r="Z639" s="38" t="s">
        <v>29</v>
      </c>
      <c r="AA639" s="4" t="e">
        <f>(AVERAGE(P638:P643)/_xlfn.STDEV.P(P638:P643))/(IF(A641=A642,(_xlfn.SINGLE(_xll.ciqfunctions.udf.CIQ(A633,"IQ_total_assets",IQ_FY)) - _xlfn.SINGLE(_xll.ciqfunctions.udf.CIQ(A633,"iq_gw_intan", IQ_FY)))/I643, (_xlfn.SINGLE(_xll.ciqfunctions.udf.CIQ(A633, "IQ_total_assets",IQ_LTM))-_xlfn.SINGLE(_xll.ciqfunctions.udf.CIQ(A633,"iq_gw_intan",IQ_LTM)))/I643))</f>
        <v>#VALUE!</v>
      </c>
    </row>
    <row r="640" spans="1:27">
      <c r="A640" s="18"/>
      <c r="B640" s="13">
        <v>8</v>
      </c>
      <c r="C640" s="14" t="s">
        <v>30</v>
      </c>
      <c r="D640" s="15" t="e" cm="1">
        <f t="array" ref="D640">_xlfn.SINGLE(IF(A641=A642,_xll.ciqfunctions.udf.CIQ(A633,"IQ_TOTAL_REV",IQ_FY-3)/I640, _xll.ciqfunctions.udf.CIQ(A633, "IQ_TOTAL_REV",IQ_FY-2)/I640))</f>
        <v>#VALUE!</v>
      </c>
      <c r="E640" s="16" t="e">
        <f t="shared" si="171"/>
        <v>#VALUE!</v>
      </c>
      <c r="F640" s="15" t="str">
        <f>IF(A641=A642,_xll.ciqfunctions.udf.CIQ(A633,"IQ_DILUT_EPS_EXCL",IQ_FY-3), _xll.ciqfunctions.udf.CIQ(A633, "IQ_DILUT_EPS_EXCL",IQ_FY-2))</f>
        <v>(Invalid Identifier)</v>
      </c>
      <c r="G640" s="15" t="str">
        <f>IF(A641=A642,_xll.ciqfunctions.udf.CIQ(A633,"IQ_EBITDA_MARGIN",IQ_FY-3), _xll.ciqfunctions.udf.CIQ(A633, "IQ_EBITDA_MARGIN",IQ_FY-2))</f>
        <v>(Invalid Identifier)</v>
      </c>
      <c r="H640" s="15" t="e">
        <f>IF(A641=A642,_xll.ciqfunctions.udf.CIQ(A633,"IQ_TOTAL_DIV_PAID_CF",IQ_FY-3)/-I640, _xll.ciqfunctions.udf.CIQ(A633, "IQ_TOTAL_DIV_PAID_CF",IQ_FY-2)/-I640)</f>
        <v>#VALUE!</v>
      </c>
      <c r="I640" s="17" t="str">
        <f>IF(A641=A642,_xll.ciqfunctions.udf.CIQ(A633,"IQ_TOTAL_OUTSTANDING_FILING_DATE",IQ_FY-3), _xll.ciqfunctions.udf.CIQ(A633, "IQ_TOTAL_OUTSTANDING_FILING_DATE",IQ_FY-2))</f>
        <v>(Invalid Identifier)</v>
      </c>
      <c r="J640" s="17" t="str">
        <f>IF(A641=A642,_xll.ciqfunctions.udf.CIQ(A633,"IQ_CASH_OPER",IQ_FY-3), _xll.ciqfunctions.udf.CIQ(A633, "IQ_CASH_OPER",IQ_FY-2))</f>
        <v>(Invalid Identifier)</v>
      </c>
      <c r="K640" s="17" t="str">
        <f>IF(A641=A642,_xll.ciqfunctions.udf.CIQ(A633,"IQ_CAPEX",IQ_FY-3), _xll.ciqfunctions.udf.CIQ(A633, "IQ_CAPEX",IQ_FY-2))</f>
        <v>(Invalid Identifier)</v>
      </c>
      <c r="L640" s="15" t="e">
        <f t="shared" si="168"/>
        <v>#VALUE!</v>
      </c>
      <c r="M640" s="17" t="str">
        <f>IF(A641=A642,_xll.ciqfunctions.udf.CIQ(A633,"IQ_TOTAL_DEBT_ISSUED",IQ_FY-3), _xll.ciqfunctions.udf.CIQ(A633, "IQ_TOTAL_DEBT_ISSUED",IQ_FY-2))</f>
        <v>(Invalid Identifier)</v>
      </c>
      <c r="N640" s="17" t="str">
        <f>IF(A641=A642,_xll.ciqfunctions.udf.CIQ(A633,"IQ_TOTAL_DEBT_REPAID",IQ_FY-3), _xll.ciqfunctions.udf.CIQ(A633, "IQ_TOTAL_DEBT_REPAID",IQ_FY-2))</f>
        <v>(Invalid Identifier)</v>
      </c>
      <c r="O640" s="15" t="e">
        <f t="shared" si="169"/>
        <v>#VALUE!</v>
      </c>
      <c r="P640" s="15" t="e">
        <f t="shared" si="170"/>
        <v>#VALUE!</v>
      </c>
      <c r="Q640" s="18"/>
      <c r="R640" s="39" t="s">
        <v>31</v>
      </c>
      <c r="S640" s="5" t="e">
        <f>IF(NOT(D633&gt;0),FALSE,SLOPE(G633:G643,B633:B643))</f>
        <v>#VALUE!</v>
      </c>
      <c r="U640" s="18"/>
      <c r="V640" s="39" t="s">
        <v>31</v>
      </c>
      <c r="W640" s="5" t="e">
        <f>IF(NOT(D633&gt;0),FALSE,SLOPE(G633:G643,B633:B643))</f>
        <v>#VALUE!</v>
      </c>
      <c r="Y640" s="18"/>
      <c r="Z640" s="39" t="s">
        <v>31</v>
      </c>
      <c r="AA640" s="5" t="e">
        <f>IF(NOT(L633&gt;0),FALSE,SLOPE(O633:O643,J633:J643))</f>
        <v>#VALUE!</v>
      </c>
    </row>
    <row r="641" spans="1:27">
      <c r="A641" s="19" t="str">
        <f>_xll.ciqfunctions.udf.CIQ(A633,"IQ_TOTAL_REV",IQ_FY)</f>
        <v>(Invalid Identifier)</v>
      </c>
      <c r="B641" s="13">
        <v>9</v>
      </c>
      <c r="C641" s="14" t="s">
        <v>32</v>
      </c>
      <c r="D641" s="15" t="e" cm="1">
        <f t="array" ref="D641">_xlfn.SINGLE(IF(A641=A642,_xll.ciqfunctions.udf.CIQ(A633,"IQ_TOTAL_REV",IQ_FY-2)/I641, _xll.ciqfunctions.udf.CIQ(A633, "IQ_TOTAL_REV",IQ_FY-1)/I641))</f>
        <v>#VALUE!</v>
      </c>
      <c r="E641" s="16" t="e">
        <f t="shared" si="171"/>
        <v>#VALUE!</v>
      </c>
      <c r="F641" s="15" t="str">
        <f>IF(A641=A642,_xll.ciqfunctions.udf.CIQ(A633,"IQ_DILUT_EPS_EXCL",IQ_FY-2), _xll.ciqfunctions.udf.CIQ(A633, "IQ_DILUT_EPS_EXCL",IQ_FY-1))</f>
        <v>(Invalid Identifier)</v>
      </c>
      <c r="G641" s="15" t="str">
        <f>IF(A641=A642,_xll.ciqfunctions.udf.CIQ(A633,"IQ_EBITDA_MARGIN",IQ_FY-2), _xll.ciqfunctions.udf.CIQ(A633, "IQ_EBITDA_MARGIN",IQ_FY-1))</f>
        <v>(Invalid Identifier)</v>
      </c>
      <c r="H641" s="15" t="e">
        <f>IF(A641=A642,_xll.ciqfunctions.udf.CIQ(A633,"IQ_TOTAL_DIV_PAID_CF",IQ_FY-2)/-I641, _xll.ciqfunctions.udf.CIQ(A633, "IQ_TOTAL_DIV_PAID_CF",IQ_FY-1)/-I641)</f>
        <v>#VALUE!</v>
      </c>
      <c r="I641" s="17" t="str">
        <f>IF(A641=A642,_xll.ciqfunctions.udf.CIQ(A633,"IQ_TOTAL_OUTSTANDING_FILING_DATE",IQ_FY-2), _xll.ciqfunctions.udf.CIQ(A633, "IQ_TOTAL_OUTSTANDING_FILING_DATE",IQ_FY-1))</f>
        <v>(Invalid Identifier)</v>
      </c>
      <c r="J641" s="17" t="str">
        <f>IF(A641=A642,_xll.ciqfunctions.udf.CIQ(A633,"IQ_CASH_OPER",IQ_FY-2), _xll.ciqfunctions.udf.CIQ(A633, "IQ_CASH_OPER",IQ_FY-1))</f>
        <v>(Invalid Identifier)</v>
      </c>
      <c r="K641" s="17" t="str">
        <f>IF(A641=A642,_xll.ciqfunctions.udf.CIQ(A633,"IQ_CAPEX",IQ_FY-2), _xll.ciqfunctions.udf.CIQ(A633, "IQ_CAPEX",IQ_FY-1))</f>
        <v>(Invalid Identifier)</v>
      </c>
      <c r="L641" s="15" t="e">
        <f t="shared" si="168"/>
        <v>#VALUE!</v>
      </c>
      <c r="M641" s="17" t="str">
        <f>IF(A641=A642,_xll.ciqfunctions.udf.CIQ(A633,"IQ_TOTAL_DEBT_ISSUED",IQ_FY-2), _xll.ciqfunctions.udf.CIQ(A633, "IQ_TOTAL_DEBT_ISSUED",IQ_FY-1))</f>
        <v>(Invalid Identifier)</v>
      </c>
      <c r="N641" s="17" t="str">
        <f>IF(A641=A642,_xll.ciqfunctions.udf.CIQ(A633,"IQ_TOTAL_DEBT_REPAID",IQ_FY-2), _xll.ciqfunctions.udf.CIQ(A633, "IQ_TOTAL_DEBT_REPAID",IQ_FY-1))</f>
        <v>(Invalid Identifier)</v>
      </c>
      <c r="O641" s="15" t="e">
        <f t="shared" si="169"/>
        <v>#VALUE!</v>
      </c>
      <c r="P641" s="15" t="e">
        <f t="shared" si="170"/>
        <v>#VALUE!</v>
      </c>
      <c r="Q641" s="25" t="s">
        <v>33</v>
      </c>
      <c r="R641" s="38" t="s">
        <v>52</v>
      </c>
      <c r="S641" s="4" t="e">
        <f>(AVERAGE(O638:O643)/AVERAGE(P638:P643))</f>
        <v>#VALUE!</v>
      </c>
      <c r="U641" s="25" t="s">
        <v>54</v>
      </c>
      <c r="V641" s="38" t="s">
        <v>52</v>
      </c>
      <c r="W641" s="4" t="e">
        <f>(AVERAGE(O638:O643)/AVERAGE(P638:P643))</f>
        <v>#VALUE!</v>
      </c>
      <c r="Y641" s="25" t="s">
        <v>60</v>
      </c>
      <c r="Z641" s="38" t="s">
        <v>52</v>
      </c>
      <c r="AA641" s="4" t="e">
        <f>(AVERAGE(O638:O643)/AVERAGE(P638:P643))</f>
        <v>#VALUE!</v>
      </c>
    </row>
    <row r="642" spans="1:27">
      <c r="A642" s="19" t="str">
        <f>_xll.ciqfunctions.udf.CIQ(A633,"IQ_TOTAL_REV",IQ_LTM)</f>
        <v>(Invalid Identifier)</v>
      </c>
      <c r="B642" s="13">
        <v>10</v>
      </c>
      <c r="C642" s="14" t="s">
        <v>34</v>
      </c>
      <c r="D642" s="15" t="e" cm="1">
        <f t="array" ref="D642">_xlfn.SINGLE(IF(A641=A642,_xll.ciqfunctions.udf.CIQ(A633,"IQ_TOTAL_REV",IQ_FY-1)/I642, _xll.ciqfunctions.udf.CIQ(A633, "IQ_TOTAL_REV",IQ_FY)/I642))</f>
        <v>#VALUE!</v>
      </c>
      <c r="E642" s="16" t="e">
        <f t="shared" si="171"/>
        <v>#VALUE!</v>
      </c>
      <c r="F642" s="15" t="str">
        <f>IF(A641=A642,_xll.ciqfunctions.udf.CIQ(A633,"IQ_DILUT_EPS_EXCL",IQ_FY-1), _xll.ciqfunctions.udf.CIQ(A633, "IQ_DILUT_EPS_EXCL",IQ_FY))</f>
        <v>(Invalid Identifier)</v>
      </c>
      <c r="G642" s="15" t="str">
        <f>IF(A641=A642,_xll.ciqfunctions.udf.CIQ(A633,"IQ_EBITDA_MARGIN",IQ_FY-1), _xll.ciqfunctions.udf.CIQ(A633, "IQ_EBITDA_MARGIN",IQ_FY))</f>
        <v>(Invalid Identifier)</v>
      </c>
      <c r="H642" s="15" t="e">
        <f>IF(A641=A642,_xll.ciqfunctions.udf.CIQ(A633,"IQ_TOTAL_DIV_PAID_CF",IQ_FY-1)/-I642, _xll.ciqfunctions.udf.CIQ(A633, "IQ_TOTAL_DIV_PAID_CF",IQ_FY)/-I642)</f>
        <v>#VALUE!</v>
      </c>
      <c r="I642" s="17" t="str">
        <f>IF(A641=A642,_xll.ciqfunctions.udf.CIQ(A633,"IQ_TOTAL_OUTSTANDING_FILING_DATE",IQ_FY-1), _xll.ciqfunctions.udf.CIQ(A633, "IQ_TOTAL_OUTSTANDING_FILING_DATE",IQ_FY))</f>
        <v>(Invalid Identifier)</v>
      </c>
      <c r="J642" s="17" t="str">
        <f>IF(A641=A642,_xll.ciqfunctions.udf.CIQ(A633,"IQ_CASH_OPER",IQ_FY-1), _xll.ciqfunctions.udf.CIQ(A633, "IQ_CASH_OPER",IQ_FY))</f>
        <v>(Invalid Identifier)</v>
      </c>
      <c r="K642" s="17" t="str">
        <f>IF(A641=A642,_xll.ciqfunctions.udf.CIQ(A633,"IQ_CAPEX",IQ_FY-1), _xll.ciqfunctions.udf.CIQ(A633, "IQ_CAPEX",IQ_FY))</f>
        <v>(Invalid Identifier)</v>
      </c>
      <c r="L642" s="15" t="e">
        <f t="shared" si="168"/>
        <v>#VALUE!</v>
      </c>
      <c r="M642" s="17" t="str">
        <f>IF(A641=A642,_xll.ciqfunctions.udf.CIQ(A633,"IQ_TOTAL_DEBT_ISSUED",IQ_FY-1), _xll.ciqfunctions.udf.CIQ(A633, "IQ_TOTAL_DEBT_ISSUED",IQ_FY))</f>
        <v>(Invalid Identifier)</v>
      </c>
      <c r="N642" s="17" t="str">
        <f>IF(A641=A642,_xll.ciqfunctions.udf.CIQ(A633,"IQ_TOTAL_DEBT_REPAID",IQ_FY-1), _xll.ciqfunctions.udf.CIQ(A633, "IQ_TOTAL_DEBT_REPAID",IQ_FY))</f>
        <v>(Invalid Identifier)</v>
      </c>
      <c r="O642" s="15" t="e">
        <f t="shared" si="169"/>
        <v>#VALUE!</v>
      </c>
      <c r="P642" s="15" t="e">
        <f t="shared" si="170"/>
        <v>#VALUE!</v>
      </c>
      <c r="Q642" s="25" t="s">
        <v>44</v>
      </c>
      <c r="R642" s="38" t="s">
        <v>35</v>
      </c>
      <c r="S642" s="1" t="str">
        <f>_xll.ciqfunctions.udf.CIQ(A633,"IQ_TEV_EBITDA")</f>
        <v>(Invalid Identifier)</v>
      </c>
      <c r="U642" s="25" t="s">
        <v>55</v>
      </c>
      <c r="V642" s="38" t="s">
        <v>53</v>
      </c>
      <c r="W642" s="1" t="e">
        <f>V632/(AVERAGE(D638:D643)/_xlfn.STDEV.P(E638:E643))</f>
        <v>#VALUE!</v>
      </c>
      <c r="Y642" s="25" t="s">
        <v>57</v>
      </c>
      <c r="Z642" s="38" t="s">
        <v>53</v>
      </c>
      <c r="AA642" s="1" t="e">
        <f>Z632/(AVERAGE(D638:D643)/_xlfn.STDEV.P(E638:E643))</f>
        <v>#VALUE!</v>
      </c>
    </row>
    <row r="643" spans="1:27">
      <c r="B643" s="13">
        <v>11</v>
      </c>
      <c r="C643" s="20" t="s">
        <v>36</v>
      </c>
      <c r="D643" s="21" t="e" cm="1">
        <f t="array" ref="D643">_xlfn.SINGLE(IF(A641=A642,_xll.ciqfunctions.udf.CIQ(A633,"IQ_TOTAL_REV",IQ_FY)/I643, _xll.ciqfunctions.udf.CIQ(A633, "IQ_TOTAL_REV",IQ_LTM)/I643))</f>
        <v>#VALUE!</v>
      </c>
      <c r="E643" s="22" t="e">
        <f t="shared" si="171"/>
        <v>#VALUE!</v>
      </c>
      <c r="F643" s="21" t="str">
        <f>IF(A641=A642,_xll.ciqfunctions.udf.CIQ(A633,"IQ_DILUT_EPS_EXCL",IQ_FY), _xll.ciqfunctions.udf.CIQ(A633, "IQ_DILUT_EPS_EXCL",IQ_LTM))</f>
        <v>(Invalid Identifier)</v>
      </c>
      <c r="G643" s="21" t="str">
        <f>IF(A641=A642,_xll.ciqfunctions.udf.CIQ(A633,"IQ_EBITDA_MARGIN",IQ_FY), _xll.ciqfunctions.udf.CIQ(A633, "IQ_EBITDA_MARGIN",IQ_LTM))</f>
        <v>(Invalid Identifier)</v>
      </c>
      <c r="H643" s="21" t="e">
        <f>IF(A641=A642,_xll.ciqfunctions.udf.CIQ(A633,"IQ_TOTAL_DIV_PAID_CF",IQ_FY)/-I643, _xll.ciqfunctions.udf.CIQ(A633, "IQ_TOTAL_DIV_PAID_CF",IQ_LTM)/-I643)</f>
        <v>#VALUE!</v>
      </c>
      <c r="I643" s="23" t="str">
        <f>IF(A641=A642,_xll.ciqfunctions.udf.CIQ(A633,"IQ_TOTAL_OUTSTANDING_FILING_DATE",IQ_FY),_xll.ciqfunctions.udf.CIQ(A633,"IQ_sharesoutstanding"))</f>
        <v>(Invalid Identifier)</v>
      </c>
      <c r="J643" s="23" t="str">
        <f>IF(A641=A642,_xll.ciqfunctions.udf.CIQ(A633,"IQ_CASH_OPER",IQ_FY), _xll.ciqfunctions.udf.CIQ(A633, "IQ_CASH_OPER",IQ_LTM))</f>
        <v>(Invalid Identifier)</v>
      </c>
      <c r="K643" s="23" t="str">
        <f>IF(A641=A642,_xll.ciqfunctions.udf.CIQ(A633,"IQ_CAPEX",IQ_FY), _xll.ciqfunctions.udf.CIQ(A633, "IQ_CAPEX",IQ_LTM))</f>
        <v>(Invalid Identifier)</v>
      </c>
      <c r="L643" s="21" t="e">
        <f t="shared" si="168"/>
        <v>#VALUE!</v>
      </c>
      <c r="M643" s="23" t="str">
        <f>IF(A641=A642,_xll.ciqfunctions.udf.CIQ(A633,"IQ_TOTAL_DEBT_ISSUED",IQ_FY), _xll.ciqfunctions.udf.CIQ(A633, "IQ_TOTAL_DEBT_ISSUED",IQ_LTM))</f>
        <v>(Invalid Identifier)</v>
      </c>
      <c r="N643" s="23" t="str">
        <f>IF(A641=A642,_xll.ciqfunctions.udf.CIQ(A633,"IQ_TOTAL_DEBT_REPAID",IQ_FY), _xll.ciqfunctions.udf.CIQ(A633, "IQ_TOTAL_DEBT_REPAID",IQ_LTM))</f>
        <v>(Invalid Identifier)</v>
      </c>
      <c r="O643" s="21" t="e">
        <f t="shared" si="169"/>
        <v>#VALUE!</v>
      </c>
      <c r="P643" s="21" t="e">
        <f t="shared" si="170"/>
        <v>#VALUE!</v>
      </c>
      <c r="Q643" s="25" t="s">
        <v>45</v>
      </c>
      <c r="S643" s="45"/>
      <c r="U643" s="25"/>
      <c r="W643" s="45"/>
      <c r="Y643" s="25"/>
      <c r="AA643" s="45"/>
    </row>
    <row r="644" spans="1:27">
      <c r="B644" s="24"/>
      <c r="C644" s="25" t="s">
        <v>37</v>
      </c>
      <c r="E644" s="26" t="e">
        <f>((D643/D638)^(1/5))-1</f>
        <v>#VALUE!</v>
      </c>
      <c r="F644" s="27" t="e">
        <f>((F643/F638)^(1/5))-1</f>
        <v>#VALUE!</v>
      </c>
      <c r="G644" s="28"/>
      <c r="H644" s="27" t="e">
        <f>((H643/H638)^(1/5))-1</f>
        <v>#VALUE!</v>
      </c>
      <c r="I644" s="27" t="e">
        <f>((I643/I638)^(1/5))-1</f>
        <v>#VALUE!</v>
      </c>
      <c r="J644" s="27"/>
      <c r="K644" s="27"/>
      <c r="L644" s="26" t="e">
        <f>((L643/L638)^(1/5))-1</f>
        <v>#VALUE!</v>
      </c>
      <c r="M644" s="26"/>
      <c r="N644" s="26"/>
      <c r="O644" s="26"/>
      <c r="P644" s="26" t="e">
        <f>((P643/P638)^(1/5))-1</f>
        <v>#VALUE!</v>
      </c>
      <c r="Q644" s="18"/>
      <c r="R644" s="36"/>
      <c r="S644" s="45"/>
      <c r="U644" s="18"/>
      <c r="V644" s="36"/>
      <c r="W644" s="45"/>
      <c r="Y644" s="18"/>
      <c r="Z644" s="36"/>
      <c r="AA644" s="45"/>
    </row>
    <row r="645" spans="1:27">
      <c r="A645" s="29"/>
      <c r="B645" s="30"/>
      <c r="C645" s="31" t="s">
        <v>38</v>
      </c>
      <c r="D645" s="29"/>
      <c r="E645" s="32" t="e">
        <f>((D643/D633)^(1/10))-1</f>
        <v>#VALUE!</v>
      </c>
      <c r="F645" s="33" t="e">
        <f>((F643/F633)^(1/10))-1</f>
        <v>#VALUE!</v>
      </c>
      <c r="G645" s="34"/>
      <c r="H645" s="33" t="e">
        <f>((H643/H633)^(1/10))-1</f>
        <v>#VALUE!</v>
      </c>
      <c r="I645" s="33" t="e">
        <f>((I643/I633)^(1/10))-1</f>
        <v>#VALUE!</v>
      </c>
      <c r="J645" s="33"/>
      <c r="K645" s="33"/>
      <c r="L645" s="32" t="e">
        <f>((L643/L633)^(1/10))-1</f>
        <v>#VALUE!</v>
      </c>
      <c r="M645" s="32"/>
      <c r="N645" s="32"/>
      <c r="O645" s="32"/>
      <c r="P645" s="32" t="e">
        <f>((P643/P633)^(1/10))-1</f>
        <v>#VALUE!</v>
      </c>
      <c r="Q645" s="40"/>
      <c r="R645" s="41"/>
      <c r="S645" s="46"/>
      <c r="U645" s="40"/>
      <c r="V645" s="41"/>
      <c r="W645" s="46"/>
      <c r="Y645" s="40"/>
      <c r="Z645" s="41"/>
      <c r="AA645" s="46"/>
    </row>
    <row r="646" spans="1:27">
      <c r="B646" s="24"/>
      <c r="C646" s="25"/>
      <c r="E646" s="26"/>
      <c r="F646" s="27"/>
      <c r="G646" s="28"/>
      <c r="H646" s="27"/>
      <c r="I646" s="27"/>
      <c r="J646" s="27"/>
      <c r="K646" s="27"/>
      <c r="L646" s="26"/>
      <c r="M646" s="17"/>
      <c r="N646" s="17"/>
      <c r="O646" s="17"/>
      <c r="P646" s="35"/>
      <c r="Q646" s="18"/>
      <c r="R646" s="36"/>
    </row>
    <row r="647" spans="1:27">
      <c r="A647" s="9" t="s">
        <v>0</v>
      </c>
      <c r="B647" s="10"/>
      <c r="C647" s="9" t="s">
        <v>1</v>
      </c>
      <c r="D647" s="9" t="s">
        <v>2</v>
      </c>
      <c r="E647" s="9" t="s">
        <v>3</v>
      </c>
      <c r="F647" s="11" t="s">
        <v>4</v>
      </c>
      <c r="G647" s="11" t="s">
        <v>5</v>
      </c>
      <c r="H647" s="9" t="s">
        <v>6</v>
      </c>
      <c r="I647" s="11" t="s">
        <v>7</v>
      </c>
      <c r="J647" s="11" t="s">
        <v>8</v>
      </c>
      <c r="K647" s="11" t="s">
        <v>9</v>
      </c>
      <c r="L647" s="11" t="s">
        <v>10</v>
      </c>
      <c r="M647" s="11" t="s">
        <v>11</v>
      </c>
      <c r="N647" s="11" t="s">
        <v>12</v>
      </c>
      <c r="O647" s="11" t="s">
        <v>13</v>
      </c>
      <c r="P647" s="11" t="s">
        <v>14</v>
      </c>
      <c r="Q647" s="37" t="s">
        <v>15</v>
      </c>
      <c r="R647" s="42">
        <f>_xll.ciqfunctions.udf.CIQ(A648,("IQ_LASTSALEPRICE"))</f>
        <v>53.61</v>
      </c>
      <c r="S647" s="44"/>
      <c r="U647" s="37" t="s">
        <v>15</v>
      </c>
      <c r="V647" s="42">
        <f>_xll.ciqfunctions.udf.CIQ(A648,("IQ_LASTSALEPRICE"))</f>
        <v>53.61</v>
      </c>
      <c r="W647" s="44"/>
      <c r="Y647" s="37" t="s">
        <v>15</v>
      </c>
      <c r="Z647" s="42">
        <f>_xll.ciqfunctions.udf.CIQ(A648,("IQ_LASTSALEPRICE"))</f>
        <v>53.61</v>
      </c>
      <c r="AA647" s="44"/>
    </row>
    <row r="648" spans="1:27">
      <c r="A648" s="12" t="str">
        <f>Analysis!B45</f>
        <v>NasdaqGS:FTNT</v>
      </c>
      <c r="B648" s="13">
        <v>1</v>
      </c>
      <c r="C648" s="14" t="s">
        <v>16</v>
      </c>
      <c r="D648" s="15">
        <f>IF(A656=A657,_xll.ciqfunctions.udf.CIQ(A648,"IQ_TOTAL_REV",IQ_FY-10)/I648,_xll.ciqfunctions.udf.CIQ(A648, "IQ_TOTAL_REV",IQ_FY-9)/I648)</f>
        <v>0.75564566036402558</v>
      </c>
      <c r="E648" s="16"/>
      <c r="F648" s="15">
        <f>IF(A656=A657,_xll.ciqfunctions.udf.CIQ(A648,"IQ_DILUT_EPS_EXCL",IQ_FY-10), _xll.ciqfunctions.udf.CIQ(A648, "IQ_DILUT_EPS_EXCL",IQ_FY-9))</f>
        <v>5.1999999999999998E-2</v>
      </c>
      <c r="G648" s="15">
        <f>IF(A656=A657,_xll.ciqfunctions.udf.CIQ(A648,"IQ_EBITDA_MARGIN",IQ_FY-10), _xll.ciqfunctions.udf.CIQ(A648, "IQ_EBITDA_MARGIN",IQ_FY-9))</f>
        <v>14.2553</v>
      </c>
      <c r="H648" s="15">
        <f>IF(A656=A657,_xll.ciqfunctions.udf.CIQ(A648,"IQ_TOTAL_DIV_PAID_CF",IQ_FY-10)/-I648, _xll.ciqfunctions.udf.CIQ(A648, "IQ_TOTAL_DIV_PAID_CF",IQ_FY-9)/-I648)</f>
        <v>0</v>
      </c>
      <c r="I648" s="17">
        <f>IF(A656=A657,_xll.ciqfunctions.udf.CIQ(A648,"IQ_TOTAL_OUTSTANDING_FILING_DATE",IQ_FY-10), _xll.ciqfunctions.udf.CIQ(A648, "IQ_TOTAL_OUTSTANDING_FILING_DATE",IQ_FY-9))</f>
        <v>814.26657</v>
      </c>
      <c r="J648" s="17">
        <f>IF(A656=A657,_xll.ciqfunctions.udf.CIQ(A648,"IQ_CASH_OPER",IQ_FY-10), _xll.ciqfunctions.udf.CIQ(A648, "IQ_CASH_OPER",IQ_FY-9))</f>
        <v>147.38399999999999</v>
      </c>
      <c r="K648" s="17">
        <f>IF(A656=A657,_xll.ciqfunctions.udf.CIQ(A648,"IQ_CAPEX",IQ_FY-10), _xll.ciqfunctions.udf.CIQ(A648, "IQ_CAPEX",IQ_FY-9))</f>
        <v>-13.877000000000001</v>
      </c>
      <c r="L648" s="15">
        <f t="shared" ref="L648:L658" si="172">(J648+K648)/I648</f>
        <v>0.16395981969393633</v>
      </c>
      <c r="M648" s="17">
        <f>IF(A656=A657,_xll.ciqfunctions.udf.CIQ(A648,"IQ_TOTAL_DEBT_ISSUED",IQ_FY-10), _xll.ciqfunctions.udf.CIQ(A648, "IQ_TOTAL_DEBT_ISSUED",IQ_FY-9))</f>
        <v>0</v>
      </c>
      <c r="N648" s="17">
        <f>IF(A656=A657,_xll.ciqfunctions.udf.CIQ(A648,"IQ_TOTAL_DEBT_REPAID",IQ_FY-10), _xll.ciqfunctions.udf.CIQ(A648, "IQ_TOTAL_DEBT_REPAID",IQ_FY-9))</f>
        <v>0</v>
      </c>
      <c r="O648" s="15">
        <f t="shared" ref="O648:O658" si="173">(M648+N648)/I648</f>
        <v>0</v>
      </c>
      <c r="P648" s="15">
        <f t="shared" ref="P648:P658" si="174">L648+O648</f>
        <v>0.16395981969393633</v>
      </c>
      <c r="W648" s="43"/>
      <c r="AA648" s="43"/>
    </row>
    <row r="649" spans="1:27">
      <c r="A649" s="18" t="str">
        <f>_xll.ciqfunctions.udf.CIQ(A648,"IQ_COMPANY_NAME")</f>
        <v>Fortinet, Inc.</v>
      </c>
      <c r="B649" s="13">
        <v>2</v>
      </c>
      <c r="C649" s="14" t="s">
        <v>17</v>
      </c>
      <c r="D649" s="15">
        <f>IF(A656=A657,_xll.ciqfunctions.udf.CIQ(A648,"IQ_TOTAL_REV",IQ_FY-9)/I649, _xll.ciqfunctions.udf.CIQ(A648, "IQ_TOTAL_REV",IQ_FY-8)/I649)</f>
        <v>0.91239972934666447</v>
      </c>
      <c r="E649" s="16">
        <f t="shared" ref="E649:E658" si="175">(D649-D648)/D648</f>
        <v>0.20744388170921804</v>
      </c>
      <c r="F649" s="15">
        <f>IF(A656=A657,_xll.ciqfunctions.udf.CIQ(A648,"IQ_DILUT_EPS_EXCL",IQ_FY-9), _xll.ciqfunctions.udf.CIQ(A648, "IQ_DILUT_EPS_EXCL",IQ_FY-8))</f>
        <v>0.03</v>
      </c>
      <c r="G649" s="15">
        <f>IF(A656=A657,_xll.ciqfunctions.udf.CIQ(A648,"IQ_EBITDA_MARGIN",IQ_FY-9), _xll.ciqfunctions.udf.CIQ(A648, "IQ_EBITDA_MARGIN",IQ_FY-8))</f>
        <v>10.1707</v>
      </c>
      <c r="H649" s="15">
        <f>IF(A656=A657,_xll.ciqfunctions.udf.CIQ(A648,"IQ_TOTAL_DIV_PAID_CF",IQ_FY-9)/-I649, _xll.ciqfunctions.udf.CIQ(A648, "IQ_TOTAL_DIV_PAID_CF",IQ_FY-8)/-I649)</f>
        <v>0</v>
      </c>
      <c r="I649" s="17">
        <f>IF(A656=A657,_xll.ciqfunctions.udf.CIQ(A648,"IQ_TOTAL_OUTSTANDING_FILING_DATE",IQ_FY-9), _xll.ciqfunctions.udf.CIQ(A648, "IQ_TOTAL_OUTSTANDING_FILING_DATE",IQ_FY-8))</f>
        <v>844.32730000000004</v>
      </c>
      <c r="J649" s="17">
        <f>IF(A656=A657,_xll.ciqfunctions.udf.CIQ(A648,"IQ_CASH_OPER",IQ_FY-9), _xll.ciqfunctions.udf.CIQ(A648, "IQ_CASH_OPER",IQ_FY-8))</f>
        <v>196.58199999999999</v>
      </c>
      <c r="K649" s="17">
        <f>IF(A656=A657,_xll.ciqfunctions.udf.CIQ(A648,"IQ_CAPEX",IQ_FY-9), _xll.ciqfunctions.udf.CIQ(A648, "IQ_CAPEX",IQ_FY-8))</f>
        <v>-32.197000000000003</v>
      </c>
      <c r="L649" s="15">
        <f t="shared" si="172"/>
        <v>0.19469345596192375</v>
      </c>
      <c r="M649" s="17">
        <f>IF(A656=A657,_xll.ciqfunctions.udf.CIQ(A648,"IQ_TOTAL_DEBT_ISSUED",IQ_FY-9), _xll.ciqfunctions.udf.CIQ(A648, "IQ_TOTAL_DEBT_ISSUED",IQ_FY-8))</f>
        <v>0</v>
      </c>
      <c r="N649" s="17">
        <f>IF(A656=A657,_xll.ciqfunctions.udf.CIQ(A648,"IQ_TOTAL_DEBT_REPAID",IQ_FY-9), _xll.ciqfunctions.udf.CIQ(A648, "IQ_TOTAL_DEBT_REPAID",IQ_FY-8))</f>
        <v>0</v>
      </c>
      <c r="O649" s="15">
        <f t="shared" si="173"/>
        <v>0</v>
      </c>
      <c r="P649" s="15">
        <f t="shared" si="174"/>
        <v>0.19469345596192375</v>
      </c>
      <c r="Q649" s="25" t="s">
        <v>18</v>
      </c>
      <c r="R649" s="39" t="s">
        <v>19</v>
      </c>
      <c r="S649" s="1">
        <f>R647/((AVERAGE(P653:P658))*(1+E659)^3)</f>
        <v>16.201015684240037</v>
      </c>
      <c r="U649" s="25" t="s">
        <v>48</v>
      </c>
      <c r="V649" s="39" t="s">
        <v>19</v>
      </c>
      <c r="W649" s="1">
        <f>V647/((AVERAGE(P653:P658))*(1+E659)^3)</f>
        <v>16.201015684240037</v>
      </c>
      <c r="Y649" s="25" t="s">
        <v>39</v>
      </c>
      <c r="Z649" s="39" t="s">
        <v>19</v>
      </c>
      <c r="AA649" s="1">
        <f>Z647/((AVERAGE(P653:P658))*(1+E659)^3)</f>
        <v>16.201015684240037</v>
      </c>
    </row>
    <row r="650" spans="1:27">
      <c r="B650" s="13">
        <v>3</v>
      </c>
      <c r="C650" s="14" t="s">
        <v>20</v>
      </c>
      <c r="D650" s="15" cm="1">
        <f t="array" ref="D650">_xlfn.SINGLE(IF(A656=A657,_xll.ciqfunctions.udf.CIQ(A648,"IQ_TOTAL_REV",IQ_FY-8)/I650, _xll.ciqfunctions.udf.CIQ(A648, "IQ_TOTAL_REV",IQ_FY-7)/I650))</f>
        <v>1.1762782708792867</v>
      </c>
      <c r="E650" s="16">
        <f t="shared" si="175"/>
        <v>0.28921374376291831</v>
      </c>
      <c r="F650" s="15">
        <f>IF(A656=A657,_xll.ciqfunctions.udf.CIQ(A648,"IQ_DILUT_EPS_EXCL",IQ_FY-8), _xll.ciqfunctions.udf.CIQ(A648, "IQ_DILUT_EPS_EXCL",IQ_FY-7))</f>
        <v>9.3799999999999994E-3</v>
      </c>
      <c r="G650" s="15">
        <f>IF(A656=A657,_xll.ciqfunctions.udf.CIQ(A648,"IQ_EBITDA_MARGIN",IQ_FY-8), _xll.ciqfunctions.udf.CIQ(A648, "IQ_EBITDA_MARGIN",IQ_FY-7))</f>
        <v>5.5252999999999997</v>
      </c>
      <c r="H650" s="15">
        <f>IF(A656=A657,_xll.ciqfunctions.udf.CIQ(A648,"IQ_TOTAL_DIV_PAID_CF",IQ_FY-8)/-I650, _xll.ciqfunctions.udf.CIQ(A648, "IQ_TOTAL_DIV_PAID_CF",IQ_FY-7)/-I650)</f>
        <v>0</v>
      </c>
      <c r="I650" s="17">
        <f>IF(A656=A657,_xll.ciqfunctions.udf.CIQ(A648,"IQ_TOTAL_OUTSTANDING_FILING_DATE",IQ_FY-8), _xll.ciqfunctions.udf.CIQ(A648, "IQ_TOTAL_OUTSTANDING_FILING_DATE",IQ_FY-7))</f>
        <v>858.01805999999999</v>
      </c>
      <c r="J650" s="17">
        <f>IF(A656=A657,_xll.ciqfunctions.udf.CIQ(A648,"IQ_CASH_OPER",IQ_FY-8), _xll.ciqfunctions.udf.CIQ(A648, "IQ_CASH_OPER",IQ_FY-7))</f>
        <v>282.54700000000003</v>
      </c>
      <c r="K650" s="17">
        <f>IF(A656=A657,_xll.ciqfunctions.udf.CIQ(A648,"IQ_CAPEX",IQ_FY-8), _xll.ciqfunctions.udf.CIQ(A648, "IQ_CAPEX",IQ_FY-7))</f>
        <v>-37.357999999999997</v>
      </c>
      <c r="L650" s="15">
        <f t="shared" si="172"/>
        <v>0.28576205027665735</v>
      </c>
      <c r="M650" s="17">
        <f>IF(A656=A657,_xll.ciqfunctions.udf.CIQ(A648,"IQ_TOTAL_DEBT_ISSUED",IQ_FY-8), _xll.ciqfunctions.udf.CIQ(A648, "IQ_TOTAL_DEBT_ISSUED",IQ_FY-7))</f>
        <v>0</v>
      </c>
      <c r="N650" s="17">
        <f>IF(A656=A657,_xll.ciqfunctions.udf.CIQ(A648,"IQ_TOTAL_DEBT_REPAID",IQ_FY-8), _xll.ciqfunctions.udf.CIQ(A648, "IQ_TOTAL_DEBT_REPAID",IQ_FY-7))</f>
        <v>0</v>
      </c>
      <c r="O650" s="15">
        <f t="shared" si="173"/>
        <v>0</v>
      </c>
      <c r="P650" s="15">
        <f t="shared" si="174"/>
        <v>0.28576205027665735</v>
      </c>
      <c r="Q650" s="25" t="s">
        <v>21</v>
      </c>
      <c r="R650" s="38" t="s">
        <v>49</v>
      </c>
      <c r="S650" s="2">
        <f>(R647*I658)/1000</f>
        <v>41.167633656</v>
      </c>
      <c r="U650" s="25" t="s">
        <v>59</v>
      </c>
      <c r="V650" s="38" t="s">
        <v>49</v>
      </c>
      <c r="W650" s="2">
        <f>(V647*I658)/1000</f>
        <v>41.167633656</v>
      </c>
      <c r="Y650" s="25" t="s">
        <v>46</v>
      </c>
      <c r="Z650" s="38" t="s">
        <v>49</v>
      </c>
      <c r="AA650" s="2">
        <f>(Z647*I658)/1000</f>
        <v>41.167633656</v>
      </c>
    </row>
    <row r="651" spans="1:27">
      <c r="A651" s="18"/>
      <c r="B651" s="13">
        <v>4</v>
      </c>
      <c r="C651" s="14" t="s">
        <v>22</v>
      </c>
      <c r="D651" s="15" cm="1">
        <f t="array" ref="D651">_xlfn.SINGLE(IF(A656=A657,_xll.ciqfunctions.udf.CIQ(A648,"IQ_TOTAL_REV",IQ_FY-7)/I651, _xll.ciqfunctions.udf.CIQ(A648, "IQ_TOTAL_REV",IQ_FY-6)/I651))</f>
        <v>1.4549393399581101</v>
      </c>
      <c r="E651" s="16">
        <f t="shared" si="175"/>
        <v>0.23690063480516374</v>
      </c>
      <c r="F651" s="15">
        <f>IF(A656=A657,_xll.ciqfunctions.udf.CIQ(A648,"IQ_DILUT_EPS_EXCL",IQ_FY-7), _xll.ciqfunctions.udf.CIQ(A648, "IQ_DILUT_EPS_EXCL",IQ_FY-6))</f>
        <v>3.5999999999999997E-2</v>
      </c>
      <c r="G651" s="15">
        <f>IF(A656=A657,_xll.ciqfunctions.udf.CIQ(A648,"IQ_EBITDA_MARGIN",IQ_FY-7), _xll.ciqfunctions.udf.CIQ(A648, "IQ_EBITDA_MARGIN",IQ_FY-6))</f>
        <v>7.48</v>
      </c>
      <c r="H651" s="15">
        <f>IF(A656=A657,_xll.ciqfunctions.udf.CIQ(A648,"IQ_TOTAL_DIV_PAID_CF",IQ_FY-7)/-I651, _xll.ciqfunctions.udf.CIQ(A648, "IQ_TOTAL_DIV_PAID_CF",IQ_FY-6)/-I651)</f>
        <v>0</v>
      </c>
      <c r="I651" s="17">
        <f>IF(A656=A657,_xll.ciqfunctions.udf.CIQ(A648,"IQ_TOTAL_OUTSTANDING_FILING_DATE",IQ_FY-7), _xll.ciqfunctions.udf.CIQ(A648, "IQ_TOTAL_OUTSTANDING_FILING_DATE",IQ_FY-6))</f>
        <v>876.60011999999995</v>
      </c>
      <c r="J651" s="17">
        <f>IF(A656=A657,_xll.ciqfunctions.udf.CIQ(A648,"IQ_CASH_OPER",IQ_FY-7), _xll.ciqfunctions.udf.CIQ(A648, "IQ_CASH_OPER",IQ_FY-6))</f>
        <v>345.7</v>
      </c>
      <c r="K651" s="17">
        <f>IF(A656=A657,_xll.ciqfunctions.udf.CIQ(A648,"IQ_CAPEX",IQ_FY-7), _xll.ciqfunctions.udf.CIQ(A648, "IQ_CAPEX",IQ_FY-6))</f>
        <v>-67.2</v>
      </c>
      <c r="L651" s="15">
        <f t="shared" si="172"/>
        <v>0.31770472493204771</v>
      </c>
      <c r="M651" s="17">
        <f>IF(A656=A657,_xll.ciqfunctions.udf.CIQ(A648,"IQ_TOTAL_DEBT_ISSUED",IQ_FY-7), _xll.ciqfunctions.udf.CIQ(A648, "IQ_TOTAL_DEBT_ISSUED",IQ_FY-6))</f>
        <v>0</v>
      </c>
      <c r="N651" s="17">
        <f>IF(A656=A657,_xll.ciqfunctions.udf.CIQ(A648,"IQ_TOTAL_DEBT_REPAID",IQ_FY-7), _xll.ciqfunctions.udf.CIQ(A648, "IQ_TOTAL_DEBT_REPAID",IQ_FY-6))</f>
        <v>-1.6</v>
      </c>
      <c r="O651" s="15">
        <f t="shared" si="173"/>
        <v>-1.8252336082272042E-3</v>
      </c>
      <c r="P651" s="15">
        <f t="shared" si="174"/>
        <v>0.31587949132382048</v>
      </c>
      <c r="Q651" s="25" t="s">
        <v>23</v>
      </c>
      <c r="R651" s="38" t="s">
        <v>24</v>
      </c>
      <c r="S651" s="1" t="e">
        <f>R647/(AVERAGE(H653:H658)*(1+H659)/(0.5-H659))</f>
        <v>#DIV/0!</v>
      </c>
      <c r="U651" s="25" t="s">
        <v>40</v>
      </c>
      <c r="V651" s="38" t="s">
        <v>24</v>
      </c>
      <c r="W651" s="1" t="e">
        <f>V647/(AVERAGE(H653:H658)*(1+H659)/(0.5-H659))</f>
        <v>#DIV/0!</v>
      </c>
      <c r="Y651" s="25" t="s">
        <v>47</v>
      </c>
      <c r="Z651" s="38" t="s">
        <v>24</v>
      </c>
      <c r="AA651" s="1" t="e">
        <f>Z647/(AVERAGE(H653:H658)*(1+H659)/(0.5-H659))</f>
        <v>#DIV/0!</v>
      </c>
    </row>
    <row r="652" spans="1:27">
      <c r="B652" s="13">
        <v>5</v>
      </c>
      <c r="C652" s="14" t="s">
        <v>25</v>
      </c>
      <c r="D652" s="15" cm="1">
        <f t="array" ref="D652">_xlfn.SINGLE(IF(A656=A657,_xll.ciqfunctions.udf.CIQ(A648,"IQ_TOTAL_REV",IQ_FY-6)/I652, _xll.ciqfunctions.udf.CIQ(A648, "IQ_TOTAL_REV",IQ_FY-5)/I652))</f>
        <v>1.7793869219905776</v>
      </c>
      <c r="E652" s="16">
        <f t="shared" si="175"/>
        <v>0.22299732581415307</v>
      </c>
      <c r="F652" s="15">
        <f>IF(A656=A657,_xll.ciqfunctions.udf.CIQ(A648,"IQ_DILUT_EPS_EXCL",IQ_FY-6), _xll.ciqfunctions.udf.CIQ(A648, "IQ_DILUT_EPS_EXCL",IQ_FY-5))</f>
        <v>3.5999999999999997E-2</v>
      </c>
      <c r="G652" s="15">
        <f>IF(A656=A657,_xll.ciqfunctions.udf.CIQ(A648,"IQ_EBITDA_MARGIN",IQ_FY-6), _xll.ciqfunctions.udf.CIQ(A648, "IQ_EBITDA_MARGIN",IQ_FY-5))</f>
        <v>11.0776</v>
      </c>
      <c r="H652" s="15">
        <f>IF(A656=A657,_xll.ciqfunctions.udf.CIQ(A648,"IQ_TOTAL_DIV_PAID_CF",IQ_FY-6)/-I652, _xll.ciqfunctions.udf.CIQ(A648, "IQ_TOTAL_DIV_PAID_CF",IQ_FY-5)/-I652)</f>
        <v>0</v>
      </c>
      <c r="I652" s="17">
        <f>IF(A656=A657,_xll.ciqfunctions.udf.CIQ(A648,"IQ_TOTAL_OUTSTANDING_FILING_DATE",IQ_FY-6), _xll.ciqfunctions.udf.CIQ(A648, "IQ_TOTAL_OUTSTANDING_FILING_DATE",IQ_FY-5))</f>
        <v>840.12081999999998</v>
      </c>
      <c r="J652" s="17">
        <f>IF(A656=A657,_xll.ciqfunctions.udf.CIQ(A648,"IQ_CASH_OPER",IQ_FY-6), _xll.ciqfunctions.udf.CIQ(A648, "IQ_CASH_OPER",IQ_FY-5))</f>
        <v>594.4</v>
      </c>
      <c r="K652" s="17">
        <f>IF(A656=A657,_xll.ciqfunctions.udf.CIQ(A648,"IQ_CAPEX",IQ_FY-6), _xll.ciqfunctions.udf.CIQ(A648, "IQ_CAPEX",IQ_FY-5))</f>
        <v>-135.30000000000001</v>
      </c>
      <c r="L652" s="15">
        <f t="shared" si="172"/>
        <v>0.54646901858711228</v>
      </c>
      <c r="M652" s="17">
        <f>IF(A656=A657,_xll.ciqfunctions.udf.CIQ(A648,"IQ_TOTAL_DEBT_ISSUED",IQ_FY-6), _xll.ciqfunctions.udf.CIQ(A648, "IQ_TOTAL_DEBT_ISSUED",IQ_FY-5))</f>
        <v>0</v>
      </c>
      <c r="N652" s="17">
        <f>IF(A656=A657,_xll.ciqfunctions.udf.CIQ(A648,"IQ_TOTAL_DEBT_REPAID",IQ_FY-6), _xll.ciqfunctions.udf.CIQ(A648, "IQ_TOTAL_DEBT_REPAID",IQ_FY-5))</f>
        <v>0</v>
      </c>
      <c r="O652" s="15">
        <f t="shared" si="173"/>
        <v>0</v>
      </c>
      <c r="P652" s="15">
        <f t="shared" si="174"/>
        <v>0.54646901858711228</v>
      </c>
      <c r="Q652" s="18"/>
      <c r="R652" s="38" t="s">
        <v>50</v>
      </c>
      <c r="S652" s="3">
        <f>I659</f>
        <v>-2.0836826624598626E-2</v>
      </c>
      <c r="U652" s="18"/>
      <c r="V652" s="38" t="s">
        <v>50</v>
      </c>
      <c r="W652" s="3">
        <f>I659</f>
        <v>-2.0836826624598626E-2</v>
      </c>
      <c r="Y652" s="18"/>
      <c r="Z652" s="38" t="s">
        <v>50</v>
      </c>
      <c r="AA652" s="3">
        <f>I659</f>
        <v>-2.0836826624598626E-2</v>
      </c>
    </row>
    <row r="653" spans="1:27">
      <c r="B653" s="13">
        <v>6</v>
      </c>
      <c r="C653" s="14" t="s">
        <v>26</v>
      </c>
      <c r="D653" s="15" cm="1">
        <f t="array" ref="D653">_xlfn.SINGLE(IF(A656=A657,_xll.ciqfunctions.udf.CIQ(A648,"IQ_TOTAL_REV",IQ_FY-5)/I653, _xll.ciqfunctions.udf.CIQ(A648, "IQ_TOTAL_REV",IQ_FY-4)/I653))</f>
        <v>2.1151745477293602</v>
      </c>
      <c r="E653" s="16">
        <f t="shared" si="175"/>
        <v>0.18870973006991715</v>
      </c>
      <c r="F653" s="15">
        <f>IF(A656=A657,_xll.ciqfunctions.udf.CIQ(A648,"IQ_DILUT_EPS_EXCL",IQ_FY-5), _xll.ciqfunctions.udf.CIQ(A648, "IQ_DILUT_EPS_EXCL",IQ_FY-4))</f>
        <v>0.38400000000000001</v>
      </c>
      <c r="G653" s="15">
        <f>IF(A656=A657,_xll.ciqfunctions.udf.CIQ(A648,"IQ_EBITDA_MARGIN",IQ_FY-5), _xll.ciqfunctions.udf.CIQ(A648, "IQ_EBITDA_MARGIN",IQ_FY-4))</f>
        <v>16.075500000000002</v>
      </c>
      <c r="H653" s="15">
        <f>IF(A656=A657,_xll.ciqfunctions.udf.CIQ(A648,"IQ_TOTAL_DIV_PAID_CF",IQ_FY-5)/-I653, _xll.ciqfunctions.udf.CIQ(A648, "IQ_TOTAL_DIV_PAID_CF",IQ_FY-4)/-I653)</f>
        <v>0</v>
      </c>
      <c r="I653" s="17">
        <f>IF(A656=A657,_xll.ciqfunctions.udf.CIQ(A648,"IQ_TOTAL_OUTSTANDING_FILING_DATE",IQ_FY-5), _xll.ciqfunctions.udf.CIQ(A648, "IQ_TOTAL_OUTSTANDING_FILING_DATE",IQ_FY-4))</f>
        <v>853.16836000000001</v>
      </c>
      <c r="J653" s="17">
        <f>IF(A656=A657,_xll.ciqfunctions.udf.CIQ(A648,"IQ_CASH_OPER",IQ_FY-5), _xll.ciqfunctions.udf.CIQ(A648, "IQ_CASH_OPER",IQ_FY-4))</f>
        <v>638.9</v>
      </c>
      <c r="K653" s="17">
        <f>IF(A656=A657,_xll.ciqfunctions.udf.CIQ(A648,"IQ_CAPEX",IQ_FY-5), _xll.ciqfunctions.udf.CIQ(A648, "IQ_CAPEX",IQ_FY-4))</f>
        <v>-53</v>
      </c>
      <c r="L653" s="15">
        <f t="shared" si="172"/>
        <v>0.68673432755992025</v>
      </c>
      <c r="M653" s="17">
        <f>IF(A656=A657,_xll.ciqfunctions.udf.CIQ(A648,"IQ_TOTAL_DEBT_ISSUED",IQ_FY-5), _xll.ciqfunctions.udf.CIQ(A648, "IQ_TOTAL_DEBT_ISSUED",IQ_FY-4))</f>
        <v>0</v>
      </c>
      <c r="N653" s="17">
        <f>IF(A656=A657,_xll.ciqfunctions.udf.CIQ(A648,"IQ_TOTAL_DEBT_REPAID",IQ_FY-5), _xll.ciqfunctions.udf.CIQ(A648, "IQ_TOTAL_DEBT_REPAID",IQ_FY-4))</f>
        <v>-10.1</v>
      </c>
      <c r="O653" s="15">
        <f t="shared" si="173"/>
        <v>-1.1838226162067238E-2</v>
      </c>
      <c r="P653" s="15">
        <f t="shared" si="174"/>
        <v>0.67489610139785305</v>
      </c>
      <c r="Q653" s="25" t="s">
        <v>27</v>
      </c>
      <c r="R653" s="38" t="s">
        <v>51</v>
      </c>
      <c r="S653" s="4">
        <f>AVERAGE(F653:F658)/AVERAGE(D653:D658)</f>
        <v>0.1881200709891688</v>
      </c>
      <c r="U653" s="25" t="s">
        <v>58</v>
      </c>
      <c r="V653" s="38" t="s">
        <v>51</v>
      </c>
      <c r="W653" s="4">
        <f>AVERAGE(F653:F658)/AVERAGE(D653:D658)</f>
        <v>0.1881200709891688</v>
      </c>
      <c r="Y653" s="25" t="s">
        <v>56</v>
      </c>
      <c r="Z653" s="38" t="s">
        <v>51</v>
      </c>
      <c r="AA653" s="4">
        <f>AVERAGE(F653:F658)/AVERAGE(D653:D658)</f>
        <v>0.1881200709891688</v>
      </c>
    </row>
    <row r="654" spans="1:27">
      <c r="A654" s="18"/>
      <c r="B654" s="13">
        <v>7</v>
      </c>
      <c r="C654" s="14" t="s">
        <v>28</v>
      </c>
      <c r="D654" s="15" cm="1">
        <f t="array" ref="D654">_xlfn.SINGLE(IF(A656=A657,_xll.ciqfunctions.udf.CIQ(A648,"IQ_TOTAL_REV",IQ_FY-4)/I654, _xll.ciqfunctions.udf.CIQ(A648, "IQ_TOTAL_REV",IQ_FY-3)/I654))</f>
        <v>2.5076120749856932</v>
      </c>
      <c r="E654" s="16">
        <f t="shared" si="175"/>
        <v>0.18553434641014124</v>
      </c>
      <c r="F654" s="15">
        <f>IF(A656=A657,_xll.ciqfunctions.udf.CIQ(A648,"IQ_DILUT_EPS_EXCL",IQ_FY-4), _xll.ciqfunctions.udf.CIQ(A648, "IQ_DILUT_EPS_EXCL",IQ_FY-3))</f>
        <v>0.38</v>
      </c>
      <c r="G654" s="15">
        <f>IF(A656=A657,_xll.ciqfunctions.udf.CIQ(A648,"IQ_EBITDA_MARGIN",IQ_FY-4), _xll.ciqfunctions.udf.CIQ(A648, "IQ_EBITDA_MARGIN",IQ_FY-3))</f>
        <v>19.075299999999999</v>
      </c>
      <c r="H654" s="15">
        <f>IF(A656=A657,_xll.ciqfunctions.udf.CIQ(A648,"IQ_TOTAL_DIV_PAID_CF",IQ_FY-4)/-I654, _xll.ciqfunctions.udf.CIQ(A648, "IQ_TOTAL_DIV_PAID_CF",IQ_FY-3)/-I654)</f>
        <v>0</v>
      </c>
      <c r="I654" s="17">
        <f>IF(A656=A657,_xll.ciqfunctions.udf.CIQ(A648,"IQ_TOTAL_OUTSTANDING_FILING_DATE",IQ_FY-4), _xll.ciqfunctions.udf.CIQ(A648, "IQ_TOTAL_OUTSTANDING_FILING_DATE",IQ_FY-3))</f>
        <v>862.57361000000003</v>
      </c>
      <c r="J654" s="17">
        <f>IF(A656=A657,_xll.ciqfunctions.udf.CIQ(A648,"IQ_CASH_OPER",IQ_FY-4), _xll.ciqfunctions.udf.CIQ(A648, "IQ_CASH_OPER",IQ_FY-3))</f>
        <v>808</v>
      </c>
      <c r="K654" s="17">
        <f>IF(A656=A657,_xll.ciqfunctions.udf.CIQ(A648,"IQ_CAPEX",IQ_FY-4), _xll.ciqfunctions.udf.CIQ(A648, "IQ_CAPEX",IQ_FY-3))</f>
        <v>-92.2</v>
      </c>
      <c r="L654" s="15">
        <f t="shared" si="172"/>
        <v>0.82984222065407254</v>
      </c>
      <c r="M654" s="17">
        <f>IF(A656=A657,_xll.ciqfunctions.udf.CIQ(A648,"IQ_TOTAL_DEBT_ISSUED",IQ_FY-4), _xll.ciqfunctions.udf.CIQ(A648, "IQ_TOTAL_DEBT_ISSUED",IQ_FY-3))</f>
        <v>0</v>
      </c>
      <c r="N654" s="17">
        <f>IF(A656=A657,_xll.ciqfunctions.udf.CIQ(A648,"IQ_TOTAL_DEBT_REPAID",IQ_FY-4), _xll.ciqfunctions.udf.CIQ(A648, "IQ_TOTAL_DEBT_REPAID",IQ_FY-3))</f>
        <v>-3.7</v>
      </c>
      <c r="O654" s="15">
        <f t="shared" si="173"/>
        <v>-4.2894889863370617E-3</v>
      </c>
      <c r="P654" s="15">
        <f t="shared" si="174"/>
        <v>0.82555273166773546</v>
      </c>
      <c r="Q654" s="18"/>
      <c r="R654" s="38" t="s">
        <v>29</v>
      </c>
      <c r="S654" s="4">
        <f>(AVERAGE(P653:P658)/_xlfn.STDEV.P(P653:P658))/(IF(A656=A657,(_xlfn.SINGLE(_xll.ciqfunctions.udf.CIQ(A648,"IQ_total_assets",IQ_FY)) - _xlfn.SINGLE(_xll.ciqfunctions.udf.CIQ(A648,"iq_gw_intan", IQ_FY)))/I658, (_xlfn.SINGLE(_xll.ciqfunctions.udf.CIQ(A648, "IQ_total_assets",IQ_LTM))-_xlfn.SINGLE(_xll.ciqfunctions.udf.CIQ(A648,"iq_gw_intan",IQ_LTM)))/I658))</f>
        <v>0.21006219255483208</v>
      </c>
      <c r="U654" s="18"/>
      <c r="V654" s="38" t="s">
        <v>29</v>
      </c>
      <c r="W654" s="4">
        <f>(AVERAGE(P653:P658)/_xlfn.STDEV.P(P653:P658))/(IF(A656=A657,(_xlfn.SINGLE(_xll.ciqfunctions.udf.CIQ(A648,"IQ_total_assets",IQ_FY)) - _xlfn.SINGLE(_xll.ciqfunctions.udf.CIQ(A648,"iq_gw_intan", IQ_FY)))/I658, (_xlfn.SINGLE(_xll.ciqfunctions.udf.CIQ(A648, "IQ_total_assets",IQ_LTM))-_xlfn.SINGLE(_xll.ciqfunctions.udf.CIQ(A648,"iq_gw_intan",IQ_LTM)))/I658))</f>
        <v>0.21006219255483208</v>
      </c>
      <c r="Y654" s="18"/>
      <c r="Z654" s="38" t="s">
        <v>29</v>
      </c>
      <c r="AA654" s="4">
        <f>(AVERAGE(P653:P658)/_xlfn.STDEV.P(P653:P658))/(IF(A656=A657,(_xlfn.SINGLE(_xll.ciqfunctions.udf.CIQ(A648,"IQ_total_assets",IQ_FY)) - _xlfn.SINGLE(_xll.ciqfunctions.udf.CIQ(A648,"iq_gw_intan", IQ_FY)))/I658, (_xlfn.SINGLE(_xll.ciqfunctions.udf.CIQ(A648, "IQ_total_assets",IQ_LTM))-_xlfn.SINGLE(_xll.ciqfunctions.udf.CIQ(A648,"iq_gw_intan",IQ_LTM)))/I658))</f>
        <v>0.21006219255483208</v>
      </c>
    </row>
    <row r="655" spans="1:27">
      <c r="A655" s="18"/>
      <c r="B655" s="13">
        <v>8</v>
      </c>
      <c r="C655" s="14" t="s">
        <v>30</v>
      </c>
      <c r="D655" s="15" cm="1">
        <f t="array" ref="D655">_xlfn.SINGLE(IF(A656=A657,_xll.ciqfunctions.udf.CIQ(A648,"IQ_TOTAL_REV",IQ_FY-3)/I655, _xll.ciqfunctions.udf.CIQ(A648, "IQ_TOTAL_REV",IQ_FY-2)/I655))</f>
        <v>3.1795886682911036</v>
      </c>
      <c r="E655" s="16">
        <f t="shared" si="175"/>
        <v>0.26797469991814599</v>
      </c>
      <c r="F655" s="15">
        <f>IF(A656=A657,_xll.ciqfunctions.udf.CIQ(A648,"IQ_DILUT_EPS_EXCL",IQ_FY-3), _xll.ciqfunctions.udf.CIQ(A648, "IQ_DILUT_EPS_EXCL",IQ_FY-2))</f>
        <v>0.57999999999999996</v>
      </c>
      <c r="G655" s="15">
        <f>IF(A656=A657,_xll.ciqfunctions.udf.CIQ(A648,"IQ_EBITDA_MARGIN",IQ_FY-3), _xll.ciqfunctions.udf.CIQ(A648, "IQ_EBITDA_MARGIN",IQ_FY-2))</f>
        <v>21.600300000000001</v>
      </c>
      <c r="H655" s="15">
        <f>IF(A656=A657,_xll.ciqfunctions.udf.CIQ(A648,"IQ_TOTAL_DIV_PAID_CF",IQ_FY-3)/-I655, _xll.ciqfunctions.udf.CIQ(A648, "IQ_TOTAL_DIV_PAID_CF",IQ_FY-2)/-I655)</f>
        <v>0</v>
      </c>
      <c r="I655" s="17">
        <f>IF(A656=A657,_xll.ciqfunctions.udf.CIQ(A648,"IQ_TOTAL_OUTSTANDING_FILING_DATE",IQ_FY-3), _xll.ciqfunctions.udf.CIQ(A648, "IQ_TOTAL_OUTSTANDING_FILING_DATE",IQ_FY-2))</f>
        <v>815.95460000000003</v>
      </c>
      <c r="J655" s="17">
        <f>IF(A656=A657,_xll.ciqfunctions.udf.CIQ(A648,"IQ_CASH_OPER",IQ_FY-3), _xll.ciqfunctions.udf.CIQ(A648, "IQ_CASH_OPER",IQ_FY-2))</f>
        <v>1083.7</v>
      </c>
      <c r="K655" s="17">
        <f>IF(A656=A657,_xll.ciqfunctions.udf.CIQ(A648,"IQ_CAPEX",IQ_FY-3), _xll.ciqfunctions.udf.CIQ(A648, "IQ_CAPEX",IQ_FY-2))</f>
        <v>-125.9</v>
      </c>
      <c r="L655" s="15">
        <f t="shared" si="172"/>
        <v>1.173839819029147</v>
      </c>
      <c r="M655" s="17">
        <f>IF(A656=A657,_xll.ciqfunctions.udf.CIQ(A648,"IQ_TOTAL_DEBT_ISSUED",IQ_FY-3), _xll.ciqfunctions.udf.CIQ(A648, "IQ_TOTAL_DEBT_ISSUED",IQ_FY-2))</f>
        <v>0</v>
      </c>
      <c r="N655" s="17">
        <f>IF(A656=A657,_xll.ciqfunctions.udf.CIQ(A648,"IQ_TOTAL_DEBT_REPAID",IQ_FY-3), _xll.ciqfunctions.udf.CIQ(A648, "IQ_TOTAL_DEBT_REPAID",IQ_FY-2))</f>
        <v>-4.0999999999999996</v>
      </c>
      <c r="O655" s="15">
        <f t="shared" si="173"/>
        <v>-5.0247893694085428E-3</v>
      </c>
      <c r="P655" s="15">
        <f t="shared" si="174"/>
        <v>1.1688150296597384</v>
      </c>
      <c r="Q655" s="18"/>
      <c r="R655" s="39" t="s">
        <v>31</v>
      </c>
      <c r="S655" s="5">
        <f>IF(NOT(D648&gt;0),FALSE,SLOPE(G648:G658,B648:B658))</f>
        <v>1.7964272727272725</v>
      </c>
      <c r="U655" s="18"/>
      <c r="V655" s="39" t="s">
        <v>31</v>
      </c>
      <c r="W655" s="5">
        <f>IF(NOT(D648&gt;0),FALSE,SLOPE(G648:G658,B648:B658))</f>
        <v>1.7964272727272725</v>
      </c>
      <c r="Y655" s="18"/>
      <c r="Z655" s="39" t="s">
        <v>31</v>
      </c>
      <c r="AA655" s="5">
        <f>IF(NOT(L648&gt;0),FALSE,SLOPE(O648:O658,J648:J658))</f>
        <v>1.5568857883668788E-4</v>
      </c>
    </row>
    <row r="656" spans="1:27">
      <c r="A656" s="19">
        <f>_xll.ciqfunctions.udf.CIQ(A648,"IQ_TOTAL_REV",IQ_FY)</f>
        <v>4417.3999999999996</v>
      </c>
      <c r="B656" s="13">
        <v>9</v>
      </c>
      <c r="C656" s="14" t="s">
        <v>32</v>
      </c>
      <c r="D656" s="15" cm="1">
        <f t="array" ref="D656">_xlfn.SINGLE(IF(A656=A657,_xll.ciqfunctions.udf.CIQ(A648,"IQ_TOTAL_REV",IQ_FY-2)/I656, _xll.ciqfunctions.udf.CIQ(A648, "IQ_TOTAL_REV",IQ_FY-1)/I656))</f>
        <v>4.1565659059889057</v>
      </c>
      <c r="E656" s="16">
        <f t="shared" si="175"/>
        <v>0.30726529108649975</v>
      </c>
      <c r="F656" s="15">
        <f>IF(A656=A657,_xll.ciqfunctions.udf.CIQ(A648,"IQ_DILUT_EPS_EXCL",IQ_FY-2), _xll.ciqfunctions.udf.CIQ(A648, "IQ_DILUT_EPS_EXCL",IQ_FY-1))</f>
        <v>0.73</v>
      </c>
      <c r="G656" s="15">
        <f>IF(A656=A657,_xll.ciqfunctions.udf.CIQ(A648,"IQ_EBITDA_MARGIN",IQ_FY-2), _xll.ciqfunctions.udf.CIQ(A648, "IQ_EBITDA_MARGIN",IQ_FY-1))</f>
        <v>21.847799999999999</v>
      </c>
      <c r="H656" s="15">
        <f>IF(A656=A657,_xll.ciqfunctions.udf.CIQ(A648,"IQ_TOTAL_DIV_PAID_CF",IQ_FY-2)/-I656, _xll.ciqfunctions.udf.CIQ(A648, "IQ_TOTAL_DIV_PAID_CF",IQ_FY-1)/-I656)</f>
        <v>0</v>
      </c>
      <c r="I656" s="17">
        <f>IF(A656=A657,_xll.ciqfunctions.udf.CIQ(A648,"IQ_TOTAL_OUTSTANDING_FILING_DATE",IQ_FY-2), _xll.ciqfunctions.udf.CIQ(A648, "IQ_TOTAL_OUTSTANDING_FILING_DATE",IQ_FY-1))</f>
        <v>804.07722999999999</v>
      </c>
      <c r="J656" s="17">
        <f>IF(A656=A657,_xll.ciqfunctions.udf.CIQ(A648,"IQ_CASH_OPER",IQ_FY-2), _xll.ciqfunctions.udf.CIQ(A648, "IQ_CASH_OPER",IQ_FY-1))</f>
        <v>1499.7</v>
      </c>
      <c r="K656" s="17">
        <f>IF(A656=A657,_xll.ciqfunctions.udf.CIQ(A648,"IQ_CAPEX",IQ_FY-2), _xll.ciqfunctions.udf.CIQ(A648, "IQ_CAPEX",IQ_FY-1))</f>
        <v>-295.89999999999998</v>
      </c>
      <c r="L656" s="15">
        <f t="shared" si="172"/>
        <v>1.4971198724281749</v>
      </c>
      <c r="M656" s="17">
        <f>IF(A656=A657,_xll.ciqfunctions.udf.CIQ(A648,"IQ_TOTAL_DEBT_ISSUED",IQ_FY-2), _xll.ciqfunctions.udf.CIQ(A648, "IQ_TOTAL_DEBT_ISSUED",IQ_FY-1))</f>
        <v>989.4</v>
      </c>
      <c r="N656" s="17">
        <f>IF(A656=A657,_xll.ciqfunctions.udf.CIQ(A648,"IQ_TOTAL_DEBT_REPAID",IQ_FY-2), _xll.ciqfunctions.udf.CIQ(A648, "IQ_TOTAL_DEBT_REPAID",IQ_FY-1))</f>
        <v>-19.5</v>
      </c>
      <c r="O656" s="15">
        <f t="shared" si="173"/>
        <v>1.2062274167370715</v>
      </c>
      <c r="P656" s="15">
        <f t="shared" si="174"/>
        <v>2.7033472891652464</v>
      </c>
      <c r="Q656" s="25" t="s">
        <v>33</v>
      </c>
      <c r="R656" s="38" t="s">
        <v>52</v>
      </c>
      <c r="S656" s="4">
        <f>(AVERAGE(O653:O658)/AVERAGE(P653:P658))</f>
        <v>0.11959900834592607</v>
      </c>
      <c r="U656" s="25" t="s">
        <v>54</v>
      </c>
      <c r="V656" s="38" t="s">
        <v>52</v>
      </c>
      <c r="W656" s="4">
        <f>(AVERAGE(O653:O658)/AVERAGE(P653:P658))</f>
        <v>0.11959900834592607</v>
      </c>
      <c r="Y656" s="25" t="s">
        <v>60</v>
      </c>
      <c r="Z656" s="38" t="s">
        <v>52</v>
      </c>
      <c r="AA656" s="4">
        <f>(AVERAGE(O653:O658)/AVERAGE(P653:P658))</f>
        <v>0.11959900834592607</v>
      </c>
    </row>
    <row r="657" spans="1:27">
      <c r="A657" s="19">
        <f>_xll.ciqfunctions.udf.CIQ(A648,"IQ_TOTAL_REV",IQ_LTM)</f>
        <v>5172.7</v>
      </c>
      <c r="B657" s="13">
        <v>10</v>
      </c>
      <c r="C657" s="14" t="s">
        <v>34</v>
      </c>
      <c r="D657" s="15" cm="1">
        <f t="array" ref="D657">_xlfn.SINGLE(IF(A656=A657,_xll.ciqfunctions.udf.CIQ(A648,"IQ_TOTAL_REV",IQ_FY-1)/I657, _xll.ciqfunctions.udf.CIQ(A648, "IQ_TOTAL_REV",IQ_FY)/I657))</f>
        <v>5.6339624038676623</v>
      </c>
      <c r="E657" s="16">
        <f t="shared" si="175"/>
        <v>0.35543680319132653</v>
      </c>
      <c r="F657" s="15">
        <f>IF(A656=A657,_xll.ciqfunctions.udf.CIQ(A648,"IQ_DILUT_EPS_EXCL",IQ_FY-1), _xll.ciqfunctions.udf.CIQ(A648, "IQ_DILUT_EPS_EXCL",IQ_FY))</f>
        <v>1.06</v>
      </c>
      <c r="G657" s="15">
        <f>IF(A656=A657,_xll.ciqfunctions.udf.CIQ(A648,"IQ_EBITDA_MARGIN",IQ_FY-1), _xll.ciqfunctions.udf.CIQ(A648, "IQ_EBITDA_MARGIN",IQ_FY))</f>
        <v>24.206499999999998</v>
      </c>
      <c r="H657" s="15">
        <f>IF(A656=A657,_xll.ciqfunctions.udf.CIQ(A648,"IQ_TOTAL_DIV_PAID_CF",IQ_FY-1)/-I657, _xll.ciqfunctions.udf.CIQ(A648, "IQ_TOTAL_DIV_PAID_CF",IQ_FY)/-I657)</f>
        <v>0</v>
      </c>
      <c r="I657" s="17">
        <f>IF(A656=A657,_xll.ciqfunctions.udf.CIQ(A648,"IQ_TOTAL_OUTSTANDING_FILING_DATE",IQ_FY-1), _xll.ciqfunctions.udf.CIQ(A648, "IQ_TOTAL_OUTSTANDING_FILING_DATE",IQ_FY))</f>
        <v>784.06628999999998</v>
      </c>
      <c r="J657" s="17">
        <f>IF(A656=A657,_xll.ciqfunctions.udf.CIQ(A648,"IQ_CASH_OPER",IQ_FY-1), _xll.ciqfunctions.udf.CIQ(A648, "IQ_CASH_OPER",IQ_FY))</f>
        <v>1730.6</v>
      </c>
      <c r="K657" s="17">
        <f>IF(A656=A657,_xll.ciqfunctions.udf.CIQ(A648,"IQ_CAPEX",IQ_FY-1), _xll.ciqfunctions.udf.CIQ(A648, "IQ_CAPEX",IQ_FY))</f>
        <v>-281.2</v>
      </c>
      <c r="L657" s="15">
        <f t="shared" si="172"/>
        <v>1.8485681867536989</v>
      </c>
      <c r="M657" s="17">
        <f>IF(A656=A657,_xll.ciqfunctions.udf.CIQ(A648,"IQ_TOTAL_DEBT_ISSUED",IQ_FY-1), _xll.ciqfunctions.udf.CIQ(A648, "IQ_TOTAL_DEBT_ISSUED",IQ_FY))</f>
        <v>0</v>
      </c>
      <c r="N657" s="17">
        <f>IF(A656=A657,_xll.ciqfunctions.udf.CIQ(A648,"IQ_TOTAL_DEBT_REPAID",IQ_FY-1), _xll.ciqfunctions.udf.CIQ(A648, "IQ_TOTAL_DEBT_REPAID",IQ_FY))</f>
        <v>0</v>
      </c>
      <c r="O657" s="15">
        <f t="shared" si="173"/>
        <v>0</v>
      </c>
      <c r="P657" s="15">
        <f t="shared" si="174"/>
        <v>1.8485681867536989</v>
      </c>
      <c r="Q657" s="25" t="s">
        <v>44</v>
      </c>
      <c r="R657" s="38" t="s">
        <v>35</v>
      </c>
      <c r="S657" s="1">
        <f>_xll.ciqfunctions.udf.CIQ(A648,"IQ_TEV_EBITDA")</f>
        <v>30.215070000000001</v>
      </c>
      <c r="U657" s="25" t="s">
        <v>55</v>
      </c>
      <c r="V657" s="38" t="s">
        <v>53</v>
      </c>
      <c r="W657" s="1">
        <f>V647/(AVERAGE(D653:D658)/_xlfn.STDEV.P(E653:E658))</f>
        <v>0.86341986378247138</v>
      </c>
      <c r="Y657" s="25" t="s">
        <v>57</v>
      </c>
      <c r="Z657" s="38" t="s">
        <v>53</v>
      </c>
      <c r="AA657" s="1">
        <f>Z647/(AVERAGE(D653:D658)/_xlfn.STDEV.P(E653:E658))</f>
        <v>0.86341986378247138</v>
      </c>
    </row>
    <row r="658" spans="1:27">
      <c r="B658" s="13">
        <v>11</v>
      </c>
      <c r="C658" s="20" t="s">
        <v>36</v>
      </c>
      <c r="D658" s="21" cm="1">
        <f t="array" ref="D658">_xlfn.SINGLE(IF(A656=A657,_xll.ciqfunctions.udf.CIQ(A648,"IQ_TOTAL_REV",IQ_FY)/I658, _xll.ciqfunctions.udf.CIQ(A648, "IQ_TOTAL_REV",IQ_LTM)/I658))</f>
        <v>6.7360793510069419</v>
      </c>
      <c r="E658" s="22">
        <f t="shared" si="175"/>
        <v>0.19562021684466452</v>
      </c>
      <c r="F658" s="21">
        <f>IF(A656=A657,_xll.ciqfunctions.udf.CIQ(A648,"IQ_DILUT_EPS_EXCL",IQ_FY), _xll.ciqfunctions.udf.CIQ(A648, "IQ_DILUT_EPS_EXCL",IQ_LTM))</f>
        <v>1.4427700000000001</v>
      </c>
      <c r="G658" s="21">
        <f>IF(A656=A657,_xll.ciqfunctions.udf.CIQ(A648,"IQ_EBITDA_MARGIN",IQ_FY), _xll.ciqfunctions.udf.CIQ(A648, "IQ_EBITDA_MARGIN",IQ_LTM))</f>
        <v>25.506900000000002</v>
      </c>
      <c r="H658" s="21">
        <f>IF(A656=A657,_xll.ciqfunctions.udf.CIQ(A648,"IQ_TOTAL_DIV_PAID_CF",IQ_FY)/-I658, _xll.ciqfunctions.udf.CIQ(A648, "IQ_TOTAL_DIV_PAID_CF",IQ_LTM)/-I658)</f>
        <v>0</v>
      </c>
      <c r="I658" s="23">
        <f>IF(A656=A657,_xll.ciqfunctions.udf.CIQ(A648,"IQ_TOTAL_OUTSTANDING_FILING_DATE",IQ_FY),_xll.ciqfunctions.udf.CIQ(A648,"IQ_sharesoutstanding"))</f>
        <v>767.90959999999995</v>
      </c>
      <c r="J658" s="23">
        <f>IF(A656=A657,_xll.ciqfunctions.udf.CIQ(A648,"IQ_CASH_OPER",IQ_FY), _xll.ciqfunctions.udf.CIQ(A648, "IQ_CASH_OPER",IQ_LTM))</f>
        <v>2271.9</v>
      </c>
      <c r="K658" s="23">
        <f>IF(A656=A657,_xll.ciqfunctions.udf.CIQ(A648,"IQ_CAPEX",IQ_FY), _xll.ciqfunctions.udf.CIQ(A648, "IQ_CAPEX",IQ_LTM))</f>
        <v>-208.1</v>
      </c>
      <c r="L658" s="21">
        <f t="shared" si="172"/>
        <v>2.6875559310627191</v>
      </c>
      <c r="M658" s="23">
        <f>IF(A656=A657,_xll.ciqfunctions.udf.CIQ(A648,"IQ_TOTAL_DEBT_ISSUED",IQ_FY), _xll.ciqfunctions.udf.CIQ(A648, "IQ_TOTAL_DEBT_ISSUED",IQ_LTM))</f>
        <v>0</v>
      </c>
      <c r="N658" s="23">
        <f>IF(A656=A657,_xll.ciqfunctions.udf.CIQ(A648,"IQ_TOTAL_DEBT_REPAID",IQ_FY), _xll.ciqfunctions.udf.CIQ(A648, "IQ_TOTAL_DEBT_REPAID",IQ_LTM))</f>
        <v>0</v>
      </c>
      <c r="O658" s="21">
        <f t="shared" si="173"/>
        <v>0</v>
      </c>
      <c r="P658" s="21">
        <f t="shared" si="174"/>
        <v>2.6875559310627191</v>
      </c>
      <c r="Q658" s="25" t="s">
        <v>45</v>
      </c>
      <c r="S658" s="45"/>
      <c r="U658" s="25"/>
      <c r="W658" s="45"/>
      <c r="Y658" s="25"/>
      <c r="AA658" s="45"/>
    </row>
    <row r="659" spans="1:27">
      <c r="B659" s="24"/>
      <c r="C659" s="25" t="s">
        <v>37</v>
      </c>
      <c r="E659" s="26">
        <f>((D658/D653)^(1/5))-1</f>
        <v>0.26070128797278214</v>
      </c>
      <c r="F659" s="27">
        <f>((F658/F653)^(1/5))-1</f>
        <v>0.30308629080313687</v>
      </c>
      <c r="G659" s="28"/>
      <c r="H659" s="27" t="e">
        <f>((H658/H653)^(1/5))-1</f>
        <v>#DIV/0!</v>
      </c>
      <c r="I659" s="27">
        <f>((I658/I653)^(1/5))-1</f>
        <v>-2.0836826624598626E-2</v>
      </c>
      <c r="J659" s="27"/>
      <c r="K659" s="27"/>
      <c r="L659" s="26">
        <f>((L658/L653)^(1/5))-1</f>
        <v>0.31375309104450366</v>
      </c>
      <c r="M659" s="26"/>
      <c r="N659" s="26"/>
      <c r="O659" s="26"/>
      <c r="P659" s="26">
        <f>((P658/P653)^(1/5))-1</f>
        <v>0.31832994940013659</v>
      </c>
      <c r="Q659" s="18"/>
      <c r="R659" s="36"/>
      <c r="S659" s="45"/>
      <c r="U659" s="18"/>
      <c r="V659" s="36"/>
      <c r="W659" s="45"/>
      <c r="Y659" s="18"/>
      <c r="Z659" s="36"/>
      <c r="AA659" s="45"/>
    </row>
    <row r="660" spans="1:27">
      <c r="A660" s="29"/>
      <c r="B660" s="30"/>
      <c r="C660" s="31" t="s">
        <v>38</v>
      </c>
      <c r="D660" s="29"/>
      <c r="E660" s="32">
        <f>((D658/D648)^(1/10))-1</f>
        <v>0.24454011643870754</v>
      </c>
      <c r="F660" s="33">
        <f>((F658/F648)^(1/10))-1</f>
        <v>0.3941816938039866</v>
      </c>
      <c r="G660" s="34"/>
      <c r="H660" s="33" t="e">
        <f>((H658/H648)^(1/10))-1</f>
        <v>#DIV/0!</v>
      </c>
      <c r="I660" s="33">
        <f>((I658/I648)^(1/10))-1</f>
        <v>-5.8444320781284587E-3</v>
      </c>
      <c r="J660" s="33"/>
      <c r="K660" s="33"/>
      <c r="L660" s="32">
        <f>((L658/L648)^(1/10))-1</f>
        <v>0.32270199295840984</v>
      </c>
      <c r="M660" s="32"/>
      <c r="N660" s="32"/>
      <c r="O660" s="32"/>
      <c r="P660" s="32">
        <f>((P658/P648)^(1/10))-1</f>
        <v>0.32270199295840984</v>
      </c>
      <c r="Q660" s="40"/>
      <c r="R660" s="41"/>
      <c r="S660" s="46"/>
      <c r="U660" s="40"/>
      <c r="V660" s="41"/>
      <c r="W660" s="46"/>
      <c r="Y660" s="40"/>
      <c r="Z660" s="41"/>
      <c r="AA660" s="46"/>
    </row>
    <row r="661" spans="1:27">
      <c r="B661" s="24"/>
      <c r="C661" s="25"/>
      <c r="E661" s="26"/>
      <c r="F661" s="27"/>
      <c r="G661" s="28"/>
      <c r="H661" s="27"/>
      <c r="I661" s="27"/>
      <c r="J661" s="27"/>
      <c r="K661" s="27"/>
      <c r="L661" s="26"/>
      <c r="M661" s="17"/>
      <c r="N661" s="17"/>
      <c r="O661" s="17"/>
      <c r="P661" s="35"/>
      <c r="Q661" s="18"/>
      <c r="R661" s="36"/>
    </row>
    <row r="662" spans="1:27">
      <c r="A662" s="9" t="s">
        <v>0</v>
      </c>
      <c r="B662" s="10"/>
      <c r="C662" s="9" t="s">
        <v>1</v>
      </c>
      <c r="D662" s="9" t="s">
        <v>2</v>
      </c>
      <c r="E662" s="9" t="s">
        <v>3</v>
      </c>
      <c r="F662" s="11" t="s">
        <v>4</v>
      </c>
      <c r="G662" s="11" t="s">
        <v>5</v>
      </c>
      <c r="H662" s="9" t="s">
        <v>6</v>
      </c>
      <c r="I662" s="11" t="s">
        <v>7</v>
      </c>
      <c r="J662" s="11" t="s">
        <v>8</v>
      </c>
      <c r="K662" s="11" t="s">
        <v>9</v>
      </c>
      <c r="L662" s="11" t="s">
        <v>10</v>
      </c>
      <c r="M662" s="11" t="s">
        <v>11</v>
      </c>
      <c r="N662" s="11" t="s">
        <v>12</v>
      </c>
      <c r="O662" s="11" t="s">
        <v>13</v>
      </c>
      <c r="P662" s="11" t="s">
        <v>14</v>
      </c>
      <c r="Q662" s="37" t="s">
        <v>15</v>
      </c>
      <c r="R662" s="42">
        <f>_xll.ciqfunctions.udf.CIQ(A663,("IQ_LASTSALEPRICE"))</f>
        <v>202.2</v>
      </c>
      <c r="S662" s="44"/>
      <c r="U662" s="37" t="s">
        <v>15</v>
      </c>
      <c r="V662" s="42">
        <f>_xll.ciqfunctions.udf.CIQ(A663,("IQ_LASTSALEPRICE"))</f>
        <v>202.2</v>
      </c>
      <c r="W662" s="44"/>
      <c r="Y662" s="37" t="s">
        <v>15</v>
      </c>
      <c r="Z662" s="42">
        <f>_xll.ciqfunctions.udf.CIQ(A663,("IQ_LASTSALEPRICE"))</f>
        <v>202.2</v>
      </c>
      <c r="AA662" s="44"/>
    </row>
    <row r="663" spans="1:27">
      <c r="A663" s="12" t="str">
        <f>Analysis!B46</f>
        <v>NasdaqGS:ADSK</v>
      </c>
      <c r="B663" s="13">
        <v>1</v>
      </c>
      <c r="C663" s="14" t="s">
        <v>16</v>
      </c>
      <c r="D663" s="15">
        <f>IF(A671=A672,_xll.ciqfunctions.udf.CIQ(A663,"IQ_TOTAL_REV",IQ_FY-10)/I663,_xll.ciqfunctions.udf.CIQ(A663, "IQ_TOTAL_REV",IQ_FY-9)/I663)</f>
        <v>10.009021720796406</v>
      </c>
      <c r="E663" s="16"/>
      <c r="F663" s="15">
        <f>IF(A671=A672,_xll.ciqfunctions.udf.CIQ(A663,"IQ_DILUT_EPS_EXCL",IQ_FY-10), _xll.ciqfunctions.udf.CIQ(A663, "IQ_DILUT_EPS_EXCL",IQ_FY-9))</f>
        <v>1</v>
      </c>
      <c r="G663" s="15">
        <f>IF(A671=A672,_xll.ciqfunctions.udf.CIQ(A663,"IQ_EBITDA_MARGIN",IQ_FY-10), _xll.ciqfunctions.udf.CIQ(A663, "IQ_EBITDA_MARGIN",IQ_FY-9))</f>
        <v>18.7563</v>
      </c>
      <c r="H663" s="15">
        <f>IF(A671=A672,_xll.ciqfunctions.udf.CIQ(A663,"IQ_TOTAL_DIV_PAID_CF",IQ_FY-10)/-I663, _xll.ciqfunctions.udf.CIQ(A663, "IQ_TOTAL_DIV_PAID_CF",IQ_FY-9)/-I663)</f>
        <v>0</v>
      </c>
      <c r="I663" s="17">
        <f>IF(A671=A672,_xll.ciqfunctions.udf.CIQ(A663,"IQ_TOTAL_OUTSTANDING_FILING_DATE",IQ_FY-10), _xll.ciqfunctions.udf.CIQ(A663, "IQ_TOTAL_OUTSTANDING_FILING_DATE",IQ_FY-9))</f>
        <v>227.18503999999999</v>
      </c>
      <c r="J663" s="17">
        <f>IF(A671=A672,_xll.ciqfunctions.udf.CIQ(A663,"IQ_CASH_OPER",IQ_FY-10), _xll.ciqfunctions.udf.CIQ(A663, "IQ_CASH_OPER",IQ_FY-9))</f>
        <v>563.5</v>
      </c>
      <c r="K663" s="17">
        <f>IF(A671=A672,_xll.ciqfunctions.udf.CIQ(A663,"IQ_CAPEX",IQ_FY-10), _xll.ciqfunctions.udf.CIQ(A663, "IQ_CAPEX",IQ_FY-9))</f>
        <v>-64.2</v>
      </c>
      <c r="L663" s="15">
        <f t="shared" ref="L663:L673" si="176">(J663+K663)/I663</f>
        <v>2.1977679516221666</v>
      </c>
      <c r="M663" s="17">
        <f>IF(A671=A672,_xll.ciqfunctions.udf.CIQ(A663,"IQ_TOTAL_DEBT_ISSUED",IQ_FY-10), _xll.ciqfunctions.udf.CIQ(A663, "IQ_TOTAL_DEBT_ISSUED",IQ_FY-9))</f>
        <v>0</v>
      </c>
      <c r="N663" s="17">
        <f>IF(A671=A672,_xll.ciqfunctions.udf.CIQ(A663,"IQ_TOTAL_DEBT_REPAID",IQ_FY-10), _xll.ciqfunctions.udf.CIQ(A663, "IQ_TOTAL_DEBT_REPAID",IQ_FY-9))</f>
        <v>0</v>
      </c>
      <c r="O663" s="15">
        <f t="shared" ref="O663:O673" si="177">(M663+N663)/I663</f>
        <v>0</v>
      </c>
      <c r="P663" s="15">
        <f t="shared" ref="P663:P673" si="178">L663+O663</f>
        <v>2.1977679516221666</v>
      </c>
      <c r="W663" s="43"/>
      <c r="AA663" s="43"/>
    </row>
    <row r="664" spans="1:27">
      <c r="A664" s="18" t="str">
        <f>_xll.ciqfunctions.udf.CIQ(A663,"IQ_COMPANY_NAME")</f>
        <v>Autodesk, Inc.</v>
      </c>
      <c r="B664" s="13">
        <v>2</v>
      </c>
      <c r="C664" s="14" t="s">
        <v>17</v>
      </c>
      <c r="D664" s="15">
        <f>IF(A671=A672,_xll.ciqfunctions.udf.CIQ(A663,"IQ_TOTAL_REV",IQ_FY-9)/I664, _xll.ciqfunctions.udf.CIQ(A663, "IQ_TOTAL_REV",IQ_FY-8)/I664)</f>
        <v>11.057008070973298</v>
      </c>
      <c r="E664" s="16">
        <f t="shared" ref="E664:E673" si="179">(D664-D663)/D663</f>
        <v>0.10470417383543301</v>
      </c>
      <c r="F664" s="15">
        <f>IF(A671=A672,_xll.ciqfunctions.udf.CIQ(A663,"IQ_DILUT_EPS_EXCL",IQ_FY-9), _xll.ciqfunctions.udf.CIQ(A663, "IQ_DILUT_EPS_EXCL",IQ_FY-8))</f>
        <v>0.35</v>
      </c>
      <c r="G664" s="15">
        <f>IF(A671=A672,_xll.ciqfunctions.udf.CIQ(A663,"IQ_EBITDA_MARGIN",IQ_FY-9), _xll.ciqfunctions.udf.CIQ(A663, "IQ_EBITDA_MARGIN",IQ_FY-8))</f>
        <v>10.7356</v>
      </c>
      <c r="H664" s="15">
        <f>IF(A671=A672,_xll.ciqfunctions.udf.CIQ(A663,"IQ_TOTAL_DIV_PAID_CF",IQ_FY-9)/-I664, _xll.ciqfunctions.udf.CIQ(A663, "IQ_TOTAL_DIV_PAID_CF",IQ_FY-8)/-I664)</f>
        <v>0</v>
      </c>
      <c r="I664" s="17">
        <f>IF(A671=A672,_xll.ciqfunctions.udf.CIQ(A663,"IQ_TOTAL_OUTSTANDING_FILING_DATE",IQ_FY-9), _xll.ciqfunctions.udf.CIQ(A663, "IQ_TOTAL_OUTSTANDING_FILING_DATE",IQ_FY-8))</f>
        <v>227.20432</v>
      </c>
      <c r="J664" s="17">
        <f>IF(A671=A672,_xll.ciqfunctions.udf.CIQ(A663,"IQ_CASH_OPER",IQ_FY-9), _xll.ciqfunctions.udf.CIQ(A663, "IQ_CASH_OPER",IQ_FY-8))</f>
        <v>708.6</v>
      </c>
      <c r="K664" s="17">
        <f>IF(A671=A672,_xll.ciqfunctions.udf.CIQ(A663,"IQ_CAPEX",IQ_FY-9), _xll.ciqfunctions.udf.CIQ(A663, "IQ_CAPEX",IQ_FY-8))</f>
        <v>-75.5</v>
      </c>
      <c r="L664" s="15">
        <f t="shared" si="176"/>
        <v>2.7864787077992181</v>
      </c>
      <c r="M664" s="17">
        <f>IF(A671=A672,_xll.ciqfunctions.udf.CIQ(A663,"IQ_TOTAL_DEBT_ISSUED",IQ_FY-9), _xll.ciqfunctions.udf.CIQ(A663, "IQ_TOTAL_DEBT_ISSUED",IQ_FY-8))</f>
        <v>0</v>
      </c>
      <c r="N664" s="17">
        <f>IF(A671=A672,_xll.ciqfunctions.udf.CIQ(A663,"IQ_TOTAL_DEBT_REPAID",IQ_FY-9), _xll.ciqfunctions.udf.CIQ(A663, "IQ_TOTAL_DEBT_REPAID",IQ_FY-8))</f>
        <v>0</v>
      </c>
      <c r="O664" s="15">
        <f t="shared" si="177"/>
        <v>0</v>
      </c>
      <c r="P664" s="15">
        <f t="shared" si="178"/>
        <v>2.7864787077992181</v>
      </c>
      <c r="Q664" s="25" t="s">
        <v>18</v>
      </c>
      <c r="R664" s="39" t="s">
        <v>19</v>
      </c>
      <c r="S664" s="1">
        <f>R662/((AVERAGE(P668:P673))*(1+E674)^3)</f>
        <v>19.35026486052567</v>
      </c>
      <c r="U664" s="25" t="s">
        <v>48</v>
      </c>
      <c r="V664" s="39" t="s">
        <v>19</v>
      </c>
      <c r="W664" s="1">
        <f>V662/((AVERAGE(P668:P673))*(1+E674)^3)</f>
        <v>19.35026486052567</v>
      </c>
      <c r="Y664" s="25" t="s">
        <v>39</v>
      </c>
      <c r="Z664" s="39" t="s">
        <v>19</v>
      </c>
      <c r="AA664" s="1">
        <f>Z662/((AVERAGE(P668:P673))*(1+E674)^3)</f>
        <v>19.35026486052567</v>
      </c>
    </row>
    <row r="665" spans="1:27">
      <c r="B665" s="13">
        <v>3</v>
      </c>
      <c r="C665" s="14" t="s">
        <v>20</v>
      </c>
      <c r="D665" s="15" cm="1">
        <f t="array" ref="D665">_xlfn.SINGLE(IF(A671=A672,_xll.ciqfunctions.udf.CIQ(A663,"IQ_TOTAL_REV",IQ_FY-8)/I665, _xll.ciqfunctions.udf.CIQ(A663, "IQ_TOTAL_REV",IQ_FY-7)/I665))</f>
        <v>11.154458627453243</v>
      </c>
      <c r="E665" s="16">
        <f t="shared" si="179"/>
        <v>8.8134652570048197E-3</v>
      </c>
      <c r="F665" s="15">
        <f>IF(A671=A672,_xll.ciqfunctions.udf.CIQ(A663,"IQ_DILUT_EPS_EXCL",IQ_FY-8), _xll.ciqfunctions.udf.CIQ(A663, "IQ_DILUT_EPS_EXCL",IQ_FY-7))</f>
        <v>-1.4623900000000001</v>
      </c>
      <c r="G665" s="15">
        <f>IF(A671=A672,_xll.ciqfunctions.udf.CIQ(A663,"IQ_EBITDA_MARGIN",IQ_FY-8), _xll.ciqfunctions.udf.CIQ(A663, "IQ_EBITDA_MARGIN",IQ_FY-7))</f>
        <v>3.9175</v>
      </c>
      <c r="H665" s="15">
        <f>IF(A671=A672,_xll.ciqfunctions.udf.CIQ(A663,"IQ_TOTAL_DIV_PAID_CF",IQ_FY-8)/-I665, _xll.ciqfunctions.udf.CIQ(A663, "IQ_TOTAL_DIV_PAID_CF",IQ_FY-7)/-I665)</f>
        <v>0</v>
      </c>
      <c r="I665" s="17">
        <f>IF(A671=A672,_xll.ciqfunctions.udf.CIQ(A663,"IQ_TOTAL_OUTSTANDING_FILING_DATE",IQ_FY-8), _xll.ciqfunctions.udf.CIQ(A663, "IQ_TOTAL_OUTSTANDING_FILING_DATE",IQ_FY-7))</f>
        <v>224.49319</v>
      </c>
      <c r="J665" s="17">
        <f>IF(A671=A672,_xll.ciqfunctions.udf.CIQ(A663,"IQ_CASH_OPER",IQ_FY-8), _xll.ciqfunctions.udf.CIQ(A663, "IQ_CASH_OPER",IQ_FY-7))</f>
        <v>414</v>
      </c>
      <c r="K665" s="17">
        <f>IF(A671=A672,_xll.ciqfunctions.udf.CIQ(A663,"IQ_CAPEX",IQ_FY-8), _xll.ciqfunctions.udf.CIQ(A663, "IQ_CAPEX",IQ_FY-7))</f>
        <v>-72.400000000000006</v>
      </c>
      <c r="L665" s="15">
        <f t="shared" si="176"/>
        <v>1.5216497213122591</v>
      </c>
      <c r="M665" s="17">
        <f>IF(A671=A672,_xll.ciqfunctions.udf.CIQ(A663,"IQ_TOTAL_DEBT_ISSUED",IQ_FY-8), _xll.ciqfunctions.udf.CIQ(A663, "IQ_TOTAL_DEBT_ISSUED",IQ_FY-7))</f>
        <v>748.3</v>
      </c>
      <c r="N665" s="17">
        <f>IF(A671=A672,_xll.ciqfunctions.udf.CIQ(A663,"IQ_TOTAL_DEBT_REPAID",IQ_FY-8), _xll.ciqfunctions.udf.CIQ(A663, "IQ_TOTAL_DEBT_REPAID",IQ_FY-7))</f>
        <v>0</v>
      </c>
      <c r="O665" s="15">
        <f t="shared" si="177"/>
        <v>3.3332859673827966</v>
      </c>
      <c r="P665" s="15">
        <f t="shared" si="178"/>
        <v>4.8549356886950559</v>
      </c>
      <c r="Q665" s="25" t="s">
        <v>21</v>
      </c>
      <c r="R665" s="38" t="s">
        <v>49</v>
      </c>
      <c r="S665" s="2">
        <f>(R662*I673)/1000</f>
        <v>43.223005985999997</v>
      </c>
      <c r="U665" s="25" t="s">
        <v>59</v>
      </c>
      <c r="V665" s="38" t="s">
        <v>49</v>
      </c>
      <c r="W665" s="2">
        <f>(V662*I673)/1000</f>
        <v>43.223005985999997</v>
      </c>
      <c r="Y665" s="25" t="s">
        <v>46</v>
      </c>
      <c r="Z665" s="38" t="s">
        <v>49</v>
      </c>
      <c r="AA665" s="2">
        <f>(Z662*I673)/1000</f>
        <v>43.223005985999997</v>
      </c>
    </row>
    <row r="666" spans="1:27">
      <c r="A666" s="18"/>
      <c r="B666" s="13">
        <v>4</v>
      </c>
      <c r="C666" s="14" t="s">
        <v>22</v>
      </c>
      <c r="D666" s="15" cm="1">
        <f t="array" ref="D666">_xlfn.SINGLE(IF(A671=A672,_xll.ciqfunctions.udf.CIQ(A663,"IQ_TOTAL_REV",IQ_FY-7)/I666, _xll.ciqfunctions.udf.CIQ(A663, "IQ_TOTAL_REV",IQ_FY-6)/I666))</f>
        <v>9.1963174702818815</v>
      </c>
      <c r="E666" s="16">
        <f t="shared" si="179"/>
        <v>-0.17554784347417848</v>
      </c>
      <c r="F666" s="15">
        <f>IF(A671=A672,_xll.ciqfunctions.udf.CIQ(A663,"IQ_DILUT_EPS_EXCL",IQ_FY-7), _xll.ciqfunctions.udf.CIQ(A663, "IQ_DILUT_EPS_EXCL",IQ_FY-6))</f>
        <v>-2.6138300000000001</v>
      </c>
      <c r="G666" s="15">
        <f>IF(A671=A672,_xll.ciqfunctions.udf.CIQ(A663,"IQ_EBITDA_MARGIN",IQ_FY-7), _xll.ciqfunctions.udf.CIQ(A663, "IQ_EBITDA_MARGIN",IQ_FY-6))</f>
        <v>-15.809900000000001</v>
      </c>
      <c r="H666" s="15">
        <f>IF(A671=A672,_xll.ciqfunctions.udf.CIQ(A663,"IQ_TOTAL_DIV_PAID_CF",IQ_FY-7)/-I666, _xll.ciqfunctions.udf.CIQ(A663, "IQ_TOTAL_DIV_PAID_CF",IQ_FY-6)/-I666)</f>
        <v>0</v>
      </c>
      <c r="I666" s="17">
        <f>IF(A671=A672,_xll.ciqfunctions.udf.CIQ(A663,"IQ_TOTAL_OUTSTANDING_FILING_DATE",IQ_FY-7), _xll.ciqfunctions.udf.CIQ(A663, "IQ_TOTAL_OUTSTANDING_FILING_DATE",IQ_FY-6))</f>
        <v>220.84926999999999</v>
      </c>
      <c r="J666" s="17">
        <f>IF(A671=A672,_xll.ciqfunctions.udf.CIQ(A663,"IQ_CASH_OPER",IQ_FY-7), _xll.ciqfunctions.udf.CIQ(A663, "IQ_CASH_OPER",IQ_FY-6))</f>
        <v>169.7</v>
      </c>
      <c r="K666" s="17">
        <f>IF(A671=A672,_xll.ciqfunctions.udf.CIQ(A663,"IQ_CAPEX",IQ_FY-7), _xll.ciqfunctions.udf.CIQ(A663, "IQ_CAPEX",IQ_FY-6))</f>
        <v>-76</v>
      </c>
      <c r="L666" s="15">
        <f t="shared" si="176"/>
        <v>0.4242712688160572</v>
      </c>
      <c r="M666" s="17">
        <f>IF(A671=A672,_xll.ciqfunctions.udf.CIQ(A663,"IQ_TOTAL_DEBT_ISSUED",IQ_FY-7), _xll.ciqfunctions.udf.CIQ(A663, "IQ_TOTAL_DEBT_ISSUED",IQ_FY-6))</f>
        <v>0</v>
      </c>
      <c r="N666" s="17">
        <f>IF(A671=A672,_xll.ciqfunctions.udf.CIQ(A663,"IQ_TOTAL_DEBT_REPAID",IQ_FY-7), _xll.ciqfunctions.udf.CIQ(A663, "IQ_TOTAL_DEBT_REPAID",IQ_FY-6))</f>
        <v>0</v>
      </c>
      <c r="O666" s="15">
        <f t="shared" si="177"/>
        <v>0</v>
      </c>
      <c r="P666" s="15">
        <f t="shared" si="178"/>
        <v>0.4242712688160572</v>
      </c>
      <c r="Q666" s="25" t="s">
        <v>23</v>
      </c>
      <c r="R666" s="38" t="s">
        <v>24</v>
      </c>
      <c r="S666" s="1" t="e">
        <f>R662/(AVERAGE(H668:H673)*(1+H674)/(0.5-H674))</f>
        <v>#DIV/0!</v>
      </c>
      <c r="U666" s="25" t="s">
        <v>40</v>
      </c>
      <c r="V666" s="38" t="s">
        <v>24</v>
      </c>
      <c r="W666" s="1" t="e">
        <f>V662/(AVERAGE(H668:H673)*(1+H674)/(0.5-H674))</f>
        <v>#DIV/0!</v>
      </c>
      <c r="Y666" s="25" t="s">
        <v>47</v>
      </c>
      <c r="Z666" s="38" t="s">
        <v>24</v>
      </c>
      <c r="AA666" s="1" t="e">
        <f>Z662/(AVERAGE(H668:H673)*(1+H674)/(0.5-H674))</f>
        <v>#DIV/0!</v>
      </c>
    </row>
    <row r="667" spans="1:27">
      <c r="B667" s="13">
        <v>5</v>
      </c>
      <c r="C667" s="14" t="s">
        <v>25</v>
      </c>
      <c r="D667" s="15" cm="1">
        <f t="array" ref="D667">_xlfn.SINGLE(IF(A671=A672,_xll.ciqfunctions.udf.CIQ(A663,"IQ_TOTAL_REV",IQ_FY-6)/I667, _xll.ciqfunctions.udf.CIQ(A663, "IQ_TOTAL_REV",IQ_FY-5)/I667))</f>
        <v>9.4197781263463121</v>
      </c>
      <c r="E667" s="16">
        <f t="shared" si="179"/>
        <v>2.4298927998793973E-2</v>
      </c>
      <c r="F667" s="15">
        <f>IF(A671=A672,_xll.ciqfunctions.udf.CIQ(A663,"IQ_DILUT_EPS_EXCL",IQ_FY-6), _xll.ciqfunctions.udf.CIQ(A663, "IQ_DILUT_EPS_EXCL",IQ_FY-5))</f>
        <v>-2.5826899999999999</v>
      </c>
      <c r="G667" s="15">
        <f>IF(A671=A672,_xll.ciqfunctions.udf.CIQ(A663,"IQ_EBITDA_MARGIN",IQ_FY-6), _xll.ciqfunctions.udf.CIQ(A663, "IQ_EBITDA_MARGIN",IQ_FY-5))</f>
        <v>-14.908099999999999</v>
      </c>
      <c r="H667" s="15">
        <f>IF(A671=A672,_xll.ciqfunctions.udf.CIQ(A663,"IQ_TOTAL_DIV_PAID_CF",IQ_FY-6)/-I667, _xll.ciqfunctions.udf.CIQ(A663, "IQ_TOTAL_DIV_PAID_CF",IQ_FY-5)/-I667)</f>
        <v>0</v>
      </c>
      <c r="I667" s="17">
        <f>IF(A671=A672,_xll.ciqfunctions.udf.CIQ(A663,"IQ_TOTAL_OUTSTANDING_FILING_DATE",IQ_FY-6), _xll.ciqfunctions.udf.CIQ(A663, "IQ_TOTAL_OUTSTANDING_FILING_DATE",IQ_FY-5))</f>
        <v>218.32785999999999</v>
      </c>
      <c r="J667" s="17">
        <f>IF(A671=A672,_xll.ciqfunctions.udf.CIQ(A663,"IQ_CASH_OPER",IQ_FY-6), _xll.ciqfunctions.udf.CIQ(A663, "IQ_CASH_OPER",IQ_FY-5))</f>
        <v>0.9</v>
      </c>
      <c r="K667" s="17">
        <f>IF(A671=A672,_xll.ciqfunctions.udf.CIQ(A663,"IQ_CAPEX",IQ_FY-6), _xll.ciqfunctions.udf.CIQ(A663, "IQ_CAPEX",IQ_FY-5))</f>
        <v>-50.7</v>
      </c>
      <c r="L667" s="15">
        <f t="shared" si="176"/>
        <v>-0.22809732115727241</v>
      </c>
      <c r="M667" s="17">
        <f>IF(A671=A672,_xll.ciqfunctions.udf.CIQ(A663,"IQ_TOTAL_DEBT_ISSUED",IQ_FY-6), _xll.ciqfunctions.udf.CIQ(A663, "IQ_TOTAL_DEBT_ISSUED",IQ_FY-5))</f>
        <v>496.9</v>
      </c>
      <c r="N667" s="17">
        <f>IF(A671=A672,_xll.ciqfunctions.udf.CIQ(A663,"IQ_TOTAL_DEBT_REPAID",IQ_FY-6), _xll.ciqfunctions.udf.CIQ(A663, "IQ_TOTAL_DEBT_REPAID",IQ_FY-5))</f>
        <v>-400</v>
      </c>
      <c r="O667" s="15">
        <f t="shared" si="177"/>
        <v>0.44382792008312627</v>
      </c>
      <c r="P667" s="15">
        <f t="shared" si="178"/>
        <v>0.21573059892585386</v>
      </c>
      <c r="Q667" s="18"/>
      <c r="R667" s="38" t="s">
        <v>50</v>
      </c>
      <c r="S667" s="3">
        <f>I674</f>
        <v>-5.3141901377598E-3</v>
      </c>
      <c r="U667" s="18"/>
      <c r="V667" s="38" t="s">
        <v>50</v>
      </c>
      <c r="W667" s="3">
        <f>I674</f>
        <v>-5.3141901377598E-3</v>
      </c>
      <c r="Y667" s="18"/>
      <c r="Z667" s="38" t="s">
        <v>50</v>
      </c>
      <c r="AA667" s="3">
        <f>I674</f>
        <v>-5.3141901377598E-3</v>
      </c>
    </row>
    <row r="668" spans="1:27">
      <c r="B668" s="13">
        <v>6</v>
      </c>
      <c r="C668" s="14" t="s">
        <v>26</v>
      </c>
      <c r="D668" s="15" cm="1">
        <f t="array" ref="D668">_xlfn.SINGLE(IF(A671=A672,_xll.ciqfunctions.udf.CIQ(A663,"IQ_TOTAL_REV",IQ_FY-5)/I668, _xll.ciqfunctions.udf.CIQ(A663, "IQ_TOTAL_REV",IQ_FY-4)/I668))</f>
        <v>11.70563884920151</v>
      </c>
      <c r="E668" s="16">
        <f t="shared" si="179"/>
        <v>0.24266608960372865</v>
      </c>
      <c r="F668" s="15">
        <f>IF(A671=A672,_xll.ciqfunctions.udf.CIQ(A663,"IQ_DILUT_EPS_EXCL",IQ_FY-5), _xll.ciqfunctions.udf.CIQ(A663, "IQ_DILUT_EPS_EXCL",IQ_FY-4))</f>
        <v>-0.37</v>
      </c>
      <c r="G668" s="15">
        <f>IF(A671=A672,_xll.ciqfunctions.udf.CIQ(A663,"IQ_EBITDA_MARGIN",IQ_FY-5), _xll.ciqfunctions.udf.CIQ(A663, "IQ_EBITDA_MARGIN",IQ_FY-4))</f>
        <v>4.3894000000000002</v>
      </c>
      <c r="H668" s="15">
        <f>IF(A671=A672,_xll.ciqfunctions.udf.CIQ(A663,"IQ_TOTAL_DIV_PAID_CF",IQ_FY-5)/-I668, _xll.ciqfunctions.udf.CIQ(A663, "IQ_TOTAL_DIV_PAID_CF",IQ_FY-4)/-I668)</f>
        <v>0</v>
      </c>
      <c r="I668" s="17">
        <f>IF(A671=A672,_xll.ciqfunctions.udf.CIQ(A663,"IQ_TOTAL_OUTSTANDING_FILING_DATE",IQ_FY-5), _xll.ciqfunctions.udf.CIQ(A663, "IQ_TOTAL_OUTSTANDING_FILING_DATE",IQ_FY-4))</f>
        <v>219.53522000000001</v>
      </c>
      <c r="J668" s="17">
        <f>IF(A671=A672,_xll.ciqfunctions.udf.CIQ(A663,"IQ_CASH_OPER",IQ_FY-5), _xll.ciqfunctions.udf.CIQ(A663, "IQ_CASH_OPER",IQ_FY-4))</f>
        <v>377.1</v>
      </c>
      <c r="K668" s="17">
        <f>IF(A671=A672,_xll.ciqfunctions.udf.CIQ(A663,"IQ_CAPEX",IQ_FY-5), _xll.ciqfunctions.udf.CIQ(A663, "IQ_CAPEX",IQ_FY-4))</f>
        <v>-67</v>
      </c>
      <c r="L668" s="15">
        <f t="shared" si="176"/>
        <v>1.4125296159768808</v>
      </c>
      <c r="M668" s="17">
        <f>IF(A671=A672,_xll.ciqfunctions.udf.CIQ(A663,"IQ_TOTAL_DEBT_ISSUED",IQ_FY-5), _xll.ciqfunctions.udf.CIQ(A663, "IQ_TOTAL_DEBT_ISSUED",IQ_FY-4))</f>
        <v>500</v>
      </c>
      <c r="N668" s="17">
        <f>IF(A671=A672,_xll.ciqfunctions.udf.CIQ(A663,"IQ_TOTAL_DEBT_REPAID",IQ_FY-5), _xll.ciqfunctions.udf.CIQ(A663, "IQ_TOTAL_DEBT_REPAID",IQ_FY-4))</f>
        <v>0</v>
      </c>
      <c r="O668" s="15">
        <f t="shared" si="177"/>
        <v>2.2775388841936159</v>
      </c>
      <c r="P668" s="15">
        <f t="shared" si="178"/>
        <v>3.6900685001704967</v>
      </c>
      <c r="Q668" s="25" t="s">
        <v>27</v>
      </c>
      <c r="R668" s="38" t="s">
        <v>51</v>
      </c>
      <c r="S668" s="4">
        <f>AVERAGE(F668:F673)/AVERAGE(D668:D673)</f>
        <v>0.14498438080390791</v>
      </c>
      <c r="U668" s="25" t="s">
        <v>58</v>
      </c>
      <c r="V668" s="38" t="s">
        <v>51</v>
      </c>
      <c r="W668" s="4">
        <f>AVERAGE(F668:F673)/AVERAGE(D668:D673)</f>
        <v>0.14498438080390791</v>
      </c>
      <c r="Y668" s="25" t="s">
        <v>56</v>
      </c>
      <c r="Z668" s="38" t="s">
        <v>51</v>
      </c>
      <c r="AA668" s="4">
        <f>AVERAGE(F668:F673)/AVERAGE(D668:D673)</f>
        <v>0.14498438080390791</v>
      </c>
    </row>
    <row r="669" spans="1:27">
      <c r="A669" s="18"/>
      <c r="B669" s="13">
        <v>7</v>
      </c>
      <c r="C669" s="14" t="s">
        <v>28</v>
      </c>
      <c r="D669" s="15" cm="1">
        <f t="array" ref="D669">_xlfn.SINGLE(IF(A671=A672,_xll.ciqfunctions.udf.CIQ(A663,"IQ_TOTAL_REV",IQ_FY-4)/I669, _xll.ciqfunctions.udf.CIQ(A663, "IQ_TOTAL_REV",IQ_FY-3)/I669))</f>
        <v>14.915628055083278</v>
      </c>
      <c r="E669" s="16">
        <f t="shared" si="179"/>
        <v>0.27422588781651464</v>
      </c>
      <c r="F669" s="15">
        <f>IF(A671=A672,_xll.ciqfunctions.udf.CIQ(A663,"IQ_DILUT_EPS_EXCL",IQ_FY-4), _xll.ciqfunctions.udf.CIQ(A663, "IQ_DILUT_EPS_EXCL",IQ_FY-3))</f>
        <v>0.96</v>
      </c>
      <c r="G669" s="15">
        <f>IF(A671=A672,_xll.ciqfunctions.udf.CIQ(A663,"IQ_EBITDA_MARGIN",IQ_FY-4), _xll.ciqfunctions.udf.CIQ(A663, "IQ_EBITDA_MARGIN",IQ_FY-3))</f>
        <v>14.198399999999999</v>
      </c>
      <c r="H669" s="15">
        <f>IF(A671=A672,_xll.ciqfunctions.udf.CIQ(A663,"IQ_TOTAL_DIV_PAID_CF",IQ_FY-4)/-I669, _xll.ciqfunctions.udf.CIQ(A663, "IQ_TOTAL_DIV_PAID_CF",IQ_FY-3)/-I669)</f>
        <v>0</v>
      </c>
      <c r="I669" s="17">
        <f>IF(A671=A672,_xll.ciqfunctions.udf.CIQ(A663,"IQ_TOTAL_OUTSTANDING_FILING_DATE",IQ_FY-4), _xll.ciqfunctions.udf.CIQ(A663, "IQ_TOTAL_OUTSTANDING_FILING_DATE",IQ_FY-3))</f>
        <v>219.52143000000001</v>
      </c>
      <c r="J669" s="17">
        <f>IF(A671=A672,_xll.ciqfunctions.udf.CIQ(A663,"IQ_CASH_OPER",IQ_FY-4), _xll.ciqfunctions.udf.CIQ(A663, "IQ_CASH_OPER",IQ_FY-3))</f>
        <v>1415.1</v>
      </c>
      <c r="K669" s="17">
        <f>IF(A671=A672,_xll.ciqfunctions.udf.CIQ(A663,"IQ_CAPEX",IQ_FY-4), _xll.ciqfunctions.udf.CIQ(A663, "IQ_CAPEX",IQ_FY-3))</f>
        <v>-53.2</v>
      </c>
      <c r="L669" s="15">
        <f t="shared" si="176"/>
        <v>6.2039501109299433</v>
      </c>
      <c r="M669" s="17">
        <f>IF(A671=A672,_xll.ciqfunctions.udf.CIQ(A663,"IQ_TOTAL_DEBT_ISSUED",IQ_FY-4), _xll.ciqfunctions.udf.CIQ(A663, "IQ_TOTAL_DEBT_ISSUED",IQ_FY-3))</f>
        <v>498.9</v>
      </c>
      <c r="N669" s="17">
        <f>IF(A671=A672,_xll.ciqfunctions.udf.CIQ(A663,"IQ_TOTAL_DEBT_REPAID",IQ_FY-4), _xll.ciqfunctions.udf.CIQ(A663, "IQ_TOTAL_DEBT_REPAID",IQ_FY-3))</f>
        <v>-500</v>
      </c>
      <c r="O669" s="15">
        <f t="shared" si="177"/>
        <v>-5.0109003025354867E-3</v>
      </c>
      <c r="P669" s="15">
        <f t="shared" si="178"/>
        <v>6.1989392106274082</v>
      </c>
      <c r="Q669" s="18"/>
      <c r="R669" s="38" t="s">
        <v>29</v>
      </c>
      <c r="S669" s="4">
        <f>(AVERAGE(P668:P673)/_xlfn.STDEV.P(P668:P673))/(IF(A671=A672,(_xlfn.SINGLE(_xll.ciqfunctions.udf.CIQ(A663,"IQ_total_assets",IQ_FY)) - _xlfn.SINGLE(_xll.ciqfunctions.udf.CIQ(A663,"iq_gw_intan", IQ_FY)))/I673, (_xlfn.SINGLE(_xll.ciqfunctions.udf.CIQ(A663, "IQ_total_assets",IQ_LTM))-_xlfn.SINGLE(_xll.ciqfunctions.udf.CIQ(A663,"iq_gw_intan",IQ_LTM)))/I673))</f>
        <v>0.10623208677108308</v>
      </c>
      <c r="U669" s="18"/>
      <c r="V669" s="38" t="s">
        <v>29</v>
      </c>
      <c r="W669" s="4">
        <f>(AVERAGE(P668:P673)/_xlfn.STDEV.P(P668:P673))/(IF(A671=A672,(_xlfn.SINGLE(_xll.ciqfunctions.udf.CIQ(A663,"IQ_total_assets",IQ_FY)) - _xlfn.SINGLE(_xll.ciqfunctions.udf.CIQ(A663,"iq_gw_intan", IQ_FY)))/I673, (_xlfn.SINGLE(_xll.ciqfunctions.udf.CIQ(A663, "IQ_total_assets",IQ_LTM))-_xlfn.SINGLE(_xll.ciqfunctions.udf.CIQ(A663,"iq_gw_intan",IQ_LTM)))/I673))</f>
        <v>0.10623208677108308</v>
      </c>
      <c r="Y669" s="18"/>
      <c r="Z669" s="38" t="s">
        <v>29</v>
      </c>
      <c r="AA669" s="4">
        <f>(AVERAGE(P668:P673)/_xlfn.STDEV.P(P668:P673))/(IF(A671=A672,(_xlfn.SINGLE(_xll.ciqfunctions.udf.CIQ(A663,"IQ_total_assets",IQ_FY)) - _xlfn.SINGLE(_xll.ciqfunctions.udf.CIQ(A663,"iq_gw_intan", IQ_FY)))/I673, (_xlfn.SINGLE(_xll.ciqfunctions.udf.CIQ(A663, "IQ_total_assets",IQ_LTM))-_xlfn.SINGLE(_xll.ciqfunctions.udf.CIQ(A663,"iq_gw_intan",IQ_LTM)))/I673))</f>
        <v>0.10623208677108308</v>
      </c>
    </row>
    <row r="670" spans="1:27">
      <c r="A670" s="18"/>
      <c r="B670" s="13">
        <v>8</v>
      </c>
      <c r="C670" s="14" t="s">
        <v>30</v>
      </c>
      <c r="D670" s="15" cm="1">
        <f t="array" ref="D670">_xlfn.SINGLE(IF(A671=A672,_xll.ciqfunctions.udf.CIQ(A663,"IQ_TOTAL_REV",IQ_FY-3)/I670, _xll.ciqfunctions.udf.CIQ(A663, "IQ_TOTAL_REV",IQ_FY-2)/I670))</f>
        <v>17.259258055007304</v>
      </c>
      <c r="E670" s="16">
        <f t="shared" si="179"/>
        <v>0.15712580062126932</v>
      </c>
      <c r="F670" s="15">
        <f>IF(A671=A672,_xll.ciqfunctions.udf.CIQ(A663,"IQ_DILUT_EPS_EXCL",IQ_FY-3), _xll.ciqfunctions.udf.CIQ(A663, "IQ_DILUT_EPS_EXCL",IQ_FY-2))</f>
        <v>5.44</v>
      </c>
      <c r="G670" s="15">
        <f>IF(A671=A672,_xll.ciqfunctions.udf.CIQ(A663,"IQ_EBITDA_MARGIN",IQ_FY-3), _xll.ciqfunctions.udf.CIQ(A663, "IQ_EBITDA_MARGIN",IQ_FY-2))</f>
        <v>18.944500000000001</v>
      </c>
      <c r="H670" s="15">
        <f>IF(A671=A672,_xll.ciqfunctions.udf.CIQ(A663,"IQ_TOTAL_DIV_PAID_CF",IQ_FY-3)/-I670, _xll.ciqfunctions.udf.CIQ(A663, "IQ_TOTAL_DIV_PAID_CF",IQ_FY-2)/-I670)</f>
        <v>0</v>
      </c>
      <c r="I670" s="17">
        <f>IF(A671=A672,_xll.ciqfunctions.udf.CIQ(A663,"IQ_TOTAL_OUTSTANDING_FILING_DATE",IQ_FY-3), _xll.ciqfunctions.udf.CIQ(A663, "IQ_TOTAL_OUTSTANDING_FILING_DATE",IQ_FY-2))</f>
        <v>219.59228999999999</v>
      </c>
      <c r="J670" s="17">
        <f>IF(A671=A672,_xll.ciqfunctions.udf.CIQ(A663,"IQ_CASH_OPER",IQ_FY-3), _xll.ciqfunctions.udf.CIQ(A663, "IQ_CASH_OPER",IQ_FY-2))</f>
        <v>1437</v>
      </c>
      <c r="K670" s="17">
        <f>IF(A671=A672,_xll.ciqfunctions.udf.CIQ(A663,"IQ_CAPEX",IQ_FY-3), _xll.ciqfunctions.udf.CIQ(A663, "IQ_CAPEX",IQ_FY-2))</f>
        <v>-91</v>
      </c>
      <c r="L670" s="15">
        <f t="shared" si="176"/>
        <v>6.1295412511978453</v>
      </c>
      <c r="M670" s="17">
        <f>IF(A671=A672,_xll.ciqfunctions.udf.CIQ(A663,"IQ_TOTAL_DEBT_ISSUED",IQ_FY-3), _xll.ciqfunctions.udf.CIQ(A663, "IQ_TOTAL_DEBT_ISSUED",IQ_FY-2))</f>
        <v>0</v>
      </c>
      <c r="N670" s="17">
        <f>IF(A671=A672,_xll.ciqfunctions.udf.CIQ(A663,"IQ_TOTAL_DEBT_REPAID",IQ_FY-3), _xll.ciqfunctions.udf.CIQ(A663, "IQ_TOTAL_DEBT_REPAID",IQ_FY-2))</f>
        <v>-450</v>
      </c>
      <c r="O670" s="15">
        <f t="shared" si="177"/>
        <v>-2.0492522756604981</v>
      </c>
      <c r="P670" s="15">
        <f t="shared" si="178"/>
        <v>4.0802889755373473</v>
      </c>
      <c r="Q670" s="18"/>
      <c r="R670" s="39" t="s">
        <v>31</v>
      </c>
      <c r="S670" s="5">
        <f>IF(NOT(D663&gt;0),FALSE,SLOPE(G663:G673,B663:B673))</f>
        <v>1.8554500000000003</v>
      </c>
      <c r="U670" s="18"/>
      <c r="V670" s="39" t="s">
        <v>31</v>
      </c>
      <c r="W670" s="5">
        <f>IF(NOT(D663&gt;0),FALSE,SLOPE(G663:G673,B663:B673))</f>
        <v>1.8554500000000003</v>
      </c>
      <c r="Y670" s="18"/>
      <c r="Z670" s="39" t="s">
        <v>31</v>
      </c>
      <c r="AA670" s="5">
        <f>IF(NOT(L663&gt;0),FALSE,SLOPE(O663:O673,J663:J673))</f>
        <v>-9.9519396736643491E-4</v>
      </c>
    </row>
    <row r="671" spans="1:27">
      <c r="A671" s="19">
        <f>_xll.ciqfunctions.udf.CIQ(A663,"IQ_TOTAL_REV",IQ_FY)</f>
        <v>5005</v>
      </c>
      <c r="B671" s="13">
        <v>9</v>
      </c>
      <c r="C671" s="14" t="s">
        <v>32</v>
      </c>
      <c r="D671" s="15" cm="1">
        <f t="array" ref="D671">_xlfn.SINGLE(IF(A671=A672,_xll.ciqfunctions.udf.CIQ(A663,"IQ_TOTAL_REV",IQ_FY-2)/I671, _xll.ciqfunctions.udf.CIQ(A663, "IQ_TOTAL_REV",IQ_FY-1)/I671))</f>
        <v>20.183337040054258</v>
      </c>
      <c r="E671" s="16">
        <f t="shared" si="179"/>
        <v>0.16942089722093309</v>
      </c>
      <c r="F671" s="15">
        <f>IF(A671=A672,_xll.ciqfunctions.udf.CIQ(A663,"IQ_DILUT_EPS_EXCL",IQ_FY-2), _xll.ciqfunctions.udf.CIQ(A663, "IQ_DILUT_EPS_EXCL",IQ_FY-1))</f>
        <v>2.2400000000000002</v>
      </c>
      <c r="G671" s="15">
        <f>IF(A671=A672,_xll.ciqfunctions.udf.CIQ(A663,"IQ_EBITDA_MARGIN",IQ_FY-2), _xll.ciqfunctions.udf.CIQ(A663, "IQ_EBITDA_MARGIN",IQ_FY-1))</f>
        <v>18.285399999999999</v>
      </c>
      <c r="H671" s="15">
        <f>IF(A671=A672,_xll.ciqfunctions.udf.CIQ(A663,"IQ_TOTAL_DIV_PAID_CF",IQ_FY-2)/-I671, _xll.ciqfunctions.udf.CIQ(A663, "IQ_TOTAL_DIV_PAID_CF",IQ_FY-1)/-I671)</f>
        <v>0</v>
      </c>
      <c r="I671" s="17">
        <f>IF(A671=A672,_xll.ciqfunctions.udf.CIQ(A663,"IQ_TOTAL_OUTSTANDING_FILING_DATE",IQ_FY-2), _xll.ciqfunctions.udf.CIQ(A663, "IQ_TOTAL_OUTSTANDING_FILING_DATE",IQ_FY-1))</f>
        <v>217.30797000000001</v>
      </c>
      <c r="J671" s="17">
        <f>IF(A671=A672,_xll.ciqfunctions.udf.CIQ(A663,"IQ_CASH_OPER",IQ_FY-2), _xll.ciqfunctions.udf.CIQ(A663, "IQ_CASH_OPER",IQ_FY-1))</f>
        <v>1531</v>
      </c>
      <c r="K671" s="17">
        <f>IF(A671=A672,_xll.ciqfunctions.udf.CIQ(A663,"IQ_CAPEX",IQ_FY-2), _xll.ciqfunctions.udf.CIQ(A663, "IQ_CAPEX",IQ_FY-1))</f>
        <v>-56</v>
      </c>
      <c r="L671" s="15">
        <f t="shared" si="176"/>
        <v>6.7876019457546812</v>
      </c>
      <c r="M671" s="17">
        <f>IF(A671=A672,_xll.ciqfunctions.udf.CIQ(A663,"IQ_TOTAL_DEBT_ISSUED",IQ_FY-2), _xll.ciqfunctions.udf.CIQ(A663, "IQ_TOTAL_DEBT_ISSUED",IQ_FY-1))</f>
        <v>997</v>
      </c>
      <c r="N671" s="17">
        <f>IF(A671=A672,_xll.ciqfunctions.udf.CIQ(A663,"IQ_TOTAL_DEBT_REPAID",IQ_FY-2), _xll.ciqfunctions.udf.CIQ(A663, "IQ_TOTAL_DEBT_REPAID",IQ_FY-1))</f>
        <v>0</v>
      </c>
      <c r="O671" s="15">
        <f t="shared" si="177"/>
        <v>4.5879587389270622</v>
      </c>
      <c r="P671" s="15">
        <f t="shared" si="178"/>
        <v>11.375560684681744</v>
      </c>
      <c r="Q671" s="25" t="s">
        <v>33</v>
      </c>
      <c r="R671" s="38" t="s">
        <v>52</v>
      </c>
      <c r="S671" s="4">
        <f>(AVERAGE(O668:O673)/AVERAGE(P668:P673))</f>
        <v>3.8843870896641458E-2</v>
      </c>
      <c r="U671" s="25" t="s">
        <v>54</v>
      </c>
      <c r="V671" s="38" t="s">
        <v>52</v>
      </c>
      <c r="W671" s="4">
        <f>(AVERAGE(O668:O673)/AVERAGE(P668:P673))</f>
        <v>3.8843870896641458E-2</v>
      </c>
      <c r="Y671" s="25" t="s">
        <v>60</v>
      </c>
      <c r="Z671" s="38" t="s">
        <v>52</v>
      </c>
      <c r="AA671" s="4">
        <f>(AVERAGE(O668:O673)/AVERAGE(P668:P673))</f>
        <v>3.8843870896641458E-2</v>
      </c>
    </row>
    <row r="672" spans="1:27">
      <c r="A672" s="19">
        <f>_xll.ciqfunctions.udf.CIQ(A663,"IQ_TOTAL_REV",IQ_LTM)</f>
        <v>5346</v>
      </c>
      <c r="B672" s="13">
        <v>10</v>
      </c>
      <c r="C672" s="14" t="s">
        <v>34</v>
      </c>
      <c r="D672" s="15" cm="1">
        <f t="array" ref="D672">_xlfn.SINGLE(IF(A671=A672,_xll.ciqfunctions.udf.CIQ(A663,"IQ_TOTAL_REV",IQ_FY-1)/I672, _xll.ciqfunctions.udf.CIQ(A663, "IQ_TOTAL_REV",IQ_FY)/I672))</f>
        <v>23.302621672974592</v>
      </c>
      <c r="E672" s="16">
        <f t="shared" si="179"/>
        <v>0.15454751742638234</v>
      </c>
      <c r="F672" s="15">
        <f>IF(A671=A672,_xll.ciqfunctions.udf.CIQ(A663,"IQ_DILUT_EPS_EXCL",IQ_FY-1), _xll.ciqfunctions.udf.CIQ(A663, "IQ_DILUT_EPS_EXCL",IQ_FY))</f>
        <v>3.78</v>
      </c>
      <c r="G672" s="15">
        <f>IF(A671=A672,_xll.ciqfunctions.udf.CIQ(A663,"IQ_EBITDA_MARGIN",IQ_FY-1), _xll.ciqfunctions.udf.CIQ(A663, "IQ_EBITDA_MARGIN",IQ_FY))</f>
        <v>21.8581</v>
      </c>
      <c r="H672" s="15">
        <f>IF(A671=A672,_xll.ciqfunctions.udf.CIQ(A663,"IQ_TOTAL_DIV_PAID_CF",IQ_FY-1)/-I672, _xll.ciqfunctions.udf.CIQ(A663, "IQ_TOTAL_DIV_PAID_CF",IQ_FY)/-I672)</f>
        <v>0</v>
      </c>
      <c r="I672" s="17">
        <f>IF(A671=A672,_xll.ciqfunctions.udf.CIQ(A663,"IQ_TOTAL_OUTSTANDING_FILING_DATE",IQ_FY-1), _xll.ciqfunctions.udf.CIQ(A663, "IQ_TOTAL_OUTSTANDING_FILING_DATE",IQ_FY))</f>
        <v>214.78270000000001</v>
      </c>
      <c r="J672" s="17">
        <f>IF(A671=A672,_xll.ciqfunctions.udf.CIQ(A663,"IQ_CASH_OPER",IQ_FY-1), _xll.ciqfunctions.udf.CIQ(A663, "IQ_CASH_OPER",IQ_FY))</f>
        <v>2071</v>
      </c>
      <c r="K672" s="17">
        <f>IF(A671=A672,_xll.ciqfunctions.udf.CIQ(A663,"IQ_CAPEX",IQ_FY-1), _xll.ciqfunctions.udf.CIQ(A663, "IQ_CAPEX",IQ_FY))</f>
        <v>-40</v>
      </c>
      <c r="L672" s="15">
        <f t="shared" si="176"/>
        <v>9.4560688547075724</v>
      </c>
      <c r="M672" s="17">
        <f>IF(A671=A672,_xll.ciqfunctions.udf.CIQ(A663,"IQ_TOTAL_DEBT_ISSUED",IQ_FY-1), _xll.ciqfunctions.udf.CIQ(A663, "IQ_TOTAL_DEBT_ISSUED",IQ_FY))</f>
        <v>0</v>
      </c>
      <c r="N672" s="17">
        <f>IF(A671=A672,_xll.ciqfunctions.udf.CIQ(A663,"IQ_TOTAL_DEBT_REPAID",IQ_FY-1), _xll.ciqfunctions.udf.CIQ(A663, "IQ_TOTAL_DEBT_REPAID",IQ_FY))</f>
        <v>-350</v>
      </c>
      <c r="O672" s="15">
        <f t="shared" si="177"/>
        <v>-1.6295539631450764</v>
      </c>
      <c r="P672" s="15">
        <f t="shared" si="178"/>
        <v>7.8265148915624962</v>
      </c>
      <c r="Q672" s="25" t="s">
        <v>44</v>
      </c>
      <c r="R672" s="38" t="s">
        <v>35</v>
      </c>
      <c r="S672" s="1">
        <f>_xll.ciqfunctions.udf.CIQ(A663,"IQ_TEV_EBITDA")</f>
        <v>34.316000000000003</v>
      </c>
      <c r="U672" s="25" t="s">
        <v>55</v>
      </c>
      <c r="V672" s="38" t="s">
        <v>53</v>
      </c>
      <c r="W672" s="1">
        <f>V662/(AVERAGE(D668:D673)/_xlfn.STDEV.P(E668:E673))</f>
        <v>0.70348969646113557</v>
      </c>
      <c r="Y672" s="25" t="s">
        <v>57</v>
      </c>
      <c r="Z672" s="38" t="s">
        <v>53</v>
      </c>
      <c r="AA672" s="1">
        <f>Z662/(AVERAGE(D668:D673)/_xlfn.STDEV.P(E668:E673))</f>
        <v>0.70348969646113557</v>
      </c>
    </row>
    <row r="673" spans="1:27">
      <c r="B673" s="13">
        <v>11</v>
      </c>
      <c r="C673" s="20" t="s">
        <v>36</v>
      </c>
      <c r="D673" s="21" cm="1">
        <f t="array" ref="D673">_xlfn.SINGLE(IF(A671=A672,_xll.ciqfunctions.udf.CIQ(A663,"IQ_TOTAL_REV",IQ_FY)/I673, _xll.ciqfunctions.udf.CIQ(A663, "IQ_TOTAL_REV",IQ_LTM)/I673))</f>
        <v>25.008931594209923</v>
      </c>
      <c r="E673" s="22">
        <f t="shared" si="179"/>
        <v>7.3223946437504836E-2</v>
      </c>
      <c r="F673" s="21">
        <f>IF(A671=A672,_xll.ciqfunctions.udf.CIQ(A663,"IQ_DILUT_EPS_EXCL",IQ_FY), _xll.ciqfunctions.udf.CIQ(A663, "IQ_DILUT_EPS_EXCL",IQ_LTM))</f>
        <v>4.24268</v>
      </c>
      <c r="G673" s="21">
        <f>IF(A671=A672,_xll.ciqfunctions.udf.CIQ(A663,"IQ_EBITDA_MARGIN",IQ_FY), _xll.ciqfunctions.udf.CIQ(A663, "IQ_EBITDA_MARGIN",IQ_LTM))</f>
        <v>22.334399999999999</v>
      </c>
      <c r="H673" s="21">
        <f>IF(A671=A672,_xll.ciqfunctions.udf.CIQ(A663,"IQ_TOTAL_DIV_PAID_CF",IQ_FY)/-I673, _xll.ciqfunctions.udf.CIQ(A663, "IQ_TOTAL_DIV_PAID_CF",IQ_LTM)/-I673)</f>
        <v>0</v>
      </c>
      <c r="I673" s="23">
        <f>IF(A671=A672,_xll.ciqfunctions.udf.CIQ(A663,"IQ_TOTAL_OUTSTANDING_FILING_DATE",IQ_FY),_xll.ciqfunctions.udf.CIQ(A663,"IQ_sharesoutstanding"))</f>
        <v>213.76363000000001</v>
      </c>
      <c r="J673" s="23">
        <f>IF(A671=A672,_xll.ciqfunctions.udf.CIQ(A663,"IQ_CASH_OPER",IQ_FY), _xll.ciqfunctions.udf.CIQ(A663, "IQ_CASH_OPER",IQ_LTM))</f>
        <v>1787</v>
      </c>
      <c r="K673" s="23">
        <f>IF(A671=A672,_xll.ciqfunctions.udf.CIQ(A663,"IQ_CAPEX",IQ_FY), _xll.ciqfunctions.udf.CIQ(A663, "IQ_CAPEX",IQ_LTM))</f>
        <v>-29</v>
      </c>
      <c r="L673" s="21">
        <f t="shared" si="176"/>
        <v>8.2240369888928253</v>
      </c>
      <c r="M673" s="23">
        <f>IF(A671=A672,_xll.ciqfunctions.udf.CIQ(A663,"IQ_TOTAL_DEBT_ISSUED",IQ_FY), _xll.ciqfunctions.udf.CIQ(A663, "IQ_TOTAL_DEBT_ISSUED",IQ_LTM))</f>
        <v>0</v>
      </c>
      <c r="N673" s="23">
        <f>IF(A671=A672,_xll.ciqfunctions.udf.CIQ(A663,"IQ_TOTAL_DEBT_REPAID",IQ_FY), _xll.ciqfunctions.udf.CIQ(A663, "IQ_TOTAL_DEBT_REPAID",IQ_LTM))</f>
        <v>-350</v>
      </c>
      <c r="O673" s="21">
        <f t="shared" si="177"/>
        <v>-1.6373224949445329</v>
      </c>
      <c r="P673" s="21">
        <f t="shared" si="178"/>
        <v>6.5867144939482927</v>
      </c>
      <c r="Q673" s="25" t="s">
        <v>45</v>
      </c>
      <c r="S673" s="45"/>
      <c r="U673" s="25"/>
      <c r="W673" s="45"/>
      <c r="Y673" s="25"/>
      <c r="AA673" s="45"/>
    </row>
    <row r="674" spans="1:27">
      <c r="B674" s="24"/>
      <c r="C674" s="25" t="s">
        <v>37</v>
      </c>
      <c r="E674" s="26">
        <f>((D673/D668)^(1/5))-1</f>
        <v>0.16396522012091808</v>
      </c>
      <c r="F674" s="27">
        <f>((F673/F668)^(1/5))-1</f>
        <v>-2.6288748227683763</v>
      </c>
      <c r="G674" s="28"/>
      <c r="H674" s="27" t="e">
        <f>((H673/H668)^(1/5))-1</f>
        <v>#DIV/0!</v>
      </c>
      <c r="I674" s="27">
        <f>((I673/I668)^(1/5))-1</f>
        <v>-5.3141901377598E-3</v>
      </c>
      <c r="J674" s="27"/>
      <c r="K674" s="27"/>
      <c r="L674" s="26">
        <f>((L673/L668)^(1/5))-1</f>
        <v>0.42238609656593651</v>
      </c>
      <c r="M674" s="26"/>
      <c r="N674" s="26"/>
      <c r="O674" s="26"/>
      <c r="P674" s="26">
        <f>((P673/P668)^(1/5))-1</f>
        <v>0.12286328631984333</v>
      </c>
      <c r="Q674" s="18"/>
      <c r="R674" s="36"/>
      <c r="S674" s="45"/>
      <c r="U674" s="18"/>
      <c r="V674" s="36"/>
      <c r="W674" s="45"/>
      <c r="Y674" s="18"/>
      <c r="Z674" s="36"/>
      <c r="AA674" s="45"/>
    </row>
    <row r="675" spans="1:27">
      <c r="A675" s="29"/>
      <c r="B675" s="30"/>
      <c r="C675" s="31" t="s">
        <v>38</v>
      </c>
      <c r="D675" s="29"/>
      <c r="E675" s="32">
        <f>((D673/D663)^(1/10))-1</f>
        <v>9.5898545917002753E-2</v>
      </c>
      <c r="F675" s="33">
        <f>((F673/F663)^(1/10))-1</f>
        <v>0.15548424344563139</v>
      </c>
      <c r="G675" s="34"/>
      <c r="H675" s="33" t="e">
        <f>((H673/H663)^(1/10))-1</f>
        <v>#DIV/0!</v>
      </c>
      <c r="I675" s="33">
        <f>((I673/I663)^(1/10))-1</f>
        <v>-6.0708939737698087E-3</v>
      </c>
      <c r="J675" s="33"/>
      <c r="K675" s="33"/>
      <c r="L675" s="32">
        <f>((L673/L663)^(1/10))-1</f>
        <v>0.14106483570775574</v>
      </c>
      <c r="M675" s="32"/>
      <c r="N675" s="32"/>
      <c r="O675" s="32"/>
      <c r="P675" s="32">
        <f>((P673/P663)^(1/10))-1</f>
        <v>0.11601157826578845</v>
      </c>
      <c r="Q675" s="40"/>
      <c r="R675" s="41"/>
      <c r="S675" s="46"/>
      <c r="U675" s="40"/>
      <c r="V675" s="41"/>
      <c r="W675" s="46"/>
      <c r="Y675" s="40"/>
      <c r="Z675" s="41"/>
      <c r="AA675" s="46"/>
    </row>
    <row r="676" spans="1:27">
      <c r="B676" s="24"/>
      <c r="C676" s="25"/>
      <c r="E676" s="26"/>
      <c r="F676" s="27"/>
      <c r="G676" s="28"/>
      <c r="H676" s="27"/>
      <c r="I676" s="27"/>
      <c r="J676" s="27"/>
      <c r="K676" s="27"/>
      <c r="L676" s="26"/>
      <c r="M676" s="17"/>
      <c r="N676" s="17"/>
      <c r="O676" s="17"/>
      <c r="P676" s="35"/>
      <c r="Q676" s="18"/>
      <c r="R676" s="36"/>
    </row>
    <row r="677" spans="1:27">
      <c r="A677" s="9" t="s">
        <v>0</v>
      </c>
      <c r="B677" s="10"/>
      <c r="C677" s="9" t="s">
        <v>1</v>
      </c>
      <c r="D677" s="9" t="s">
        <v>2</v>
      </c>
      <c r="E677" s="9" t="s">
        <v>3</v>
      </c>
      <c r="F677" s="11" t="s">
        <v>4</v>
      </c>
      <c r="G677" s="11" t="s">
        <v>5</v>
      </c>
      <c r="H677" s="9" t="s">
        <v>6</v>
      </c>
      <c r="I677" s="11" t="s">
        <v>7</v>
      </c>
      <c r="J677" s="11" t="s">
        <v>8</v>
      </c>
      <c r="K677" s="11" t="s">
        <v>9</v>
      </c>
      <c r="L677" s="11" t="s">
        <v>10</v>
      </c>
      <c r="M677" s="11" t="s">
        <v>11</v>
      </c>
      <c r="N677" s="11" t="s">
        <v>12</v>
      </c>
      <c r="O677" s="11" t="s">
        <v>13</v>
      </c>
      <c r="P677" s="11" t="s">
        <v>14</v>
      </c>
      <c r="Q677" s="37" t="s">
        <v>15</v>
      </c>
      <c r="R677" s="42">
        <f>_xll.ciqfunctions.udf.CIQ(A678,("IQ_LASTSALEPRICE"))</f>
        <v>525.84</v>
      </c>
      <c r="S677" s="44"/>
      <c r="U677" s="37" t="s">
        <v>15</v>
      </c>
      <c r="V677" s="42">
        <f>_xll.ciqfunctions.udf.CIQ(A678,("IQ_LASTSALEPRICE"))</f>
        <v>525.84</v>
      </c>
      <c r="W677" s="44"/>
      <c r="Y677" s="37" t="s">
        <v>15</v>
      </c>
      <c r="Z677" s="42">
        <f>_xll.ciqfunctions.udf.CIQ(A678,("IQ_LASTSALEPRICE"))</f>
        <v>525.84</v>
      </c>
      <c r="AA677" s="44"/>
    </row>
    <row r="678" spans="1:27">
      <c r="A678" s="12" t="str">
        <f>Analysis!B47</f>
        <v>NasdaqGS:ROP</v>
      </c>
      <c r="B678" s="13">
        <v>1</v>
      </c>
      <c r="C678" s="14" t="s">
        <v>16</v>
      </c>
      <c r="D678" s="15">
        <f>IF(A686=A687,_xll.ciqfunctions.udf.CIQ(A678,"IQ_TOTAL_REV",IQ_FY-10)/I678,_xll.ciqfunctions.udf.CIQ(A678, "IQ_TOTAL_REV",IQ_FY-9)/I678)</f>
        <v>32.528350430802789</v>
      </c>
      <c r="E678" s="16"/>
      <c r="F678" s="15">
        <f>IF(A686=A687,_xll.ciqfunctions.udf.CIQ(A678,"IQ_DILUT_EPS_EXCL",IQ_FY-10), _xll.ciqfunctions.udf.CIQ(A678, "IQ_DILUT_EPS_EXCL",IQ_FY-9))</f>
        <v>5.37</v>
      </c>
      <c r="G678" s="15">
        <f>IF(A686=A687,_xll.ciqfunctions.udf.CIQ(A678,"IQ_EBITDA_MARGIN",IQ_FY-10), _xll.ciqfunctions.udf.CIQ(A678, "IQ_EBITDA_MARGIN",IQ_FY-9))</f>
        <v>32.2393</v>
      </c>
      <c r="H678" s="15">
        <f>IF(A686=A687,_xll.ciqfunctions.udf.CIQ(A678,"IQ_TOTAL_DIV_PAID_CF",IQ_FY-10)/-I678, _xll.ciqfunctions.udf.CIQ(A678, "IQ_TOTAL_DIV_PAID_CF",IQ_FY-9)/-I678)</f>
        <v>0.49314967763750239</v>
      </c>
      <c r="I678" s="17">
        <f>IF(A686=A687,_xll.ciqfunctions.udf.CIQ(A678,"IQ_TOTAL_OUTSTANDING_FILING_DATE",IQ_FY-10), _xll.ciqfunctions.udf.CIQ(A678, "IQ_TOTAL_OUTSTANDING_FILING_DATE",IQ_FY-9))</f>
        <v>99.547870000000003</v>
      </c>
      <c r="J678" s="17">
        <f>IF(A686=A687,_xll.ciqfunctions.udf.CIQ(A678,"IQ_CASH_OPER",IQ_FY-10), _xll.ciqfunctions.udf.CIQ(A678, "IQ_CASH_OPER",IQ_FY-9))</f>
        <v>802.553</v>
      </c>
      <c r="K678" s="17">
        <f>IF(A686=A687,_xll.ciqfunctions.udf.CIQ(A678,"IQ_CAPEX",IQ_FY-10), _xll.ciqfunctions.udf.CIQ(A678, "IQ_CAPEX",IQ_FY-9))</f>
        <v>-42.527999999999999</v>
      </c>
      <c r="L678" s="15">
        <f t="shared" ref="L678:L688" si="180">(J678+K678)/I678</f>
        <v>7.6347690814479501</v>
      </c>
      <c r="M678" s="17">
        <f>IF(A686=A687,_xll.ciqfunctions.udf.CIQ(A678,"IQ_TOTAL_DEBT_ISSUED",IQ_FY-10), _xll.ciqfunctions.udf.CIQ(A678, "IQ_TOTAL_DEBT_ISSUED",IQ_FY-9))</f>
        <v>950</v>
      </c>
      <c r="N678" s="17">
        <f>IF(A686=A687,_xll.ciqfunctions.udf.CIQ(A678,"IQ_TOTAL_DEBT_REPAID",IQ_FY-10), _xll.ciqfunctions.udf.CIQ(A678, "IQ_TOTAL_DEBT_REPAID",IQ_FY-9))</f>
        <v>-503.702</v>
      </c>
      <c r="O678" s="15">
        <f t="shared" ref="O678:O688" si="181">(M678+N678)/I678</f>
        <v>4.4832501187619584</v>
      </c>
      <c r="P678" s="15">
        <f t="shared" ref="P678:P688" si="182">L678+O678</f>
        <v>12.118019200209908</v>
      </c>
      <c r="W678" s="43"/>
      <c r="AA678" s="43"/>
    </row>
    <row r="679" spans="1:27">
      <c r="A679" s="18" t="str">
        <f>_xll.ciqfunctions.udf.CIQ(A678,"IQ_COMPANY_NAME")</f>
        <v>Roper Technologies, Inc.</v>
      </c>
      <c r="B679" s="13">
        <v>2</v>
      </c>
      <c r="C679" s="14" t="s">
        <v>17</v>
      </c>
      <c r="D679" s="15">
        <f>IF(A686=A687,_xll.ciqfunctions.udf.CIQ(A678,"IQ_TOTAL_REV",IQ_FY-9)/I679, _xll.ciqfunctions.udf.CIQ(A678, "IQ_TOTAL_REV",IQ_FY-8)/I679)</f>
        <v>35.368843000933076</v>
      </c>
      <c r="E679" s="16">
        <f t="shared" ref="E679:E688" si="183">(D679-D678)/D678</f>
        <v>8.7323597185563914E-2</v>
      </c>
      <c r="F679" s="15">
        <f>IF(A686=A687,_xll.ciqfunctions.udf.CIQ(A678,"IQ_DILUT_EPS_EXCL",IQ_FY-9), _xll.ciqfunctions.udf.CIQ(A678, "IQ_DILUT_EPS_EXCL",IQ_FY-8))</f>
        <v>6.4</v>
      </c>
      <c r="G679" s="15">
        <f>IF(A686=A687,_xll.ciqfunctions.udf.CIQ(A678,"IQ_EBITDA_MARGIN",IQ_FY-9), _xll.ciqfunctions.udf.CIQ(A678, "IQ_EBITDA_MARGIN",IQ_FY-8))</f>
        <v>33.795099999999998</v>
      </c>
      <c r="H679" s="15">
        <f>IF(A686=A687,_xll.ciqfunctions.udf.CIQ(A678,"IQ_TOTAL_DIV_PAID_CF",IQ_FY-9)/-I679, _xll.ciqfunctions.udf.CIQ(A678, "IQ_TOTAL_DIV_PAID_CF",IQ_FY-8)/-I679)</f>
        <v>0.79575298147046147</v>
      </c>
      <c r="I679" s="17">
        <f>IF(A686=A687,_xll.ciqfunctions.udf.CIQ(A678,"IQ_TOTAL_OUTSTANDING_FILING_DATE",IQ_FY-9), _xll.ciqfunctions.udf.CIQ(A678, "IQ_TOTAL_OUTSTANDING_FILING_DATE",IQ_FY-8))</f>
        <v>100.35652</v>
      </c>
      <c r="J679" s="17">
        <f>IF(A686=A687,_xll.ciqfunctions.udf.CIQ(A678,"IQ_CASH_OPER",IQ_FY-9), _xll.ciqfunctions.udf.CIQ(A678, "IQ_CASH_OPER",IQ_FY-8))</f>
        <v>840.44100000000003</v>
      </c>
      <c r="K679" s="17">
        <f>IF(A686=A687,_xll.ciqfunctions.udf.CIQ(A678,"IQ_CAPEX",IQ_FY-9), _xll.ciqfunctions.udf.CIQ(A678, "IQ_CAPEX",IQ_FY-8))</f>
        <v>-37.643999999999998</v>
      </c>
      <c r="L679" s="15">
        <f t="shared" si="180"/>
        <v>7.9994503595780326</v>
      </c>
      <c r="M679" s="17">
        <f>IF(A686=A687,_xll.ciqfunctions.udf.CIQ(A678,"IQ_TOTAL_DEBT_ISSUED",IQ_FY-9), _xll.ciqfunctions.udf.CIQ(A678, "IQ_TOTAL_DEBT_ISSUED",IQ_FY-8))</f>
        <v>0</v>
      </c>
      <c r="N679" s="17">
        <f>IF(A686=A687,_xll.ciqfunctions.udf.CIQ(A678,"IQ_TOTAL_DEBT_REPAID",IQ_FY-9), _xll.ciqfunctions.udf.CIQ(A678, "IQ_TOTAL_DEBT_REPAID",IQ_FY-8))</f>
        <v>-250.56100000000001</v>
      </c>
      <c r="O679" s="15">
        <f t="shared" si="181"/>
        <v>-2.4967087340214666</v>
      </c>
      <c r="P679" s="15">
        <f t="shared" si="182"/>
        <v>5.502741625556566</v>
      </c>
      <c r="Q679" s="25" t="s">
        <v>18</v>
      </c>
      <c r="R679" s="39" t="s">
        <v>19</v>
      </c>
      <c r="S679" s="1">
        <f>R677/((AVERAGE(P683:P688))*(1+E689)^3)</f>
        <v>30.542647849758175</v>
      </c>
      <c r="U679" s="25" t="s">
        <v>48</v>
      </c>
      <c r="V679" s="39" t="s">
        <v>19</v>
      </c>
      <c r="W679" s="1">
        <f>V677/((AVERAGE(P683:P688))*(1+E689)^3)</f>
        <v>30.542647849758175</v>
      </c>
      <c r="Y679" s="25" t="s">
        <v>39</v>
      </c>
      <c r="Z679" s="39" t="s">
        <v>19</v>
      </c>
      <c r="AA679" s="1">
        <f>Z677/((AVERAGE(P683:P688))*(1+E689)^3)</f>
        <v>30.542647849758175</v>
      </c>
    </row>
    <row r="680" spans="1:27">
      <c r="B680" s="13">
        <v>3</v>
      </c>
      <c r="C680" s="14" t="s">
        <v>20</v>
      </c>
      <c r="D680" s="15" cm="1">
        <f t="array" ref="D680">_xlfn.SINGLE(IF(A686=A687,_xll.ciqfunctions.udf.CIQ(A678,"IQ_TOTAL_REV",IQ_FY-8)/I680, _xll.ciqfunctions.udf.CIQ(A678, "IQ_TOTAL_REV",IQ_FY-7)/I680))</f>
        <v>35.446578634540948</v>
      </c>
      <c r="E680" s="16">
        <f t="shared" si="183"/>
        <v>2.1978562772274383E-3</v>
      </c>
      <c r="F680" s="15">
        <f>IF(A686=A687,_xll.ciqfunctions.udf.CIQ(A678,"IQ_DILUT_EPS_EXCL",IQ_FY-8), _xll.ciqfunctions.udf.CIQ(A678, "IQ_DILUT_EPS_EXCL",IQ_FY-7))</f>
        <v>6.85</v>
      </c>
      <c r="G680" s="15">
        <f>IF(A686=A687,_xll.ciqfunctions.udf.CIQ(A678,"IQ_EBITDA_MARGIN",IQ_FY-8), _xll.ciqfunctions.udf.CIQ(A678, "IQ_EBITDA_MARGIN",IQ_FY-7))</f>
        <v>34.56</v>
      </c>
      <c r="H680" s="15">
        <f>IF(A686=A687,_xll.ciqfunctions.udf.CIQ(A678,"IQ_TOTAL_DIV_PAID_CF",IQ_FY-8)/-I680, _xll.ciqfunctions.udf.CIQ(A678, "IQ_TOTAL_DIV_PAID_CF",IQ_FY-7)/-I680)</f>
        <v>0.99277076389343766</v>
      </c>
      <c r="I680" s="17">
        <f>IF(A686=A687,_xll.ciqfunctions.udf.CIQ(A678,"IQ_TOTAL_OUTSTANDING_FILING_DATE",IQ_FY-8), _xll.ciqfunctions.udf.CIQ(A678, "IQ_TOTAL_OUTSTANDING_FILING_DATE",IQ_FY-7))</f>
        <v>101.06462000000001</v>
      </c>
      <c r="J680" s="17">
        <f>IF(A686=A687,_xll.ciqfunctions.udf.CIQ(A678,"IQ_CASH_OPER",IQ_FY-8), _xll.ciqfunctions.udf.CIQ(A678, "IQ_CASH_OPER",IQ_FY-7))</f>
        <v>928.82500000000005</v>
      </c>
      <c r="K680" s="17">
        <f>IF(A686=A687,_xll.ciqfunctions.udf.CIQ(A678,"IQ_CAPEX",IQ_FY-8), _xll.ciqfunctions.udf.CIQ(A678, "IQ_CAPEX",IQ_FY-7))</f>
        <v>-36.26</v>
      </c>
      <c r="L680" s="15">
        <f t="shared" si="180"/>
        <v>8.8316267354490616</v>
      </c>
      <c r="M680" s="17">
        <f>IF(A686=A687,_xll.ciqfunctions.udf.CIQ(A678,"IQ_TOTAL_DEBT_ISSUED",IQ_FY-8), _xll.ciqfunctions.udf.CIQ(A678, "IQ_TOTAL_DEBT_ISSUED",IQ_FY-7))</f>
        <v>1080</v>
      </c>
      <c r="N680" s="17">
        <f>IF(A686=A687,_xll.ciqfunctions.udf.CIQ(A678,"IQ_TOTAL_DEBT_REPAID",IQ_FY-8), _xll.ciqfunctions.udf.CIQ(A678, "IQ_TOTAL_DEBT_REPAID",IQ_FY-7))</f>
        <v>-4.0060000000000002</v>
      </c>
      <c r="O680" s="15">
        <f t="shared" si="181"/>
        <v>10.646594228524282</v>
      </c>
      <c r="P680" s="15">
        <f t="shared" si="182"/>
        <v>19.478220963973342</v>
      </c>
      <c r="Q680" s="25" t="s">
        <v>21</v>
      </c>
      <c r="R680" s="38" t="s">
        <v>49</v>
      </c>
      <c r="S680" s="2">
        <f>(R677*I688)/1000</f>
        <v>56.171343580799999</v>
      </c>
      <c r="U680" s="25" t="s">
        <v>59</v>
      </c>
      <c r="V680" s="38" t="s">
        <v>49</v>
      </c>
      <c r="W680" s="2">
        <f>(V677*I688)/1000</f>
        <v>56.171343580799999</v>
      </c>
      <c r="Y680" s="25" t="s">
        <v>46</v>
      </c>
      <c r="Z680" s="38" t="s">
        <v>49</v>
      </c>
      <c r="AA680" s="2">
        <f>(Z677*I688)/1000</f>
        <v>56.171343580799999</v>
      </c>
    </row>
    <row r="681" spans="1:27">
      <c r="A681" s="18"/>
      <c r="B681" s="13">
        <v>4</v>
      </c>
      <c r="C681" s="14" t="s">
        <v>22</v>
      </c>
      <c r="D681" s="15" cm="1">
        <f t="array" ref="D681">_xlfn.SINGLE(IF(A686=A687,_xll.ciqfunctions.udf.CIQ(A678,"IQ_TOTAL_REV",IQ_FY-7)/I681, _xll.ciqfunctions.udf.CIQ(A678, "IQ_TOTAL_REV",IQ_FY-6)/I681))</f>
        <v>37.201753573990203</v>
      </c>
      <c r="E681" s="16">
        <f t="shared" si="183"/>
        <v>4.9516060704908847E-2</v>
      </c>
      <c r="F681" s="15">
        <f>IF(A686=A687,_xll.ciqfunctions.udf.CIQ(A678,"IQ_DILUT_EPS_EXCL",IQ_FY-7), _xll.ciqfunctions.udf.CIQ(A678, "IQ_DILUT_EPS_EXCL",IQ_FY-6))</f>
        <v>6.43</v>
      </c>
      <c r="G681" s="15">
        <f>IF(A686=A687,_xll.ciqfunctions.udf.CIQ(A678,"IQ_EBITDA_MARGIN",IQ_FY-7), _xll.ciqfunctions.udf.CIQ(A678, "IQ_EBITDA_MARGIN",IQ_FY-6))</f>
        <v>34.396599999999999</v>
      </c>
      <c r="H681" s="15">
        <f>IF(A686=A687,_xll.ciqfunctions.udf.CIQ(A678,"IQ_TOTAL_DIV_PAID_CF",IQ_FY-7)/-I681, _xll.ciqfunctions.udf.CIQ(A678, "IQ_TOTAL_DIV_PAID_CF",IQ_FY-6)/-I681)</f>
        <v>1.1887206411277906</v>
      </c>
      <c r="I681" s="17">
        <f>IF(A686=A687,_xll.ciqfunctions.udf.CIQ(A678,"IQ_TOTAL_OUTSTANDING_FILING_DATE",IQ_FY-7), _xll.ciqfunctions.udf.CIQ(A678, "IQ_TOTAL_OUTSTANDING_FILING_DATE",IQ_FY-6))</f>
        <v>101.87423</v>
      </c>
      <c r="J681" s="17">
        <f>IF(A686=A687,_xll.ciqfunctions.udf.CIQ(A678,"IQ_CASH_OPER",IQ_FY-7), _xll.ciqfunctions.udf.CIQ(A678, "IQ_CASH_OPER",IQ_FY-6))</f>
        <v>963.8</v>
      </c>
      <c r="K681" s="17">
        <f>IF(A686=A687,_xll.ciqfunctions.udf.CIQ(A678,"IQ_CAPEX",IQ_FY-7), _xll.ciqfunctions.udf.CIQ(A678, "IQ_CAPEX",IQ_FY-6))</f>
        <v>-37.299999999999997</v>
      </c>
      <c r="L681" s="15">
        <f t="shared" si="180"/>
        <v>9.094547266762163</v>
      </c>
      <c r="M681" s="17">
        <f>IF(A686=A687,_xll.ciqfunctions.udf.CIQ(A678,"IQ_TOTAL_DEBT_ISSUED",IQ_FY-7), _xll.ciqfunctions.udf.CIQ(A678, "IQ_TOTAL_DEBT_ISSUED",IQ_FY-6))</f>
        <v>2950</v>
      </c>
      <c r="N681" s="17">
        <f>IF(A686=A687,_xll.ciqfunctions.udf.CIQ(A678,"IQ_TOTAL_DEBT_REPAID",IQ_FY-7), _xll.ciqfunctions.udf.CIQ(A678, "IQ_TOTAL_DEBT_REPAID",IQ_FY-6))</f>
        <v>-4.3</v>
      </c>
      <c r="O681" s="15">
        <f t="shared" si="181"/>
        <v>28.915065173989536</v>
      </c>
      <c r="P681" s="15">
        <f t="shared" si="182"/>
        <v>38.009612440751695</v>
      </c>
      <c r="Q681" s="25" t="s">
        <v>23</v>
      </c>
      <c r="R681" s="38" t="s">
        <v>24</v>
      </c>
      <c r="S681" s="1">
        <f>R677/(AVERAGE(H683:H688)*(1+H689)/(0.5-H689))</f>
        <v>89.003865035078917</v>
      </c>
      <c r="U681" s="25" t="s">
        <v>40</v>
      </c>
      <c r="V681" s="38" t="s">
        <v>24</v>
      </c>
      <c r="W681" s="1">
        <f>V677/(AVERAGE(H683:H688)*(1+H689)/(0.5-H689))</f>
        <v>89.003865035078917</v>
      </c>
      <c r="Y681" s="25" t="s">
        <v>47</v>
      </c>
      <c r="Z681" s="38" t="s">
        <v>24</v>
      </c>
      <c r="AA681" s="1">
        <f>Z677/(AVERAGE(H683:H688)*(1+H689)/(0.5-H689))</f>
        <v>89.003865035078917</v>
      </c>
    </row>
    <row r="682" spans="1:27">
      <c r="B682" s="13">
        <v>5</v>
      </c>
      <c r="C682" s="14" t="s">
        <v>25</v>
      </c>
      <c r="D682" s="15" cm="1">
        <f t="array" ref="D682">_xlfn.SINGLE(IF(A686=A687,_xll.ciqfunctions.udf.CIQ(A678,"IQ_TOTAL_REV",IQ_FY-6)/I682, _xll.ciqfunctions.udf.CIQ(A678, "IQ_TOTAL_REV",IQ_FY-5)/I682))</f>
        <v>44.808509872702992</v>
      </c>
      <c r="E682" s="16">
        <f t="shared" si="183"/>
        <v>0.20447305752896258</v>
      </c>
      <c r="F682" s="15">
        <f>IF(A686=A687,_xll.ciqfunctions.udf.CIQ(A678,"IQ_DILUT_EPS_EXCL",IQ_FY-6), _xll.ciqfunctions.udf.CIQ(A678, "IQ_DILUT_EPS_EXCL",IQ_FY-5))</f>
        <v>9.39</v>
      </c>
      <c r="G682" s="15">
        <f>IF(A686=A687,_xll.ciqfunctions.udf.CIQ(A678,"IQ_EBITDA_MARGIN",IQ_FY-6), _xll.ciqfunctions.udf.CIQ(A678, "IQ_EBITDA_MARGIN",IQ_FY-5))</f>
        <v>33.753599999999999</v>
      </c>
      <c r="H682" s="15">
        <f>IF(A686=A687,_xll.ciqfunctions.udf.CIQ(A678,"IQ_TOTAL_DIV_PAID_CF",IQ_FY-6)/-I682, _xll.ciqfunctions.udf.CIQ(A678, "IQ_TOTAL_DIV_PAID_CF",IQ_FY-5)/-I682)</f>
        <v>1.3887477395164378</v>
      </c>
      <c r="I682" s="17">
        <f>IF(A686=A687,_xll.ciqfunctions.udf.CIQ(A678,"IQ_TOTAL_OUTSTANDING_FILING_DATE",IQ_FY-6), _xll.ciqfunctions.udf.CIQ(A678, "IQ_TOTAL_OUTSTANDING_FILING_DATE",IQ_FY-5))</f>
        <v>102.82644999999999</v>
      </c>
      <c r="J682" s="17">
        <f>IF(A686=A687,_xll.ciqfunctions.udf.CIQ(A678,"IQ_CASH_OPER",IQ_FY-6), _xll.ciqfunctions.udf.CIQ(A678, "IQ_CASH_OPER",IQ_FY-5))</f>
        <v>1234.5</v>
      </c>
      <c r="K682" s="17">
        <f>IF(A686=A687,_xll.ciqfunctions.udf.CIQ(A678,"IQ_CAPEX",IQ_FY-6), _xll.ciqfunctions.udf.CIQ(A678, "IQ_CAPEX",IQ_FY-5))</f>
        <v>-48.8</v>
      </c>
      <c r="L682" s="15">
        <f t="shared" si="180"/>
        <v>11.531079795130534</v>
      </c>
      <c r="M682" s="17">
        <f>IF(A686=A687,_xll.ciqfunctions.udf.CIQ(A678,"IQ_TOTAL_DEBT_ISSUED",IQ_FY-6), _xll.ciqfunctions.udf.CIQ(A678, "IQ_TOTAL_DEBT_ISSUED",IQ_FY-5))</f>
        <v>0</v>
      </c>
      <c r="N682" s="17">
        <f>IF(A686=A687,_xll.ciqfunctions.udf.CIQ(A678,"IQ_TOTAL_DEBT_REPAID",IQ_FY-6), _xll.ciqfunctions.udf.CIQ(A678, "IQ_TOTAL_DEBT_REPAID",IQ_FY-5))</f>
        <v>-1060</v>
      </c>
      <c r="O682" s="15">
        <f t="shared" si="181"/>
        <v>-10.308631679883922</v>
      </c>
      <c r="P682" s="15">
        <f t="shared" si="182"/>
        <v>1.2224481152466122</v>
      </c>
      <c r="Q682" s="18"/>
      <c r="R682" s="38" t="s">
        <v>50</v>
      </c>
      <c r="S682" s="3">
        <f>I689</f>
        <v>6.1292268397517002E-3</v>
      </c>
      <c r="U682" s="18"/>
      <c r="V682" s="38" t="s">
        <v>50</v>
      </c>
      <c r="W682" s="3">
        <f>I689</f>
        <v>6.1292268397517002E-3</v>
      </c>
      <c r="Y682" s="18"/>
      <c r="Z682" s="38" t="s">
        <v>50</v>
      </c>
      <c r="AA682" s="3">
        <f>I689</f>
        <v>6.1292268397517002E-3</v>
      </c>
    </row>
    <row r="683" spans="1:27">
      <c r="B683" s="13">
        <v>6</v>
      </c>
      <c r="C683" s="14" t="s">
        <v>26</v>
      </c>
      <c r="D683" s="15" cm="1">
        <f t="array" ref="D683">_xlfn.SINGLE(IF(A686=A687,_xll.ciqfunctions.udf.CIQ(A678,"IQ_TOTAL_REV",IQ_FY-5)/I683, _xll.ciqfunctions.udf.CIQ(A678, "IQ_TOTAL_REV",IQ_FY-4)/I683))</f>
        <v>50.10434544587288</v>
      </c>
      <c r="E683" s="16">
        <f t="shared" si="183"/>
        <v>0.11818816533321212</v>
      </c>
      <c r="F683" s="15">
        <f>IF(A686=A687,_xll.ciqfunctions.udf.CIQ(A678,"IQ_DILUT_EPS_EXCL",IQ_FY-5), _xll.ciqfunctions.udf.CIQ(A678, "IQ_DILUT_EPS_EXCL",IQ_FY-4))</f>
        <v>9.0500000000000007</v>
      </c>
      <c r="G683" s="15">
        <f>IF(A686=A687,_xll.ciqfunctions.udf.CIQ(A678,"IQ_EBITDA_MARGIN",IQ_FY-5), _xll.ciqfunctions.udf.CIQ(A678, "IQ_EBITDA_MARGIN",IQ_FY-4))</f>
        <v>33.969000000000001</v>
      </c>
      <c r="H683" s="15">
        <f>IF(A686=A687,_xll.ciqfunctions.udf.CIQ(A678,"IQ_TOTAL_DIV_PAID_CF",IQ_FY-5)/-I683, _xll.ciqfunctions.udf.CIQ(A678, "IQ_TOTAL_DIV_PAID_CF",IQ_FY-4)/-I683)</f>
        <v>1.641768600774961</v>
      </c>
      <c r="I683" s="17">
        <f>IF(A686=A687,_xll.ciqfunctions.udf.CIQ(A678,"IQ_TOTAL_OUTSTANDING_FILING_DATE",IQ_FY-5), _xll.ciqfunctions.udf.CIQ(A678, "IQ_TOTAL_OUTSTANDING_FILING_DATE",IQ_FY-4))</f>
        <v>103.60778000000001</v>
      </c>
      <c r="J683" s="17">
        <f>IF(A686=A687,_xll.ciqfunctions.udf.CIQ(A678,"IQ_CASH_OPER",IQ_FY-5), _xll.ciqfunctions.udf.CIQ(A678, "IQ_CASH_OPER",IQ_FY-4))</f>
        <v>1430.1</v>
      </c>
      <c r="K683" s="17">
        <f>IF(A686=A687,_xll.ciqfunctions.udf.CIQ(A678,"IQ_CAPEX",IQ_FY-5), _xll.ciqfunctions.udf.CIQ(A678, "IQ_CAPEX",IQ_FY-4))</f>
        <v>-49.1</v>
      </c>
      <c r="L683" s="15">
        <f t="shared" si="180"/>
        <v>13.329114859907238</v>
      </c>
      <c r="M683" s="17">
        <f>IF(A686=A687,_xll.ciqfunctions.udf.CIQ(A678,"IQ_TOTAL_DEBT_ISSUED",IQ_FY-5), _xll.ciqfunctions.udf.CIQ(A678, "IQ_TOTAL_DEBT_ISSUED",IQ_FY-4))</f>
        <v>1500</v>
      </c>
      <c r="N683" s="17">
        <f>IF(A686=A687,_xll.ciqfunctions.udf.CIQ(A678,"IQ_TOTAL_DEBT_REPAID",IQ_FY-5), _xll.ciqfunctions.udf.CIQ(A678, "IQ_TOTAL_DEBT_REPAID",IQ_FY-4))</f>
        <v>-1705</v>
      </c>
      <c r="O683" s="15">
        <f t="shared" si="181"/>
        <v>-1.9786158915865197</v>
      </c>
      <c r="P683" s="15">
        <f t="shared" si="182"/>
        <v>11.350498968320718</v>
      </c>
      <c r="Q683" s="25" t="s">
        <v>27</v>
      </c>
      <c r="R683" s="38" t="s">
        <v>51</v>
      </c>
      <c r="S683" s="4">
        <f>AVERAGE(F683:F688)/AVERAGE(D683:D688)</f>
        <v>0.20796329376792697</v>
      </c>
      <c r="U683" s="25" t="s">
        <v>58</v>
      </c>
      <c r="V683" s="38" t="s">
        <v>51</v>
      </c>
      <c r="W683" s="4">
        <f>AVERAGE(F683:F688)/AVERAGE(D683:D688)</f>
        <v>0.20796329376792697</v>
      </c>
      <c r="Y683" s="25" t="s">
        <v>56</v>
      </c>
      <c r="Z683" s="38" t="s">
        <v>51</v>
      </c>
      <c r="AA683" s="4">
        <f>AVERAGE(F683:F688)/AVERAGE(D683:D688)</f>
        <v>0.20796329376792697</v>
      </c>
    </row>
    <row r="684" spans="1:27">
      <c r="A684" s="18"/>
      <c r="B684" s="13">
        <v>7</v>
      </c>
      <c r="C684" s="14" t="s">
        <v>28</v>
      </c>
      <c r="D684" s="15" cm="1">
        <f t="array" ref="D684">_xlfn.SINGLE(IF(A686=A687,_xll.ciqfunctions.udf.CIQ(A678,"IQ_TOTAL_REV",IQ_FY-4)/I684, _xll.ciqfunctions.udf.CIQ(A678, "IQ_TOTAL_REV",IQ_FY-3)/I684))</f>
        <v>44.554850142767393</v>
      </c>
      <c r="E684" s="16">
        <f t="shared" si="183"/>
        <v>-0.11075876261272669</v>
      </c>
      <c r="F684" s="15">
        <f>IF(A686=A687,_xll.ciqfunctions.udf.CIQ(A678,"IQ_DILUT_EPS_EXCL",IQ_FY-4), _xll.ciqfunctions.udf.CIQ(A678, "IQ_DILUT_EPS_EXCL",IQ_FY-3))</f>
        <v>15.6</v>
      </c>
      <c r="G684" s="15">
        <f>IF(A686=A687,_xll.ciqfunctions.udf.CIQ(A678,"IQ_EBITDA_MARGIN",IQ_FY-4), _xll.ciqfunctions.udf.CIQ(A678, "IQ_EBITDA_MARGIN",IQ_FY-3))</f>
        <v>36.743000000000002</v>
      </c>
      <c r="H684" s="15">
        <f>IF(A686=A687,_xll.ciqfunctions.udf.CIQ(A678,"IQ_TOTAL_DIV_PAID_CF",IQ_FY-4)/-I684, _xll.ciqfunctions.udf.CIQ(A678, "IQ_TOTAL_DIV_PAID_CF",IQ_FY-3)/-I684)</f>
        <v>1.8066215648980497</v>
      </c>
      <c r="I684" s="17">
        <f>IF(A686=A687,_xll.ciqfunctions.udf.CIQ(A678,"IQ_TOTAL_OUTSTANDING_FILING_DATE",IQ_FY-4), _xll.ciqfunctions.udf.CIQ(A678, "IQ_TOTAL_OUTSTANDING_FILING_DATE",IQ_FY-3))</f>
        <v>106.10966000000001</v>
      </c>
      <c r="J684" s="17">
        <f>IF(A686=A687,_xll.ciqfunctions.udf.CIQ(A678,"IQ_CASH_OPER",IQ_FY-4), _xll.ciqfunctions.udf.CIQ(A678, "IQ_CASH_OPER",IQ_FY-3))</f>
        <v>1461.8</v>
      </c>
      <c r="K684" s="17">
        <f>IF(A686=A687,_xll.ciqfunctions.udf.CIQ(A678,"IQ_CAPEX",IQ_FY-4), _xll.ciqfunctions.udf.CIQ(A678, "IQ_CAPEX",IQ_FY-3))</f>
        <v>-43</v>
      </c>
      <c r="L684" s="15">
        <f t="shared" si="180"/>
        <v>13.371072907028445</v>
      </c>
      <c r="M684" s="17">
        <f>IF(A686=A687,_xll.ciqfunctions.udf.CIQ(A678,"IQ_TOTAL_DEBT_ISSUED",IQ_FY-4), _xll.ciqfunctions.udf.CIQ(A678, "IQ_TOTAL_DEBT_ISSUED",IQ_FY-3))</f>
        <v>1200</v>
      </c>
      <c r="N684" s="17">
        <f>IF(A686=A687,_xll.ciqfunctions.udf.CIQ(A678,"IQ_TOTAL_DEBT_REPAID",IQ_FY-4), _xll.ciqfunctions.udf.CIQ(A678, "IQ_TOTAL_DEBT_REPAID",IQ_FY-3))</f>
        <v>-865</v>
      </c>
      <c r="O684" s="15">
        <f t="shared" si="181"/>
        <v>3.1571112375631021</v>
      </c>
      <c r="P684" s="15">
        <f t="shared" si="182"/>
        <v>16.528184144591549</v>
      </c>
      <c r="Q684" s="18"/>
      <c r="R684" s="38" t="s">
        <v>29</v>
      </c>
      <c r="S684" s="4">
        <f>(AVERAGE(P683:P688)/_xlfn.STDEV.P(P683:P688))/(IF(A686=A687,(_xlfn.SINGLE(_xll.ciqfunctions.udf.CIQ(A678,"IQ_total_assets",IQ_FY)) - _xlfn.SINGLE(_xll.ciqfunctions.udf.CIQ(A678,"iq_gw_intan", IQ_FY)))/I688, (_xlfn.SINGLE(_xll.ciqfunctions.udf.CIQ(A678, "IQ_total_assets",IQ_LTM))-_xlfn.SINGLE(_xll.ciqfunctions.udf.CIQ(A678,"iq_gw_intan",IQ_LTM)))/I688))</f>
        <v>3.2057600257936136E-2</v>
      </c>
      <c r="U684" s="18"/>
      <c r="V684" s="38" t="s">
        <v>29</v>
      </c>
      <c r="W684" s="4">
        <f>(AVERAGE(P683:P688)/_xlfn.STDEV.P(P683:P688))/(IF(A686=A687,(_xlfn.SINGLE(_xll.ciqfunctions.udf.CIQ(A678,"IQ_total_assets",IQ_FY)) - _xlfn.SINGLE(_xll.ciqfunctions.udf.CIQ(A678,"iq_gw_intan", IQ_FY)))/I688, (_xlfn.SINGLE(_xll.ciqfunctions.udf.CIQ(A678, "IQ_total_assets",IQ_LTM))-_xlfn.SINGLE(_xll.ciqfunctions.udf.CIQ(A678,"iq_gw_intan",IQ_LTM)))/I688))</f>
        <v>3.2057600257936136E-2</v>
      </c>
      <c r="Y684" s="18"/>
      <c r="Z684" s="38" t="s">
        <v>29</v>
      </c>
      <c r="AA684" s="4">
        <f>(AVERAGE(P683:P688)/_xlfn.STDEV.P(P683:P688))/(IF(A686=A687,(_xlfn.SINGLE(_xll.ciqfunctions.udf.CIQ(A678,"IQ_total_assets",IQ_FY)) - _xlfn.SINGLE(_xll.ciqfunctions.udf.CIQ(A678,"iq_gw_intan", IQ_FY)))/I688, (_xlfn.SINGLE(_xll.ciqfunctions.udf.CIQ(A678, "IQ_total_assets",IQ_LTM))-_xlfn.SINGLE(_xll.ciqfunctions.udf.CIQ(A678,"iq_gw_intan",IQ_LTM)))/I688))</f>
        <v>3.2057600257936136E-2</v>
      </c>
    </row>
    <row r="685" spans="1:27">
      <c r="A685" s="18"/>
      <c r="B685" s="13">
        <v>8</v>
      </c>
      <c r="C685" s="14" t="s">
        <v>30</v>
      </c>
      <c r="D685" s="15" cm="1">
        <f t="array" ref="D685">_xlfn.SINGLE(IF(A686=A687,_xll.ciqfunctions.udf.CIQ(A678,"IQ_TOTAL_REV",IQ_FY-3)/I685, _xll.ciqfunctions.udf.CIQ(A678, "IQ_TOTAL_REV",IQ_FY-2)/I685))</f>
        <v>38.330620661790213</v>
      </c>
      <c r="E685" s="16">
        <f t="shared" si="183"/>
        <v>-0.13969813524302832</v>
      </c>
      <c r="F685" s="15">
        <f>IF(A686=A687,_xll.ciqfunctions.udf.CIQ(A678,"IQ_DILUT_EPS_EXCL",IQ_FY-3), _xll.ciqfunctions.udf.CIQ(A678, "IQ_DILUT_EPS_EXCL",IQ_FY-2))</f>
        <v>6.37</v>
      </c>
      <c r="G685" s="15">
        <f>IF(A686=A687,_xll.ciqfunctions.udf.CIQ(A678,"IQ_EBITDA_MARGIN",IQ_FY-3), _xll.ciqfunctions.udf.CIQ(A678, "IQ_EBITDA_MARGIN",IQ_FY-2))</f>
        <v>39.1432</v>
      </c>
      <c r="H685" s="15">
        <f>IF(A686=A687,_xll.ciqfunctions.udf.CIQ(A678,"IQ_TOTAL_DIV_PAID_CF",IQ_FY-3)/-I685, _xll.ciqfunctions.udf.CIQ(A678, "IQ_TOTAL_DIV_PAID_CF",IQ_FY-2)/-I685)</f>
        <v>2.0402212320229922</v>
      </c>
      <c r="I685" s="17">
        <f>IF(A686=A687,_xll.ciqfunctions.udf.CIQ(A678,"IQ_TOTAL_OUTSTANDING_FILING_DATE",IQ_FY-3), _xll.ciqfunctions.udf.CIQ(A678, "IQ_TOTAL_OUTSTANDING_FILING_DATE",IQ_FY-2))</f>
        <v>104.9396</v>
      </c>
      <c r="J685" s="17">
        <f>IF(A686=A687,_xll.ciqfunctions.udf.CIQ(A678,"IQ_CASH_OPER",IQ_FY-3), _xll.ciqfunctions.udf.CIQ(A678, "IQ_CASH_OPER",IQ_FY-2))</f>
        <v>1525.1</v>
      </c>
      <c r="K685" s="17">
        <f>IF(A686=A687,_xll.ciqfunctions.udf.CIQ(A678,"IQ_CAPEX",IQ_FY-3), _xll.ciqfunctions.udf.CIQ(A678, "IQ_CAPEX",IQ_FY-2))</f>
        <v>-24.7</v>
      </c>
      <c r="L685" s="15">
        <f t="shared" si="180"/>
        <v>14.297748419090599</v>
      </c>
      <c r="M685" s="17">
        <f>IF(A686=A687,_xll.ciqfunctions.udf.CIQ(A678,"IQ_TOTAL_DEBT_ISSUED",IQ_FY-3), _xll.ciqfunctions.udf.CIQ(A678, "IQ_TOTAL_DEBT_ISSUED",IQ_FY-2))</f>
        <v>4920</v>
      </c>
      <c r="N685" s="17">
        <f>IF(A686=A687,_xll.ciqfunctions.udf.CIQ(A678,"IQ_TOTAL_DEBT_REPAID",IQ_FY-3), _xll.ciqfunctions.udf.CIQ(A678, "IQ_TOTAL_DEBT_REPAID",IQ_FY-2))</f>
        <v>-600</v>
      </c>
      <c r="O685" s="15">
        <f t="shared" si="181"/>
        <v>41.166537703593306</v>
      </c>
      <c r="P685" s="15">
        <f t="shared" si="182"/>
        <v>55.464286122683902</v>
      </c>
      <c r="Q685" s="18"/>
      <c r="R685" s="39" t="s">
        <v>31</v>
      </c>
      <c r="S685" s="5">
        <f>IF(NOT(D678&gt;0),FALSE,SLOPE(G678:G688,B678:B688))</f>
        <v>0.8979290909090909</v>
      </c>
      <c r="U685" s="18"/>
      <c r="V685" s="39" t="s">
        <v>31</v>
      </c>
      <c r="W685" s="5">
        <f>IF(NOT(D678&gt;0),FALSE,SLOPE(G678:G688,B678:B688))</f>
        <v>0.8979290909090909</v>
      </c>
      <c r="Y685" s="18"/>
      <c r="Z685" s="39" t="s">
        <v>31</v>
      </c>
      <c r="AA685" s="5">
        <f>IF(NOT(L678&gt;0),FALSE,SLOPE(O678:O688,J678:J688))</f>
        <v>-2.952942179097133E-3</v>
      </c>
    </row>
    <row r="686" spans="1:27">
      <c r="A686" s="19">
        <f>_xll.ciqfunctions.udf.CIQ(A678,"IQ_TOTAL_REV",IQ_FY)</f>
        <v>5371.8</v>
      </c>
      <c r="B686" s="13">
        <v>9</v>
      </c>
      <c r="C686" s="14" t="s">
        <v>32</v>
      </c>
      <c r="D686" s="15" cm="1">
        <f t="array" ref="D686">_xlfn.SINGLE(IF(A686=A687,_xll.ciqfunctions.udf.CIQ(A678,"IQ_TOTAL_REV",IQ_FY-2)/I686, _xll.ciqfunctions.udf.CIQ(A678, "IQ_TOTAL_REV",IQ_FY-1)/I686))</f>
        <v>45.773390185339714</v>
      </c>
      <c r="E686" s="16">
        <f t="shared" si="183"/>
        <v>0.19417294567757437</v>
      </c>
      <c r="F686" s="15">
        <f>IF(A686=A687,_xll.ciqfunctions.udf.CIQ(A678,"IQ_DILUT_EPS_EXCL",IQ_FY-2), _xll.ciqfunctions.udf.CIQ(A678, "IQ_DILUT_EPS_EXCL",IQ_FY-1))</f>
        <v>7.56</v>
      </c>
      <c r="G686" s="15">
        <f>IF(A686=A687,_xll.ciqfunctions.udf.CIQ(A678,"IQ_EBITDA_MARGIN",IQ_FY-2), _xll.ciqfunctions.udf.CIQ(A678, "IQ_EBITDA_MARGIN",IQ_FY-1))</f>
        <v>40.371899999999997</v>
      </c>
      <c r="H686" s="15">
        <f>IF(A686=A687,_xll.ciqfunctions.udf.CIQ(A678,"IQ_TOTAL_DIV_PAID_CF",IQ_FY-2)/-I686, _xll.ciqfunctions.udf.CIQ(A678, "IQ_TOTAL_DIV_PAID_CF",IQ_FY-1)/-I686)</f>
        <v>2.238576159504801</v>
      </c>
      <c r="I686" s="17">
        <f>IF(A686=A687,_xll.ciqfunctions.udf.CIQ(A678,"IQ_TOTAL_OUTSTANDING_FILING_DATE",IQ_FY-2), _xll.ciqfunctions.udf.CIQ(A678, "IQ_TOTAL_OUTSTANDING_FILING_DATE",IQ_FY-1))</f>
        <v>105.60284</v>
      </c>
      <c r="J686" s="17">
        <f>IF(A686=A687,_xll.ciqfunctions.udf.CIQ(A678,"IQ_CASH_OPER",IQ_FY-2), _xll.ciqfunctions.udf.CIQ(A678, "IQ_CASH_OPER",IQ_FY-1))</f>
        <v>2011.9</v>
      </c>
      <c r="K686" s="17">
        <f>IF(A686=A687,_xll.ciqfunctions.udf.CIQ(A678,"IQ_CAPEX",IQ_FY-2), _xll.ciqfunctions.udf.CIQ(A678, "IQ_CAPEX",IQ_FY-1))</f>
        <v>-28.5</v>
      </c>
      <c r="L686" s="15">
        <f t="shared" si="180"/>
        <v>18.781691856014479</v>
      </c>
      <c r="M686" s="17">
        <f>IF(A686=A687,_xll.ciqfunctions.udf.CIQ(A678,"IQ_TOTAL_DEBT_ISSUED",IQ_FY-2), _xll.ciqfunctions.udf.CIQ(A678, "IQ_TOTAL_DEBT_ISSUED",IQ_FY-1))</f>
        <v>0</v>
      </c>
      <c r="N686" s="17">
        <f>IF(A686=A687,_xll.ciqfunctions.udf.CIQ(A678,"IQ_TOTAL_DEBT_REPAID",IQ_FY-2), _xll.ciqfunctions.udf.CIQ(A678, "IQ_TOTAL_DEBT_REPAID",IQ_FY-1))</f>
        <v>-1650</v>
      </c>
      <c r="O686" s="15">
        <f t="shared" si="181"/>
        <v>-15.624579793497977</v>
      </c>
      <c r="P686" s="15">
        <f t="shared" si="182"/>
        <v>3.1571120625165019</v>
      </c>
      <c r="Q686" s="25" t="s">
        <v>33</v>
      </c>
      <c r="R686" s="38" t="s">
        <v>52</v>
      </c>
      <c r="S686" s="4">
        <f>(AVERAGE(O683:O688)/AVERAGE(P683:P688))</f>
        <v>0.17339100461384363</v>
      </c>
      <c r="U686" s="25" t="s">
        <v>54</v>
      </c>
      <c r="V686" s="38" t="s">
        <v>52</v>
      </c>
      <c r="W686" s="4">
        <f>(AVERAGE(O683:O688)/AVERAGE(P683:P688))</f>
        <v>0.17339100461384363</v>
      </c>
      <c r="Y686" s="25" t="s">
        <v>60</v>
      </c>
      <c r="Z686" s="38" t="s">
        <v>52</v>
      </c>
      <c r="AA686" s="4">
        <f>(AVERAGE(O683:O688)/AVERAGE(P683:P688))</f>
        <v>0.17339100461384363</v>
      </c>
    </row>
    <row r="687" spans="1:27">
      <c r="A687" s="19">
        <f>_xll.ciqfunctions.udf.CIQ(A678,"IQ_TOTAL_REV",IQ_LTM)</f>
        <v>5995.2</v>
      </c>
      <c r="B687" s="13">
        <v>10</v>
      </c>
      <c r="C687" s="14" t="s">
        <v>34</v>
      </c>
      <c r="D687" s="15" cm="1">
        <f t="array" ref="D687">_xlfn.SINGLE(IF(A686=A687,_xll.ciqfunctions.udf.CIQ(A678,"IQ_TOTAL_REV",IQ_FY-1)/I687, _xll.ciqfunctions.udf.CIQ(A678, "IQ_TOTAL_REV",IQ_FY)/I687))</f>
        <v>50.561315501554546</v>
      </c>
      <c r="E687" s="16">
        <f t="shared" si="183"/>
        <v>0.10460062706363198</v>
      </c>
      <c r="F687" s="15">
        <f>IF(A686=A687,_xll.ciqfunctions.udf.CIQ(A678,"IQ_DILUT_EPS_EXCL",IQ_FY-1), _xll.ciqfunctions.udf.CIQ(A678, "IQ_DILUT_EPS_EXCL",IQ_FY))</f>
        <v>9.23</v>
      </c>
      <c r="G687" s="15">
        <f>IF(A686=A687,_xll.ciqfunctions.udf.CIQ(A678,"IQ_EBITDA_MARGIN",IQ_FY-1), _xll.ciqfunctions.udf.CIQ(A678, "IQ_EBITDA_MARGIN",IQ_FY))</f>
        <v>40.481699999999996</v>
      </c>
      <c r="H687" s="15">
        <f>IF(A686=A687,_xll.ciqfunctions.udf.CIQ(A678,"IQ_TOTAL_DIV_PAID_CF",IQ_FY-1)/-I687, _xll.ciqfunctions.udf.CIQ(A678, "IQ_TOTAL_DIV_PAID_CF",IQ_FY)/-I687)</f>
        <v>2.4688620306150186</v>
      </c>
      <c r="I687" s="17">
        <f>IF(A686=A687,_xll.ciqfunctions.udf.CIQ(A678,"IQ_TOTAL_OUTSTANDING_FILING_DATE",IQ_FY-1), _xll.ciqfunctions.udf.CIQ(A678, "IQ_TOTAL_OUTSTANDING_FILING_DATE",IQ_FY))</f>
        <v>106.24328</v>
      </c>
      <c r="J687" s="17">
        <f>IF(A686=A687,_xll.ciqfunctions.udf.CIQ(A678,"IQ_CASH_OPER",IQ_FY-1), _xll.ciqfunctions.udf.CIQ(A678, "IQ_CASH_OPER",IQ_FY))</f>
        <v>734.6</v>
      </c>
      <c r="K687" s="17">
        <f>IF(A686=A687,_xll.ciqfunctions.udf.CIQ(A678,"IQ_CAPEX",IQ_FY-1), _xll.ciqfunctions.udf.CIQ(A678, "IQ_CAPEX",IQ_FY))</f>
        <v>-40.1</v>
      </c>
      <c r="L687" s="15">
        <f t="shared" si="180"/>
        <v>6.5368840269238673</v>
      </c>
      <c r="M687" s="17">
        <f>IF(A686=A687,_xll.ciqfunctions.udf.CIQ(A678,"IQ_TOTAL_DEBT_ISSUED",IQ_FY-1), _xll.ciqfunctions.udf.CIQ(A678, "IQ_TOTAL_DEBT_ISSUED",IQ_FY))</f>
        <v>0</v>
      </c>
      <c r="N687" s="17">
        <f>IF(A686=A687,_xll.ciqfunctions.udf.CIQ(A678,"IQ_TOTAL_DEBT_REPAID",IQ_FY-1), _xll.ciqfunctions.udf.CIQ(A678, "IQ_TOTAL_DEBT_REPAID",IQ_FY))</f>
        <v>-1270</v>
      </c>
      <c r="O687" s="15">
        <f t="shared" si="181"/>
        <v>-11.953697212661357</v>
      </c>
      <c r="P687" s="15">
        <f t="shared" si="182"/>
        <v>-5.4168131857374897</v>
      </c>
      <c r="Q687" s="25" t="s">
        <v>44</v>
      </c>
      <c r="R687" s="38" t="s">
        <v>35</v>
      </c>
      <c r="S687" s="1">
        <f>_xll.ciqfunctions.udf.CIQ(A678,"IQ_TEV_EBITDA")</f>
        <v>25.226610000000001</v>
      </c>
      <c r="U687" s="25" t="s">
        <v>55</v>
      </c>
      <c r="V687" s="38" t="s">
        <v>53</v>
      </c>
      <c r="W687" s="1">
        <f>V677/(AVERAGE(D683:D688)/_xlfn.STDEV.P(E683:E688))</f>
        <v>1.3816471504735675</v>
      </c>
      <c r="Y687" s="25" t="s">
        <v>57</v>
      </c>
      <c r="Z687" s="38" t="s">
        <v>53</v>
      </c>
      <c r="AA687" s="1">
        <f>Z677/(AVERAGE(D683:D688)/_xlfn.STDEV.P(E683:E688))</f>
        <v>1.3816471504735675</v>
      </c>
    </row>
    <row r="688" spans="1:27">
      <c r="B688" s="13">
        <v>11</v>
      </c>
      <c r="C688" s="20" t="s">
        <v>36</v>
      </c>
      <c r="D688" s="21" cm="1">
        <f t="array" ref="D688">_xlfn.SINGLE(IF(A686=A687,_xll.ciqfunctions.udf.CIQ(A678,"IQ_TOTAL_REV",IQ_FY)/I688, _xll.ciqfunctions.udf.CIQ(A678, "IQ_TOTAL_REV",IQ_LTM)/I688))</f>
        <v>56.123207440556321</v>
      </c>
      <c r="E688" s="22">
        <f t="shared" si="183"/>
        <v>0.11000291198576055</v>
      </c>
      <c r="F688" s="21">
        <f>IF(A686=A687,_xll.ciqfunctions.udf.CIQ(A678,"IQ_DILUT_EPS_EXCL",IQ_FY), _xll.ciqfunctions.udf.CIQ(A678, "IQ_DILUT_EPS_EXCL",IQ_LTM))</f>
        <v>11.55265</v>
      </c>
      <c r="G688" s="21">
        <f>IF(A686=A687,_xll.ciqfunctions.udf.CIQ(A678,"IQ_EBITDA_MARGIN",IQ_FY), _xll.ciqfunctions.udf.CIQ(A678, "IQ_EBITDA_MARGIN",IQ_LTM))</f>
        <v>40.660800000000002</v>
      </c>
      <c r="H688" s="21">
        <f>IF(A686=A687,_xll.ciqfunctions.udf.CIQ(A678,"IQ_TOTAL_DIV_PAID_CF",IQ_FY)/-I688, _xll.ciqfunctions.udf.CIQ(A678, "IQ_TOTAL_DIV_PAID_CF",IQ_LTM)/-I688)</f>
        <v>2.6548808430313873</v>
      </c>
      <c r="I688" s="23">
        <f>IF(A686=A687,_xll.ciqfunctions.udf.CIQ(A678,"IQ_TOTAL_OUTSTANDING_FILING_DATE",IQ_FY),_xll.ciqfunctions.udf.CIQ(A678,"IQ_sharesoutstanding"))</f>
        <v>106.82212</v>
      </c>
      <c r="J688" s="23">
        <f>IF(A686=A687,_xll.ciqfunctions.udf.CIQ(A678,"IQ_CASH_OPER",IQ_FY), _xll.ciqfunctions.udf.CIQ(A678, "IQ_CASH_OPER",IQ_LTM))</f>
        <v>1485</v>
      </c>
      <c r="K688" s="23">
        <f>IF(A686=A687,_xll.ciqfunctions.udf.CIQ(A678,"IQ_CAPEX",IQ_FY), _xll.ciqfunctions.udf.CIQ(A678, "IQ_CAPEX",IQ_LTM))</f>
        <v>-47.9</v>
      </c>
      <c r="L688" s="21">
        <f t="shared" si="180"/>
        <v>13.453206133710882</v>
      </c>
      <c r="M688" s="23">
        <f>IF(A686=A687,_xll.ciqfunctions.udf.CIQ(A678,"IQ_TOTAL_DEBT_ISSUED",IQ_FY), _xll.ciqfunctions.udf.CIQ(A678, "IQ_TOTAL_DEBT_ISSUED",IQ_LTM))</f>
        <v>910</v>
      </c>
      <c r="N688" s="23">
        <f>IF(A686=A687,_xll.ciqfunctions.udf.CIQ(A678,"IQ_TOTAL_DEBT_REPAID",IQ_FY), _xll.ciqfunctions.udf.CIQ(A678, "IQ_TOTAL_DEBT_REPAID",IQ_LTM))</f>
        <v>-700</v>
      </c>
      <c r="O688" s="21">
        <f t="shared" si="181"/>
        <v>1.9658849683941866</v>
      </c>
      <c r="P688" s="21">
        <f t="shared" si="182"/>
        <v>15.419091102105069</v>
      </c>
      <c r="Q688" s="25" t="s">
        <v>45</v>
      </c>
      <c r="S688" s="45"/>
      <c r="U688" s="25"/>
      <c r="W688" s="45"/>
      <c r="Y688" s="25"/>
      <c r="AA688" s="45"/>
    </row>
    <row r="689" spans="1:27">
      <c r="B689" s="24"/>
      <c r="C689" s="25" t="s">
        <v>37</v>
      </c>
      <c r="E689" s="26">
        <f>((D688/D683)^(1/5))-1</f>
        <v>2.2947671252774304E-2</v>
      </c>
      <c r="F689" s="27">
        <f>((F688/F683)^(1/5))-1</f>
        <v>5.0041847391409933E-2</v>
      </c>
      <c r="G689" s="28"/>
      <c r="H689" s="27">
        <f>((H688/H683)^(1/5))-1</f>
        <v>0.10089682107449338</v>
      </c>
      <c r="I689" s="27">
        <f>((I688/I683)^(1/5))-1</f>
        <v>6.1292268397517002E-3</v>
      </c>
      <c r="J689" s="27"/>
      <c r="K689" s="27"/>
      <c r="L689" s="26">
        <f>((L688/L683)^(1/5))-1</f>
        <v>1.855062907514915E-3</v>
      </c>
      <c r="M689" s="26"/>
      <c r="N689" s="26"/>
      <c r="O689" s="26"/>
      <c r="P689" s="26">
        <f>((P688/P683)^(1/5))-1</f>
        <v>6.3184812634796028E-2</v>
      </c>
      <c r="Q689" s="18"/>
      <c r="R689" s="36"/>
      <c r="S689" s="45"/>
      <c r="U689" s="18"/>
      <c r="V689" s="36"/>
      <c r="W689" s="45"/>
      <c r="Y689" s="18"/>
      <c r="Z689" s="36"/>
      <c r="AA689" s="45"/>
    </row>
    <row r="690" spans="1:27">
      <c r="A690" s="29"/>
      <c r="B690" s="30"/>
      <c r="C690" s="31" t="s">
        <v>38</v>
      </c>
      <c r="D690" s="29"/>
      <c r="E690" s="32">
        <f>((D688/D678)^(1/10))-1</f>
        <v>5.6058664961833538E-2</v>
      </c>
      <c r="F690" s="33">
        <f>((F688/F678)^(1/10))-1</f>
        <v>7.9619532056180331E-2</v>
      </c>
      <c r="G690" s="34"/>
      <c r="H690" s="33">
        <f>((H688/H678)^(1/10))-1</f>
        <v>0.18333205184830659</v>
      </c>
      <c r="I690" s="33">
        <f>((I688/I678)^(1/10))-1</f>
        <v>7.0775671444522903E-3</v>
      </c>
      <c r="J690" s="33"/>
      <c r="K690" s="33"/>
      <c r="L690" s="32">
        <f>((L688/L678)^(1/10))-1</f>
        <v>5.8285849273346013E-2</v>
      </c>
      <c r="M690" s="32"/>
      <c r="N690" s="32"/>
      <c r="O690" s="32"/>
      <c r="P690" s="32">
        <f>((P688/P678)^(1/10))-1</f>
        <v>2.4383828458781842E-2</v>
      </c>
      <c r="Q690" s="40"/>
      <c r="R690" s="41"/>
      <c r="S690" s="46"/>
      <c r="U690" s="40"/>
      <c r="V690" s="41"/>
      <c r="W690" s="46"/>
      <c r="Y690" s="40"/>
      <c r="Z690" s="41"/>
      <c r="AA690" s="46"/>
    </row>
    <row r="691" spans="1:27">
      <c r="B691" s="24"/>
      <c r="C691" s="25"/>
      <c r="E691" s="26"/>
      <c r="F691" s="27"/>
      <c r="G691" s="28"/>
      <c r="H691" s="27"/>
      <c r="I691" s="27"/>
      <c r="J691" s="27"/>
      <c r="K691" s="27"/>
      <c r="L691" s="26"/>
      <c r="M691" s="17"/>
      <c r="N691" s="17"/>
      <c r="O691" s="17"/>
      <c r="P691" s="35"/>
      <c r="Q691" s="18"/>
      <c r="R691" s="36"/>
    </row>
    <row r="692" spans="1:27">
      <c r="A692" s="9" t="s">
        <v>0</v>
      </c>
      <c r="B692" s="10"/>
      <c r="C692" s="9" t="s">
        <v>1</v>
      </c>
      <c r="D692" s="9" t="s">
        <v>2</v>
      </c>
      <c r="E692" s="9" t="s">
        <v>3</v>
      </c>
      <c r="F692" s="11" t="s">
        <v>4</v>
      </c>
      <c r="G692" s="11" t="s">
        <v>5</v>
      </c>
      <c r="H692" s="9" t="s">
        <v>6</v>
      </c>
      <c r="I692" s="11" t="s">
        <v>7</v>
      </c>
      <c r="J692" s="11" t="s">
        <v>8</v>
      </c>
      <c r="K692" s="11" t="s">
        <v>9</v>
      </c>
      <c r="L692" s="11" t="s">
        <v>10</v>
      </c>
      <c r="M692" s="11" t="s">
        <v>11</v>
      </c>
      <c r="N692" s="11" t="s">
        <v>12</v>
      </c>
      <c r="O692" s="11" t="s">
        <v>13</v>
      </c>
      <c r="P692" s="11" t="s">
        <v>14</v>
      </c>
      <c r="Q692" s="37" t="s">
        <v>15</v>
      </c>
      <c r="R692" s="42">
        <f>_xll.ciqfunctions.udf.CIQ(A693,("IQ_LASTSALEPRICE"))</f>
        <v>1080</v>
      </c>
      <c r="S692" s="44"/>
      <c r="U692" s="37" t="s">
        <v>15</v>
      </c>
      <c r="V692" s="42">
        <f>_xll.ciqfunctions.udf.CIQ(A693,("IQ_LASTSALEPRICE"))</f>
        <v>1080</v>
      </c>
      <c r="W692" s="44"/>
      <c r="Y692" s="37" t="s">
        <v>15</v>
      </c>
      <c r="Z692" s="42">
        <f>_xll.ciqfunctions.udf.CIQ(A693,("IQ_LASTSALEPRICE"))</f>
        <v>1080</v>
      </c>
      <c r="AA692" s="44"/>
    </row>
    <row r="693" spans="1:27">
      <c r="A693" s="12" t="str">
        <f>Analysis!B48</f>
        <v>NYSE:FICO</v>
      </c>
      <c r="B693" s="13">
        <v>1</v>
      </c>
      <c r="C693" s="14" t="s">
        <v>16</v>
      </c>
      <c r="D693" s="15">
        <f>IF(A701=A702,_xll.ciqfunctions.udf.CIQ(A693,"IQ_TOTAL_REV",IQ_FY-10)/I693,_xll.ciqfunctions.udf.CIQ(A693, "IQ_TOTAL_REV",IQ_FY-9)/I693)</f>
        <v>21.507202924389905</v>
      </c>
      <c r="E693" s="16"/>
      <c r="F693" s="15">
        <f>IF(A701=A702,_xll.ciqfunctions.udf.CIQ(A693,"IQ_DILUT_EPS_EXCL",IQ_FY-10), _xll.ciqfunctions.udf.CIQ(A693, "IQ_DILUT_EPS_EXCL",IQ_FY-9))</f>
        <v>2.48</v>
      </c>
      <c r="G693" s="15">
        <f>IF(A701=A702,_xll.ciqfunctions.udf.CIQ(A693,"IQ_EBITDA_MARGIN",IQ_FY-10), _xll.ciqfunctions.udf.CIQ(A693, "IQ_EBITDA_MARGIN",IQ_FY-9))</f>
        <v>26.6722</v>
      </c>
      <c r="H693" s="15">
        <f>IF(A701=A702,_xll.ciqfunctions.udf.CIQ(A693,"IQ_TOTAL_DIV_PAID_CF",IQ_FY-10)/-I693, _xll.ciqfunctions.udf.CIQ(A693, "IQ_TOTAL_DIV_PAID_CF",IQ_FY-9)/-I693)</f>
        <v>8.1695919340901382E-2</v>
      </c>
      <c r="I693" s="17">
        <f>IF(A701=A702,_xll.ciqfunctions.udf.CIQ(A693,"IQ_TOTAL_OUTSTANDING_FILING_DATE",IQ_FY-10), _xll.ciqfunctions.udf.CIQ(A693, "IQ_TOTAL_OUTSTANDING_FILING_DATE",IQ_FY-9))</f>
        <v>34.567210000000003</v>
      </c>
      <c r="J693" s="17">
        <f>IF(A701=A702,_xll.ciqfunctions.udf.CIQ(A693,"IQ_CASH_OPER",IQ_FY-10), _xll.ciqfunctions.udf.CIQ(A693, "IQ_CASH_OPER",IQ_FY-9))</f>
        <v>136.12</v>
      </c>
      <c r="K693" s="17">
        <f>IF(A701=A702,_xll.ciqfunctions.udf.CIQ(A693,"IQ_CAPEX",IQ_FY-10), _xll.ciqfunctions.udf.CIQ(A693, "IQ_CAPEX",IQ_FY-9))</f>
        <v>-24.146999999999998</v>
      </c>
      <c r="L693" s="15">
        <f t="shared" ref="L693:L703" si="184">(J693+K693)/I693</f>
        <v>3.2392837026766119</v>
      </c>
      <c r="M693" s="17">
        <f>IF(A701=A702,_xll.ciqfunctions.udf.CIQ(A693,"IQ_TOTAL_DEBT_ISSUED",IQ_FY-10), _xll.ciqfunctions.udf.CIQ(A693, "IQ_TOTAL_DEBT_ISSUED",IQ_FY-9))</f>
        <v>30</v>
      </c>
      <c r="N693" s="17">
        <f>IF(A701=A702,_xll.ciqfunctions.udf.CIQ(A693,"IQ_TOTAL_DEBT_REPAID",IQ_FY-10), _xll.ciqfunctions.udf.CIQ(A693, "IQ_TOTAL_DEBT_REPAID",IQ_FY-9))</f>
        <v>-67.676000000000002</v>
      </c>
      <c r="O693" s="15">
        <f t="shared" ref="O693:O703" si="185">(M693+N693)/I693</f>
        <v>-1.0899346519432722</v>
      </c>
      <c r="P693" s="15">
        <f t="shared" ref="P693:P703" si="186">L693+O693</f>
        <v>2.1493490507333397</v>
      </c>
      <c r="W693" s="43"/>
      <c r="AA693" s="43"/>
    </row>
    <row r="694" spans="1:27">
      <c r="A694" s="18" t="str">
        <f>_xll.ciqfunctions.udf.CIQ(A693,"IQ_COMPANY_NAME")</f>
        <v>Fair Isaac Corporation</v>
      </c>
      <c r="B694" s="13">
        <v>2</v>
      </c>
      <c r="C694" s="14" t="s">
        <v>17</v>
      </c>
      <c r="D694" s="15">
        <f>IF(A701=A702,_xll.ciqfunctions.udf.CIQ(A693,"IQ_TOTAL_REV",IQ_FY-9)/I694, _xll.ciqfunctions.udf.CIQ(A693, "IQ_TOTAL_REV",IQ_FY-8)/I694)</f>
        <v>24.574256155205106</v>
      </c>
      <c r="E694" s="16">
        <f t="shared" ref="E694:E703" si="187">(D694-D693)/D693</f>
        <v>0.14260586286360175</v>
      </c>
      <c r="F694" s="15">
        <f>IF(A701=A702,_xll.ciqfunctions.udf.CIQ(A693,"IQ_DILUT_EPS_EXCL",IQ_FY-9), _xll.ciqfunctions.udf.CIQ(A693, "IQ_DILUT_EPS_EXCL",IQ_FY-8))</f>
        <v>2.72</v>
      </c>
      <c r="G694" s="15">
        <f>IF(A701=A702,_xll.ciqfunctions.udf.CIQ(A693,"IQ_EBITDA_MARGIN",IQ_FY-9), _xll.ciqfunctions.udf.CIQ(A693, "IQ_EBITDA_MARGIN",IQ_FY-8))</f>
        <v>25.194500000000001</v>
      </c>
      <c r="H694" s="15">
        <f>IF(A701=A702,_xll.ciqfunctions.udf.CIQ(A693,"IQ_TOTAL_DIV_PAID_CF",IQ_FY-9)/-I694, _xll.ciqfunctions.udf.CIQ(A693, "IQ_TOTAL_DIV_PAID_CF",IQ_FY-8)/-I694)</f>
        <v>8.4532064874777921E-2</v>
      </c>
      <c r="I694" s="17">
        <f>IF(A701=A702,_xll.ciqfunctions.udf.CIQ(A693,"IQ_TOTAL_OUTSTANDING_FILING_DATE",IQ_FY-9), _xll.ciqfunctions.udf.CIQ(A693, "IQ_TOTAL_OUTSTANDING_FILING_DATE",IQ_FY-8))</f>
        <v>32.106160000000003</v>
      </c>
      <c r="J694" s="17">
        <f>IF(A701=A702,_xll.ciqfunctions.udf.CIQ(A693,"IQ_CASH_OPER",IQ_FY-9), _xll.ciqfunctions.udf.CIQ(A693, "IQ_CASH_OPER",IQ_FY-8))</f>
        <v>175.03399999999999</v>
      </c>
      <c r="K694" s="17">
        <f>IF(A701=A702,_xll.ciqfunctions.udf.CIQ(A693,"IQ_CAPEX",IQ_FY-9), _xll.ciqfunctions.udf.CIQ(A693, "IQ_CAPEX",IQ_FY-8))</f>
        <v>-12.59</v>
      </c>
      <c r="L694" s="15">
        <f t="shared" si="184"/>
        <v>5.0595898108026613</v>
      </c>
      <c r="M694" s="17">
        <f>IF(A701=A702,_xll.ciqfunctions.udf.CIQ(A693,"IQ_TOTAL_DEBT_ISSUED",IQ_FY-9), _xll.ciqfunctions.udf.CIQ(A693, "IQ_TOTAL_DEBT_ISSUED",IQ_FY-8))</f>
        <v>145</v>
      </c>
      <c r="N694" s="17">
        <f>IF(A701=A702,_xll.ciqfunctions.udf.CIQ(A693,"IQ_TOTAL_DEBT_REPAID",IQ_FY-9), _xll.ciqfunctions.udf.CIQ(A693, "IQ_TOTAL_DEBT_REPAID",IQ_FY-8))</f>
        <v>-69</v>
      </c>
      <c r="O694" s="15">
        <f t="shared" si="185"/>
        <v>2.3671469898611357</v>
      </c>
      <c r="P694" s="15">
        <f t="shared" si="186"/>
        <v>7.4267368006637966</v>
      </c>
      <c r="Q694" s="25" t="s">
        <v>18</v>
      </c>
      <c r="R694" s="39" t="s">
        <v>19</v>
      </c>
      <c r="S694" s="1">
        <f>R692/((AVERAGE(P698:P703))*(1+E704)^3)</f>
        <v>35.79119715744919</v>
      </c>
      <c r="U694" s="25" t="s">
        <v>48</v>
      </c>
      <c r="V694" s="39" t="s">
        <v>19</v>
      </c>
      <c r="W694" s="1">
        <f>V692/((AVERAGE(P698:P703))*(1+E704)^3)</f>
        <v>35.79119715744919</v>
      </c>
      <c r="Y694" s="25" t="s">
        <v>39</v>
      </c>
      <c r="Z694" s="39" t="s">
        <v>19</v>
      </c>
      <c r="AA694" s="1">
        <f>Z692/((AVERAGE(P698:P703))*(1+E704)^3)</f>
        <v>35.79119715744919</v>
      </c>
    </row>
    <row r="695" spans="1:27">
      <c r="B695" s="13">
        <v>3</v>
      </c>
      <c r="C695" s="14" t="s">
        <v>20</v>
      </c>
      <c r="D695" s="15" cm="1">
        <f t="array" ref="D695">_xlfn.SINGLE(IF(A701=A702,_xll.ciqfunctions.udf.CIQ(A693,"IQ_TOTAL_REV",IQ_FY-8)/I695, _xll.ciqfunctions.udf.CIQ(A693, "IQ_TOTAL_REV",IQ_FY-7)/I695))</f>
        <v>26.99120127403415</v>
      </c>
      <c r="E695" s="16">
        <f t="shared" si="187"/>
        <v>9.8352727487017275E-2</v>
      </c>
      <c r="F695" s="15">
        <f>IF(A701=A702,_xll.ciqfunctions.udf.CIQ(A693,"IQ_DILUT_EPS_EXCL",IQ_FY-8), _xll.ciqfunctions.udf.CIQ(A693, "IQ_DILUT_EPS_EXCL",IQ_FY-7))</f>
        <v>2.65</v>
      </c>
      <c r="G695" s="15">
        <f>IF(A701=A702,_xll.ciqfunctions.udf.CIQ(A693,"IQ_EBITDA_MARGIN",IQ_FY-8), _xll.ciqfunctions.udf.CIQ(A693, "IQ_EBITDA_MARGIN",IQ_FY-7))</f>
        <v>21.703099999999999</v>
      </c>
      <c r="H695" s="15">
        <f>IF(A701=A702,_xll.ciqfunctions.udf.CIQ(A693,"IQ_TOTAL_DIV_PAID_CF",IQ_FY-8)/-I695, _xll.ciqfunctions.udf.CIQ(A693, "IQ_TOTAL_DIV_PAID_CF",IQ_FY-7)/-I695)</f>
        <v>8.0705133753956812E-2</v>
      </c>
      <c r="I695" s="17">
        <f>IF(A701=A702,_xll.ciqfunctions.udf.CIQ(A693,"IQ_TOTAL_OUTSTANDING_FILING_DATE",IQ_FY-8), _xll.ciqfunctions.udf.CIQ(A693, "IQ_TOTAL_OUTSTANDING_FILING_DATE",IQ_FY-7))</f>
        <v>31.076090000000001</v>
      </c>
      <c r="J695" s="17">
        <f>IF(A701=A702,_xll.ciqfunctions.udf.CIQ(A693,"IQ_CASH_OPER",IQ_FY-8), _xll.ciqfunctions.udf.CIQ(A693, "IQ_CASH_OPER",IQ_FY-7))</f>
        <v>146.77199999999999</v>
      </c>
      <c r="K695" s="17">
        <f>IF(A701=A702,_xll.ciqfunctions.udf.CIQ(A693,"IQ_CAPEX",IQ_FY-8), _xll.ciqfunctions.udf.CIQ(A693, "IQ_CAPEX",IQ_FY-7))</f>
        <v>-24.998999999999999</v>
      </c>
      <c r="L695" s="15">
        <f t="shared" si="184"/>
        <v>3.9185431629268672</v>
      </c>
      <c r="M695" s="17">
        <f>IF(A701=A702,_xll.ciqfunctions.udf.CIQ(A693,"IQ_TOTAL_DEBT_ISSUED",IQ_FY-8), _xll.ciqfunctions.udf.CIQ(A693, "IQ_TOTAL_DEBT_ISSUED",IQ_FY-7))</f>
        <v>249</v>
      </c>
      <c r="N695" s="17">
        <f>IF(A701=A702,_xll.ciqfunctions.udf.CIQ(A693,"IQ_TOTAL_DEBT_REPAID",IQ_FY-8), _xll.ciqfunctions.udf.CIQ(A693, "IQ_TOTAL_DEBT_REPAID",IQ_FY-7))</f>
        <v>-187</v>
      </c>
      <c r="O695" s="15">
        <f t="shared" si="185"/>
        <v>1.9951029875380075</v>
      </c>
      <c r="P695" s="15">
        <f t="shared" si="186"/>
        <v>5.9136461504648743</v>
      </c>
      <c r="Q695" s="25" t="s">
        <v>21</v>
      </c>
      <c r="R695" s="38" t="s">
        <v>49</v>
      </c>
      <c r="S695" s="2">
        <f>(R692*I703)/1000</f>
        <v>26.690644800000001</v>
      </c>
      <c r="U695" s="25" t="s">
        <v>59</v>
      </c>
      <c r="V695" s="38" t="s">
        <v>49</v>
      </c>
      <c r="W695" s="2">
        <f>(V692*I703)/1000</f>
        <v>26.690644800000001</v>
      </c>
      <c r="Y695" s="25" t="s">
        <v>46</v>
      </c>
      <c r="Z695" s="38" t="s">
        <v>49</v>
      </c>
      <c r="AA695" s="2">
        <f>(Z692*I703)/1000</f>
        <v>26.690644800000001</v>
      </c>
    </row>
    <row r="696" spans="1:27">
      <c r="A696" s="18"/>
      <c r="B696" s="13">
        <v>4</v>
      </c>
      <c r="C696" s="14" t="s">
        <v>22</v>
      </c>
      <c r="D696" s="15" cm="1">
        <f t="array" ref="D696">_xlfn.SINGLE(IF(A701=A702,_xll.ciqfunctions.udf.CIQ(A693,"IQ_TOTAL_REV",IQ_FY-7)/I696, _xll.ciqfunctions.udf.CIQ(A693, "IQ_TOTAL_REV",IQ_FY-6)/I696))</f>
        <v>28.485328386235604</v>
      </c>
      <c r="E696" s="16">
        <f t="shared" si="187"/>
        <v>5.5356080562402453E-2</v>
      </c>
      <c r="F696" s="15">
        <f>IF(A701=A702,_xll.ciqfunctions.udf.CIQ(A693,"IQ_DILUT_EPS_EXCL",IQ_FY-7), _xll.ciqfunctions.udf.CIQ(A693, "IQ_DILUT_EPS_EXCL",IQ_FY-6))</f>
        <v>3.39</v>
      </c>
      <c r="G696" s="15">
        <f>IF(A701=A702,_xll.ciqfunctions.udf.CIQ(A693,"IQ_EBITDA_MARGIN",IQ_FY-7), _xll.ciqfunctions.udf.CIQ(A693, "IQ_EBITDA_MARGIN",IQ_FY-6))</f>
        <v>22.003</v>
      </c>
      <c r="H696" s="15">
        <f>IF(A701=A702,_xll.ciqfunctions.udf.CIQ(A693,"IQ_TOTAL_DIV_PAID_CF",IQ_FY-7)/-I696, _xll.ciqfunctions.udf.CIQ(A693, "IQ_TOTAL_DIV_PAID_CF",IQ_FY-6)/-I696)</f>
        <v>8.0444204559043581E-2</v>
      </c>
      <c r="I696" s="17">
        <f>IF(A701=A702,_xll.ciqfunctions.udf.CIQ(A693,"IQ_TOTAL_OUTSTANDING_FILING_DATE",IQ_FY-7), _xll.ciqfunctions.udf.CIQ(A693, "IQ_TOTAL_OUTSTANDING_FILING_DATE",IQ_FY-6))</f>
        <v>30.9407</v>
      </c>
      <c r="J696" s="17">
        <f>IF(A701=A702,_xll.ciqfunctions.udf.CIQ(A693,"IQ_CASH_OPER",IQ_FY-7), _xll.ciqfunctions.udf.CIQ(A693, "IQ_CASH_OPER",IQ_FY-6))</f>
        <v>210.268</v>
      </c>
      <c r="K696" s="17">
        <f>IF(A701=A702,_xll.ciqfunctions.udf.CIQ(A693,"IQ_CAPEX",IQ_FY-7), _xll.ciqfunctions.udf.CIQ(A693, "IQ_CAPEX",IQ_FY-6))</f>
        <v>-21.969000000000001</v>
      </c>
      <c r="L696" s="15">
        <f t="shared" si="184"/>
        <v>6.0858028422110682</v>
      </c>
      <c r="M696" s="17">
        <f>IF(A701=A702,_xll.ciqfunctions.udf.CIQ(A693,"IQ_TOTAL_DEBT_ISSUED",IQ_FY-7), _xll.ciqfunctions.udf.CIQ(A693, "IQ_TOTAL_DEBT_ISSUED",IQ_FY-6))</f>
        <v>122</v>
      </c>
      <c r="N696" s="17">
        <f>IF(A701=A702,_xll.ciqfunctions.udf.CIQ(A693,"IQ_TOTAL_DEBT_REPAID",IQ_FY-7), _xll.ciqfunctions.udf.CIQ(A693, "IQ_TOTAL_DEBT_REPAID",IQ_FY-6))</f>
        <v>-159</v>
      </c>
      <c r="O696" s="15">
        <f t="shared" si="185"/>
        <v>-1.1958359054578598</v>
      </c>
      <c r="P696" s="15">
        <f t="shared" si="186"/>
        <v>4.8899669367532086</v>
      </c>
      <c r="Q696" s="25" t="s">
        <v>23</v>
      </c>
      <c r="R696" s="38" t="s">
        <v>24</v>
      </c>
      <c r="S696" s="1" t="e">
        <f>R692/(AVERAGE(H698:H703)*(1+H704)/(0.5-H704))</f>
        <v>#DIV/0!</v>
      </c>
      <c r="U696" s="25" t="s">
        <v>40</v>
      </c>
      <c r="V696" s="38" t="s">
        <v>24</v>
      </c>
      <c r="W696" s="1" t="e">
        <f>V692/(AVERAGE(H698:H703)*(1+H704)/(0.5-H704))</f>
        <v>#DIV/0!</v>
      </c>
      <c r="Y696" s="25" t="s">
        <v>47</v>
      </c>
      <c r="Z696" s="38" t="s">
        <v>24</v>
      </c>
      <c r="AA696" s="1" t="e">
        <f>Z692/(AVERAGE(H698:H703)*(1+H704)/(0.5-H704))</f>
        <v>#DIV/0!</v>
      </c>
    </row>
    <row r="697" spans="1:27">
      <c r="B697" s="13">
        <v>5</v>
      </c>
      <c r="C697" s="14" t="s">
        <v>25</v>
      </c>
      <c r="D697" s="15" cm="1">
        <f t="array" ref="D697">_xlfn.SINGLE(IF(A701=A702,_xll.ciqfunctions.udf.CIQ(A693,"IQ_TOTAL_REV",IQ_FY-6)/I697, _xll.ciqfunctions.udf.CIQ(A693, "IQ_TOTAL_REV",IQ_FY-5)/I697))</f>
        <v>31.176263461888574</v>
      </c>
      <c r="E697" s="16">
        <f t="shared" si="187"/>
        <v>9.4467405787509076E-2</v>
      </c>
      <c r="F697" s="15">
        <f>IF(A701=A702,_xll.ciqfunctions.udf.CIQ(A693,"IQ_DILUT_EPS_EXCL",IQ_FY-6), _xll.ciqfunctions.udf.CIQ(A693, "IQ_DILUT_EPS_EXCL",IQ_FY-5))</f>
        <v>4.1399999999999997</v>
      </c>
      <c r="G697" s="15">
        <f>IF(A701=A702,_xll.ciqfunctions.udf.CIQ(A693,"IQ_EBITDA_MARGIN",IQ_FY-6), _xll.ciqfunctions.udf.CIQ(A693, "IQ_EBITDA_MARGIN",IQ_FY-5))</f>
        <v>23.137599999999999</v>
      </c>
      <c r="H697" s="15">
        <f>IF(A701=A702,_xll.ciqfunctions.udf.CIQ(A693,"IQ_TOTAL_DIV_PAID_CF",IQ_FY-6)/-I697, _xll.ciqfunctions.udf.CIQ(A693, "IQ_TOTAL_DIV_PAID_CF",IQ_FY-5)/-I697)</f>
        <v>4.1280123987086456E-2</v>
      </c>
      <c r="I697" s="17">
        <f>IF(A701=A702,_xll.ciqfunctions.udf.CIQ(A693,"IQ_TOTAL_OUTSTANDING_FILING_DATE",IQ_FY-6), _xll.ciqfunctions.udf.CIQ(A693, "IQ_TOTAL_OUTSTANDING_FILING_DATE",IQ_FY-5))</f>
        <v>29.990220000000001</v>
      </c>
      <c r="J697" s="17">
        <f>IF(A701=A702,_xll.ciqfunctions.udf.CIQ(A693,"IQ_CASH_OPER",IQ_FY-6), _xll.ciqfunctions.udf.CIQ(A693, "IQ_CASH_OPER",IQ_FY-5))</f>
        <v>225.64400000000001</v>
      </c>
      <c r="K697" s="17">
        <f>IF(A701=A702,_xll.ciqfunctions.udf.CIQ(A693,"IQ_CAPEX",IQ_FY-6), _xll.ciqfunctions.udf.CIQ(A693, "IQ_CAPEX",IQ_FY-5))</f>
        <v>-19.827999999999999</v>
      </c>
      <c r="L697" s="15">
        <f t="shared" si="184"/>
        <v>6.8627705965478079</v>
      </c>
      <c r="M697" s="17">
        <f>IF(A701=A702,_xll.ciqfunctions.udf.CIQ(A693,"IQ_TOTAL_DEBT_ISSUED",IQ_FY-6), _xll.ciqfunctions.udf.CIQ(A693, "IQ_TOTAL_DEBT_ISSUED",IQ_FY-5))</f>
        <v>190</v>
      </c>
      <c r="N697" s="17">
        <f>IF(A701=A702,_xll.ciqfunctions.udf.CIQ(A693,"IQ_TOTAL_DEBT_REPAID",IQ_FY-6), _xll.ciqfunctions.udf.CIQ(A693, "IQ_TOTAL_DEBT_REPAID",IQ_FY-5))</f>
        <v>-156</v>
      </c>
      <c r="O697" s="15">
        <f t="shared" si="185"/>
        <v>1.1337029204854117</v>
      </c>
      <c r="P697" s="15">
        <f t="shared" si="186"/>
        <v>7.9964735170332197</v>
      </c>
      <c r="Q697" s="18"/>
      <c r="R697" s="38" t="s">
        <v>50</v>
      </c>
      <c r="S697" s="3">
        <f>I704</f>
        <v>-3.1181868196176632E-2</v>
      </c>
      <c r="U697" s="18"/>
      <c r="V697" s="38" t="s">
        <v>50</v>
      </c>
      <c r="W697" s="3">
        <f>I704</f>
        <v>-3.1181868196176632E-2</v>
      </c>
      <c r="Y697" s="18"/>
      <c r="Z697" s="38" t="s">
        <v>50</v>
      </c>
      <c r="AA697" s="3">
        <f>I704</f>
        <v>-3.1181868196176632E-2</v>
      </c>
    </row>
    <row r="698" spans="1:27">
      <c r="B698" s="13">
        <v>6</v>
      </c>
      <c r="C698" s="14" t="s">
        <v>26</v>
      </c>
      <c r="D698" s="15" cm="1">
        <f t="array" ref="D698">_xlfn.SINGLE(IF(A701=A702,_xll.ciqfunctions.udf.CIQ(A693,"IQ_TOTAL_REV",IQ_FY-5)/I698, _xll.ciqfunctions.udf.CIQ(A693, "IQ_TOTAL_REV",IQ_FY-4)/I698))</f>
        <v>34.541356026914841</v>
      </c>
      <c r="E698" s="16">
        <f t="shared" si="187"/>
        <v>0.10793764843371702</v>
      </c>
      <c r="F698" s="15">
        <f>IF(A701=A702,_xll.ciqfunctions.udf.CIQ(A693,"IQ_DILUT_EPS_EXCL",IQ_FY-5), _xll.ciqfunctions.udf.CIQ(A693, "IQ_DILUT_EPS_EXCL",IQ_FY-4))</f>
        <v>4.0599999999999996</v>
      </c>
      <c r="G698" s="15">
        <f>IF(A701=A702,_xll.ciqfunctions.udf.CIQ(A693,"IQ_EBITDA_MARGIN",IQ_FY-5), _xll.ciqfunctions.udf.CIQ(A693, "IQ_EBITDA_MARGIN",IQ_FY-4))</f>
        <v>20.313099999999999</v>
      </c>
      <c r="H698" s="15">
        <f>IF(A701=A702,_xll.ciqfunctions.udf.CIQ(A693,"IQ_TOTAL_DIV_PAID_CF",IQ_FY-5)/-I698, _xll.ciqfunctions.udf.CIQ(A693, "IQ_TOTAL_DIV_PAID_CF",IQ_FY-4)/-I698)</f>
        <v>0</v>
      </c>
      <c r="I698" s="17">
        <f>IF(A701=A702,_xll.ciqfunctions.udf.CIQ(A693,"IQ_TOTAL_OUTSTANDING_FILING_DATE",IQ_FY-5), _xll.ciqfunctions.udf.CIQ(A693, "IQ_TOTAL_OUTSTANDING_FILING_DATE",IQ_FY-4))</f>
        <v>28.955030000000001</v>
      </c>
      <c r="J698" s="17">
        <f>IF(A701=A702,_xll.ciqfunctions.udf.CIQ(A693,"IQ_CASH_OPER",IQ_FY-5), _xll.ciqfunctions.udf.CIQ(A693, "IQ_CASH_OPER",IQ_FY-4))</f>
        <v>223.05199999999999</v>
      </c>
      <c r="K698" s="17">
        <f>IF(A701=A702,_xll.ciqfunctions.udf.CIQ(A693,"IQ_CAPEX",IQ_FY-5), _xll.ciqfunctions.udf.CIQ(A693, "IQ_CAPEX",IQ_FY-4))</f>
        <v>-31.298999999999999</v>
      </c>
      <c r="L698" s="15">
        <f t="shared" si="184"/>
        <v>6.622441765731204</v>
      </c>
      <c r="M698" s="17">
        <f>IF(A701=A702,_xll.ciqfunctions.udf.CIQ(A693,"IQ_TOTAL_DEBT_ISSUED",IQ_FY-5), _xll.ciqfunctions.udf.CIQ(A693, "IQ_TOTAL_DEBT_ISSUED",IQ_FY-4))</f>
        <v>827</v>
      </c>
      <c r="N698" s="17">
        <f>IF(A701=A702,_xll.ciqfunctions.udf.CIQ(A693,"IQ_TOTAL_DEBT_REPAID",IQ_FY-5), _xll.ciqfunctions.udf.CIQ(A693, "IQ_TOTAL_DEBT_REPAID",IQ_FY-4))</f>
        <v>-662</v>
      </c>
      <c r="O698" s="15">
        <f t="shared" si="185"/>
        <v>5.6984917646433102</v>
      </c>
      <c r="P698" s="15">
        <f t="shared" si="186"/>
        <v>12.320933530374514</v>
      </c>
      <c r="Q698" s="25" t="s">
        <v>27</v>
      </c>
      <c r="R698" s="38" t="s">
        <v>51</v>
      </c>
      <c r="S698" s="4">
        <f>AVERAGE(F698:F703)/AVERAGE(D698:D703)</f>
        <v>0.2214761193059098</v>
      </c>
      <c r="U698" s="25" t="s">
        <v>58</v>
      </c>
      <c r="V698" s="38" t="s">
        <v>51</v>
      </c>
      <c r="W698" s="4">
        <f>AVERAGE(F698:F703)/AVERAGE(D698:D703)</f>
        <v>0.2214761193059098</v>
      </c>
      <c r="Y698" s="25" t="s">
        <v>56</v>
      </c>
      <c r="Z698" s="38" t="s">
        <v>51</v>
      </c>
      <c r="AA698" s="4">
        <f>AVERAGE(F698:F703)/AVERAGE(D698:D703)</f>
        <v>0.2214761193059098</v>
      </c>
    </row>
    <row r="699" spans="1:27">
      <c r="A699" s="18"/>
      <c r="B699" s="13">
        <v>7</v>
      </c>
      <c r="C699" s="14" t="s">
        <v>28</v>
      </c>
      <c r="D699" s="15" cm="1">
        <f t="array" ref="D699">_xlfn.SINGLE(IF(A701=A702,_xll.ciqfunctions.udf.CIQ(A693,"IQ_TOTAL_REV",IQ_FY-4)/I699, _xll.ciqfunctions.udf.CIQ(A693, "IQ_TOTAL_REV",IQ_FY-3)/I699))</f>
        <v>40.055887776957157</v>
      </c>
      <c r="E699" s="16">
        <f t="shared" si="187"/>
        <v>0.15965012334042006</v>
      </c>
      <c r="F699" s="15">
        <f>IF(A701=A702,_xll.ciqfunctions.udf.CIQ(A693,"IQ_DILUT_EPS_EXCL",IQ_FY-4), _xll.ciqfunctions.udf.CIQ(A693, "IQ_DILUT_EPS_EXCL",IQ_FY-3))</f>
        <v>6.34</v>
      </c>
      <c r="G699" s="15">
        <f>IF(A701=A702,_xll.ciqfunctions.udf.CIQ(A693,"IQ_EBITDA_MARGIN",IQ_FY-4), _xll.ciqfunctions.udf.CIQ(A693, "IQ_EBITDA_MARGIN",IQ_FY-3))</f>
        <v>24.410799999999998</v>
      </c>
      <c r="H699" s="15">
        <f>IF(A701=A702,_xll.ciqfunctions.udf.CIQ(A693,"IQ_TOTAL_DIV_PAID_CF",IQ_FY-4)/-I699, _xll.ciqfunctions.udf.CIQ(A693, "IQ_TOTAL_DIV_PAID_CF",IQ_FY-3)/-I699)</f>
        <v>0</v>
      </c>
      <c r="I699" s="17">
        <f>IF(A701=A702,_xll.ciqfunctions.udf.CIQ(A693,"IQ_TOTAL_OUTSTANDING_FILING_DATE",IQ_FY-4), _xll.ciqfunctions.udf.CIQ(A693, "IQ_TOTAL_OUTSTANDING_FILING_DATE",IQ_FY-3))</f>
        <v>28.96161</v>
      </c>
      <c r="J699" s="17">
        <f>IF(A701=A702,_xll.ciqfunctions.udf.CIQ(A693,"IQ_CASH_OPER",IQ_FY-4), _xll.ciqfunctions.udf.CIQ(A693, "IQ_CASH_OPER",IQ_FY-3))</f>
        <v>260.35000000000002</v>
      </c>
      <c r="K699" s="17">
        <f>IF(A701=A702,_xll.ciqfunctions.udf.CIQ(A693,"IQ_CAPEX",IQ_FY-4), _xll.ciqfunctions.udf.CIQ(A693, "IQ_CAPEX",IQ_FY-3))</f>
        <v>-23.981000000000002</v>
      </c>
      <c r="L699" s="15">
        <f t="shared" si="184"/>
        <v>8.1614592558908168</v>
      </c>
      <c r="M699" s="17">
        <f>IF(A701=A702,_xll.ciqfunctions.udf.CIQ(A693,"IQ_TOTAL_DEBT_ISSUED",IQ_FY-4), _xll.ciqfunctions.udf.CIQ(A693, "IQ_TOTAL_DEBT_ISSUED",IQ_FY-3))</f>
        <v>229</v>
      </c>
      <c r="N699" s="17">
        <f>IF(A701=A702,_xll.ciqfunctions.udf.CIQ(A693,"IQ_TOTAL_DEBT_REPAID",IQ_FY-4), _xll.ciqfunctions.udf.CIQ(A693, "IQ_TOTAL_DEBT_REPAID",IQ_FY-3))</f>
        <v>-169.94499999999999</v>
      </c>
      <c r="O699" s="15">
        <f t="shared" si="185"/>
        <v>2.0390786285707185</v>
      </c>
      <c r="P699" s="15">
        <f t="shared" si="186"/>
        <v>10.200537884461536</v>
      </c>
      <c r="Q699" s="18"/>
      <c r="R699" s="38" t="s">
        <v>29</v>
      </c>
      <c r="S699" s="4">
        <f>(AVERAGE(P698:P703)/_xlfn.STDEV.P(P698:P703))/(IF(A701=A702,(_xlfn.SINGLE(_xll.ciqfunctions.udf.CIQ(A693,"IQ_total_assets",IQ_FY)) - _xlfn.SINGLE(_xll.ciqfunctions.udf.CIQ(A693,"iq_gw_intan", IQ_FY)))/I703, (_xlfn.SINGLE(_xll.ciqfunctions.udf.CIQ(A693, "IQ_total_assets",IQ_LTM))-_xlfn.SINGLE(_xll.ciqfunctions.udf.CIQ(A693,"iq_gw_intan",IQ_LTM)))/I703))</f>
        <v>5.3760326202112789E-2</v>
      </c>
      <c r="U699" s="18"/>
      <c r="V699" s="38" t="s">
        <v>29</v>
      </c>
      <c r="W699" s="4">
        <f>(AVERAGE(P698:P703)/_xlfn.STDEV.P(P698:P703))/(IF(A701=A702,(_xlfn.SINGLE(_xll.ciqfunctions.udf.CIQ(A693,"IQ_total_assets",IQ_FY)) - _xlfn.SINGLE(_xll.ciqfunctions.udf.CIQ(A693,"iq_gw_intan", IQ_FY)))/I703, (_xlfn.SINGLE(_xll.ciqfunctions.udf.CIQ(A693, "IQ_total_assets",IQ_LTM))-_xlfn.SINGLE(_xll.ciqfunctions.udf.CIQ(A693,"iq_gw_intan",IQ_LTM)))/I703))</f>
        <v>5.3760326202112789E-2</v>
      </c>
      <c r="Y699" s="18"/>
      <c r="Z699" s="38" t="s">
        <v>29</v>
      </c>
      <c r="AA699" s="4">
        <f>(AVERAGE(P698:P703)/_xlfn.STDEV.P(P698:P703))/(IF(A701=A702,(_xlfn.SINGLE(_xll.ciqfunctions.udf.CIQ(A693,"IQ_total_assets",IQ_FY)) - _xlfn.SINGLE(_xll.ciqfunctions.udf.CIQ(A693,"iq_gw_intan", IQ_FY)))/I703, (_xlfn.SINGLE(_xll.ciqfunctions.udf.CIQ(A693, "IQ_total_assets",IQ_LTM))-_xlfn.SINGLE(_xll.ciqfunctions.udf.CIQ(A693,"iq_gw_intan",IQ_LTM)))/I703))</f>
        <v>5.3760326202112789E-2</v>
      </c>
    </row>
    <row r="700" spans="1:27">
      <c r="A700" s="18"/>
      <c r="B700" s="13">
        <v>8</v>
      </c>
      <c r="C700" s="14" t="s">
        <v>30</v>
      </c>
      <c r="D700" s="15" cm="1">
        <f t="array" ref="D700">_xlfn.SINGLE(IF(A701=A702,_xll.ciqfunctions.udf.CIQ(A693,"IQ_TOTAL_REV",IQ_FY-3)/I700, _xll.ciqfunctions.udf.CIQ(A693, "IQ_TOTAL_REV",IQ_FY-2)/I700))</f>
        <v>44.489449168298499</v>
      </c>
      <c r="E700" s="16">
        <f t="shared" si="187"/>
        <v>0.11068438717495672</v>
      </c>
      <c r="F700" s="15">
        <f>IF(A701=A702,_xll.ciqfunctions.udf.CIQ(A693,"IQ_DILUT_EPS_EXCL",IQ_FY-3), _xll.ciqfunctions.udf.CIQ(A693, "IQ_DILUT_EPS_EXCL",IQ_FY-2))</f>
        <v>7.9</v>
      </c>
      <c r="G700" s="15">
        <f>IF(A701=A702,_xll.ciqfunctions.udf.CIQ(A693,"IQ_EBITDA_MARGIN",IQ_FY-3), _xll.ciqfunctions.udf.CIQ(A693, "IQ_EBITDA_MARGIN",IQ_FY-2))</f>
        <v>28.5501</v>
      </c>
      <c r="H700" s="15">
        <f>IF(A701=A702,_xll.ciqfunctions.udf.CIQ(A693,"IQ_TOTAL_DIV_PAID_CF",IQ_FY-3)/-I700, _xll.ciqfunctions.udf.CIQ(A693, "IQ_TOTAL_DIV_PAID_CF",IQ_FY-2)/-I700)</f>
        <v>0</v>
      </c>
      <c r="I700" s="17">
        <f>IF(A701=A702,_xll.ciqfunctions.udf.CIQ(A693,"IQ_TOTAL_OUTSTANDING_FILING_DATE",IQ_FY-3), _xll.ciqfunctions.udf.CIQ(A693, "IQ_TOTAL_OUTSTANDING_FILING_DATE",IQ_FY-2))</f>
        <v>29.098179999999999</v>
      </c>
      <c r="J700" s="17">
        <f>IF(A701=A702,_xll.ciqfunctions.udf.CIQ(A693,"IQ_CASH_OPER",IQ_FY-3), _xll.ciqfunctions.udf.CIQ(A693, "IQ_CASH_OPER",IQ_FY-2))</f>
        <v>364.916</v>
      </c>
      <c r="K700" s="17">
        <f>IF(A701=A702,_xll.ciqfunctions.udf.CIQ(A693,"IQ_CAPEX",IQ_FY-3), _xll.ciqfunctions.udf.CIQ(A693, "IQ_CAPEX",IQ_FY-2))</f>
        <v>-21.989000000000001</v>
      </c>
      <c r="L700" s="15">
        <f t="shared" si="184"/>
        <v>11.785170069055866</v>
      </c>
      <c r="M700" s="17">
        <f>IF(A701=A702,_xll.ciqfunctions.udf.CIQ(A693,"IQ_TOTAL_DEBT_ISSUED",IQ_FY-3), _xll.ciqfunctions.udf.CIQ(A693, "IQ_TOTAL_DEBT_ISSUED",IQ_FY-2))</f>
        <v>613</v>
      </c>
      <c r="N700" s="17">
        <f>IF(A701=A702,_xll.ciqfunctions.udf.CIQ(A693,"IQ_TOTAL_DEBT_REPAID",IQ_FY-3), _xll.ciqfunctions.udf.CIQ(A693, "IQ_TOTAL_DEBT_REPAID",IQ_FY-2))</f>
        <v>-599.71600000000001</v>
      </c>
      <c r="O700" s="15">
        <f t="shared" si="185"/>
        <v>0.45652339768329125</v>
      </c>
      <c r="P700" s="15">
        <f t="shared" si="186"/>
        <v>12.241693466739157</v>
      </c>
      <c r="Q700" s="18"/>
      <c r="R700" s="39" t="s">
        <v>31</v>
      </c>
      <c r="S700" s="5">
        <f>IF(NOT(D693&gt;0),FALSE,SLOPE(G693:G703,B693:B703))</f>
        <v>1.7692272727272726</v>
      </c>
      <c r="U700" s="18"/>
      <c r="V700" s="39" t="s">
        <v>31</v>
      </c>
      <c r="W700" s="5">
        <f>IF(NOT(D693&gt;0),FALSE,SLOPE(G693:G703,B693:B703))</f>
        <v>1.7692272727272726</v>
      </c>
      <c r="Y700" s="18"/>
      <c r="Z700" s="39" t="s">
        <v>31</v>
      </c>
      <c r="AA700" s="5">
        <f>IF(NOT(L693&gt;0),FALSE,SLOPE(O693:O703,J693:J703))</f>
        <v>3.8578571546809361E-2</v>
      </c>
    </row>
    <row r="701" spans="1:27">
      <c r="A701" s="19">
        <f>_xll.ciqfunctions.udf.CIQ(A693,"IQ_TOTAL_REV",IQ_FY)</f>
        <v>1513.557</v>
      </c>
      <c r="B701" s="13">
        <v>9</v>
      </c>
      <c r="C701" s="14" t="s">
        <v>32</v>
      </c>
      <c r="D701" s="15" cm="1">
        <f t="array" ref="D701">_xlfn.SINGLE(IF(A701=A702,_xll.ciqfunctions.udf.CIQ(A693,"IQ_TOTAL_REV",IQ_FY-2)/I701, _xll.ciqfunctions.udf.CIQ(A693, "IQ_TOTAL_REV",IQ_FY-1)/I701))</f>
        <v>48.121907936699401</v>
      </c>
      <c r="E701" s="16">
        <f t="shared" si="187"/>
        <v>8.1647645370023031E-2</v>
      </c>
      <c r="F701" s="15">
        <f>IF(A701=A702,_xll.ciqfunctions.udf.CIQ(A693,"IQ_DILUT_EPS_EXCL",IQ_FY-2), _xll.ciqfunctions.udf.CIQ(A693, "IQ_DILUT_EPS_EXCL",IQ_FY-1))</f>
        <v>13.4</v>
      </c>
      <c r="G701" s="15">
        <f>IF(A701=A702,_xll.ciqfunctions.udf.CIQ(A693,"IQ_EBITDA_MARGIN",IQ_FY-2), _xll.ciqfunctions.udf.CIQ(A693, "IQ_EBITDA_MARGIN",IQ_FY-1))</f>
        <v>33.259399999999999</v>
      </c>
      <c r="H701" s="15">
        <f>IF(A701=A702,_xll.ciqfunctions.udf.CIQ(A693,"IQ_TOTAL_DIV_PAID_CF",IQ_FY-2)/-I701, _xll.ciqfunctions.udf.CIQ(A693, "IQ_TOTAL_DIV_PAID_CF",IQ_FY-1)/-I701)</f>
        <v>0</v>
      </c>
      <c r="I701" s="17">
        <f>IF(A701=A702,_xll.ciqfunctions.udf.CIQ(A693,"IQ_TOTAL_OUTSTANDING_FILING_DATE",IQ_FY-2), _xll.ciqfunctions.udf.CIQ(A693, "IQ_TOTAL_OUTSTANDING_FILING_DATE",IQ_FY-1))</f>
        <v>27.358350000000002</v>
      </c>
      <c r="J701" s="17">
        <f>IF(A701=A702,_xll.ciqfunctions.udf.CIQ(A693,"IQ_CASH_OPER",IQ_FY-2), _xll.ciqfunctions.udf.CIQ(A693, "IQ_CASH_OPER",IQ_FY-1))</f>
        <v>423.81700000000001</v>
      </c>
      <c r="K701" s="17">
        <f>IF(A701=A702,_xll.ciqfunctions.udf.CIQ(A693,"IQ_CAPEX",IQ_FY-2), _xll.ciqfunctions.udf.CIQ(A693, "IQ_CAPEX",IQ_FY-1))</f>
        <v>-7.569</v>
      </c>
      <c r="L701" s="15">
        <f t="shared" si="184"/>
        <v>15.214660240840546</v>
      </c>
      <c r="M701" s="17">
        <f>IF(A701=A702,_xll.ciqfunctions.udf.CIQ(A693,"IQ_TOTAL_DEBT_ISSUED",IQ_FY-2), _xll.ciqfunctions.udf.CIQ(A693, "IQ_TOTAL_DEBT_ISSUED",IQ_FY-1))</f>
        <v>682</v>
      </c>
      <c r="N701" s="17">
        <f>IF(A701=A702,_xll.ciqfunctions.udf.CIQ(A693,"IQ_TOTAL_DEBT_REPAID",IQ_FY-2), _xll.ciqfunctions.udf.CIQ(A693, "IQ_TOTAL_DEBT_REPAID",IQ_FY-1))</f>
        <v>-259.17599999999999</v>
      </c>
      <c r="O701" s="15">
        <f t="shared" si="185"/>
        <v>15.455025613752291</v>
      </c>
      <c r="P701" s="15">
        <f t="shared" si="186"/>
        <v>30.669685854592835</v>
      </c>
      <c r="Q701" s="25" t="s">
        <v>33</v>
      </c>
      <c r="R701" s="38" t="s">
        <v>52</v>
      </c>
      <c r="S701" s="4">
        <f>(AVERAGE(O698:O703)/AVERAGE(P698:P703))</f>
        <v>0.37309167549361277</v>
      </c>
      <c r="U701" s="25" t="s">
        <v>54</v>
      </c>
      <c r="V701" s="38" t="s">
        <v>52</v>
      </c>
      <c r="W701" s="4">
        <f>(AVERAGE(O698:O703)/AVERAGE(P698:P703))</f>
        <v>0.37309167549361277</v>
      </c>
      <c r="Y701" s="25" t="s">
        <v>60</v>
      </c>
      <c r="Z701" s="38" t="s">
        <v>52</v>
      </c>
      <c r="AA701" s="4">
        <f>(AVERAGE(O698:O703)/AVERAGE(P698:P703))</f>
        <v>0.37309167549361277</v>
      </c>
    </row>
    <row r="702" spans="1:27">
      <c r="A702" s="19">
        <f>_xll.ciqfunctions.udf.CIQ(A693,"IQ_TOTAL_REV",IQ_LTM)</f>
        <v>1513.557</v>
      </c>
      <c r="B702" s="13">
        <v>10</v>
      </c>
      <c r="C702" s="14" t="s">
        <v>34</v>
      </c>
      <c r="D702" s="15" cm="1">
        <f t="array" ref="D702">_xlfn.SINGLE(IF(A701=A702,_xll.ciqfunctions.udf.CIQ(A693,"IQ_TOTAL_REV",IQ_FY-1)/I702, _xll.ciqfunctions.udf.CIQ(A693, "IQ_TOTAL_REV",IQ_FY)/I702))</f>
        <v>55.144576991482097</v>
      </c>
      <c r="E702" s="16">
        <f t="shared" si="187"/>
        <v>0.14593496716756257</v>
      </c>
      <c r="F702" s="15">
        <f>IF(A701=A702,_xll.ciqfunctions.udf.CIQ(A693,"IQ_DILUT_EPS_EXCL",IQ_FY-1), _xll.ciqfunctions.udf.CIQ(A693, "IQ_DILUT_EPS_EXCL",IQ_FY))</f>
        <v>14.18</v>
      </c>
      <c r="G702" s="15">
        <f>IF(A701=A702,_xll.ciqfunctions.udf.CIQ(A693,"IQ_EBITDA_MARGIN",IQ_FY-1), _xll.ciqfunctions.udf.CIQ(A693, "IQ_EBITDA_MARGIN",IQ_FY))</f>
        <v>40.832799999999999</v>
      </c>
      <c r="H702" s="15">
        <f>IF(A701=A702,_xll.ciqfunctions.udf.CIQ(A693,"IQ_TOTAL_DIV_PAID_CF",IQ_FY-1)/-I702, _xll.ciqfunctions.udf.CIQ(A693, "IQ_TOTAL_DIV_PAID_CF",IQ_FY)/-I702)</f>
        <v>0</v>
      </c>
      <c r="I702" s="17">
        <f>IF(A701=A702,_xll.ciqfunctions.udf.CIQ(A693,"IQ_TOTAL_OUTSTANDING_FILING_DATE",IQ_FY-1), _xll.ciqfunctions.udf.CIQ(A693, "IQ_TOTAL_OUTSTANDING_FILING_DATE",IQ_FY))</f>
        <v>24.975619999999999</v>
      </c>
      <c r="J702" s="17">
        <f>IF(A701=A702,_xll.ciqfunctions.udf.CIQ(A693,"IQ_CASH_OPER",IQ_FY-1), _xll.ciqfunctions.udf.CIQ(A693, "IQ_CASH_OPER",IQ_FY))</f>
        <v>509.45</v>
      </c>
      <c r="K702" s="17">
        <f>IF(A701=A702,_xll.ciqfunctions.udf.CIQ(A693,"IQ_CAPEX",IQ_FY-1), _xll.ciqfunctions.udf.CIQ(A693, "IQ_CAPEX",IQ_FY))</f>
        <v>-6.0289999999999999</v>
      </c>
      <c r="L702" s="15">
        <f t="shared" si="184"/>
        <v>20.156496615499435</v>
      </c>
      <c r="M702" s="17">
        <f>IF(A701=A702,_xll.ciqfunctions.udf.CIQ(A693,"IQ_TOTAL_DEBT_ISSUED",IQ_FY-1), _xll.ciqfunctions.udf.CIQ(A693, "IQ_TOTAL_DEBT_ISSUED",IQ_FY))</f>
        <v>1589</v>
      </c>
      <c r="N702" s="17">
        <f>IF(A701=A702,_xll.ciqfunctions.udf.CIQ(A693,"IQ_TOTAL_DEBT_REPAID",IQ_FY-1), _xll.ciqfunctions.udf.CIQ(A693, "IQ_TOTAL_DEBT_REPAID",IQ_FY))</f>
        <v>-988.25</v>
      </c>
      <c r="O702" s="15">
        <f t="shared" si="185"/>
        <v>24.053456931199307</v>
      </c>
      <c r="P702" s="15">
        <f t="shared" si="186"/>
        <v>44.209953546698742</v>
      </c>
      <c r="Q702" s="25" t="s">
        <v>44</v>
      </c>
      <c r="R702" s="38" t="s">
        <v>35</v>
      </c>
      <c r="S702" s="1">
        <f>_xll.ciqfunctions.udf.CIQ(A693,"IQ_TEV_EBITDA")</f>
        <v>41.834699999999998</v>
      </c>
      <c r="U702" s="25" t="s">
        <v>55</v>
      </c>
      <c r="V702" s="38" t="s">
        <v>53</v>
      </c>
      <c r="W702" s="1">
        <f>V692/(AVERAGE(D698:D703)/_xlfn.STDEV.P(E698:E703))</f>
        <v>0.59247383059736269</v>
      </c>
      <c r="Y702" s="25" t="s">
        <v>57</v>
      </c>
      <c r="Z702" s="38" t="s">
        <v>53</v>
      </c>
      <c r="AA702" s="1">
        <f>Z692/(AVERAGE(D698:D703)/_xlfn.STDEV.P(E698:E703))</f>
        <v>0.59247383059736269</v>
      </c>
    </row>
    <row r="703" spans="1:27">
      <c r="B703" s="13">
        <v>11</v>
      </c>
      <c r="C703" s="20" t="s">
        <v>36</v>
      </c>
      <c r="D703" s="21" cm="1">
        <f t="array" ref="D703">_xlfn.SINGLE(IF(A701=A702,_xll.ciqfunctions.udf.CIQ(A693,"IQ_TOTAL_REV",IQ_FY)/I703, _xll.ciqfunctions.udf.CIQ(A693, "IQ_TOTAL_REV",IQ_LTM)/I703))</f>
        <v>61.243989129854214</v>
      </c>
      <c r="E703" s="22">
        <f t="shared" si="187"/>
        <v>0.11060765121680527</v>
      </c>
      <c r="F703" s="21">
        <f>IF(A701=A702,_xll.ciqfunctions.udf.CIQ(A693,"IQ_DILUT_EPS_EXCL",IQ_FY), _xll.ciqfunctions.udf.CIQ(A693, "IQ_DILUT_EPS_EXCL",IQ_LTM))</f>
        <v>16.93</v>
      </c>
      <c r="G703" s="21">
        <f>IF(A701=A702,_xll.ciqfunctions.udf.CIQ(A693,"IQ_EBITDA_MARGIN",IQ_FY), _xll.ciqfunctions.udf.CIQ(A693, "IQ_EBITDA_MARGIN",IQ_LTM))</f>
        <v>43.277299999999997</v>
      </c>
      <c r="H703" s="21">
        <f>IF(A701=A702,_xll.ciqfunctions.udf.CIQ(A693,"IQ_TOTAL_DIV_PAID_CF",IQ_FY)/-I703, _xll.ciqfunctions.udf.CIQ(A693, "IQ_TOTAL_DIV_PAID_CF",IQ_LTM)/-I703)</f>
        <v>0</v>
      </c>
      <c r="I703" s="23">
        <f>IF(A701=A702,_xll.ciqfunctions.udf.CIQ(A693,"IQ_TOTAL_OUTSTANDING_FILING_DATE",IQ_FY),_xll.ciqfunctions.udf.CIQ(A693,"IQ_sharesoutstanding"))</f>
        <v>24.713560000000001</v>
      </c>
      <c r="J703" s="23">
        <f>IF(A701=A702,_xll.ciqfunctions.udf.CIQ(A693,"IQ_CASH_OPER",IQ_FY), _xll.ciqfunctions.udf.CIQ(A693, "IQ_CASH_OPER",IQ_LTM))</f>
        <v>468.91500000000002</v>
      </c>
      <c r="K703" s="23">
        <f>IF(A701=A702,_xll.ciqfunctions.udf.CIQ(A693,"IQ_CAPEX",IQ_FY), _xll.ciqfunctions.udf.CIQ(A693, "IQ_CAPEX",IQ_LTM))</f>
        <v>-10.363</v>
      </c>
      <c r="L703" s="21">
        <f t="shared" si="184"/>
        <v>18.554672010022028</v>
      </c>
      <c r="M703" s="23">
        <f>IF(A701=A702,_xll.ciqfunctions.udf.CIQ(A693,"IQ_TOTAL_DEBT_ISSUED",IQ_FY), _xll.ciqfunctions.udf.CIQ(A693, "IQ_TOTAL_DEBT_ISSUED",IQ_LTM))</f>
        <v>407</v>
      </c>
      <c r="N703" s="23">
        <f>IF(A701=A702,_xll.ciqfunctions.udf.CIQ(A693,"IQ_TOTAL_DEBT_REPAID",IQ_FY), _xll.ciqfunctions.udf.CIQ(A693, "IQ_TOTAL_DEBT_REPAID",IQ_LTM))</f>
        <v>-402</v>
      </c>
      <c r="O703" s="21">
        <f t="shared" si="185"/>
        <v>0.20231807962915904</v>
      </c>
      <c r="P703" s="21">
        <f t="shared" si="186"/>
        <v>18.756990089651186</v>
      </c>
      <c r="Q703" s="25" t="s">
        <v>45</v>
      </c>
      <c r="S703" s="45"/>
      <c r="U703" s="25"/>
      <c r="W703" s="45"/>
      <c r="Y703" s="25"/>
      <c r="AA703" s="45"/>
    </row>
    <row r="704" spans="1:27">
      <c r="B704" s="24"/>
      <c r="C704" s="25" t="s">
        <v>37</v>
      </c>
      <c r="E704" s="26">
        <f>((D703/D698)^(1/5))-1</f>
        <v>0.12135937305517319</v>
      </c>
      <c r="F704" s="27">
        <f>((F703/F698)^(1/5))-1</f>
        <v>0.33053463745138911</v>
      </c>
      <c r="G704" s="28"/>
      <c r="H704" s="27" t="e">
        <f>((H703/H698)^(1/5))-1</f>
        <v>#DIV/0!</v>
      </c>
      <c r="I704" s="27">
        <f>((I703/I698)^(1/5))-1</f>
        <v>-3.1181868196176632E-2</v>
      </c>
      <c r="J704" s="27"/>
      <c r="K704" s="27"/>
      <c r="L704" s="26">
        <f>((L703/L698)^(1/5))-1</f>
        <v>0.22881647879410827</v>
      </c>
      <c r="M704" s="26"/>
      <c r="N704" s="26"/>
      <c r="O704" s="26"/>
      <c r="P704" s="26">
        <f>((P703/P698)^(1/5))-1</f>
        <v>8.768692229844044E-2</v>
      </c>
      <c r="Q704" s="18"/>
      <c r="R704" s="36"/>
      <c r="S704" s="45"/>
      <c r="U704" s="18"/>
      <c r="V704" s="36"/>
      <c r="W704" s="45"/>
      <c r="Y704" s="18"/>
      <c r="Z704" s="36"/>
      <c r="AA704" s="45"/>
    </row>
    <row r="705" spans="1:27">
      <c r="A705" s="29"/>
      <c r="B705" s="30"/>
      <c r="C705" s="31" t="s">
        <v>38</v>
      </c>
      <c r="D705" s="29"/>
      <c r="E705" s="32">
        <f>((D703/D693)^(1/10))-1</f>
        <v>0.11031946577333618</v>
      </c>
      <c r="F705" s="33">
        <f>((F703/F693)^(1/10))-1</f>
        <v>0.21177092450209867</v>
      </c>
      <c r="G705" s="34"/>
      <c r="H705" s="33">
        <f>((H703/H693)^(1/10))-1</f>
        <v>-1</v>
      </c>
      <c r="I705" s="33">
        <f>((I703/I693)^(1/10))-1</f>
        <v>-3.2998610296655406E-2</v>
      </c>
      <c r="J705" s="33"/>
      <c r="K705" s="33"/>
      <c r="L705" s="32">
        <f>((L703/L693)^(1/10))-1</f>
        <v>0.19069472485690264</v>
      </c>
      <c r="M705" s="32"/>
      <c r="N705" s="32"/>
      <c r="O705" s="32"/>
      <c r="P705" s="32">
        <f>((P703/P693)^(1/10))-1</f>
        <v>0.24189711988936602</v>
      </c>
      <c r="Q705" s="40"/>
      <c r="R705" s="41"/>
      <c r="S705" s="46"/>
      <c r="U705" s="40"/>
      <c r="V705" s="41"/>
      <c r="W705" s="46"/>
      <c r="Y705" s="40"/>
      <c r="Z705" s="41"/>
      <c r="AA705" s="46"/>
    </row>
    <row r="706" spans="1:27">
      <c r="B706" s="24"/>
      <c r="C706" s="25"/>
      <c r="E706" s="26"/>
      <c r="F706" s="27"/>
      <c r="G706" s="28"/>
      <c r="H706" s="27"/>
      <c r="I706" s="27"/>
      <c r="J706" s="27"/>
      <c r="K706" s="27"/>
      <c r="L706" s="26"/>
      <c r="M706" s="17"/>
      <c r="N706" s="17"/>
      <c r="O706" s="17"/>
      <c r="P706" s="35"/>
      <c r="Q706" s="18"/>
      <c r="R706" s="36"/>
    </row>
    <row r="707" spans="1:27">
      <c r="A707" s="9" t="s">
        <v>0</v>
      </c>
      <c r="B707" s="10"/>
      <c r="C707" s="9" t="s">
        <v>1</v>
      </c>
      <c r="D707" s="9" t="s">
        <v>2</v>
      </c>
      <c r="E707" s="9" t="s">
        <v>3</v>
      </c>
      <c r="F707" s="11" t="s">
        <v>4</v>
      </c>
      <c r="G707" s="11" t="s">
        <v>5</v>
      </c>
      <c r="H707" s="9" t="s">
        <v>6</v>
      </c>
      <c r="I707" s="11" t="s">
        <v>7</v>
      </c>
      <c r="J707" s="11" t="s">
        <v>8</v>
      </c>
      <c r="K707" s="11" t="s">
        <v>9</v>
      </c>
      <c r="L707" s="11" t="s">
        <v>10</v>
      </c>
      <c r="M707" s="11" t="s">
        <v>11</v>
      </c>
      <c r="N707" s="11" t="s">
        <v>12</v>
      </c>
      <c r="O707" s="11" t="s">
        <v>13</v>
      </c>
      <c r="P707" s="11" t="s">
        <v>14</v>
      </c>
      <c r="Q707" s="37" t="s">
        <v>15</v>
      </c>
      <c r="R707" s="42">
        <f>_xll.ciqfunctions.udf.CIQ(A708,("IQ_LASTSALEPRICE"))</f>
        <v>268.99349999999998</v>
      </c>
      <c r="S707" s="44"/>
      <c r="U707" s="37" t="s">
        <v>15</v>
      </c>
      <c r="V707" s="42">
        <f>_xll.ciqfunctions.udf.CIQ(A708,("IQ_LASTSALEPRICE"))</f>
        <v>268.99349999999998</v>
      </c>
      <c r="W707" s="44"/>
      <c r="Y707" s="37" t="s">
        <v>15</v>
      </c>
      <c r="Z707" s="42">
        <f>_xll.ciqfunctions.udf.CIQ(A708,("IQ_LASTSALEPRICE"))</f>
        <v>268.99349999999998</v>
      </c>
      <c r="AA707" s="44"/>
    </row>
    <row r="708" spans="1:27">
      <c r="A708" s="12" t="str">
        <f>Analysis!B49</f>
        <v>NasdaqGS:PANW</v>
      </c>
      <c r="B708" s="13">
        <v>1</v>
      </c>
      <c r="C708" s="14" t="s">
        <v>16</v>
      </c>
      <c r="D708" s="15">
        <f>IF(A716=A717,_xll.ciqfunctions.udf.CIQ(A708,"IQ_TOTAL_REV",IQ_FY-10)/I708,_xll.ciqfunctions.udf.CIQ(A708, "IQ_TOTAL_REV",IQ_FY-9)/I708)</f>
        <v>2.5041294903694622</v>
      </c>
      <c r="E708" s="16"/>
      <c r="F708" s="15">
        <f>IF(A716=A717,_xll.ciqfunctions.udf.CIQ(A708,"IQ_DILUT_EPS_EXCL",IQ_FY-10), _xll.ciqfunctions.udf.CIQ(A708, "IQ_DILUT_EPS_EXCL",IQ_FY-9))</f>
        <v>-1.0161500000000001</v>
      </c>
      <c r="G708" s="15">
        <f>IF(A716=A717,_xll.ciqfunctions.udf.CIQ(A708,"IQ_EBITDA_MARGIN",IQ_FY-10), _xll.ciqfunctions.udf.CIQ(A708, "IQ_EBITDA_MARGIN",IQ_FY-9))</f>
        <v>-8.5756999999999994</v>
      </c>
      <c r="H708" s="15">
        <f>IF(A716=A717,_xll.ciqfunctions.udf.CIQ(A708,"IQ_TOTAL_DIV_PAID_CF",IQ_FY-10)/-I708, _xll.ciqfunctions.udf.CIQ(A708, "IQ_TOTAL_DIV_PAID_CF",IQ_FY-9)/-I708)</f>
        <v>0</v>
      </c>
      <c r="I708" s="17">
        <f>IF(A716=A717,_xll.ciqfunctions.udf.CIQ(A708,"IQ_TOTAL_OUTSTANDING_FILING_DATE",IQ_FY-10), _xll.ciqfunctions.udf.CIQ(A708, "IQ_TOTAL_OUTSTANDING_FILING_DATE",IQ_FY-9))</f>
        <v>238.88541000000001</v>
      </c>
      <c r="J708" s="17">
        <f>IF(A716=A717,_xll.ciqfunctions.udf.CIQ(A708,"IQ_CASH_OPER",IQ_FY-10), _xll.ciqfunctions.udf.CIQ(A708, "IQ_CASH_OPER",IQ_FY-9))</f>
        <v>88.4</v>
      </c>
      <c r="K708" s="17">
        <f>IF(A716=A717,_xll.ciqfunctions.udf.CIQ(A708,"IQ_CAPEX",IQ_FY-10), _xll.ciqfunctions.udf.CIQ(A708, "IQ_CAPEX",IQ_FY-9))</f>
        <v>-36.1</v>
      </c>
      <c r="L708" s="15">
        <f t="shared" ref="L708:L718" si="188">(J708+K708)/I708</f>
        <v>0.21893342083972397</v>
      </c>
      <c r="M708" s="17">
        <f>IF(A716=A717,_xll.ciqfunctions.udf.CIQ(A708,"IQ_TOTAL_DEBT_ISSUED",IQ_FY-10), _xll.ciqfunctions.udf.CIQ(A708, "IQ_TOTAL_DEBT_ISSUED",IQ_FY-9))</f>
        <v>560.4</v>
      </c>
      <c r="N708" s="17">
        <f>IF(A716=A717,_xll.ciqfunctions.udf.CIQ(A708,"IQ_TOTAL_DEBT_REPAID",IQ_FY-10), _xll.ciqfunctions.udf.CIQ(A708, "IQ_TOTAL_DEBT_REPAID",IQ_FY-9))</f>
        <v>0</v>
      </c>
      <c r="O708" s="15">
        <f t="shared" ref="O708:O718" si="189">(M708+N708)/I708</f>
        <v>2.3458946278887436</v>
      </c>
      <c r="P708" s="15">
        <f t="shared" ref="P708:P718" si="190">L708+O708</f>
        <v>2.5648280487284674</v>
      </c>
      <c r="W708" s="43"/>
      <c r="AA708" s="43"/>
    </row>
    <row r="709" spans="1:27">
      <c r="A709" s="18" t="str">
        <f>_xll.ciqfunctions.udf.CIQ(A708,"IQ_COMPANY_NAME")</f>
        <v>Palo Alto Networks, Inc.</v>
      </c>
      <c r="B709" s="13">
        <v>2</v>
      </c>
      <c r="C709" s="14" t="s">
        <v>17</v>
      </c>
      <c r="D709" s="15">
        <f>IF(A716=A717,_xll.ciqfunctions.udf.CIQ(A708,"IQ_TOTAL_REV",IQ_FY-9)/I709, _xll.ciqfunctions.udf.CIQ(A708, "IQ_TOTAL_REV",IQ_FY-8)/I709)</f>
        <v>3.6392270800843272</v>
      </c>
      <c r="E709" s="16">
        <f t="shared" ref="E709:E718" si="191">(D709-D708)/D708</f>
        <v>0.45329029272659194</v>
      </c>
      <c r="F709" s="15">
        <f>IF(A716=A717,_xll.ciqfunctions.udf.CIQ(A708,"IQ_DILUT_EPS_EXCL",IQ_FY-9), _xll.ciqfunctions.udf.CIQ(A708, "IQ_DILUT_EPS_EXCL",IQ_FY-8))</f>
        <v>-0.53635999999999995</v>
      </c>
      <c r="G709" s="15">
        <f>IF(A716=A717,_xll.ciqfunctions.udf.CIQ(A708,"IQ_EBITDA_MARGIN",IQ_FY-9), _xll.ciqfunctions.udf.CIQ(A708, "IQ_EBITDA_MARGIN",IQ_FY-8))</f>
        <v>-7.6391999999999998</v>
      </c>
      <c r="H709" s="15">
        <f>IF(A716=A717,_xll.ciqfunctions.udf.CIQ(A708,"IQ_TOTAL_DIV_PAID_CF",IQ_FY-9)/-I709, _xll.ciqfunctions.udf.CIQ(A708, "IQ_TOTAL_DIV_PAID_CF",IQ_FY-8)/-I709)</f>
        <v>0</v>
      </c>
      <c r="I709" s="17">
        <f>IF(A716=A717,_xll.ciqfunctions.udf.CIQ(A708,"IQ_TOTAL_OUTSTANDING_FILING_DATE",IQ_FY-9), _xll.ciqfunctions.udf.CIQ(A708, "IQ_TOTAL_OUTSTANDING_FILING_DATE",IQ_FY-8))</f>
        <v>255.02668</v>
      </c>
      <c r="J709" s="17">
        <f>IF(A716=A717,_xll.ciqfunctions.udf.CIQ(A708,"IQ_CASH_OPER",IQ_FY-9), _xll.ciqfunctions.udf.CIQ(A708, "IQ_CASH_OPER",IQ_FY-8))</f>
        <v>352.8</v>
      </c>
      <c r="K709" s="17">
        <f>IF(A716=A717,_xll.ciqfunctions.udf.CIQ(A708,"IQ_CAPEX",IQ_FY-9), _xll.ciqfunctions.udf.CIQ(A708, "IQ_CAPEX",IQ_FY-8))</f>
        <v>-33.799999999999997</v>
      </c>
      <c r="L709" s="15">
        <f t="shared" si="188"/>
        <v>1.2508495189601339</v>
      </c>
      <c r="M709" s="17">
        <f>IF(A716=A717,_xll.ciqfunctions.udf.CIQ(A708,"IQ_TOTAL_DEBT_ISSUED",IQ_FY-9), _xll.ciqfunctions.udf.CIQ(A708, "IQ_TOTAL_DEBT_ISSUED",IQ_FY-8))</f>
        <v>0</v>
      </c>
      <c r="N709" s="17">
        <f>IF(A716=A717,_xll.ciqfunctions.udf.CIQ(A708,"IQ_TOTAL_DEBT_REPAID",IQ_FY-9), _xll.ciqfunctions.udf.CIQ(A708, "IQ_TOTAL_DEBT_REPAID",IQ_FY-8))</f>
        <v>0</v>
      </c>
      <c r="O709" s="15">
        <f t="shared" si="189"/>
        <v>0</v>
      </c>
      <c r="P709" s="15">
        <f t="shared" si="190"/>
        <v>1.2508495189601339</v>
      </c>
      <c r="Q709" s="25" t="s">
        <v>18</v>
      </c>
      <c r="R709" s="39" t="s">
        <v>19</v>
      </c>
      <c r="S709" s="1">
        <f>R707/((AVERAGE(P713:P718))*(1+E719)^3)</f>
        <v>34.106693397372716</v>
      </c>
      <c r="U709" s="25" t="s">
        <v>48</v>
      </c>
      <c r="V709" s="39" t="s">
        <v>19</v>
      </c>
      <c r="W709" s="1">
        <f>V707/((AVERAGE(P713:P718))*(1+E719)^3)</f>
        <v>34.106693397372716</v>
      </c>
      <c r="Y709" s="25" t="s">
        <v>39</v>
      </c>
      <c r="Z709" s="39" t="s">
        <v>19</v>
      </c>
      <c r="AA709" s="1">
        <f>Z707/((AVERAGE(P713:P718))*(1+E719)^3)</f>
        <v>34.106693397372716</v>
      </c>
    </row>
    <row r="710" spans="1:27">
      <c r="B710" s="13">
        <v>3</v>
      </c>
      <c r="C710" s="14" t="s">
        <v>20</v>
      </c>
      <c r="D710" s="15" cm="1">
        <f t="array" ref="D710">_xlfn.SINGLE(IF(A716=A717,_xll.ciqfunctions.udf.CIQ(A708,"IQ_TOTAL_REV",IQ_FY-8)/I710, _xll.ciqfunctions.udf.CIQ(A708, "IQ_TOTAL_REV",IQ_FY-7)/I710))</f>
        <v>5.0577621385649243</v>
      </c>
      <c r="E710" s="16">
        <f t="shared" si="191"/>
        <v>0.38979020194797165</v>
      </c>
      <c r="F710" s="15">
        <f>IF(A716=A717,_xll.ciqfunctions.udf.CIQ(A708,"IQ_DILUT_EPS_EXCL",IQ_FY-8), _xll.ciqfunctions.udf.CIQ(A708, "IQ_DILUT_EPS_EXCL",IQ_FY-7))</f>
        <v>-0.73746999999999996</v>
      </c>
      <c r="G710" s="15">
        <f>IF(A716=A717,_xll.ciqfunctions.udf.CIQ(A708,"IQ_EBITDA_MARGIN",IQ_FY-8), _xll.ciqfunctions.udf.CIQ(A708, "IQ_EBITDA_MARGIN",IQ_FY-7))</f>
        <v>-8.3061000000000007</v>
      </c>
      <c r="H710" s="15">
        <f>IF(A716=A717,_xll.ciqfunctions.udf.CIQ(A708,"IQ_TOTAL_DIV_PAID_CF",IQ_FY-8)/-I710, _xll.ciqfunctions.udf.CIQ(A708, "IQ_TOTAL_DIV_PAID_CF",IQ_FY-7)/-I710)</f>
        <v>0</v>
      </c>
      <c r="I710" s="17">
        <f>IF(A716=A717,_xll.ciqfunctions.udf.CIQ(A708,"IQ_TOTAL_OUTSTANDING_FILING_DATE",IQ_FY-8), _xll.ciqfunctions.udf.CIQ(A708, "IQ_TOTAL_OUTSTANDING_FILING_DATE",IQ_FY-7))</f>
        <v>272.55137000000002</v>
      </c>
      <c r="J710" s="17">
        <f>IF(A716=A717,_xll.ciqfunctions.udf.CIQ(A708,"IQ_CASH_OPER",IQ_FY-8), _xll.ciqfunctions.udf.CIQ(A708, "IQ_CASH_OPER",IQ_FY-7))</f>
        <v>658.6</v>
      </c>
      <c r="K710" s="17">
        <f>IF(A716=A717,_xll.ciqfunctions.udf.CIQ(A708,"IQ_CAPEX",IQ_FY-8), _xll.ciqfunctions.udf.CIQ(A708, "IQ_CAPEX",IQ_FY-7))</f>
        <v>-72.5</v>
      </c>
      <c r="L710" s="15">
        <f t="shared" si="188"/>
        <v>2.1504203042531027</v>
      </c>
      <c r="M710" s="17">
        <f>IF(A716=A717,_xll.ciqfunctions.udf.CIQ(A708,"IQ_TOTAL_DEBT_ISSUED",IQ_FY-8), _xll.ciqfunctions.udf.CIQ(A708, "IQ_TOTAL_DEBT_ISSUED",IQ_FY-7))</f>
        <v>0</v>
      </c>
      <c r="N710" s="17">
        <f>IF(A716=A717,_xll.ciqfunctions.udf.CIQ(A708,"IQ_TOTAL_DEBT_REPAID",IQ_FY-8), _xll.ciqfunctions.udf.CIQ(A708, "IQ_TOTAL_DEBT_REPAID",IQ_FY-7))</f>
        <v>0</v>
      </c>
      <c r="O710" s="15">
        <f t="shared" si="189"/>
        <v>0</v>
      </c>
      <c r="P710" s="15">
        <f t="shared" si="190"/>
        <v>2.1504203042531027</v>
      </c>
      <c r="Q710" s="25" t="s">
        <v>21</v>
      </c>
      <c r="R710" s="38" t="s">
        <v>49</v>
      </c>
      <c r="S710" s="2">
        <f>(R707*I718)/1000</f>
        <v>84.813650549999991</v>
      </c>
      <c r="U710" s="25" t="s">
        <v>59</v>
      </c>
      <c r="V710" s="38" t="s">
        <v>49</v>
      </c>
      <c r="W710" s="2">
        <f>(V707*I718)/1000</f>
        <v>84.813650549999991</v>
      </c>
      <c r="Y710" s="25" t="s">
        <v>46</v>
      </c>
      <c r="Z710" s="38" t="s">
        <v>49</v>
      </c>
      <c r="AA710" s="2">
        <f>(Z707*I718)/1000</f>
        <v>84.813650549999991</v>
      </c>
    </row>
    <row r="711" spans="1:27">
      <c r="A711" s="18"/>
      <c r="B711" s="13">
        <v>4</v>
      </c>
      <c r="C711" s="14" t="s">
        <v>22</v>
      </c>
      <c r="D711" s="15" cm="1">
        <f t="array" ref="D711">_xlfn.SINGLE(IF(A716=A717,_xll.ciqfunctions.udf.CIQ(A708,"IQ_TOTAL_REV",IQ_FY-7)/I711, _xll.ciqfunctions.udf.CIQ(A708, "IQ_TOTAL_REV",IQ_FY-6)/I711))</f>
        <v>6.3699725497046407</v>
      </c>
      <c r="E711" s="16">
        <f t="shared" si="191"/>
        <v>0.2594448641888959</v>
      </c>
      <c r="F711" s="15">
        <f>IF(A716=A717,_xll.ciqfunctions.udf.CIQ(A708,"IQ_DILUT_EPS_EXCL",IQ_FY-7), _xll.ciqfunctions.udf.CIQ(A708, "IQ_DILUT_EPS_EXCL",IQ_FY-6))</f>
        <v>-0.74687000000000003</v>
      </c>
      <c r="G711" s="15">
        <f>IF(A716=A717,_xll.ciqfunctions.udf.CIQ(A708,"IQ_EBITDA_MARGIN",IQ_FY-7), _xll.ciqfunctions.udf.CIQ(A708, "IQ_EBITDA_MARGIN",IQ_FY-6))</f>
        <v>-4.9169999999999998</v>
      </c>
      <c r="H711" s="15">
        <f>IF(A716=A717,_xll.ciqfunctions.udf.CIQ(A708,"IQ_TOTAL_DIV_PAID_CF",IQ_FY-7)/-I711, _xll.ciqfunctions.udf.CIQ(A708, "IQ_TOTAL_DIV_PAID_CF",IQ_FY-6)/-I711)</f>
        <v>0</v>
      </c>
      <c r="I711" s="17">
        <f>IF(A716=A717,_xll.ciqfunctions.udf.CIQ(A708,"IQ_TOTAL_OUTSTANDING_FILING_DATE",IQ_FY-7), _xll.ciqfunctions.udf.CIQ(A708, "IQ_TOTAL_OUTSTANDING_FILING_DATE",IQ_FY-6))</f>
        <v>275.52708999999999</v>
      </c>
      <c r="J711" s="17">
        <f>IF(A716=A717,_xll.ciqfunctions.udf.CIQ(A708,"IQ_CASH_OPER",IQ_FY-7), _xll.ciqfunctions.udf.CIQ(A708, "IQ_CASH_OPER",IQ_FY-6))</f>
        <v>868.8</v>
      </c>
      <c r="K711" s="17">
        <f>IF(A716=A717,_xll.ciqfunctions.udf.CIQ(A708,"IQ_CAPEX",IQ_FY-7), _xll.ciqfunctions.udf.CIQ(A708, "IQ_CAPEX",IQ_FY-6))</f>
        <v>-163.4</v>
      </c>
      <c r="L711" s="15">
        <f t="shared" si="188"/>
        <v>2.5601838280221374</v>
      </c>
      <c r="M711" s="17">
        <f>IF(A716=A717,_xll.ciqfunctions.udf.CIQ(A708,"IQ_TOTAL_DEBT_ISSUED",IQ_FY-7), _xll.ciqfunctions.udf.CIQ(A708, "IQ_TOTAL_DEBT_ISSUED",IQ_FY-6))</f>
        <v>0</v>
      </c>
      <c r="N711" s="17">
        <f>IF(A716=A717,_xll.ciqfunctions.udf.CIQ(A708,"IQ_TOTAL_DEBT_REPAID",IQ_FY-7), _xll.ciqfunctions.udf.CIQ(A708, "IQ_TOTAL_DEBT_REPAID",IQ_FY-6))</f>
        <v>0</v>
      </c>
      <c r="O711" s="15">
        <f t="shared" si="189"/>
        <v>0</v>
      </c>
      <c r="P711" s="15">
        <f t="shared" si="190"/>
        <v>2.5601838280221374</v>
      </c>
      <c r="Q711" s="25" t="s">
        <v>23</v>
      </c>
      <c r="R711" s="38" t="s">
        <v>24</v>
      </c>
      <c r="S711" s="1" t="e">
        <f>R707/(AVERAGE(H713:H718)*(1+H719)/(0.5-H719))</f>
        <v>#DIV/0!</v>
      </c>
      <c r="U711" s="25" t="s">
        <v>40</v>
      </c>
      <c r="V711" s="38" t="s">
        <v>24</v>
      </c>
      <c r="W711" s="1" t="e">
        <f>V707/(AVERAGE(H713:H718)*(1+H719)/(0.5-H719))</f>
        <v>#DIV/0!</v>
      </c>
      <c r="Y711" s="25" t="s">
        <v>47</v>
      </c>
      <c r="Z711" s="38" t="s">
        <v>24</v>
      </c>
      <c r="AA711" s="1" t="e">
        <f>Z707/(AVERAGE(H713:H718)*(1+H719)/(0.5-H719))</f>
        <v>#DIV/0!</v>
      </c>
    </row>
    <row r="712" spans="1:27">
      <c r="B712" s="13">
        <v>5</v>
      </c>
      <c r="C712" s="14" t="s">
        <v>25</v>
      </c>
      <c r="D712" s="15" cm="1">
        <f t="array" ref="D712">_xlfn.SINGLE(IF(A716=A717,_xll.ciqfunctions.udf.CIQ(A708,"IQ_TOTAL_REV",IQ_FY-6)/I712, _xll.ciqfunctions.udf.CIQ(A708, "IQ_TOTAL_REV",IQ_FY-5)/I712))</f>
        <v>8.077622484553892</v>
      </c>
      <c r="E712" s="16">
        <f t="shared" si="191"/>
        <v>0.26807806808028251</v>
      </c>
      <c r="F712" s="15">
        <f>IF(A716=A717,_xll.ciqfunctions.udf.CIQ(A708,"IQ_DILUT_EPS_EXCL",IQ_FY-6), _xll.ciqfunctions.udf.CIQ(A708, "IQ_DILUT_EPS_EXCL",IQ_FY-5))</f>
        <v>-0.44419999999999998</v>
      </c>
      <c r="G712" s="15">
        <f>IF(A716=A717,_xll.ciqfunctions.udf.CIQ(A708,"IQ_EBITDA_MARGIN",IQ_FY-6), _xll.ciqfunctions.udf.CIQ(A708, "IQ_EBITDA_MARGIN",IQ_FY-5))</f>
        <v>1.1919</v>
      </c>
      <c r="H712" s="15">
        <f>IF(A716=A717,_xll.ciqfunctions.udf.CIQ(A708,"IQ_TOTAL_DIV_PAID_CF",IQ_FY-6)/-I712, _xll.ciqfunctions.udf.CIQ(A708, "IQ_TOTAL_DIV_PAID_CF",IQ_FY-5)/-I712)</f>
        <v>0</v>
      </c>
      <c r="I712" s="17">
        <f>IF(A716=A717,_xll.ciqfunctions.udf.CIQ(A708,"IQ_TOTAL_OUTSTANDING_FILING_DATE",IQ_FY-6), _xll.ciqfunctions.udf.CIQ(A708, "IQ_TOTAL_OUTSTANDING_FILING_DATE",IQ_FY-5))</f>
        <v>281.46895999999998</v>
      </c>
      <c r="J712" s="17">
        <f>IF(A716=A717,_xll.ciqfunctions.udf.CIQ(A708,"IQ_CASH_OPER",IQ_FY-6), _xll.ciqfunctions.udf.CIQ(A708, "IQ_CASH_OPER",IQ_FY-5))</f>
        <v>1038.0999999999999</v>
      </c>
      <c r="K712" s="17">
        <f>IF(A716=A717,_xll.ciqfunctions.udf.CIQ(A708,"IQ_CAPEX",IQ_FY-6), _xll.ciqfunctions.udf.CIQ(A708, "IQ_CAPEX",IQ_FY-5))</f>
        <v>-112</v>
      </c>
      <c r="L712" s="15">
        <f t="shared" si="188"/>
        <v>3.2902384689238913</v>
      </c>
      <c r="M712" s="17">
        <f>IF(A716=A717,_xll.ciqfunctions.udf.CIQ(A708,"IQ_TOTAL_DEBT_ISSUED",IQ_FY-6), _xll.ciqfunctions.udf.CIQ(A708, "IQ_TOTAL_DEBT_ISSUED",IQ_FY-5))</f>
        <v>1682.4</v>
      </c>
      <c r="N712" s="17">
        <f>IF(A716=A717,_xll.ciqfunctions.udf.CIQ(A708,"IQ_TOTAL_DEBT_REPAID",IQ_FY-6), _xll.ciqfunctions.udf.CIQ(A708, "IQ_TOTAL_DEBT_REPAID",IQ_FY-5))</f>
        <v>0</v>
      </c>
      <c r="O712" s="15">
        <f t="shared" si="189"/>
        <v>5.9772132600340733</v>
      </c>
      <c r="P712" s="15">
        <f t="shared" si="190"/>
        <v>9.2674517289579654</v>
      </c>
      <c r="Q712" s="18"/>
      <c r="R712" s="38" t="s">
        <v>50</v>
      </c>
      <c r="S712" s="3">
        <f>I719</f>
        <v>1.6189542875836294E-2</v>
      </c>
      <c r="U712" s="18"/>
      <c r="V712" s="38" t="s">
        <v>50</v>
      </c>
      <c r="W712" s="3">
        <f>I719</f>
        <v>1.6189542875836294E-2</v>
      </c>
      <c r="Y712" s="18"/>
      <c r="Z712" s="38" t="s">
        <v>50</v>
      </c>
      <c r="AA712" s="3">
        <f>I719</f>
        <v>1.6189542875836294E-2</v>
      </c>
    </row>
    <row r="713" spans="1:27">
      <c r="B713" s="13">
        <v>6</v>
      </c>
      <c r="C713" s="14" t="s">
        <v>26</v>
      </c>
      <c r="D713" s="15" cm="1">
        <f t="array" ref="D713">_xlfn.SINGLE(IF(A716=A717,_xll.ciqfunctions.udf.CIQ(A708,"IQ_TOTAL_REV",IQ_FY-5)/I713, _xll.ciqfunctions.udf.CIQ(A708, "IQ_TOTAL_REV",IQ_FY-4)/I713))</f>
        <v>9.9652392001084369</v>
      </c>
      <c r="E713" s="16">
        <f t="shared" si="191"/>
        <v>0.23368469115312876</v>
      </c>
      <c r="F713" s="15">
        <f>IF(A716=A717,_xll.ciqfunctions.udf.CIQ(A708,"IQ_DILUT_EPS_EXCL",IQ_FY-5), _xll.ciqfunctions.udf.CIQ(A708, "IQ_DILUT_EPS_EXCL",IQ_FY-4))</f>
        <v>-0.28888999999999998</v>
      </c>
      <c r="G713" s="15">
        <f>IF(A716=A717,_xll.ciqfunctions.udf.CIQ(A708,"IQ_EBITDA_MARGIN",IQ_FY-5), _xll.ciqfunctions.udf.CIQ(A708, "IQ_EBITDA_MARGIN",IQ_FY-4))</f>
        <v>3.9245999999999999</v>
      </c>
      <c r="H713" s="15">
        <f>IF(A716=A717,_xll.ciqfunctions.udf.CIQ(A708,"IQ_TOTAL_DIV_PAID_CF",IQ_FY-5)/-I713, _xll.ciqfunctions.udf.CIQ(A708, "IQ_TOTAL_DIV_PAID_CF",IQ_FY-4)/-I713)</f>
        <v>0</v>
      </c>
      <c r="I713" s="17">
        <f>IF(A716=A717,_xll.ciqfunctions.udf.CIQ(A708,"IQ_TOTAL_OUTSTANDING_FILING_DATE",IQ_FY-5), _xll.ciqfunctions.udf.CIQ(A708, "IQ_TOTAL_OUTSTANDING_FILING_DATE",IQ_FY-4))</f>
        <v>290.97143999999997</v>
      </c>
      <c r="J713" s="17">
        <f>IF(A716=A717,_xll.ciqfunctions.udf.CIQ(A708,"IQ_CASH_OPER",IQ_FY-5), _xll.ciqfunctions.udf.CIQ(A708, "IQ_CASH_OPER",IQ_FY-4))</f>
        <v>1055.5999999999999</v>
      </c>
      <c r="K713" s="17">
        <f>IF(A716=A717,_xll.ciqfunctions.udf.CIQ(A708,"IQ_CAPEX",IQ_FY-5), _xll.ciqfunctions.udf.CIQ(A708, "IQ_CAPEX",IQ_FY-4))</f>
        <v>-131.19999999999999</v>
      </c>
      <c r="L713" s="15">
        <f t="shared" si="188"/>
        <v>3.1769441014554554</v>
      </c>
      <c r="M713" s="17">
        <f>IF(A716=A717,_xll.ciqfunctions.udf.CIQ(A708,"IQ_TOTAL_DEBT_ISSUED",IQ_FY-5), _xll.ciqfunctions.udf.CIQ(A708, "IQ_TOTAL_DEBT_ISSUED",IQ_FY-4))</f>
        <v>0</v>
      </c>
      <c r="N713" s="17">
        <f>IF(A716=A717,_xll.ciqfunctions.udf.CIQ(A708,"IQ_TOTAL_DEBT_REPAID",IQ_FY-5), _xll.ciqfunctions.udf.CIQ(A708, "IQ_TOTAL_DEBT_REPAID",IQ_FY-4))</f>
        <v>-477.4</v>
      </c>
      <c r="O713" s="15">
        <f t="shared" si="189"/>
        <v>-1.640710854646078</v>
      </c>
      <c r="P713" s="15">
        <f t="shared" si="190"/>
        <v>1.5362332468093773</v>
      </c>
      <c r="Q713" s="25" t="s">
        <v>27</v>
      </c>
      <c r="R713" s="38" t="s">
        <v>51</v>
      </c>
      <c r="S713" s="4">
        <f>AVERAGE(F713:F718)/AVERAGE(D713:D718)</f>
        <v>-7.8477419644147339E-3</v>
      </c>
      <c r="U713" s="25" t="s">
        <v>58</v>
      </c>
      <c r="V713" s="38" t="s">
        <v>51</v>
      </c>
      <c r="W713" s="4">
        <f>AVERAGE(F713:F718)/AVERAGE(D713:D718)</f>
        <v>-7.8477419644147339E-3</v>
      </c>
      <c r="Y713" s="25" t="s">
        <v>56</v>
      </c>
      <c r="Z713" s="38" t="s">
        <v>51</v>
      </c>
      <c r="AA713" s="4">
        <f>AVERAGE(F713:F718)/AVERAGE(D713:D718)</f>
        <v>-7.8477419644147339E-3</v>
      </c>
    </row>
    <row r="714" spans="1:27">
      <c r="A714" s="18"/>
      <c r="B714" s="13">
        <v>7</v>
      </c>
      <c r="C714" s="14" t="s">
        <v>28</v>
      </c>
      <c r="D714" s="15" cm="1">
        <f t="array" ref="D714">_xlfn.SINGLE(IF(A716=A717,_xll.ciqfunctions.udf.CIQ(A708,"IQ_TOTAL_REV",IQ_FY-4)/I714, _xll.ciqfunctions.udf.CIQ(A708, "IQ_TOTAL_REV",IQ_FY-3)/I714))</f>
        <v>11.788881484040461</v>
      </c>
      <c r="E714" s="16">
        <f t="shared" si="191"/>
        <v>0.18300035225568695</v>
      </c>
      <c r="F714" s="15">
        <f>IF(A716=A717,_xll.ciqfunctions.udf.CIQ(A708,"IQ_DILUT_EPS_EXCL",IQ_FY-4), _xll.ciqfunctions.udf.CIQ(A708, "IQ_DILUT_EPS_EXCL",IQ_FY-3))</f>
        <v>-0.92</v>
      </c>
      <c r="G714" s="15">
        <f>IF(A716=A717,_xll.ciqfunctions.udf.CIQ(A708,"IQ_EBITDA_MARGIN",IQ_FY-4), _xll.ciqfunctions.udf.CIQ(A708, "IQ_EBITDA_MARGIN",IQ_FY-3))</f>
        <v>-0.1232</v>
      </c>
      <c r="H714" s="15">
        <f>IF(A716=A717,_xll.ciqfunctions.udf.CIQ(A708,"IQ_TOTAL_DIV_PAID_CF",IQ_FY-4)/-I714, _xll.ciqfunctions.udf.CIQ(A708, "IQ_TOTAL_DIV_PAID_CF",IQ_FY-3)/-I714)</f>
        <v>0</v>
      </c>
      <c r="I714" s="17">
        <f>IF(A716=A717,_xll.ciqfunctions.udf.CIQ(A708,"IQ_TOTAL_OUTSTANDING_FILING_DATE",IQ_FY-4), _xll.ciqfunctions.udf.CIQ(A708, "IQ_TOTAL_OUTSTANDING_FILING_DATE",IQ_FY-3))</f>
        <v>289.11988000000002</v>
      </c>
      <c r="J714" s="17">
        <f>IF(A716=A717,_xll.ciqfunctions.udf.CIQ(A708,"IQ_CASH_OPER",IQ_FY-4), _xll.ciqfunctions.udf.CIQ(A708, "IQ_CASH_OPER",IQ_FY-3))</f>
        <v>1035.7</v>
      </c>
      <c r="K714" s="17">
        <f>IF(A716=A717,_xll.ciqfunctions.udf.CIQ(A708,"IQ_CAPEX",IQ_FY-4), _xll.ciqfunctions.udf.CIQ(A708, "IQ_CAPEX",IQ_FY-3))</f>
        <v>-214.4</v>
      </c>
      <c r="L714" s="15">
        <f t="shared" si="188"/>
        <v>2.8406901663074846</v>
      </c>
      <c r="M714" s="17">
        <f>IF(A716=A717,_xll.ciqfunctions.udf.CIQ(A708,"IQ_TOTAL_DEBT_ISSUED",IQ_FY-4), _xll.ciqfunctions.udf.CIQ(A708, "IQ_TOTAL_DEBT_ISSUED",IQ_FY-3))</f>
        <v>1979.1</v>
      </c>
      <c r="N714" s="17">
        <f>IF(A716=A717,_xll.ciqfunctions.udf.CIQ(A708,"IQ_TOTAL_DEBT_REPAID",IQ_FY-4), _xll.ciqfunctions.udf.CIQ(A708, "IQ_TOTAL_DEBT_REPAID",IQ_FY-3))</f>
        <v>0</v>
      </c>
      <c r="O714" s="15">
        <f t="shared" si="189"/>
        <v>6.8452574067200072</v>
      </c>
      <c r="P714" s="15">
        <f t="shared" si="190"/>
        <v>9.6859475730274909</v>
      </c>
      <c r="Q714" s="18"/>
      <c r="R714" s="38" t="s">
        <v>29</v>
      </c>
      <c r="S714" s="4">
        <f>(AVERAGE(P713:P718)/_xlfn.STDEV.P(P713:P718))/(IF(A716=A717,(_xlfn.SINGLE(_xll.ciqfunctions.udf.CIQ(A708,"IQ_total_assets",IQ_FY)) - _xlfn.SINGLE(_xll.ciqfunctions.udf.CIQ(A708,"iq_gw_intan", IQ_FY)))/I718, (_xlfn.SINGLE(_xll.ciqfunctions.udf.CIQ(A708, "IQ_total_assets",IQ_LTM))-_xlfn.SINGLE(_xll.ciqfunctions.udf.CIQ(A708,"iq_gw_intan",IQ_LTM)))/I718))</f>
        <v>5.0424088693226038E-2</v>
      </c>
      <c r="U714" s="18"/>
      <c r="V714" s="38" t="s">
        <v>29</v>
      </c>
      <c r="W714" s="4">
        <f>(AVERAGE(P713:P718)/_xlfn.STDEV.P(P713:P718))/(IF(A716=A717,(_xlfn.SINGLE(_xll.ciqfunctions.udf.CIQ(A708,"IQ_total_assets",IQ_FY)) - _xlfn.SINGLE(_xll.ciqfunctions.udf.CIQ(A708,"iq_gw_intan", IQ_FY)))/I718, (_xlfn.SINGLE(_xll.ciqfunctions.udf.CIQ(A708, "IQ_total_assets",IQ_LTM))-_xlfn.SINGLE(_xll.ciqfunctions.udf.CIQ(A708,"iq_gw_intan",IQ_LTM)))/I718))</f>
        <v>5.0424088693226038E-2</v>
      </c>
      <c r="Y714" s="18"/>
      <c r="Z714" s="38" t="s">
        <v>29</v>
      </c>
      <c r="AA714" s="4">
        <f>(AVERAGE(P713:P718)/_xlfn.STDEV.P(P713:P718))/(IF(A716=A717,(_xlfn.SINGLE(_xll.ciqfunctions.udf.CIQ(A708,"IQ_total_assets",IQ_FY)) - _xlfn.SINGLE(_xll.ciqfunctions.udf.CIQ(A708,"iq_gw_intan", IQ_FY)))/I718, (_xlfn.SINGLE(_xll.ciqfunctions.udf.CIQ(A708, "IQ_total_assets",IQ_LTM))-_xlfn.SINGLE(_xll.ciqfunctions.udf.CIQ(A708,"iq_gw_intan",IQ_LTM)))/I718))</f>
        <v>5.0424088693226038E-2</v>
      </c>
    </row>
    <row r="715" spans="1:27">
      <c r="A715" s="18"/>
      <c r="B715" s="13">
        <v>8</v>
      </c>
      <c r="C715" s="14" t="s">
        <v>30</v>
      </c>
      <c r="D715" s="15" cm="1">
        <f t="array" ref="D715">_xlfn.SINGLE(IF(A716=A717,_xll.ciqfunctions.udf.CIQ(A708,"IQ_TOTAL_REV",IQ_FY-3)/I715, _xll.ciqfunctions.udf.CIQ(A708, "IQ_TOTAL_REV",IQ_FY-2)/I715))</f>
        <v>14.564794256240043</v>
      </c>
      <c r="E715" s="16">
        <f t="shared" si="191"/>
        <v>0.23546871481892109</v>
      </c>
      <c r="F715" s="15">
        <f>IF(A716=A717,_xll.ciqfunctions.udf.CIQ(A708,"IQ_DILUT_EPS_EXCL",IQ_FY-3), _xll.ciqfunctions.udf.CIQ(A708, "IQ_DILUT_EPS_EXCL",IQ_FY-2))</f>
        <v>-1.73</v>
      </c>
      <c r="G715" s="15">
        <f>IF(A716=A717,_xll.ciqfunctions.udf.CIQ(A708,"IQ_EBITDA_MARGIN",IQ_FY-3), _xll.ciqfunctions.udf.CIQ(A708, "IQ_EBITDA_MARGIN",IQ_FY-2))</f>
        <v>-2.1497999999999999</v>
      </c>
      <c r="H715" s="15">
        <f>IF(A716=A717,_xll.ciqfunctions.udf.CIQ(A708,"IQ_TOTAL_DIV_PAID_CF",IQ_FY-3)/-I715, _xll.ciqfunctions.udf.CIQ(A708, "IQ_TOTAL_DIV_PAID_CF",IQ_FY-2)/-I715)</f>
        <v>0</v>
      </c>
      <c r="I715" s="17">
        <f>IF(A716=A717,_xll.ciqfunctions.udf.CIQ(A708,"IQ_TOTAL_OUTSTANDING_FILING_DATE",IQ_FY-3), _xll.ciqfunctions.udf.CIQ(A708, "IQ_TOTAL_OUTSTANDING_FILING_DATE",IQ_FY-2))</f>
        <v>292.21834000000001</v>
      </c>
      <c r="J715" s="17">
        <f>IF(A716=A717,_xll.ciqfunctions.udf.CIQ(A708,"IQ_CASH_OPER",IQ_FY-3), _xll.ciqfunctions.udf.CIQ(A708, "IQ_CASH_OPER",IQ_FY-2))</f>
        <v>1503</v>
      </c>
      <c r="K715" s="17">
        <f>IF(A716=A717,_xll.ciqfunctions.udf.CIQ(A708,"IQ_CAPEX",IQ_FY-3), _xll.ciqfunctions.udf.CIQ(A708, "IQ_CAPEX",IQ_FY-2))</f>
        <v>-116</v>
      </c>
      <c r="L715" s="15">
        <f t="shared" si="188"/>
        <v>4.7464508901118254</v>
      </c>
      <c r="M715" s="17">
        <f>IF(A716=A717,_xll.ciqfunctions.udf.CIQ(A708,"IQ_TOTAL_DEBT_ISSUED",IQ_FY-3), _xll.ciqfunctions.udf.CIQ(A708, "IQ_TOTAL_DEBT_ISSUED",IQ_FY-2))</f>
        <v>0</v>
      </c>
      <c r="N715" s="17">
        <f>IF(A716=A717,_xll.ciqfunctions.udf.CIQ(A708,"IQ_TOTAL_DEBT_REPAID",IQ_FY-3), _xll.ciqfunctions.udf.CIQ(A708, "IQ_TOTAL_DEBT_REPAID",IQ_FY-2))</f>
        <v>-0.9</v>
      </c>
      <c r="O715" s="15">
        <f t="shared" si="189"/>
        <v>-3.0798888255952725E-3</v>
      </c>
      <c r="P715" s="15">
        <f t="shared" si="190"/>
        <v>4.7433710012862305</v>
      </c>
      <c r="Q715" s="18"/>
      <c r="R715" s="39" t="s">
        <v>31</v>
      </c>
      <c r="S715" s="5">
        <f>IF(NOT(D708&gt;0),FALSE,SLOPE(G708:G718,B708:B718))</f>
        <v>1.7534936363636364</v>
      </c>
      <c r="U715" s="18"/>
      <c r="V715" s="39" t="s">
        <v>31</v>
      </c>
      <c r="W715" s="5">
        <f>IF(NOT(D708&gt;0),FALSE,SLOPE(G708:G718,B708:B718))</f>
        <v>1.7534936363636364</v>
      </c>
      <c r="Y715" s="18"/>
      <c r="Z715" s="39" t="s">
        <v>31</v>
      </c>
      <c r="AA715" s="5">
        <f>IF(NOT(L708&gt;0),FALSE,SLOPE(O708:O718,J708:J718))</f>
        <v>-2.6396777289165968E-3</v>
      </c>
    </row>
    <row r="716" spans="1:27">
      <c r="A716" s="19">
        <f>_xll.ciqfunctions.udf.CIQ(A708,"IQ_TOTAL_REV",IQ_FY)</f>
        <v>6892.7</v>
      </c>
      <c r="B716" s="13">
        <v>9</v>
      </c>
      <c r="C716" s="14" t="s">
        <v>32</v>
      </c>
      <c r="D716" s="15" cm="1">
        <f t="array" ref="D716">_xlfn.SINGLE(IF(A716=A717,_xll.ciqfunctions.udf.CIQ(A708,"IQ_TOTAL_REV",IQ_FY-2)/I716, _xll.ciqfunctions.udf.CIQ(A708, "IQ_TOTAL_REV",IQ_FY-1)/I716))</f>
        <v>18.386517654382327</v>
      </c>
      <c r="E716" s="16">
        <f t="shared" si="191"/>
        <v>0.26239460241636647</v>
      </c>
      <c r="F716" s="15">
        <f>IF(A716=A717,_xll.ciqfunctions.udf.CIQ(A708,"IQ_DILUT_EPS_EXCL",IQ_FY-2), _xll.ciqfunctions.udf.CIQ(A708, "IQ_DILUT_EPS_EXCL",IQ_FY-1))</f>
        <v>-0.90325</v>
      </c>
      <c r="G716" s="15">
        <f>IF(A716=A717,_xll.ciqfunctions.udf.CIQ(A708,"IQ_EBITDA_MARGIN",IQ_FY-2), _xll.ciqfunctions.udf.CIQ(A708, "IQ_EBITDA_MARGIN",IQ_FY-1))</f>
        <v>0.57069999999999999</v>
      </c>
      <c r="H716" s="15">
        <f>IF(A716=A717,_xll.ciqfunctions.udf.CIQ(A708,"IQ_TOTAL_DIV_PAID_CF",IQ_FY-2)/-I716, _xll.ciqfunctions.udf.CIQ(A708, "IQ_TOTAL_DIV_PAID_CF",IQ_FY-1)/-I716)</f>
        <v>0</v>
      </c>
      <c r="I716" s="17">
        <f>IF(A716=A717,_xll.ciqfunctions.udf.CIQ(A708,"IQ_TOTAL_OUTSTANDING_FILING_DATE",IQ_FY-2), _xll.ciqfunctions.udf.CIQ(A708, "IQ_TOTAL_OUTSTANDING_FILING_DATE",IQ_FY-1))</f>
        <v>299.21381000000002</v>
      </c>
      <c r="J716" s="17">
        <f>IF(A716=A717,_xll.ciqfunctions.udf.CIQ(A708,"IQ_CASH_OPER",IQ_FY-2), _xll.ciqfunctions.udf.CIQ(A708, "IQ_CASH_OPER",IQ_FY-1))</f>
        <v>1984.7</v>
      </c>
      <c r="K716" s="17">
        <f>IF(A716=A717,_xll.ciqfunctions.udf.CIQ(A708,"IQ_CAPEX",IQ_FY-2), _xll.ciqfunctions.udf.CIQ(A708, "IQ_CAPEX",IQ_FY-1))</f>
        <v>-192.8</v>
      </c>
      <c r="L716" s="15">
        <f t="shared" si="188"/>
        <v>5.9886941715691533</v>
      </c>
      <c r="M716" s="17">
        <f>IF(A716=A717,_xll.ciqfunctions.udf.CIQ(A708,"IQ_TOTAL_DEBT_ISSUED",IQ_FY-2), _xll.ciqfunctions.udf.CIQ(A708, "IQ_TOTAL_DEBT_ISSUED",IQ_FY-1))</f>
        <v>0</v>
      </c>
      <c r="N716" s="17">
        <f>IF(A716=A717,_xll.ciqfunctions.udf.CIQ(A708,"IQ_TOTAL_DEBT_REPAID",IQ_FY-2), _xll.ciqfunctions.udf.CIQ(A708, "IQ_TOTAL_DEBT_REPAID",IQ_FY-1))</f>
        <v>-0.6</v>
      </c>
      <c r="O716" s="15">
        <f t="shared" si="189"/>
        <v>-2.0052550381949282E-3</v>
      </c>
      <c r="P716" s="15">
        <f t="shared" si="190"/>
        <v>5.9866889165309587</v>
      </c>
      <c r="Q716" s="25" t="s">
        <v>33</v>
      </c>
      <c r="R716" s="38" t="s">
        <v>52</v>
      </c>
      <c r="S716" s="4">
        <f>(AVERAGE(O713:O718)/AVERAGE(P713:P718))</f>
        <v>-0.20155354710534851</v>
      </c>
      <c r="U716" s="25" t="s">
        <v>54</v>
      </c>
      <c r="V716" s="38" t="s">
        <v>52</v>
      </c>
      <c r="W716" s="4">
        <f>(AVERAGE(O713:O718)/AVERAGE(P713:P718))</f>
        <v>-0.20155354710534851</v>
      </c>
      <c r="Y716" s="25" t="s">
        <v>60</v>
      </c>
      <c r="Z716" s="38" t="s">
        <v>52</v>
      </c>
      <c r="AA716" s="4">
        <f>(AVERAGE(O713:O718)/AVERAGE(P713:P718))</f>
        <v>-0.20155354710534851</v>
      </c>
    </row>
    <row r="717" spans="1:27">
      <c r="A717" s="19">
        <f>_xll.ciqfunctions.udf.CIQ(A708,"IQ_TOTAL_REV",IQ_LTM)</f>
        <v>7207.4</v>
      </c>
      <c r="B717" s="13">
        <v>10</v>
      </c>
      <c r="C717" s="14" t="s">
        <v>34</v>
      </c>
      <c r="D717" s="15" cm="1">
        <f t="array" ref="D717">_xlfn.SINGLE(IF(A716=A717,_xll.ciqfunctions.udf.CIQ(A708,"IQ_TOTAL_REV",IQ_FY-1)/I717, _xll.ciqfunctions.udf.CIQ(A708, "IQ_TOTAL_REV",IQ_FY)/I717))</f>
        <v>22.335776452342326</v>
      </c>
      <c r="E717" s="16">
        <f t="shared" si="191"/>
        <v>0.21479101547098639</v>
      </c>
      <c r="F717" s="15">
        <f>IF(A716=A717,_xll.ciqfunctions.udf.CIQ(A708,"IQ_DILUT_EPS_EXCL",IQ_FY-1), _xll.ciqfunctions.udf.CIQ(A708, "IQ_DILUT_EPS_EXCL",IQ_FY))</f>
        <v>1.28</v>
      </c>
      <c r="G717" s="15">
        <f>IF(A716=A717,_xll.ciqfunctions.udf.CIQ(A708,"IQ_EBITDA_MARGIN",IQ_FY-1), _xll.ciqfunctions.udf.CIQ(A708, "IQ_EBITDA_MARGIN",IQ_FY))</f>
        <v>8.5596999999999994</v>
      </c>
      <c r="H717" s="15">
        <f>IF(A716=A717,_xll.ciqfunctions.udf.CIQ(A708,"IQ_TOTAL_DIV_PAID_CF",IQ_FY-1)/-I717, _xll.ciqfunctions.udf.CIQ(A708, "IQ_TOTAL_DIV_PAID_CF",IQ_FY)/-I717)</f>
        <v>0</v>
      </c>
      <c r="I717" s="17">
        <f>IF(A716=A717,_xll.ciqfunctions.udf.CIQ(A708,"IQ_TOTAL_OUTSTANDING_FILING_DATE",IQ_FY-1), _xll.ciqfunctions.udf.CIQ(A708, "IQ_TOTAL_OUTSTANDING_FILING_DATE",IQ_FY))</f>
        <v>308.59460000000001</v>
      </c>
      <c r="J717" s="17">
        <f>IF(A716=A717,_xll.ciqfunctions.udf.CIQ(A708,"IQ_CASH_OPER",IQ_FY-1), _xll.ciqfunctions.udf.CIQ(A708, "IQ_CASH_OPER",IQ_FY))</f>
        <v>2777.5</v>
      </c>
      <c r="K717" s="17">
        <f>IF(A716=A717,_xll.ciqfunctions.udf.CIQ(A708,"IQ_CAPEX",IQ_FY-1), _xll.ciqfunctions.udf.CIQ(A708, "IQ_CAPEX",IQ_FY))</f>
        <v>-146.30000000000001</v>
      </c>
      <c r="L717" s="15">
        <f t="shared" si="188"/>
        <v>8.5263967677982695</v>
      </c>
      <c r="M717" s="17">
        <f>IF(A716=A717,_xll.ciqfunctions.udf.CIQ(A708,"IQ_TOTAL_DEBT_ISSUED",IQ_FY-1), _xll.ciqfunctions.udf.CIQ(A708, "IQ_TOTAL_DEBT_ISSUED",IQ_FY))</f>
        <v>0</v>
      </c>
      <c r="N717" s="17">
        <f>IF(A716=A717,_xll.ciqfunctions.udf.CIQ(A708,"IQ_TOTAL_DEBT_REPAID",IQ_FY-1), _xll.ciqfunctions.udf.CIQ(A708, "IQ_TOTAL_DEBT_REPAID",IQ_FY))</f>
        <v>-1692</v>
      </c>
      <c r="O717" s="15">
        <f t="shared" si="189"/>
        <v>-5.4829216065349167</v>
      </c>
      <c r="P717" s="15">
        <f t="shared" si="190"/>
        <v>3.0434751612633528</v>
      </c>
      <c r="Q717" s="25" t="s">
        <v>44</v>
      </c>
      <c r="R717" s="38" t="s">
        <v>35</v>
      </c>
      <c r="S717" s="1">
        <f>_xll.ciqfunctions.udf.CIQ(A708,"IQ_TEV_EBITDA")</f>
        <v>93.937759999999997</v>
      </c>
      <c r="U717" s="25" t="s">
        <v>55</v>
      </c>
      <c r="V717" s="38" t="s">
        <v>53</v>
      </c>
      <c r="W717" s="1">
        <f>V707/(AVERAGE(D713:D718)/_xlfn.STDEV.P(E713:E718))</f>
        <v>1.2789658634268295</v>
      </c>
      <c r="Y717" s="25" t="s">
        <v>57</v>
      </c>
      <c r="Z717" s="38" t="s">
        <v>53</v>
      </c>
      <c r="AA717" s="1">
        <f>Z707/(AVERAGE(D713:D718)/_xlfn.STDEV.P(E713:E718))</f>
        <v>1.2789658634268295</v>
      </c>
    </row>
    <row r="718" spans="1:27">
      <c r="B718" s="13">
        <v>11</v>
      </c>
      <c r="C718" s="20" t="s">
        <v>36</v>
      </c>
      <c r="D718" s="21" cm="1">
        <f t="array" ref="D718">_xlfn.SINGLE(IF(A716=A717,_xll.ciqfunctions.udf.CIQ(A708,"IQ_TOTAL_REV",IQ_FY)/I718, _xll.ciqfunctions.udf.CIQ(A708, "IQ_TOTAL_REV",IQ_LTM)/I718))</f>
        <v>22.858864573422135</v>
      </c>
      <c r="E718" s="22">
        <f t="shared" si="191"/>
        <v>2.3419294251799033E-2</v>
      </c>
      <c r="F718" s="21">
        <f>IF(A716=A717,_xll.ciqfunctions.udf.CIQ(A708,"IQ_DILUT_EPS_EXCL",IQ_FY), _xll.ciqfunctions.udf.CIQ(A708, "IQ_DILUT_EPS_EXCL",IQ_LTM))</f>
        <v>1.7781499999999999</v>
      </c>
      <c r="G718" s="21">
        <f>IF(A716=A717,_xll.ciqfunctions.udf.CIQ(A708,"IQ_EBITDA_MARGIN",IQ_FY), _xll.ciqfunctions.udf.CIQ(A708, "IQ_EBITDA_MARGIN",IQ_LTM))</f>
        <v>10.8721</v>
      </c>
      <c r="H718" s="21">
        <f>IF(A716=A717,_xll.ciqfunctions.udf.CIQ(A708,"IQ_TOTAL_DIV_PAID_CF",IQ_FY)/-I718, _xll.ciqfunctions.udf.CIQ(A708, "IQ_TOTAL_DIV_PAID_CF",IQ_LTM)/-I718)</f>
        <v>0</v>
      </c>
      <c r="I718" s="23">
        <f>IF(A716=A717,_xll.ciqfunctions.udf.CIQ(A708,"IQ_TOTAL_OUTSTANDING_FILING_DATE",IQ_FY),_xll.ciqfunctions.udf.CIQ(A708,"IQ_sharesoutstanding"))</f>
        <v>315.3</v>
      </c>
      <c r="J718" s="23">
        <f>IF(A716=A717,_xll.ciqfunctions.udf.CIQ(A708,"IQ_CASH_OPER",IQ_FY), _xll.ciqfunctions.udf.CIQ(A708, "IQ_CASH_OPER",IQ_LTM))</f>
        <v>3066.8</v>
      </c>
      <c r="K718" s="23">
        <f>IF(A716=A717,_xll.ciqfunctions.udf.CIQ(A708,"IQ_CAPEX",IQ_FY), _xll.ciqfunctions.udf.CIQ(A708, "IQ_CAPEX",IQ_LTM))</f>
        <v>-143.5</v>
      </c>
      <c r="L718" s="21">
        <f t="shared" si="188"/>
        <v>9.2714874722486531</v>
      </c>
      <c r="M718" s="23">
        <f>IF(A716=A717,_xll.ciqfunctions.udf.CIQ(A708,"IQ_TOTAL_DEBT_ISSUED",IQ_FY), _xll.ciqfunctions.udf.CIQ(A708, "IQ_TOTAL_DEBT_ISSUED",IQ_LTM))</f>
        <v>0</v>
      </c>
      <c r="N718" s="23">
        <f>IF(A716=A717,_xll.ciqfunctions.udf.CIQ(A708,"IQ_TOTAL_DEBT_REPAID",IQ_FY), _xll.ciqfunctions.udf.CIQ(A708, "IQ_TOTAL_DEBT_REPAID",IQ_LTM))</f>
        <v>-1738</v>
      </c>
      <c r="O718" s="21">
        <f t="shared" si="189"/>
        <v>-5.5122105930859497</v>
      </c>
      <c r="P718" s="21">
        <f t="shared" si="190"/>
        <v>3.7592768791627034</v>
      </c>
      <c r="Q718" s="25" t="s">
        <v>45</v>
      </c>
      <c r="S718" s="45"/>
      <c r="U718" s="25"/>
      <c r="W718" s="45"/>
      <c r="Y718" s="25"/>
      <c r="AA718" s="45"/>
    </row>
    <row r="719" spans="1:27">
      <c r="B719" s="24"/>
      <c r="C719" s="25" t="s">
        <v>37</v>
      </c>
      <c r="E719" s="26">
        <f>((D718/D713)^(1/5))-1</f>
        <v>0.18062883341511715</v>
      </c>
      <c r="F719" s="27">
        <f>((F718/F713)^(1/5))-1</f>
        <v>-2.4382923715679912</v>
      </c>
      <c r="G719" s="28"/>
      <c r="H719" s="27" t="e">
        <f>((H718/H713)^(1/5))-1</f>
        <v>#DIV/0!</v>
      </c>
      <c r="I719" s="27">
        <f>((I718/I713)^(1/5))-1</f>
        <v>1.6189542875836294E-2</v>
      </c>
      <c r="J719" s="27"/>
      <c r="K719" s="27"/>
      <c r="L719" s="26">
        <f>((L718/L713)^(1/5))-1</f>
        <v>0.23887636734083961</v>
      </c>
      <c r="M719" s="26"/>
      <c r="N719" s="26"/>
      <c r="O719" s="26"/>
      <c r="P719" s="26">
        <f>((P718/P713)^(1/5))-1</f>
        <v>0.19599518379036551</v>
      </c>
      <c r="Q719" s="18"/>
      <c r="R719" s="36"/>
      <c r="S719" s="45"/>
      <c r="U719" s="18"/>
      <c r="V719" s="36"/>
      <c r="W719" s="45"/>
      <c r="Y719" s="18"/>
      <c r="Z719" s="36"/>
      <c r="AA719" s="45"/>
    </row>
    <row r="720" spans="1:27">
      <c r="A720" s="29"/>
      <c r="B720" s="30"/>
      <c r="C720" s="31" t="s">
        <v>38</v>
      </c>
      <c r="D720" s="29"/>
      <c r="E720" s="32">
        <f>((D718/D708)^(1/10))-1</f>
        <v>0.24749779650358428</v>
      </c>
      <c r="F720" s="33" t="e">
        <f>((F718/F708)^(1/10))-1</f>
        <v>#NUM!</v>
      </c>
      <c r="G720" s="34"/>
      <c r="H720" s="33" t="e">
        <f>((H718/H708)^(1/10))-1</f>
        <v>#DIV/0!</v>
      </c>
      <c r="I720" s="33">
        <f>((I718/I708)^(1/10))-1</f>
        <v>2.814279041214407E-2</v>
      </c>
      <c r="J720" s="33"/>
      <c r="K720" s="33"/>
      <c r="L720" s="32">
        <f>((L718/L708)^(1/10))-1</f>
        <v>0.45439956265917081</v>
      </c>
      <c r="M720" s="32"/>
      <c r="N720" s="32"/>
      <c r="O720" s="32"/>
      <c r="P720" s="32">
        <f>((P718/P708)^(1/10))-1</f>
        <v>3.8973823713943423E-2</v>
      </c>
      <c r="Q720" s="40"/>
      <c r="R720" s="41"/>
      <c r="S720" s="46"/>
      <c r="U720" s="40"/>
      <c r="V720" s="41"/>
      <c r="W720" s="46"/>
      <c r="Y720" s="40"/>
      <c r="Z720" s="41"/>
      <c r="AA720" s="46"/>
    </row>
    <row r="721" spans="1:27">
      <c r="B721" s="24"/>
      <c r="C721" s="25"/>
      <c r="E721" s="26"/>
      <c r="F721" s="27"/>
      <c r="G721" s="28"/>
      <c r="H721" s="27"/>
      <c r="I721" s="27"/>
      <c r="J721" s="27"/>
      <c r="K721" s="27"/>
      <c r="L721" s="26"/>
      <c r="M721" s="17"/>
      <c r="N721" s="17"/>
      <c r="O721" s="17"/>
      <c r="P721" s="35"/>
      <c r="Q721" s="18"/>
      <c r="R721" s="36"/>
    </row>
    <row r="722" spans="1:27">
      <c r="A722" s="9" t="s">
        <v>0</v>
      </c>
      <c r="B722" s="10"/>
      <c r="C722" s="9" t="s">
        <v>1</v>
      </c>
      <c r="D722" s="9" t="s">
        <v>2</v>
      </c>
      <c r="E722" s="9" t="s">
        <v>3</v>
      </c>
      <c r="F722" s="11" t="s">
        <v>4</v>
      </c>
      <c r="G722" s="11" t="s">
        <v>5</v>
      </c>
      <c r="H722" s="9" t="s">
        <v>6</v>
      </c>
      <c r="I722" s="11" t="s">
        <v>7</v>
      </c>
      <c r="J722" s="11" t="s">
        <v>8</v>
      </c>
      <c r="K722" s="11" t="s">
        <v>9</v>
      </c>
      <c r="L722" s="11" t="s">
        <v>10</v>
      </c>
      <c r="M722" s="11" t="s">
        <v>11</v>
      </c>
      <c r="N722" s="11" t="s">
        <v>12</v>
      </c>
      <c r="O722" s="11" t="s">
        <v>13</v>
      </c>
      <c r="P722" s="11" t="s">
        <v>14</v>
      </c>
      <c r="Q722" s="37" t="s">
        <v>15</v>
      </c>
      <c r="R722" s="42">
        <f>_xll.ciqfunctions.udf.CIQ(A723,("IQ_LASTSALEPRICE"))</f>
        <v>298.87</v>
      </c>
      <c r="S722" s="44"/>
      <c r="U722" s="37" t="s">
        <v>15</v>
      </c>
      <c r="V722" s="42">
        <f>_xll.ciqfunctions.udf.CIQ(A723,("IQ_LASTSALEPRICE"))</f>
        <v>298.87</v>
      </c>
      <c r="W722" s="44"/>
      <c r="Y722" s="37" t="s">
        <v>15</v>
      </c>
      <c r="Z722" s="42">
        <f>_xll.ciqfunctions.udf.CIQ(A723,("IQ_LASTSALEPRICE"))</f>
        <v>298.87</v>
      </c>
      <c r="AA722" s="44"/>
    </row>
    <row r="723" spans="1:27">
      <c r="A723" s="12" t="str">
        <f>Analysis!B50</f>
        <v>NasdaqGS:ANSS</v>
      </c>
      <c r="B723" s="13">
        <v>1</v>
      </c>
      <c r="C723" s="14" t="s">
        <v>16</v>
      </c>
      <c r="D723" s="15">
        <f>IF(A731=A732,_xll.ciqfunctions.udf.CIQ(A723,"IQ_TOTAL_REV",IQ_FY-10)/I723,_xll.ciqfunctions.udf.CIQ(A723, "IQ_TOTAL_REV",IQ_FY-9)/I723)</f>
        <v>9.3069355505033027</v>
      </c>
      <c r="E723" s="16"/>
      <c r="F723" s="15">
        <f>IF(A731=A732,_xll.ciqfunctions.udf.CIQ(A723,"IQ_DILUT_EPS_EXCL",IQ_FY-10), _xll.ciqfunctions.udf.CIQ(A723, "IQ_DILUT_EPS_EXCL",IQ_FY-9))</f>
        <v>2.58</v>
      </c>
      <c r="G723" s="15">
        <f>IF(A731=A732,_xll.ciqfunctions.udf.CIQ(A723,"IQ_EBITDA_MARGIN",IQ_FY-10), _xll.ciqfunctions.udf.CIQ(A723, "IQ_EBITDA_MARGIN",IQ_FY-9))</f>
        <v>46.793599999999998</v>
      </c>
      <c r="H723" s="15">
        <f>IF(A731=A732,_xll.ciqfunctions.udf.CIQ(A723,"IQ_TOTAL_DIV_PAID_CF",IQ_FY-10)/-I723, _xll.ciqfunctions.udf.CIQ(A723, "IQ_TOTAL_DIV_PAID_CF",IQ_FY-9)/-I723)</f>
        <v>0</v>
      </c>
      <c r="I723" s="17">
        <f>IF(A731=A732,_xll.ciqfunctions.udf.CIQ(A723,"IQ_TOTAL_OUTSTANDING_FILING_DATE",IQ_FY-10), _xll.ciqfunctions.udf.CIQ(A723, "IQ_TOTAL_OUTSTANDING_FILING_DATE",IQ_FY-9))</f>
        <v>92.539590000000004</v>
      </c>
      <c r="J723" s="17">
        <f>IF(A731=A732,_xll.ciqfunctions.udf.CIQ(A723,"IQ_CASH_OPER",IQ_FY-10), _xll.ciqfunctions.udf.CIQ(A723, "IQ_CASH_OPER",IQ_FY-9))</f>
        <v>332.983</v>
      </c>
      <c r="K723" s="17">
        <f>IF(A731=A732,_xll.ciqfunctions.udf.CIQ(A723,"IQ_CAPEX",IQ_FY-10), _xll.ciqfunctions.udf.CIQ(A723, "IQ_CAPEX",IQ_FY-9))</f>
        <v>-28.847999999999999</v>
      </c>
      <c r="L723" s="15">
        <f t="shared" ref="L723:L733" si="192">(J723+K723)/I723</f>
        <v>3.2865393071224971</v>
      </c>
      <c r="M723" s="17">
        <f>IF(A731=A732,_xll.ciqfunctions.udf.CIQ(A723,"IQ_TOTAL_DEBT_ISSUED",IQ_FY-10), _xll.ciqfunctions.udf.CIQ(A723, "IQ_TOTAL_DEBT_ISSUED",IQ_FY-9))</f>
        <v>0</v>
      </c>
      <c r="N723" s="17">
        <f>IF(A731=A732,_xll.ciqfunctions.udf.CIQ(A723,"IQ_TOTAL_DEBT_REPAID",IQ_FY-10), _xll.ciqfunctions.udf.CIQ(A723, "IQ_TOTAL_DEBT_REPAID",IQ_FY-9))</f>
        <v>-53.149000000000001</v>
      </c>
      <c r="O723" s="15">
        <f t="shared" ref="O723:O733" si="193">(M723+N723)/I723</f>
        <v>-0.57433796713385044</v>
      </c>
      <c r="P723" s="15">
        <f t="shared" ref="P723:P733" si="194">L723+O723</f>
        <v>2.7122013399886464</v>
      </c>
      <c r="W723" s="43"/>
      <c r="AA723" s="43"/>
    </row>
    <row r="724" spans="1:27">
      <c r="A724" s="18" t="str">
        <f>_xll.ciqfunctions.udf.CIQ(A723,"IQ_COMPANY_NAME")</f>
        <v>ANSYS, Inc.</v>
      </c>
      <c r="B724" s="13">
        <v>2</v>
      </c>
      <c r="C724" s="14" t="s">
        <v>17</v>
      </c>
      <c r="D724" s="15">
        <f>IF(A731=A732,_xll.ciqfunctions.udf.CIQ(A723,"IQ_TOTAL_REV",IQ_FY-9)/I724, _xll.ciqfunctions.udf.CIQ(A723, "IQ_TOTAL_REV",IQ_FY-8)/I724)</f>
        <v>10.397512650856358</v>
      </c>
      <c r="E724" s="16">
        <f t="shared" ref="E724:E733" si="195">(D724-D723)/D723</f>
        <v>0.11717896771016953</v>
      </c>
      <c r="F724" s="15">
        <f>IF(A731=A732,_xll.ciqfunctions.udf.CIQ(A723,"IQ_DILUT_EPS_EXCL",IQ_FY-9), _xll.ciqfunctions.udf.CIQ(A723, "IQ_DILUT_EPS_EXCL",IQ_FY-8))</f>
        <v>2.7</v>
      </c>
      <c r="G724" s="15">
        <f>IF(A731=A732,_xll.ciqfunctions.udf.CIQ(A723,"IQ_EBITDA_MARGIN",IQ_FY-9), _xll.ciqfunctions.udf.CIQ(A723, "IQ_EBITDA_MARGIN",IQ_FY-8))</f>
        <v>45.989699999999999</v>
      </c>
      <c r="H724" s="15">
        <f>IF(A731=A732,_xll.ciqfunctions.udf.CIQ(A723,"IQ_TOTAL_DIV_PAID_CF",IQ_FY-9)/-I724, _xll.ciqfunctions.udf.CIQ(A723, "IQ_TOTAL_DIV_PAID_CF",IQ_FY-8)/-I724)</f>
        <v>0</v>
      </c>
      <c r="I724" s="17">
        <f>IF(A731=A732,_xll.ciqfunctions.udf.CIQ(A723,"IQ_TOTAL_OUTSTANDING_FILING_DATE",IQ_FY-9), _xll.ciqfunctions.udf.CIQ(A723, "IQ_TOTAL_OUTSTANDING_FILING_DATE",IQ_FY-8))</f>
        <v>90.02355</v>
      </c>
      <c r="J724" s="17">
        <f>IF(A731=A732,_xll.ciqfunctions.udf.CIQ(A723,"IQ_CASH_OPER",IQ_FY-9), _xll.ciqfunctions.udf.CIQ(A723, "IQ_CASH_OPER",IQ_FY-8))</f>
        <v>385.30700000000002</v>
      </c>
      <c r="K724" s="17">
        <f>IF(A731=A732,_xll.ciqfunctions.udf.CIQ(A723,"IQ_CAPEX",IQ_FY-9), _xll.ciqfunctions.udf.CIQ(A723, "IQ_CAPEX",IQ_FY-8))</f>
        <v>-26.023</v>
      </c>
      <c r="L724" s="15">
        <f t="shared" si="192"/>
        <v>3.9910001327430433</v>
      </c>
      <c r="M724" s="17">
        <f>IF(A731=A732,_xll.ciqfunctions.udf.CIQ(A723,"IQ_TOTAL_DEBT_ISSUED",IQ_FY-9), _xll.ciqfunctions.udf.CIQ(A723, "IQ_TOTAL_DEBT_ISSUED",IQ_FY-8))</f>
        <v>0</v>
      </c>
      <c r="N724" s="17">
        <f>IF(A731=A732,_xll.ciqfunctions.udf.CIQ(A723,"IQ_TOTAL_DEBT_REPAID",IQ_FY-9), _xll.ciqfunctions.udf.CIQ(A723, "IQ_TOTAL_DEBT_REPAID",IQ_FY-8))</f>
        <v>0</v>
      </c>
      <c r="O724" s="15">
        <f t="shared" si="193"/>
        <v>0</v>
      </c>
      <c r="P724" s="15">
        <f t="shared" si="194"/>
        <v>3.9910001327430433</v>
      </c>
      <c r="Q724" s="25" t="s">
        <v>18</v>
      </c>
      <c r="R724" s="39" t="s">
        <v>19</v>
      </c>
      <c r="S724" s="1">
        <f>R722/((AVERAGE(P728:P733))*(1+E734)^3)</f>
        <v>29.446732301183527</v>
      </c>
      <c r="U724" s="25" t="s">
        <v>48</v>
      </c>
      <c r="V724" s="39" t="s">
        <v>19</v>
      </c>
      <c r="W724" s="1">
        <f>V722/((AVERAGE(P728:P733))*(1+E734)^3)</f>
        <v>29.446732301183527</v>
      </c>
      <c r="Y724" s="25" t="s">
        <v>39</v>
      </c>
      <c r="Z724" s="39" t="s">
        <v>19</v>
      </c>
      <c r="AA724" s="1">
        <f>Z722/((AVERAGE(P728:P733))*(1+E734)^3)</f>
        <v>29.446732301183527</v>
      </c>
    </row>
    <row r="725" spans="1:27">
      <c r="B725" s="13">
        <v>3</v>
      </c>
      <c r="C725" s="14" t="s">
        <v>20</v>
      </c>
      <c r="D725" s="15" cm="1">
        <f t="array" ref="D725">_xlfn.SINGLE(IF(A731=A732,_xll.ciqfunctions.udf.CIQ(A723,"IQ_TOTAL_REV",IQ_FY-8)/I725, _xll.ciqfunctions.udf.CIQ(A723, "IQ_TOTAL_REV",IQ_FY-7)/I725))</f>
        <v>10.688207251813589</v>
      </c>
      <c r="E725" s="16">
        <f t="shared" si="195"/>
        <v>2.7958090624038697E-2</v>
      </c>
      <c r="F725" s="15">
        <f>IF(A731=A732,_xll.ciqfunctions.udf.CIQ(A723,"IQ_DILUT_EPS_EXCL",IQ_FY-8), _xll.ciqfunctions.udf.CIQ(A723, "IQ_DILUT_EPS_EXCL",IQ_FY-7))</f>
        <v>2.76</v>
      </c>
      <c r="G725" s="15">
        <f>IF(A731=A732,_xll.ciqfunctions.udf.CIQ(A723,"IQ_EBITDA_MARGIN",IQ_FY-8), _xll.ciqfunctions.udf.CIQ(A723, "IQ_EBITDA_MARGIN",IQ_FY-7))</f>
        <v>45.754100000000001</v>
      </c>
      <c r="H725" s="15">
        <f>IF(A731=A732,_xll.ciqfunctions.udf.CIQ(A723,"IQ_TOTAL_DIV_PAID_CF",IQ_FY-8)/-I725, _xll.ciqfunctions.udf.CIQ(A723, "IQ_TOTAL_DIV_PAID_CF",IQ_FY-7)/-I725)</f>
        <v>0</v>
      </c>
      <c r="I725" s="17">
        <f>IF(A731=A732,_xll.ciqfunctions.udf.CIQ(A723,"IQ_TOTAL_OUTSTANDING_FILING_DATE",IQ_FY-8), _xll.ciqfunctions.udf.CIQ(A723, "IQ_TOTAL_OUTSTANDING_FILING_DATE",IQ_FY-7))</f>
        <v>88.204970000000003</v>
      </c>
      <c r="J725" s="17">
        <f>IF(A731=A732,_xll.ciqfunctions.udf.CIQ(A723,"IQ_CASH_OPER",IQ_FY-8), _xll.ciqfunctions.udf.CIQ(A723, "IQ_CASH_OPER",IQ_FY-7))</f>
        <v>375.69900000000001</v>
      </c>
      <c r="K725" s="17">
        <f>IF(A731=A732,_xll.ciqfunctions.udf.CIQ(A723,"IQ_CAPEX",IQ_FY-8), _xll.ciqfunctions.udf.CIQ(A723, "IQ_CAPEX",IQ_FY-7))</f>
        <v>-16.145</v>
      </c>
      <c r="L725" s="15">
        <f t="shared" si="192"/>
        <v>4.0763462648419928</v>
      </c>
      <c r="M725" s="17">
        <f>IF(A731=A732,_xll.ciqfunctions.udf.CIQ(A723,"IQ_TOTAL_DEBT_ISSUED",IQ_FY-8), _xll.ciqfunctions.udf.CIQ(A723, "IQ_TOTAL_DEBT_ISSUED",IQ_FY-7))</f>
        <v>0</v>
      </c>
      <c r="N725" s="17">
        <f>IF(A731=A732,_xll.ciqfunctions.udf.CIQ(A723,"IQ_TOTAL_DEBT_REPAID",IQ_FY-8), _xll.ciqfunctions.udf.CIQ(A723, "IQ_TOTAL_DEBT_REPAID",IQ_FY-7))</f>
        <v>0</v>
      </c>
      <c r="O725" s="15">
        <f t="shared" si="193"/>
        <v>0</v>
      </c>
      <c r="P725" s="15">
        <f t="shared" si="194"/>
        <v>4.0763462648419928</v>
      </c>
      <c r="Q725" s="25" t="s">
        <v>21</v>
      </c>
      <c r="R725" s="38" t="s">
        <v>49</v>
      </c>
      <c r="S725" s="2">
        <f>(R722*I733)/1000</f>
        <v>25.963673736000001</v>
      </c>
      <c r="U725" s="25" t="s">
        <v>59</v>
      </c>
      <c r="V725" s="38" t="s">
        <v>49</v>
      </c>
      <c r="W725" s="2">
        <f>(V722*I733)/1000</f>
        <v>25.963673736000001</v>
      </c>
      <c r="Y725" s="25" t="s">
        <v>46</v>
      </c>
      <c r="Z725" s="38" t="s">
        <v>49</v>
      </c>
      <c r="AA725" s="2">
        <f>(Z722*I733)/1000</f>
        <v>25.963673736000001</v>
      </c>
    </row>
    <row r="726" spans="1:27">
      <c r="A726" s="18"/>
      <c r="B726" s="13">
        <v>4</v>
      </c>
      <c r="C726" s="14" t="s">
        <v>22</v>
      </c>
      <c r="D726" s="15" cm="1">
        <f t="array" ref="D726">_xlfn.SINGLE(IF(A731=A732,_xll.ciqfunctions.udf.CIQ(A723,"IQ_TOTAL_REV",IQ_FY-7)/I726, _xll.ciqfunctions.udf.CIQ(A723, "IQ_TOTAL_REV",IQ_FY-6)/I726))</f>
        <v>11.57814334588682</v>
      </c>
      <c r="E726" s="16">
        <f t="shared" si="195"/>
        <v>8.326336429546928E-2</v>
      </c>
      <c r="F726" s="15">
        <f>IF(A731=A732,_xll.ciqfunctions.udf.CIQ(A723,"IQ_DILUT_EPS_EXCL",IQ_FY-7), _xll.ciqfunctions.udf.CIQ(A723, "IQ_DILUT_EPS_EXCL",IQ_FY-6))</f>
        <v>2.99</v>
      </c>
      <c r="G726" s="15">
        <f>IF(A731=A732,_xll.ciqfunctions.udf.CIQ(A723,"IQ_EBITDA_MARGIN",IQ_FY-7), _xll.ciqfunctions.udf.CIQ(A723, "IQ_EBITDA_MARGIN",IQ_FY-6))</f>
        <v>45.143599999999999</v>
      </c>
      <c r="H726" s="15">
        <f>IF(A731=A732,_xll.ciqfunctions.udf.CIQ(A723,"IQ_TOTAL_DIV_PAID_CF",IQ_FY-7)/-I726, _xll.ciqfunctions.udf.CIQ(A723, "IQ_TOTAL_DIV_PAID_CF",IQ_FY-6)/-I726)</f>
        <v>0</v>
      </c>
      <c r="I726" s="17">
        <f>IF(A731=A732,_xll.ciqfunctions.udf.CIQ(A723,"IQ_TOTAL_OUTSTANDING_FILING_DATE",IQ_FY-7), _xll.ciqfunctions.udf.CIQ(A723, "IQ_TOTAL_OUTSTANDING_FILING_DATE",IQ_FY-6))</f>
        <v>85.373360000000005</v>
      </c>
      <c r="J726" s="17">
        <f>IF(A731=A732,_xll.ciqfunctions.udf.CIQ(A723,"IQ_CASH_OPER",IQ_FY-7), _xll.ciqfunctions.udf.CIQ(A723, "IQ_CASH_OPER",IQ_FY-6))</f>
        <v>365.98</v>
      </c>
      <c r="K726" s="17">
        <f>IF(A731=A732,_xll.ciqfunctions.udf.CIQ(A723,"IQ_CAPEX",IQ_FY-7), _xll.ciqfunctions.udf.CIQ(A723, "IQ_CAPEX",IQ_FY-6))</f>
        <v>-12.443</v>
      </c>
      <c r="L726" s="15">
        <f t="shared" si="192"/>
        <v>4.1410692984322042</v>
      </c>
      <c r="M726" s="17">
        <f>IF(A731=A732,_xll.ciqfunctions.udf.CIQ(A723,"IQ_TOTAL_DEBT_ISSUED",IQ_FY-7), _xll.ciqfunctions.udf.CIQ(A723, "IQ_TOTAL_DEBT_ISSUED",IQ_FY-6))</f>
        <v>0</v>
      </c>
      <c r="N726" s="17">
        <f>IF(A731=A732,_xll.ciqfunctions.udf.CIQ(A723,"IQ_TOTAL_DEBT_REPAID",IQ_FY-7), _xll.ciqfunctions.udf.CIQ(A723, "IQ_TOTAL_DEBT_REPAID",IQ_FY-6))</f>
        <v>0</v>
      </c>
      <c r="O726" s="15">
        <f t="shared" si="193"/>
        <v>0</v>
      </c>
      <c r="P726" s="15">
        <f t="shared" si="194"/>
        <v>4.1410692984322042</v>
      </c>
      <c r="Q726" s="25" t="s">
        <v>23</v>
      </c>
      <c r="R726" s="38" t="s">
        <v>24</v>
      </c>
      <c r="S726" s="1" t="e">
        <f>R722/(AVERAGE(H728:H733)*(1+H734)/(0.5-H734))</f>
        <v>#DIV/0!</v>
      </c>
      <c r="U726" s="25" t="s">
        <v>40</v>
      </c>
      <c r="V726" s="38" t="s">
        <v>24</v>
      </c>
      <c r="W726" s="1" t="e">
        <f>V722/(AVERAGE(H728:H733)*(1+H734)/(0.5-H734))</f>
        <v>#DIV/0!</v>
      </c>
      <c r="Y726" s="25" t="s">
        <v>47</v>
      </c>
      <c r="Z726" s="38" t="s">
        <v>24</v>
      </c>
      <c r="AA726" s="1" t="e">
        <f>Z722/(AVERAGE(H728:H733)*(1+H734)/(0.5-H734))</f>
        <v>#DIV/0!</v>
      </c>
    </row>
    <row r="727" spans="1:27">
      <c r="B727" s="13">
        <v>5</v>
      </c>
      <c r="C727" s="14" t="s">
        <v>25</v>
      </c>
      <c r="D727" s="15" cm="1">
        <f t="array" ref="D727">_xlfn.SINGLE(IF(A731=A732,_xll.ciqfunctions.udf.CIQ(A723,"IQ_TOTAL_REV",IQ_FY-6)/I727, _xll.ciqfunctions.udf.CIQ(A723, "IQ_TOTAL_REV",IQ_FY-5)/I727))</f>
        <v>13.05868892551641</v>
      </c>
      <c r="E727" s="16">
        <f t="shared" si="195"/>
        <v>0.12787417942580226</v>
      </c>
      <c r="F727" s="15">
        <f>IF(A731=A732,_xll.ciqfunctions.udf.CIQ(A723,"IQ_DILUT_EPS_EXCL",IQ_FY-6), _xll.ciqfunctions.udf.CIQ(A723, "IQ_DILUT_EPS_EXCL",IQ_FY-5))</f>
        <v>2.98</v>
      </c>
      <c r="G727" s="15">
        <f>IF(A731=A732,_xll.ciqfunctions.udf.CIQ(A723,"IQ_EBITDA_MARGIN",IQ_FY-6), _xll.ciqfunctions.udf.CIQ(A723, "IQ_EBITDA_MARGIN",IQ_FY-5))</f>
        <v>42.575299999999999</v>
      </c>
      <c r="H727" s="15">
        <f>IF(A731=A732,_xll.ciqfunctions.udf.CIQ(A723,"IQ_TOTAL_DIV_PAID_CF",IQ_FY-6)/-I727, _xll.ciqfunctions.udf.CIQ(A723, "IQ_TOTAL_DIV_PAID_CF",IQ_FY-5)/-I727)</f>
        <v>0</v>
      </c>
      <c r="I727" s="17">
        <f>IF(A731=A732,_xll.ciqfunctions.udf.CIQ(A723,"IQ_TOTAL_OUTSTANDING_FILING_DATE",IQ_FY-6), _xll.ciqfunctions.udf.CIQ(A723, "IQ_TOTAL_OUTSTANDING_FILING_DATE",IQ_FY-5))</f>
        <v>83.871359999999996</v>
      </c>
      <c r="J727" s="17">
        <f>IF(A731=A732,_xll.ciqfunctions.udf.CIQ(A723,"IQ_CASH_OPER",IQ_FY-6), _xll.ciqfunctions.udf.CIQ(A723, "IQ_CASH_OPER",IQ_FY-5))</f>
        <v>427.66</v>
      </c>
      <c r="K727" s="17">
        <f>IF(A731=A732,_xll.ciqfunctions.udf.CIQ(A723,"IQ_CAPEX",IQ_FY-6), _xll.ciqfunctions.udf.CIQ(A723, "IQ_CAPEX",IQ_FY-5))</f>
        <v>-19.149000000000001</v>
      </c>
      <c r="L727" s="15">
        <f t="shared" si="192"/>
        <v>4.8706852971026109</v>
      </c>
      <c r="M727" s="17">
        <f>IF(A731=A732,_xll.ciqfunctions.udf.CIQ(A723,"IQ_TOTAL_DEBT_ISSUED",IQ_FY-6), _xll.ciqfunctions.udf.CIQ(A723, "IQ_TOTAL_DEBT_ISSUED",IQ_FY-5))</f>
        <v>0</v>
      </c>
      <c r="N727" s="17">
        <f>IF(A731=A732,_xll.ciqfunctions.udf.CIQ(A723,"IQ_TOTAL_DEBT_REPAID",IQ_FY-6), _xll.ciqfunctions.udf.CIQ(A723, "IQ_TOTAL_DEBT_REPAID",IQ_FY-5))</f>
        <v>0</v>
      </c>
      <c r="O727" s="15">
        <f t="shared" si="193"/>
        <v>0</v>
      </c>
      <c r="P727" s="15">
        <f t="shared" si="194"/>
        <v>4.8706852971026109</v>
      </c>
      <c r="Q727" s="18"/>
      <c r="R727" s="38" t="s">
        <v>50</v>
      </c>
      <c r="S727" s="3">
        <f>I734</f>
        <v>7.2961252334469151E-3</v>
      </c>
      <c r="U727" s="18"/>
      <c r="V727" s="38" t="s">
        <v>50</v>
      </c>
      <c r="W727" s="3">
        <f>I734</f>
        <v>7.2961252334469151E-3</v>
      </c>
      <c r="Y727" s="18"/>
      <c r="Z727" s="38" t="s">
        <v>50</v>
      </c>
      <c r="AA727" s="3">
        <f>I734</f>
        <v>7.2961252334469151E-3</v>
      </c>
    </row>
    <row r="728" spans="1:27">
      <c r="B728" s="13">
        <v>6</v>
      </c>
      <c r="C728" s="14" t="s">
        <v>26</v>
      </c>
      <c r="D728" s="15" cm="1">
        <f t="array" ref="D728">_xlfn.SINGLE(IF(A731=A732,_xll.ciqfunctions.udf.CIQ(A723,"IQ_TOTAL_REV",IQ_FY-5)/I728, _xll.ciqfunctions.udf.CIQ(A723, "IQ_TOTAL_REV",IQ_FY-4)/I728))</f>
        <v>15.442374841280179</v>
      </c>
      <c r="E728" s="16">
        <f t="shared" si="195"/>
        <v>0.18253638855782031</v>
      </c>
      <c r="F728" s="15">
        <f>IF(A731=A732,_xll.ciqfunctions.udf.CIQ(A723,"IQ_DILUT_EPS_EXCL",IQ_FY-5), _xll.ciqfunctions.udf.CIQ(A723, "IQ_DILUT_EPS_EXCL",IQ_FY-4))</f>
        <v>4.88</v>
      </c>
      <c r="G728" s="15">
        <f>IF(A731=A732,_xll.ciqfunctions.udf.CIQ(A723,"IQ_EBITDA_MARGIN",IQ_FY-5), _xll.ciqfunctions.udf.CIQ(A723, "IQ_EBITDA_MARGIN",IQ_FY-4))</f>
        <v>41.692900000000002</v>
      </c>
      <c r="H728" s="15">
        <f>IF(A731=A732,_xll.ciqfunctions.udf.CIQ(A723,"IQ_TOTAL_DIV_PAID_CF",IQ_FY-5)/-I728, _xll.ciqfunctions.udf.CIQ(A723, "IQ_TOTAL_DIV_PAID_CF",IQ_FY-4)/-I728)</f>
        <v>0</v>
      </c>
      <c r="I728" s="17">
        <f>IF(A731=A732,_xll.ciqfunctions.udf.CIQ(A723,"IQ_TOTAL_OUTSTANDING_FILING_DATE",IQ_FY-5), _xll.ciqfunctions.udf.CIQ(A723, "IQ_TOTAL_OUTSTANDING_FILING_DATE",IQ_FY-4))</f>
        <v>83.771829999999994</v>
      </c>
      <c r="J728" s="17">
        <f>IF(A731=A732,_xll.ciqfunctions.udf.CIQ(A723,"IQ_CASH_OPER",IQ_FY-5), _xll.ciqfunctions.udf.CIQ(A723, "IQ_CASH_OPER",IQ_FY-4))</f>
        <v>484.988</v>
      </c>
      <c r="K728" s="17">
        <f>IF(A731=A732,_xll.ciqfunctions.udf.CIQ(A723,"IQ_CAPEX",IQ_FY-5), _xll.ciqfunctions.udf.CIQ(A723, "IQ_CAPEX",IQ_FY-4))</f>
        <v>-21.762</v>
      </c>
      <c r="L728" s="15">
        <f t="shared" si="192"/>
        <v>5.5296153850285954</v>
      </c>
      <c r="M728" s="17">
        <f>IF(A731=A732,_xll.ciqfunctions.udf.CIQ(A723,"IQ_TOTAL_DEBT_ISSUED",IQ_FY-5), _xll.ciqfunctions.udf.CIQ(A723, "IQ_TOTAL_DEBT_ISSUED",IQ_FY-4))</f>
        <v>0</v>
      </c>
      <c r="N728" s="17">
        <f>IF(A731=A732,_xll.ciqfunctions.udf.CIQ(A723,"IQ_TOTAL_DEBT_REPAID",IQ_FY-5), _xll.ciqfunctions.udf.CIQ(A723, "IQ_TOTAL_DEBT_REPAID",IQ_FY-4))</f>
        <v>0</v>
      </c>
      <c r="O728" s="15">
        <f t="shared" si="193"/>
        <v>0</v>
      </c>
      <c r="P728" s="15">
        <f t="shared" si="194"/>
        <v>5.5296153850285954</v>
      </c>
      <c r="Q728" s="25" t="s">
        <v>27</v>
      </c>
      <c r="R728" s="38" t="s">
        <v>51</v>
      </c>
      <c r="S728" s="4">
        <f>AVERAGE(F728:F733)/AVERAGE(D728:D733)</f>
        <v>0.25861565376341072</v>
      </c>
      <c r="U728" s="25" t="s">
        <v>58</v>
      </c>
      <c r="V728" s="38" t="s">
        <v>51</v>
      </c>
      <c r="W728" s="4">
        <f>AVERAGE(F728:F733)/AVERAGE(D728:D733)</f>
        <v>0.25861565376341072</v>
      </c>
      <c r="Y728" s="25" t="s">
        <v>56</v>
      </c>
      <c r="Z728" s="38" t="s">
        <v>51</v>
      </c>
      <c r="AA728" s="4">
        <f>AVERAGE(F728:F733)/AVERAGE(D728:D733)</f>
        <v>0.25861565376341072</v>
      </c>
    </row>
    <row r="729" spans="1:27">
      <c r="A729" s="18"/>
      <c r="B729" s="13">
        <v>7</v>
      </c>
      <c r="C729" s="14" t="s">
        <v>28</v>
      </c>
      <c r="D729" s="15" cm="1">
        <f t="array" ref="D729">_xlfn.SINGLE(IF(A731=A732,_xll.ciqfunctions.udf.CIQ(A723,"IQ_TOTAL_REV",IQ_FY-4)/I729, _xll.ciqfunctions.udf.CIQ(A723, "IQ_TOTAL_REV",IQ_FY-3)/I729))</f>
        <v>17.64421741738694</v>
      </c>
      <c r="E729" s="16">
        <f t="shared" si="195"/>
        <v>0.14258445341067941</v>
      </c>
      <c r="F729" s="15">
        <f>IF(A731=A732,_xll.ciqfunctions.udf.CIQ(A723,"IQ_DILUT_EPS_EXCL",IQ_FY-4), _xll.ciqfunctions.udf.CIQ(A723, "IQ_DILUT_EPS_EXCL",IQ_FY-3))</f>
        <v>5.25</v>
      </c>
      <c r="G729" s="15">
        <f>IF(A731=A732,_xll.ciqfunctions.udf.CIQ(A723,"IQ_EBITDA_MARGIN",IQ_FY-4), _xll.ciqfunctions.udf.CIQ(A723, "IQ_EBITDA_MARGIN",IQ_FY-3))</f>
        <v>37.9681</v>
      </c>
      <c r="H729" s="15">
        <f>IF(A731=A732,_xll.ciqfunctions.udf.CIQ(A723,"IQ_TOTAL_DIV_PAID_CF",IQ_FY-4)/-I729, _xll.ciqfunctions.udf.CIQ(A723, "IQ_TOTAL_DIV_PAID_CF",IQ_FY-3)/-I729)</f>
        <v>0</v>
      </c>
      <c r="I729" s="17">
        <f>IF(A731=A732,_xll.ciqfunctions.udf.CIQ(A723,"IQ_TOTAL_OUTSTANDING_FILING_DATE",IQ_FY-4), _xll.ciqfunctions.udf.CIQ(A723, "IQ_TOTAL_OUTSTANDING_FILING_DATE",IQ_FY-3))</f>
        <v>85.914379999999994</v>
      </c>
      <c r="J729" s="17">
        <f>IF(A731=A732,_xll.ciqfunctions.udf.CIQ(A723,"IQ_CASH_OPER",IQ_FY-4), _xll.ciqfunctions.udf.CIQ(A723, "IQ_CASH_OPER",IQ_FY-3))</f>
        <v>499.93599999999998</v>
      </c>
      <c r="K729" s="17">
        <f>IF(A731=A732,_xll.ciqfunctions.udf.CIQ(A723,"IQ_CAPEX",IQ_FY-4), _xll.ciqfunctions.udf.CIQ(A723, "IQ_CAPEX",IQ_FY-3))</f>
        <v>-44.94</v>
      </c>
      <c r="L729" s="15">
        <f t="shared" si="192"/>
        <v>5.295923685883551</v>
      </c>
      <c r="M729" s="17">
        <f>IF(A731=A732,_xll.ciqfunctions.udf.CIQ(A723,"IQ_TOTAL_DEBT_ISSUED",IQ_FY-4), _xll.ciqfunctions.udf.CIQ(A723, "IQ_TOTAL_DEBT_ISSUED",IQ_FY-3))</f>
        <v>500</v>
      </c>
      <c r="N729" s="17">
        <f>IF(A731=A732,_xll.ciqfunctions.udf.CIQ(A723,"IQ_TOTAL_DEBT_REPAID",IQ_FY-4), _xll.ciqfunctions.udf.CIQ(A723, "IQ_TOTAL_DEBT_REPAID",IQ_FY-3))</f>
        <v>0</v>
      </c>
      <c r="O729" s="15">
        <f t="shared" si="193"/>
        <v>5.8197475207293587</v>
      </c>
      <c r="P729" s="15">
        <f t="shared" si="194"/>
        <v>11.115671206612909</v>
      </c>
      <c r="Q729" s="18"/>
      <c r="R729" s="38" t="s">
        <v>29</v>
      </c>
      <c r="S729" s="4">
        <f>(AVERAGE(P728:P733)/_xlfn.STDEV.P(P728:P733))/(IF(A731=A732,(_xlfn.SINGLE(_xll.ciqfunctions.udf.CIQ(A723,"IQ_total_assets",IQ_FY)) - _xlfn.SINGLE(_xll.ciqfunctions.udf.CIQ(A723,"iq_gw_intan", IQ_FY)))/I733, (_xlfn.SINGLE(_xll.ciqfunctions.udf.CIQ(A723, "IQ_total_assets",IQ_LTM))-_xlfn.SINGLE(_xll.ciqfunctions.udf.CIQ(A723,"iq_gw_intan",IQ_LTM)))/I733))</f>
        <v>0.15937576151398422</v>
      </c>
      <c r="U729" s="18"/>
      <c r="V729" s="38" t="s">
        <v>29</v>
      </c>
      <c r="W729" s="4">
        <f>(AVERAGE(P728:P733)/_xlfn.STDEV.P(P728:P733))/(IF(A731=A732,(_xlfn.SINGLE(_xll.ciqfunctions.udf.CIQ(A723,"IQ_total_assets",IQ_FY)) - _xlfn.SINGLE(_xll.ciqfunctions.udf.CIQ(A723,"iq_gw_intan", IQ_FY)))/I733, (_xlfn.SINGLE(_xll.ciqfunctions.udf.CIQ(A723, "IQ_total_assets",IQ_LTM))-_xlfn.SINGLE(_xll.ciqfunctions.udf.CIQ(A723,"iq_gw_intan",IQ_LTM)))/I733))</f>
        <v>0.15937576151398422</v>
      </c>
      <c r="Y729" s="18"/>
      <c r="Z729" s="38" t="s">
        <v>29</v>
      </c>
      <c r="AA729" s="4">
        <f>(AVERAGE(P728:P733)/_xlfn.STDEV.P(P728:P733))/(IF(A731=A732,(_xlfn.SINGLE(_xll.ciqfunctions.udf.CIQ(A723,"IQ_total_assets",IQ_FY)) - _xlfn.SINGLE(_xll.ciqfunctions.udf.CIQ(A723,"iq_gw_intan", IQ_FY)))/I733, (_xlfn.SINGLE(_xll.ciqfunctions.udf.CIQ(A723, "IQ_total_assets",IQ_LTM))-_xlfn.SINGLE(_xll.ciqfunctions.udf.CIQ(A723,"iq_gw_intan",IQ_LTM)))/I733))</f>
        <v>0.15937576151398422</v>
      </c>
    </row>
    <row r="730" spans="1:27">
      <c r="A730" s="18"/>
      <c r="B730" s="13">
        <v>8</v>
      </c>
      <c r="C730" s="14" t="s">
        <v>30</v>
      </c>
      <c r="D730" s="15" cm="1">
        <f t="array" ref="D730">_xlfn.SINGLE(IF(A731=A732,_xll.ciqfunctions.udf.CIQ(A723,"IQ_TOTAL_REV",IQ_FY-3)/I730, _xll.ciqfunctions.udf.CIQ(A723, "IQ_TOTAL_REV",IQ_FY-2)/I730))</f>
        <v>19.380552048742295</v>
      </c>
      <c r="E730" s="16">
        <f t="shared" si="195"/>
        <v>9.8408140768223504E-2</v>
      </c>
      <c r="F730" s="15">
        <f>IF(A731=A732,_xll.ciqfunctions.udf.CIQ(A723,"IQ_DILUT_EPS_EXCL",IQ_FY-3), _xll.ciqfunctions.udf.CIQ(A723, "IQ_DILUT_EPS_EXCL",IQ_FY-2))</f>
        <v>4.97</v>
      </c>
      <c r="G730" s="15">
        <f>IF(A731=A732,_xll.ciqfunctions.udf.CIQ(A723,"IQ_EBITDA_MARGIN",IQ_FY-3), _xll.ciqfunctions.udf.CIQ(A723, "IQ_EBITDA_MARGIN",IQ_FY-2))</f>
        <v>34.594099999999997</v>
      </c>
      <c r="H730" s="15">
        <f>IF(A731=A732,_xll.ciqfunctions.udf.CIQ(A723,"IQ_TOTAL_DIV_PAID_CF",IQ_FY-3)/-I730, _xll.ciqfunctions.udf.CIQ(A723, "IQ_TOTAL_DIV_PAID_CF",IQ_FY-2)/-I730)</f>
        <v>0</v>
      </c>
      <c r="I730" s="17">
        <f>IF(A731=A732,_xll.ciqfunctions.udf.CIQ(A723,"IQ_TOTAL_OUTSTANDING_FILING_DATE",IQ_FY-3), _xll.ciqfunctions.udf.CIQ(A723, "IQ_TOTAL_OUTSTANDING_FILING_DATE",IQ_FY-2))</f>
        <v>86.751760000000004</v>
      </c>
      <c r="J730" s="17">
        <f>IF(A731=A732,_xll.ciqfunctions.udf.CIQ(A723,"IQ_CASH_OPER",IQ_FY-3), _xll.ciqfunctions.udf.CIQ(A723, "IQ_CASH_OPER",IQ_FY-2))</f>
        <v>547.30999999999995</v>
      </c>
      <c r="K730" s="17">
        <f>IF(A731=A732,_xll.ciqfunctions.udf.CIQ(A723,"IQ_CAPEX",IQ_FY-3), _xll.ciqfunctions.udf.CIQ(A723, "IQ_CAPEX",IQ_FY-2))</f>
        <v>-35.369999999999997</v>
      </c>
      <c r="L730" s="15">
        <f t="shared" si="192"/>
        <v>5.9012059236607985</v>
      </c>
      <c r="M730" s="17">
        <f>IF(A731=A732,_xll.ciqfunctions.udf.CIQ(A723,"IQ_TOTAL_DEBT_ISSUED",IQ_FY-3), _xll.ciqfunctions.udf.CIQ(A723, "IQ_TOTAL_DEBT_ISSUED",IQ_FY-2))</f>
        <v>375</v>
      </c>
      <c r="N730" s="17">
        <f>IF(A731=A732,_xll.ciqfunctions.udf.CIQ(A723,"IQ_TOTAL_DEBT_REPAID",IQ_FY-3), _xll.ciqfunctions.udf.CIQ(A723, "IQ_TOTAL_DEBT_REPAID",IQ_FY-2))</f>
        <v>-75</v>
      </c>
      <c r="O730" s="15">
        <f t="shared" si="193"/>
        <v>3.458143097039184</v>
      </c>
      <c r="P730" s="15">
        <f t="shared" si="194"/>
        <v>9.3593490206999821</v>
      </c>
      <c r="Q730" s="18"/>
      <c r="R730" s="39" t="s">
        <v>31</v>
      </c>
      <c r="S730" s="5">
        <f>IF(NOT(D723&gt;0),FALSE,SLOPE(G723:G733,B723:B733))</f>
        <v>-1.6673345454545452</v>
      </c>
      <c r="U730" s="18"/>
      <c r="V730" s="39" t="s">
        <v>31</v>
      </c>
      <c r="W730" s="5">
        <f>IF(NOT(D723&gt;0),FALSE,SLOPE(G723:G733,B723:B733))</f>
        <v>-1.6673345454545452</v>
      </c>
      <c r="Y730" s="18"/>
      <c r="Z730" s="39" t="s">
        <v>31</v>
      </c>
      <c r="AA730" s="5">
        <f>IF(NOT(L723&gt;0),FALSE,SLOPE(O723:O733,J723:J733))</f>
        <v>3.3994012096794594E-3</v>
      </c>
    </row>
    <row r="731" spans="1:27">
      <c r="A731" s="19">
        <f>_xll.ciqfunctions.udf.CIQ(A723,"IQ_TOTAL_REV",IQ_FY)</f>
        <v>2065.5529999999999</v>
      </c>
      <c r="B731" s="13">
        <v>9</v>
      </c>
      <c r="C731" s="14" t="s">
        <v>32</v>
      </c>
      <c r="D731" s="15" cm="1">
        <f t="array" ref="D731">_xlfn.SINGLE(IF(A731=A732,_xll.ciqfunctions.udf.CIQ(A723,"IQ_TOTAL_REV",IQ_FY-2)/I731, _xll.ciqfunctions.udf.CIQ(A723, "IQ_TOTAL_REV",IQ_FY-1)/I731))</f>
        <v>21.858480093830114</v>
      </c>
      <c r="E731" s="16">
        <f t="shared" si="195"/>
        <v>0.12785642219353724</v>
      </c>
      <c r="F731" s="15">
        <f>IF(A731=A732,_xll.ciqfunctions.udf.CIQ(A723,"IQ_DILUT_EPS_EXCL",IQ_FY-2), _xll.ciqfunctions.udf.CIQ(A723, "IQ_DILUT_EPS_EXCL",IQ_FY-1))</f>
        <v>5.16</v>
      </c>
      <c r="G731" s="15">
        <f>IF(A731=A732,_xll.ciqfunctions.udf.CIQ(A723,"IQ_EBITDA_MARGIN",IQ_FY-2), _xll.ciqfunctions.udf.CIQ(A723, "IQ_EBITDA_MARGIN",IQ_FY-1))</f>
        <v>32.840699999999998</v>
      </c>
      <c r="H731" s="15">
        <f>IF(A731=A732,_xll.ciqfunctions.udf.CIQ(A723,"IQ_TOTAL_DIV_PAID_CF",IQ_FY-2)/-I731, _xll.ciqfunctions.udf.CIQ(A723, "IQ_TOTAL_DIV_PAID_CF",IQ_FY-1)/-I731)</f>
        <v>0</v>
      </c>
      <c r="I731" s="17">
        <f>IF(A731=A732,_xll.ciqfunctions.udf.CIQ(A723,"IQ_TOTAL_OUTSTANDING_FILING_DATE",IQ_FY-2), _xll.ciqfunctions.udf.CIQ(A723, "IQ_TOTAL_OUTSTANDING_FILING_DATE",IQ_FY-1))</f>
        <v>87.229990000000001</v>
      </c>
      <c r="J731" s="17">
        <f>IF(A731=A732,_xll.ciqfunctions.udf.CIQ(A723,"IQ_CASH_OPER",IQ_FY-2), _xll.ciqfunctions.udf.CIQ(A723, "IQ_CASH_OPER",IQ_FY-1))</f>
        <v>549.48199999999997</v>
      </c>
      <c r="K731" s="17">
        <f>IF(A731=A732,_xll.ciqfunctions.udf.CIQ(A723,"IQ_CAPEX",IQ_FY-2), _xll.ciqfunctions.udf.CIQ(A723, "IQ_CAPEX",IQ_FY-1))</f>
        <v>-23.018000000000001</v>
      </c>
      <c r="L731" s="15">
        <f t="shared" si="192"/>
        <v>6.0353555010151894</v>
      </c>
      <c r="M731" s="17">
        <f>IF(A731=A732,_xll.ciqfunctions.udf.CIQ(A723,"IQ_TOTAL_DEBT_ISSUED",IQ_FY-2), _xll.ciqfunctions.udf.CIQ(A723, "IQ_TOTAL_DEBT_ISSUED",IQ_FY-1))</f>
        <v>0</v>
      </c>
      <c r="N731" s="17">
        <f>IF(A731=A732,_xll.ciqfunctions.udf.CIQ(A723,"IQ_TOTAL_DEBT_REPAID",IQ_FY-2), _xll.ciqfunctions.udf.CIQ(A723, "IQ_TOTAL_DEBT_REPAID",IQ_FY-1))</f>
        <v>-45</v>
      </c>
      <c r="O731" s="15">
        <f t="shared" si="193"/>
        <v>-0.51587762419782457</v>
      </c>
      <c r="P731" s="15">
        <f t="shared" si="194"/>
        <v>5.5194778768173647</v>
      </c>
      <c r="Q731" s="25" t="s">
        <v>33</v>
      </c>
      <c r="R731" s="38" t="s">
        <v>52</v>
      </c>
      <c r="S731" s="4">
        <f>(AVERAGE(O728:O733)/AVERAGE(P728:P733))</f>
        <v>0.19142336934320792</v>
      </c>
      <c r="U731" s="25" t="s">
        <v>54</v>
      </c>
      <c r="V731" s="38" t="s">
        <v>52</v>
      </c>
      <c r="W731" s="4">
        <f>(AVERAGE(O728:O733)/AVERAGE(P728:P733))</f>
        <v>0.19142336934320792</v>
      </c>
      <c r="Y731" s="25" t="s">
        <v>60</v>
      </c>
      <c r="Z731" s="38" t="s">
        <v>52</v>
      </c>
      <c r="AA731" s="4">
        <f>(AVERAGE(O728:O733)/AVERAGE(P728:P733))</f>
        <v>0.19142336934320792</v>
      </c>
    </row>
    <row r="732" spans="1:27">
      <c r="A732" s="19">
        <f>_xll.ciqfunctions.udf.CIQ(A723,"IQ_TOTAL_REV",IQ_LTM)</f>
        <v>2158.9560000000001</v>
      </c>
      <c r="B732" s="13">
        <v>10</v>
      </c>
      <c r="C732" s="14" t="s">
        <v>34</v>
      </c>
      <c r="D732" s="15" cm="1">
        <f t="array" ref="D732">_xlfn.SINGLE(IF(A731=A732,_xll.ciqfunctions.udf.CIQ(A723,"IQ_TOTAL_REV",IQ_FY-1)/I732, _xll.ciqfunctions.udf.CIQ(A723, "IQ_TOTAL_REV",IQ_FY)/I732))</f>
        <v>23.718572549468114</v>
      </c>
      <c r="E732" s="16">
        <f t="shared" si="195"/>
        <v>8.5097062908918317E-2</v>
      </c>
      <c r="F732" s="15">
        <f>IF(A731=A732,_xll.ciqfunctions.udf.CIQ(A723,"IQ_DILUT_EPS_EXCL",IQ_FY-1), _xll.ciqfunctions.udf.CIQ(A723, "IQ_DILUT_EPS_EXCL",IQ_FY))</f>
        <v>5.99</v>
      </c>
      <c r="G732" s="15">
        <f>IF(A731=A732,_xll.ciqfunctions.udf.CIQ(A723,"IQ_EBITDA_MARGIN",IQ_FY-1), _xll.ciqfunctions.udf.CIQ(A723, "IQ_EBITDA_MARGIN",IQ_FY))</f>
        <v>34.739100000000001</v>
      </c>
      <c r="H732" s="15">
        <f>IF(A731=A732,_xll.ciqfunctions.udf.CIQ(A723,"IQ_TOTAL_DIV_PAID_CF",IQ_FY-1)/-I732, _xll.ciqfunctions.udf.CIQ(A723, "IQ_TOTAL_DIV_PAID_CF",IQ_FY)/-I732)</f>
        <v>0</v>
      </c>
      <c r="I732" s="17">
        <f>IF(A731=A732,_xll.ciqfunctions.udf.CIQ(A723,"IQ_TOTAL_OUTSTANDING_FILING_DATE",IQ_FY-1), _xll.ciqfunctions.udf.CIQ(A723, "IQ_TOTAL_OUTSTANDING_FILING_DATE",IQ_FY))</f>
        <v>87.085890000000006</v>
      </c>
      <c r="J732" s="17">
        <f>IF(A731=A732,_xll.ciqfunctions.udf.CIQ(A723,"IQ_CASH_OPER",IQ_FY-1), _xll.ciqfunctions.udf.CIQ(A723, "IQ_CASH_OPER",IQ_FY))</f>
        <v>631.00300000000004</v>
      </c>
      <c r="K732" s="17">
        <f>IF(A731=A732,_xll.ciqfunctions.udf.CIQ(A723,"IQ_CAPEX",IQ_FY-1), _xll.ciqfunctions.udf.CIQ(A723, "IQ_CAPEX",IQ_FY))</f>
        <v>-24.37</v>
      </c>
      <c r="L732" s="15">
        <f t="shared" si="192"/>
        <v>6.9659160628662118</v>
      </c>
      <c r="M732" s="17">
        <f>IF(A731=A732,_xll.ciqfunctions.udf.CIQ(A723,"IQ_TOTAL_DEBT_ISSUED",IQ_FY-1), _xll.ciqfunctions.udf.CIQ(A723, "IQ_TOTAL_DEBT_ISSUED",IQ_FY))</f>
        <v>0</v>
      </c>
      <c r="N732" s="17">
        <f>IF(A731=A732,_xll.ciqfunctions.udf.CIQ(A723,"IQ_TOTAL_DEBT_REPAID",IQ_FY-1), _xll.ciqfunctions.udf.CIQ(A723, "IQ_TOTAL_DEBT_REPAID",IQ_FY))</f>
        <v>0</v>
      </c>
      <c r="O732" s="15">
        <f t="shared" si="193"/>
        <v>0</v>
      </c>
      <c r="P732" s="15">
        <f t="shared" si="194"/>
        <v>6.9659160628662118</v>
      </c>
      <c r="Q732" s="25" t="s">
        <v>44</v>
      </c>
      <c r="R732" s="38" t="s">
        <v>35</v>
      </c>
      <c r="S732" s="1">
        <f>_xll.ciqfunctions.udf.CIQ(A723,"IQ_TEV_EBITDA")</f>
        <v>37.508560000000003</v>
      </c>
      <c r="U732" s="25" t="s">
        <v>55</v>
      </c>
      <c r="V732" s="38" t="s">
        <v>53</v>
      </c>
      <c r="W732" s="1">
        <f>V722/(AVERAGE(D728:D733)/_xlfn.STDEV.P(E728:E733))</f>
        <v>0.62955786939421754</v>
      </c>
      <c r="Y732" s="25" t="s">
        <v>57</v>
      </c>
      <c r="Z732" s="38" t="s">
        <v>53</v>
      </c>
      <c r="AA732" s="1">
        <f>Z722/(AVERAGE(D728:D733)/_xlfn.STDEV.P(E728:E733))</f>
        <v>0.62955786939421754</v>
      </c>
    </row>
    <row r="733" spans="1:27">
      <c r="B733" s="13">
        <v>11</v>
      </c>
      <c r="C733" s="20" t="s">
        <v>36</v>
      </c>
      <c r="D733" s="21" cm="1">
        <f t="array" ref="D733">_xlfn.SINGLE(IF(A731=A732,_xll.ciqfunctions.udf.CIQ(A723,"IQ_TOTAL_REV",IQ_FY)/I733, _xll.ciqfunctions.udf.CIQ(A723, "IQ_TOTAL_REV",IQ_LTM)/I733))</f>
        <v>24.85192142995276</v>
      </c>
      <c r="E733" s="22">
        <f t="shared" si="195"/>
        <v>4.7783182487938634E-2</v>
      </c>
      <c r="F733" s="21">
        <f>IF(A731=A732,_xll.ciqfunctions.udf.CIQ(A723,"IQ_DILUT_EPS_EXCL",IQ_FY), _xll.ciqfunctions.udf.CIQ(A723, "IQ_DILUT_EPS_EXCL",IQ_LTM))</f>
        <v>5.5328600000000003</v>
      </c>
      <c r="G733" s="21">
        <f>IF(A731=A732,_xll.ciqfunctions.udf.CIQ(A723,"IQ_EBITDA_MARGIN",IQ_FY), _xll.ciqfunctions.udf.CIQ(A723, "IQ_EBITDA_MARGIN",IQ_LTM))</f>
        <v>32.002000000000002</v>
      </c>
      <c r="H733" s="21">
        <f>IF(A731=A732,_xll.ciqfunctions.udf.CIQ(A723,"IQ_TOTAL_DIV_PAID_CF",IQ_FY)/-I733, _xll.ciqfunctions.udf.CIQ(A723, "IQ_TOTAL_DIV_PAID_CF",IQ_LTM)/-I733)</f>
        <v>0</v>
      </c>
      <c r="I733" s="23">
        <f>IF(A731=A732,_xll.ciqfunctions.udf.CIQ(A723,"IQ_TOTAL_OUTSTANDING_FILING_DATE",IQ_FY),_xll.ciqfunctions.udf.CIQ(A723,"IQ_sharesoutstanding"))</f>
        <v>86.872799999999998</v>
      </c>
      <c r="J733" s="23">
        <f>IF(A731=A732,_xll.ciqfunctions.udf.CIQ(A723,"IQ_CASH_OPER",IQ_FY), _xll.ciqfunctions.udf.CIQ(A723, "IQ_CASH_OPER",IQ_LTM))</f>
        <v>658.37199999999996</v>
      </c>
      <c r="K733" s="23">
        <f>IF(A731=A732,_xll.ciqfunctions.udf.CIQ(A723,"IQ_CAPEX",IQ_FY), _xll.ciqfunctions.udf.CIQ(A723, "IQ_CAPEX",IQ_LTM))</f>
        <v>-25.684000000000001</v>
      </c>
      <c r="L733" s="21">
        <f t="shared" si="192"/>
        <v>7.2829239992264556</v>
      </c>
      <c r="M733" s="23">
        <f>IF(A731=A732,_xll.ciqfunctions.udf.CIQ(A723,"IQ_TOTAL_DEBT_ISSUED",IQ_FY), _xll.ciqfunctions.udf.CIQ(A723, "IQ_TOTAL_DEBT_ISSUED",IQ_LTM))</f>
        <v>0</v>
      </c>
      <c r="N733" s="23">
        <f>IF(A731=A732,_xll.ciqfunctions.udf.CIQ(A723,"IQ_TOTAL_DEBT_REPAID",IQ_FY), _xll.ciqfunctions.udf.CIQ(A723, "IQ_TOTAL_DEBT_REPAID",IQ_LTM))</f>
        <v>0</v>
      </c>
      <c r="O733" s="21">
        <f t="shared" si="193"/>
        <v>0</v>
      </c>
      <c r="P733" s="21">
        <f t="shared" si="194"/>
        <v>7.2829239992264556</v>
      </c>
      <c r="Q733" s="25" t="s">
        <v>45</v>
      </c>
      <c r="S733" s="45"/>
      <c r="U733" s="25"/>
      <c r="W733" s="45"/>
      <c r="Y733" s="25"/>
      <c r="AA733" s="45"/>
    </row>
    <row r="734" spans="1:27">
      <c r="B734" s="24"/>
      <c r="C734" s="25" t="s">
        <v>37</v>
      </c>
      <c r="E734" s="26">
        <f>((D733/D728)^(1/5))-1</f>
        <v>9.9839153904199396E-2</v>
      </c>
      <c r="F734" s="27">
        <f>((F733/F728)^(1/5))-1</f>
        <v>2.5429888623427654E-2</v>
      </c>
      <c r="G734" s="28"/>
      <c r="H734" s="27" t="e">
        <f>((H733/H728)^(1/5))-1</f>
        <v>#DIV/0!</v>
      </c>
      <c r="I734" s="27">
        <f>((I733/I728)^(1/5))-1</f>
        <v>7.2961252334469151E-3</v>
      </c>
      <c r="J734" s="27"/>
      <c r="K734" s="27"/>
      <c r="L734" s="26">
        <f>((L733/L728)^(1/5))-1</f>
        <v>5.6628135220745834E-2</v>
      </c>
      <c r="M734" s="26"/>
      <c r="N734" s="26"/>
      <c r="O734" s="26"/>
      <c r="P734" s="26">
        <f>((P733/P728)^(1/5))-1</f>
        <v>5.6628135220745834E-2</v>
      </c>
      <c r="Q734" s="18"/>
      <c r="R734" s="36"/>
      <c r="S734" s="45"/>
      <c r="U734" s="18"/>
      <c r="V734" s="36"/>
      <c r="W734" s="45"/>
      <c r="Y734" s="18"/>
      <c r="Z734" s="36"/>
      <c r="AA734" s="45"/>
    </row>
    <row r="735" spans="1:27">
      <c r="A735" s="29"/>
      <c r="B735" s="30"/>
      <c r="C735" s="31" t="s">
        <v>38</v>
      </c>
      <c r="D735" s="29"/>
      <c r="E735" s="32">
        <f>((D733/D723)^(1/10))-1</f>
        <v>0.10320272660303065</v>
      </c>
      <c r="F735" s="33">
        <f>((F733/F723)^(1/10))-1</f>
        <v>7.9277187448444586E-2</v>
      </c>
      <c r="G735" s="34"/>
      <c r="H735" s="33" t="e">
        <f>((H733/H723)^(1/10))-1</f>
        <v>#DIV/0!</v>
      </c>
      <c r="I735" s="33">
        <f>((I733/I723)^(1/10))-1</f>
        <v>-6.2992334278266782E-3</v>
      </c>
      <c r="J735" s="33"/>
      <c r="K735" s="33"/>
      <c r="L735" s="32">
        <f>((L733/L723)^(1/10))-1</f>
        <v>8.2821062116619659E-2</v>
      </c>
      <c r="M735" s="32"/>
      <c r="N735" s="32"/>
      <c r="O735" s="32"/>
      <c r="P735" s="32">
        <f>((P733/P723)^(1/10))-1</f>
        <v>0.10382032134937536</v>
      </c>
      <c r="Q735" s="40"/>
      <c r="R735" s="41"/>
      <c r="S735" s="46"/>
      <c r="U735" s="40"/>
      <c r="V735" s="41"/>
      <c r="W735" s="46"/>
      <c r="Y735" s="40"/>
      <c r="Z735" s="41"/>
      <c r="AA735" s="46"/>
    </row>
    <row r="736" spans="1:27">
      <c r="B736" s="24"/>
      <c r="C736" s="25"/>
      <c r="E736" s="26"/>
      <c r="F736" s="27"/>
      <c r="G736" s="28"/>
      <c r="H736" s="27"/>
      <c r="I736" s="27"/>
      <c r="J736" s="27"/>
      <c r="K736" s="27"/>
      <c r="L736" s="26"/>
      <c r="M736" s="17"/>
      <c r="N736" s="17"/>
      <c r="O736" s="17"/>
      <c r="P736" s="35"/>
      <c r="Q736" s="18"/>
      <c r="R736" s="36"/>
    </row>
    <row r="737" spans="1:27">
      <c r="A737" s="9" t="s">
        <v>0</v>
      </c>
      <c r="B737" s="10"/>
      <c r="C737" s="9" t="s">
        <v>1</v>
      </c>
      <c r="D737" s="9" t="s">
        <v>2</v>
      </c>
      <c r="E737" s="9" t="s">
        <v>3</v>
      </c>
      <c r="F737" s="11" t="s">
        <v>4</v>
      </c>
      <c r="G737" s="11" t="s">
        <v>5</v>
      </c>
      <c r="H737" s="9" t="s">
        <v>6</v>
      </c>
      <c r="I737" s="11" t="s">
        <v>7</v>
      </c>
      <c r="J737" s="11" t="s">
        <v>8</v>
      </c>
      <c r="K737" s="11" t="s">
        <v>9</v>
      </c>
      <c r="L737" s="11" t="s">
        <v>10</v>
      </c>
      <c r="M737" s="11" t="s">
        <v>11</v>
      </c>
      <c r="N737" s="11" t="s">
        <v>12</v>
      </c>
      <c r="O737" s="11" t="s">
        <v>13</v>
      </c>
      <c r="P737" s="11" t="s">
        <v>14</v>
      </c>
      <c r="Q737" s="37" t="s">
        <v>15</v>
      </c>
      <c r="R737" s="42">
        <f>_xll.ciqfunctions.udf.CIQ(A738,("IQ_LASTSALEPRICE"))</f>
        <v>155.6</v>
      </c>
      <c r="S737" s="44"/>
      <c r="U737" s="37" t="s">
        <v>15</v>
      </c>
      <c r="V737" s="42">
        <f>_xll.ciqfunctions.udf.CIQ(A738,("IQ_LASTSALEPRICE"))</f>
        <v>155.6</v>
      </c>
      <c r="W737" s="44"/>
      <c r="Y737" s="37" t="s">
        <v>15</v>
      </c>
      <c r="Z737" s="42">
        <f>_xll.ciqfunctions.udf.CIQ(A738,("IQ_LASTSALEPRICE"))</f>
        <v>155.6</v>
      </c>
      <c r="AA737" s="44"/>
    </row>
    <row r="738" spans="1:27">
      <c r="A738" s="12" t="str">
        <f>Analysis!B51</f>
        <v>NasdaqGS:PTC</v>
      </c>
      <c r="B738" s="13">
        <v>1</v>
      </c>
      <c r="C738" s="14" t="s">
        <v>16</v>
      </c>
      <c r="D738" s="15">
        <f>IF(A746=A747,_xll.ciqfunctions.udf.CIQ(A738,"IQ_TOTAL_REV",IQ_FY-10)/I738,_xll.ciqfunctions.udf.CIQ(A738, "IQ_TOTAL_REV",IQ_FY-9)/I738)</f>
        <v>10.825555736789411</v>
      </c>
      <c r="E738" s="16"/>
      <c r="F738" s="15">
        <f>IF(A746=A747,_xll.ciqfunctions.udf.CIQ(A738,"IQ_DILUT_EPS_EXCL",IQ_FY-10), _xll.ciqfunctions.udf.CIQ(A738, "IQ_DILUT_EPS_EXCL",IQ_FY-9))</f>
        <v>1.19</v>
      </c>
      <c r="G738" s="15">
        <f>IF(A746=A747,_xll.ciqfunctions.udf.CIQ(A738,"IQ_EBITDA_MARGIN",IQ_FY-10), _xll.ciqfunctions.udf.CIQ(A738, "IQ_EBITDA_MARGIN",IQ_FY-9))</f>
        <v>19.124700000000001</v>
      </c>
      <c r="H738" s="15">
        <f>IF(A746=A747,_xll.ciqfunctions.udf.CIQ(A738,"IQ_TOTAL_DIV_PAID_CF",IQ_FY-10)/-I738, _xll.ciqfunctions.udf.CIQ(A738, "IQ_TOTAL_DIV_PAID_CF",IQ_FY-9)/-I738)</f>
        <v>0</v>
      </c>
      <c r="I738" s="17">
        <f>IF(A746=A747,_xll.ciqfunctions.udf.CIQ(A738,"IQ_TOTAL_OUTSTANDING_FILING_DATE",IQ_FY-10), _xll.ciqfunctions.udf.CIQ(A738, "IQ_TOTAL_OUTSTANDING_FILING_DATE",IQ_FY-9))</f>
        <v>119.48957</v>
      </c>
      <c r="J738" s="17">
        <f>IF(A746=A747,_xll.ciqfunctions.udf.CIQ(A738,"IQ_CASH_OPER",IQ_FY-10), _xll.ciqfunctions.udf.CIQ(A738, "IQ_CASH_OPER",IQ_FY-9))</f>
        <v>224.68299999999999</v>
      </c>
      <c r="K738" s="17">
        <f>IF(A746=A747,_xll.ciqfunctions.udf.CIQ(A738,"IQ_CAPEX",IQ_FY-10), _xll.ciqfunctions.udf.CIQ(A738, "IQ_CAPEX",IQ_FY-9))</f>
        <v>-29.327999999999999</v>
      </c>
      <c r="L738" s="15">
        <f t="shared" ref="L738:L748" si="196">(J738+K738)/I738</f>
        <v>1.6349125701933649</v>
      </c>
      <c r="M738" s="17">
        <f>IF(A746=A747,_xll.ciqfunctions.udf.CIQ(A738,"IQ_TOTAL_DEBT_ISSUED",IQ_FY-10), _xll.ciqfunctions.udf.CIQ(A738, "IQ_TOTAL_DEBT_ISSUED",IQ_FY-9))</f>
        <v>0</v>
      </c>
      <c r="N738" s="17">
        <f>IF(A746=A747,_xll.ciqfunctions.udf.CIQ(A738,"IQ_TOTAL_DEBT_REPAID",IQ_FY-10), _xll.ciqfunctions.udf.CIQ(A738, "IQ_TOTAL_DEBT_REPAID",IQ_FY-9))</f>
        <v>-111.875</v>
      </c>
      <c r="O738" s="15">
        <f t="shared" ref="O738:O748" si="197">(M738+N738)/I738</f>
        <v>-0.93627418694368048</v>
      </c>
      <c r="P738" s="15">
        <f t="shared" ref="P738:P748" si="198">L738+O738</f>
        <v>0.69863838324968441</v>
      </c>
      <c r="W738" s="43"/>
      <c r="AA738" s="43"/>
    </row>
    <row r="739" spans="1:27">
      <c r="A739" s="18" t="str">
        <f>_xll.ciqfunctions.udf.CIQ(A738,"IQ_COMPANY_NAME")</f>
        <v>PTC Inc.</v>
      </c>
      <c r="B739" s="13">
        <v>2</v>
      </c>
      <c r="C739" s="14" t="s">
        <v>17</v>
      </c>
      <c r="D739" s="15">
        <f>IF(A746=A747,_xll.ciqfunctions.udf.CIQ(A738,"IQ_TOTAL_REV",IQ_FY-9)/I739, _xll.ciqfunctions.udf.CIQ(A738, "IQ_TOTAL_REV",IQ_FY-8)/I739)</f>
        <v>11.698475454156725</v>
      </c>
      <c r="E739" s="16">
        <f t="shared" ref="E739:E748" si="199">(D739-D738)/D738</f>
        <v>8.0635095194309142E-2</v>
      </c>
      <c r="F739" s="15">
        <f>IF(A746=A747,_xll.ciqfunctions.udf.CIQ(A738,"IQ_DILUT_EPS_EXCL",IQ_FY-9), _xll.ciqfunctions.udf.CIQ(A738, "IQ_DILUT_EPS_EXCL",IQ_FY-8))</f>
        <v>1.34</v>
      </c>
      <c r="G739" s="15">
        <f>IF(A746=A747,_xll.ciqfunctions.udf.CIQ(A738,"IQ_EBITDA_MARGIN",IQ_FY-9), _xll.ciqfunctions.udf.CIQ(A738, "IQ_EBITDA_MARGIN",IQ_FY-8))</f>
        <v>21.8779</v>
      </c>
      <c r="H739" s="15">
        <f>IF(A746=A747,_xll.ciqfunctions.udf.CIQ(A738,"IQ_TOTAL_DIV_PAID_CF",IQ_FY-9)/-I739, _xll.ciqfunctions.udf.CIQ(A738, "IQ_TOTAL_DIV_PAID_CF",IQ_FY-8)/-I739)</f>
        <v>0</v>
      </c>
      <c r="I739" s="17">
        <f>IF(A746=A747,_xll.ciqfunctions.udf.CIQ(A738,"IQ_TOTAL_OUTSTANDING_FILING_DATE",IQ_FY-9), _xll.ciqfunctions.udf.CIQ(A738, "IQ_TOTAL_OUTSTANDING_FILING_DATE",IQ_FY-8))</f>
        <v>115.9952</v>
      </c>
      <c r="J739" s="17">
        <f>IF(A746=A747,_xll.ciqfunctions.udf.CIQ(A738,"IQ_CASH_OPER",IQ_FY-9), _xll.ciqfunctions.udf.CIQ(A738, "IQ_CASH_OPER",IQ_FY-8))</f>
        <v>304.55200000000002</v>
      </c>
      <c r="K739" s="17">
        <f>IF(A746=A747,_xll.ciqfunctions.udf.CIQ(A738,"IQ_CAPEX",IQ_FY-9), _xll.ciqfunctions.udf.CIQ(A738, "IQ_CAPEX",IQ_FY-8))</f>
        <v>-25.274999999999999</v>
      </c>
      <c r="L739" s="15">
        <f t="shared" si="196"/>
        <v>2.4076599721367784</v>
      </c>
      <c r="M739" s="17">
        <f>IF(A746=A747,_xll.ciqfunctions.udf.CIQ(A738,"IQ_TOTAL_DEBT_ISSUED",IQ_FY-9), _xll.ciqfunctions.udf.CIQ(A738, "IQ_TOTAL_DEBT_ISSUED",IQ_FY-8))</f>
        <v>1386.25</v>
      </c>
      <c r="N739" s="17">
        <f>IF(A746=A747,_xll.ciqfunctions.udf.CIQ(A738,"IQ_TOTAL_DEBT_REPAID",IQ_FY-9), _xll.ciqfunctions.udf.CIQ(A738, "IQ_TOTAL_DEBT_REPAID",IQ_FY-8))</f>
        <v>-1032.5</v>
      </c>
      <c r="O739" s="15">
        <f t="shared" si="197"/>
        <v>3.0496951597997159</v>
      </c>
      <c r="P739" s="15">
        <f t="shared" si="198"/>
        <v>5.4573551319364944</v>
      </c>
      <c r="Q739" s="25" t="s">
        <v>18</v>
      </c>
      <c r="R739" s="39" t="s">
        <v>19</v>
      </c>
      <c r="S739" s="1">
        <f>R737/((AVERAGE(P743:P748))*(1+E749)^3)</f>
        <v>27.080344784957912</v>
      </c>
      <c r="U739" s="25" t="s">
        <v>48</v>
      </c>
      <c r="V739" s="39" t="s">
        <v>19</v>
      </c>
      <c r="W739" s="1">
        <f>V737/((AVERAGE(P743:P748))*(1+E749)^3)</f>
        <v>27.080344784957912</v>
      </c>
      <c r="Y739" s="25" t="s">
        <v>39</v>
      </c>
      <c r="Z739" s="39" t="s">
        <v>19</v>
      </c>
      <c r="AA739" s="1">
        <f>Z737/((AVERAGE(P743:P748))*(1+E749)^3)</f>
        <v>27.080344784957912</v>
      </c>
    </row>
    <row r="740" spans="1:27">
      <c r="B740" s="13">
        <v>3</v>
      </c>
      <c r="C740" s="14" t="s">
        <v>20</v>
      </c>
      <c r="D740" s="15" cm="1">
        <f t="array" ref="D740">_xlfn.SINGLE(IF(A746=A747,_xll.ciqfunctions.udf.CIQ(A738,"IQ_TOTAL_REV",IQ_FY-8)/I740, _xll.ciqfunctions.udf.CIQ(A738, "IQ_TOTAL_REV",IQ_FY-7)/I740))</f>
        <v>10.959992302417211</v>
      </c>
      <c r="E740" s="16">
        <f t="shared" si="199"/>
        <v>-6.3126443666393695E-2</v>
      </c>
      <c r="F740" s="15">
        <f>IF(A746=A747,_xll.ciqfunctions.udf.CIQ(A738,"IQ_DILUT_EPS_EXCL",IQ_FY-8), _xll.ciqfunctions.udf.CIQ(A738, "IQ_DILUT_EPS_EXCL",IQ_FY-7))</f>
        <v>0.41</v>
      </c>
      <c r="G740" s="15">
        <f>IF(A746=A747,_xll.ciqfunctions.udf.CIQ(A738,"IQ_EBITDA_MARGIN",IQ_FY-8), _xll.ciqfunctions.udf.CIQ(A738, "IQ_EBITDA_MARGIN",IQ_FY-7))</f>
        <v>20.194299999999998</v>
      </c>
      <c r="H740" s="15">
        <f>IF(A746=A747,_xll.ciqfunctions.udf.CIQ(A738,"IQ_TOTAL_DIV_PAID_CF",IQ_FY-8)/-I740, _xll.ciqfunctions.udf.CIQ(A738, "IQ_TOTAL_DIV_PAID_CF",IQ_FY-7)/-I740)</f>
        <v>0</v>
      </c>
      <c r="I740" s="17">
        <f>IF(A746=A747,_xll.ciqfunctions.udf.CIQ(A738,"IQ_TOTAL_OUTSTANDING_FILING_DATE",IQ_FY-8), _xll.ciqfunctions.udf.CIQ(A738, "IQ_TOTAL_OUTSTANDING_FILING_DATE",IQ_FY-7))</f>
        <v>114.52946</v>
      </c>
      <c r="J740" s="17">
        <f>IF(A746=A747,_xll.ciqfunctions.udf.CIQ(A738,"IQ_CASH_OPER",IQ_FY-8), _xll.ciqfunctions.udf.CIQ(A738, "IQ_CASH_OPER",IQ_FY-7))</f>
        <v>179.90299999999999</v>
      </c>
      <c r="K740" s="17">
        <f>IF(A746=A747,_xll.ciqfunctions.udf.CIQ(A738,"IQ_CAPEX",IQ_FY-8), _xll.ciqfunctions.udf.CIQ(A738, "IQ_CAPEX",IQ_FY-7))</f>
        <v>-30.628</v>
      </c>
      <c r="L740" s="15">
        <f t="shared" si="196"/>
        <v>1.3033764413103841</v>
      </c>
      <c r="M740" s="17">
        <f>IF(A746=A747,_xll.ciqfunctions.udf.CIQ(A738,"IQ_TOTAL_DEBT_ISSUED",IQ_FY-8), _xll.ciqfunctions.udf.CIQ(A738, "IQ_TOTAL_DEBT_ISSUED",IQ_FY-7))</f>
        <v>185</v>
      </c>
      <c r="N740" s="17">
        <f>IF(A746=A747,_xll.ciqfunctions.udf.CIQ(A738,"IQ_TOTAL_DEBT_REPAID",IQ_FY-8), _xll.ciqfunctions.udf.CIQ(A738, "IQ_TOTAL_DEBT_REPAID",IQ_FY-7))</f>
        <v>-128.75</v>
      </c>
      <c r="O740" s="15">
        <f t="shared" si="197"/>
        <v>0.49114000886758741</v>
      </c>
      <c r="P740" s="15">
        <f t="shared" si="198"/>
        <v>1.7945164501779716</v>
      </c>
      <c r="Q740" s="25" t="s">
        <v>21</v>
      </c>
      <c r="R740" s="38" t="s">
        <v>49</v>
      </c>
      <c r="S740" s="2">
        <f>(R737*I748)/1000</f>
        <v>18.554483099999999</v>
      </c>
      <c r="U740" s="25" t="s">
        <v>59</v>
      </c>
      <c r="V740" s="38" t="s">
        <v>49</v>
      </c>
      <c r="W740" s="2">
        <f>(V737*I748)/1000</f>
        <v>18.554483099999999</v>
      </c>
      <c r="Y740" s="25" t="s">
        <v>46</v>
      </c>
      <c r="Z740" s="38" t="s">
        <v>49</v>
      </c>
      <c r="AA740" s="2">
        <f>(Z737*I748)/1000</f>
        <v>18.554483099999999</v>
      </c>
    </row>
    <row r="741" spans="1:27">
      <c r="A741" s="18"/>
      <c r="B741" s="13">
        <v>4</v>
      </c>
      <c r="C741" s="14" t="s">
        <v>22</v>
      </c>
      <c r="D741" s="15" cm="1">
        <f t="array" ref="D741">_xlfn.SINGLE(IF(A746=A747,_xll.ciqfunctions.udf.CIQ(A738,"IQ_TOTAL_REV",IQ_FY-7)/I741, _xll.ciqfunctions.udf.CIQ(A738, "IQ_TOTAL_REV",IQ_FY-6)/I741))</f>
        <v>9.8658516552741933</v>
      </c>
      <c r="E741" s="16">
        <f t="shared" si="199"/>
        <v>-9.9830421131017269E-2</v>
      </c>
      <c r="F741" s="15">
        <f>IF(A746=A747,_xll.ciqfunctions.udf.CIQ(A738,"IQ_DILUT_EPS_EXCL",IQ_FY-7), _xll.ciqfunctions.udf.CIQ(A738, "IQ_DILUT_EPS_EXCL",IQ_FY-6))</f>
        <v>-0.48</v>
      </c>
      <c r="G741" s="15">
        <f>IF(A746=A747,_xll.ciqfunctions.udf.CIQ(A738,"IQ_EBITDA_MARGIN",IQ_FY-7), _xll.ciqfunctions.udf.CIQ(A738, "IQ_EBITDA_MARGIN",IQ_FY-6))</f>
        <v>9.1806999999999999</v>
      </c>
      <c r="H741" s="15">
        <f>IF(A746=A747,_xll.ciqfunctions.udf.CIQ(A738,"IQ_TOTAL_DIV_PAID_CF",IQ_FY-7)/-I741, _xll.ciqfunctions.udf.CIQ(A738, "IQ_TOTAL_DIV_PAID_CF",IQ_FY-6)/-I741)</f>
        <v>0</v>
      </c>
      <c r="I741" s="17">
        <f>IF(A746=A747,_xll.ciqfunctions.udf.CIQ(A738,"IQ_TOTAL_OUTSTANDING_FILING_DATE",IQ_FY-7), _xll.ciqfunctions.udf.CIQ(A738, "IQ_TOTAL_OUTSTANDING_FILING_DATE",IQ_FY-6))</f>
        <v>115.60411000000001</v>
      </c>
      <c r="J741" s="17">
        <f>IF(A746=A747,_xll.ciqfunctions.udf.CIQ(A738,"IQ_CASH_OPER",IQ_FY-7), _xll.ciqfunctions.udf.CIQ(A738, "IQ_CASH_OPER",IQ_FY-6))</f>
        <v>183.261</v>
      </c>
      <c r="K741" s="17">
        <f>IF(A746=A747,_xll.ciqfunctions.udf.CIQ(A738,"IQ_CAPEX",IQ_FY-7), _xll.ciqfunctions.udf.CIQ(A738, "IQ_CAPEX",IQ_FY-6))</f>
        <v>-26.189</v>
      </c>
      <c r="L741" s="15">
        <f t="shared" si="196"/>
        <v>1.3587060183240889</v>
      </c>
      <c r="M741" s="17">
        <f>IF(A746=A747,_xll.ciqfunctions.udf.CIQ(A738,"IQ_TOTAL_DEBT_ISSUED",IQ_FY-7), _xll.ciqfunctions.udf.CIQ(A738, "IQ_TOTAL_DEBT_ISSUED",IQ_FY-6))</f>
        <v>670</v>
      </c>
      <c r="N741" s="17">
        <f>IF(A746=A747,_xll.ciqfunctions.udf.CIQ(A738,"IQ_TOTAL_DEBT_REPAID",IQ_FY-7), _xll.ciqfunctions.udf.CIQ(A738, "IQ_TOTAL_DEBT_REPAID",IQ_FY-6))</f>
        <v>-580</v>
      </c>
      <c r="O741" s="15">
        <f t="shared" si="197"/>
        <v>0.77851903362259345</v>
      </c>
      <c r="P741" s="15">
        <f t="shared" si="198"/>
        <v>2.1372250519466824</v>
      </c>
      <c r="Q741" s="25" t="s">
        <v>23</v>
      </c>
      <c r="R741" s="38" t="s">
        <v>24</v>
      </c>
      <c r="S741" s="1" t="e">
        <f>R737/(AVERAGE(H743:H748)*(1+H749)/(0.5-H749))</f>
        <v>#DIV/0!</v>
      </c>
      <c r="U741" s="25" t="s">
        <v>40</v>
      </c>
      <c r="V741" s="38" t="s">
        <v>24</v>
      </c>
      <c r="W741" s="1" t="e">
        <f>V737/(AVERAGE(H743:H748)*(1+H749)/(0.5-H749))</f>
        <v>#DIV/0!</v>
      </c>
      <c r="Y741" s="25" t="s">
        <v>47</v>
      </c>
      <c r="Z741" s="38" t="s">
        <v>24</v>
      </c>
      <c r="AA741" s="1" t="e">
        <f>Z737/(AVERAGE(H743:H748)*(1+H749)/(0.5-H749))</f>
        <v>#DIV/0!</v>
      </c>
    </row>
    <row r="742" spans="1:27">
      <c r="B742" s="13">
        <v>5</v>
      </c>
      <c r="C742" s="14" t="s">
        <v>25</v>
      </c>
      <c r="D742" s="15" cm="1">
        <f t="array" ref="D742">_xlfn.SINGLE(IF(A746=A747,_xll.ciqfunctions.udf.CIQ(A738,"IQ_TOTAL_REV",IQ_FY-6)/I742, _xll.ciqfunctions.udf.CIQ(A738, "IQ_TOTAL_REV",IQ_FY-5)/I742))</f>
        <v>10.023993053019979</v>
      </c>
      <c r="E742" s="16">
        <f t="shared" si="199"/>
        <v>1.6029168415607014E-2</v>
      </c>
      <c r="F742" s="15">
        <f>IF(A746=A747,_xll.ciqfunctions.udf.CIQ(A738,"IQ_DILUT_EPS_EXCL",IQ_FY-6), _xll.ciqfunctions.udf.CIQ(A738, "IQ_DILUT_EPS_EXCL",IQ_FY-5))</f>
        <v>0.05</v>
      </c>
      <c r="G742" s="15">
        <f>IF(A746=A747,_xll.ciqfunctions.udf.CIQ(A738,"IQ_EBITDA_MARGIN",IQ_FY-6), _xll.ciqfunctions.udf.CIQ(A738, "IQ_EBITDA_MARGIN",IQ_FY-5))</f>
        <v>9.4953000000000003</v>
      </c>
      <c r="H742" s="15">
        <f>IF(A746=A747,_xll.ciqfunctions.udf.CIQ(A738,"IQ_TOTAL_DIV_PAID_CF",IQ_FY-6)/-I742, _xll.ciqfunctions.udf.CIQ(A738, "IQ_TOTAL_DIV_PAID_CF",IQ_FY-5)/-I742)</f>
        <v>0</v>
      </c>
      <c r="I742" s="17">
        <f>IF(A746=A747,_xll.ciqfunctions.udf.CIQ(A738,"IQ_TOTAL_OUTSTANDING_FILING_DATE",IQ_FY-6), _xll.ciqfunctions.udf.CIQ(A738, "IQ_TOTAL_OUTSTANDING_FILING_DATE",IQ_FY-5))</f>
        <v>116.12528</v>
      </c>
      <c r="J742" s="17">
        <f>IF(A746=A747,_xll.ciqfunctions.udf.CIQ(A738,"IQ_CASH_OPER",IQ_FY-6), _xll.ciqfunctions.udf.CIQ(A738, "IQ_CASH_OPER",IQ_FY-5))</f>
        <v>135.203</v>
      </c>
      <c r="K742" s="17">
        <f>IF(A746=A747,_xll.ciqfunctions.udf.CIQ(A738,"IQ_CAPEX",IQ_FY-6), _xll.ciqfunctions.udf.CIQ(A738, "IQ_CAPEX",IQ_FY-5))</f>
        <v>-25.443999999999999</v>
      </c>
      <c r="L742" s="15">
        <f t="shared" si="196"/>
        <v>0.94517748417915548</v>
      </c>
      <c r="M742" s="17">
        <f>IF(A746=A747,_xll.ciqfunctions.udf.CIQ(A738,"IQ_TOTAL_DEBT_ISSUED",IQ_FY-6), _xll.ciqfunctions.udf.CIQ(A738, "IQ_TOTAL_DEBT_ISSUED",IQ_FY-5))</f>
        <v>150</v>
      </c>
      <c r="N742" s="17">
        <f>IF(A746=A747,_xll.ciqfunctions.udf.CIQ(A738,"IQ_TOTAL_DEBT_REPAID",IQ_FY-6), _xll.ciqfunctions.udf.CIQ(A738, "IQ_TOTAL_DEBT_REPAID",IQ_FY-5))</f>
        <v>-190</v>
      </c>
      <c r="O742" s="15">
        <f t="shared" si="197"/>
        <v>-0.3444555741867748</v>
      </c>
      <c r="P742" s="15">
        <f t="shared" si="198"/>
        <v>0.60072190999238062</v>
      </c>
      <c r="Q742" s="18"/>
      <c r="R742" s="38" t="s">
        <v>50</v>
      </c>
      <c r="S742" s="3">
        <f>I749</f>
        <v>9.5794190891207442E-4</v>
      </c>
      <c r="U742" s="18"/>
      <c r="V742" s="38" t="s">
        <v>50</v>
      </c>
      <c r="W742" s="3">
        <f>I749</f>
        <v>9.5794190891207442E-4</v>
      </c>
      <c r="Y742" s="18"/>
      <c r="Z742" s="38" t="s">
        <v>50</v>
      </c>
      <c r="AA742" s="3">
        <f>I749</f>
        <v>9.5794190891207442E-4</v>
      </c>
    </row>
    <row r="743" spans="1:27">
      <c r="B743" s="13">
        <v>6</v>
      </c>
      <c r="C743" s="14" t="s">
        <v>26</v>
      </c>
      <c r="D743" s="15" cm="1">
        <f t="array" ref="D743">_xlfn.SINGLE(IF(A746=A747,_xll.ciqfunctions.udf.CIQ(A738,"IQ_TOTAL_REV",IQ_FY-5)/I743, _xll.ciqfunctions.udf.CIQ(A738, "IQ_TOTAL_REV",IQ_FY-4)/I743))</f>
        <v>10.464052990328902</v>
      </c>
      <c r="E743" s="16">
        <f t="shared" si="199"/>
        <v>4.3900662638263151E-2</v>
      </c>
      <c r="F743" s="15">
        <f>IF(A746=A747,_xll.ciqfunctions.udf.CIQ(A738,"IQ_DILUT_EPS_EXCL",IQ_FY-5), _xll.ciqfunctions.udf.CIQ(A738, "IQ_DILUT_EPS_EXCL",IQ_FY-4))</f>
        <v>0.44</v>
      </c>
      <c r="G743" s="15">
        <f>IF(A746=A747,_xll.ciqfunctions.udf.CIQ(A738,"IQ_EBITDA_MARGIN",IQ_FY-5), _xll.ciqfunctions.udf.CIQ(A738, "IQ_EBITDA_MARGIN",IQ_FY-4))</f>
        <v>10.7424</v>
      </c>
      <c r="H743" s="15">
        <f>IF(A746=A747,_xll.ciqfunctions.udf.CIQ(A738,"IQ_TOTAL_DIV_PAID_CF",IQ_FY-5)/-I743, _xll.ciqfunctions.udf.CIQ(A738, "IQ_TOTAL_DIV_PAID_CF",IQ_FY-4)/-I743)</f>
        <v>0</v>
      </c>
      <c r="I743" s="17">
        <f>IF(A746=A747,_xll.ciqfunctions.udf.CIQ(A738,"IQ_TOTAL_OUTSTANDING_FILING_DATE",IQ_FY-5), _xll.ciqfunctions.udf.CIQ(A738, "IQ_TOTAL_OUTSTANDING_FILING_DATE",IQ_FY-4))</f>
        <v>118.67524</v>
      </c>
      <c r="J743" s="17">
        <f>IF(A746=A747,_xll.ciqfunctions.udf.CIQ(A738,"IQ_CASH_OPER",IQ_FY-5), _xll.ciqfunctions.udf.CIQ(A738, "IQ_CASH_OPER",IQ_FY-4))</f>
        <v>247.75200000000001</v>
      </c>
      <c r="K743" s="17">
        <f>IF(A746=A747,_xll.ciqfunctions.udf.CIQ(A738,"IQ_CAPEX",IQ_FY-5), _xll.ciqfunctions.udf.CIQ(A738, "IQ_CAPEX",IQ_FY-4))</f>
        <v>-36.040999999999997</v>
      </c>
      <c r="L743" s="15">
        <f t="shared" si="196"/>
        <v>1.7839525751117082</v>
      </c>
      <c r="M743" s="17">
        <f>IF(A746=A747,_xll.ciqfunctions.udf.CIQ(A738,"IQ_TOTAL_DEBT_ISSUED",IQ_FY-5), _xll.ciqfunctions.udf.CIQ(A738, "IQ_TOTAL_DEBT_ISSUED",IQ_FY-4))</f>
        <v>250</v>
      </c>
      <c r="N743" s="17">
        <f>IF(A746=A747,_xll.ciqfunctions.udf.CIQ(A738,"IQ_TOTAL_DEBT_REPAID",IQ_FY-5), _xll.ciqfunctions.udf.CIQ(A738, "IQ_TOTAL_DEBT_REPAID",IQ_FY-4))</f>
        <v>-320</v>
      </c>
      <c r="O743" s="15">
        <f t="shared" si="197"/>
        <v>-0.58984502580319198</v>
      </c>
      <c r="P743" s="15">
        <f t="shared" si="198"/>
        <v>1.1941075493085163</v>
      </c>
      <c r="Q743" s="25" t="s">
        <v>27</v>
      </c>
      <c r="R743" s="38" t="s">
        <v>51</v>
      </c>
      <c r="S743" s="4">
        <f>AVERAGE(F743:F748)/AVERAGE(D743:D748)</f>
        <v>0.12097594680147074</v>
      </c>
      <c r="U743" s="25" t="s">
        <v>58</v>
      </c>
      <c r="V743" s="38" t="s">
        <v>51</v>
      </c>
      <c r="W743" s="4">
        <f>AVERAGE(F743:F748)/AVERAGE(D743:D748)</f>
        <v>0.12097594680147074</v>
      </c>
      <c r="Y743" s="25" t="s">
        <v>56</v>
      </c>
      <c r="Z743" s="38" t="s">
        <v>51</v>
      </c>
      <c r="AA743" s="4">
        <f>AVERAGE(F743:F748)/AVERAGE(D743:D748)</f>
        <v>0.12097594680147074</v>
      </c>
    </row>
    <row r="744" spans="1:27">
      <c r="A744" s="18"/>
      <c r="B744" s="13">
        <v>7</v>
      </c>
      <c r="C744" s="14" t="s">
        <v>28</v>
      </c>
      <c r="D744" s="15" cm="1">
        <f t="array" ref="D744">_xlfn.SINGLE(IF(A746=A747,_xll.ciqfunctions.udf.CIQ(A738,"IQ_TOTAL_REV",IQ_FY-4)/I744, _xll.ciqfunctions.udf.CIQ(A738, "IQ_TOTAL_REV",IQ_FY-3)/I744))</f>
        <v>10.871947448817997</v>
      </c>
      <c r="E744" s="16">
        <f t="shared" si="199"/>
        <v>3.89805421346852E-2</v>
      </c>
      <c r="F744" s="15">
        <f>IF(A746=A747,_xll.ciqfunctions.udf.CIQ(A738,"IQ_DILUT_EPS_EXCL",IQ_FY-4), _xll.ciqfunctions.udf.CIQ(A738, "IQ_DILUT_EPS_EXCL",IQ_FY-3))</f>
        <v>-0.23326</v>
      </c>
      <c r="G744" s="15">
        <f>IF(A746=A747,_xll.ciqfunctions.udf.CIQ(A738,"IQ_EBITDA_MARGIN",IQ_FY-4), _xll.ciqfunctions.udf.CIQ(A738, "IQ_EBITDA_MARGIN",IQ_FY-3))</f>
        <v>13.2241</v>
      </c>
      <c r="H744" s="15">
        <f>IF(A746=A747,_xll.ciqfunctions.udf.CIQ(A738,"IQ_TOTAL_DIV_PAID_CF",IQ_FY-4)/-I744, _xll.ciqfunctions.udf.CIQ(A738, "IQ_TOTAL_DIV_PAID_CF",IQ_FY-3)/-I744)</f>
        <v>0</v>
      </c>
      <c r="I744" s="17">
        <f>IF(A746=A747,_xll.ciqfunctions.udf.CIQ(A738,"IQ_TOTAL_OUTSTANDING_FILING_DATE",IQ_FY-4), _xll.ciqfunctions.udf.CIQ(A738, "IQ_TOTAL_OUTSTANDING_FILING_DATE",IQ_FY-3))</f>
        <v>115.49274</v>
      </c>
      <c r="J744" s="17">
        <f>IF(A746=A747,_xll.ciqfunctions.udf.CIQ(A738,"IQ_CASH_OPER",IQ_FY-4), _xll.ciqfunctions.udf.CIQ(A738, "IQ_CASH_OPER",IQ_FY-3))</f>
        <v>285.14499999999998</v>
      </c>
      <c r="K744" s="17">
        <f>IF(A746=A747,_xll.ciqfunctions.udf.CIQ(A738,"IQ_CAPEX",IQ_FY-4), _xll.ciqfunctions.udf.CIQ(A738, "IQ_CAPEX",IQ_FY-3))</f>
        <v>-64.411000000000001</v>
      </c>
      <c r="L744" s="15">
        <f t="shared" si="196"/>
        <v>1.9112370180151583</v>
      </c>
      <c r="M744" s="17">
        <f>IF(A746=A747,_xll.ciqfunctions.udf.CIQ(A738,"IQ_TOTAL_DEBT_ISSUED",IQ_FY-4), _xll.ciqfunctions.udf.CIQ(A738, "IQ_TOTAL_DEBT_ISSUED",IQ_FY-3))</f>
        <v>205</v>
      </c>
      <c r="N744" s="17">
        <f>IF(A746=A747,_xll.ciqfunctions.udf.CIQ(A738,"IQ_TOTAL_DEBT_REPAID",IQ_FY-4), _xll.ciqfunctions.udf.CIQ(A738, "IQ_TOTAL_DEBT_REPAID",IQ_FY-3))</f>
        <v>-180</v>
      </c>
      <c r="O744" s="15">
        <f t="shared" si="197"/>
        <v>0.21646382274764631</v>
      </c>
      <c r="P744" s="15">
        <f t="shared" si="198"/>
        <v>2.1277008407628046</v>
      </c>
      <c r="Q744" s="18"/>
      <c r="R744" s="38" t="s">
        <v>29</v>
      </c>
      <c r="S744" s="4">
        <f>(AVERAGE(P743:P748)/_xlfn.STDEV.P(P743:P748))/(IF(A746=A747,(_xlfn.SINGLE(_xll.ciqfunctions.udf.CIQ(A738,"IQ_total_assets",IQ_FY)) - _xlfn.SINGLE(_xll.ciqfunctions.udf.CIQ(A738,"iq_gw_intan", IQ_FY)))/I748, (_xlfn.SINGLE(_xll.ciqfunctions.udf.CIQ(A738, "IQ_total_assets",IQ_LTM))-_xlfn.SINGLE(_xll.ciqfunctions.udf.CIQ(A738,"iq_gw_intan",IQ_LTM)))/I748))</f>
        <v>0.1054558699757564</v>
      </c>
      <c r="U744" s="18"/>
      <c r="V744" s="38" t="s">
        <v>29</v>
      </c>
      <c r="W744" s="4">
        <f>(AVERAGE(P743:P748)/_xlfn.STDEV.P(P743:P748))/(IF(A746=A747,(_xlfn.SINGLE(_xll.ciqfunctions.udf.CIQ(A738,"IQ_total_assets",IQ_FY)) - _xlfn.SINGLE(_xll.ciqfunctions.udf.CIQ(A738,"iq_gw_intan", IQ_FY)))/I748, (_xlfn.SINGLE(_xll.ciqfunctions.udf.CIQ(A738, "IQ_total_assets",IQ_LTM))-_xlfn.SINGLE(_xll.ciqfunctions.udf.CIQ(A738,"iq_gw_intan",IQ_LTM)))/I748))</f>
        <v>0.1054558699757564</v>
      </c>
      <c r="Y744" s="18"/>
      <c r="Z744" s="38" t="s">
        <v>29</v>
      </c>
      <c r="AA744" s="4">
        <f>(AVERAGE(P743:P748)/_xlfn.STDEV.P(P743:P748))/(IF(A746=A747,(_xlfn.SINGLE(_xll.ciqfunctions.udf.CIQ(A738,"IQ_total_assets",IQ_FY)) - _xlfn.SINGLE(_xll.ciqfunctions.udf.CIQ(A738,"iq_gw_intan", IQ_FY)))/I748, (_xlfn.SINGLE(_xll.ciqfunctions.udf.CIQ(A738, "IQ_total_assets",IQ_LTM))-_xlfn.SINGLE(_xll.ciqfunctions.udf.CIQ(A738,"iq_gw_intan",IQ_LTM)))/I748))</f>
        <v>0.1054558699757564</v>
      </c>
    </row>
    <row r="745" spans="1:27">
      <c r="A745" s="18"/>
      <c r="B745" s="13">
        <v>8</v>
      </c>
      <c r="C745" s="14" t="s">
        <v>30</v>
      </c>
      <c r="D745" s="15" cm="1">
        <f t="array" ref="D745">_xlfn.SINGLE(IF(A746=A747,_xll.ciqfunctions.udf.CIQ(A738,"IQ_TOTAL_REV",IQ_FY-3)/I745, _xll.ciqfunctions.udf.CIQ(A738, "IQ_TOTAL_REV",IQ_FY-2)/I745))</f>
        <v>12.501117537325747</v>
      </c>
      <c r="E745" s="16">
        <f t="shared" si="199"/>
        <v>0.14985080604716083</v>
      </c>
      <c r="F745" s="15">
        <f>IF(A746=A747,_xll.ciqfunctions.udf.CIQ(A738,"IQ_DILUT_EPS_EXCL",IQ_FY-3), _xll.ciqfunctions.udf.CIQ(A738, "IQ_DILUT_EPS_EXCL",IQ_FY-2))</f>
        <v>1.1200000000000001</v>
      </c>
      <c r="G745" s="15">
        <f>IF(A746=A747,_xll.ciqfunctions.udf.CIQ(A738,"IQ_EBITDA_MARGIN",IQ_FY-3), _xll.ciqfunctions.udf.CIQ(A738, "IQ_EBITDA_MARGIN",IQ_FY-2))</f>
        <v>20.872399999999999</v>
      </c>
      <c r="H745" s="15">
        <f>IF(A746=A747,_xll.ciqfunctions.udf.CIQ(A738,"IQ_TOTAL_DIV_PAID_CF",IQ_FY-3)/-I745, _xll.ciqfunctions.udf.CIQ(A738, "IQ_TOTAL_DIV_PAID_CF",IQ_FY-2)/-I745)</f>
        <v>0</v>
      </c>
      <c r="I745" s="17">
        <f>IF(A746=A747,_xll.ciqfunctions.udf.CIQ(A738,"IQ_TOTAL_OUTSTANDING_FILING_DATE",IQ_FY-3), _xll.ciqfunctions.udf.CIQ(A738, "IQ_TOTAL_OUTSTANDING_FILING_DATE",IQ_FY-2))</f>
        <v>116.66276999999999</v>
      </c>
      <c r="J745" s="17">
        <f>IF(A746=A747,_xll.ciqfunctions.udf.CIQ(A738,"IQ_CASH_OPER",IQ_FY-3), _xll.ciqfunctions.udf.CIQ(A738, "IQ_CASH_OPER",IQ_FY-2))</f>
        <v>233.80799999999999</v>
      </c>
      <c r="K745" s="17">
        <f>IF(A746=A747,_xll.ciqfunctions.udf.CIQ(A738,"IQ_CAPEX",IQ_FY-3), _xll.ciqfunctions.udf.CIQ(A738, "IQ_CAPEX",IQ_FY-2))</f>
        <v>-20.196000000000002</v>
      </c>
      <c r="L745" s="15">
        <f t="shared" si="196"/>
        <v>1.8310211561066141</v>
      </c>
      <c r="M745" s="17">
        <f>IF(A746=A747,_xll.ciqfunctions.udf.CIQ(A738,"IQ_TOTAL_DEBT_ISSUED",IQ_FY-3), _xll.ciqfunctions.udf.CIQ(A738, "IQ_TOTAL_DEBT_ISSUED",IQ_FY-2))</f>
        <v>1455</v>
      </c>
      <c r="N745" s="17">
        <f>IF(A746=A747,_xll.ciqfunctions.udf.CIQ(A738,"IQ_TOTAL_DEBT_REPAID",IQ_FY-3), _xll.ciqfunctions.udf.CIQ(A738, "IQ_TOTAL_DEBT_REPAID",IQ_FY-2))</f>
        <v>-1110.125</v>
      </c>
      <c r="O745" s="15">
        <f t="shared" si="197"/>
        <v>2.9561701646549281</v>
      </c>
      <c r="P745" s="15">
        <f t="shared" si="198"/>
        <v>4.7871913207615417</v>
      </c>
      <c r="Q745" s="18"/>
      <c r="R745" s="39" t="s">
        <v>31</v>
      </c>
      <c r="S745" s="5">
        <f>IF(NOT(D738&gt;0),FALSE,SLOPE(G738:G748,B738:B748))</f>
        <v>0.95357272727272724</v>
      </c>
      <c r="U745" s="18"/>
      <c r="V745" s="39" t="s">
        <v>31</v>
      </c>
      <c r="W745" s="5">
        <f>IF(NOT(D738&gt;0),FALSE,SLOPE(G738:G748,B738:B748))</f>
        <v>0.95357272727272724</v>
      </c>
      <c r="Y745" s="18"/>
      <c r="Z745" s="39" t="s">
        <v>31</v>
      </c>
      <c r="AA745" s="5">
        <f>IF(NOT(L738&gt;0),FALSE,SLOPE(O738:O748,J738:J748))</f>
        <v>5.1109902456700331E-3</v>
      </c>
    </row>
    <row r="746" spans="1:27">
      <c r="A746" s="19">
        <f>_xll.ciqfunctions.udf.CIQ(A738,"IQ_TOTAL_REV",IQ_FY)</f>
        <v>2097.0529999999999</v>
      </c>
      <c r="B746" s="13">
        <v>9</v>
      </c>
      <c r="C746" s="14" t="s">
        <v>32</v>
      </c>
      <c r="D746" s="15" cm="1">
        <f t="array" ref="D746">_xlfn.SINGLE(IF(A746=A747,_xll.ciqfunctions.udf.CIQ(A738,"IQ_TOTAL_REV",IQ_FY-2)/I746, _xll.ciqfunctions.udf.CIQ(A738, "IQ_TOTAL_REV",IQ_FY-1)/I746))</f>
        <v>15.331554509146246</v>
      </c>
      <c r="E746" s="16">
        <f t="shared" si="199"/>
        <v>0.22641471559397791</v>
      </c>
      <c r="F746" s="15">
        <f>IF(A746=A747,_xll.ciqfunctions.udf.CIQ(A738,"IQ_DILUT_EPS_EXCL",IQ_FY-2), _xll.ciqfunctions.udf.CIQ(A738, "IQ_DILUT_EPS_EXCL",IQ_FY-1))</f>
        <v>4.03</v>
      </c>
      <c r="G746" s="15">
        <f>IF(A746=A747,_xll.ciqfunctions.udf.CIQ(A738,"IQ_EBITDA_MARGIN",IQ_FY-2), _xll.ciqfunctions.udf.CIQ(A738, "IQ_EBITDA_MARGIN",IQ_FY-1))</f>
        <v>25.025200000000002</v>
      </c>
      <c r="H746" s="15">
        <f>IF(A746=A747,_xll.ciqfunctions.udf.CIQ(A738,"IQ_TOTAL_DIV_PAID_CF",IQ_FY-2)/-I746, _xll.ciqfunctions.udf.CIQ(A738, "IQ_TOTAL_DIV_PAID_CF",IQ_FY-1)/-I746)</f>
        <v>0</v>
      </c>
      <c r="I746" s="17">
        <f>IF(A746=A747,_xll.ciqfunctions.udf.CIQ(A738,"IQ_TOTAL_OUTSTANDING_FILING_DATE",IQ_FY-2), _xll.ciqfunctions.udf.CIQ(A738, "IQ_TOTAL_OUTSTANDING_FILING_DATE",IQ_FY-1))</f>
        <v>117.87187</v>
      </c>
      <c r="J746" s="17">
        <f>IF(A746=A747,_xll.ciqfunctions.udf.CIQ(A738,"IQ_CASH_OPER",IQ_FY-2), _xll.ciqfunctions.udf.CIQ(A738, "IQ_CASH_OPER",IQ_FY-1))</f>
        <v>368.80900000000003</v>
      </c>
      <c r="K746" s="17">
        <f>IF(A746=A747,_xll.ciqfunctions.udf.CIQ(A738,"IQ_CAPEX",IQ_FY-2), _xll.ciqfunctions.udf.CIQ(A738, "IQ_CAPEX",IQ_FY-1))</f>
        <v>-24.713000000000001</v>
      </c>
      <c r="L746" s="15">
        <f t="shared" si="196"/>
        <v>2.9192376433834468</v>
      </c>
      <c r="M746" s="17">
        <f>IF(A746=A747,_xll.ciqfunctions.udf.CIQ(A738,"IQ_TOTAL_DEBT_ISSUED",IQ_FY-2), _xll.ciqfunctions.udf.CIQ(A738, "IQ_TOTAL_DEBT_ISSUED",IQ_FY-1))</f>
        <v>600</v>
      </c>
      <c r="N746" s="17">
        <f>IF(A746=A747,_xll.ciqfunctions.udf.CIQ(A738,"IQ_TOTAL_DEBT_REPAID",IQ_FY-2), _xll.ciqfunctions.udf.CIQ(A738, "IQ_TOTAL_DEBT_REPAID",IQ_FY-1))</f>
        <v>-168.35400000000001</v>
      </c>
      <c r="O746" s="15">
        <f t="shared" si="197"/>
        <v>3.6619933152837905</v>
      </c>
      <c r="P746" s="15">
        <f t="shared" si="198"/>
        <v>6.5812309586672377</v>
      </c>
      <c r="Q746" s="25" t="s">
        <v>33</v>
      </c>
      <c r="R746" s="38" t="s">
        <v>52</v>
      </c>
      <c r="S746" s="4">
        <f>(AVERAGE(O743:O748)/AVERAGE(P743:P748))</f>
        <v>0.33030696277385435</v>
      </c>
      <c r="U746" s="25" t="s">
        <v>54</v>
      </c>
      <c r="V746" s="38" t="s">
        <v>52</v>
      </c>
      <c r="W746" s="4">
        <f>(AVERAGE(O743:O748)/AVERAGE(P743:P748))</f>
        <v>0.33030696277385435</v>
      </c>
      <c r="Y746" s="25" t="s">
        <v>60</v>
      </c>
      <c r="Z746" s="38" t="s">
        <v>52</v>
      </c>
      <c r="AA746" s="4">
        <f>(AVERAGE(O743:O748)/AVERAGE(P743:P748))</f>
        <v>0.33030696277385435</v>
      </c>
    </row>
    <row r="747" spans="1:27">
      <c r="A747" s="19">
        <f>_xll.ciqfunctions.udf.CIQ(A738,"IQ_TOTAL_REV",IQ_LTM)</f>
        <v>2097.0529999999999</v>
      </c>
      <c r="B747" s="13">
        <v>10</v>
      </c>
      <c r="C747" s="14" t="s">
        <v>34</v>
      </c>
      <c r="D747" s="15" cm="1">
        <f t="array" ref="D747">_xlfn.SINGLE(IF(A746=A747,_xll.ciqfunctions.udf.CIQ(A738,"IQ_TOTAL_REV",IQ_FY-1)/I747, _xll.ciqfunctions.udf.CIQ(A738, "IQ_TOTAL_REV",IQ_FY)/I747))</f>
        <v>16.457943116132299</v>
      </c>
      <c r="E747" s="16">
        <f t="shared" si="199"/>
        <v>7.3468649660677954E-2</v>
      </c>
      <c r="F747" s="15">
        <f>IF(A746=A747,_xll.ciqfunctions.udf.CIQ(A738,"IQ_DILUT_EPS_EXCL",IQ_FY-1), _xll.ciqfunctions.udf.CIQ(A738, "IQ_DILUT_EPS_EXCL",IQ_FY))</f>
        <v>2.65</v>
      </c>
      <c r="G747" s="15">
        <f>IF(A746=A747,_xll.ciqfunctions.udf.CIQ(A738,"IQ_EBITDA_MARGIN",IQ_FY-1), _xll.ciqfunctions.udf.CIQ(A738, "IQ_EBITDA_MARGIN",IQ_FY))</f>
        <v>29.003299999999999</v>
      </c>
      <c r="H747" s="15">
        <f>IF(A746=A747,_xll.ciqfunctions.udf.CIQ(A738,"IQ_TOTAL_DIV_PAID_CF",IQ_FY-1)/-I747, _xll.ciqfunctions.udf.CIQ(A738, "IQ_TOTAL_DIV_PAID_CF",IQ_FY)/-I747)</f>
        <v>0</v>
      </c>
      <c r="I747" s="17">
        <f>IF(A746=A747,_xll.ciqfunctions.udf.CIQ(A738,"IQ_TOTAL_OUTSTANDING_FILING_DATE",IQ_FY-1), _xll.ciqfunctions.udf.CIQ(A738, "IQ_TOTAL_OUTSTANDING_FILING_DATE",IQ_FY))</f>
        <v>117.47197</v>
      </c>
      <c r="J747" s="17">
        <f>IF(A746=A747,_xll.ciqfunctions.udf.CIQ(A738,"IQ_CASH_OPER",IQ_FY-1), _xll.ciqfunctions.udf.CIQ(A738, "IQ_CASH_OPER",IQ_FY))</f>
        <v>435.32600000000002</v>
      </c>
      <c r="K747" s="17">
        <f>IF(A746=A747,_xll.ciqfunctions.udf.CIQ(A738,"IQ_CAPEX",IQ_FY-1), _xll.ciqfunctions.udf.CIQ(A738, "IQ_CAPEX",IQ_FY))</f>
        <v>-19.495999999999999</v>
      </c>
      <c r="L747" s="15">
        <f t="shared" si="196"/>
        <v>3.5398231595162661</v>
      </c>
      <c r="M747" s="17">
        <f>IF(A746=A747,_xll.ciqfunctions.udf.CIQ(A738,"IQ_TOTAL_DEBT_ISSUED",IQ_FY-1), _xll.ciqfunctions.udf.CIQ(A738, "IQ_TOTAL_DEBT_ISSUED",IQ_FY))</f>
        <v>264</v>
      </c>
      <c r="N747" s="17">
        <f>IF(A746=A747,_xll.ciqfunctions.udf.CIQ(A738,"IQ_TOTAL_DEBT_REPAID",IQ_FY-1), _xll.ciqfunctions.udf.CIQ(A738, "IQ_TOTAL_DEBT_REPAID",IQ_FY))</f>
        <v>-355.29700000000003</v>
      </c>
      <c r="O747" s="15">
        <f t="shared" si="197"/>
        <v>-0.7771811437230518</v>
      </c>
      <c r="P747" s="15">
        <f t="shared" si="198"/>
        <v>2.7626420157932143</v>
      </c>
      <c r="Q747" s="25" t="s">
        <v>44</v>
      </c>
      <c r="R747" s="38" t="s">
        <v>35</v>
      </c>
      <c r="S747" s="1">
        <f>_xll.ciqfunctions.udf.CIQ(A738,"IQ_TEV_EBITDA")</f>
        <v>33.968739999999997</v>
      </c>
      <c r="U747" s="25" t="s">
        <v>55</v>
      </c>
      <c r="V747" s="38" t="s">
        <v>53</v>
      </c>
      <c r="W747" s="1">
        <f>V737/(AVERAGE(D743:D748)/_xlfn.STDEV.P(E743:E748))</f>
        <v>0.75302843311543555</v>
      </c>
      <c r="Y747" s="25" t="s">
        <v>57</v>
      </c>
      <c r="Z747" s="38" t="s">
        <v>53</v>
      </c>
      <c r="AA747" s="1">
        <f>Z737/(AVERAGE(D743:D748)/_xlfn.STDEV.P(E743:E748))</f>
        <v>0.75302843311543555</v>
      </c>
    </row>
    <row r="748" spans="1:27">
      <c r="B748" s="13">
        <v>11</v>
      </c>
      <c r="C748" s="20" t="s">
        <v>36</v>
      </c>
      <c r="D748" s="21" cm="1">
        <f t="array" ref="D748">_xlfn.SINGLE(IF(A746=A747,_xll.ciqfunctions.udf.CIQ(A738,"IQ_TOTAL_REV",IQ_FY)/I748, _xll.ciqfunctions.udf.CIQ(A738, "IQ_TOTAL_REV",IQ_LTM)/I748))</f>
        <v>17.586124336710839</v>
      </c>
      <c r="E748" s="22">
        <f t="shared" si="199"/>
        <v>6.8549344995164158E-2</v>
      </c>
      <c r="F748" s="21">
        <f>IF(A746=A747,_xll.ciqfunctions.udf.CIQ(A738,"IQ_DILUT_EPS_EXCL",IQ_FY), _xll.ciqfunctions.udf.CIQ(A738, "IQ_DILUT_EPS_EXCL",IQ_LTM))</f>
        <v>2.06</v>
      </c>
      <c r="G748" s="21">
        <f>IF(A746=A747,_xll.ciqfunctions.udf.CIQ(A738,"IQ_EBITDA_MARGIN",IQ_FY), _xll.ciqfunctions.udf.CIQ(A738, "IQ_EBITDA_MARGIN",IQ_LTM))</f>
        <v>26.082000000000001</v>
      </c>
      <c r="H748" s="21">
        <f>IF(A746=A747,_xll.ciqfunctions.udf.CIQ(A738,"IQ_TOTAL_DIV_PAID_CF",IQ_FY)/-I748, _xll.ciqfunctions.udf.CIQ(A738, "IQ_TOTAL_DIV_PAID_CF",IQ_LTM)/-I748)</f>
        <v>0</v>
      </c>
      <c r="I748" s="23">
        <f>IF(A746=A747,_xll.ciqfunctions.udf.CIQ(A738,"IQ_TOTAL_OUTSTANDING_FILING_DATE",IQ_FY),_xll.ciqfunctions.udf.CIQ(A738,"IQ_sharesoutstanding"))</f>
        <v>119.24475</v>
      </c>
      <c r="J748" s="23">
        <f>IF(A746=A747,_xll.ciqfunctions.udf.CIQ(A738,"IQ_CASH_OPER",IQ_FY), _xll.ciqfunctions.udf.CIQ(A738, "IQ_CASH_OPER",IQ_LTM))</f>
        <v>610.86099999999999</v>
      </c>
      <c r="K748" s="23">
        <f>IF(A746=A747,_xll.ciqfunctions.udf.CIQ(A738,"IQ_CAPEX",IQ_FY), _xll.ciqfunctions.udf.CIQ(A738, "IQ_CAPEX",IQ_LTM))</f>
        <v>-23.814</v>
      </c>
      <c r="L748" s="21">
        <f t="shared" si="196"/>
        <v>4.9230427335375353</v>
      </c>
      <c r="M748" s="23">
        <f>IF(A746=A747,_xll.ciqfunctions.udf.CIQ(A738,"IQ_TOTAL_DEBT_ISSUED",IQ_FY), _xll.ciqfunctions.udf.CIQ(A738, "IQ_TOTAL_DEBT_ISSUED",IQ_LTM))</f>
        <v>1540</v>
      </c>
      <c r="N748" s="23">
        <f>IF(A746=A747,_xll.ciqfunctions.udf.CIQ(A738,"IQ_TOTAL_DEBT_REPAID",IQ_FY), _xll.ciqfunctions.udf.CIQ(A738, "IQ_TOTAL_DEBT_REPAID",IQ_LTM))</f>
        <v>-1197.5360000000001</v>
      </c>
      <c r="O748" s="21">
        <f t="shared" si="197"/>
        <v>2.8719419513228042</v>
      </c>
      <c r="P748" s="21">
        <f t="shared" si="198"/>
        <v>7.7949846848603395</v>
      </c>
      <c r="Q748" s="25" t="s">
        <v>45</v>
      </c>
      <c r="S748" s="45"/>
      <c r="U748" s="25"/>
      <c r="W748" s="45"/>
      <c r="Y748" s="25"/>
      <c r="AA748" s="45"/>
    </row>
    <row r="749" spans="1:27">
      <c r="B749" s="24"/>
      <c r="C749" s="25" t="s">
        <v>37</v>
      </c>
      <c r="E749" s="26">
        <f>((D748/D743)^(1/5))-1</f>
        <v>0.10941502119668245</v>
      </c>
      <c r="F749" s="27">
        <f>((F748/F743)^(1/5))-1</f>
        <v>0.36170461321030345</v>
      </c>
      <c r="G749" s="28"/>
      <c r="H749" s="27" t="e">
        <f>((H748/H743)^(1/5))-1</f>
        <v>#DIV/0!</v>
      </c>
      <c r="I749" s="27">
        <f>((I748/I743)^(1/5))-1</f>
        <v>9.5794190891207442E-4</v>
      </c>
      <c r="J749" s="27"/>
      <c r="K749" s="27"/>
      <c r="L749" s="26">
        <f>((L748/L743)^(1/5))-1</f>
        <v>0.22509582589220578</v>
      </c>
      <c r="M749" s="26"/>
      <c r="N749" s="26"/>
      <c r="O749" s="26"/>
      <c r="P749" s="26">
        <f>((P748/P743)^(1/5))-1</f>
        <v>0.45530614934574931</v>
      </c>
      <c r="Q749" s="18"/>
      <c r="R749" s="36"/>
      <c r="S749" s="45"/>
      <c r="U749" s="18"/>
      <c r="V749" s="36"/>
      <c r="W749" s="45"/>
      <c r="Y749" s="18"/>
      <c r="Z749" s="36"/>
      <c r="AA749" s="45"/>
    </row>
    <row r="750" spans="1:27">
      <c r="A750" s="29"/>
      <c r="B750" s="30"/>
      <c r="C750" s="31" t="s">
        <v>38</v>
      </c>
      <c r="D750" s="29"/>
      <c r="E750" s="32">
        <f>((D748/D738)^(1/10))-1</f>
        <v>4.9716427902393834E-2</v>
      </c>
      <c r="F750" s="33">
        <f>((F748/F738)^(1/10))-1</f>
        <v>5.6408838013495721E-2</v>
      </c>
      <c r="G750" s="34"/>
      <c r="H750" s="33" t="e">
        <f>((H748/H738)^(1/10))-1</f>
        <v>#DIV/0!</v>
      </c>
      <c r="I750" s="33">
        <f>((I748/I738)^(1/10))-1</f>
        <v>-2.050773273299944E-4</v>
      </c>
      <c r="J750" s="33"/>
      <c r="K750" s="33"/>
      <c r="L750" s="32">
        <f>((L748/L738)^(1/10))-1</f>
        <v>0.1165390256073231</v>
      </c>
      <c r="M750" s="32"/>
      <c r="N750" s="32"/>
      <c r="O750" s="32"/>
      <c r="P750" s="32">
        <f>((P748/P738)^(1/10))-1</f>
        <v>0.27278861642976748</v>
      </c>
      <c r="Q750" s="40"/>
      <c r="R750" s="41"/>
      <c r="S750" s="46"/>
      <c r="U750" s="40"/>
      <c r="V750" s="41"/>
      <c r="W750" s="46"/>
      <c r="Y750" s="40"/>
      <c r="Z750" s="41"/>
      <c r="AA750" s="46"/>
    </row>
    <row r="751" spans="1:27">
      <c r="B751" s="24"/>
      <c r="C751" s="25"/>
      <c r="E751" s="26"/>
      <c r="F751" s="27"/>
      <c r="G751" s="28"/>
      <c r="H751" s="27"/>
      <c r="I751" s="27"/>
      <c r="J751" s="27"/>
      <c r="K751" s="27"/>
      <c r="L751" s="26"/>
      <c r="M751" s="17"/>
      <c r="N751" s="17"/>
      <c r="O751" s="17"/>
      <c r="P751" s="35"/>
      <c r="Q751" s="18"/>
      <c r="R751" s="36"/>
    </row>
    <row r="752" spans="1:27">
      <c r="A752" s="9" t="s">
        <v>0</v>
      </c>
      <c r="B752" s="10"/>
      <c r="C752" s="9" t="s">
        <v>1</v>
      </c>
      <c r="D752" s="9" t="s">
        <v>2</v>
      </c>
      <c r="E752" s="9" t="s">
        <v>3</v>
      </c>
      <c r="F752" s="11" t="s">
        <v>4</v>
      </c>
      <c r="G752" s="11" t="s">
        <v>5</v>
      </c>
      <c r="H752" s="9" t="s">
        <v>6</v>
      </c>
      <c r="I752" s="11" t="s">
        <v>7</v>
      </c>
      <c r="J752" s="11" t="s">
        <v>8</v>
      </c>
      <c r="K752" s="11" t="s">
        <v>9</v>
      </c>
      <c r="L752" s="11" t="s">
        <v>10</v>
      </c>
      <c r="M752" s="11" t="s">
        <v>11</v>
      </c>
      <c r="N752" s="11" t="s">
        <v>12</v>
      </c>
      <c r="O752" s="11" t="s">
        <v>13</v>
      </c>
      <c r="P752" s="11" t="s">
        <v>14</v>
      </c>
      <c r="Q752" s="37" t="s">
        <v>15</v>
      </c>
      <c r="R752" s="42">
        <f>_xll.ciqfunctions.udf.CIQ(A753,("IQ_LASTSALEPRICE"))</f>
        <v>65.31</v>
      </c>
      <c r="S752" s="44"/>
      <c r="U752" s="37" t="s">
        <v>15</v>
      </c>
      <c r="V752" s="42">
        <f>_xll.ciqfunctions.udf.CIQ(A753,("IQ_LASTSALEPRICE"))</f>
        <v>65.31</v>
      </c>
      <c r="W752" s="44"/>
      <c r="Y752" s="37" t="s">
        <v>15</v>
      </c>
      <c r="Z752" s="42">
        <f>_xll.ciqfunctions.udf.CIQ(A753,("IQ_LASTSALEPRICE"))</f>
        <v>65.31</v>
      </c>
      <c r="AA752" s="44"/>
    </row>
    <row r="753" spans="1:27">
      <c r="A753" s="12" t="str">
        <f>Analysis!B52</f>
        <v>NasdaqGS:ZM</v>
      </c>
      <c r="B753" s="13">
        <v>1</v>
      </c>
      <c r="C753" s="14" t="s">
        <v>16</v>
      </c>
      <c r="D753" s="15" t="e">
        <f>IF(A761=A762,_xll.ciqfunctions.udf.CIQ(A753,"IQ_TOTAL_REV",IQ_FY-10)/I753,_xll.ciqfunctions.udf.CIQ(A753, "IQ_TOTAL_REV",IQ_FY-9)/I753)</f>
        <v>#DIV/0!</v>
      </c>
      <c r="E753" s="16"/>
      <c r="F753" s="15">
        <f>IF(A761=A762,_xll.ciqfunctions.udf.CIQ(A753,"IQ_DILUT_EPS_EXCL",IQ_FY-10), _xll.ciqfunctions.udf.CIQ(A753, "IQ_DILUT_EPS_EXCL",IQ_FY-9))</f>
        <v>0</v>
      </c>
      <c r="G753" s="15">
        <f>IF(A761=A762,_xll.ciqfunctions.udf.CIQ(A753,"IQ_EBITDA_MARGIN",IQ_FY-10), _xll.ciqfunctions.udf.CIQ(A753, "IQ_EBITDA_MARGIN",IQ_FY-9))</f>
        <v>0</v>
      </c>
      <c r="H753" s="15" t="e">
        <f>IF(A761=A762,_xll.ciqfunctions.udf.CIQ(A753,"IQ_TOTAL_DIV_PAID_CF",IQ_FY-10)/-I753, _xll.ciqfunctions.udf.CIQ(A753, "IQ_TOTAL_DIV_PAID_CF",IQ_FY-9)/-I753)</f>
        <v>#DIV/0!</v>
      </c>
      <c r="I753" s="17">
        <f>IF(A761=A762,_xll.ciqfunctions.udf.CIQ(A753,"IQ_TOTAL_OUTSTANDING_FILING_DATE",IQ_FY-10), _xll.ciqfunctions.udf.CIQ(A753, "IQ_TOTAL_OUTSTANDING_FILING_DATE",IQ_FY-9))</f>
        <v>0</v>
      </c>
      <c r="J753" s="17">
        <f>IF(A761=A762,_xll.ciqfunctions.udf.CIQ(A753,"IQ_CASH_OPER",IQ_FY-10), _xll.ciqfunctions.udf.CIQ(A753, "IQ_CASH_OPER",IQ_FY-9))</f>
        <v>0</v>
      </c>
      <c r="K753" s="17">
        <f>IF(A761=A762,_xll.ciqfunctions.udf.CIQ(A753,"IQ_CAPEX",IQ_FY-10), _xll.ciqfunctions.udf.CIQ(A753, "IQ_CAPEX",IQ_FY-9))</f>
        <v>0</v>
      </c>
      <c r="L753" s="15" t="e">
        <f t="shared" ref="L753:L763" si="200">(J753+K753)/I753</f>
        <v>#DIV/0!</v>
      </c>
      <c r="M753" s="17">
        <f>IF(A761=A762,_xll.ciqfunctions.udf.CIQ(A753,"IQ_TOTAL_DEBT_ISSUED",IQ_FY-10), _xll.ciqfunctions.udf.CIQ(A753, "IQ_TOTAL_DEBT_ISSUED",IQ_FY-9))</f>
        <v>0</v>
      </c>
      <c r="N753" s="17">
        <f>IF(A761=A762,_xll.ciqfunctions.udf.CIQ(A753,"IQ_TOTAL_DEBT_REPAID",IQ_FY-10), _xll.ciqfunctions.udf.CIQ(A753, "IQ_TOTAL_DEBT_REPAID",IQ_FY-9))</f>
        <v>0</v>
      </c>
      <c r="O753" s="15" t="e">
        <f t="shared" ref="O753:O763" si="201">(M753+N753)/I753</f>
        <v>#DIV/0!</v>
      </c>
      <c r="P753" s="15" t="e">
        <f t="shared" ref="P753:P763" si="202">L753+O753</f>
        <v>#DIV/0!</v>
      </c>
      <c r="W753" s="43"/>
      <c r="AA753" s="43"/>
    </row>
    <row r="754" spans="1:27">
      <c r="A754" s="18" t="str">
        <f>_xll.ciqfunctions.udf.CIQ(A753,"IQ_COMPANY_NAME")</f>
        <v>Zoom Video Communications, Inc.</v>
      </c>
      <c r="B754" s="13">
        <v>2</v>
      </c>
      <c r="C754" s="14" t="s">
        <v>17</v>
      </c>
      <c r="D754" s="15" t="e">
        <f>IF(A761=A762,_xll.ciqfunctions.udf.CIQ(A753,"IQ_TOTAL_REV",IQ_FY-9)/I754, _xll.ciqfunctions.udf.CIQ(A753, "IQ_TOTAL_REV",IQ_FY-8)/I754)</f>
        <v>#DIV/0!</v>
      </c>
      <c r="E754" s="16" t="e">
        <f t="shared" ref="E754:E763" si="203">(D754-D753)/D753</f>
        <v>#DIV/0!</v>
      </c>
      <c r="F754" s="15">
        <f>IF(A761=A762,_xll.ciqfunctions.udf.CIQ(A753,"IQ_DILUT_EPS_EXCL",IQ_FY-9), _xll.ciqfunctions.udf.CIQ(A753, "IQ_DILUT_EPS_EXCL",IQ_FY-8))</f>
        <v>0</v>
      </c>
      <c r="G754" s="15">
        <f>IF(A761=A762,_xll.ciqfunctions.udf.CIQ(A753,"IQ_EBITDA_MARGIN",IQ_FY-9), _xll.ciqfunctions.udf.CIQ(A753, "IQ_EBITDA_MARGIN",IQ_FY-8))</f>
        <v>0</v>
      </c>
      <c r="H754" s="15" t="e">
        <f>IF(A761=A762,_xll.ciqfunctions.udf.CIQ(A753,"IQ_TOTAL_DIV_PAID_CF",IQ_FY-9)/-I754, _xll.ciqfunctions.udf.CIQ(A753, "IQ_TOTAL_DIV_PAID_CF",IQ_FY-8)/-I754)</f>
        <v>#DIV/0!</v>
      </c>
      <c r="I754" s="17">
        <f>IF(A761=A762,_xll.ciqfunctions.udf.CIQ(A753,"IQ_TOTAL_OUTSTANDING_FILING_DATE",IQ_FY-9), _xll.ciqfunctions.udf.CIQ(A753, "IQ_TOTAL_OUTSTANDING_FILING_DATE",IQ_FY-8))</f>
        <v>0</v>
      </c>
      <c r="J754" s="17">
        <f>IF(A761=A762,_xll.ciqfunctions.udf.CIQ(A753,"IQ_CASH_OPER",IQ_FY-9), _xll.ciqfunctions.udf.CIQ(A753, "IQ_CASH_OPER",IQ_FY-8))</f>
        <v>0</v>
      </c>
      <c r="K754" s="17">
        <f>IF(A761=A762,_xll.ciqfunctions.udf.CIQ(A753,"IQ_CAPEX",IQ_FY-9), _xll.ciqfunctions.udf.CIQ(A753, "IQ_CAPEX",IQ_FY-8))</f>
        <v>0</v>
      </c>
      <c r="L754" s="15" t="e">
        <f t="shared" si="200"/>
        <v>#DIV/0!</v>
      </c>
      <c r="M754" s="17">
        <f>IF(A761=A762,_xll.ciqfunctions.udf.CIQ(A753,"IQ_TOTAL_DEBT_ISSUED",IQ_FY-9), _xll.ciqfunctions.udf.CIQ(A753, "IQ_TOTAL_DEBT_ISSUED",IQ_FY-8))</f>
        <v>0</v>
      </c>
      <c r="N754" s="17">
        <f>IF(A761=A762,_xll.ciqfunctions.udf.CIQ(A753,"IQ_TOTAL_DEBT_REPAID",IQ_FY-9), _xll.ciqfunctions.udf.CIQ(A753, "IQ_TOTAL_DEBT_REPAID",IQ_FY-8))</f>
        <v>0</v>
      </c>
      <c r="O754" s="15" t="e">
        <f t="shared" si="201"/>
        <v>#DIV/0!</v>
      </c>
      <c r="P754" s="15" t="e">
        <f t="shared" si="202"/>
        <v>#DIV/0!</v>
      </c>
      <c r="Q754" s="25" t="s">
        <v>18</v>
      </c>
      <c r="R754" s="39" t="s">
        <v>19</v>
      </c>
      <c r="S754" s="1">
        <f>R752/((AVERAGE(P758:P763))*(1+E764)^3)</f>
        <v>8.9879492444395268</v>
      </c>
      <c r="U754" s="25" t="s">
        <v>48</v>
      </c>
      <c r="V754" s="39" t="s">
        <v>19</v>
      </c>
      <c r="W754" s="1">
        <f>V752/((AVERAGE(P758:P763))*(1+E764)^3)</f>
        <v>8.9879492444395268</v>
      </c>
      <c r="Y754" s="25" t="s">
        <v>39</v>
      </c>
      <c r="Z754" s="39" t="s">
        <v>19</v>
      </c>
      <c r="AA754" s="1">
        <f>Z752/((AVERAGE(P758:P763))*(1+E764)^3)</f>
        <v>8.9879492444395268</v>
      </c>
    </row>
    <row r="755" spans="1:27">
      <c r="B755" s="13">
        <v>3</v>
      </c>
      <c r="C755" s="14" t="s">
        <v>20</v>
      </c>
      <c r="D755" s="15" t="e" cm="1">
        <f t="array" ref="D755">_xlfn.SINGLE(IF(A761=A762,_xll.ciqfunctions.udf.CIQ(A753,"IQ_TOTAL_REV",IQ_FY-8)/I755, _xll.ciqfunctions.udf.CIQ(A753, "IQ_TOTAL_REV",IQ_FY-7)/I755))</f>
        <v>#DIV/0!</v>
      </c>
      <c r="E755" s="16" t="e">
        <f t="shared" si="203"/>
        <v>#DIV/0!</v>
      </c>
      <c r="F755" s="15">
        <f>IF(A761=A762,_xll.ciqfunctions.udf.CIQ(A753,"IQ_DILUT_EPS_EXCL",IQ_FY-8), _xll.ciqfunctions.udf.CIQ(A753, "IQ_DILUT_EPS_EXCL",IQ_FY-7))</f>
        <v>0</v>
      </c>
      <c r="G755" s="15">
        <f>IF(A761=A762,_xll.ciqfunctions.udf.CIQ(A753,"IQ_EBITDA_MARGIN",IQ_FY-8), _xll.ciqfunctions.udf.CIQ(A753, "IQ_EBITDA_MARGIN",IQ_FY-7))</f>
        <v>0</v>
      </c>
      <c r="H755" s="15" t="e">
        <f>IF(A761=A762,_xll.ciqfunctions.udf.CIQ(A753,"IQ_TOTAL_DIV_PAID_CF",IQ_FY-8)/-I755, _xll.ciqfunctions.udf.CIQ(A753, "IQ_TOTAL_DIV_PAID_CF",IQ_FY-7)/-I755)</f>
        <v>#DIV/0!</v>
      </c>
      <c r="I755" s="17">
        <f>IF(A761=A762,_xll.ciqfunctions.udf.CIQ(A753,"IQ_TOTAL_OUTSTANDING_FILING_DATE",IQ_FY-8), _xll.ciqfunctions.udf.CIQ(A753, "IQ_TOTAL_OUTSTANDING_FILING_DATE",IQ_FY-7))</f>
        <v>0</v>
      </c>
      <c r="J755" s="17">
        <f>IF(A761=A762,_xll.ciqfunctions.udf.CIQ(A753,"IQ_CASH_OPER",IQ_FY-8), _xll.ciqfunctions.udf.CIQ(A753, "IQ_CASH_OPER",IQ_FY-7))</f>
        <v>0</v>
      </c>
      <c r="K755" s="17">
        <f>IF(A761=A762,_xll.ciqfunctions.udf.CIQ(A753,"IQ_CAPEX",IQ_FY-8), _xll.ciqfunctions.udf.CIQ(A753, "IQ_CAPEX",IQ_FY-7))</f>
        <v>0</v>
      </c>
      <c r="L755" s="15" t="e">
        <f t="shared" si="200"/>
        <v>#DIV/0!</v>
      </c>
      <c r="M755" s="17">
        <f>IF(A761=A762,_xll.ciqfunctions.udf.CIQ(A753,"IQ_TOTAL_DEBT_ISSUED",IQ_FY-8), _xll.ciqfunctions.udf.CIQ(A753, "IQ_TOTAL_DEBT_ISSUED",IQ_FY-7))</f>
        <v>0</v>
      </c>
      <c r="N755" s="17">
        <f>IF(A761=A762,_xll.ciqfunctions.udf.CIQ(A753,"IQ_TOTAL_DEBT_REPAID",IQ_FY-8), _xll.ciqfunctions.udf.CIQ(A753, "IQ_TOTAL_DEBT_REPAID",IQ_FY-7))</f>
        <v>0</v>
      </c>
      <c r="O755" s="15" t="e">
        <f t="shared" si="201"/>
        <v>#DIV/0!</v>
      </c>
      <c r="P755" s="15" t="e">
        <f t="shared" si="202"/>
        <v>#DIV/0!</v>
      </c>
      <c r="Q755" s="25" t="s">
        <v>21</v>
      </c>
      <c r="R755" s="38" t="s">
        <v>49</v>
      </c>
      <c r="S755" s="2">
        <f>(R752*I763)/1000</f>
        <v>19.881898785000001</v>
      </c>
      <c r="U755" s="25" t="s">
        <v>59</v>
      </c>
      <c r="V755" s="38" t="s">
        <v>49</v>
      </c>
      <c r="W755" s="2">
        <f>(V752*I763)/1000</f>
        <v>19.881898785000001</v>
      </c>
      <c r="Y755" s="25" t="s">
        <v>46</v>
      </c>
      <c r="Z755" s="38" t="s">
        <v>49</v>
      </c>
      <c r="AA755" s="2">
        <f>(Z752*I763)/1000</f>
        <v>19.881898785000001</v>
      </c>
    </row>
    <row r="756" spans="1:27">
      <c r="A756" s="18"/>
      <c r="B756" s="13">
        <v>4</v>
      </c>
      <c r="C756" s="14" t="s">
        <v>22</v>
      </c>
      <c r="D756" s="15" cm="1">
        <f t="array" ref="D756">_xlfn.SINGLE(IF(A761=A762,_xll.ciqfunctions.udf.CIQ(A753,"IQ_TOTAL_REV",IQ_FY-7)/I756, _xll.ciqfunctions.udf.CIQ(A753, "IQ_TOTAL_REV",IQ_FY-6)/I756))</f>
        <v>0.76354441694946329</v>
      </c>
      <c r="E756" s="16" t="e">
        <f t="shared" si="203"/>
        <v>#DIV/0!</v>
      </c>
      <c r="F756" s="15">
        <f>IF(A761=A762,_xll.ciqfunctions.udf.CIQ(A753,"IQ_DILUT_EPS_EXCL",IQ_FY-7), _xll.ciqfunctions.udf.CIQ(A753, "IQ_DILUT_EPS_EXCL",IQ_FY-6))</f>
        <v>-0.20452000000000001</v>
      </c>
      <c r="G756" s="15">
        <f>IF(A761=A762,_xll.ciqfunctions.udf.CIQ(A753,"IQ_EBITDA_MARGIN",IQ_FY-7), _xll.ciqfunctions.udf.CIQ(A753, "IQ_EBITDA_MARGIN",IQ_FY-6))</f>
        <v>2.0043000000000002</v>
      </c>
      <c r="H756" s="15">
        <f>IF(A761=A762,_xll.ciqfunctions.udf.CIQ(A753,"IQ_TOTAL_DIV_PAID_CF",IQ_FY-7)/-I756, _xll.ciqfunctions.udf.CIQ(A753, "IQ_TOTAL_DIV_PAID_CF",IQ_FY-6)/-I756)</f>
        <v>0</v>
      </c>
      <c r="I756" s="17">
        <f>IF(A761=A762,_xll.ciqfunctions.udf.CIQ(A753,"IQ_TOTAL_OUTSTANDING_FILING_DATE",IQ_FY-7), _xll.ciqfunctions.udf.CIQ(A753, "IQ_TOTAL_OUTSTANDING_FILING_DATE",IQ_FY-6))</f>
        <v>79.650899999999993</v>
      </c>
      <c r="J756" s="17">
        <f>IF(A761=A762,_xll.ciqfunctions.udf.CIQ(A753,"IQ_CASH_OPER",IQ_FY-7), _xll.ciqfunctions.udf.CIQ(A753, "IQ_CASH_OPER",IQ_FY-6))</f>
        <v>9.3610000000000007</v>
      </c>
      <c r="K756" s="17">
        <f>IF(A761=A762,_xll.ciqfunctions.udf.CIQ(A753,"IQ_CAPEX",IQ_FY-7), _xll.ciqfunctions.udf.CIQ(A753, "IQ_CAPEX",IQ_FY-6))</f>
        <v>-4.8239999999999998</v>
      </c>
      <c r="L756" s="15">
        <f t="shared" si="200"/>
        <v>5.6961063842342036E-2</v>
      </c>
      <c r="M756" s="17">
        <f>IF(A761=A762,_xll.ciqfunctions.udf.CIQ(A753,"IQ_TOTAL_DEBT_ISSUED",IQ_FY-7), _xll.ciqfunctions.udf.CIQ(A753, "IQ_TOTAL_DEBT_ISSUED",IQ_FY-6))</f>
        <v>0</v>
      </c>
      <c r="N756" s="17">
        <f>IF(A761=A762,_xll.ciqfunctions.udf.CIQ(A753,"IQ_TOTAL_DEBT_REPAID",IQ_FY-7), _xll.ciqfunctions.udf.CIQ(A753, "IQ_TOTAL_DEBT_REPAID",IQ_FY-6))</f>
        <v>0</v>
      </c>
      <c r="O756" s="15">
        <f t="shared" si="201"/>
        <v>0</v>
      </c>
      <c r="P756" s="15">
        <f t="shared" si="202"/>
        <v>5.6961063842342036E-2</v>
      </c>
      <c r="Q756" s="25" t="s">
        <v>23</v>
      </c>
      <c r="R756" s="38" t="s">
        <v>24</v>
      </c>
      <c r="S756" s="1" t="e">
        <f>R752/(AVERAGE(H758:H763)*(1+H764)/(0.5-H764))</f>
        <v>#DIV/0!</v>
      </c>
      <c r="U756" s="25" t="s">
        <v>40</v>
      </c>
      <c r="V756" s="38" t="s">
        <v>24</v>
      </c>
      <c r="W756" s="1" t="e">
        <f>V752/(AVERAGE(H758:H763)*(1+H764)/(0.5-H764))</f>
        <v>#DIV/0!</v>
      </c>
      <c r="Y756" s="25" t="s">
        <v>47</v>
      </c>
      <c r="Z756" s="38" t="s">
        <v>24</v>
      </c>
      <c r="AA756" s="1" t="e">
        <f>Z752/(AVERAGE(H758:H763)*(1+H764)/(0.5-H764))</f>
        <v>#DIV/0!</v>
      </c>
    </row>
    <row r="757" spans="1:27">
      <c r="B757" s="13">
        <v>5</v>
      </c>
      <c r="C757" s="14" t="s">
        <v>25</v>
      </c>
      <c r="D757" s="15" cm="1">
        <f t="array" ref="D757">_xlfn.SINGLE(IF(A761=A762,_xll.ciqfunctions.udf.CIQ(A753,"IQ_TOTAL_REV",IQ_FY-6)/I757, _xll.ciqfunctions.udf.CIQ(A753, "IQ_TOTAL_REV",IQ_FY-5)/I757))</f>
        <v>1.706701675469569</v>
      </c>
      <c r="E757" s="16">
        <f t="shared" si="203"/>
        <v>1.2352356164009912</v>
      </c>
      <c r="F757" s="15">
        <f>IF(A761=A762,_xll.ciqfunctions.udf.CIQ(A753,"IQ_DILUT_EPS_EXCL",IQ_FY-6), _xll.ciqfunctions.udf.CIQ(A753, "IQ_DILUT_EPS_EXCL",IQ_FY-5))</f>
        <v>-0.11</v>
      </c>
      <c r="G757" s="15">
        <f>IF(A761=A762,_xll.ciqfunctions.udf.CIQ(A753,"IQ_EBITDA_MARGIN",IQ_FY-6), _xll.ciqfunctions.udf.CIQ(A753, "IQ_EBITDA_MARGIN",IQ_FY-5))</f>
        <v>-1.3512999999999999</v>
      </c>
      <c r="H757" s="15">
        <f>IF(A761=A762,_xll.ciqfunctions.udf.CIQ(A753,"IQ_TOTAL_DIV_PAID_CF",IQ_FY-6)/-I757, _xll.ciqfunctions.udf.CIQ(A753, "IQ_TOTAL_DIV_PAID_CF",IQ_FY-5)/-I757)</f>
        <v>0</v>
      </c>
      <c r="I757" s="17">
        <f>IF(A761=A762,_xll.ciqfunctions.udf.CIQ(A753,"IQ_TOTAL_OUTSTANDING_FILING_DATE",IQ_FY-6), _xll.ciqfunctions.udf.CIQ(A753, "IQ_TOTAL_OUTSTANDING_FILING_DATE",IQ_FY-5))</f>
        <v>88.754819999999995</v>
      </c>
      <c r="J757" s="17">
        <f>IF(A761=A762,_xll.ciqfunctions.udf.CIQ(A753,"IQ_CASH_OPER",IQ_FY-6), _xll.ciqfunctions.udf.CIQ(A753, "IQ_CASH_OPER",IQ_FY-5))</f>
        <v>19.425999999999998</v>
      </c>
      <c r="K757" s="17">
        <f>IF(A761=A762,_xll.ciqfunctions.udf.CIQ(A753,"IQ_CAPEX",IQ_FY-6), _xll.ciqfunctions.udf.CIQ(A753, "IQ_CAPEX",IQ_FY-5))</f>
        <v>-9.7379999999999995</v>
      </c>
      <c r="L757" s="15">
        <f t="shared" si="200"/>
        <v>0.10915463520741746</v>
      </c>
      <c r="M757" s="17">
        <f>IF(A761=A762,_xll.ciqfunctions.udf.CIQ(A753,"IQ_TOTAL_DEBT_ISSUED",IQ_FY-6), _xll.ciqfunctions.udf.CIQ(A753, "IQ_TOTAL_DEBT_ISSUED",IQ_FY-5))</f>
        <v>0</v>
      </c>
      <c r="N757" s="17">
        <f>IF(A761=A762,_xll.ciqfunctions.udf.CIQ(A753,"IQ_TOTAL_DEBT_REPAID",IQ_FY-6), _xll.ciqfunctions.udf.CIQ(A753, "IQ_TOTAL_DEBT_REPAID",IQ_FY-5))</f>
        <v>-0.12</v>
      </c>
      <c r="O757" s="15">
        <f t="shared" si="201"/>
        <v>-1.3520392469952619E-3</v>
      </c>
      <c r="P757" s="15">
        <f t="shared" si="202"/>
        <v>0.1078025959604222</v>
      </c>
      <c r="Q757" s="18"/>
      <c r="R757" s="38" t="s">
        <v>50</v>
      </c>
      <c r="S757" s="3">
        <f>I764</f>
        <v>0.27506314996171843</v>
      </c>
      <c r="U757" s="18"/>
      <c r="V757" s="38" t="s">
        <v>50</v>
      </c>
      <c r="W757" s="3">
        <f>I764</f>
        <v>0.27506314996171843</v>
      </c>
      <c r="Y757" s="18"/>
      <c r="Z757" s="38" t="s">
        <v>50</v>
      </c>
      <c r="AA757" s="3">
        <f>I764</f>
        <v>0.27506314996171843</v>
      </c>
    </row>
    <row r="758" spans="1:27">
      <c r="B758" s="13">
        <v>6</v>
      </c>
      <c r="C758" s="14" t="s">
        <v>26</v>
      </c>
      <c r="D758" s="15" cm="1">
        <f t="array" ref="D758">_xlfn.SINGLE(IF(A761=A762,_xll.ciqfunctions.udf.CIQ(A753,"IQ_TOTAL_REV",IQ_FY-5)/I758, _xll.ciqfunctions.udf.CIQ(A753, "IQ_TOTAL_REV",IQ_FY-4)/I758))</f>
        <v>3.6590984976436842</v>
      </c>
      <c r="E758" s="16">
        <f t="shared" si="203"/>
        <v>1.143959046994518</v>
      </c>
      <c r="F758" s="15">
        <f>IF(A761=A762,_xll.ciqfunctions.udf.CIQ(A753,"IQ_DILUT_EPS_EXCL",IQ_FY-5), _xll.ciqfunctions.udf.CIQ(A753, "IQ_DILUT_EPS_EXCL",IQ_FY-4))</f>
        <v>0</v>
      </c>
      <c r="G758" s="15">
        <f>IF(A761=A762,_xll.ciqfunctions.udf.CIQ(A753,"IQ_EBITDA_MARGIN",IQ_FY-5), _xll.ciqfunctions.udf.CIQ(A753, "IQ_EBITDA_MARGIN",IQ_FY-4))</f>
        <v>3.9861</v>
      </c>
      <c r="H758" s="15">
        <f>IF(A761=A762,_xll.ciqfunctions.udf.CIQ(A753,"IQ_TOTAL_DIV_PAID_CF",IQ_FY-5)/-I758, _xll.ciqfunctions.udf.CIQ(A753, "IQ_TOTAL_DIV_PAID_CF",IQ_FY-4)/-I758)</f>
        <v>0</v>
      </c>
      <c r="I758" s="17">
        <f>IF(A761=A762,_xll.ciqfunctions.udf.CIQ(A753,"IQ_TOTAL_OUTSTANDING_FILING_DATE",IQ_FY-5), _xll.ciqfunctions.udf.CIQ(A753, "IQ_TOTAL_OUTSTANDING_FILING_DATE",IQ_FY-4))</f>
        <v>90.327439999999996</v>
      </c>
      <c r="J758" s="17">
        <f>IF(A761=A762,_xll.ciqfunctions.udf.CIQ(A753,"IQ_CASH_OPER",IQ_FY-5), _xll.ciqfunctions.udf.CIQ(A753, "IQ_CASH_OPER",IQ_FY-4))</f>
        <v>51.332000000000001</v>
      </c>
      <c r="K758" s="17">
        <f>IF(A761=A762,_xll.ciqfunctions.udf.CIQ(A753,"IQ_CAPEX",IQ_FY-5), _xll.ciqfunctions.udf.CIQ(A753, "IQ_CAPEX",IQ_FY-4))</f>
        <v>-28.431999999999999</v>
      </c>
      <c r="L758" s="15">
        <f t="shared" si="200"/>
        <v>0.25352207479809019</v>
      </c>
      <c r="M758" s="17">
        <f>IF(A761=A762,_xll.ciqfunctions.udf.CIQ(A753,"IQ_TOTAL_DEBT_ISSUED",IQ_FY-5), _xll.ciqfunctions.udf.CIQ(A753, "IQ_TOTAL_DEBT_ISSUED",IQ_FY-4))</f>
        <v>15</v>
      </c>
      <c r="N758" s="17">
        <f>IF(A761=A762,_xll.ciqfunctions.udf.CIQ(A753,"IQ_TOTAL_DEBT_REPAID",IQ_FY-5), _xll.ciqfunctions.udf.CIQ(A753, "IQ_TOTAL_DEBT_REPAID",IQ_FY-4))</f>
        <v>-9.1999999999999998E-2</v>
      </c>
      <c r="O758" s="15">
        <f t="shared" si="201"/>
        <v>0.16504397777685276</v>
      </c>
      <c r="P758" s="15">
        <f t="shared" si="202"/>
        <v>0.41856605257494295</v>
      </c>
      <c r="Q758" s="25" t="s">
        <v>27</v>
      </c>
      <c r="R758" s="38" t="s">
        <v>51</v>
      </c>
      <c r="S758" s="4">
        <f>AVERAGE(F758:F763)/AVERAGE(D758:D763)</f>
        <v>0.1361256774116987</v>
      </c>
      <c r="U758" s="25" t="s">
        <v>58</v>
      </c>
      <c r="V758" s="38" t="s">
        <v>51</v>
      </c>
      <c r="W758" s="4">
        <f>AVERAGE(F758:F763)/AVERAGE(D758:D763)</f>
        <v>0.1361256774116987</v>
      </c>
      <c r="Y758" s="25" t="s">
        <v>56</v>
      </c>
      <c r="Z758" s="38" t="s">
        <v>51</v>
      </c>
      <c r="AA758" s="4">
        <f>AVERAGE(F758:F763)/AVERAGE(D758:D763)</f>
        <v>0.1361256774116987</v>
      </c>
    </row>
    <row r="759" spans="1:27">
      <c r="A759" s="18"/>
      <c r="B759" s="13">
        <v>7</v>
      </c>
      <c r="C759" s="14" t="s">
        <v>28</v>
      </c>
      <c r="D759" s="15" cm="1">
        <f t="array" ref="D759">_xlfn.SINGLE(IF(A761=A762,_xll.ciqfunctions.udf.CIQ(A753,"IQ_TOTAL_REV",IQ_FY-4)/I759, _xll.ciqfunctions.udf.CIQ(A753, "IQ_TOTAL_REV",IQ_FY-3)/I759))</f>
        <v>2.2317361454747111</v>
      </c>
      <c r="E759" s="16">
        <f t="shared" si="203"/>
        <v>-0.39008579656659653</v>
      </c>
      <c r="F759" s="15">
        <f>IF(A761=A762,_xll.ciqfunctions.udf.CIQ(A753,"IQ_DILUT_EPS_EXCL",IQ_FY-4), _xll.ciqfunctions.udf.CIQ(A753, "IQ_DILUT_EPS_EXCL",IQ_FY-3))</f>
        <v>8.5529999999999995E-2</v>
      </c>
      <c r="G759" s="15">
        <f>IF(A761=A762,_xll.ciqfunctions.udf.CIQ(A753,"IQ_EBITDA_MARGIN",IQ_FY-4), _xll.ciqfunctions.udf.CIQ(A753, "IQ_EBITDA_MARGIN",IQ_FY-3))</f>
        <v>4.6806999999999999</v>
      </c>
      <c r="H759" s="15">
        <f>IF(A761=A762,_xll.ciqfunctions.udf.CIQ(A753,"IQ_TOTAL_DIV_PAID_CF",IQ_FY-4)/-I759, _xll.ciqfunctions.udf.CIQ(A753, "IQ_TOTAL_DIV_PAID_CF",IQ_FY-3)/-I759)</f>
        <v>0</v>
      </c>
      <c r="I759" s="17">
        <f>IF(A761=A762,_xll.ciqfunctions.udf.CIQ(A753,"IQ_TOTAL_OUTSTANDING_FILING_DATE",IQ_FY-4), _xll.ciqfunctions.udf.CIQ(A753, "IQ_TOTAL_OUTSTANDING_FILING_DATE",IQ_FY-3))</f>
        <v>279.00162</v>
      </c>
      <c r="J759" s="17">
        <f>IF(A761=A762,_xll.ciqfunctions.udf.CIQ(A753,"IQ_CASH_OPER",IQ_FY-4), _xll.ciqfunctions.udf.CIQ(A753, "IQ_CASH_OPER",IQ_FY-3))</f>
        <v>151.892</v>
      </c>
      <c r="K759" s="17">
        <f>IF(A761=A762,_xll.ciqfunctions.udf.CIQ(A753,"IQ_CAPEX",IQ_FY-4), _xll.ciqfunctions.udf.CIQ(A753, "IQ_CAPEX",IQ_FY-3))</f>
        <v>-38.084000000000003</v>
      </c>
      <c r="L759" s="15">
        <f t="shared" si="200"/>
        <v>0.40791160997559794</v>
      </c>
      <c r="M759" s="17">
        <f>IF(A761=A762,_xll.ciqfunctions.udf.CIQ(A753,"IQ_TOTAL_DEBT_ISSUED",IQ_FY-4), _xll.ciqfunctions.udf.CIQ(A753, "IQ_TOTAL_DEBT_ISSUED",IQ_FY-3))</f>
        <v>0</v>
      </c>
      <c r="N759" s="17">
        <f>IF(A761=A762,_xll.ciqfunctions.udf.CIQ(A753,"IQ_TOTAL_DEBT_REPAID",IQ_FY-4), _xll.ciqfunctions.udf.CIQ(A753, "IQ_TOTAL_DEBT_REPAID",IQ_FY-3))</f>
        <v>0</v>
      </c>
      <c r="O759" s="15">
        <f t="shared" si="201"/>
        <v>0</v>
      </c>
      <c r="P759" s="15">
        <f t="shared" si="202"/>
        <v>0.40791160997559794</v>
      </c>
      <c r="Q759" s="18"/>
      <c r="R759" s="38" t="s">
        <v>29</v>
      </c>
      <c r="S759" s="4">
        <f>(AVERAGE(P758:P763)/_xlfn.STDEV.P(P758:P763))/(IF(A761=A762,(_xlfn.SINGLE(_xll.ciqfunctions.udf.CIQ(A753,"IQ_total_assets",IQ_FY)) - _xlfn.SINGLE(_xll.ciqfunctions.udf.CIQ(A753,"iq_gw_intan", IQ_FY)))/I763, (_xlfn.SINGLE(_xll.ciqfunctions.udf.CIQ(A753, "IQ_total_assets",IQ_LTM))-_xlfn.SINGLE(_xll.ciqfunctions.udf.CIQ(A753,"iq_gw_intan",IQ_LTM)))/I763))</f>
        <v>5.4898858313336178E-2</v>
      </c>
      <c r="U759" s="18"/>
      <c r="V759" s="38" t="s">
        <v>29</v>
      </c>
      <c r="W759" s="4">
        <f>(AVERAGE(P758:P763)/_xlfn.STDEV.P(P758:P763))/(IF(A761=A762,(_xlfn.SINGLE(_xll.ciqfunctions.udf.CIQ(A753,"IQ_total_assets",IQ_FY)) - _xlfn.SINGLE(_xll.ciqfunctions.udf.CIQ(A753,"iq_gw_intan", IQ_FY)))/I763, (_xlfn.SINGLE(_xll.ciqfunctions.udf.CIQ(A753, "IQ_total_assets",IQ_LTM))-_xlfn.SINGLE(_xll.ciqfunctions.udf.CIQ(A753,"iq_gw_intan",IQ_LTM)))/I763))</f>
        <v>5.4898858313336178E-2</v>
      </c>
      <c r="Y759" s="18"/>
      <c r="Z759" s="38" t="s">
        <v>29</v>
      </c>
      <c r="AA759" s="4">
        <f>(AVERAGE(P758:P763)/_xlfn.STDEV.P(P758:P763))/(IF(A761=A762,(_xlfn.SINGLE(_xll.ciqfunctions.udf.CIQ(A753,"IQ_total_assets",IQ_FY)) - _xlfn.SINGLE(_xll.ciqfunctions.udf.CIQ(A753,"iq_gw_intan", IQ_FY)))/I763, (_xlfn.SINGLE(_xll.ciqfunctions.udf.CIQ(A753, "IQ_total_assets",IQ_LTM))-_xlfn.SINGLE(_xll.ciqfunctions.udf.CIQ(A753,"iq_gw_intan",IQ_LTM)))/I763))</f>
        <v>5.4898858313336178E-2</v>
      </c>
    </row>
    <row r="760" spans="1:27">
      <c r="A760" s="18"/>
      <c r="B760" s="13">
        <v>8</v>
      </c>
      <c r="C760" s="14" t="s">
        <v>30</v>
      </c>
      <c r="D760" s="15" cm="1">
        <f t="array" ref="D760">_xlfn.SINGLE(IF(A761=A762,_xll.ciqfunctions.udf.CIQ(A753,"IQ_TOTAL_REV",IQ_FY-3)/I760, _xll.ciqfunctions.udf.CIQ(A753, "IQ_TOTAL_REV",IQ_FY-2)/I760))</f>
        <v>9.0270383728663983</v>
      </c>
      <c r="E760" s="16">
        <f t="shared" si="203"/>
        <v>3.0448501903643557</v>
      </c>
      <c r="F760" s="15">
        <f>IF(A761=A762,_xll.ciqfunctions.udf.CIQ(A753,"IQ_DILUT_EPS_EXCL",IQ_FY-3), _xll.ciqfunctions.udf.CIQ(A753, "IQ_DILUT_EPS_EXCL",IQ_FY-2))</f>
        <v>2.2524799999999998</v>
      </c>
      <c r="G760" s="15">
        <f>IF(A761=A762,_xll.ciqfunctions.udf.CIQ(A753,"IQ_EBITDA_MARGIN",IQ_FY-3), _xll.ciqfunctions.udf.CIQ(A753, "IQ_EBITDA_MARGIN",IQ_FY-2))</f>
        <v>25.9754</v>
      </c>
      <c r="H760" s="15">
        <f>IF(A761=A762,_xll.ciqfunctions.udf.CIQ(A753,"IQ_TOTAL_DIV_PAID_CF",IQ_FY-3)/-I760, _xll.ciqfunctions.udf.CIQ(A753, "IQ_TOTAL_DIV_PAID_CF",IQ_FY-2)/-I760)</f>
        <v>0</v>
      </c>
      <c r="I760" s="17">
        <f>IF(A761=A762,_xll.ciqfunctions.udf.CIQ(A753,"IQ_TOTAL_OUTSTANDING_FILING_DATE",IQ_FY-3), _xll.ciqfunctions.udf.CIQ(A753, "IQ_TOTAL_OUTSTANDING_FILING_DATE",IQ_FY-2))</f>
        <v>293.71404999999999</v>
      </c>
      <c r="J760" s="17">
        <f>IF(A761=A762,_xll.ciqfunctions.udf.CIQ(A753,"IQ_CASH_OPER",IQ_FY-3), _xll.ciqfunctions.udf.CIQ(A753, "IQ_CASH_OPER",IQ_FY-2))</f>
        <v>1471.1769999999999</v>
      </c>
      <c r="K760" s="17">
        <f>IF(A761=A762,_xll.ciqfunctions.udf.CIQ(A753,"IQ_CAPEX",IQ_FY-3), _xll.ciqfunctions.udf.CIQ(A753, "IQ_CAPEX",IQ_FY-2))</f>
        <v>-79.971999999999994</v>
      </c>
      <c r="L760" s="15">
        <f t="shared" si="200"/>
        <v>4.7365967000897644</v>
      </c>
      <c r="M760" s="17">
        <f>IF(A761=A762,_xll.ciqfunctions.udf.CIQ(A753,"IQ_TOTAL_DEBT_ISSUED",IQ_FY-3), _xll.ciqfunctions.udf.CIQ(A753, "IQ_TOTAL_DEBT_ISSUED",IQ_FY-2))</f>
        <v>0</v>
      </c>
      <c r="N760" s="17">
        <f>IF(A761=A762,_xll.ciqfunctions.udf.CIQ(A753,"IQ_TOTAL_DEBT_REPAID",IQ_FY-3), _xll.ciqfunctions.udf.CIQ(A753, "IQ_TOTAL_DEBT_REPAID",IQ_FY-2))</f>
        <v>0</v>
      </c>
      <c r="O760" s="15">
        <f t="shared" si="201"/>
        <v>0</v>
      </c>
      <c r="P760" s="15">
        <f t="shared" si="202"/>
        <v>4.7365967000897644</v>
      </c>
      <c r="Q760" s="18"/>
      <c r="R760" s="39" t="s">
        <v>31</v>
      </c>
      <c r="S760" s="5" t="e">
        <f>IF(NOT(D753&gt;0),FALSE,SLOPE(G753:G763,B753:B763))</f>
        <v>#DIV/0!</v>
      </c>
      <c r="U760" s="18"/>
      <c r="V760" s="39" t="s">
        <v>31</v>
      </c>
      <c r="W760" s="5" t="e">
        <f>IF(NOT(D753&gt;0),FALSE,SLOPE(G753:G763,B753:B763))</f>
        <v>#DIV/0!</v>
      </c>
      <c r="Y760" s="18"/>
      <c r="Z760" s="39" t="s">
        <v>31</v>
      </c>
      <c r="AA760" s="5" t="e">
        <f>IF(NOT(L753&gt;0),FALSE,SLOPE(O753:O763,J753:J763))</f>
        <v>#DIV/0!</v>
      </c>
    </row>
    <row r="761" spans="1:27">
      <c r="A761" s="19">
        <f>_xll.ciqfunctions.udf.CIQ(A753,"IQ_TOTAL_REV",IQ_FY)</f>
        <v>4392.96</v>
      </c>
      <c r="B761" s="13">
        <v>9</v>
      </c>
      <c r="C761" s="14" t="s">
        <v>32</v>
      </c>
      <c r="D761" s="15" cm="1">
        <f t="array" ref="D761">_xlfn.SINGLE(IF(A761=A762,_xll.ciqfunctions.udf.CIQ(A753,"IQ_TOTAL_REV",IQ_FY-2)/I761, _xll.ciqfunctions.udf.CIQ(A753, "IQ_TOTAL_REV",IQ_FY-1)/I761))</f>
        <v>13.706237373963623</v>
      </c>
      <c r="E761" s="16">
        <f t="shared" si="203"/>
        <v>0.51835372885552677</v>
      </c>
      <c r="F761" s="15">
        <f>IF(A761=A762,_xll.ciqfunctions.udf.CIQ(A753,"IQ_DILUT_EPS_EXCL",IQ_FY-2), _xll.ciqfunctions.udf.CIQ(A753, "IQ_DILUT_EPS_EXCL",IQ_FY-1))</f>
        <v>4.4962</v>
      </c>
      <c r="G761" s="15">
        <f>IF(A761=A762,_xll.ciqfunctions.udf.CIQ(A753,"IQ_EBITDA_MARGIN",IQ_FY-2), _xll.ciqfunctions.udf.CIQ(A753, "IQ_EBITDA_MARGIN",IQ_FY-1))</f>
        <v>27.1174</v>
      </c>
      <c r="H761" s="15">
        <f>IF(A761=A762,_xll.ciqfunctions.udf.CIQ(A753,"IQ_TOTAL_DIV_PAID_CF",IQ_FY-2)/-I761, _xll.ciqfunctions.udf.CIQ(A753, "IQ_TOTAL_DIV_PAID_CF",IQ_FY-1)/-I761)</f>
        <v>0</v>
      </c>
      <c r="I761" s="17">
        <f>IF(A761=A762,_xll.ciqfunctions.udf.CIQ(A753,"IQ_TOTAL_OUTSTANDING_FILING_DATE",IQ_FY-2), _xll.ciqfunctions.udf.CIQ(A753, "IQ_TOTAL_OUTSTANDING_FILING_DATE",IQ_FY-1))</f>
        <v>299.12396000000001</v>
      </c>
      <c r="J761" s="17">
        <f>IF(A761=A762,_xll.ciqfunctions.udf.CIQ(A753,"IQ_CASH_OPER",IQ_FY-2), _xll.ciqfunctions.udf.CIQ(A753, "IQ_CASH_OPER",IQ_FY-1))</f>
        <v>1605.2660000000001</v>
      </c>
      <c r="K761" s="17">
        <f>IF(A761=A762,_xll.ciqfunctions.udf.CIQ(A753,"IQ_CAPEX",IQ_FY-2), _xll.ciqfunctions.udf.CIQ(A753, "IQ_CAPEX",IQ_FY-1))</f>
        <v>-132.59</v>
      </c>
      <c r="L761" s="15">
        <f t="shared" si="200"/>
        <v>4.9232966827531977</v>
      </c>
      <c r="M761" s="17">
        <f>IF(A761=A762,_xll.ciqfunctions.udf.CIQ(A753,"IQ_TOTAL_DEBT_ISSUED",IQ_FY-2), _xll.ciqfunctions.udf.CIQ(A753, "IQ_TOTAL_DEBT_ISSUED",IQ_FY-1))</f>
        <v>0</v>
      </c>
      <c r="N761" s="17">
        <f>IF(A761=A762,_xll.ciqfunctions.udf.CIQ(A753,"IQ_TOTAL_DEBT_REPAID",IQ_FY-2), _xll.ciqfunctions.udf.CIQ(A753, "IQ_TOTAL_DEBT_REPAID",IQ_FY-1))</f>
        <v>0</v>
      </c>
      <c r="O761" s="15">
        <f t="shared" si="201"/>
        <v>0</v>
      </c>
      <c r="P761" s="15">
        <f t="shared" si="202"/>
        <v>4.9232966827531977</v>
      </c>
      <c r="Q761" s="25" t="s">
        <v>33</v>
      </c>
      <c r="R761" s="38" t="s">
        <v>52</v>
      </c>
      <c r="S761" s="4">
        <f>(AVERAGE(O758:O763)/AVERAGE(P758:P763))</f>
        <v>8.7470716481784314E-3</v>
      </c>
      <c r="U761" s="25" t="s">
        <v>54</v>
      </c>
      <c r="V761" s="38" t="s">
        <v>52</v>
      </c>
      <c r="W761" s="4">
        <f>(AVERAGE(O758:O763)/AVERAGE(P758:P763))</f>
        <v>8.7470716481784314E-3</v>
      </c>
      <c r="Y761" s="25" t="s">
        <v>60</v>
      </c>
      <c r="Z761" s="38" t="s">
        <v>52</v>
      </c>
      <c r="AA761" s="4">
        <f>(AVERAGE(O758:O763)/AVERAGE(P758:P763))</f>
        <v>8.7470716481784314E-3</v>
      </c>
    </row>
    <row r="762" spans="1:27">
      <c r="A762" s="19">
        <f>_xll.ciqfunctions.udf.CIQ(A753,"IQ_TOTAL_REV",IQ_LTM)</f>
        <v>4498.57</v>
      </c>
      <c r="B762" s="13">
        <v>10</v>
      </c>
      <c r="C762" s="14" t="s">
        <v>34</v>
      </c>
      <c r="D762" s="15" cm="1">
        <f t="array" ref="D762">_xlfn.SINGLE(IF(A761=A762,_xll.ciqfunctions.udf.CIQ(A753,"IQ_TOTAL_REV",IQ_FY-1)/I762, _xll.ciqfunctions.udf.CIQ(A753, "IQ_TOTAL_REV",IQ_FY)/I762))</f>
        <v>14.950360641171777</v>
      </c>
      <c r="E762" s="16">
        <f t="shared" si="203"/>
        <v>9.0770591028249067E-2</v>
      </c>
      <c r="F762" s="15">
        <f>IF(A761=A762,_xll.ciqfunctions.udf.CIQ(A753,"IQ_DILUT_EPS_EXCL",IQ_FY-1), _xll.ciqfunctions.udf.CIQ(A753, "IQ_DILUT_EPS_EXCL",IQ_FY))</f>
        <v>0.34087000000000001</v>
      </c>
      <c r="G762" s="15">
        <f>IF(A761=A762,_xll.ciqfunctions.udf.CIQ(A753,"IQ_EBITDA_MARGIN",IQ_FY-1), _xll.ciqfunctions.udf.CIQ(A753, "IQ_EBITDA_MARGIN",IQ_FY))</f>
        <v>7.4607999999999999</v>
      </c>
      <c r="H762" s="15">
        <f>IF(A761=A762,_xll.ciqfunctions.udf.CIQ(A753,"IQ_TOTAL_DIV_PAID_CF",IQ_FY-1)/-I762, _xll.ciqfunctions.udf.CIQ(A753, "IQ_TOTAL_DIV_PAID_CF",IQ_FY)/-I762)</f>
        <v>0</v>
      </c>
      <c r="I762" s="17">
        <f>IF(A761=A762,_xll.ciqfunctions.udf.CIQ(A753,"IQ_TOTAL_OUTSTANDING_FILING_DATE",IQ_FY-1), _xll.ciqfunctions.udf.CIQ(A753, "IQ_TOTAL_OUTSTANDING_FILING_DATE",IQ_FY))</f>
        <v>293.83638999999999</v>
      </c>
      <c r="J762" s="17">
        <f>IF(A761=A762,_xll.ciqfunctions.udf.CIQ(A753,"IQ_CASH_OPER",IQ_FY-1), _xll.ciqfunctions.udf.CIQ(A753, "IQ_CASH_OPER",IQ_FY))</f>
        <v>1290.2619999999999</v>
      </c>
      <c r="K762" s="17">
        <f>IF(A761=A762,_xll.ciqfunctions.udf.CIQ(A753,"IQ_CAPEX",IQ_FY-1), _xll.ciqfunctions.udf.CIQ(A753, "IQ_CAPEX",IQ_FY))</f>
        <v>-103.82599999999999</v>
      </c>
      <c r="L762" s="15">
        <f t="shared" si="200"/>
        <v>4.0377435892130311</v>
      </c>
      <c r="M762" s="17">
        <f>IF(A761=A762,_xll.ciqfunctions.udf.CIQ(A753,"IQ_TOTAL_DEBT_ISSUED",IQ_FY-1), _xll.ciqfunctions.udf.CIQ(A753, "IQ_TOTAL_DEBT_ISSUED",IQ_FY))</f>
        <v>0</v>
      </c>
      <c r="N762" s="17">
        <f>IF(A761=A762,_xll.ciqfunctions.udf.CIQ(A753,"IQ_TOTAL_DEBT_REPAID",IQ_FY-1), _xll.ciqfunctions.udf.CIQ(A753, "IQ_TOTAL_DEBT_REPAID",IQ_FY))</f>
        <v>0</v>
      </c>
      <c r="O762" s="15">
        <f t="shared" si="201"/>
        <v>0</v>
      </c>
      <c r="P762" s="15">
        <f t="shared" si="202"/>
        <v>4.0377435892130311</v>
      </c>
      <c r="Q762" s="25" t="s">
        <v>44</v>
      </c>
      <c r="R762" s="38" t="s">
        <v>35</v>
      </c>
      <c r="S762" s="1">
        <f>_xll.ciqfunctions.udf.CIQ(A753,"IQ_TEV_EBITDA")</f>
        <v>26.77685</v>
      </c>
      <c r="U762" s="25" t="s">
        <v>55</v>
      </c>
      <c r="V762" s="38" t="s">
        <v>53</v>
      </c>
      <c r="W762" s="1">
        <f>V752/(AVERAGE(D758:D763)/_xlfn.STDEV.P(E758:E763))</f>
        <v>7.6508168304955015</v>
      </c>
      <c r="Y762" s="25" t="s">
        <v>57</v>
      </c>
      <c r="Z762" s="38" t="s">
        <v>53</v>
      </c>
      <c r="AA762" s="1">
        <f>Z752/(AVERAGE(D758:D763)/_xlfn.STDEV.P(E758:E763))</f>
        <v>7.6508168304955015</v>
      </c>
    </row>
    <row r="763" spans="1:27">
      <c r="B763" s="13">
        <v>11</v>
      </c>
      <c r="C763" s="20" t="s">
        <v>36</v>
      </c>
      <c r="D763" s="21" cm="1">
        <f t="array" ref="D763">_xlfn.SINGLE(IF(A761=A762,_xll.ciqfunctions.udf.CIQ(A753,"IQ_TOTAL_REV",IQ_FY)/I763, _xll.ciqfunctions.udf.CIQ(A753, "IQ_TOTAL_REV",IQ_LTM)/I763))</f>
        <v>14.777341433890616</v>
      </c>
      <c r="E763" s="22">
        <f t="shared" si="203"/>
        <v>-1.1572911947333484E-2</v>
      </c>
      <c r="F763" s="21">
        <f>IF(A761=A762,_xll.ciqfunctions.udf.CIQ(A753,"IQ_DILUT_EPS_EXCL",IQ_FY), _xll.ciqfunctions.udf.CIQ(A753, "IQ_DILUT_EPS_EXCL",IQ_LTM))</f>
        <v>0.7681</v>
      </c>
      <c r="G763" s="21">
        <f>IF(A761=A762,_xll.ciqfunctions.udf.CIQ(A753,"IQ_EBITDA_MARGIN",IQ_FY), _xll.ciqfunctions.udf.CIQ(A753, "IQ_EBITDA_MARGIN",IQ_LTM))</f>
        <v>10.0906</v>
      </c>
      <c r="H763" s="21">
        <f>IF(A761=A762,_xll.ciqfunctions.udf.CIQ(A753,"IQ_TOTAL_DIV_PAID_CF",IQ_FY)/-I763, _xll.ciqfunctions.udf.CIQ(A753, "IQ_TOTAL_DIV_PAID_CF",IQ_LTM)/-I763)</f>
        <v>0</v>
      </c>
      <c r="I763" s="23">
        <f>IF(A761=A762,_xll.ciqfunctions.udf.CIQ(A753,"IQ_TOTAL_OUTSTANDING_FILING_DATE",IQ_FY),_xll.ciqfunctions.udf.CIQ(A753,"IQ_sharesoutstanding"))</f>
        <v>304.42349999999999</v>
      </c>
      <c r="J763" s="23">
        <f>IF(A761=A762,_xll.ciqfunctions.udf.CIQ(A753,"IQ_CASH_OPER",IQ_FY), _xll.ciqfunctions.udf.CIQ(A753, "IQ_CASH_OPER",IQ_LTM))</f>
        <v>1459.1990000000001</v>
      </c>
      <c r="K763" s="23">
        <f>IF(A761=A762,_xll.ciqfunctions.udf.CIQ(A753,"IQ_CAPEX",IQ_FY), _xll.ciqfunctions.udf.CIQ(A753, "IQ_CAPEX",IQ_LTM))</f>
        <v>-136.67099999999999</v>
      </c>
      <c r="L763" s="21">
        <f t="shared" si="200"/>
        <v>4.3443689465497899</v>
      </c>
      <c r="M763" s="23">
        <f>IF(A761=A762,_xll.ciqfunctions.udf.CIQ(A753,"IQ_TOTAL_DEBT_ISSUED",IQ_FY), _xll.ciqfunctions.udf.CIQ(A753, "IQ_TOTAL_DEBT_ISSUED",IQ_LTM))</f>
        <v>0</v>
      </c>
      <c r="N763" s="23">
        <f>IF(A761=A762,_xll.ciqfunctions.udf.CIQ(A753,"IQ_TOTAL_DEBT_REPAID",IQ_FY), _xll.ciqfunctions.udf.CIQ(A753, "IQ_TOTAL_DEBT_REPAID",IQ_LTM))</f>
        <v>0</v>
      </c>
      <c r="O763" s="21">
        <f t="shared" si="201"/>
        <v>0</v>
      </c>
      <c r="P763" s="21">
        <f t="shared" si="202"/>
        <v>4.3443689465497899</v>
      </c>
      <c r="Q763" s="25" t="s">
        <v>45</v>
      </c>
      <c r="S763" s="45"/>
      <c r="U763" s="25"/>
      <c r="W763" s="45"/>
      <c r="Y763" s="25"/>
      <c r="AA763" s="45"/>
    </row>
    <row r="764" spans="1:27">
      <c r="B764" s="24"/>
      <c r="C764" s="25" t="s">
        <v>37</v>
      </c>
      <c r="E764" s="26">
        <f>((D763/D758)^(1/5))-1</f>
        <v>0.3220395313834945</v>
      </c>
      <c r="F764" s="27" t="e">
        <f>((F763/F758)^(1/5))-1</f>
        <v>#DIV/0!</v>
      </c>
      <c r="G764" s="28"/>
      <c r="H764" s="27" t="e">
        <f>((H763/H758)^(1/5))-1</f>
        <v>#DIV/0!</v>
      </c>
      <c r="I764" s="27">
        <f>((I763/I758)^(1/5))-1</f>
        <v>0.27506314996171843</v>
      </c>
      <c r="J764" s="27"/>
      <c r="K764" s="27"/>
      <c r="L764" s="26">
        <f>((L763/L758)^(1/5))-1</f>
        <v>0.76515230461437311</v>
      </c>
      <c r="M764" s="26"/>
      <c r="N764" s="26"/>
      <c r="O764" s="26"/>
      <c r="P764" s="26">
        <f>((P763/P758)^(1/5))-1</f>
        <v>0.59673387736474792</v>
      </c>
      <c r="Q764" s="18"/>
      <c r="R764" s="36"/>
      <c r="S764" s="45"/>
      <c r="U764" s="18"/>
      <c r="V764" s="36"/>
      <c r="W764" s="45"/>
      <c r="Y764" s="18"/>
      <c r="Z764" s="36"/>
      <c r="AA764" s="45"/>
    </row>
    <row r="765" spans="1:27">
      <c r="A765" s="29"/>
      <c r="B765" s="30"/>
      <c r="C765" s="31" t="s">
        <v>38</v>
      </c>
      <c r="D765" s="29"/>
      <c r="E765" s="32" t="e">
        <f>((D763/D753)^(1/10))-1</f>
        <v>#DIV/0!</v>
      </c>
      <c r="F765" s="33" t="e">
        <f>((F763/F753)^(1/10))-1</f>
        <v>#DIV/0!</v>
      </c>
      <c r="G765" s="34"/>
      <c r="H765" s="33" t="e">
        <f>((H763/H753)^(1/10))-1</f>
        <v>#DIV/0!</v>
      </c>
      <c r="I765" s="33" t="e">
        <f>((I763/I753)^(1/10))-1</f>
        <v>#DIV/0!</v>
      </c>
      <c r="J765" s="33"/>
      <c r="K765" s="33"/>
      <c r="L765" s="32" t="e">
        <f>((L763/L753)^(1/10))-1</f>
        <v>#DIV/0!</v>
      </c>
      <c r="M765" s="32"/>
      <c r="N765" s="32"/>
      <c r="O765" s="32"/>
      <c r="P765" s="32" t="e">
        <f>((P763/P753)^(1/10))-1</f>
        <v>#DIV/0!</v>
      </c>
      <c r="Q765" s="40"/>
      <c r="R765" s="41"/>
      <c r="S765" s="46"/>
      <c r="U765" s="40"/>
      <c r="V765" s="41"/>
      <c r="W765" s="46"/>
      <c r="Y765" s="40"/>
      <c r="Z765" s="41"/>
      <c r="AA765" s="46"/>
    </row>
    <row r="766" spans="1:27">
      <c r="B766" s="24"/>
      <c r="C766" s="25"/>
      <c r="E766" s="26"/>
      <c r="F766" s="27"/>
      <c r="G766" s="28"/>
      <c r="H766" s="27"/>
      <c r="I766" s="27"/>
      <c r="J766" s="27"/>
      <c r="K766" s="27"/>
      <c r="L766" s="26"/>
      <c r="M766" s="17"/>
      <c r="N766" s="17"/>
      <c r="O766" s="17"/>
      <c r="P766" s="35"/>
      <c r="Q766" s="18"/>
      <c r="R766" s="36"/>
    </row>
    <row r="767" spans="1:27">
      <c r="A767" s="9" t="s">
        <v>0</v>
      </c>
      <c r="B767" s="10"/>
      <c r="C767" s="9" t="s">
        <v>1</v>
      </c>
      <c r="D767" s="9" t="s">
        <v>2</v>
      </c>
      <c r="E767" s="9" t="s">
        <v>3</v>
      </c>
      <c r="F767" s="11" t="s">
        <v>4</v>
      </c>
      <c r="G767" s="11" t="s">
        <v>5</v>
      </c>
      <c r="H767" s="9" t="s">
        <v>6</v>
      </c>
      <c r="I767" s="11" t="s">
        <v>7</v>
      </c>
      <c r="J767" s="11" t="s">
        <v>8</v>
      </c>
      <c r="K767" s="11" t="s">
        <v>9</v>
      </c>
      <c r="L767" s="11" t="s">
        <v>10</v>
      </c>
      <c r="M767" s="11" t="s">
        <v>11</v>
      </c>
      <c r="N767" s="11" t="s">
        <v>12</v>
      </c>
      <c r="O767" s="11" t="s">
        <v>13</v>
      </c>
      <c r="P767" s="11" t="s">
        <v>14</v>
      </c>
      <c r="Q767" s="37" t="s">
        <v>15</v>
      </c>
      <c r="R767" s="42">
        <f>_xll.ciqfunctions.udf.CIQ(A768,("IQ_LASTSALEPRICE"))</f>
        <v>676.53</v>
      </c>
      <c r="S767" s="44"/>
      <c r="U767" s="37" t="s">
        <v>15</v>
      </c>
      <c r="V767" s="42">
        <f>_xll.ciqfunctions.udf.CIQ(A768,("IQ_LASTSALEPRICE"))</f>
        <v>676.53</v>
      </c>
      <c r="W767" s="44"/>
      <c r="Y767" s="37" t="s">
        <v>15</v>
      </c>
      <c r="Z767" s="42">
        <f>_xll.ciqfunctions.udf.CIQ(A768,("IQ_LASTSALEPRICE"))</f>
        <v>676.53</v>
      </c>
      <c r="AA767" s="44"/>
    </row>
    <row r="768" spans="1:27">
      <c r="A768" s="12" t="str">
        <f>Analysis!B53</f>
        <v>NYSE:NOW</v>
      </c>
      <c r="B768" s="13">
        <v>1</v>
      </c>
      <c r="C768" s="14" t="s">
        <v>16</v>
      </c>
      <c r="D768" s="15">
        <f>IF(A776=A777,_xll.ciqfunctions.udf.CIQ(A768,"IQ_TOTAL_REV",IQ_FY-10)/I768,_xll.ciqfunctions.udf.CIQ(A768, "IQ_TOTAL_REV",IQ_FY-9)/I768)</f>
        <v>3.0095676824946844</v>
      </c>
      <c r="E768" s="16"/>
      <c r="F768" s="15">
        <f>IF(A776=A777,_xll.ciqfunctions.udf.CIQ(A768,"IQ_DILUT_EPS_EXCL",IQ_FY-10), _xll.ciqfunctions.udf.CIQ(A768, "IQ_DILUT_EPS_EXCL",IQ_FY-9))</f>
        <v>-0.54430999999999996</v>
      </c>
      <c r="G768" s="15">
        <f>IF(A776=A777,_xll.ciqfunctions.udf.CIQ(A768,"IQ_EBITDA_MARGIN",IQ_FY-10), _xll.ciqfunctions.udf.CIQ(A768, "IQ_EBITDA_MARGIN",IQ_FY-9))</f>
        <v>-9.9175000000000004</v>
      </c>
      <c r="H768" s="15">
        <f>IF(A776=A777,_xll.ciqfunctions.udf.CIQ(A768,"IQ_TOTAL_DIV_PAID_CF",IQ_FY-10)/-I768, _xll.ciqfunctions.udf.CIQ(A768, "IQ_TOTAL_DIV_PAID_CF",IQ_FY-9)/-I768)</f>
        <v>0</v>
      </c>
      <c r="I768" s="17">
        <f>IF(A776=A777,_xll.ciqfunctions.udf.CIQ(A768,"IQ_TOTAL_OUTSTANDING_FILING_DATE",IQ_FY-10), _xll.ciqfunctions.udf.CIQ(A768, "IQ_TOTAL_OUTSTANDING_FILING_DATE",IQ_FY-9))</f>
        <v>141.1</v>
      </c>
      <c r="J768" s="17">
        <f>IF(A776=A777,_xll.ciqfunctions.udf.CIQ(A768,"IQ_CASH_OPER",IQ_FY-10), _xll.ciqfunctions.udf.CIQ(A768, "IQ_CASH_OPER",IQ_FY-9))</f>
        <v>81.745999999999995</v>
      </c>
      <c r="K768" s="17">
        <f>IF(A776=A777,_xll.ciqfunctions.udf.CIQ(A768,"IQ_CAPEX",IQ_FY-10), _xll.ciqfunctions.udf.CIQ(A768, "IQ_CAPEX",IQ_FY-9))</f>
        <v>-55.320999999999998</v>
      </c>
      <c r="L768" s="15">
        <f t="shared" ref="L768:L778" si="204">(J768+K768)/I768</f>
        <v>0.18727852586817859</v>
      </c>
      <c r="M768" s="17">
        <f>IF(A776=A777,_xll.ciqfunctions.udf.CIQ(A768,"IQ_TOTAL_DEBT_ISSUED",IQ_FY-10), _xll.ciqfunctions.udf.CIQ(A768, "IQ_TOTAL_DEBT_ISSUED",IQ_FY-9))</f>
        <v>562.94100000000003</v>
      </c>
      <c r="N768" s="17">
        <f>IF(A776=A777,_xll.ciqfunctions.udf.CIQ(A768,"IQ_TOTAL_DEBT_REPAID",IQ_FY-10), _xll.ciqfunctions.udf.CIQ(A768, "IQ_TOTAL_DEBT_REPAID",IQ_FY-9))</f>
        <v>0</v>
      </c>
      <c r="O768" s="15">
        <f t="shared" ref="O768:O778" si="205">(M768+N768)/I768</f>
        <v>3.9896598157335226</v>
      </c>
      <c r="P768" s="15">
        <f t="shared" ref="P768:P778" si="206">L768+O768</f>
        <v>4.1769383416017014</v>
      </c>
      <c r="W768" s="43"/>
      <c r="AA768" s="43"/>
    </row>
    <row r="769" spans="1:27">
      <c r="A769" s="18" t="str">
        <f>_xll.ciqfunctions.udf.CIQ(A768,"IQ_COMPANY_NAME")</f>
        <v>ServiceNow, Inc.</v>
      </c>
      <c r="B769" s="13">
        <v>2</v>
      </c>
      <c r="C769" s="14" t="s">
        <v>17</v>
      </c>
      <c r="D769" s="15">
        <f>IF(A776=A777,_xll.ciqfunctions.udf.CIQ(A768,"IQ_TOTAL_REV",IQ_FY-9)/I769, _xll.ciqfunctions.udf.CIQ(A768, "IQ_TOTAL_REV",IQ_FY-8)/I769)</f>
        <v>4.5353023255813953</v>
      </c>
      <c r="E769" s="16">
        <f t="shared" ref="E769:E778" si="207">(D769-D768)/D768</f>
        <v>0.50696139912759897</v>
      </c>
      <c r="F769" s="15">
        <f>IF(A776=A777,_xll.ciqfunctions.udf.CIQ(A768,"IQ_DILUT_EPS_EXCL",IQ_FY-9), _xll.ciqfunctions.udf.CIQ(A768, "IQ_DILUT_EPS_EXCL",IQ_FY-8))</f>
        <v>-1.2341299999999999</v>
      </c>
      <c r="G769" s="15">
        <f>IF(A776=A777,_xll.ciqfunctions.udf.CIQ(A768,"IQ_EBITDA_MARGIN",IQ_FY-9), _xll.ciqfunctions.udf.CIQ(A768, "IQ_EBITDA_MARGIN",IQ_FY-8))</f>
        <v>-15.9071</v>
      </c>
      <c r="H769" s="15">
        <f>IF(A776=A777,_xll.ciqfunctions.udf.CIQ(A768,"IQ_TOTAL_DIV_PAID_CF",IQ_FY-9)/-I769, _xll.ciqfunctions.udf.CIQ(A768, "IQ_TOTAL_DIV_PAID_CF",IQ_FY-8)/-I769)</f>
        <v>0</v>
      </c>
      <c r="I769" s="17">
        <f>IF(A776=A777,_xll.ciqfunctions.udf.CIQ(A768,"IQ_TOTAL_OUTSTANDING_FILING_DATE",IQ_FY-9), _xll.ciqfunctions.udf.CIQ(A768, "IQ_TOTAL_OUTSTANDING_FILING_DATE",IQ_FY-8))</f>
        <v>150.5</v>
      </c>
      <c r="J769" s="17">
        <f>IF(A776=A777,_xll.ciqfunctions.udf.CIQ(A768,"IQ_CASH_OPER",IQ_FY-9), _xll.ciqfunctions.udf.CIQ(A768, "IQ_CASH_OPER",IQ_FY-8))</f>
        <v>140.93700000000001</v>
      </c>
      <c r="K769" s="17">
        <f>IF(A776=A777,_xll.ciqfunctions.udf.CIQ(A768,"IQ_CAPEX",IQ_FY-9), _xll.ciqfunctions.udf.CIQ(A768, "IQ_CAPEX",IQ_FY-8))</f>
        <v>-54.378999999999998</v>
      </c>
      <c r="L769" s="15">
        <f t="shared" si="204"/>
        <v>0.57513621262458481</v>
      </c>
      <c r="M769" s="17">
        <f>IF(A776=A777,_xll.ciqfunctions.udf.CIQ(A768,"IQ_TOTAL_DEBT_ISSUED",IQ_FY-9), _xll.ciqfunctions.udf.CIQ(A768, "IQ_TOTAL_DEBT_ISSUED",IQ_FY-8))</f>
        <v>0</v>
      </c>
      <c r="N769" s="17">
        <f>IF(A776=A777,_xll.ciqfunctions.udf.CIQ(A768,"IQ_TOTAL_DEBT_REPAID",IQ_FY-9), _xll.ciqfunctions.udf.CIQ(A768, "IQ_TOTAL_DEBT_REPAID",IQ_FY-8))</f>
        <v>0</v>
      </c>
      <c r="O769" s="15">
        <f t="shared" si="205"/>
        <v>0</v>
      </c>
      <c r="P769" s="15">
        <f t="shared" si="206"/>
        <v>0.57513621262458481</v>
      </c>
      <c r="Q769" s="25" t="s">
        <v>18</v>
      </c>
      <c r="R769" s="39" t="s">
        <v>19</v>
      </c>
      <c r="S769" s="1">
        <f>R767/((AVERAGE(P773:P778))*(1+E779)^3)</f>
        <v>50.463575065757269</v>
      </c>
      <c r="U769" s="25" t="s">
        <v>48</v>
      </c>
      <c r="V769" s="39" t="s">
        <v>19</v>
      </c>
      <c r="W769" s="1">
        <f>V767/((AVERAGE(P773:P778))*(1+E779)^3)</f>
        <v>50.463575065757269</v>
      </c>
      <c r="Y769" s="25" t="s">
        <v>39</v>
      </c>
      <c r="Z769" s="39" t="s">
        <v>19</v>
      </c>
      <c r="AA769" s="1">
        <f>Z767/((AVERAGE(P773:P778))*(1+E779)^3)</f>
        <v>50.463575065757269</v>
      </c>
    </row>
    <row r="770" spans="1:27">
      <c r="B770" s="13">
        <v>3</v>
      </c>
      <c r="C770" s="14" t="s">
        <v>20</v>
      </c>
      <c r="D770" s="15" cm="1">
        <f t="array" ref="D770">_xlfn.SINGLE(IF(A776=A777,_xll.ciqfunctions.udf.CIQ(A768,"IQ_TOTAL_REV",IQ_FY-8)/I770, _xll.ciqfunctions.udf.CIQ(A768, "IQ_TOTAL_REV",IQ_FY-7)/I770))</f>
        <v>6.2297397769516731</v>
      </c>
      <c r="E770" s="16">
        <f t="shared" si="207"/>
        <v>0.37361069444318956</v>
      </c>
      <c r="F770" s="15">
        <f>IF(A776=A777,_xll.ciqfunctions.udf.CIQ(A768,"IQ_DILUT_EPS_EXCL",IQ_FY-8), _xll.ciqfunctions.udf.CIQ(A768, "IQ_DILUT_EPS_EXCL",IQ_FY-7))</f>
        <v>-1.2743599999999999</v>
      </c>
      <c r="G770" s="15">
        <f>IF(A776=A777,_xll.ciqfunctions.udf.CIQ(A768,"IQ_EBITDA_MARGIN",IQ_FY-8), _xll.ciqfunctions.udf.CIQ(A768, "IQ_EBITDA_MARGIN",IQ_FY-7))</f>
        <v>-10.543100000000001</v>
      </c>
      <c r="H770" s="15">
        <f>IF(A776=A777,_xll.ciqfunctions.udf.CIQ(A768,"IQ_TOTAL_DIV_PAID_CF",IQ_FY-8)/-I770, _xll.ciqfunctions.udf.CIQ(A768, "IQ_TOTAL_DIV_PAID_CF",IQ_FY-7)/-I770)</f>
        <v>0</v>
      </c>
      <c r="I770" s="17">
        <f>IF(A776=A777,_xll.ciqfunctions.udf.CIQ(A768,"IQ_TOTAL_OUTSTANDING_FILING_DATE",IQ_FY-8), _xll.ciqfunctions.udf.CIQ(A768, "IQ_TOTAL_OUTSTANDING_FILING_DATE",IQ_FY-7))</f>
        <v>161.4</v>
      </c>
      <c r="J770" s="17">
        <f>IF(A776=A777,_xll.ciqfunctions.udf.CIQ(A768,"IQ_CASH_OPER",IQ_FY-8), _xll.ciqfunctions.udf.CIQ(A768, "IQ_CASH_OPER",IQ_FY-7))</f>
        <v>317.75400000000002</v>
      </c>
      <c r="K770" s="17">
        <f>IF(A776=A777,_xll.ciqfunctions.udf.CIQ(A768,"IQ_CAPEX",IQ_FY-8), _xll.ciqfunctions.udf.CIQ(A768, "IQ_CAPEX",IQ_FY-7))</f>
        <v>-87.480999999999995</v>
      </c>
      <c r="L770" s="15">
        <f t="shared" si="204"/>
        <v>1.4267224287484512</v>
      </c>
      <c r="M770" s="17">
        <f>IF(A776=A777,_xll.ciqfunctions.udf.CIQ(A768,"IQ_TOTAL_DEBT_ISSUED",IQ_FY-8), _xll.ciqfunctions.udf.CIQ(A768, "IQ_TOTAL_DEBT_ISSUED",IQ_FY-7))</f>
        <v>0</v>
      </c>
      <c r="N770" s="17">
        <f>IF(A776=A777,_xll.ciqfunctions.udf.CIQ(A768,"IQ_TOTAL_DEBT_REPAID",IQ_FY-8), _xll.ciqfunctions.udf.CIQ(A768, "IQ_TOTAL_DEBT_REPAID",IQ_FY-7))</f>
        <v>-0.223</v>
      </c>
      <c r="O770" s="15">
        <f t="shared" si="205"/>
        <v>-1.3816604708798018E-3</v>
      </c>
      <c r="P770" s="15">
        <f t="shared" si="206"/>
        <v>1.4253407682775714</v>
      </c>
      <c r="Q770" s="25" t="s">
        <v>21</v>
      </c>
      <c r="R770" s="38" t="s">
        <v>49</v>
      </c>
      <c r="S770" s="2">
        <f>(R767*I778)/1000</f>
        <v>138.38759414999998</v>
      </c>
      <c r="U770" s="25" t="s">
        <v>59</v>
      </c>
      <c r="V770" s="38" t="s">
        <v>49</v>
      </c>
      <c r="W770" s="2">
        <f>(V767*I778)/1000</f>
        <v>138.38759414999998</v>
      </c>
      <c r="Y770" s="25" t="s">
        <v>46</v>
      </c>
      <c r="Z770" s="38" t="s">
        <v>49</v>
      </c>
      <c r="AA770" s="2">
        <f>(Z767*I778)/1000</f>
        <v>138.38759414999998</v>
      </c>
    </row>
    <row r="771" spans="1:27">
      <c r="A771" s="18"/>
      <c r="B771" s="13">
        <v>4</v>
      </c>
      <c r="C771" s="14" t="s">
        <v>22</v>
      </c>
      <c r="D771" s="15" cm="1">
        <f t="array" ref="D771">_xlfn.SINGLE(IF(A776=A777,_xll.ciqfunctions.udf.CIQ(A768,"IQ_TOTAL_REV",IQ_FY-7)/I771, _xll.ciqfunctions.udf.CIQ(A768, "IQ_TOTAL_REV",IQ_FY-6)/I771))</f>
        <v>8.2796726190476182</v>
      </c>
      <c r="E771" s="16">
        <f t="shared" si="207"/>
        <v>0.32905593419489748</v>
      </c>
      <c r="F771" s="15">
        <f>IF(A776=A777,_xll.ciqfunctions.udf.CIQ(A768,"IQ_DILUT_EPS_EXCL",IQ_FY-7), _xll.ciqfunctions.udf.CIQ(A768, "IQ_DILUT_EPS_EXCL",IQ_FY-6))</f>
        <v>-2.5177100000000001</v>
      </c>
      <c r="G771" s="15">
        <f>IF(A776=A777,_xll.ciqfunctions.udf.CIQ(A768,"IQ_EBITDA_MARGIN",IQ_FY-7), _xll.ciqfunctions.udf.CIQ(A768, "IQ_EBITDA_MARGIN",IQ_FY-6))</f>
        <v>-2.0190999999999999</v>
      </c>
      <c r="H771" s="15">
        <f>IF(A776=A777,_xll.ciqfunctions.udf.CIQ(A768,"IQ_TOTAL_DIV_PAID_CF",IQ_FY-7)/-I771, _xll.ciqfunctions.udf.CIQ(A768, "IQ_TOTAL_DIV_PAID_CF",IQ_FY-6)/-I771)</f>
        <v>0</v>
      </c>
      <c r="I771" s="17">
        <f>IF(A776=A777,_xll.ciqfunctions.udf.CIQ(A768,"IQ_TOTAL_OUTSTANDING_FILING_DATE",IQ_FY-7), _xll.ciqfunctions.udf.CIQ(A768, "IQ_TOTAL_OUTSTANDING_FILING_DATE",IQ_FY-6))</f>
        <v>168</v>
      </c>
      <c r="J771" s="17">
        <f>IF(A776=A777,_xll.ciqfunctions.udf.CIQ(A768,"IQ_CASH_OPER",IQ_FY-7), _xll.ciqfunctions.udf.CIQ(A768, "IQ_CASH_OPER",IQ_FY-6))</f>
        <v>159.08099999999999</v>
      </c>
      <c r="K771" s="17">
        <f>IF(A776=A777,_xll.ciqfunctions.udf.CIQ(A768,"IQ_CAPEX",IQ_FY-7), _xll.ciqfunctions.udf.CIQ(A768, "IQ_CAPEX",IQ_FY-6))</f>
        <v>-105.562</v>
      </c>
      <c r="L771" s="15">
        <f t="shared" si="204"/>
        <v>0.31856547619047615</v>
      </c>
      <c r="M771" s="17">
        <f>IF(A776=A777,_xll.ciqfunctions.udf.CIQ(A768,"IQ_TOTAL_DEBT_ISSUED",IQ_FY-7), _xll.ciqfunctions.udf.CIQ(A768, "IQ_TOTAL_DEBT_ISSUED",IQ_FY-6))</f>
        <v>0</v>
      </c>
      <c r="N771" s="17">
        <f>IF(A776=A777,_xll.ciqfunctions.udf.CIQ(A768,"IQ_TOTAL_DEBT_REPAID",IQ_FY-7), _xll.ciqfunctions.udf.CIQ(A768, "IQ_TOTAL_DEBT_REPAID",IQ_FY-6))</f>
        <v>-2.2229999999999999</v>
      </c>
      <c r="O771" s="15">
        <f t="shared" si="205"/>
        <v>-1.3232142857142856E-2</v>
      </c>
      <c r="P771" s="15">
        <f t="shared" si="206"/>
        <v>0.30533333333333329</v>
      </c>
      <c r="Q771" s="25" t="s">
        <v>23</v>
      </c>
      <c r="R771" s="38" t="s">
        <v>24</v>
      </c>
      <c r="S771" s="1" t="e">
        <f>R767/(AVERAGE(H773:H778)*(1+H779)/(0.5-H779))</f>
        <v>#DIV/0!</v>
      </c>
      <c r="U771" s="25" t="s">
        <v>40</v>
      </c>
      <c r="V771" s="38" t="s">
        <v>24</v>
      </c>
      <c r="W771" s="1" t="e">
        <f>V767/(AVERAGE(H773:H778)*(1+H779)/(0.5-H779))</f>
        <v>#DIV/0!</v>
      </c>
      <c r="Y771" s="25" t="s">
        <v>47</v>
      </c>
      <c r="Z771" s="38" t="s">
        <v>24</v>
      </c>
      <c r="AA771" s="1" t="e">
        <f>Z767/(AVERAGE(H773:H778)*(1+H779)/(0.5-H779))</f>
        <v>#DIV/0!</v>
      </c>
    </row>
    <row r="772" spans="1:27">
      <c r="B772" s="13">
        <v>5</v>
      </c>
      <c r="C772" s="14" t="s">
        <v>25</v>
      </c>
      <c r="D772" s="15" cm="1">
        <f t="array" ref="D772">_xlfn.SINGLE(IF(A776=A777,_xll.ciqfunctions.udf.CIQ(A768,"IQ_TOTAL_REV",IQ_FY-6)/I772, _xll.ciqfunctions.udf.CIQ(A768, "IQ_TOTAL_REV",IQ_FY-5)/I772))</f>
        <v>10.981648540354895</v>
      </c>
      <c r="E772" s="16">
        <f t="shared" si="207"/>
        <v>0.32633849738108067</v>
      </c>
      <c r="F772" s="15">
        <f>IF(A776=A777,_xll.ciqfunctions.udf.CIQ(A768,"IQ_DILUT_EPS_EXCL",IQ_FY-6), _xll.ciqfunctions.udf.CIQ(A768, "IQ_DILUT_EPS_EXCL",IQ_FY-5))</f>
        <v>-0.68261000000000005</v>
      </c>
      <c r="G772" s="15">
        <f>IF(A776=A777,_xll.ciqfunctions.udf.CIQ(A768,"IQ_EBITDA_MARGIN",IQ_FY-6), _xll.ciqfunctions.udf.CIQ(A768, "IQ_EBITDA_MARGIN",IQ_FY-5))</f>
        <v>2.5790000000000002</v>
      </c>
      <c r="H772" s="15">
        <f>IF(A776=A777,_xll.ciqfunctions.udf.CIQ(A768,"IQ_TOTAL_DIV_PAID_CF",IQ_FY-6)/-I772, _xll.ciqfunctions.udf.CIQ(A768, "IQ_TOTAL_DIV_PAID_CF",IQ_FY-5)/-I772)</f>
        <v>0</v>
      </c>
      <c r="I772" s="17">
        <f>IF(A776=A777,_xll.ciqfunctions.udf.CIQ(A768,"IQ_TOTAL_OUTSTANDING_FILING_DATE",IQ_FY-6), _xll.ciqfunctions.udf.CIQ(A768, "IQ_TOTAL_OUTSTANDING_FILING_DATE",IQ_FY-5))</f>
        <v>174.7</v>
      </c>
      <c r="J772" s="17">
        <f>IF(A776=A777,_xll.ciqfunctions.udf.CIQ(A768,"IQ_CASH_OPER",IQ_FY-6), _xll.ciqfunctions.udf.CIQ(A768, "IQ_CASH_OPER",IQ_FY-5))</f>
        <v>642.94000000000005</v>
      </c>
      <c r="K772" s="17">
        <f>IF(A776=A777,_xll.ciqfunctions.udf.CIQ(A768,"IQ_CAPEX",IQ_FY-6), _xll.ciqfunctions.udf.CIQ(A768, "IQ_CAPEX",IQ_FY-5))</f>
        <v>-150.51</v>
      </c>
      <c r="L772" s="15">
        <f t="shared" si="204"/>
        <v>2.8187178019461938</v>
      </c>
      <c r="M772" s="17">
        <f>IF(A776=A777,_xll.ciqfunctions.udf.CIQ(A768,"IQ_TOTAL_DEBT_ISSUED",IQ_FY-6), _xll.ciqfunctions.udf.CIQ(A768, "IQ_TOTAL_DEBT_ISSUED",IQ_FY-5))</f>
        <v>772.12699999999995</v>
      </c>
      <c r="N772" s="17">
        <f>IF(A776=A777,_xll.ciqfunctions.udf.CIQ(A768,"IQ_TOTAL_DEBT_REPAID",IQ_FY-6), _xll.ciqfunctions.udf.CIQ(A768, "IQ_TOTAL_DEBT_REPAID",IQ_FY-5))</f>
        <v>-4.9180000000000001</v>
      </c>
      <c r="O772" s="15">
        <f t="shared" si="205"/>
        <v>4.3915798511734403</v>
      </c>
      <c r="P772" s="15">
        <f t="shared" si="206"/>
        <v>7.2102976531196337</v>
      </c>
      <c r="Q772" s="18"/>
      <c r="R772" s="38" t="s">
        <v>50</v>
      </c>
      <c r="S772" s="3">
        <f>I779</f>
        <v>2.533688003483836E-2</v>
      </c>
      <c r="U772" s="18"/>
      <c r="V772" s="38" t="s">
        <v>50</v>
      </c>
      <c r="W772" s="3">
        <f>I779</f>
        <v>2.533688003483836E-2</v>
      </c>
      <c r="Y772" s="18"/>
      <c r="Z772" s="38" t="s">
        <v>50</v>
      </c>
      <c r="AA772" s="3">
        <f>I779</f>
        <v>2.533688003483836E-2</v>
      </c>
    </row>
    <row r="773" spans="1:27">
      <c r="B773" s="13">
        <v>6</v>
      </c>
      <c r="C773" s="14" t="s">
        <v>26</v>
      </c>
      <c r="D773" s="15" cm="1">
        <f t="array" ref="D773">_xlfn.SINGLE(IF(A776=A777,_xll.ciqfunctions.udf.CIQ(A768,"IQ_TOTAL_REV",IQ_FY-5)/I773, _xll.ciqfunctions.udf.CIQ(A768, "IQ_TOTAL_REV",IQ_FY-4)/I773))</f>
        <v>14.453274238227145</v>
      </c>
      <c r="E773" s="16">
        <f t="shared" si="207"/>
        <v>0.3161297400035038</v>
      </c>
      <c r="F773" s="15">
        <f>IF(A776=A777,_xll.ciqfunctions.udf.CIQ(A768,"IQ_DILUT_EPS_EXCL",IQ_FY-5), _xll.ciqfunctions.udf.CIQ(A768, "IQ_DILUT_EPS_EXCL",IQ_FY-4))</f>
        <v>-0.15015000000000001</v>
      </c>
      <c r="G773" s="15">
        <f>IF(A776=A777,_xll.ciqfunctions.udf.CIQ(A768,"IQ_EBITDA_MARGIN",IQ_FY-5), _xll.ciqfunctions.udf.CIQ(A768, "IQ_EBITDA_MARGIN",IQ_FY-4))</f>
        <v>4.1082999999999998</v>
      </c>
      <c r="H773" s="15">
        <f>IF(A776=A777,_xll.ciqfunctions.udf.CIQ(A768,"IQ_TOTAL_DIV_PAID_CF",IQ_FY-5)/-I773, _xll.ciqfunctions.udf.CIQ(A768, "IQ_TOTAL_DIV_PAID_CF",IQ_FY-4)/-I773)</f>
        <v>0</v>
      </c>
      <c r="I773" s="17">
        <f>IF(A776=A777,_xll.ciqfunctions.udf.CIQ(A768,"IQ_TOTAL_OUTSTANDING_FILING_DATE",IQ_FY-5), _xll.ciqfunctions.udf.CIQ(A768, "IQ_TOTAL_OUTSTANDING_FILING_DATE",IQ_FY-4))</f>
        <v>180.5</v>
      </c>
      <c r="J773" s="17">
        <f>IF(A776=A777,_xll.ciqfunctions.udf.CIQ(A768,"IQ_CASH_OPER",IQ_FY-5), _xll.ciqfunctions.udf.CIQ(A768, "IQ_CASH_OPER",IQ_FY-4))</f>
        <v>811.08900000000006</v>
      </c>
      <c r="K773" s="17">
        <f>IF(A776=A777,_xll.ciqfunctions.udf.CIQ(A768,"IQ_CAPEX",IQ_FY-5), _xll.ciqfunctions.udf.CIQ(A768, "IQ_CAPEX",IQ_FY-4))</f>
        <v>-224.46199999999999</v>
      </c>
      <c r="L773" s="15">
        <f t="shared" si="204"/>
        <v>3.2500110803324103</v>
      </c>
      <c r="M773" s="17">
        <f>IF(A776=A777,_xll.ciqfunctions.udf.CIQ(A768,"IQ_TOTAL_DEBT_ISSUED",IQ_FY-5), _xll.ciqfunctions.udf.CIQ(A768, "IQ_TOTAL_DEBT_ISSUED",IQ_FY-4))</f>
        <v>0</v>
      </c>
      <c r="N773" s="17">
        <f>IF(A776=A777,_xll.ciqfunctions.udf.CIQ(A768,"IQ_TOTAL_DEBT_REPAID",IQ_FY-5), _xll.ciqfunctions.udf.CIQ(A768, "IQ_TOTAL_DEBT_REPAID",IQ_FY-4))</f>
        <v>-430.57799999999997</v>
      </c>
      <c r="O773" s="15">
        <f t="shared" si="205"/>
        <v>-2.3854736842105262</v>
      </c>
      <c r="P773" s="15">
        <f t="shared" si="206"/>
        <v>0.86453739612188407</v>
      </c>
      <c r="Q773" s="25" t="s">
        <v>27</v>
      </c>
      <c r="R773" s="38" t="s">
        <v>51</v>
      </c>
      <c r="S773" s="4">
        <f>AVERAGE(F773:F778)/AVERAGE(D773:D778)</f>
        <v>8.6833133568031629E-2</v>
      </c>
      <c r="U773" s="25" t="s">
        <v>58</v>
      </c>
      <c r="V773" s="38" t="s">
        <v>51</v>
      </c>
      <c r="W773" s="4">
        <f>AVERAGE(F773:F778)/AVERAGE(D773:D778)</f>
        <v>8.6833133568031629E-2</v>
      </c>
      <c r="Y773" s="25" t="s">
        <v>56</v>
      </c>
      <c r="Z773" s="38" t="s">
        <v>51</v>
      </c>
      <c r="AA773" s="4">
        <f>AVERAGE(F773:F778)/AVERAGE(D773:D778)</f>
        <v>8.6833133568031629E-2</v>
      </c>
    </row>
    <row r="774" spans="1:27">
      <c r="A774" s="18"/>
      <c r="B774" s="13">
        <v>7</v>
      </c>
      <c r="C774" s="14" t="s">
        <v>28</v>
      </c>
      <c r="D774" s="15" cm="1">
        <f t="array" ref="D774">_xlfn.SINGLE(IF(A776=A777,_xll.ciqfunctions.udf.CIQ(A768,"IQ_TOTAL_REV",IQ_FY-4)/I774, _xll.ciqfunctions.udf.CIQ(A768, "IQ_TOTAL_REV",IQ_FY-3)/I774))</f>
        <v>18.229715489989463</v>
      </c>
      <c r="E774" s="16">
        <f t="shared" si="207"/>
        <v>0.26128621027435373</v>
      </c>
      <c r="F774" s="15">
        <f>IF(A776=A777,_xll.ciqfunctions.udf.CIQ(A768,"IQ_DILUT_EPS_EXCL",IQ_FY-4), _xll.ciqfunctions.udf.CIQ(A768, "IQ_DILUT_EPS_EXCL",IQ_FY-3))</f>
        <v>3.18</v>
      </c>
      <c r="G774" s="15">
        <f>IF(A776=A777,_xll.ciqfunctions.udf.CIQ(A768,"IQ_EBITDA_MARGIN",IQ_FY-4), _xll.ciqfunctions.udf.CIQ(A768, "IQ_EBITDA_MARGIN",IQ_FY-3))</f>
        <v>8.4970999999999997</v>
      </c>
      <c r="H774" s="15">
        <f>IF(A776=A777,_xll.ciqfunctions.udf.CIQ(A768,"IQ_TOTAL_DIV_PAID_CF",IQ_FY-4)/-I774, _xll.ciqfunctions.udf.CIQ(A768, "IQ_TOTAL_DIV_PAID_CF",IQ_FY-3)/-I774)</f>
        <v>0</v>
      </c>
      <c r="I774" s="17">
        <f>IF(A776=A777,_xll.ciqfunctions.udf.CIQ(A768,"IQ_TOTAL_OUTSTANDING_FILING_DATE",IQ_FY-4), _xll.ciqfunctions.udf.CIQ(A768, "IQ_TOTAL_OUTSTANDING_FILING_DATE",IQ_FY-3))</f>
        <v>189.8</v>
      </c>
      <c r="J774" s="17">
        <f>IF(A776=A777,_xll.ciqfunctions.udf.CIQ(A768,"IQ_CASH_OPER",IQ_FY-4), _xll.ciqfunctions.udf.CIQ(A768, "IQ_CASH_OPER",IQ_FY-3))</f>
        <v>1236</v>
      </c>
      <c r="K774" s="17">
        <f>IF(A776=A777,_xll.ciqfunctions.udf.CIQ(A768,"IQ_CAPEX",IQ_FY-4), _xll.ciqfunctions.udf.CIQ(A768, "IQ_CAPEX",IQ_FY-3))</f>
        <v>-265</v>
      </c>
      <c r="L774" s="15">
        <f t="shared" si="204"/>
        <v>5.1159114857744994</v>
      </c>
      <c r="M774" s="17">
        <f>IF(A776=A777,_xll.ciqfunctions.udf.CIQ(A768,"IQ_TOTAL_DEBT_ISSUED",IQ_FY-4), _xll.ciqfunctions.udf.CIQ(A768, "IQ_TOTAL_DEBT_ISSUED",IQ_FY-3))</f>
        <v>0</v>
      </c>
      <c r="N774" s="17">
        <f>IF(A776=A777,_xll.ciqfunctions.udf.CIQ(A768,"IQ_TOTAL_DEBT_REPAID",IQ_FY-4), _xll.ciqfunctions.udf.CIQ(A768, "IQ_TOTAL_DEBT_REPAID",IQ_FY-3))</f>
        <v>0</v>
      </c>
      <c r="O774" s="15">
        <f t="shared" si="205"/>
        <v>0</v>
      </c>
      <c r="P774" s="15">
        <f t="shared" si="206"/>
        <v>5.1159114857744994</v>
      </c>
      <c r="Q774" s="18"/>
      <c r="R774" s="38" t="s">
        <v>29</v>
      </c>
      <c r="S774" s="4">
        <f>(AVERAGE(P773:P778)/_xlfn.STDEV.P(P773:P778))/(IF(A776=A777,(_xlfn.SINGLE(_xll.ciqfunctions.udf.CIQ(A768,"IQ_total_assets",IQ_FY)) - _xlfn.SINGLE(_xll.ciqfunctions.udf.CIQ(A768,"iq_gw_intan", IQ_FY)))/I778, (_xlfn.SINGLE(_xll.ciqfunctions.udf.CIQ(A768, "IQ_total_assets",IQ_LTM))-_xlfn.SINGLE(_xll.ciqfunctions.udf.CIQ(A768,"iq_gw_intan",IQ_LTM)))/I778))</f>
        <v>2.9932571874109543E-2</v>
      </c>
      <c r="U774" s="18"/>
      <c r="V774" s="38" t="s">
        <v>29</v>
      </c>
      <c r="W774" s="4">
        <f>(AVERAGE(P773:P778)/_xlfn.STDEV.P(P773:P778))/(IF(A776=A777,(_xlfn.SINGLE(_xll.ciqfunctions.udf.CIQ(A768,"IQ_total_assets",IQ_FY)) - _xlfn.SINGLE(_xll.ciqfunctions.udf.CIQ(A768,"iq_gw_intan", IQ_FY)))/I778, (_xlfn.SINGLE(_xll.ciqfunctions.udf.CIQ(A768, "IQ_total_assets",IQ_LTM))-_xlfn.SINGLE(_xll.ciqfunctions.udf.CIQ(A768,"iq_gw_intan",IQ_LTM)))/I778))</f>
        <v>2.9932571874109543E-2</v>
      </c>
      <c r="Y774" s="18"/>
      <c r="Z774" s="38" t="s">
        <v>29</v>
      </c>
      <c r="AA774" s="4">
        <f>(AVERAGE(P773:P778)/_xlfn.STDEV.P(P773:P778))/(IF(A776=A777,(_xlfn.SINGLE(_xll.ciqfunctions.udf.CIQ(A768,"IQ_total_assets",IQ_FY)) - _xlfn.SINGLE(_xll.ciqfunctions.udf.CIQ(A768,"iq_gw_intan", IQ_FY)))/I778, (_xlfn.SINGLE(_xll.ciqfunctions.udf.CIQ(A768, "IQ_total_assets",IQ_LTM))-_xlfn.SINGLE(_xll.ciqfunctions.udf.CIQ(A768,"iq_gw_intan",IQ_LTM)))/I778))</f>
        <v>2.9932571874109543E-2</v>
      </c>
    </row>
    <row r="775" spans="1:27">
      <c r="A775" s="18"/>
      <c r="B775" s="13">
        <v>8</v>
      </c>
      <c r="C775" s="14" t="s">
        <v>30</v>
      </c>
      <c r="D775" s="15" cm="1">
        <f t="array" ref="D775">_xlfn.SINGLE(IF(A776=A777,_xll.ciqfunctions.udf.CIQ(A768,"IQ_TOTAL_REV",IQ_FY-3)/I775, _xll.ciqfunctions.udf.CIQ(A768, "IQ_TOTAL_REV",IQ_FY-2)/I775))</f>
        <v>23.044365119836819</v>
      </c>
      <c r="E775" s="16">
        <f t="shared" si="207"/>
        <v>0.26410997102457462</v>
      </c>
      <c r="F775" s="15">
        <f>IF(A776=A777,_xll.ciqfunctions.udf.CIQ(A768,"IQ_DILUT_EPS_EXCL",IQ_FY-3), _xll.ciqfunctions.udf.CIQ(A768, "IQ_DILUT_EPS_EXCL",IQ_FY-2))</f>
        <v>0.59</v>
      </c>
      <c r="G775" s="15">
        <f>IF(A776=A777,_xll.ciqfunctions.udf.CIQ(A768,"IQ_EBITDA_MARGIN",IQ_FY-3), _xll.ciqfunctions.udf.CIQ(A768, "IQ_EBITDA_MARGIN",IQ_FY-2))</f>
        <v>11.838900000000001</v>
      </c>
      <c r="H775" s="15">
        <f>IF(A776=A777,_xll.ciqfunctions.udf.CIQ(A768,"IQ_TOTAL_DIV_PAID_CF",IQ_FY-3)/-I775, _xll.ciqfunctions.udf.CIQ(A768, "IQ_TOTAL_DIV_PAID_CF",IQ_FY-2)/-I775)</f>
        <v>0</v>
      </c>
      <c r="I775" s="17">
        <f>IF(A776=A777,_xll.ciqfunctions.udf.CIQ(A768,"IQ_TOTAL_OUTSTANDING_FILING_DATE",IQ_FY-3), _xll.ciqfunctions.udf.CIQ(A768, "IQ_TOTAL_OUTSTANDING_FILING_DATE",IQ_FY-2))</f>
        <v>196.1</v>
      </c>
      <c r="J775" s="17">
        <f>IF(A776=A777,_xll.ciqfunctions.udf.CIQ(A768,"IQ_CASH_OPER",IQ_FY-3), _xll.ciqfunctions.udf.CIQ(A768, "IQ_CASH_OPER",IQ_FY-2))</f>
        <v>1786</v>
      </c>
      <c r="K775" s="17">
        <f>IF(A776=A777,_xll.ciqfunctions.udf.CIQ(A768,"IQ_CAPEX",IQ_FY-3), _xll.ciqfunctions.udf.CIQ(A768, "IQ_CAPEX",IQ_FY-2))</f>
        <v>-419</v>
      </c>
      <c r="L775" s="15">
        <f t="shared" si="204"/>
        <v>6.970933197348292</v>
      </c>
      <c r="M775" s="17">
        <f>IF(A776=A777,_xll.ciqfunctions.udf.CIQ(A768,"IQ_TOTAL_DEBT_ISSUED",IQ_FY-3), _xll.ciqfunctions.udf.CIQ(A768, "IQ_TOTAL_DEBT_ISSUED",IQ_FY-2))</f>
        <v>1482</v>
      </c>
      <c r="N775" s="17">
        <f>IF(A776=A777,_xll.ciqfunctions.udf.CIQ(A768,"IQ_TOTAL_DEBT_REPAID",IQ_FY-3), _xll.ciqfunctions.udf.CIQ(A768, "IQ_TOTAL_DEBT_REPAID",IQ_FY-2))</f>
        <v>-1628</v>
      </c>
      <c r="O775" s="15">
        <f t="shared" si="205"/>
        <v>-0.74451810300866905</v>
      </c>
      <c r="P775" s="15">
        <f t="shared" si="206"/>
        <v>6.2264150943396226</v>
      </c>
      <c r="Q775" s="18"/>
      <c r="R775" s="39" t="s">
        <v>31</v>
      </c>
      <c r="S775" s="5">
        <f>IF(NOT(D768&gt;0),FALSE,SLOPE(G768:G778,B768:B778))</f>
        <v>2.9844481818181814</v>
      </c>
      <c r="U775" s="18"/>
      <c r="V775" s="39" t="s">
        <v>31</v>
      </c>
      <c r="W775" s="5">
        <f>IF(NOT(D768&gt;0),FALSE,SLOPE(G768:G778,B768:B778))</f>
        <v>2.9844481818181814</v>
      </c>
      <c r="Y775" s="18"/>
      <c r="Z775" s="39" t="s">
        <v>31</v>
      </c>
      <c r="AA775" s="5">
        <f>IF(NOT(L768&gt;0),FALSE,SLOPE(O768:O778,J768:J778))</f>
        <v>-6.4325132356030882E-4</v>
      </c>
    </row>
    <row r="776" spans="1:27">
      <c r="A776" s="19">
        <f>_xll.ciqfunctions.udf.CIQ(A768,"IQ_TOTAL_REV",IQ_FY)</f>
        <v>7245</v>
      </c>
      <c r="B776" s="13">
        <v>9</v>
      </c>
      <c r="C776" s="14" t="s">
        <v>32</v>
      </c>
      <c r="D776" s="15" cm="1">
        <f t="array" ref="D776">_xlfn.SINGLE(IF(A776=A777,_xll.ciqfunctions.udf.CIQ(A768,"IQ_TOTAL_REV",IQ_FY-2)/I776, _xll.ciqfunctions.udf.CIQ(A768, "IQ_TOTAL_REV",IQ_FY-1)/I776))</f>
        <v>29.48</v>
      </c>
      <c r="E776" s="16">
        <f t="shared" si="207"/>
        <v>0.27927152024784241</v>
      </c>
      <c r="F776" s="15">
        <f>IF(A776=A777,_xll.ciqfunctions.udf.CIQ(A768,"IQ_DILUT_EPS_EXCL",IQ_FY-2), _xll.ciqfunctions.udf.CIQ(A768, "IQ_DILUT_EPS_EXCL",IQ_FY-1))</f>
        <v>1.1299999999999999</v>
      </c>
      <c r="G776" s="15">
        <f>IF(A776=A777,_xll.ciqfunctions.udf.CIQ(A768,"IQ_EBITDA_MARGIN",IQ_FY-2), _xll.ciqfunctions.udf.CIQ(A768, "IQ_EBITDA_MARGIN",IQ_FY-1))</f>
        <v>12.3643</v>
      </c>
      <c r="H776" s="15">
        <f>IF(A776=A777,_xll.ciqfunctions.udf.CIQ(A768,"IQ_TOTAL_DIV_PAID_CF",IQ_FY-2)/-I776, _xll.ciqfunctions.udf.CIQ(A768, "IQ_TOTAL_DIV_PAID_CF",IQ_FY-1)/-I776)</f>
        <v>0</v>
      </c>
      <c r="I776" s="17">
        <f>IF(A776=A777,_xll.ciqfunctions.udf.CIQ(A768,"IQ_TOTAL_OUTSTANDING_FILING_DATE",IQ_FY-2), _xll.ciqfunctions.udf.CIQ(A768, "IQ_TOTAL_OUTSTANDING_FILING_DATE",IQ_FY-1))</f>
        <v>200</v>
      </c>
      <c r="J776" s="17">
        <f>IF(A776=A777,_xll.ciqfunctions.udf.CIQ(A768,"IQ_CASH_OPER",IQ_FY-2), _xll.ciqfunctions.udf.CIQ(A768, "IQ_CASH_OPER",IQ_FY-1))</f>
        <v>2191</v>
      </c>
      <c r="K776" s="17">
        <f>IF(A776=A777,_xll.ciqfunctions.udf.CIQ(A768,"IQ_CAPEX",IQ_FY-2), _xll.ciqfunctions.udf.CIQ(A768, "IQ_CAPEX",IQ_FY-1))</f>
        <v>-392</v>
      </c>
      <c r="L776" s="15">
        <f t="shared" si="204"/>
        <v>8.9949999999999992</v>
      </c>
      <c r="M776" s="17">
        <f>IF(A776=A777,_xll.ciqfunctions.udf.CIQ(A768,"IQ_TOTAL_DEBT_ISSUED",IQ_FY-2), _xll.ciqfunctions.udf.CIQ(A768, "IQ_TOTAL_DEBT_ISSUED",IQ_FY-1))</f>
        <v>0</v>
      </c>
      <c r="N776" s="17">
        <f>IF(A776=A777,_xll.ciqfunctions.udf.CIQ(A768,"IQ_TOTAL_DEBT_REPAID",IQ_FY-2), _xll.ciqfunctions.udf.CIQ(A768, "IQ_TOTAL_DEBT_REPAID",IQ_FY-1))</f>
        <v>-61</v>
      </c>
      <c r="O776" s="15">
        <f t="shared" si="205"/>
        <v>-0.30499999999999999</v>
      </c>
      <c r="P776" s="15">
        <f t="shared" si="206"/>
        <v>8.69</v>
      </c>
      <c r="Q776" s="25" t="s">
        <v>33</v>
      </c>
      <c r="R776" s="38" t="s">
        <v>52</v>
      </c>
      <c r="S776" s="4">
        <f>(AVERAGE(O773:O778)/AVERAGE(P773:P778))</f>
        <v>-9.1153622349631341E-2</v>
      </c>
      <c r="U776" s="25" t="s">
        <v>54</v>
      </c>
      <c r="V776" s="38" t="s">
        <v>52</v>
      </c>
      <c r="W776" s="4">
        <f>(AVERAGE(O773:O778)/AVERAGE(P773:P778))</f>
        <v>-9.1153622349631341E-2</v>
      </c>
      <c r="Y776" s="25" t="s">
        <v>60</v>
      </c>
      <c r="Z776" s="38" t="s">
        <v>52</v>
      </c>
      <c r="AA776" s="4">
        <f>(AVERAGE(O773:O778)/AVERAGE(P773:P778))</f>
        <v>-9.1153622349631341E-2</v>
      </c>
    </row>
    <row r="777" spans="1:27">
      <c r="A777" s="19">
        <f>_xll.ciqfunctions.udf.CIQ(A768,"IQ_TOTAL_REV",IQ_LTM)</f>
        <v>8474</v>
      </c>
      <c r="B777" s="13">
        <v>10</v>
      </c>
      <c r="C777" s="14" t="s">
        <v>34</v>
      </c>
      <c r="D777" s="15" cm="1">
        <f t="array" ref="D777">_xlfn.SINGLE(IF(A776=A777,_xll.ciqfunctions.udf.CIQ(A768,"IQ_TOTAL_REV",IQ_FY-1)/I777, _xll.ciqfunctions.udf.CIQ(A768, "IQ_TOTAL_REV",IQ_FY)/I777))</f>
        <v>35.689655172413794</v>
      </c>
      <c r="E777" s="16">
        <f t="shared" si="207"/>
        <v>0.21063959200860899</v>
      </c>
      <c r="F777" s="15">
        <f>IF(A776=A777,_xll.ciqfunctions.udf.CIQ(A768,"IQ_DILUT_EPS_EXCL",IQ_FY-1), _xll.ciqfunctions.udf.CIQ(A768, "IQ_DILUT_EPS_EXCL",IQ_FY))</f>
        <v>1.6</v>
      </c>
      <c r="G777" s="15">
        <f>IF(A776=A777,_xll.ciqfunctions.udf.CIQ(A768,"IQ_EBITDA_MARGIN",IQ_FY-1), _xll.ciqfunctions.udf.CIQ(A768, "IQ_EBITDA_MARGIN",IQ_FY))</f>
        <v>10.8764</v>
      </c>
      <c r="H777" s="15">
        <f>IF(A776=A777,_xll.ciqfunctions.udf.CIQ(A768,"IQ_TOTAL_DIV_PAID_CF",IQ_FY-1)/-I777, _xll.ciqfunctions.udf.CIQ(A768, "IQ_TOTAL_DIV_PAID_CF",IQ_FY)/-I777)</f>
        <v>0</v>
      </c>
      <c r="I777" s="17">
        <f>IF(A776=A777,_xll.ciqfunctions.udf.CIQ(A768,"IQ_TOTAL_OUTSTANDING_FILING_DATE",IQ_FY-1), _xll.ciqfunctions.udf.CIQ(A768, "IQ_TOTAL_OUTSTANDING_FILING_DATE",IQ_FY))</f>
        <v>203</v>
      </c>
      <c r="J777" s="17">
        <f>IF(A776=A777,_xll.ciqfunctions.udf.CIQ(A768,"IQ_CASH_OPER",IQ_FY-1), _xll.ciqfunctions.udf.CIQ(A768, "IQ_CASH_OPER",IQ_FY))</f>
        <v>2723</v>
      </c>
      <c r="K777" s="17">
        <f>IF(A776=A777,_xll.ciqfunctions.udf.CIQ(A768,"IQ_CAPEX",IQ_FY-1), _xll.ciqfunctions.udf.CIQ(A768, "IQ_CAPEX",IQ_FY))</f>
        <v>-550</v>
      </c>
      <c r="L777" s="15">
        <f t="shared" si="204"/>
        <v>10.704433497536947</v>
      </c>
      <c r="M777" s="17">
        <f>IF(A776=A777,_xll.ciqfunctions.udf.CIQ(A768,"IQ_TOTAL_DEBT_ISSUED",IQ_FY-1), _xll.ciqfunctions.udf.CIQ(A768, "IQ_TOTAL_DEBT_ISSUED",IQ_FY))</f>
        <v>0</v>
      </c>
      <c r="N777" s="17">
        <f>IF(A776=A777,_xll.ciqfunctions.udf.CIQ(A768,"IQ_TOTAL_DEBT_REPAID",IQ_FY-1), _xll.ciqfunctions.udf.CIQ(A768, "IQ_TOTAL_DEBT_REPAID",IQ_FY))</f>
        <v>-94</v>
      </c>
      <c r="O777" s="15">
        <f t="shared" si="205"/>
        <v>-0.46305418719211822</v>
      </c>
      <c r="P777" s="15">
        <f t="shared" si="206"/>
        <v>10.241379310344829</v>
      </c>
      <c r="Q777" s="25" t="s">
        <v>44</v>
      </c>
      <c r="R777" s="38" t="s">
        <v>35</v>
      </c>
      <c r="S777" s="1">
        <f>_xll.ciqfunctions.udf.CIQ(A768,"IQ_TEV_EBITDA")</f>
        <v>102.62421999999999</v>
      </c>
      <c r="U777" s="25" t="s">
        <v>55</v>
      </c>
      <c r="V777" s="38" t="s">
        <v>53</v>
      </c>
      <c r="W777" s="1">
        <f>V767/(AVERAGE(D773:D778)/_xlfn.STDEV.P(E773:E778))</f>
        <v>1.2529313040790686</v>
      </c>
      <c r="Y777" s="25" t="s">
        <v>57</v>
      </c>
      <c r="Z777" s="38" t="s">
        <v>53</v>
      </c>
      <c r="AA777" s="1">
        <f>Z767/(AVERAGE(D773:D778)/_xlfn.STDEV.P(E773:E778))</f>
        <v>1.2529313040790686</v>
      </c>
    </row>
    <row r="778" spans="1:27">
      <c r="B778" s="13">
        <v>11</v>
      </c>
      <c r="C778" s="20" t="s">
        <v>36</v>
      </c>
      <c r="D778" s="21" cm="1">
        <f t="array" ref="D778">_xlfn.SINGLE(IF(A776=A777,_xll.ciqfunctions.udf.CIQ(A768,"IQ_TOTAL_REV",IQ_FY)/I778, _xll.ciqfunctions.udf.CIQ(A768, "IQ_TOTAL_REV",IQ_LTM)/I778))</f>
        <v>41.426511207254769</v>
      </c>
      <c r="E778" s="22">
        <f t="shared" si="207"/>
        <v>0.16074282609699353</v>
      </c>
      <c r="F778" s="21">
        <f>IF(A776=A777,_xll.ciqfunctions.udf.CIQ(A768,"IQ_DILUT_EPS_EXCL",IQ_FY), _xll.ciqfunctions.udf.CIQ(A768, "IQ_DILUT_EPS_EXCL",IQ_LTM))</f>
        <v>7.7452100000000002</v>
      </c>
      <c r="G778" s="21">
        <f>IF(A776=A777,_xll.ciqfunctions.udf.CIQ(A768,"IQ_EBITDA_MARGIN",IQ_FY), _xll.ciqfunctions.udf.CIQ(A768, "IQ_EBITDA_MARGIN",IQ_LTM))</f>
        <v>13.8423</v>
      </c>
      <c r="H778" s="21">
        <f>IF(A776=A777,_xll.ciqfunctions.udf.CIQ(A768,"IQ_TOTAL_DIV_PAID_CF",IQ_FY)/-I778, _xll.ciqfunctions.udf.CIQ(A768, "IQ_TOTAL_DIV_PAID_CF",IQ_LTM)/-I778)</f>
        <v>0</v>
      </c>
      <c r="I778" s="23">
        <f>IF(A776=A777,_xll.ciqfunctions.udf.CIQ(A768,"IQ_TOTAL_OUTSTANDING_FILING_DATE",IQ_FY),_xll.ciqfunctions.udf.CIQ(A768,"IQ_sharesoutstanding"))</f>
        <v>204.55500000000001</v>
      </c>
      <c r="J778" s="23">
        <f>IF(A776=A777,_xll.ciqfunctions.udf.CIQ(A768,"IQ_CASH_OPER",IQ_FY), _xll.ciqfunctions.udf.CIQ(A768, "IQ_CASH_OPER",IQ_LTM))</f>
        <v>2955</v>
      </c>
      <c r="K778" s="23">
        <f>IF(A776=A777,_xll.ciqfunctions.udf.CIQ(A768,"IQ_CAPEX",IQ_FY), _xll.ciqfunctions.udf.CIQ(A768, "IQ_CAPEX",IQ_LTM))</f>
        <v>-577</v>
      </c>
      <c r="L778" s="21">
        <f t="shared" si="204"/>
        <v>11.62523526679866</v>
      </c>
      <c r="M778" s="23">
        <f>IF(A776=A777,_xll.ciqfunctions.udf.CIQ(A768,"IQ_TOTAL_DEBT_ISSUED",IQ_FY), _xll.ciqfunctions.udf.CIQ(A768, "IQ_TOTAL_DEBT_ISSUED",IQ_LTM))</f>
        <v>0</v>
      </c>
      <c r="N778" s="23">
        <f>IF(A776=A777,_xll.ciqfunctions.udf.CIQ(A768,"IQ_TOTAL_DEBT_REPAID",IQ_FY), _xll.ciqfunctions.udf.CIQ(A768, "IQ_TOTAL_DEBT_REPAID",IQ_LTM))</f>
        <v>0</v>
      </c>
      <c r="O778" s="21">
        <f t="shared" si="205"/>
        <v>0</v>
      </c>
      <c r="P778" s="21">
        <f t="shared" si="206"/>
        <v>11.62523526679866</v>
      </c>
      <c r="Q778" s="25" t="s">
        <v>45</v>
      </c>
      <c r="S778" s="45"/>
      <c r="U778" s="25"/>
      <c r="W778" s="45"/>
      <c r="Y778" s="25"/>
      <c r="AA778" s="45"/>
    </row>
    <row r="779" spans="1:27">
      <c r="B779" s="24"/>
      <c r="C779" s="25" t="s">
        <v>37</v>
      </c>
      <c r="E779" s="26">
        <f>((D778/D773)^(1/5))-1</f>
        <v>0.23441850456080315</v>
      </c>
      <c r="F779" s="27">
        <f>((F778/F773)^(1/5))-1</f>
        <v>-3.2003996753202149</v>
      </c>
      <c r="G779" s="28"/>
      <c r="H779" s="27" t="e">
        <f>((H778/H773)^(1/5))-1</f>
        <v>#DIV/0!</v>
      </c>
      <c r="I779" s="27">
        <f>((I778/I773)^(1/5))-1</f>
        <v>2.533688003483836E-2</v>
      </c>
      <c r="J779" s="27"/>
      <c r="K779" s="27"/>
      <c r="L779" s="26">
        <f>((L778/L773)^(1/5))-1</f>
        <v>0.2903376866587426</v>
      </c>
      <c r="M779" s="26"/>
      <c r="N779" s="26"/>
      <c r="O779" s="26"/>
      <c r="P779" s="26">
        <f>((P778/P773)^(1/5))-1</f>
        <v>0.68160346438518871</v>
      </c>
      <c r="Q779" s="18"/>
      <c r="R779" s="36"/>
      <c r="S779" s="45"/>
      <c r="U779" s="18"/>
      <c r="V779" s="36"/>
      <c r="W779" s="45"/>
      <c r="Y779" s="18"/>
      <c r="Z779" s="36"/>
      <c r="AA779" s="45"/>
    </row>
    <row r="780" spans="1:27">
      <c r="A780" s="29"/>
      <c r="B780" s="30"/>
      <c r="C780" s="31" t="s">
        <v>38</v>
      </c>
      <c r="D780" s="29"/>
      <c r="E780" s="32">
        <f>((D778/D768)^(1/10))-1</f>
        <v>0.29980266940983014</v>
      </c>
      <c r="F780" s="33" t="e">
        <f>((F778/F768)^(1/10))-1</f>
        <v>#NUM!</v>
      </c>
      <c r="G780" s="34"/>
      <c r="H780" s="33" t="e">
        <f>((H778/H768)^(1/10))-1</f>
        <v>#DIV/0!</v>
      </c>
      <c r="I780" s="33">
        <f>((I778/I768)^(1/10))-1</f>
        <v>3.7834989975754629E-2</v>
      </c>
      <c r="J780" s="33"/>
      <c r="K780" s="33"/>
      <c r="L780" s="32">
        <f>((L778/L768)^(1/10))-1</f>
        <v>0.51109363707344291</v>
      </c>
      <c r="M780" s="32"/>
      <c r="N780" s="32"/>
      <c r="O780" s="32"/>
      <c r="P780" s="32">
        <f>((P778/P768)^(1/10))-1</f>
        <v>0.10778216446447009</v>
      </c>
      <c r="Q780" s="40"/>
      <c r="R780" s="41"/>
      <c r="S780" s="46"/>
      <c r="U780" s="40"/>
      <c r="V780" s="41"/>
      <c r="W780" s="46"/>
      <c r="Y780" s="40"/>
      <c r="Z780" s="41"/>
      <c r="AA780" s="46"/>
    </row>
    <row r="781" spans="1:27">
      <c r="B781" s="24"/>
      <c r="C781" s="25"/>
      <c r="E781" s="26"/>
      <c r="F781" s="27"/>
      <c r="G781" s="28"/>
      <c r="H781" s="27"/>
      <c r="I781" s="27"/>
      <c r="J781" s="27"/>
      <c r="K781" s="27"/>
      <c r="L781" s="26"/>
      <c r="M781" s="17"/>
      <c r="N781" s="17"/>
      <c r="O781" s="17"/>
      <c r="P781" s="35"/>
      <c r="Q781" s="18"/>
      <c r="R781" s="36"/>
    </row>
    <row r="782" spans="1:27">
      <c r="A782" s="9" t="s">
        <v>0</v>
      </c>
      <c r="B782" s="10"/>
      <c r="C782" s="9" t="s">
        <v>1</v>
      </c>
      <c r="D782" s="9" t="s">
        <v>2</v>
      </c>
      <c r="E782" s="9" t="s">
        <v>3</v>
      </c>
      <c r="F782" s="11" t="s">
        <v>4</v>
      </c>
      <c r="G782" s="11" t="s">
        <v>5</v>
      </c>
      <c r="H782" s="9" t="s">
        <v>6</v>
      </c>
      <c r="I782" s="11" t="s">
        <v>7</v>
      </c>
      <c r="J782" s="11" t="s">
        <v>8</v>
      </c>
      <c r="K782" s="11" t="s">
        <v>9</v>
      </c>
      <c r="L782" s="11" t="s">
        <v>10</v>
      </c>
      <c r="M782" s="11" t="s">
        <v>11</v>
      </c>
      <c r="N782" s="11" t="s">
        <v>12</v>
      </c>
      <c r="O782" s="11" t="s">
        <v>13</v>
      </c>
      <c r="P782" s="11" t="s">
        <v>14</v>
      </c>
      <c r="Q782" s="37" t="s">
        <v>15</v>
      </c>
      <c r="R782" s="42">
        <f>_xll.ciqfunctions.udf.CIQ(A783,("IQ_LASTSALEPRICE"))</f>
        <v>272.39</v>
      </c>
      <c r="S782" s="44"/>
      <c r="U782" s="37" t="s">
        <v>15</v>
      </c>
      <c r="V782" s="42">
        <f>_xll.ciqfunctions.udf.CIQ(A783,("IQ_LASTSALEPRICE"))</f>
        <v>272.39</v>
      </c>
      <c r="W782" s="44"/>
      <c r="Y782" s="37" t="s">
        <v>15</v>
      </c>
      <c r="Z782" s="42">
        <f>_xll.ciqfunctions.udf.CIQ(A783,("IQ_LASTSALEPRICE"))</f>
        <v>272.39</v>
      </c>
      <c r="AA782" s="44"/>
    </row>
    <row r="783" spans="1:27">
      <c r="A783" s="12" t="str">
        <f>Analysis!B54</f>
        <v>NasdaqGS:CDNS</v>
      </c>
      <c r="B783" s="13">
        <v>1</v>
      </c>
      <c r="C783" s="14" t="s">
        <v>16</v>
      </c>
      <c r="D783" s="15">
        <f>IF(A791=A792,_xll.ciqfunctions.udf.CIQ(A783,"IQ_TOTAL_REV",IQ_FY-10)/I783,_xll.ciqfunctions.udf.CIQ(A783, "IQ_TOTAL_REV",IQ_FY-9)/I783)</f>
        <v>5.0506582283560171</v>
      </c>
      <c r="E783" s="16"/>
      <c r="F783" s="15">
        <f>IF(A791=A792,_xll.ciqfunctions.udf.CIQ(A783,"IQ_DILUT_EPS_EXCL",IQ_FY-10), _xll.ciqfunctions.udf.CIQ(A783, "IQ_DILUT_EPS_EXCL",IQ_FY-9))</f>
        <v>0.56000000000000005</v>
      </c>
      <c r="G783" s="15">
        <f>IF(A791=A792,_xll.ciqfunctions.udf.CIQ(A783,"IQ_EBITDA_MARGIN",IQ_FY-10), _xll.ciqfunctions.udf.CIQ(A783, "IQ_EBITDA_MARGIN",IQ_FY-9))</f>
        <v>20.9102</v>
      </c>
      <c r="H783" s="15">
        <f>IF(A791=A792,_xll.ciqfunctions.udf.CIQ(A783,"IQ_TOTAL_DIV_PAID_CF",IQ_FY-10)/-I783, _xll.ciqfunctions.udf.CIQ(A783, "IQ_TOTAL_DIV_PAID_CF",IQ_FY-9)/-I783)</f>
        <v>0</v>
      </c>
      <c r="I783" s="17">
        <f>IF(A791=A792,_xll.ciqfunctions.udf.CIQ(A783,"IQ_TOTAL_OUTSTANDING_FILING_DATE",IQ_FY-10), _xll.ciqfunctions.udf.CIQ(A783, "IQ_TOTAL_OUTSTANDING_FILING_DATE",IQ_FY-9))</f>
        <v>289.0942</v>
      </c>
      <c r="J783" s="17">
        <f>IF(A791=A792,_xll.ciqfunctions.udf.CIQ(A783,"IQ_CASH_OPER",IQ_FY-10), _xll.ciqfunctions.udf.CIQ(A783, "IQ_CASH_OPER",IQ_FY-9))</f>
        <v>367.60500000000002</v>
      </c>
      <c r="K783" s="17">
        <f>IF(A791=A792,_xll.ciqfunctions.udf.CIQ(A783,"IQ_CAPEX",IQ_FY-10), _xll.ciqfunctions.udf.CIQ(A783, "IQ_CAPEX",IQ_FY-9))</f>
        <v>-44.929000000000002</v>
      </c>
      <c r="L783" s="15">
        <f t="shared" ref="L783:L793" si="208">(J783+K783)/I783</f>
        <v>1.1161621367706445</v>
      </c>
      <c r="M783" s="17">
        <f>IF(A791=A792,_xll.ciqfunctions.udf.CIQ(A783,"IQ_TOTAL_DEBT_ISSUED",IQ_FY-10), _xll.ciqfunctions.udf.CIQ(A783, "IQ_TOTAL_DEBT_ISSUED",IQ_FY-9))</f>
        <v>100</v>
      </c>
      <c r="N783" s="17">
        <f>IF(A791=A792,_xll.ciqfunctions.udf.CIQ(A783,"IQ_TOTAL_DEBT_REPAID",IQ_FY-10), _xll.ciqfunctions.udf.CIQ(A783, "IQ_TOTAL_DEBT_REPAID",IQ_FY-9))</f>
        <v>-247.16499999999999</v>
      </c>
      <c r="O783" s="15">
        <f t="shared" ref="O783:O793" si="209">(M783+N783)/I783</f>
        <v>-0.50905552584590075</v>
      </c>
      <c r="P783" s="15">
        <f t="shared" ref="P783:P793" si="210">L783+O783</f>
        <v>0.60710661092474372</v>
      </c>
      <c r="W783" s="43"/>
      <c r="AA783" s="43"/>
    </row>
    <row r="784" spans="1:27">
      <c r="A784" s="18" t="str">
        <f>_xll.ciqfunctions.udf.CIQ(A783,"IQ_COMPANY_NAME")</f>
        <v>Cadence Design Systems, Inc.</v>
      </c>
      <c r="B784" s="13">
        <v>2</v>
      </c>
      <c r="C784" s="14" t="s">
        <v>17</v>
      </c>
      <c r="D784" s="15">
        <f>IF(A791=A792,_xll.ciqfunctions.udf.CIQ(A783,"IQ_TOTAL_REV",IQ_FY-9)/I784, _xll.ciqfunctions.udf.CIQ(A783, "IQ_TOTAL_REV",IQ_FY-8)/I784)</f>
        <v>5.408149861113011</v>
      </c>
      <c r="E784" s="16">
        <f t="shared" ref="E784:E793" si="211">(D784-D783)/D783</f>
        <v>7.0781196547792746E-2</v>
      </c>
      <c r="F784" s="15">
        <f>IF(A791=A792,_xll.ciqfunctions.udf.CIQ(A783,"IQ_DILUT_EPS_EXCL",IQ_FY-9), _xll.ciqfunctions.udf.CIQ(A783, "IQ_DILUT_EPS_EXCL",IQ_FY-8))</f>
        <v>0.52</v>
      </c>
      <c r="G784" s="15">
        <f>IF(A791=A792,_xll.ciqfunctions.udf.CIQ(A783,"IQ_EBITDA_MARGIN",IQ_FY-9), _xll.ciqfunctions.udf.CIQ(A783, "IQ_EBITDA_MARGIN",IQ_FY-8))</f>
        <v>21.0337</v>
      </c>
      <c r="H784" s="15">
        <f>IF(A791=A792,_xll.ciqfunctions.udf.CIQ(A783,"IQ_TOTAL_DIV_PAID_CF",IQ_FY-9)/-I784, _xll.ciqfunctions.udf.CIQ(A783, "IQ_TOTAL_DIV_PAID_CF",IQ_FY-8)/-I784)</f>
        <v>0</v>
      </c>
      <c r="I784" s="17">
        <f>IF(A791=A792,_xll.ciqfunctions.udf.CIQ(A783,"IQ_TOTAL_OUTSTANDING_FILING_DATE",IQ_FY-9), _xll.ciqfunctions.udf.CIQ(A783, "IQ_TOTAL_OUTSTANDING_FILING_DATE",IQ_FY-8))</f>
        <v>292.32400000000001</v>
      </c>
      <c r="J784" s="17">
        <f>IF(A791=A792,_xll.ciqfunctions.udf.CIQ(A783,"IQ_CASH_OPER",IQ_FY-9), _xll.ciqfunctions.udf.CIQ(A783, "IQ_CASH_OPER",IQ_FY-8))</f>
        <v>316.72199999999998</v>
      </c>
      <c r="K784" s="17">
        <f>IF(A791=A792,_xll.ciqfunctions.udf.CIQ(A783,"IQ_CAPEX",IQ_FY-9), _xll.ciqfunctions.udf.CIQ(A783, "IQ_CAPEX",IQ_FY-8))</f>
        <v>-39.81</v>
      </c>
      <c r="L784" s="15">
        <f t="shared" si="208"/>
        <v>0.94727767819269015</v>
      </c>
      <c r="M784" s="17">
        <f>IF(A791=A792,_xll.ciqfunctions.udf.CIQ(A783,"IQ_TOTAL_DEBT_ISSUED",IQ_FY-9), _xll.ciqfunctions.udf.CIQ(A783, "IQ_TOTAL_DEBT_ISSUED",IQ_FY-8))</f>
        <v>448.649</v>
      </c>
      <c r="N784" s="17">
        <f>IF(A791=A792,_xll.ciqfunctions.udf.CIQ(A783,"IQ_TOTAL_DEBT_REPAID",IQ_FY-9), _xll.ciqfunctions.udf.CIQ(A783, "IQ_TOTAL_DEBT_REPAID",IQ_FY-8))</f>
        <v>-100.001</v>
      </c>
      <c r="O784" s="15">
        <f t="shared" si="209"/>
        <v>1.1926766190938822</v>
      </c>
      <c r="P784" s="15">
        <f t="shared" si="210"/>
        <v>2.1399542972865726</v>
      </c>
      <c r="Q784" s="25" t="s">
        <v>18</v>
      </c>
      <c r="R784" s="39" t="s">
        <v>19</v>
      </c>
      <c r="S784" s="1">
        <f>R782/((AVERAGE(P788:P793))*(1+E794)^3)</f>
        <v>58.463255931736953</v>
      </c>
      <c r="U784" s="25" t="s">
        <v>48</v>
      </c>
      <c r="V784" s="39" t="s">
        <v>19</v>
      </c>
      <c r="W784" s="1">
        <f>V782/((AVERAGE(P788:P793))*(1+E794)^3)</f>
        <v>58.463255931736953</v>
      </c>
      <c r="Y784" s="25" t="s">
        <v>39</v>
      </c>
      <c r="Z784" s="39" t="s">
        <v>19</v>
      </c>
      <c r="AA784" s="1">
        <f>Z782/((AVERAGE(P788:P793))*(1+E794)^3)</f>
        <v>58.463255931736953</v>
      </c>
    </row>
    <row r="785" spans="1:27">
      <c r="B785" s="13">
        <v>3</v>
      </c>
      <c r="C785" s="14" t="s">
        <v>20</v>
      </c>
      <c r="D785" s="15" cm="1">
        <f t="array" ref="D785">_xlfn.SINGLE(IF(A791=A792,_xll.ciqfunctions.udf.CIQ(A783,"IQ_TOTAL_REV",IQ_FY-8)/I785, _xll.ciqfunctions.udf.CIQ(A783, "IQ_TOTAL_REV",IQ_FY-7)/I785))</f>
        <v>5.5740835347362765</v>
      </c>
      <c r="E785" s="16">
        <f t="shared" si="211"/>
        <v>3.0682151546206585E-2</v>
      </c>
      <c r="F785" s="15">
        <f>IF(A791=A792,_xll.ciqfunctions.udf.CIQ(A783,"IQ_DILUT_EPS_EXCL",IQ_FY-8), _xll.ciqfunctions.udf.CIQ(A783, "IQ_DILUT_EPS_EXCL",IQ_FY-7))</f>
        <v>0.81</v>
      </c>
      <c r="G785" s="15">
        <f>IF(A791=A792,_xll.ciqfunctions.udf.CIQ(A783,"IQ_EBITDA_MARGIN",IQ_FY-8), _xll.ciqfunctions.udf.CIQ(A783, "IQ_EBITDA_MARGIN",IQ_FY-7))</f>
        <v>24.017800000000001</v>
      </c>
      <c r="H785" s="15">
        <f>IF(A791=A792,_xll.ciqfunctions.udf.CIQ(A783,"IQ_TOTAL_DIV_PAID_CF",IQ_FY-8)/-I785, _xll.ciqfunctions.udf.CIQ(A783, "IQ_TOTAL_DIV_PAID_CF",IQ_FY-7)/-I785)</f>
        <v>0</v>
      </c>
      <c r="I785" s="17">
        <f>IF(A791=A792,_xll.ciqfunctions.udf.CIQ(A783,"IQ_TOTAL_OUTSTANDING_FILING_DATE",IQ_FY-8), _xll.ciqfunctions.udf.CIQ(A783, "IQ_TOTAL_OUTSTANDING_FILING_DATE",IQ_FY-7))</f>
        <v>305.358</v>
      </c>
      <c r="J785" s="17">
        <f>IF(A791=A792,_xll.ciqfunctions.udf.CIQ(A783,"IQ_CASH_OPER",IQ_FY-8), _xll.ciqfunctions.udf.CIQ(A783, "IQ_CASH_OPER",IQ_FY-7))</f>
        <v>378.2</v>
      </c>
      <c r="K785" s="17">
        <f>IF(A791=A792,_xll.ciqfunctions.udf.CIQ(A783,"IQ_CAPEX",IQ_FY-8), _xll.ciqfunctions.udf.CIQ(A783, "IQ_CAPEX",IQ_FY-7))</f>
        <v>-44.808</v>
      </c>
      <c r="L785" s="15">
        <f t="shared" si="208"/>
        <v>1.091806993758146</v>
      </c>
      <c r="M785" s="17">
        <f>IF(A791=A792,_xll.ciqfunctions.udf.CIQ(A783,"IQ_TOTAL_DEBT_ISSUED",IQ_FY-8), _xll.ciqfunctions.udf.CIQ(A783, "IQ_TOTAL_DEBT_ISSUED",IQ_FY-7))</f>
        <v>0</v>
      </c>
      <c r="N785" s="17">
        <f>IF(A791=A792,_xll.ciqfunctions.udf.CIQ(A783,"IQ_TOTAL_DEBT_REPAID",IQ_FY-8), _xll.ciqfunctions.udf.CIQ(A783, "IQ_TOTAL_DEBT_REPAID",IQ_FY-7))</f>
        <v>-349.99900000000002</v>
      </c>
      <c r="O785" s="15">
        <f t="shared" si="209"/>
        <v>-1.1461923381735537</v>
      </c>
      <c r="P785" s="15">
        <f t="shared" si="210"/>
        <v>-5.4385344415407655E-2</v>
      </c>
      <c r="Q785" s="25" t="s">
        <v>21</v>
      </c>
      <c r="R785" s="38" t="s">
        <v>49</v>
      </c>
      <c r="S785" s="2">
        <f>(R782*I793)/1000</f>
        <v>74.106968179999996</v>
      </c>
      <c r="U785" s="25" t="s">
        <v>59</v>
      </c>
      <c r="V785" s="38" t="s">
        <v>49</v>
      </c>
      <c r="W785" s="2">
        <f>(V782*I793)/1000</f>
        <v>74.106968179999996</v>
      </c>
      <c r="Y785" s="25" t="s">
        <v>46</v>
      </c>
      <c r="Z785" s="38" t="s">
        <v>49</v>
      </c>
      <c r="AA785" s="2">
        <f>(Z782*I793)/1000</f>
        <v>74.106968179999996</v>
      </c>
    </row>
    <row r="786" spans="1:27">
      <c r="A786" s="18"/>
      <c r="B786" s="13">
        <v>4</v>
      </c>
      <c r="C786" s="14" t="s">
        <v>22</v>
      </c>
      <c r="D786" s="15" cm="1">
        <f t="array" ref="D786">_xlfn.SINGLE(IF(A791=A792,_xll.ciqfunctions.udf.CIQ(A783,"IQ_TOTAL_REV",IQ_FY-7)/I786, _xll.ciqfunctions.udf.CIQ(A783, "IQ_TOTAL_REV",IQ_FY-6)/I786))</f>
        <v>6.5146519161025793</v>
      </c>
      <c r="E786" s="16">
        <f t="shared" si="211"/>
        <v>0.16873955610907496</v>
      </c>
      <c r="F786" s="15">
        <f>IF(A791=A792,_xll.ciqfunctions.udf.CIQ(A783,"IQ_DILUT_EPS_EXCL",IQ_FY-7), _xll.ciqfunctions.udf.CIQ(A783, "IQ_DILUT_EPS_EXCL",IQ_FY-6))</f>
        <v>0.7</v>
      </c>
      <c r="G786" s="15">
        <f>IF(A791=A792,_xll.ciqfunctions.udf.CIQ(A783,"IQ_EBITDA_MARGIN",IQ_FY-7), _xll.ciqfunctions.udf.CIQ(A783, "IQ_EBITDA_MARGIN",IQ_FY-6))</f>
        <v>22.3857</v>
      </c>
      <c r="H786" s="15">
        <f>IF(A791=A792,_xll.ciqfunctions.udf.CIQ(A783,"IQ_TOTAL_DIV_PAID_CF",IQ_FY-7)/-I786, _xll.ciqfunctions.udf.CIQ(A783, "IQ_TOTAL_DIV_PAID_CF",IQ_FY-6)/-I786)</f>
        <v>0</v>
      </c>
      <c r="I786" s="17">
        <f>IF(A791=A792,_xll.ciqfunctions.udf.CIQ(A783,"IQ_TOTAL_OUTSTANDING_FILING_DATE",IQ_FY-7), _xll.ciqfunctions.udf.CIQ(A783, "IQ_TOTAL_OUTSTANDING_FILING_DATE",IQ_FY-6))</f>
        <v>278.76900000000001</v>
      </c>
      <c r="J786" s="17">
        <f>IF(A791=A792,_xll.ciqfunctions.udf.CIQ(A783,"IQ_CASH_OPER",IQ_FY-7), _xll.ciqfunctions.udf.CIQ(A783, "IQ_CASH_OPER",IQ_FY-6))</f>
        <v>444.87900000000002</v>
      </c>
      <c r="K786" s="17">
        <f>IF(A791=A792,_xll.ciqfunctions.udf.CIQ(A783,"IQ_CAPEX",IQ_FY-7), _xll.ciqfunctions.udf.CIQ(A783, "IQ_CAPEX",IQ_FY-6))</f>
        <v>-53.712000000000003</v>
      </c>
      <c r="L786" s="15">
        <f t="shared" si="208"/>
        <v>1.4031940423791742</v>
      </c>
      <c r="M786" s="17">
        <f>IF(A791=A792,_xll.ciqfunctions.udf.CIQ(A783,"IQ_TOTAL_DEBT_ISSUED",IQ_FY-7), _xll.ciqfunctions.udf.CIQ(A783, "IQ_TOTAL_DEBT_ISSUED",IQ_FY-6))</f>
        <v>415</v>
      </c>
      <c r="N786" s="17">
        <f>IF(A791=A792,_xll.ciqfunctions.udf.CIQ(A783,"IQ_TOTAL_DEBT_REPAID",IQ_FY-7), _xll.ciqfunctions.udf.CIQ(A783, "IQ_TOTAL_DEBT_REPAID",IQ_FY-6))</f>
        <v>-65</v>
      </c>
      <c r="O786" s="15">
        <f t="shared" si="209"/>
        <v>1.2555198031344947</v>
      </c>
      <c r="P786" s="15">
        <f t="shared" si="210"/>
        <v>2.658713845513669</v>
      </c>
      <c r="Q786" s="25" t="s">
        <v>23</v>
      </c>
      <c r="R786" s="38" t="s">
        <v>24</v>
      </c>
      <c r="S786" s="1" t="e">
        <f>R782/(AVERAGE(H788:H793)*(1+H794)/(0.5-H794))</f>
        <v>#DIV/0!</v>
      </c>
      <c r="U786" s="25" t="s">
        <v>40</v>
      </c>
      <c r="V786" s="38" t="s">
        <v>24</v>
      </c>
      <c r="W786" s="1" t="e">
        <f>V782/(AVERAGE(H788:H793)*(1+H794)/(0.5-H794))</f>
        <v>#DIV/0!</v>
      </c>
      <c r="Y786" s="25" t="s">
        <v>47</v>
      </c>
      <c r="Z786" s="38" t="s">
        <v>24</v>
      </c>
      <c r="AA786" s="1" t="e">
        <f>Z782/(AVERAGE(H788:H793)*(1+H794)/(0.5-H794))</f>
        <v>#DIV/0!</v>
      </c>
    </row>
    <row r="787" spans="1:27">
      <c r="B787" s="13">
        <v>5</v>
      </c>
      <c r="C787" s="14" t="s">
        <v>25</v>
      </c>
      <c r="D787" s="15" cm="1">
        <f t="array" ref="D787">_xlfn.SINGLE(IF(A791=A792,_xll.ciqfunctions.udf.CIQ(A783,"IQ_TOTAL_REV",IQ_FY-6)/I787, _xll.ciqfunctions.udf.CIQ(A783, "IQ_TOTAL_REV",IQ_FY-5)/I787))</f>
        <v>6.8690171068586512</v>
      </c>
      <c r="E787" s="16">
        <f t="shared" si="211"/>
        <v>5.4395107416279655E-2</v>
      </c>
      <c r="F787" s="15">
        <f>IF(A791=A792,_xll.ciqfunctions.udf.CIQ(A783,"IQ_DILUT_EPS_EXCL",IQ_FY-6), _xll.ciqfunctions.udf.CIQ(A783, "IQ_DILUT_EPS_EXCL",IQ_FY-5))</f>
        <v>0.73</v>
      </c>
      <c r="G787" s="15">
        <f>IF(A791=A792,_xll.ciqfunctions.udf.CIQ(A783,"IQ_EBITDA_MARGIN",IQ_FY-6), _xll.ciqfunctions.udf.CIQ(A783, "IQ_EBITDA_MARGIN",IQ_FY-5))</f>
        <v>23.1022</v>
      </c>
      <c r="H787" s="15">
        <f>IF(A791=A792,_xll.ciqfunctions.udf.CIQ(A783,"IQ_TOTAL_DIV_PAID_CF",IQ_FY-6)/-I787, _xll.ciqfunctions.udf.CIQ(A783, "IQ_TOTAL_DIV_PAID_CF",IQ_FY-5)/-I787)</f>
        <v>0</v>
      </c>
      <c r="I787" s="17">
        <f>IF(A791=A792,_xll.ciqfunctions.udf.CIQ(A783,"IQ_TOTAL_OUTSTANDING_FILING_DATE",IQ_FY-6), _xll.ciqfunctions.udf.CIQ(A783, "IQ_TOTAL_OUTSTANDING_FILING_DATE",IQ_FY-5))</f>
        <v>282.86900000000003</v>
      </c>
      <c r="J787" s="17">
        <f>IF(A791=A792,_xll.ciqfunctions.udf.CIQ(A783,"IQ_CASH_OPER",IQ_FY-6), _xll.ciqfunctions.udf.CIQ(A783, "IQ_CASH_OPER",IQ_FY-5))</f>
        <v>470.74</v>
      </c>
      <c r="K787" s="17">
        <f>IF(A791=A792,_xll.ciqfunctions.udf.CIQ(A783,"IQ_CAPEX",IQ_FY-6), _xll.ciqfunctions.udf.CIQ(A783, "IQ_CAPEX",IQ_FY-5))</f>
        <v>-57.901000000000003</v>
      </c>
      <c r="L787" s="15">
        <f t="shared" si="208"/>
        <v>1.4594706383520286</v>
      </c>
      <c r="M787" s="17">
        <f>IF(A791=A792,_xll.ciqfunctions.udf.CIQ(A783,"IQ_TOTAL_DEBT_ISSUED",IQ_FY-6), _xll.ciqfunctions.udf.CIQ(A783, "IQ_TOTAL_DEBT_ISSUED",IQ_FY-5))</f>
        <v>138.86699999999999</v>
      </c>
      <c r="N787" s="17">
        <f>IF(A791=A792,_xll.ciqfunctions.udf.CIQ(A783,"IQ_TOTAL_DEBT_REPAID",IQ_FY-6), _xll.ciqfunctions.udf.CIQ(A783, "IQ_TOTAL_DEBT_REPAID",IQ_FY-5))</f>
        <v>-100</v>
      </c>
      <c r="O787" s="15">
        <f t="shared" si="209"/>
        <v>0.13740282604315066</v>
      </c>
      <c r="P787" s="15">
        <f t="shared" si="210"/>
        <v>1.5968734643951792</v>
      </c>
      <c r="Q787" s="18"/>
      <c r="R787" s="38" t="s">
        <v>50</v>
      </c>
      <c r="S787" s="3">
        <f>I794</f>
        <v>-6.0086111033349487E-3</v>
      </c>
      <c r="U787" s="18"/>
      <c r="V787" s="38" t="s">
        <v>50</v>
      </c>
      <c r="W787" s="3">
        <f>I794</f>
        <v>-6.0086111033349487E-3</v>
      </c>
      <c r="Y787" s="18"/>
      <c r="Z787" s="38" t="s">
        <v>50</v>
      </c>
      <c r="AA787" s="3">
        <f>I794</f>
        <v>-6.0086111033349487E-3</v>
      </c>
    </row>
    <row r="788" spans="1:27">
      <c r="B788" s="13">
        <v>6</v>
      </c>
      <c r="C788" s="14" t="s">
        <v>26</v>
      </c>
      <c r="D788" s="15" cm="1">
        <f t="array" ref="D788">_xlfn.SINGLE(IF(A791=A792,_xll.ciqfunctions.udf.CIQ(A783,"IQ_TOTAL_REV",IQ_FY-5)/I788, _xll.ciqfunctions.udf.CIQ(A783, "IQ_TOTAL_REV",IQ_FY-4)/I788))</f>
        <v>7.6253080585623341</v>
      </c>
      <c r="E788" s="16">
        <f t="shared" si="211"/>
        <v>0.11010177146720646</v>
      </c>
      <c r="F788" s="15">
        <f>IF(A791=A792,_xll.ciqfunctions.udf.CIQ(A783,"IQ_DILUT_EPS_EXCL",IQ_FY-5), _xll.ciqfunctions.udf.CIQ(A783, "IQ_DILUT_EPS_EXCL",IQ_FY-4))</f>
        <v>1.23</v>
      </c>
      <c r="G788" s="15">
        <f>IF(A791=A792,_xll.ciqfunctions.udf.CIQ(A783,"IQ_EBITDA_MARGIN",IQ_FY-5), _xll.ciqfunctions.udf.CIQ(A783, "IQ_EBITDA_MARGIN",IQ_FY-4))</f>
        <v>24.603000000000002</v>
      </c>
      <c r="H788" s="15">
        <f>IF(A791=A792,_xll.ciqfunctions.udf.CIQ(A783,"IQ_TOTAL_DIV_PAID_CF",IQ_FY-5)/-I788, _xll.ciqfunctions.udf.CIQ(A783, "IQ_TOTAL_DIV_PAID_CF",IQ_FY-4)/-I788)</f>
        <v>0</v>
      </c>
      <c r="I788" s="17">
        <f>IF(A791=A792,_xll.ciqfunctions.udf.CIQ(A783,"IQ_TOTAL_OUTSTANDING_FILING_DATE",IQ_FY-5), _xll.ciqfunctions.udf.CIQ(A783, "IQ_TOTAL_OUTSTANDING_FILING_DATE",IQ_FY-4))</f>
        <v>280.38499999999999</v>
      </c>
      <c r="J788" s="17">
        <f>IF(A791=A792,_xll.ciqfunctions.udf.CIQ(A783,"IQ_CASH_OPER",IQ_FY-5), _xll.ciqfunctions.udf.CIQ(A783, "IQ_CASH_OPER",IQ_FY-4))</f>
        <v>604.75099999999998</v>
      </c>
      <c r="K788" s="17">
        <f>IF(A791=A792,_xll.ciqfunctions.udf.CIQ(A783,"IQ_CAPEX",IQ_FY-5), _xll.ciqfunctions.udf.CIQ(A783, "IQ_CAPEX",IQ_FY-4))</f>
        <v>-61.503</v>
      </c>
      <c r="L788" s="15">
        <f t="shared" si="208"/>
        <v>1.9375073559569875</v>
      </c>
      <c r="M788" s="17">
        <f>IF(A791=A792,_xll.ciqfunctions.udf.CIQ(A783,"IQ_TOTAL_DEBT_ISSUED",IQ_FY-5), _xll.ciqfunctions.udf.CIQ(A783, "IQ_TOTAL_DEBT_ISSUED",IQ_FY-4))</f>
        <v>100</v>
      </c>
      <c r="N788" s="17">
        <f>IF(A791=A792,_xll.ciqfunctions.udf.CIQ(A783,"IQ_TOTAL_DEBT_REPAID",IQ_FY-5), _xll.ciqfunctions.udf.CIQ(A783, "IQ_TOTAL_DEBT_REPAID",IQ_FY-4))</f>
        <v>-388.86700000000002</v>
      </c>
      <c r="O788" s="15">
        <f t="shared" si="209"/>
        <v>-1.0302512616580775</v>
      </c>
      <c r="P788" s="15">
        <f t="shared" si="210"/>
        <v>0.90725609429891008</v>
      </c>
      <c r="Q788" s="25" t="s">
        <v>27</v>
      </c>
      <c r="R788" s="38" t="s">
        <v>51</v>
      </c>
      <c r="S788" s="4">
        <f>AVERAGE(F788:F793)/AVERAGE(D788:D793)</f>
        <v>0.25025713100863833</v>
      </c>
      <c r="U788" s="25" t="s">
        <v>58</v>
      </c>
      <c r="V788" s="38" t="s">
        <v>51</v>
      </c>
      <c r="W788" s="4">
        <f>AVERAGE(F788:F793)/AVERAGE(D788:D793)</f>
        <v>0.25025713100863833</v>
      </c>
      <c r="Y788" s="25" t="s">
        <v>56</v>
      </c>
      <c r="Z788" s="38" t="s">
        <v>51</v>
      </c>
      <c r="AA788" s="4">
        <f>AVERAGE(F788:F793)/AVERAGE(D788:D793)</f>
        <v>0.25025713100863833</v>
      </c>
    </row>
    <row r="789" spans="1:27">
      <c r="A789" s="18"/>
      <c r="B789" s="13">
        <v>7</v>
      </c>
      <c r="C789" s="14" t="s">
        <v>28</v>
      </c>
      <c r="D789" s="15" cm="1">
        <f t="array" ref="D789">_xlfn.SINGLE(IF(A791=A792,_xll.ciqfunctions.udf.CIQ(A783,"IQ_TOTAL_REV",IQ_FY-4)/I789, _xll.ciqfunctions.udf.CIQ(A783, "IQ_TOTAL_REV",IQ_FY-3)/I789))</f>
        <v>8.3389930327517767</v>
      </c>
      <c r="E789" s="16">
        <f t="shared" si="211"/>
        <v>9.3594248089171619E-2</v>
      </c>
      <c r="F789" s="15">
        <f>IF(A791=A792,_xll.ciqfunctions.udf.CIQ(A783,"IQ_DILUT_EPS_EXCL",IQ_FY-4), _xll.ciqfunctions.udf.CIQ(A783, "IQ_DILUT_EPS_EXCL",IQ_FY-3))</f>
        <v>3.53</v>
      </c>
      <c r="G789" s="15">
        <f>IF(A791=A792,_xll.ciqfunctions.udf.CIQ(A783,"IQ_EBITDA_MARGIN",IQ_FY-4), _xll.ciqfunctions.udf.CIQ(A783, "IQ_EBITDA_MARGIN",IQ_FY-3))</f>
        <v>26.674600000000002</v>
      </c>
      <c r="H789" s="15">
        <f>IF(A791=A792,_xll.ciqfunctions.udf.CIQ(A783,"IQ_TOTAL_DIV_PAID_CF",IQ_FY-4)/-I789, _xll.ciqfunctions.udf.CIQ(A783, "IQ_TOTAL_DIV_PAID_CF",IQ_FY-3)/-I789)</f>
        <v>0</v>
      </c>
      <c r="I789" s="17">
        <f>IF(A791=A792,_xll.ciqfunctions.udf.CIQ(A783,"IQ_TOTAL_OUTSTANDING_FILING_DATE",IQ_FY-4), _xll.ciqfunctions.udf.CIQ(A783, "IQ_TOTAL_OUTSTANDING_FILING_DATE",IQ_FY-3))</f>
        <v>280.16800000000001</v>
      </c>
      <c r="J789" s="17">
        <f>IF(A791=A792,_xll.ciqfunctions.udf.CIQ(A783,"IQ_CASH_OPER",IQ_FY-4), _xll.ciqfunctions.udf.CIQ(A783, "IQ_CASH_OPER",IQ_FY-3))</f>
        <v>729.6</v>
      </c>
      <c r="K789" s="17">
        <f>IF(A791=A792,_xll.ciqfunctions.udf.CIQ(A783,"IQ_CAPEX",IQ_FY-4), _xll.ciqfunctions.udf.CIQ(A783, "IQ_CAPEX",IQ_FY-3))</f>
        <v>-74.605000000000004</v>
      </c>
      <c r="L789" s="15">
        <f t="shared" si="208"/>
        <v>2.3378651380600211</v>
      </c>
      <c r="M789" s="17">
        <f>IF(A791=A792,_xll.ciqfunctions.udf.CIQ(A783,"IQ_TOTAL_DEBT_ISSUED",IQ_FY-4), _xll.ciqfunctions.udf.CIQ(A783, "IQ_TOTAL_DEBT_ISSUED",IQ_FY-3))</f>
        <v>150</v>
      </c>
      <c r="N789" s="17">
        <f>IF(A791=A792,_xll.ciqfunctions.udf.CIQ(A783,"IQ_TOTAL_DEBT_REPAID",IQ_FY-4), _xll.ciqfunctions.udf.CIQ(A783, "IQ_TOTAL_DEBT_REPAID",IQ_FY-3))</f>
        <v>-250</v>
      </c>
      <c r="O789" s="15">
        <f t="shared" si="209"/>
        <v>-0.35692869992290338</v>
      </c>
      <c r="P789" s="15">
        <f t="shared" si="210"/>
        <v>1.9809364381371177</v>
      </c>
      <c r="Q789" s="18"/>
      <c r="R789" s="38" t="s">
        <v>29</v>
      </c>
      <c r="S789" s="4">
        <f>(AVERAGE(P788:P793)/_xlfn.STDEV.P(P788:P793))/(IF(A791=A792,(_xlfn.SINGLE(_xll.ciqfunctions.udf.CIQ(A783,"IQ_total_assets",IQ_FY)) - _xlfn.SINGLE(_xll.ciqfunctions.udf.CIQ(A783,"iq_gw_intan", IQ_FY)))/I793, (_xlfn.SINGLE(_xll.ciqfunctions.udf.CIQ(A783, "IQ_total_assets",IQ_LTM))-_xlfn.SINGLE(_xll.ciqfunctions.udf.CIQ(A783,"iq_gw_intan",IQ_LTM)))/I793))</f>
        <v>0.16200868178257397</v>
      </c>
      <c r="U789" s="18"/>
      <c r="V789" s="38" t="s">
        <v>29</v>
      </c>
      <c r="W789" s="4">
        <f>(AVERAGE(P788:P793)/_xlfn.STDEV.P(P788:P793))/(IF(A791=A792,(_xlfn.SINGLE(_xll.ciqfunctions.udf.CIQ(A783,"IQ_total_assets",IQ_FY)) - _xlfn.SINGLE(_xll.ciqfunctions.udf.CIQ(A783,"iq_gw_intan", IQ_FY)))/I793, (_xlfn.SINGLE(_xll.ciqfunctions.udf.CIQ(A783, "IQ_total_assets",IQ_LTM))-_xlfn.SINGLE(_xll.ciqfunctions.udf.CIQ(A783,"iq_gw_intan",IQ_LTM)))/I793))</f>
        <v>0.16200868178257397</v>
      </c>
      <c r="Y789" s="18"/>
      <c r="Z789" s="38" t="s">
        <v>29</v>
      </c>
      <c r="AA789" s="4">
        <f>(AVERAGE(P788:P793)/_xlfn.STDEV.P(P788:P793))/(IF(A791=A792,(_xlfn.SINGLE(_xll.ciqfunctions.udf.CIQ(A783,"IQ_total_assets",IQ_FY)) - _xlfn.SINGLE(_xll.ciqfunctions.udf.CIQ(A783,"iq_gw_intan", IQ_FY)))/I793, (_xlfn.SINGLE(_xll.ciqfunctions.udf.CIQ(A783, "IQ_total_assets",IQ_LTM))-_xlfn.SINGLE(_xll.ciqfunctions.udf.CIQ(A783,"iq_gw_intan",IQ_LTM)))/I793))</f>
        <v>0.16200868178257397</v>
      </c>
    </row>
    <row r="790" spans="1:27">
      <c r="A790" s="18"/>
      <c r="B790" s="13">
        <v>8</v>
      </c>
      <c r="C790" s="14" t="s">
        <v>30</v>
      </c>
      <c r="D790" s="15" cm="1">
        <f t="array" ref="D790">_xlfn.SINGLE(IF(A791=A792,_xll.ciqfunctions.udf.CIQ(A783,"IQ_TOTAL_REV",IQ_FY-3)/I790, _xll.ciqfunctions.udf.CIQ(A783, "IQ_TOTAL_REV",IQ_FY-2)/I790))</f>
        <v>9.6169929814247936</v>
      </c>
      <c r="E790" s="16">
        <f t="shared" si="211"/>
        <v>0.15325590795598626</v>
      </c>
      <c r="F790" s="15">
        <f>IF(A791=A792,_xll.ciqfunctions.udf.CIQ(A783,"IQ_DILUT_EPS_EXCL",IQ_FY-3), _xll.ciqfunctions.udf.CIQ(A783, "IQ_DILUT_EPS_EXCL",IQ_FY-2))</f>
        <v>2.11</v>
      </c>
      <c r="G790" s="15">
        <f>IF(A791=A792,_xll.ciqfunctions.udf.CIQ(A783,"IQ_EBITDA_MARGIN",IQ_FY-3), _xll.ciqfunctions.udf.CIQ(A783, "IQ_EBITDA_MARGIN",IQ_FY-2))</f>
        <v>29.9236</v>
      </c>
      <c r="H790" s="15">
        <f>IF(A791=A792,_xll.ciqfunctions.udf.CIQ(A783,"IQ_TOTAL_DIV_PAID_CF",IQ_FY-3)/-I790, _xll.ciqfunctions.udf.CIQ(A783, "IQ_TOTAL_DIV_PAID_CF",IQ_FY-2)/-I790)</f>
        <v>0</v>
      </c>
      <c r="I790" s="17">
        <f>IF(A791=A792,_xll.ciqfunctions.udf.CIQ(A783,"IQ_TOTAL_OUTSTANDING_FILING_DATE",IQ_FY-3), _xll.ciqfunctions.udf.CIQ(A783, "IQ_TOTAL_OUTSTANDING_FILING_DATE",IQ_FY-2))</f>
        <v>278.97399999999999</v>
      </c>
      <c r="J790" s="17">
        <f>IF(A791=A792,_xll.ciqfunctions.udf.CIQ(A783,"IQ_CASH_OPER",IQ_FY-3), _xll.ciqfunctions.udf.CIQ(A783, "IQ_CASH_OPER",IQ_FY-2))</f>
        <v>904.92200000000003</v>
      </c>
      <c r="K790" s="17">
        <f>IF(A791=A792,_xll.ciqfunctions.udf.CIQ(A783,"IQ_CAPEX",IQ_FY-3), _xll.ciqfunctions.udf.CIQ(A783, "IQ_CAPEX",IQ_FY-2))</f>
        <v>-94.813000000000002</v>
      </c>
      <c r="L790" s="15">
        <f t="shared" si="208"/>
        <v>2.9038871005900195</v>
      </c>
      <c r="M790" s="17">
        <f>IF(A791=A792,_xll.ciqfunctions.udf.CIQ(A783,"IQ_TOTAL_DEBT_ISSUED",IQ_FY-3), _xll.ciqfunctions.udf.CIQ(A783, "IQ_TOTAL_DEBT_ISSUED",IQ_FY-2))</f>
        <v>350</v>
      </c>
      <c r="N790" s="17">
        <f>IF(A791=A792,_xll.ciqfunctions.udf.CIQ(A783,"IQ_TOTAL_DEBT_REPAID",IQ_FY-3), _xll.ciqfunctions.udf.CIQ(A783, "IQ_TOTAL_DEBT_REPAID",IQ_FY-2))</f>
        <v>-350</v>
      </c>
      <c r="O790" s="15">
        <f t="shared" si="209"/>
        <v>0</v>
      </c>
      <c r="P790" s="15">
        <f t="shared" si="210"/>
        <v>2.9038871005900195</v>
      </c>
      <c r="Q790" s="18"/>
      <c r="R790" s="39" t="s">
        <v>31</v>
      </c>
      <c r="S790" s="5">
        <f>IF(NOT(D783&gt;0),FALSE,SLOPE(G783:G793,B783:B793))</f>
        <v>1.3764263636363636</v>
      </c>
      <c r="U790" s="18"/>
      <c r="V790" s="39" t="s">
        <v>31</v>
      </c>
      <c r="W790" s="5">
        <f>IF(NOT(D783&gt;0),FALSE,SLOPE(G783:G793,B783:B793))</f>
        <v>1.3764263636363636</v>
      </c>
      <c r="Y790" s="18"/>
      <c r="Z790" s="39" t="s">
        <v>31</v>
      </c>
      <c r="AA790" s="5">
        <f>IF(NOT(L783&gt;0),FALSE,SLOPE(O783:O793,J783:J793))</f>
        <v>1.7906649363457695E-4</v>
      </c>
    </row>
    <row r="791" spans="1:27">
      <c r="A791" s="19">
        <f>_xll.ciqfunctions.udf.CIQ(A783,"IQ_TOTAL_REV",IQ_FY)</f>
        <v>3561.7179999999998</v>
      </c>
      <c r="B791" s="13">
        <v>9</v>
      </c>
      <c r="C791" s="14" t="s">
        <v>32</v>
      </c>
      <c r="D791" s="15" cm="1">
        <f t="array" ref="D791">_xlfn.SINGLE(IF(A791=A792,_xll.ciqfunctions.udf.CIQ(A783,"IQ_TOTAL_REV",IQ_FY-2)/I791, _xll.ciqfunctions.udf.CIQ(A783, "IQ_TOTAL_REV",IQ_FY-1)/I791))</f>
        <v>10.774814665243603</v>
      </c>
      <c r="E791" s="16">
        <f t="shared" si="211"/>
        <v>0.12039331691882696</v>
      </c>
      <c r="F791" s="15">
        <f>IF(A791=A792,_xll.ciqfunctions.udf.CIQ(A783,"IQ_DILUT_EPS_EXCL",IQ_FY-2), _xll.ciqfunctions.udf.CIQ(A783, "IQ_DILUT_EPS_EXCL",IQ_FY-1))</f>
        <v>2.5</v>
      </c>
      <c r="G791" s="15">
        <f>IF(A791=A792,_xll.ciqfunctions.udf.CIQ(A783,"IQ_EBITDA_MARGIN",IQ_FY-2), _xll.ciqfunctions.udf.CIQ(A783, "IQ_EBITDA_MARGIN",IQ_FY-1))</f>
        <v>30.885899999999999</v>
      </c>
      <c r="H791" s="15">
        <f>IF(A791=A792,_xll.ciqfunctions.udf.CIQ(A783,"IQ_TOTAL_DIV_PAID_CF",IQ_FY-2)/-I791, _xll.ciqfunctions.udf.CIQ(A783, "IQ_TOTAL_DIV_PAID_CF",IQ_FY-1)/-I791)</f>
        <v>0</v>
      </c>
      <c r="I791" s="17">
        <f>IF(A791=A792,_xll.ciqfunctions.udf.CIQ(A783,"IQ_TOTAL_OUTSTANDING_FILING_DATE",IQ_FY-2), _xll.ciqfunctions.udf.CIQ(A783, "IQ_TOTAL_OUTSTANDING_FILING_DATE",IQ_FY-1))</f>
        <v>277.33600000000001</v>
      </c>
      <c r="J791" s="17">
        <f>IF(A791=A792,_xll.ciqfunctions.udf.CIQ(A783,"IQ_CASH_OPER",IQ_FY-2), _xll.ciqfunctions.udf.CIQ(A783, "IQ_CASH_OPER",IQ_FY-1))</f>
        <v>1100.9580000000001</v>
      </c>
      <c r="K791" s="17">
        <f>IF(A791=A792,_xll.ciqfunctions.udf.CIQ(A783,"IQ_CAPEX",IQ_FY-2), _xll.ciqfunctions.udf.CIQ(A783, "IQ_CAPEX",IQ_FY-1))</f>
        <v>-65.298000000000002</v>
      </c>
      <c r="L791" s="15">
        <f t="shared" si="208"/>
        <v>3.734315054662936</v>
      </c>
      <c r="M791" s="17">
        <f>IF(A791=A792,_xll.ciqfunctions.udf.CIQ(A783,"IQ_TOTAL_DEBT_ISSUED",IQ_FY-2), _xll.ciqfunctions.udf.CIQ(A783, "IQ_TOTAL_DEBT_ISSUED",IQ_FY-1))</f>
        <v>0</v>
      </c>
      <c r="N791" s="17">
        <f>IF(A791=A792,_xll.ciqfunctions.udf.CIQ(A783,"IQ_TOTAL_DEBT_REPAID",IQ_FY-2), _xll.ciqfunctions.udf.CIQ(A783, "IQ_TOTAL_DEBT_REPAID",IQ_FY-1))</f>
        <v>0</v>
      </c>
      <c r="O791" s="15">
        <f t="shared" si="209"/>
        <v>0</v>
      </c>
      <c r="P791" s="15">
        <f t="shared" si="210"/>
        <v>3.734315054662936</v>
      </c>
      <c r="Q791" s="25" t="s">
        <v>33</v>
      </c>
      <c r="R791" s="38" t="s">
        <v>52</v>
      </c>
      <c r="S791" s="4">
        <f>(AVERAGE(O788:O793)/AVERAGE(P788:P793))</f>
        <v>-2.4791444097254346E-2</v>
      </c>
      <c r="U791" s="25" t="s">
        <v>54</v>
      </c>
      <c r="V791" s="38" t="s">
        <v>52</v>
      </c>
      <c r="W791" s="4">
        <f>(AVERAGE(O788:O793)/AVERAGE(P788:P793))</f>
        <v>-2.4791444097254346E-2</v>
      </c>
      <c r="Y791" s="25" t="s">
        <v>60</v>
      </c>
      <c r="Z791" s="38" t="s">
        <v>52</v>
      </c>
      <c r="AA791" s="4">
        <f>(AVERAGE(O788:O793)/AVERAGE(P788:P793))</f>
        <v>-2.4791444097254346E-2</v>
      </c>
    </row>
    <row r="792" spans="1:27">
      <c r="A792" s="19">
        <f>_xll.ciqfunctions.udf.CIQ(A783,"IQ_TOTAL_REV",IQ_LTM)</f>
        <v>3921.24</v>
      </c>
      <c r="B792" s="13">
        <v>10</v>
      </c>
      <c r="C792" s="14" t="s">
        <v>34</v>
      </c>
      <c r="D792" s="15" cm="1">
        <f t="array" ref="D792">_xlfn.SINGLE(IF(A791=A792,_xll.ciqfunctions.udf.CIQ(A783,"IQ_TOTAL_REV",IQ_FY-1)/I792, _xll.ciqfunctions.udf.CIQ(A783, "IQ_TOTAL_REV",IQ_FY)/I792))</f>
        <v>13.049454092474535</v>
      </c>
      <c r="E792" s="16">
        <f t="shared" si="211"/>
        <v>0.21110705825579096</v>
      </c>
      <c r="F792" s="15">
        <f>IF(A791=A792,_xll.ciqfunctions.udf.CIQ(A783,"IQ_DILUT_EPS_EXCL",IQ_FY-1), _xll.ciqfunctions.udf.CIQ(A783, "IQ_DILUT_EPS_EXCL",IQ_FY))</f>
        <v>3.09</v>
      </c>
      <c r="G792" s="15">
        <f>IF(A791=A792,_xll.ciqfunctions.udf.CIQ(A783,"IQ_EBITDA_MARGIN",IQ_FY-1), _xll.ciqfunctions.udf.CIQ(A783, "IQ_EBITDA_MARGIN",IQ_FY))</f>
        <v>34.138800000000003</v>
      </c>
      <c r="H792" s="15">
        <f>IF(A791=A792,_xll.ciqfunctions.udf.CIQ(A783,"IQ_TOTAL_DIV_PAID_CF",IQ_FY-1)/-I792, _xll.ciqfunctions.udf.CIQ(A783, "IQ_TOTAL_DIV_PAID_CF",IQ_FY)/-I792)</f>
        <v>0</v>
      </c>
      <c r="I792" s="17">
        <f>IF(A791=A792,_xll.ciqfunctions.udf.CIQ(A783,"IQ_TOTAL_OUTSTANDING_FILING_DATE",IQ_FY-1), _xll.ciqfunctions.udf.CIQ(A783, "IQ_TOTAL_OUTSTANDING_FILING_DATE",IQ_FY))</f>
        <v>272.94</v>
      </c>
      <c r="J792" s="17">
        <f>IF(A791=A792,_xll.ciqfunctions.udf.CIQ(A783,"IQ_CASH_OPER",IQ_FY-1), _xll.ciqfunctions.udf.CIQ(A783, "IQ_CASH_OPER",IQ_FY))</f>
        <v>1241.894</v>
      </c>
      <c r="K792" s="17">
        <f>IF(A791=A792,_xll.ciqfunctions.udf.CIQ(A783,"IQ_CAPEX",IQ_FY-1), _xll.ciqfunctions.udf.CIQ(A783, "IQ_CAPEX",IQ_FY))</f>
        <v>-123.215</v>
      </c>
      <c r="L792" s="15">
        <f t="shared" si="208"/>
        <v>4.0986260716641025</v>
      </c>
      <c r="M792" s="17">
        <f>IF(A791=A792,_xll.ciqfunctions.udf.CIQ(A783,"IQ_TOTAL_DEBT_ISSUED",IQ_FY-1), _xll.ciqfunctions.udf.CIQ(A783, "IQ_TOTAL_DEBT_ISSUED",IQ_FY))</f>
        <v>885</v>
      </c>
      <c r="N792" s="17">
        <f>IF(A791=A792,_xll.ciqfunctions.udf.CIQ(A783,"IQ_TOTAL_DEBT_REPAID",IQ_FY-1), _xll.ciqfunctions.udf.CIQ(A783, "IQ_TOTAL_DEBT_REPAID",IQ_FY))</f>
        <v>-485</v>
      </c>
      <c r="O792" s="15">
        <f t="shared" si="209"/>
        <v>1.4655235582911996</v>
      </c>
      <c r="P792" s="15">
        <f t="shared" si="210"/>
        <v>5.5641496299553026</v>
      </c>
      <c r="Q792" s="25" t="s">
        <v>44</v>
      </c>
      <c r="R792" s="38" t="s">
        <v>35</v>
      </c>
      <c r="S792" s="1">
        <f>_xll.ciqfunctions.udf.CIQ(A783,"IQ_TEV_EBITDA")</f>
        <v>54.808109999999999</v>
      </c>
      <c r="U792" s="25" t="s">
        <v>55</v>
      </c>
      <c r="V792" s="38" t="s">
        <v>53</v>
      </c>
      <c r="W792" s="1">
        <f>V782/(AVERAGE(D788:D793)/_xlfn.STDEV.P(E788:E793))</f>
        <v>1.0219859796307675</v>
      </c>
      <c r="Y792" s="25" t="s">
        <v>57</v>
      </c>
      <c r="Z792" s="38" t="s">
        <v>53</v>
      </c>
      <c r="AA792" s="1">
        <f>Z782/(AVERAGE(D788:D793)/_xlfn.STDEV.P(E788:E793))</f>
        <v>1.0219859796307675</v>
      </c>
    </row>
    <row r="793" spans="1:27">
      <c r="B793" s="13">
        <v>11</v>
      </c>
      <c r="C793" s="20" t="s">
        <v>36</v>
      </c>
      <c r="D793" s="21" cm="1">
        <f t="array" ref="D793">_xlfn.SINGLE(IF(A791=A792,_xll.ciqfunctions.udf.CIQ(A783,"IQ_TOTAL_REV",IQ_FY)/I793, _xll.ciqfunctions.udf.CIQ(A783, "IQ_TOTAL_REV",IQ_LTM)/I793))</f>
        <v>14.413038204526908</v>
      </c>
      <c r="E793" s="22">
        <f t="shared" si="211"/>
        <v>0.10449357516332694</v>
      </c>
      <c r="F793" s="21">
        <f>IF(A791=A792,_xll.ciqfunctions.udf.CIQ(A783,"IQ_DILUT_EPS_EXCL",IQ_FY), _xll.ciqfunctions.udf.CIQ(A783, "IQ_DILUT_EPS_EXCL",IQ_LTM))</f>
        <v>3.5110600000000001</v>
      </c>
      <c r="G793" s="21">
        <f>IF(A791=A792,_xll.ciqfunctions.udf.CIQ(A783,"IQ_EBITDA_MARGIN",IQ_FY), _xll.ciqfunctions.udf.CIQ(A783, "IQ_EBITDA_MARGIN",IQ_LTM))</f>
        <v>32.856999999999999</v>
      </c>
      <c r="H793" s="21">
        <f>IF(A791=A792,_xll.ciqfunctions.udf.CIQ(A783,"IQ_TOTAL_DIV_PAID_CF",IQ_FY)/-I793, _xll.ciqfunctions.udf.CIQ(A783, "IQ_TOTAL_DIV_PAID_CF",IQ_LTM)/-I793)</f>
        <v>0</v>
      </c>
      <c r="I793" s="23">
        <f>IF(A791=A792,_xll.ciqfunctions.udf.CIQ(A783,"IQ_TOTAL_OUTSTANDING_FILING_DATE",IQ_FY),_xll.ciqfunctions.udf.CIQ(A783,"IQ_sharesoutstanding"))</f>
        <v>272.06200000000001</v>
      </c>
      <c r="J793" s="23">
        <f>IF(A791=A792,_xll.ciqfunctions.udf.CIQ(A783,"IQ_CASH_OPER",IQ_FY), _xll.ciqfunctions.udf.CIQ(A783, "IQ_CASH_OPER",IQ_LTM))</f>
        <v>1340.72</v>
      </c>
      <c r="K793" s="23">
        <f>IF(A791=A792,_xll.ciqfunctions.udf.CIQ(A783,"IQ_CAPEX",IQ_FY), _xll.ciqfunctions.udf.CIQ(A783, "IQ_CAPEX",IQ_LTM))</f>
        <v>-105.554</v>
      </c>
      <c r="L793" s="21">
        <f t="shared" si="208"/>
        <v>4.5400166138600753</v>
      </c>
      <c r="M793" s="23">
        <f>IF(A791=A792,_xll.ciqfunctions.udf.CIQ(A783,"IQ_TOTAL_DEBT_ISSUED",IQ_FY), _xll.ciqfunctions.udf.CIQ(A783, "IQ_TOTAL_DEBT_ISSUED",IQ_LTM))</f>
        <v>185</v>
      </c>
      <c r="N793" s="23">
        <f>IF(A791=A792,_xll.ciqfunctions.udf.CIQ(A783,"IQ_TOTAL_DEBT_REPAID",IQ_FY), _xll.ciqfunctions.udf.CIQ(A783, "IQ_TOTAL_DEBT_REPAID",IQ_LTM))</f>
        <v>-335</v>
      </c>
      <c r="O793" s="21">
        <f t="shared" si="209"/>
        <v>-0.55134491402694974</v>
      </c>
      <c r="P793" s="21">
        <f t="shared" si="210"/>
        <v>3.9886716998331257</v>
      </c>
      <c r="Q793" s="25" t="s">
        <v>45</v>
      </c>
      <c r="S793" s="45"/>
      <c r="U793" s="25"/>
      <c r="W793" s="45"/>
      <c r="Y793" s="25"/>
      <c r="AA793" s="45"/>
    </row>
    <row r="794" spans="1:27">
      <c r="B794" s="24"/>
      <c r="C794" s="25" t="s">
        <v>37</v>
      </c>
      <c r="E794" s="26">
        <f>((D793/D788)^(1/5))-1</f>
        <v>0.13579415352778268</v>
      </c>
      <c r="F794" s="27">
        <f>((F793/F788)^(1/5))-1</f>
        <v>0.23340762217112676</v>
      </c>
      <c r="G794" s="28"/>
      <c r="H794" s="27" t="e">
        <f>((H793/H788)^(1/5))-1</f>
        <v>#DIV/0!</v>
      </c>
      <c r="I794" s="27">
        <f>((I793/I788)^(1/5))-1</f>
        <v>-6.0086111033349487E-3</v>
      </c>
      <c r="J794" s="27"/>
      <c r="K794" s="27"/>
      <c r="L794" s="26">
        <f>((L793/L788)^(1/5))-1</f>
        <v>0.18566722894193322</v>
      </c>
      <c r="M794" s="26"/>
      <c r="N794" s="26"/>
      <c r="O794" s="26"/>
      <c r="P794" s="26">
        <f>((P793/P788)^(1/5))-1</f>
        <v>0.3446822728043033</v>
      </c>
      <c r="Q794" s="18"/>
      <c r="R794" s="36"/>
      <c r="S794" s="45"/>
      <c r="U794" s="18"/>
      <c r="V794" s="36"/>
      <c r="W794" s="45"/>
      <c r="Y794" s="18"/>
      <c r="Z794" s="36"/>
      <c r="AA794" s="45"/>
    </row>
    <row r="795" spans="1:27">
      <c r="A795" s="29"/>
      <c r="B795" s="30"/>
      <c r="C795" s="31" t="s">
        <v>38</v>
      </c>
      <c r="D795" s="29"/>
      <c r="E795" s="32">
        <f>((D793/D783)^(1/10))-1</f>
        <v>0.11055674880294086</v>
      </c>
      <c r="F795" s="33">
        <f>((F793/F783)^(1/10))-1</f>
        <v>0.201503450652609</v>
      </c>
      <c r="G795" s="34"/>
      <c r="H795" s="33" t="e">
        <f>((H793/H783)^(1/10))-1</f>
        <v>#DIV/0!</v>
      </c>
      <c r="I795" s="33">
        <f>((I793/I783)^(1/10))-1</f>
        <v>-6.0538615921129635E-3</v>
      </c>
      <c r="J795" s="33"/>
      <c r="K795" s="33"/>
      <c r="L795" s="32">
        <f>((L793/L783)^(1/10))-1</f>
        <v>0.15062290634582021</v>
      </c>
      <c r="M795" s="32"/>
      <c r="N795" s="32"/>
      <c r="O795" s="32"/>
      <c r="P795" s="32">
        <f>((P793/P783)^(1/10))-1</f>
        <v>0.2071363642506463</v>
      </c>
      <c r="Q795" s="40"/>
      <c r="R795" s="41"/>
      <c r="S795" s="46"/>
      <c r="U795" s="40"/>
      <c r="V795" s="41"/>
      <c r="W795" s="46"/>
      <c r="Y795" s="40"/>
      <c r="Z795" s="41"/>
      <c r="AA795" s="46"/>
    </row>
    <row r="796" spans="1:27">
      <c r="B796" s="24"/>
      <c r="C796" s="25"/>
      <c r="E796" s="26"/>
      <c r="F796" s="27"/>
      <c r="G796" s="28"/>
      <c r="H796" s="27"/>
      <c r="I796" s="27"/>
      <c r="J796" s="27"/>
      <c r="K796" s="27"/>
      <c r="L796" s="26"/>
      <c r="M796" s="17"/>
      <c r="N796" s="17"/>
      <c r="O796" s="17"/>
      <c r="P796" s="35"/>
      <c r="Q796" s="18"/>
      <c r="R796" s="36"/>
    </row>
    <row r="797" spans="1:27">
      <c r="A797" s="9" t="s">
        <v>0</v>
      </c>
      <c r="B797" s="10"/>
      <c r="C797" s="9" t="s">
        <v>1</v>
      </c>
      <c r="D797" s="9" t="s">
        <v>2</v>
      </c>
      <c r="E797" s="9" t="s">
        <v>3</v>
      </c>
      <c r="F797" s="11" t="s">
        <v>4</v>
      </c>
      <c r="G797" s="11" t="s">
        <v>5</v>
      </c>
      <c r="H797" s="9" t="s">
        <v>6</v>
      </c>
      <c r="I797" s="11" t="s">
        <v>7</v>
      </c>
      <c r="J797" s="11" t="s">
        <v>8</v>
      </c>
      <c r="K797" s="11" t="s">
        <v>9</v>
      </c>
      <c r="L797" s="11" t="s">
        <v>10</v>
      </c>
      <c r="M797" s="11" t="s">
        <v>11</v>
      </c>
      <c r="N797" s="11" t="s">
        <v>12</v>
      </c>
      <c r="O797" s="11" t="s">
        <v>13</v>
      </c>
      <c r="P797" s="11" t="s">
        <v>14</v>
      </c>
      <c r="Q797" s="37" t="s">
        <v>15</v>
      </c>
      <c r="R797" s="42">
        <f>_xll.ciqfunctions.udf.CIQ(A798,("IQ_LASTSALEPRICE"))</f>
        <v>236.63</v>
      </c>
      <c r="S797" s="44"/>
      <c r="U797" s="37" t="s">
        <v>15</v>
      </c>
      <c r="V797" s="42">
        <f>_xll.ciqfunctions.udf.CIQ(A798,("IQ_LASTSALEPRICE"))</f>
        <v>236.63</v>
      </c>
      <c r="W797" s="44"/>
      <c r="Y797" s="37" t="s">
        <v>15</v>
      </c>
      <c r="Z797" s="42">
        <f>_xll.ciqfunctions.udf.CIQ(A798,("IQ_LASTSALEPRICE"))</f>
        <v>236.63</v>
      </c>
      <c r="AA797" s="44"/>
    </row>
    <row r="798" spans="1:27">
      <c r="A798" s="12" t="str">
        <f>Analysis!B55</f>
        <v>NasdaqGS:WDAY</v>
      </c>
      <c r="B798" s="13">
        <v>1</v>
      </c>
      <c r="C798" s="14" t="s">
        <v>16</v>
      </c>
      <c r="D798" s="15">
        <f>IF(A806=A807,_xll.ciqfunctions.udf.CIQ(A798,"IQ_TOTAL_REV",IQ_FY-10)/I798,_xll.ciqfunctions.udf.CIQ(A798, "IQ_TOTAL_REV",IQ_FY-9)/I798)</f>
        <v>2.5485760869565217</v>
      </c>
      <c r="E798" s="16"/>
      <c r="F798" s="15">
        <f>IF(A806=A807,_xll.ciqfunctions.udf.CIQ(A798,"IQ_DILUT_EPS_EXCL",IQ_FY-10), _xll.ciqfunctions.udf.CIQ(A798, "IQ_DILUT_EPS_EXCL",IQ_FY-9))</f>
        <v>-1.00708</v>
      </c>
      <c r="G798" s="15">
        <f>IF(A806=A807,_xll.ciqfunctions.udf.CIQ(A798,"IQ_EBITDA_MARGIN",IQ_FY-10), _xll.ciqfunctions.udf.CIQ(A798, "IQ_EBITDA_MARGIN",IQ_FY-9))</f>
        <v>-25.288399999999999</v>
      </c>
      <c r="H798" s="15">
        <f>IF(A806=A807,_xll.ciqfunctions.udf.CIQ(A798,"IQ_TOTAL_DIV_PAID_CF",IQ_FY-10)/-I798, _xll.ciqfunctions.udf.CIQ(A798, "IQ_TOTAL_DIV_PAID_CF",IQ_FY-9)/-I798)</f>
        <v>0</v>
      </c>
      <c r="I798" s="17">
        <f>IF(A806=A807,_xll.ciqfunctions.udf.CIQ(A798,"IQ_TOTAL_OUTSTANDING_FILING_DATE",IQ_FY-10), _xll.ciqfunctions.udf.CIQ(A798, "IQ_TOTAL_OUTSTANDING_FILING_DATE",IQ_FY-9))</f>
        <v>184</v>
      </c>
      <c r="J798" s="17">
        <f>IF(A806=A807,_xll.ciqfunctions.udf.CIQ(A798,"IQ_CASH_OPER",IQ_FY-10), _xll.ciqfunctions.udf.CIQ(A798, "IQ_CASH_OPER",IQ_FY-9))</f>
        <v>46.262999999999998</v>
      </c>
      <c r="K798" s="17">
        <f>IF(A806=A807,_xll.ciqfunctions.udf.CIQ(A798,"IQ_CAPEX",IQ_FY-10), _xll.ciqfunctions.udf.CIQ(A798, "IQ_CAPEX",IQ_FY-9))</f>
        <v>-60.725000000000001</v>
      </c>
      <c r="L798" s="15">
        <f t="shared" ref="L798:L808" si="212">(J798+K798)/I798</f>
        <v>-7.8597826086956535E-2</v>
      </c>
      <c r="M798" s="17">
        <f>IF(A806=A807,_xll.ciqfunctions.udf.CIQ(A798,"IQ_TOTAL_DEBT_ISSUED",IQ_FY-10), _xll.ciqfunctions.udf.CIQ(A798, "IQ_TOTAL_DEBT_ISSUED",IQ_FY-9))</f>
        <v>584.29100000000005</v>
      </c>
      <c r="N798" s="17">
        <f>IF(A806=A807,_xll.ciqfunctions.udf.CIQ(A798,"IQ_TOTAL_DEBT_REPAID",IQ_FY-10), _xll.ciqfunctions.udf.CIQ(A798, "IQ_TOTAL_DEBT_REPAID",IQ_FY-9))</f>
        <v>-12.129</v>
      </c>
      <c r="O798" s="15">
        <f t="shared" ref="O798:O808" si="213">(M798+N798)/I798</f>
        <v>3.1095760869565221</v>
      </c>
      <c r="P798" s="15">
        <f t="shared" ref="P798:P808" si="214">L798+O798</f>
        <v>3.0309782608695657</v>
      </c>
      <c r="W798" s="43"/>
      <c r="AA798" s="43"/>
    </row>
    <row r="799" spans="1:27">
      <c r="A799" s="18" t="str">
        <f>_xll.ciqfunctions.udf.CIQ(A798,"IQ_COMPANY_NAME")</f>
        <v>Workday, Inc.</v>
      </c>
      <c r="B799" s="13">
        <v>2</v>
      </c>
      <c r="C799" s="14" t="s">
        <v>17</v>
      </c>
      <c r="D799" s="15">
        <f>IF(A806=A807,_xll.ciqfunctions.udf.CIQ(A798,"IQ_TOTAL_REV",IQ_FY-9)/I799, _xll.ciqfunctions.udf.CIQ(A798, "IQ_TOTAL_REV",IQ_FY-8)/I799)</f>
        <v>4.168571428571429</v>
      </c>
      <c r="E799" s="16">
        <f t="shared" ref="E799:E808" si="215">(D799-D798)/D798</f>
        <v>0.63564723451105043</v>
      </c>
      <c r="F799" s="15">
        <f>IF(A806=A807,_xll.ciqfunctions.udf.CIQ(A798,"IQ_DILUT_EPS_EXCL",IQ_FY-9), _xll.ciqfunctions.udf.CIQ(A798, "IQ_DILUT_EPS_EXCL",IQ_FY-8))</f>
        <v>-1.3499099999999999</v>
      </c>
      <c r="G799" s="15">
        <f>IF(A806=A807,_xll.ciqfunctions.udf.CIQ(A798,"IQ_EBITDA_MARGIN",IQ_FY-9), _xll.ciqfunctions.udf.CIQ(A798, "IQ_EBITDA_MARGIN",IQ_FY-8))</f>
        <v>-19.990400000000001</v>
      </c>
      <c r="H799" s="15">
        <f>IF(A806=A807,_xll.ciqfunctions.udf.CIQ(A798,"IQ_TOTAL_DIV_PAID_CF",IQ_FY-9)/-I799, _xll.ciqfunctions.udf.CIQ(A798, "IQ_TOTAL_DIV_PAID_CF",IQ_FY-8)/-I799)</f>
        <v>0</v>
      </c>
      <c r="I799" s="17">
        <f>IF(A806=A807,_xll.ciqfunctions.udf.CIQ(A798,"IQ_TOTAL_OUTSTANDING_FILING_DATE",IQ_FY-9), _xll.ciqfunctions.udf.CIQ(A798, "IQ_TOTAL_OUTSTANDING_FILING_DATE",IQ_FY-8))</f>
        <v>189</v>
      </c>
      <c r="J799" s="17">
        <f>IF(A806=A807,_xll.ciqfunctions.udf.CIQ(A798,"IQ_CASH_OPER",IQ_FY-9), _xll.ciqfunctions.udf.CIQ(A798, "IQ_CASH_OPER",IQ_FY-8))</f>
        <v>102.003</v>
      </c>
      <c r="K799" s="17">
        <f>IF(A806=A807,_xll.ciqfunctions.udf.CIQ(A798,"IQ_CAPEX",IQ_FY-9), _xll.ciqfunctions.udf.CIQ(A798, "IQ_CAPEX",IQ_FY-8))</f>
        <v>-103.646</v>
      </c>
      <c r="L799" s="15">
        <f t="shared" si="212"/>
        <v>-8.693121693121697E-3</v>
      </c>
      <c r="M799" s="17">
        <f>IF(A806=A807,_xll.ciqfunctions.udf.CIQ(A798,"IQ_TOTAL_DEBT_ISSUED",IQ_FY-9), _xll.ciqfunctions.udf.CIQ(A798, "IQ_TOTAL_DEBT_ISSUED",IQ_FY-8))</f>
        <v>0</v>
      </c>
      <c r="N799" s="17">
        <f>IF(A806=A807,_xll.ciqfunctions.udf.CIQ(A798,"IQ_TOTAL_DEBT_REPAID",IQ_FY-9), _xll.ciqfunctions.udf.CIQ(A798, "IQ_TOTAL_DEBT_REPAID",IQ_FY-8))</f>
        <v>-9.7590000000000003</v>
      </c>
      <c r="O799" s="15">
        <f t="shared" si="213"/>
        <v>-5.1634920634920638E-2</v>
      </c>
      <c r="P799" s="15">
        <f t="shared" si="214"/>
        <v>-6.0328042328042335E-2</v>
      </c>
      <c r="Q799" s="25" t="s">
        <v>18</v>
      </c>
      <c r="R799" s="39" t="s">
        <v>19</v>
      </c>
      <c r="S799" s="1">
        <f>R797/((AVERAGE(P803:P808))*(1+E809)^3)</f>
        <v>36.747690896656614</v>
      </c>
      <c r="U799" s="25" t="s">
        <v>48</v>
      </c>
      <c r="V799" s="39" t="s">
        <v>19</v>
      </c>
      <c r="W799" s="1">
        <f>V797/((AVERAGE(P803:P808))*(1+E809)^3)</f>
        <v>36.747690896656614</v>
      </c>
      <c r="Y799" s="25" t="s">
        <v>39</v>
      </c>
      <c r="Z799" s="39" t="s">
        <v>19</v>
      </c>
      <c r="AA799" s="1">
        <f>Z797/((AVERAGE(P803:P808))*(1+E809)^3)</f>
        <v>36.747690896656614</v>
      </c>
    </row>
    <row r="800" spans="1:27">
      <c r="B800" s="13">
        <v>3</v>
      </c>
      <c r="C800" s="14" t="s">
        <v>20</v>
      </c>
      <c r="D800" s="15" cm="1">
        <f t="array" ref="D800">_xlfn.SINGLE(IF(A806=A807,_xll.ciqfunctions.udf.CIQ(A798,"IQ_TOTAL_REV",IQ_FY-8)/I800, _xll.ciqfunctions.udf.CIQ(A798, "IQ_TOTAL_REV",IQ_FY-7)/I800))</f>
        <v>5.93174358974359</v>
      </c>
      <c r="E800" s="16">
        <f t="shared" si="215"/>
        <v>0.42296796189873631</v>
      </c>
      <c r="F800" s="15">
        <f>IF(A806=A807,_xll.ciqfunctions.udf.CIQ(A798,"IQ_DILUT_EPS_EXCL",IQ_FY-8), _xll.ciqfunctions.udf.CIQ(A798, "IQ_DILUT_EPS_EXCL",IQ_FY-7))</f>
        <v>-1.4475</v>
      </c>
      <c r="G800" s="15">
        <f>IF(A806=A807,_xll.ciqfunctions.udf.CIQ(A798,"IQ_EBITDA_MARGIN",IQ_FY-8), _xll.ciqfunctions.udf.CIQ(A798, "IQ_EBITDA_MARGIN",IQ_FY-7))</f>
        <v>-14.4247</v>
      </c>
      <c r="H800" s="15">
        <f>IF(A806=A807,_xll.ciqfunctions.udf.CIQ(A798,"IQ_TOTAL_DIV_PAID_CF",IQ_FY-8)/-I800, _xll.ciqfunctions.udf.CIQ(A798, "IQ_TOTAL_DIV_PAID_CF",IQ_FY-7)/-I800)</f>
        <v>0</v>
      </c>
      <c r="I800" s="17">
        <f>IF(A806=A807,_xll.ciqfunctions.udf.CIQ(A798,"IQ_TOTAL_OUTSTANDING_FILING_DATE",IQ_FY-8), _xll.ciqfunctions.udf.CIQ(A798, "IQ_TOTAL_OUTSTANDING_FILING_DATE",IQ_FY-7))</f>
        <v>195</v>
      </c>
      <c r="J800" s="17">
        <f>IF(A806=A807,_xll.ciqfunctions.udf.CIQ(A798,"IQ_CASH_OPER",IQ_FY-8), _xll.ciqfunctions.udf.CIQ(A798, "IQ_CASH_OPER",IQ_FY-7))</f>
        <v>258.637</v>
      </c>
      <c r="K800" s="17">
        <f>IF(A806=A807,_xll.ciqfunctions.udf.CIQ(A798,"IQ_CAPEX",IQ_FY-8), _xll.ciqfunctions.udf.CIQ(A798, "IQ_CAPEX",IQ_FY-7))</f>
        <v>-133.667</v>
      </c>
      <c r="L800" s="15">
        <f t="shared" si="212"/>
        <v>0.64087179487179491</v>
      </c>
      <c r="M800" s="17">
        <f>IF(A806=A807,_xll.ciqfunctions.udf.CIQ(A798,"IQ_TOTAL_DEBT_ISSUED",IQ_FY-8), _xll.ciqfunctions.udf.CIQ(A798, "IQ_TOTAL_DEBT_ISSUED",IQ_FY-7))</f>
        <v>0</v>
      </c>
      <c r="N800" s="17">
        <f>IF(A806=A807,_xll.ciqfunctions.udf.CIQ(A798,"IQ_TOTAL_DEBT_REPAID",IQ_FY-8), _xll.ciqfunctions.udf.CIQ(A798, "IQ_TOTAL_DEBT_REPAID",IQ_FY-7))</f>
        <v>0</v>
      </c>
      <c r="O800" s="15">
        <f t="shared" si="213"/>
        <v>0</v>
      </c>
      <c r="P800" s="15">
        <f t="shared" si="214"/>
        <v>0.64087179487179491</v>
      </c>
      <c r="Q800" s="25" t="s">
        <v>21</v>
      </c>
      <c r="R800" s="38" t="s">
        <v>49</v>
      </c>
      <c r="S800" s="2">
        <f>(R797*I808)/1000</f>
        <v>61.997059999999998</v>
      </c>
      <c r="U800" s="25" t="s">
        <v>59</v>
      </c>
      <c r="V800" s="38" t="s">
        <v>49</v>
      </c>
      <c r="W800" s="2">
        <f>(V797*I808)/1000</f>
        <v>61.997059999999998</v>
      </c>
      <c r="Y800" s="25" t="s">
        <v>46</v>
      </c>
      <c r="Z800" s="38" t="s">
        <v>49</v>
      </c>
      <c r="AA800" s="2">
        <f>(Z797*I808)/1000</f>
        <v>61.997059999999998</v>
      </c>
    </row>
    <row r="801" spans="1:27">
      <c r="A801" s="18"/>
      <c r="B801" s="13">
        <v>4</v>
      </c>
      <c r="C801" s="14" t="s">
        <v>22</v>
      </c>
      <c r="D801" s="15" cm="1">
        <f t="array" ref="D801">_xlfn.SINGLE(IF(A806=A807,_xll.ciqfunctions.udf.CIQ(A798,"IQ_TOTAL_REV",IQ_FY-7)/I801, _xll.ciqfunctions.udf.CIQ(A798, "IQ_TOTAL_REV",IQ_FY-6)/I801))</f>
        <v>7.7558620689655173</v>
      </c>
      <c r="E801" s="16">
        <f t="shared" si="215"/>
        <v>0.30751809339431985</v>
      </c>
      <c r="F801" s="15">
        <f>IF(A806=A807,_xll.ciqfunctions.udf.CIQ(A798,"IQ_DILUT_EPS_EXCL",IQ_FY-7), _xll.ciqfunctions.udf.CIQ(A798, "IQ_DILUT_EPS_EXCL",IQ_FY-6))</f>
        <v>-1.9408300000000001</v>
      </c>
      <c r="G801" s="15">
        <f>IF(A806=A807,_xll.ciqfunctions.udf.CIQ(A798,"IQ_EBITDA_MARGIN",IQ_FY-7), _xll.ciqfunctions.udf.CIQ(A798, "IQ_EBITDA_MARGIN",IQ_FY-6))</f>
        <v>-15.704599999999999</v>
      </c>
      <c r="H801" s="15">
        <f>IF(A806=A807,_xll.ciqfunctions.udf.CIQ(A798,"IQ_TOTAL_DIV_PAID_CF",IQ_FY-7)/-I801, _xll.ciqfunctions.udf.CIQ(A798, "IQ_TOTAL_DIV_PAID_CF",IQ_FY-6)/-I801)</f>
        <v>0</v>
      </c>
      <c r="I801" s="17">
        <f>IF(A806=A807,_xll.ciqfunctions.udf.CIQ(A798,"IQ_TOTAL_OUTSTANDING_FILING_DATE",IQ_FY-7), _xll.ciqfunctions.udf.CIQ(A798, "IQ_TOTAL_OUTSTANDING_FILING_DATE",IQ_FY-6))</f>
        <v>203</v>
      </c>
      <c r="J801" s="17">
        <f>IF(A806=A807,_xll.ciqfunctions.udf.CIQ(A798,"IQ_CASH_OPER",IQ_FY-7), _xll.ciqfunctions.udf.CIQ(A798, "IQ_CASH_OPER",IQ_FY-6))</f>
        <v>350.62599999999998</v>
      </c>
      <c r="K801" s="17">
        <f>IF(A806=A807,_xll.ciqfunctions.udf.CIQ(A798,"IQ_CAPEX",IQ_FY-7), _xll.ciqfunctions.udf.CIQ(A798, "IQ_CAPEX",IQ_FY-6))</f>
        <v>-120.813</v>
      </c>
      <c r="L801" s="15">
        <f t="shared" si="212"/>
        <v>1.1320837438423645</v>
      </c>
      <c r="M801" s="17">
        <f>IF(A806=A807,_xll.ciqfunctions.udf.CIQ(A798,"IQ_TOTAL_DEBT_ISSUED",IQ_FY-7), _xll.ciqfunctions.udf.CIQ(A798, "IQ_TOTAL_DEBT_ISSUED",IQ_FY-6))</f>
        <v>0</v>
      </c>
      <c r="N801" s="17">
        <f>IF(A806=A807,_xll.ciqfunctions.udf.CIQ(A798,"IQ_TOTAL_DEBT_REPAID",IQ_FY-7), _xll.ciqfunctions.udf.CIQ(A798, "IQ_TOTAL_DEBT_REPAID",IQ_FY-6))</f>
        <v>0</v>
      </c>
      <c r="O801" s="15">
        <f t="shared" si="213"/>
        <v>0</v>
      </c>
      <c r="P801" s="15">
        <f t="shared" si="214"/>
        <v>1.1320837438423645</v>
      </c>
      <c r="Q801" s="25" t="s">
        <v>23</v>
      </c>
      <c r="R801" s="38" t="s">
        <v>24</v>
      </c>
      <c r="S801" s="1" t="e">
        <f>R797/(AVERAGE(H803:H808)*(1+H809)/(0.5-H809))</f>
        <v>#DIV/0!</v>
      </c>
      <c r="U801" s="25" t="s">
        <v>40</v>
      </c>
      <c r="V801" s="38" t="s">
        <v>24</v>
      </c>
      <c r="W801" s="1" t="e">
        <f>V797/(AVERAGE(H803:H808)*(1+H809)/(0.5-H809))</f>
        <v>#DIV/0!</v>
      </c>
      <c r="Y801" s="25" t="s">
        <v>47</v>
      </c>
      <c r="Z801" s="38" t="s">
        <v>24</v>
      </c>
      <c r="AA801" s="1" t="e">
        <f>Z797/(AVERAGE(H803:H808)*(1+H809)/(0.5-H809))</f>
        <v>#DIV/0!</v>
      </c>
    </row>
    <row r="802" spans="1:27">
      <c r="B802" s="13">
        <v>5</v>
      </c>
      <c r="C802" s="14" t="s">
        <v>25</v>
      </c>
      <c r="D802" s="15" cm="1">
        <f t="array" ref="D802">_xlfn.SINGLE(IF(A806=A807,_xll.ciqfunctions.udf.CIQ(A798,"IQ_TOTAL_REV",IQ_FY-6)/I802, _xll.ciqfunctions.udf.CIQ(A798, "IQ_TOTAL_REV",IQ_FY-5)/I802))</f>
        <v>10.10872641509434</v>
      </c>
      <c r="E802" s="16">
        <f t="shared" si="215"/>
        <v>0.30336593472228285</v>
      </c>
      <c r="F802" s="15">
        <f>IF(A806=A807,_xll.ciqfunctions.udf.CIQ(A798,"IQ_DILUT_EPS_EXCL",IQ_FY-6), _xll.ciqfunctions.udf.CIQ(A798, "IQ_DILUT_EPS_EXCL",IQ_FY-5))</f>
        <v>-1.5460199999999999</v>
      </c>
      <c r="G802" s="15">
        <f>IF(A806=A807,_xll.ciqfunctions.udf.CIQ(A798,"IQ_EBITDA_MARGIN",IQ_FY-6), _xll.ciqfunctions.udf.CIQ(A798, "IQ_EBITDA_MARGIN",IQ_FY-5))</f>
        <v>-7.8159000000000001</v>
      </c>
      <c r="H802" s="15">
        <f>IF(A806=A807,_xll.ciqfunctions.udf.CIQ(A798,"IQ_TOTAL_DIV_PAID_CF",IQ_FY-6)/-I802, _xll.ciqfunctions.udf.CIQ(A798, "IQ_TOTAL_DIV_PAID_CF",IQ_FY-5)/-I802)</f>
        <v>0</v>
      </c>
      <c r="I802" s="17">
        <f>IF(A806=A807,_xll.ciqfunctions.udf.CIQ(A798,"IQ_TOTAL_OUTSTANDING_FILING_DATE",IQ_FY-6), _xll.ciqfunctions.udf.CIQ(A798, "IQ_TOTAL_OUTSTANDING_FILING_DATE",IQ_FY-5))</f>
        <v>212</v>
      </c>
      <c r="J802" s="17">
        <f>IF(A806=A807,_xll.ciqfunctions.udf.CIQ(A798,"IQ_CASH_OPER",IQ_FY-6), _xll.ciqfunctions.udf.CIQ(A798, "IQ_CASH_OPER",IQ_FY-5))</f>
        <v>465.72699999999998</v>
      </c>
      <c r="K802" s="17">
        <f>IF(A806=A807,_xll.ciqfunctions.udf.CIQ(A798,"IQ_CAPEX",IQ_FY-6), _xll.ciqfunctions.udf.CIQ(A798, "IQ_CAPEX",IQ_FY-5))</f>
        <v>-141.536</v>
      </c>
      <c r="L802" s="15">
        <f t="shared" si="212"/>
        <v>1.5292028301886791</v>
      </c>
      <c r="M802" s="17">
        <f>IF(A806=A807,_xll.ciqfunctions.udf.CIQ(A798,"IQ_TOTAL_DEBT_ISSUED",IQ_FY-6), _xll.ciqfunctions.udf.CIQ(A798, "IQ_TOTAL_DEBT_ISSUED",IQ_FY-5))</f>
        <v>1132.1010000000001</v>
      </c>
      <c r="N802" s="17">
        <f>IF(A806=A807,_xll.ciqfunctions.udf.CIQ(A798,"IQ_TOTAL_DEBT_REPAID",IQ_FY-6), _xll.ciqfunctions.udf.CIQ(A798, "IQ_TOTAL_DEBT_REPAID",IQ_FY-5))</f>
        <v>0</v>
      </c>
      <c r="O802" s="15">
        <f t="shared" si="213"/>
        <v>5.3400990566037745</v>
      </c>
      <c r="P802" s="15">
        <f t="shared" si="214"/>
        <v>6.8693018867924538</v>
      </c>
      <c r="Q802" s="18"/>
      <c r="R802" s="38" t="s">
        <v>50</v>
      </c>
      <c r="S802" s="3">
        <f>I809</f>
        <v>3.3688449278966637E-2</v>
      </c>
      <c r="U802" s="18"/>
      <c r="V802" s="38" t="s">
        <v>50</v>
      </c>
      <c r="W802" s="3">
        <f>I809</f>
        <v>3.3688449278966637E-2</v>
      </c>
      <c r="Y802" s="18"/>
      <c r="Z802" s="38" t="s">
        <v>50</v>
      </c>
      <c r="AA802" s="3">
        <f>I809</f>
        <v>3.3688449278966637E-2</v>
      </c>
    </row>
    <row r="803" spans="1:27">
      <c r="B803" s="13">
        <v>6</v>
      </c>
      <c r="C803" s="14" t="s">
        <v>26</v>
      </c>
      <c r="D803" s="15" cm="1">
        <f t="array" ref="D803">_xlfn.SINGLE(IF(A806=A807,_xll.ciqfunctions.udf.CIQ(A798,"IQ_TOTAL_REV",IQ_FY-5)/I803, _xll.ciqfunctions.udf.CIQ(A798, "IQ_TOTAL_REV",IQ_FY-4)/I803))</f>
        <v>12.712522522522521</v>
      </c>
      <c r="E803" s="16">
        <f t="shared" si="215"/>
        <v>0.25757904611407778</v>
      </c>
      <c r="F803" s="15">
        <f>IF(A806=A807,_xll.ciqfunctions.udf.CIQ(A798,"IQ_DILUT_EPS_EXCL",IQ_FY-5), _xll.ciqfunctions.udf.CIQ(A798, "IQ_DILUT_EPS_EXCL",IQ_FY-4))</f>
        <v>-1.92933</v>
      </c>
      <c r="G803" s="15">
        <f>IF(A806=A807,_xll.ciqfunctions.udf.CIQ(A798,"IQ_EBITDA_MARGIN",IQ_FY-5), _xll.ciqfunctions.udf.CIQ(A798, "IQ_EBITDA_MARGIN",IQ_FY-4))</f>
        <v>-8.5100999999999996</v>
      </c>
      <c r="H803" s="15">
        <f>IF(A806=A807,_xll.ciqfunctions.udf.CIQ(A798,"IQ_TOTAL_DIV_PAID_CF",IQ_FY-5)/-I803, _xll.ciqfunctions.udf.CIQ(A798, "IQ_TOTAL_DIV_PAID_CF",IQ_FY-4)/-I803)</f>
        <v>0</v>
      </c>
      <c r="I803" s="17">
        <f>IF(A806=A807,_xll.ciqfunctions.udf.CIQ(A798,"IQ_TOTAL_OUTSTANDING_FILING_DATE",IQ_FY-5), _xll.ciqfunctions.udf.CIQ(A798, "IQ_TOTAL_OUTSTANDING_FILING_DATE",IQ_FY-4))</f>
        <v>222</v>
      </c>
      <c r="J803" s="17">
        <f>IF(A806=A807,_xll.ciqfunctions.udf.CIQ(A798,"IQ_CASH_OPER",IQ_FY-5), _xll.ciqfunctions.udf.CIQ(A798, "IQ_CASH_OPER",IQ_FY-4))</f>
        <v>606.65800000000002</v>
      </c>
      <c r="K803" s="17">
        <f>IF(A806=A807,_xll.ciqfunctions.udf.CIQ(A798,"IQ_CAPEX",IQ_FY-5), _xll.ciqfunctions.udf.CIQ(A798, "IQ_CAPEX",IQ_FY-4))</f>
        <v>-202.50700000000001</v>
      </c>
      <c r="L803" s="15">
        <f t="shared" si="212"/>
        <v>1.8205</v>
      </c>
      <c r="M803" s="17">
        <f>IF(A806=A807,_xll.ciqfunctions.udf.CIQ(A798,"IQ_TOTAL_DEBT_ISSUED",IQ_FY-5), _xll.ciqfunctions.udf.CIQ(A798, "IQ_TOTAL_DEBT_ISSUED",IQ_FY-4))</f>
        <v>0</v>
      </c>
      <c r="N803" s="17">
        <f>IF(A806=A807,_xll.ciqfunctions.udf.CIQ(A798,"IQ_TOTAL_DEBT_REPAID",IQ_FY-5), _xll.ciqfunctions.udf.CIQ(A798, "IQ_TOTAL_DEBT_REPAID",IQ_FY-4))</f>
        <v>-350.03</v>
      </c>
      <c r="O803" s="15">
        <f t="shared" si="213"/>
        <v>-1.5767117117117115</v>
      </c>
      <c r="P803" s="15">
        <f t="shared" si="214"/>
        <v>0.24378828828828847</v>
      </c>
      <c r="Q803" s="25" t="s">
        <v>27</v>
      </c>
      <c r="R803" s="38" t="s">
        <v>51</v>
      </c>
      <c r="S803" s="4">
        <f>AVERAGE(F803:F808)/AVERAGE(D803:D808)</f>
        <v>-6.0558008797203099E-2</v>
      </c>
      <c r="U803" s="25" t="s">
        <v>58</v>
      </c>
      <c r="V803" s="38" t="s">
        <v>51</v>
      </c>
      <c r="W803" s="4">
        <f>AVERAGE(F803:F808)/AVERAGE(D803:D808)</f>
        <v>-6.0558008797203099E-2</v>
      </c>
      <c r="Y803" s="25" t="s">
        <v>56</v>
      </c>
      <c r="Z803" s="38" t="s">
        <v>51</v>
      </c>
      <c r="AA803" s="4">
        <f>AVERAGE(F803:F808)/AVERAGE(D803:D808)</f>
        <v>-6.0558008797203099E-2</v>
      </c>
    </row>
    <row r="804" spans="1:27">
      <c r="A804" s="18"/>
      <c r="B804" s="13">
        <v>7</v>
      </c>
      <c r="C804" s="14" t="s">
        <v>28</v>
      </c>
      <c r="D804" s="15" cm="1">
        <f t="array" ref="D804">_xlfn.SINGLE(IF(A806=A807,_xll.ciqfunctions.udf.CIQ(A798,"IQ_TOTAL_REV",IQ_FY-4)/I804, _xll.ciqfunctions.udf.CIQ(A798, "IQ_TOTAL_REV",IQ_FY-3)/I804))</f>
        <v>15.634508620689656</v>
      </c>
      <c r="E804" s="16">
        <f t="shared" si="215"/>
        <v>0.22985100659529303</v>
      </c>
      <c r="F804" s="15">
        <f>IF(A806=A807,_xll.ciqfunctions.udf.CIQ(A798,"IQ_DILUT_EPS_EXCL",IQ_FY-4), _xll.ciqfunctions.udf.CIQ(A798, "IQ_DILUT_EPS_EXCL",IQ_FY-3))</f>
        <v>-2.12</v>
      </c>
      <c r="G804" s="15">
        <f>IF(A806=A807,_xll.ciqfunctions.udf.CIQ(A798,"IQ_EBITDA_MARGIN",IQ_FY-4), _xll.ciqfunctions.udf.CIQ(A798, "IQ_EBITDA_MARGIN",IQ_FY-3))</f>
        <v>-6.2293000000000003</v>
      </c>
      <c r="H804" s="15">
        <f>IF(A806=A807,_xll.ciqfunctions.udf.CIQ(A798,"IQ_TOTAL_DIV_PAID_CF",IQ_FY-4)/-I804, _xll.ciqfunctions.udf.CIQ(A798, "IQ_TOTAL_DIV_PAID_CF",IQ_FY-3)/-I804)</f>
        <v>0</v>
      </c>
      <c r="I804" s="17">
        <f>IF(A806=A807,_xll.ciqfunctions.udf.CIQ(A798,"IQ_TOTAL_OUTSTANDING_FILING_DATE",IQ_FY-4), _xll.ciqfunctions.udf.CIQ(A798, "IQ_TOTAL_OUTSTANDING_FILING_DATE",IQ_FY-3))</f>
        <v>232</v>
      </c>
      <c r="J804" s="17">
        <f>IF(A806=A807,_xll.ciqfunctions.udf.CIQ(A798,"IQ_CASH_OPER",IQ_FY-4), _xll.ciqfunctions.udf.CIQ(A798, "IQ_CASH_OPER",IQ_FY-3))</f>
        <v>864.59799999999996</v>
      </c>
      <c r="K804" s="17">
        <f>IF(A806=A807,_xll.ciqfunctions.udf.CIQ(A798,"IQ_CAPEX",IQ_FY-4), _xll.ciqfunctions.udf.CIQ(A798, "IQ_CAPEX",IQ_FY-3))</f>
        <v>-243.69399999999999</v>
      </c>
      <c r="L804" s="15">
        <f t="shared" si="212"/>
        <v>2.676310344827586</v>
      </c>
      <c r="M804" s="17">
        <f>IF(A806=A807,_xll.ciqfunctions.udf.CIQ(A798,"IQ_TOTAL_DEBT_ISSUED",IQ_FY-4), _xll.ciqfunctions.udf.CIQ(A798, "IQ_TOTAL_DEBT_ISSUED",IQ_FY-3))</f>
        <v>0</v>
      </c>
      <c r="N804" s="17">
        <f>IF(A806=A807,_xll.ciqfunctions.udf.CIQ(A798,"IQ_TOTAL_DEBT_REPAID",IQ_FY-4), _xll.ciqfunctions.udf.CIQ(A798, "IQ_TOTAL_DEBT_REPAID",IQ_FY-3))</f>
        <v>-0.03</v>
      </c>
      <c r="O804" s="15">
        <f t="shared" si="213"/>
        <v>-1.2931034482758621E-4</v>
      </c>
      <c r="P804" s="15">
        <f t="shared" si="214"/>
        <v>2.6761810344827586</v>
      </c>
      <c r="Q804" s="18"/>
      <c r="R804" s="38" t="s">
        <v>29</v>
      </c>
      <c r="S804" s="4">
        <f>(AVERAGE(P803:P808)/_xlfn.STDEV.P(P803:P808))/(IF(A806=A807,(_xlfn.SINGLE(_xll.ciqfunctions.udf.CIQ(A798,"IQ_total_assets",IQ_FY)) - _xlfn.SINGLE(_xll.ciqfunctions.udf.CIQ(A798,"iq_gw_intan", IQ_FY)))/I808, (_xlfn.SINGLE(_xll.ciqfunctions.udf.CIQ(A798, "IQ_total_assets",IQ_LTM))-_xlfn.SINGLE(_xll.ciqfunctions.udf.CIQ(A798,"iq_gw_intan",IQ_LTM)))/I808))</f>
        <v>3.382563618005037E-2</v>
      </c>
      <c r="U804" s="18"/>
      <c r="V804" s="38" t="s">
        <v>29</v>
      </c>
      <c r="W804" s="4">
        <f>(AVERAGE(P803:P808)/_xlfn.STDEV.P(P803:P808))/(IF(A806=A807,(_xlfn.SINGLE(_xll.ciqfunctions.udf.CIQ(A798,"IQ_total_assets",IQ_FY)) - _xlfn.SINGLE(_xll.ciqfunctions.udf.CIQ(A798,"iq_gw_intan", IQ_FY)))/I808, (_xlfn.SINGLE(_xll.ciqfunctions.udf.CIQ(A798, "IQ_total_assets",IQ_LTM))-_xlfn.SINGLE(_xll.ciqfunctions.udf.CIQ(A798,"iq_gw_intan",IQ_LTM)))/I808))</f>
        <v>3.382563618005037E-2</v>
      </c>
      <c r="Y804" s="18"/>
      <c r="Z804" s="38" t="s">
        <v>29</v>
      </c>
      <c r="AA804" s="4">
        <f>(AVERAGE(P803:P808)/_xlfn.STDEV.P(P803:P808))/(IF(A806=A807,(_xlfn.SINGLE(_xll.ciqfunctions.udf.CIQ(A798,"IQ_total_assets",IQ_FY)) - _xlfn.SINGLE(_xll.ciqfunctions.udf.CIQ(A798,"iq_gw_intan", IQ_FY)))/I808, (_xlfn.SINGLE(_xll.ciqfunctions.udf.CIQ(A798, "IQ_total_assets",IQ_LTM))-_xlfn.SINGLE(_xll.ciqfunctions.udf.CIQ(A798,"iq_gw_intan",IQ_LTM)))/I808))</f>
        <v>3.382563618005037E-2</v>
      </c>
    </row>
    <row r="805" spans="1:27">
      <c r="A805" s="18"/>
      <c r="B805" s="13">
        <v>8</v>
      </c>
      <c r="C805" s="14" t="s">
        <v>30</v>
      </c>
      <c r="D805" s="15" cm="1">
        <f t="array" ref="D805">_xlfn.SINGLE(IF(A806=A807,_xll.ciqfunctions.udf.CIQ(A798,"IQ_TOTAL_REV",IQ_FY-3)/I805, _xll.ciqfunctions.udf.CIQ(A798, "IQ_TOTAL_REV",IQ_FY-2)/I805))</f>
        <v>17.769530864197531</v>
      </c>
      <c r="E805" s="16">
        <f t="shared" si="215"/>
        <v>0.13655832078294611</v>
      </c>
      <c r="F805" s="15">
        <f>IF(A806=A807,_xll.ciqfunctions.udf.CIQ(A798,"IQ_DILUT_EPS_EXCL",IQ_FY-3), _xll.ciqfunctions.udf.CIQ(A798, "IQ_DILUT_EPS_EXCL",IQ_FY-2))</f>
        <v>-1.1916</v>
      </c>
      <c r="G805" s="15">
        <f>IF(A806=A807,_xll.ciqfunctions.udf.CIQ(A798,"IQ_EBITDA_MARGIN",IQ_FY-3), _xll.ciqfunctions.udf.CIQ(A798, "IQ_EBITDA_MARGIN",IQ_FY-2))</f>
        <v>1.0434000000000001</v>
      </c>
      <c r="H805" s="15">
        <f>IF(A806=A807,_xll.ciqfunctions.udf.CIQ(A798,"IQ_TOTAL_DIV_PAID_CF",IQ_FY-3)/-I805, _xll.ciqfunctions.udf.CIQ(A798, "IQ_TOTAL_DIV_PAID_CF",IQ_FY-2)/-I805)</f>
        <v>0</v>
      </c>
      <c r="I805" s="17">
        <f>IF(A806=A807,_xll.ciqfunctions.udf.CIQ(A798,"IQ_TOTAL_OUTSTANDING_FILING_DATE",IQ_FY-3), _xll.ciqfunctions.udf.CIQ(A798, "IQ_TOTAL_OUTSTANDING_FILING_DATE",IQ_FY-2))</f>
        <v>243</v>
      </c>
      <c r="J805" s="17">
        <f>IF(A806=A807,_xll.ciqfunctions.udf.CIQ(A798,"IQ_CASH_OPER",IQ_FY-3), _xll.ciqfunctions.udf.CIQ(A798, "IQ_CASH_OPER",IQ_FY-2))</f>
        <v>1268.441</v>
      </c>
      <c r="K805" s="17">
        <f>IF(A806=A807,_xll.ciqfunctions.udf.CIQ(A798,"IQ_CAPEX",IQ_FY-3), _xll.ciqfunctions.udf.CIQ(A798, "IQ_CAPEX",IQ_FY-2))</f>
        <v>-253.38</v>
      </c>
      <c r="L805" s="15">
        <f t="shared" si="212"/>
        <v>4.1772057613168725</v>
      </c>
      <c r="M805" s="17">
        <f>IF(A806=A807,_xll.ciqfunctions.udf.CIQ(A798,"IQ_TOTAL_DEBT_ISSUED",IQ_FY-3), _xll.ciqfunctions.udf.CIQ(A798, "IQ_TOTAL_DEBT_ISSUED",IQ_FY-2))</f>
        <v>747.79499999999996</v>
      </c>
      <c r="N805" s="17">
        <f>IF(A806=A807,_xll.ciqfunctions.udf.CIQ(A798,"IQ_TOTAL_DEBT_REPAID",IQ_FY-3), _xll.ciqfunctions.udf.CIQ(A798, "IQ_TOTAL_DEBT_REPAID",IQ_FY-2))</f>
        <v>-268.762</v>
      </c>
      <c r="O805" s="15">
        <f t="shared" si="213"/>
        <v>1.9713292181069957</v>
      </c>
      <c r="P805" s="15">
        <f t="shared" si="214"/>
        <v>6.148534979423868</v>
      </c>
      <c r="Q805" s="18"/>
      <c r="R805" s="39" t="s">
        <v>31</v>
      </c>
      <c r="S805" s="5">
        <f>IF(NOT(D798&gt;0),FALSE,SLOPE(G798:G808,B798:B808))</f>
        <v>2.9446781818181815</v>
      </c>
      <c r="U805" s="18"/>
      <c r="V805" s="39" t="s">
        <v>31</v>
      </c>
      <c r="W805" s="5">
        <f>IF(NOT(D798&gt;0),FALSE,SLOPE(G798:G808,B798:B808))</f>
        <v>2.9446781818181815</v>
      </c>
      <c r="Y805" s="18"/>
      <c r="Z805" s="39" t="s">
        <v>31</v>
      </c>
      <c r="AA805" s="5" t="b">
        <f>IF(NOT(L798&gt;0),FALSE,SLOPE(O798:O808,J798:J808))</f>
        <v>0</v>
      </c>
    </row>
    <row r="806" spans="1:27">
      <c r="A806" s="19">
        <f>_xll.ciqfunctions.udf.CIQ(A798,"IQ_TOTAL_REV",IQ_FY)</f>
        <v>6215.8180000000002</v>
      </c>
      <c r="B806" s="13">
        <v>9</v>
      </c>
      <c r="C806" s="14" t="s">
        <v>32</v>
      </c>
      <c r="D806" s="15" cm="1">
        <f t="array" ref="D806">_xlfn.SINGLE(IF(A806=A807,_xll.ciqfunctions.udf.CIQ(A798,"IQ_TOTAL_REV",IQ_FY-2)/I806, _xll.ciqfunctions.udf.CIQ(A798, "IQ_TOTAL_REV",IQ_FY-1)/I806))</f>
        <v>20.473298804780875</v>
      </c>
      <c r="E806" s="16">
        <f t="shared" si="215"/>
        <v>0.15215753084573319</v>
      </c>
      <c r="F806" s="15">
        <f>IF(A806=A807,_xll.ciqfunctions.udf.CIQ(A798,"IQ_DILUT_EPS_EXCL",IQ_FY-2), _xll.ciqfunctions.udf.CIQ(A798, "IQ_DILUT_EPS_EXCL",IQ_FY-1))</f>
        <v>0.11491</v>
      </c>
      <c r="G806" s="15">
        <f>IF(A806=A807,_xll.ciqfunctions.udf.CIQ(A798,"IQ_EBITDA_MARGIN",IQ_FY-2), _xll.ciqfunctions.udf.CIQ(A798, "IQ_EBITDA_MARGIN",IQ_FY-1))</f>
        <v>4.4226000000000001</v>
      </c>
      <c r="H806" s="15">
        <f>IF(A806=A807,_xll.ciqfunctions.udf.CIQ(A798,"IQ_TOTAL_DIV_PAID_CF",IQ_FY-2)/-I806, _xll.ciqfunctions.udf.CIQ(A798, "IQ_TOTAL_DIV_PAID_CF",IQ_FY-1)/-I806)</f>
        <v>0</v>
      </c>
      <c r="I806" s="17">
        <f>IF(A806=A807,_xll.ciqfunctions.udf.CIQ(A798,"IQ_TOTAL_OUTSTANDING_FILING_DATE",IQ_FY-2), _xll.ciqfunctions.udf.CIQ(A798, "IQ_TOTAL_OUTSTANDING_FILING_DATE",IQ_FY-1))</f>
        <v>251</v>
      </c>
      <c r="J806" s="17">
        <f>IF(A806=A807,_xll.ciqfunctions.udf.CIQ(A798,"IQ_CASH_OPER",IQ_FY-2), _xll.ciqfunctions.udf.CIQ(A798, "IQ_CASH_OPER",IQ_FY-1))</f>
        <v>1650.704</v>
      </c>
      <c r="K806" s="17">
        <f>IF(A806=A807,_xll.ciqfunctions.udf.CIQ(A798,"IQ_CAPEX",IQ_FY-2), _xll.ciqfunctions.udf.CIQ(A798, "IQ_CAPEX",IQ_FY-1))</f>
        <v>-264.267</v>
      </c>
      <c r="L806" s="15">
        <f t="shared" si="212"/>
        <v>5.5236533864541828</v>
      </c>
      <c r="M806" s="17">
        <f>IF(A806=A807,_xll.ciqfunctions.udf.CIQ(A798,"IQ_TOTAL_DEBT_ISSUED",IQ_FY-2), _xll.ciqfunctions.udf.CIQ(A798, "IQ_TOTAL_DEBT_ISSUED",IQ_FY-1))</f>
        <v>0</v>
      </c>
      <c r="N806" s="17">
        <f>IF(A806=A807,_xll.ciqfunctions.udf.CIQ(A798,"IQ_TOTAL_DEBT_REPAID",IQ_FY-2), _xll.ciqfunctions.udf.CIQ(A798, "IQ_TOTAL_DEBT_REPAID",IQ_FY-1))</f>
        <v>-37.613999999999997</v>
      </c>
      <c r="O806" s="15">
        <f t="shared" si="213"/>
        <v>-0.14985657370517927</v>
      </c>
      <c r="P806" s="15">
        <f t="shared" si="214"/>
        <v>5.3737968127490037</v>
      </c>
      <c r="Q806" s="25" t="s">
        <v>33</v>
      </c>
      <c r="R806" s="38" t="s">
        <v>52</v>
      </c>
      <c r="S806" s="4">
        <f>(AVERAGE(O803:O808)/AVERAGE(P803:P808))</f>
        <v>9.3422549947234333E-3</v>
      </c>
      <c r="U806" s="25" t="s">
        <v>54</v>
      </c>
      <c r="V806" s="38" t="s">
        <v>52</v>
      </c>
      <c r="W806" s="4">
        <f>(AVERAGE(O803:O808)/AVERAGE(P803:P808))</f>
        <v>9.3422549947234333E-3</v>
      </c>
      <c r="Y806" s="25" t="s">
        <v>60</v>
      </c>
      <c r="Z806" s="38" t="s">
        <v>52</v>
      </c>
      <c r="AA806" s="4">
        <f>(AVERAGE(O803:O808)/AVERAGE(P803:P808))</f>
        <v>9.3422549947234333E-3</v>
      </c>
    </row>
    <row r="807" spans="1:27">
      <c r="A807" s="19">
        <f>_xll.ciqfunctions.udf.CIQ(A798,"IQ_TOTAL_REV",IQ_LTM)</f>
        <v>6716.4409999999998</v>
      </c>
      <c r="B807" s="13">
        <v>10</v>
      </c>
      <c r="C807" s="14" t="s">
        <v>34</v>
      </c>
      <c r="D807" s="15" cm="1">
        <f t="array" ref="D807">_xlfn.SINGLE(IF(A806=A807,_xll.ciqfunctions.udf.CIQ(A798,"IQ_TOTAL_REV",IQ_FY-1)/I807, _xll.ciqfunctions.udf.CIQ(A798, "IQ_TOTAL_REV",IQ_FY)/I807))</f>
        <v>23.999297297297296</v>
      </c>
      <c r="E807" s="16">
        <f t="shared" si="215"/>
        <v>0.17222424808712503</v>
      </c>
      <c r="F807" s="15">
        <f>IF(A806=A807,_xll.ciqfunctions.udf.CIQ(A798,"IQ_DILUT_EPS_EXCL",IQ_FY-1), _xll.ciqfunctions.udf.CIQ(A798, "IQ_DILUT_EPS_EXCL",IQ_FY))</f>
        <v>-1.44</v>
      </c>
      <c r="G807" s="15">
        <f>IF(A806=A807,_xll.ciqfunctions.udf.CIQ(A798,"IQ_EBITDA_MARGIN",IQ_FY-1), _xll.ciqfunctions.udf.CIQ(A798, "IQ_EBITDA_MARGIN",IQ_FY))</f>
        <v>2.2869999999999999</v>
      </c>
      <c r="H807" s="15">
        <f>IF(A806=A807,_xll.ciqfunctions.udf.CIQ(A798,"IQ_TOTAL_DIV_PAID_CF",IQ_FY-1)/-I807, _xll.ciqfunctions.udf.CIQ(A798, "IQ_TOTAL_DIV_PAID_CF",IQ_FY)/-I807)</f>
        <v>0</v>
      </c>
      <c r="I807" s="17">
        <f>IF(A806=A807,_xll.ciqfunctions.udf.CIQ(A798,"IQ_TOTAL_OUTSTANDING_FILING_DATE",IQ_FY-1), _xll.ciqfunctions.udf.CIQ(A798, "IQ_TOTAL_OUTSTANDING_FILING_DATE",IQ_FY))</f>
        <v>259</v>
      </c>
      <c r="J807" s="17">
        <f>IF(A806=A807,_xll.ciqfunctions.udf.CIQ(A798,"IQ_CASH_OPER",IQ_FY-1), _xll.ciqfunctions.udf.CIQ(A798, "IQ_CASH_OPER",IQ_FY))</f>
        <v>1657.1949999999999</v>
      </c>
      <c r="K807" s="17">
        <f>IF(A806=A807,_xll.ciqfunctions.udf.CIQ(A798,"IQ_CAPEX",IQ_FY-1), _xll.ciqfunctions.udf.CIQ(A798, "IQ_CAPEX",IQ_FY))</f>
        <v>-359.55200000000002</v>
      </c>
      <c r="L807" s="15">
        <f t="shared" si="212"/>
        <v>5.0102046332046335</v>
      </c>
      <c r="M807" s="17">
        <f>IF(A806=A807,_xll.ciqfunctions.udf.CIQ(A798,"IQ_TOTAL_DEBT_ISSUED",IQ_FY-1), _xll.ciqfunctions.udf.CIQ(A798, "IQ_TOTAL_DEBT_ISSUED",IQ_FY))</f>
        <v>2978.0770000000002</v>
      </c>
      <c r="N807" s="17">
        <f>IF(A806=A807,_xll.ciqfunctions.udf.CIQ(A798,"IQ_TOTAL_DEBT_REPAID",IQ_FY-1), _xll.ciqfunctions.udf.CIQ(A798, "IQ_TOTAL_DEBT_REPAID",IQ_FY))</f>
        <v>-1843.605</v>
      </c>
      <c r="O807" s="15">
        <f t="shared" si="213"/>
        <v>4.380200772200773</v>
      </c>
      <c r="P807" s="15">
        <f t="shared" si="214"/>
        <v>9.3904054054054065</v>
      </c>
      <c r="Q807" s="25" t="s">
        <v>44</v>
      </c>
      <c r="R807" s="38" t="s">
        <v>35</v>
      </c>
      <c r="S807" s="1">
        <f>_xll.ciqfunctions.udf.CIQ(A798,"IQ_TEV_EBITDA")</f>
        <v>153.96696</v>
      </c>
      <c r="U807" s="25" t="s">
        <v>55</v>
      </c>
      <c r="V807" s="38" t="s">
        <v>53</v>
      </c>
      <c r="W807" s="1">
        <f>V797/(AVERAGE(D803:D808)/_xlfn.STDEV.P(E803:E808))</f>
        <v>0.75734525628620553</v>
      </c>
      <c r="Y807" s="25" t="s">
        <v>57</v>
      </c>
      <c r="Z807" s="38" t="s">
        <v>53</v>
      </c>
      <c r="AA807" s="1">
        <f>Z797/(AVERAGE(D803:D808)/_xlfn.STDEV.P(E803:E808))</f>
        <v>0.75734525628620553</v>
      </c>
    </row>
    <row r="808" spans="1:27">
      <c r="B808" s="13">
        <v>11</v>
      </c>
      <c r="C808" s="20" t="s">
        <v>36</v>
      </c>
      <c r="D808" s="21" cm="1">
        <f t="array" ref="D808">_xlfn.SINGLE(IF(A806=A807,_xll.ciqfunctions.udf.CIQ(A798,"IQ_TOTAL_REV",IQ_FY)/I808, _xll.ciqfunctions.udf.CIQ(A798, "IQ_TOTAL_REV",IQ_LTM)/I808))</f>
        <v>25.635270992366411</v>
      </c>
      <c r="E808" s="22">
        <f t="shared" si="215"/>
        <v>6.8167566525097867E-2</v>
      </c>
      <c r="F808" s="21">
        <f>IF(A806=A807,_xll.ciqfunctions.udf.CIQ(A798,"IQ_DILUT_EPS_EXCL",IQ_FY), _xll.ciqfunctions.udf.CIQ(A798, "IQ_DILUT_EPS_EXCL",IQ_LTM))</f>
        <v>-0.4723</v>
      </c>
      <c r="G808" s="21">
        <f>IF(A806=A807,_xll.ciqfunctions.udf.CIQ(A798,"IQ_EBITDA_MARGIN",IQ_FY), _xll.ciqfunctions.udf.CIQ(A798, "IQ_EBITDA_MARGIN",IQ_LTM))</f>
        <v>3.3477000000000001</v>
      </c>
      <c r="H808" s="21">
        <f>IF(A806=A807,_xll.ciqfunctions.udf.CIQ(A798,"IQ_TOTAL_DIV_PAID_CF",IQ_FY)/-I808, _xll.ciqfunctions.udf.CIQ(A798, "IQ_TOTAL_DIV_PAID_CF",IQ_LTM)/-I808)</f>
        <v>0</v>
      </c>
      <c r="I808" s="23">
        <f>IF(A806=A807,_xll.ciqfunctions.udf.CIQ(A798,"IQ_TOTAL_OUTSTANDING_FILING_DATE",IQ_FY),_xll.ciqfunctions.udf.CIQ(A798,"IQ_sharesoutstanding"))</f>
        <v>262</v>
      </c>
      <c r="J808" s="23">
        <f>IF(A806=A807,_xll.ciqfunctions.udf.CIQ(A798,"IQ_CASH_OPER",IQ_FY), _xll.ciqfunctions.udf.CIQ(A798, "IQ_CASH_OPER",IQ_LTM))</f>
        <v>1805.7</v>
      </c>
      <c r="K808" s="23">
        <f>IF(A806=A807,_xll.ciqfunctions.udf.CIQ(A798,"IQ_CAPEX",IQ_FY), _xll.ciqfunctions.udf.CIQ(A798, "IQ_CAPEX",IQ_LTM))</f>
        <v>-254.733</v>
      </c>
      <c r="L808" s="21">
        <f t="shared" si="212"/>
        <v>5.9197213740458023</v>
      </c>
      <c r="M808" s="23">
        <f>IF(A806=A807,_xll.ciqfunctions.udf.CIQ(A798,"IQ_TOTAL_DEBT_ISSUED",IQ_FY), _xll.ciqfunctions.udf.CIQ(A798, "IQ_TOTAL_DEBT_ISSUED",IQ_LTM))</f>
        <v>0</v>
      </c>
      <c r="N808" s="23">
        <f>IF(A806=A807,_xll.ciqfunctions.udf.CIQ(A798,"IQ_TOTAL_DEBT_REPAID",IQ_FY), _xll.ciqfunctions.udf.CIQ(A798, "IQ_TOTAL_DEBT_REPAID",IQ_LTM))</f>
        <v>-1149.6220000000001</v>
      </c>
      <c r="O808" s="21">
        <f t="shared" si="213"/>
        <v>-4.3878702290076337</v>
      </c>
      <c r="P808" s="21">
        <f t="shared" si="214"/>
        <v>1.5318511450381687</v>
      </c>
      <c r="Q808" s="25" t="s">
        <v>45</v>
      </c>
      <c r="S808" s="45"/>
      <c r="U808" s="25"/>
      <c r="W808" s="45"/>
      <c r="Y808" s="25"/>
      <c r="AA808" s="45"/>
    </row>
    <row r="809" spans="1:27">
      <c r="B809" s="24"/>
      <c r="C809" s="25" t="s">
        <v>37</v>
      </c>
      <c r="E809" s="26">
        <f>((D808/D803)^(1/5))-1</f>
        <v>0.15059169639707992</v>
      </c>
      <c r="F809" s="27">
        <f>((F808/F803)^(1/5))-1</f>
        <v>-0.24532096467265085</v>
      </c>
      <c r="G809" s="28"/>
      <c r="H809" s="27" t="e">
        <f>((H808/H803)^(1/5))-1</f>
        <v>#DIV/0!</v>
      </c>
      <c r="I809" s="27">
        <f>((I808/I803)^(1/5))-1</f>
        <v>3.3688449278966637E-2</v>
      </c>
      <c r="J809" s="27"/>
      <c r="K809" s="27"/>
      <c r="L809" s="26">
        <f>((L808/L803)^(1/5))-1</f>
        <v>0.26596621732938486</v>
      </c>
      <c r="M809" s="26"/>
      <c r="N809" s="26"/>
      <c r="O809" s="26"/>
      <c r="P809" s="26">
        <f>((P808/P803)^(1/5))-1</f>
        <v>0.44424457704530473</v>
      </c>
      <c r="Q809" s="18"/>
      <c r="R809" s="36"/>
      <c r="S809" s="45"/>
      <c r="U809" s="18"/>
      <c r="V809" s="36"/>
      <c r="W809" s="45"/>
      <c r="Y809" s="18"/>
      <c r="Z809" s="36"/>
      <c r="AA809" s="45"/>
    </row>
    <row r="810" spans="1:27">
      <c r="A810" s="29"/>
      <c r="B810" s="30"/>
      <c r="C810" s="31" t="s">
        <v>38</v>
      </c>
      <c r="D810" s="29"/>
      <c r="E810" s="32">
        <f>((D808/D798)^(1/10))-1</f>
        <v>0.25966200760127078</v>
      </c>
      <c r="F810" s="33">
        <f>((F808/F798)^(1/10))-1</f>
        <v>-7.2923873710021181E-2</v>
      </c>
      <c r="G810" s="34"/>
      <c r="H810" s="33" t="e">
        <f>((H808/H798)^(1/10))-1</f>
        <v>#DIV/0!</v>
      </c>
      <c r="I810" s="33">
        <f>((I808/I798)^(1/10))-1</f>
        <v>3.5972785443379118E-2</v>
      </c>
      <c r="J810" s="33"/>
      <c r="K810" s="33"/>
      <c r="L810" s="32" t="e">
        <f>((L808/L798)^(1/10))-1</f>
        <v>#NUM!</v>
      </c>
      <c r="M810" s="32"/>
      <c r="N810" s="32"/>
      <c r="O810" s="32"/>
      <c r="P810" s="32">
        <f>((P808/P798)^(1/10))-1</f>
        <v>-6.5964518110866566E-2</v>
      </c>
      <c r="Q810" s="40"/>
      <c r="R810" s="41"/>
      <c r="S810" s="46"/>
      <c r="U810" s="40"/>
      <c r="V810" s="41"/>
      <c r="W810" s="46"/>
      <c r="Y810" s="40"/>
      <c r="Z810" s="41"/>
      <c r="AA810" s="46"/>
    </row>
    <row r="811" spans="1:27">
      <c r="B811" s="24"/>
      <c r="C811" s="25"/>
      <c r="E811" s="26"/>
      <c r="F811" s="27"/>
      <c r="G811" s="28"/>
      <c r="H811" s="27"/>
      <c r="I811" s="27"/>
      <c r="J811" s="27"/>
      <c r="K811" s="27"/>
      <c r="L811" s="26"/>
      <c r="M811" s="17"/>
      <c r="N811" s="17"/>
      <c r="O811" s="17"/>
      <c r="P811" s="35"/>
      <c r="Q811" s="18"/>
      <c r="R811" s="36"/>
    </row>
    <row r="812" spans="1:27">
      <c r="A812" s="9" t="s">
        <v>0</v>
      </c>
      <c r="B812" s="10"/>
      <c r="C812" s="9" t="s">
        <v>1</v>
      </c>
      <c r="D812" s="9" t="s">
        <v>2</v>
      </c>
      <c r="E812" s="9" t="s">
        <v>3</v>
      </c>
      <c r="F812" s="11" t="s">
        <v>4</v>
      </c>
      <c r="G812" s="11" t="s">
        <v>5</v>
      </c>
      <c r="H812" s="9" t="s">
        <v>6</v>
      </c>
      <c r="I812" s="11" t="s">
        <v>7</v>
      </c>
      <c r="J812" s="11" t="s">
        <v>8</v>
      </c>
      <c r="K812" s="11" t="s">
        <v>9</v>
      </c>
      <c r="L812" s="11" t="s">
        <v>10</v>
      </c>
      <c r="M812" s="11" t="s">
        <v>11</v>
      </c>
      <c r="N812" s="11" t="s">
        <v>12</v>
      </c>
      <c r="O812" s="11" t="s">
        <v>13</v>
      </c>
      <c r="P812" s="11" t="s">
        <v>14</v>
      </c>
      <c r="Q812" s="37" t="s">
        <v>15</v>
      </c>
      <c r="R812" s="42">
        <f>_xll.ciqfunctions.udf.CIQ(A813,("IQ_LASTSALEPRICE"))</f>
        <v>546.65499999999997</v>
      </c>
      <c r="S812" s="44"/>
      <c r="U812" s="37" t="s">
        <v>15</v>
      </c>
      <c r="V812" s="42">
        <f>_xll.ciqfunctions.udf.CIQ(A813,("IQ_LASTSALEPRICE"))</f>
        <v>546.65499999999997</v>
      </c>
      <c r="W812" s="44"/>
      <c r="Y812" s="37" t="s">
        <v>15</v>
      </c>
      <c r="Z812" s="42">
        <f>_xll.ciqfunctions.udf.CIQ(A813,("IQ_LASTSALEPRICE"))</f>
        <v>546.65499999999997</v>
      </c>
      <c r="AA812" s="44"/>
    </row>
    <row r="813" spans="1:27">
      <c r="A813" s="12" t="str">
        <f>Analysis!B56</f>
        <v>NasdaqGS:SNPS</v>
      </c>
      <c r="B813" s="13">
        <v>1</v>
      </c>
      <c r="C813" s="14" t="s">
        <v>16</v>
      </c>
      <c r="D813" s="15">
        <f>IF(A821=A822,_xll.ciqfunctions.udf.CIQ(A813,"IQ_TOTAL_REV",IQ_FY-10)/I813,_xll.ciqfunctions.udf.CIQ(A813, "IQ_TOTAL_REV",IQ_FY-9)/I813)</f>
        <v>12.713341527209868</v>
      </c>
      <c r="E813" s="16"/>
      <c r="F813" s="15">
        <f>IF(A821=A822,_xll.ciqfunctions.udf.CIQ(A813,"IQ_DILUT_EPS_EXCL",IQ_FY-10), _xll.ciqfunctions.udf.CIQ(A813, "IQ_DILUT_EPS_EXCL",IQ_FY-9))</f>
        <v>1.58</v>
      </c>
      <c r="G813" s="15">
        <f>IF(A821=A822,_xll.ciqfunctions.udf.CIQ(A813,"IQ_EBITDA_MARGIN",IQ_FY-10), _xll.ciqfunctions.udf.CIQ(A813, "IQ_EBITDA_MARGIN",IQ_FY-9))</f>
        <v>18.443100000000001</v>
      </c>
      <c r="H813" s="15">
        <f>IF(A821=A822,_xll.ciqfunctions.udf.CIQ(A813,"IQ_TOTAL_DIV_PAID_CF",IQ_FY-10)/-I813, _xll.ciqfunctions.udf.CIQ(A813, "IQ_TOTAL_DIV_PAID_CF",IQ_FY-9)/-I813)</f>
        <v>0</v>
      </c>
      <c r="I813" s="17">
        <f>IF(A821=A822,_xll.ciqfunctions.udf.CIQ(A813,"IQ_TOTAL_OUTSTANDING_FILING_DATE",IQ_FY-10), _xll.ciqfunctions.udf.CIQ(A813, "IQ_TOTAL_OUTSTANDING_FILING_DATE",IQ_FY-9))</f>
        <v>154.34289999999999</v>
      </c>
      <c r="J813" s="17">
        <f>IF(A821=A822,_xll.ciqfunctions.udf.CIQ(A813,"IQ_CASH_OPER",IQ_FY-10), _xll.ciqfunctions.udf.CIQ(A813, "IQ_CASH_OPER",IQ_FY-9))</f>
        <v>496.70499999999998</v>
      </c>
      <c r="K813" s="17">
        <f>IF(A821=A822,_xll.ciqfunctions.udf.CIQ(A813,"IQ_CAPEX",IQ_FY-10), _xll.ciqfunctions.udf.CIQ(A813, "IQ_CAPEX",IQ_FY-9))</f>
        <v>-65.459000000000003</v>
      </c>
      <c r="L813" s="15">
        <f t="shared" ref="L813:L823" si="216">(J813+K813)/I813</f>
        <v>2.7940773433698602</v>
      </c>
      <c r="M813" s="17">
        <f>IF(A821=A822,_xll.ciqfunctions.udf.CIQ(A813,"IQ_TOTAL_DEBT_ISSUED",IQ_FY-10), _xll.ciqfunctions.udf.CIQ(A813, "IQ_TOTAL_DEBT_ISSUED",IQ_FY-9))</f>
        <v>0</v>
      </c>
      <c r="N813" s="17">
        <f>IF(A821=A822,_xll.ciqfunctions.udf.CIQ(A813,"IQ_TOTAL_DEBT_REPAID",IQ_FY-10), _xll.ciqfunctions.udf.CIQ(A813, "IQ_TOTAL_DEBT_REPAID",IQ_FY-9))</f>
        <v>-30.712</v>
      </c>
      <c r="O813" s="15">
        <f t="shared" ref="O813:O823" si="217">(M813+N813)/I813</f>
        <v>-0.19898550565008175</v>
      </c>
      <c r="P813" s="15">
        <f t="shared" ref="P813:P823" si="218">L813+O813</f>
        <v>2.5950918377197785</v>
      </c>
      <c r="W813" s="43"/>
      <c r="AA813" s="43"/>
    </row>
    <row r="814" spans="1:27">
      <c r="A814" s="18" t="str">
        <f>_xll.ciqfunctions.udf.CIQ(A813,"IQ_COMPANY_NAME")</f>
        <v>Synopsys, Inc.</v>
      </c>
      <c r="B814" s="13">
        <v>2</v>
      </c>
      <c r="C814" s="14" t="s">
        <v>17</v>
      </c>
      <c r="D814" s="15">
        <f>IF(A821=A822,_xll.ciqfunctions.udf.CIQ(A813,"IQ_TOTAL_REV",IQ_FY-9)/I814, _xll.ciqfunctions.udf.CIQ(A813, "IQ_TOTAL_REV",IQ_FY-8)/I814)</f>
        <v>13.438453624751338</v>
      </c>
      <c r="E814" s="16">
        <f t="shared" ref="E814:E823" si="219">(D814-D813)/D813</f>
        <v>5.7035524137343453E-2</v>
      </c>
      <c r="F814" s="15">
        <f>IF(A821=A822,_xll.ciqfunctions.udf.CIQ(A813,"IQ_DILUT_EPS_EXCL",IQ_FY-9), _xll.ciqfunctions.udf.CIQ(A813, "IQ_DILUT_EPS_EXCL",IQ_FY-8))</f>
        <v>1.64</v>
      </c>
      <c r="G814" s="15">
        <f>IF(A821=A822,_xll.ciqfunctions.udf.CIQ(A813,"IQ_EBITDA_MARGIN",IQ_FY-9), _xll.ciqfunctions.udf.CIQ(A813, "IQ_EBITDA_MARGIN",IQ_FY-8))</f>
        <v>17.851299999999998</v>
      </c>
      <c r="H814" s="15">
        <f>IF(A821=A822,_xll.ciqfunctions.udf.CIQ(A813,"IQ_TOTAL_DIV_PAID_CF",IQ_FY-9)/-I814, _xll.ciqfunctions.udf.CIQ(A813, "IQ_TOTAL_DIV_PAID_CF",IQ_FY-8)/-I814)</f>
        <v>0</v>
      </c>
      <c r="I814" s="17">
        <f>IF(A821=A822,_xll.ciqfunctions.udf.CIQ(A813,"IQ_TOTAL_OUTSTANDING_FILING_DATE",IQ_FY-9), _xll.ciqfunctions.udf.CIQ(A813, "IQ_TOTAL_OUTSTANDING_FILING_DATE",IQ_FY-8))</f>
        <v>153.10333</v>
      </c>
      <c r="J814" s="17">
        <f>IF(A821=A822,_xll.ciqfunctions.udf.CIQ(A813,"IQ_CASH_OPER",IQ_FY-9), _xll.ciqfunctions.udf.CIQ(A813, "IQ_CASH_OPER",IQ_FY-8))</f>
        <v>550.95299999999997</v>
      </c>
      <c r="K814" s="17">
        <f>IF(A821=A822,_xll.ciqfunctions.udf.CIQ(A813,"IQ_CAPEX",IQ_FY-9), _xll.ciqfunctions.udf.CIQ(A813, "IQ_CAPEX",IQ_FY-8))</f>
        <v>-103.27500000000001</v>
      </c>
      <c r="L814" s="15">
        <f t="shared" si="216"/>
        <v>2.9240252318483209</v>
      </c>
      <c r="M814" s="17">
        <f>IF(A821=A822,_xll.ciqfunctions.udf.CIQ(A813,"IQ_TOTAL_DEBT_ISSUED",IQ_FY-9), _xll.ciqfunctions.udf.CIQ(A813, "IQ_TOTAL_DEBT_ISSUED",IQ_FY-8))</f>
        <v>200</v>
      </c>
      <c r="N814" s="17">
        <f>IF(A821=A822,_xll.ciqfunctions.udf.CIQ(A813,"IQ_TOTAL_DEBT_REPAID",IQ_FY-9), _xll.ciqfunctions.udf.CIQ(A813, "IQ_TOTAL_DEBT_REPAID",IQ_FY-8))</f>
        <v>-230.96799999999999</v>
      </c>
      <c r="O814" s="15">
        <f t="shared" si="217"/>
        <v>-0.20226862472553661</v>
      </c>
      <c r="P814" s="15">
        <f t="shared" si="218"/>
        <v>2.7217566071227841</v>
      </c>
      <c r="Q814" s="25" t="s">
        <v>18</v>
      </c>
      <c r="R814" s="39" t="s">
        <v>19</v>
      </c>
      <c r="S814" s="1">
        <f>R812/((AVERAGE(P818:P823))*(1+E824)^3)</f>
        <v>57.36988139467163</v>
      </c>
      <c r="U814" s="25" t="s">
        <v>48</v>
      </c>
      <c r="V814" s="39" t="s">
        <v>19</v>
      </c>
      <c r="W814" s="1">
        <f>V812/((AVERAGE(P818:P823))*(1+E824)^3)</f>
        <v>57.36988139467163</v>
      </c>
      <c r="Y814" s="25" t="s">
        <v>39</v>
      </c>
      <c r="Z814" s="39" t="s">
        <v>19</v>
      </c>
      <c r="AA814" s="1">
        <f>Z812/((AVERAGE(P818:P823))*(1+E824)^3)</f>
        <v>57.36988139467163</v>
      </c>
    </row>
    <row r="815" spans="1:27">
      <c r="B815" s="13">
        <v>3</v>
      </c>
      <c r="C815" s="14" t="s">
        <v>20</v>
      </c>
      <c r="D815" s="15" cm="1">
        <f t="array" ref="D815">_xlfn.SINGLE(IF(A821=A822,_xll.ciqfunctions.udf.CIQ(A813,"IQ_TOTAL_REV",IQ_FY-8)/I815, _xll.ciqfunctions.udf.CIQ(A813, "IQ_TOTAL_REV",IQ_FY-7)/I815))</f>
        <v>14.80467915891453</v>
      </c>
      <c r="E815" s="16">
        <f t="shared" si="219"/>
        <v>0.1016653829609411</v>
      </c>
      <c r="F815" s="15">
        <f>IF(A821=A822,_xll.ciqfunctions.udf.CIQ(A813,"IQ_DILUT_EPS_EXCL",IQ_FY-8), _xll.ciqfunctions.udf.CIQ(A813, "IQ_DILUT_EPS_EXCL",IQ_FY-7))</f>
        <v>1.43</v>
      </c>
      <c r="G815" s="15">
        <f>IF(A821=A822,_xll.ciqfunctions.udf.CIQ(A813,"IQ_EBITDA_MARGIN",IQ_FY-8), _xll.ciqfunctions.udf.CIQ(A813, "IQ_EBITDA_MARGIN",IQ_FY-7))</f>
        <v>18.421399999999998</v>
      </c>
      <c r="H815" s="15">
        <f>IF(A821=A822,_xll.ciqfunctions.udf.CIQ(A813,"IQ_TOTAL_DIV_PAID_CF",IQ_FY-8)/-I815, _xll.ciqfunctions.udf.CIQ(A813, "IQ_TOTAL_DIV_PAID_CF",IQ_FY-7)/-I815)</f>
        <v>0</v>
      </c>
      <c r="I815" s="17">
        <f>IF(A821=A822,_xll.ciqfunctions.udf.CIQ(A813,"IQ_TOTAL_OUTSTANDING_FILING_DATE",IQ_FY-8), _xll.ciqfunctions.udf.CIQ(A813, "IQ_TOTAL_OUTSTANDING_FILING_DATE",IQ_FY-7))</f>
        <v>151.45285999999999</v>
      </c>
      <c r="J815" s="17">
        <f>IF(A821=A822,_xll.ciqfunctions.udf.CIQ(A813,"IQ_CASH_OPER",IQ_FY-8), _xll.ciqfunctions.udf.CIQ(A813, "IQ_CASH_OPER",IQ_FY-7))</f>
        <v>495.16</v>
      </c>
      <c r="K815" s="17">
        <f>IF(A821=A822,_xll.ciqfunctions.udf.CIQ(A813,"IQ_CAPEX",IQ_FY-8), _xll.ciqfunctions.udf.CIQ(A813, "IQ_CAPEX",IQ_FY-7))</f>
        <v>-86.965000000000003</v>
      </c>
      <c r="L815" s="15">
        <f t="shared" si="216"/>
        <v>2.6951950593735905</v>
      </c>
      <c r="M815" s="17">
        <f>IF(A821=A822,_xll.ciqfunctions.udf.CIQ(A813,"IQ_TOTAL_DEBT_ISSUED",IQ_FY-8), _xll.ciqfunctions.udf.CIQ(A813, "IQ_TOTAL_DEBT_ISSUED",IQ_FY-7))</f>
        <v>460</v>
      </c>
      <c r="N815" s="17">
        <f>IF(A821=A822,_xll.ciqfunctions.udf.CIQ(A813,"IQ_TOTAL_DEBT_REPAID",IQ_FY-8), _xll.ciqfunctions.udf.CIQ(A813, "IQ_TOTAL_DEBT_REPAID",IQ_FY-7))</f>
        <v>-330.42500000000001</v>
      </c>
      <c r="O815" s="15">
        <f t="shared" si="217"/>
        <v>0.85554673579620744</v>
      </c>
      <c r="P815" s="15">
        <f t="shared" si="218"/>
        <v>3.5507417951697979</v>
      </c>
      <c r="Q815" s="25" t="s">
        <v>21</v>
      </c>
      <c r="R815" s="38" t="s">
        <v>49</v>
      </c>
      <c r="S815" s="2">
        <f>(R812*I823)/1000</f>
        <v>83.137380622099997</v>
      </c>
      <c r="U815" s="25" t="s">
        <v>59</v>
      </c>
      <c r="V815" s="38" t="s">
        <v>49</v>
      </c>
      <c r="W815" s="2">
        <f>(V812*I823)/1000</f>
        <v>83.137380622099997</v>
      </c>
      <c r="Y815" s="25" t="s">
        <v>46</v>
      </c>
      <c r="Z815" s="38" t="s">
        <v>49</v>
      </c>
      <c r="AA815" s="2">
        <f>(Z812*I823)/1000</f>
        <v>83.137380622099997</v>
      </c>
    </row>
    <row r="816" spans="1:27">
      <c r="A816" s="18"/>
      <c r="B816" s="13">
        <v>4</v>
      </c>
      <c r="C816" s="14" t="s">
        <v>22</v>
      </c>
      <c r="D816" s="15" cm="1">
        <f t="array" ref="D816">_xlfn.SINGLE(IF(A821=A822,_xll.ciqfunctions.udf.CIQ(A813,"IQ_TOTAL_REV",IQ_FY-7)/I816, _xll.ciqfunctions.udf.CIQ(A813, "IQ_TOTAL_REV",IQ_FY-6)/I816))</f>
        <v>16.139324668956679</v>
      </c>
      <c r="E816" s="16">
        <f t="shared" si="219"/>
        <v>9.0150248831194824E-2</v>
      </c>
      <c r="F816" s="15">
        <f>IF(A821=A822,_xll.ciqfunctions.udf.CIQ(A813,"IQ_DILUT_EPS_EXCL",IQ_FY-7), _xll.ciqfunctions.udf.CIQ(A813, "IQ_DILUT_EPS_EXCL",IQ_FY-6))</f>
        <v>1.73</v>
      </c>
      <c r="G816" s="15">
        <f>IF(A821=A822,_xll.ciqfunctions.udf.CIQ(A813,"IQ_EBITDA_MARGIN",IQ_FY-7), _xll.ciqfunctions.udf.CIQ(A813, "IQ_EBITDA_MARGIN",IQ_FY-6))</f>
        <v>18.3705</v>
      </c>
      <c r="H816" s="15">
        <f>IF(A821=A822,_xll.ciqfunctions.udf.CIQ(A813,"IQ_TOTAL_DIV_PAID_CF",IQ_FY-7)/-I816, _xll.ciqfunctions.udf.CIQ(A813, "IQ_TOTAL_DIV_PAID_CF",IQ_FY-6)/-I816)</f>
        <v>0</v>
      </c>
      <c r="I816" s="17">
        <f>IF(A821=A822,_xll.ciqfunctions.udf.CIQ(A813,"IQ_TOTAL_OUTSTANDING_FILING_DATE",IQ_FY-7), _xll.ciqfunctions.udf.CIQ(A813, "IQ_TOTAL_OUTSTANDING_FILING_DATE",IQ_FY-6))</f>
        <v>150.10120000000001</v>
      </c>
      <c r="J816" s="17">
        <f>IF(A821=A822,_xll.ciqfunctions.udf.CIQ(A813,"IQ_CASH_OPER",IQ_FY-7), _xll.ciqfunctions.udf.CIQ(A813, "IQ_CASH_OPER",IQ_FY-6))</f>
        <v>586.63499999999999</v>
      </c>
      <c r="K816" s="17">
        <f>IF(A821=A822,_xll.ciqfunctions.udf.CIQ(A813,"IQ_CAPEX",IQ_FY-7), _xll.ciqfunctions.udf.CIQ(A813, "IQ_CAPEX",IQ_FY-6))</f>
        <v>-66.909000000000006</v>
      </c>
      <c r="L816" s="15">
        <f t="shared" si="216"/>
        <v>3.462503963992293</v>
      </c>
      <c r="M816" s="17">
        <f>IF(A821=A822,_xll.ciqfunctions.udf.CIQ(A813,"IQ_TOTAL_DEBT_ISSUED",IQ_FY-7), _xll.ciqfunctions.udf.CIQ(A813, "IQ_TOTAL_DEBT_ISSUED",IQ_FY-6))</f>
        <v>185</v>
      </c>
      <c r="N816" s="17">
        <f>IF(A821=A822,_xll.ciqfunctions.udf.CIQ(A813,"IQ_TOTAL_DEBT_REPAID",IQ_FY-7), _xll.ciqfunctions.udf.CIQ(A813, "IQ_TOTAL_DEBT_REPAID",IQ_FY-6))</f>
        <v>-185</v>
      </c>
      <c r="O816" s="15">
        <f t="shared" si="217"/>
        <v>0</v>
      </c>
      <c r="P816" s="15">
        <f t="shared" si="218"/>
        <v>3.462503963992293</v>
      </c>
      <c r="Q816" s="25" t="s">
        <v>23</v>
      </c>
      <c r="R816" s="38" t="s">
        <v>24</v>
      </c>
      <c r="S816" s="1" t="e">
        <f>R812/(AVERAGE(H818:H823)*(1+H824)/(0.5-H824))</f>
        <v>#DIV/0!</v>
      </c>
      <c r="U816" s="25" t="s">
        <v>40</v>
      </c>
      <c r="V816" s="38" t="s">
        <v>24</v>
      </c>
      <c r="W816" s="1" t="e">
        <f>V812/(AVERAGE(H818:H823)*(1+H824)/(0.5-H824))</f>
        <v>#DIV/0!</v>
      </c>
      <c r="Y816" s="25" t="s">
        <v>47</v>
      </c>
      <c r="Z816" s="38" t="s">
        <v>24</v>
      </c>
      <c r="AA816" s="1" t="e">
        <f>Z812/(AVERAGE(H818:H823)*(1+H824)/(0.5-H824))</f>
        <v>#DIV/0!</v>
      </c>
    </row>
    <row r="817" spans="1:27">
      <c r="B817" s="13">
        <v>5</v>
      </c>
      <c r="C817" s="14" t="s">
        <v>25</v>
      </c>
      <c r="D817" s="15" cm="1">
        <f t="array" ref="D817">_xlfn.SINGLE(IF(A821=A822,_xll.ciqfunctions.udf.CIQ(A813,"IQ_TOTAL_REV",IQ_FY-6)/I817, _xll.ciqfunctions.udf.CIQ(A813, "IQ_TOTAL_REV",IQ_FY-5)/I817))</f>
        <v>18.322997362851538</v>
      </c>
      <c r="E817" s="16">
        <f t="shared" si="219"/>
        <v>0.13530136723100089</v>
      </c>
      <c r="F817" s="15">
        <f>IF(A821=A822,_xll.ciqfunctions.udf.CIQ(A813,"IQ_DILUT_EPS_EXCL",IQ_FY-6), _xll.ciqfunctions.udf.CIQ(A813, "IQ_DILUT_EPS_EXCL",IQ_FY-5))</f>
        <v>0.88</v>
      </c>
      <c r="G817" s="15">
        <f>IF(A821=A822,_xll.ciqfunctions.udf.CIQ(A813,"IQ_EBITDA_MARGIN",IQ_FY-6), _xll.ciqfunctions.udf.CIQ(A813, "IQ_EBITDA_MARGIN",IQ_FY-5))</f>
        <v>18.7637</v>
      </c>
      <c r="H817" s="15">
        <f>IF(A821=A822,_xll.ciqfunctions.udf.CIQ(A813,"IQ_TOTAL_DIV_PAID_CF",IQ_FY-6)/-I817, _xll.ciqfunctions.udf.CIQ(A813, "IQ_TOTAL_DIV_PAID_CF",IQ_FY-5)/-I817)</f>
        <v>0</v>
      </c>
      <c r="I817" s="17">
        <f>IF(A821=A822,_xll.ciqfunctions.udf.CIQ(A813,"IQ_TOTAL_OUTSTANDING_FILING_DATE",IQ_FY-6), _xll.ciqfunctions.udf.CIQ(A813, "IQ_TOTAL_OUTSTANDING_FILING_DATE",IQ_FY-5))</f>
        <v>148.71366</v>
      </c>
      <c r="J817" s="17">
        <f>IF(A821=A822,_xll.ciqfunctions.udf.CIQ(A813,"IQ_CASH_OPER",IQ_FY-6), _xll.ciqfunctions.udf.CIQ(A813, "IQ_CASH_OPER",IQ_FY-5))</f>
        <v>632.48199999999997</v>
      </c>
      <c r="K817" s="17">
        <f>IF(A821=A822,_xll.ciqfunctions.udf.CIQ(A813,"IQ_CAPEX",IQ_FY-6), _xll.ciqfunctions.udf.CIQ(A813, "IQ_CAPEX",IQ_FY-5))</f>
        <v>-70.328000000000003</v>
      </c>
      <c r="L817" s="15">
        <f t="shared" si="216"/>
        <v>3.7801100450355398</v>
      </c>
      <c r="M817" s="17">
        <f>IF(A821=A822,_xll.ciqfunctions.udf.CIQ(A813,"IQ_TOTAL_DEBT_ISSUED",IQ_FY-6), _xll.ciqfunctions.udf.CIQ(A813, "IQ_TOTAL_DEBT_ISSUED",IQ_FY-5))</f>
        <v>320</v>
      </c>
      <c r="N817" s="17">
        <f>IF(A821=A822,_xll.ciqfunctions.udf.CIQ(A813,"IQ_TOTAL_DEBT_REPAID",IQ_FY-6), _xll.ciqfunctions.udf.CIQ(A813, "IQ_TOTAL_DEBT_REPAID",IQ_FY-5))</f>
        <v>-380.625</v>
      </c>
      <c r="O817" s="15">
        <f t="shared" si="217"/>
        <v>-0.40766261821543492</v>
      </c>
      <c r="P817" s="15">
        <f t="shared" si="218"/>
        <v>3.3724474268201048</v>
      </c>
      <c r="Q817" s="18"/>
      <c r="R817" s="38" t="s">
        <v>50</v>
      </c>
      <c r="S817" s="3">
        <f>I824</f>
        <v>3.4128158587847235E-3</v>
      </c>
      <c r="U817" s="18"/>
      <c r="V817" s="38" t="s">
        <v>50</v>
      </c>
      <c r="W817" s="3">
        <f>I824</f>
        <v>3.4128158587847235E-3</v>
      </c>
      <c r="Y817" s="18"/>
      <c r="Z817" s="38" t="s">
        <v>50</v>
      </c>
      <c r="AA817" s="3">
        <f>I824</f>
        <v>3.4128158587847235E-3</v>
      </c>
    </row>
    <row r="818" spans="1:27">
      <c r="B818" s="13">
        <v>6</v>
      </c>
      <c r="C818" s="14" t="s">
        <v>26</v>
      </c>
      <c r="D818" s="15" cm="1">
        <f t="array" ref="D818">_xlfn.SINGLE(IF(A821=A822,_xll.ciqfunctions.udf.CIQ(A813,"IQ_TOTAL_REV",IQ_FY-5)/I818, _xll.ciqfunctions.udf.CIQ(A813, "IQ_TOTAL_REV",IQ_FY-4)/I818))</f>
        <v>20.87454630809308</v>
      </c>
      <c r="E818" s="16">
        <f t="shared" si="219"/>
        <v>0.13925390560905776</v>
      </c>
      <c r="F818" s="15">
        <f>IF(A821=A822,_xll.ciqfunctions.udf.CIQ(A813,"IQ_DILUT_EPS_EXCL",IQ_FY-5), _xll.ciqfunctions.udf.CIQ(A813, "IQ_DILUT_EPS_EXCL",IQ_FY-4))</f>
        <v>2.82</v>
      </c>
      <c r="G818" s="15">
        <f>IF(A821=A822,_xll.ciqfunctions.udf.CIQ(A813,"IQ_EBITDA_MARGIN",IQ_FY-5), _xll.ciqfunctions.udf.CIQ(A813, "IQ_EBITDA_MARGIN",IQ_FY-4))</f>
        <v>16.851900000000001</v>
      </c>
      <c r="H818" s="15">
        <f>IF(A821=A822,_xll.ciqfunctions.udf.CIQ(A813,"IQ_TOTAL_DIV_PAID_CF",IQ_FY-5)/-I818, _xll.ciqfunctions.udf.CIQ(A813, "IQ_TOTAL_DIV_PAID_CF",IQ_FY-4)/-I818)</f>
        <v>0</v>
      </c>
      <c r="I818" s="17">
        <f>IF(A821=A822,_xll.ciqfunctions.udf.CIQ(A813,"IQ_TOTAL_OUTSTANDING_FILING_DATE",IQ_FY-5), _xll.ciqfunctions.udf.CIQ(A813, "IQ_TOTAL_OUTSTANDING_FILING_DATE",IQ_FY-4))</f>
        <v>149.51500999999999</v>
      </c>
      <c r="J818" s="17">
        <f>IF(A821=A822,_xll.ciqfunctions.udf.CIQ(A813,"IQ_CASH_OPER",IQ_FY-5), _xll.ciqfunctions.udf.CIQ(A813, "IQ_CASH_OPER",IQ_FY-4))</f>
        <v>424.399</v>
      </c>
      <c r="K818" s="17">
        <f>IF(A821=A822,_xll.ciqfunctions.udf.CIQ(A813,"IQ_CAPEX",IQ_FY-5), _xll.ciqfunctions.udf.CIQ(A813, "IQ_CAPEX",IQ_FY-4))</f>
        <v>-98.975999999999999</v>
      </c>
      <c r="L818" s="15">
        <f t="shared" si="216"/>
        <v>2.1765239490001709</v>
      </c>
      <c r="M818" s="17">
        <f>IF(A821=A822,_xll.ciqfunctions.udf.CIQ(A813,"IQ_TOTAL_DEBT_ISSUED",IQ_FY-5), _xll.ciqfunctions.udf.CIQ(A813, "IQ_TOTAL_DEBT_ISSUED",IQ_FY-4))</f>
        <v>620.63499999999999</v>
      </c>
      <c r="N818" s="17">
        <f>IF(A821=A822,_xll.ciqfunctions.udf.CIQ(A813,"IQ_TOTAL_DEBT_REPAID",IQ_FY-5), _xll.ciqfunctions.udf.CIQ(A813, "IQ_TOTAL_DEBT_REPAID",IQ_FY-4))</f>
        <v>-295.31299999999999</v>
      </c>
      <c r="O818" s="15">
        <f t="shared" si="217"/>
        <v>2.1758484315387467</v>
      </c>
      <c r="P818" s="15">
        <f t="shared" si="218"/>
        <v>4.3523723805389176</v>
      </c>
      <c r="Q818" s="25" t="s">
        <v>27</v>
      </c>
      <c r="R818" s="38" t="s">
        <v>51</v>
      </c>
      <c r="S818" s="4">
        <f>AVERAGE(F818:F823)/AVERAGE(D818:D823)</f>
        <v>0.17213750753572046</v>
      </c>
      <c r="U818" s="25" t="s">
        <v>58</v>
      </c>
      <c r="V818" s="38" t="s">
        <v>51</v>
      </c>
      <c r="W818" s="4">
        <f>AVERAGE(F818:F823)/AVERAGE(D818:D823)</f>
        <v>0.17213750753572046</v>
      </c>
      <c r="Y818" s="25" t="s">
        <v>56</v>
      </c>
      <c r="Z818" s="38" t="s">
        <v>51</v>
      </c>
      <c r="AA818" s="4">
        <f>AVERAGE(F818:F823)/AVERAGE(D818:D823)</f>
        <v>0.17213750753572046</v>
      </c>
    </row>
    <row r="819" spans="1:27">
      <c r="A819" s="18"/>
      <c r="B819" s="13">
        <v>7</v>
      </c>
      <c r="C819" s="14" t="s">
        <v>28</v>
      </c>
      <c r="D819" s="15" cm="1">
        <f t="array" ref="D819">_xlfn.SINGLE(IF(A821=A822,_xll.ciqfunctions.udf.CIQ(A813,"IQ_TOTAL_REV",IQ_FY-4)/I819, _xll.ciqfunctions.udf.CIQ(A813, "IQ_TOTAL_REV",IQ_FY-3)/I819))</f>
        <v>22.32501862691225</v>
      </c>
      <c r="E819" s="16">
        <f t="shared" si="219"/>
        <v>6.9485214069386514E-2</v>
      </c>
      <c r="F819" s="15">
        <f>IF(A821=A822,_xll.ciqfunctions.udf.CIQ(A813,"IQ_DILUT_EPS_EXCL",IQ_FY-4), _xll.ciqfunctions.udf.CIQ(A813, "IQ_DILUT_EPS_EXCL",IQ_FY-3))</f>
        <v>3.45</v>
      </c>
      <c r="G819" s="15">
        <f>IF(A821=A822,_xll.ciqfunctions.udf.CIQ(A813,"IQ_EBITDA_MARGIN",IQ_FY-4), _xll.ciqfunctions.udf.CIQ(A813, "IQ_EBITDA_MARGIN",IQ_FY-3))</f>
        <v>21.128399999999999</v>
      </c>
      <c r="H819" s="15">
        <f>IF(A821=A822,_xll.ciqfunctions.udf.CIQ(A813,"IQ_TOTAL_DIV_PAID_CF",IQ_FY-4)/-I819, _xll.ciqfunctions.udf.CIQ(A813, "IQ_TOTAL_DIV_PAID_CF",IQ_FY-3)/-I819)</f>
        <v>0</v>
      </c>
      <c r="I819" s="17">
        <f>IF(A821=A822,_xll.ciqfunctions.udf.CIQ(A813,"IQ_TOTAL_OUTSTANDING_FILING_DATE",IQ_FY-4), _xll.ciqfunctions.udf.CIQ(A813, "IQ_TOTAL_OUTSTANDING_FILING_DATE",IQ_FY-3))</f>
        <v>150.53487999999999</v>
      </c>
      <c r="J819" s="17">
        <f>IF(A821=A822,_xll.ciqfunctions.udf.CIQ(A813,"IQ_CASH_OPER",IQ_FY-4), _xll.ciqfunctions.udf.CIQ(A813, "IQ_CASH_OPER",IQ_FY-3))</f>
        <v>800.51300000000003</v>
      </c>
      <c r="K819" s="17">
        <f>IF(A821=A822,_xll.ciqfunctions.udf.CIQ(A813,"IQ_CAPEX",IQ_FY-4), _xll.ciqfunctions.udf.CIQ(A813, "IQ_CAPEX",IQ_FY-3))</f>
        <v>-198.12899999999999</v>
      </c>
      <c r="L819" s="15">
        <f t="shared" si="216"/>
        <v>4.0016240754302261</v>
      </c>
      <c r="M819" s="17">
        <f>IF(A821=A822,_xll.ciqfunctions.udf.CIQ(A813,"IQ_TOTAL_DEBT_ISSUED",IQ_FY-4), _xll.ciqfunctions.udf.CIQ(A813, "IQ_TOTAL_DEBT_ISSUED",IQ_FY-3))</f>
        <v>192.89699999999999</v>
      </c>
      <c r="N819" s="17">
        <f>IF(A821=A822,_xll.ciqfunctions.udf.CIQ(A813,"IQ_TOTAL_DEBT_REPAID",IQ_FY-4), _xll.ciqfunctions.udf.CIQ(A813, "IQ_TOTAL_DEBT_REPAID",IQ_FY-3))</f>
        <v>-524.06299999999999</v>
      </c>
      <c r="O819" s="15">
        <f t="shared" si="217"/>
        <v>-2.1999286809807801</v>
      </c>
      <c r="P819" s="15">
        <f t="shared" si="218"/>
        <v>1.801695394449446</v>
      </c>
      <c r="Q819" s="18"/>
      <c r="R819" s="38" t="s">
        <v>29</v>
      </c>
      <c r="S819" s="4">
        <f>(AVERAGE(P818:P823)/_xlfn.STDEV.P(P818:P823))/(IF(A821=A822,(_xlfn.SINGLE(_xll.ciqfunctions.udf.CIQ(A813,"IQ_total_assets",IQ_FY)) - _xlfn.SINGLE(_xll.ciqfunctions.udf.CIQ(A813,"iq_gw_intan", IQ_FY)))/I823, (_xlfn.SINGLE(_xll.ciqfunctions.udf.CIQ(A813, "IQ_total_assets",IQ_LTM))-_xlfn.SINGLE(_xll.ciqfunctions.udf.CIQ(A813,"iq_gw_intan",IQ_LTM)))/I823))</f>
        <v>5.6920008638989078E-2</v>
      </c>
      <c r="U819" s="18"/>
      <c r="V819" s="38" t="s">
        <v>29</v>
      </c>
      <c r="W819" s="4">
        <f>(AVERAGE(P818:P823)/_xlfn.STDEV.P(P818:P823))/(IF(A821=A822,(_xlfn.SINGLE(_xll.ciqfunctions.udf.CIQ(A813,"IQ_total_assets",IQ_FY)) - _xlfn.SINGLE(_xll.ciqfunctions.udf.CIQ(A813,"iq_gw_intan", IQ_FY)))/I823, (_xlfn.SINGLE(_xll.ciqfunctions.udf.CIQ(A813, "IQ_total_assets",IQ_LTM))-_xlfn.SINGLE(_xll.ciqfunctions.udf.CIQ(A813,"iq_gw_intan",IQ_LTM)))/I823))</f>
        <v>5.6920008638989078E-2</v>
      </c>
      <c r="Y819" s="18"/>
      <c r="Z819" s="38" t="s">
        <v>29</v>
      </c>
      <c r="AA819" s="4">
        <f>(AVERAGE(P818:P823)/_xlfn.STDEV.P(P818:P823))/(IF(A821=A822,(_xlfn.SINGLE(_xll.ciqfunctions.udf.CIQ(A813,"IQ_total_assets",IQ_FY)) - _xlfn.SINGLE(_xll.ciqfunctions.udf.CIQ(A813,"iq_gw_intan", IQ_FY)))/I823, (_xlfn.SINGLE(_xll.ciqfunctions.udf.CIQ(A813, "IQ_total_assets",IQ_LTM))-_xlfn.SINGLE(_xll.ciqfunctions.udf.CIQ(A813,"iq_gw_intan",IQ_LTM)))/I823))</f>
        <v>5.6920008638989078E-2</v>
      </c>
    </row>
    <row r="820" spans="1:27">
      <c r="A820" s="18"/>
      <c r="B820" s="13">
        <v>8</v>
      </c>
      <c r="C820" s="14" t="s">
        <v>30</v>
      </c>
      <c r="D820" s="15" cm="1">
        <f t="array" ref="D820">_xlfn.SINGLE(IF(A821=A822,_xll.ciqfunctions.udf.CIQ(A813,"IQ_TOTAL_REV",IQ_FY-3)/I820, _xll.ciqfunctions.udf.CIQ(A813, "IQ_TOTAL_REV",IQ_FY-2)/I820))</f>
        <v>24.081688530214169</v>
      </c>
      <c r="E820" s="16">
        <f t="shared" si="219"/>
        <v>7.8686156220461004E-2</v>
      </c>
      <c r="F820" s="15">
        <f>IF(A821=A822,_xll.ciqfunctions.udf.CIQ(A813,"IQ_DILUT_EPS_EXCL",IQ_FY-3), _xll.ciqfunctions.udf.CIQ(A813, "IQ_DILUT_EPS_EXCL",IQ_FY-2))</f>
        <v>4.2699999999999996</v>
      </c>
      <c r="G820" s="15">
        <f>IF(A821=A822,_xll.ciqfunctions.udf.CIQ(A813,"IQ_EBITDA_MARGIN",IQ_FY-3), _xll.ciqfunctions.udf.CIQ(A813, "IQ_EBITDA_MARGIN",IQ_FY-2))</f>
        <v>22.103400000000001</v>
      </c>
      <c r="H820" s="15">
        <f>IF(A821=A822,_xll.ciqfunctions.udf.CIQ(A813,"IQ_TOTAL_DIV_PAID_CF",IQ_FY-3)/-I820, _xll.ciqfunctions.udf.CIQ(A813, "IQ_TOTAL_DIV_PAID_CF",IQ_FY-2)/-I820)</f>
        <v>0</v>
      </c>
      <c r="I820" s="17">
        <f>IF(A821=A822,_xll.ciqfunctions.udf.CIQ(A813,"IQ_TOTAL_OUTSTANDING_FILING_DATE",IQ_FY-3), _xll.ciqfunctions.udf.CIQ(A813, "IQ_TOTAL_OUTSTANDING_FILING_DATE",IQ_FY-2))</f>
        <v>153.0325</v>
      </c>
      <c r="J820" s="17">
        <f>IF(A821=A822,_xll.ciqfunctions.udf.CIQ(A813,"IQ_CASH_OPER",IQ_FY-3), _xll.ciqfunctions.udf.CIQ(A813, "IQ_CASH_OPER",IQ_FY-2))</f>
        <v>991.31299999999999</v>
      </c>
      <c r="K820" s="17">
        <f>IF(A821=A822,_xll.ciqfunctions.udf.CIQ(A813,"IQ_CAPEX",IQ_FY-3), _xll.ciqfunctions.udf.CIQ(A813, "IQ_CAPEX",IQ_FY-2))</f>
        <v>-154.71700000000001</v>
      </c>
      <c r="L820" s="15">
        <f t="shared" si="216"/>
        <v>5.4667864669269601</v>
      </c>
      <c r="M820" s="17">
        <f>IF(A821=A822,_xll.ciqfunctions.udf.CIQ(A813,"IQ_TOTAL_DEBT_ISSUED",IQ_FY-3), _xll.ciqfunctions.udf.CIQ(A813, "IQ_TOTAL_DEBT_ISSUED",IQ_FY-2))</f>
        <v>276.48899999999998</v>
      </c>
      <c r="N820" s="17">
        <f>IF(A821=A822,_xll.ciqfunctions.udf.CIQ(A813,"IQ_TOTAL_DEBT_REPAID",IQ_FY-3), _xll.ciqfunctions.udf.CIQ(A813, "IQ_TOTAL_DEBT_REPAID",IQ_FY-2))</f>
        <v>-288.87900000000002</v>
      </c>
      <c r="O820" s="15">
        <f t="shared" si="217"/>
        <v>-8.0963194092758359E-2</v>
      </c>
      <c r="P820" s="15">
        <f t="shared" si="218"/>
        <v>5.3858232728342017</v>
      </c>
      <c r="Q820" s="18"/>
      <c r="R820" s="39" t="s">
        <v>31</v>
      </c>
      <c r="S820" s="5">
        <f>IF(NOT(D813&gt;0),FALSE,SLOPE(G813:G823,B813:B823))</f>
        <v>0.72047090909090916</v>
      </c>
      <c r="U820" s="18"/>
      <c r="V820" s="39" t="s">
        <v>31</v>
      </c>
      <c r="W820" s="5">
        <f>IF(NOT(D813&gt;0),FALSE,SLOPE(G813:G823,B813:B823))</f>
        <v>0.72047090909090916</v>
      </c>
      <c r="Y820" s="18"/>
      <c r="Z820" s="39" t="s">
        <v>31</v>
      </c>
      <c r="AA820" s="5">
        <f>IF(NOT(L813&gt;0),FALSE,SLOPE(O813:O823,J813:J823))</f>
        <v>-5.4220229042089944E-4</v>
      </c>
    </row>
    <row r="821" spans="1:27">
      <c r="A821" s="19">
        <f>_xll.ciqfunctions.udf.CIQ(A813,"IQ_TOTAL_REV",IQ_FY)</f>
        <v>5081.5420000000004</v>
      </c>
      <c r="B821" s="13">
        <v>9</v>
      </c>
      <c r="C821" s="14" t="s">
        <v>32</v>
      </c>
      <c r="D821" s="15" cm="1">
        <f t="array" ref="D821">_xlfn.SINGLE(IF(A821=A822,_xll.ciqfunctions.udf.CIQ(A813,"IQ_TOTAL_REV",IQ_FY-2)/I821, _xll.ciqfunctions.udf.CIQ(A813, "IQ_TOTAL_REV",IQ_FY-1)/I821))</f>
        <v>27.399885843394813</v>
      </c>
      <c r="E821" s="16">
        <f t="shared" si="219"/>
        <v>0.13778922973019339</v>
      </c>
      <c r="F821" s="15">
        <f>IF(A821=A822,_xll.ciqfunctions.udf.CIQ(A813,"IQ_DILUT_EPS_EXCL",IQ_FY-2), _xll.ciqfunctions.udf.CIQ(A813, "IQ_DILUT_EPS_EXCL",IQ_FY-1))</f>
        <v>4.8099999999999996</v>
      </c>
      <c r="G821" s="15">
        <f>IF(A821=A822,_xll.ciqfunctions.udf.CIQ(A813,"IQ_EBITDA_MARGIN",IQ_FY-2), _xll.ciqfunctions.udf.CIQ(A813, "IQ_EBITDA_MARGIN",IQ_FY-1))</f>
        <v>21.924600000000002</v>
      </c>
      <c r="H821" s="15">
        <f>IF(A821=A822,_xll.ciqfunctions.udf.CIQ(A813,"IQ_TOTAL_DIV_PAID_CF",IQ_FY-2)/-I821, _xll.ciqfunctions.udf.CIQ(A813, "IQ_TOTAL_DIV_PAID_CF",IQ_FY-1)/-I821)</f>
        <v>0</v>
      </c>
      <c r="I821" s="17">
        <f>IF(A821=A822,_xll.ciqfunctions.udf.CIQ(A813,"IQ_TOTAL_OUTSTANDING_FILING_DATE",IQ_FY-2), _xll.ciqfunctions.udf.CIQ(A813, "IQ_TOTAL_OUTSTANDING_FILING_DATE",IQ_FY-1))</f>
        <v>153.43834000000001</v>
      </c>
      <c r="J821" s="17">
        <f>IF(A821=A822,_xll.ciqfunctions.udf.CIQ(A813,"IQ_CASH_OPER",IQ_FY-2), _xll.ciqfunctions.udf.CIQ(A813, "IQ_CASH_OPER",IQ_FY-1))</f>
        <v>1492.6220000000001</v>
      </c>
      <c r="K821" s="17">
        <f>IF(A821=A822,_xll.ciqfunctions.udf.CIQ(A813,"IQ_CAPEX",IQ_FY-2), _xll.ciqfunctions.udf.CIQ(A813, "IQ_CAPEX",IQ_FY-1))</f>
        <v>-93.763999999999996</v>
      </c>
      <c r="L821" s="15">
        <f t="shared" si="216"/>
        <v>9.1167435726950643</v>
      </c>
      <c r="M821" s="17">
        <f>IF(A821=A822,_xll.ciqfunctions.udf.CIQ(A813,"IQ_TOTAL_DEBT_ISSUED",IQ_FY-2), _xll.ciqfunctions.udf.CIQ(A813, "IQ_TOTAL_DEBT_ISSUED",IQ_FY-1))</f>
        <v>0</v>
      </c>
      <c r="N821" s="17">
        <f>IF(A821=A822,_xll.ciqfunctions.udf.CIQ(A813,"IQ_TOTAL_DEBT_REPAID",IQ_FY-2), _xll.ciqfunctions.udf.CIQ(A813, "IQ_TOTAL_DEBT_REPAID",IQ_FY-1))</f>
        <v>-28.061</v>
      </c>
      <c r="O821" s="15">
        <f t="shared" si="217"/>
        <v>-0.1828812798678609</v>
      </c>
      <c r="P821" s="15">
        <f t="shared" si="218"/>
        <v>8.9338622928272038</v>
      </c>
      <c r="Q821" s="25" t="s">
        <v>33</v>
      </c>
      <c r="R821" s="38" t="s">
        <v>52</v>
      </c>
      <c r="S821" s="4">
        <f>(AVERAGE(O818:O823)/AVERAGE(P818:P823))</f>
        <v>-1.9741019845964106E-2</v>
      </c>
      <c r="U821" s="25" t="s">
        <v>54</v>
      </c>
      <c r="V821" s="38" t="s">
        <v>52</v>
      </c>
      <c r="W821" s="4">
        <f>(AVERAGE(O818:O823)/AVERAGE(P818:P823))</f>
        <v>-1.9741019845964106E-2</v>
      </c>
      <c r="Y821" s="25" t="s">
        <v>60</v>
      </c>
      <c r="Z821" s="38" t="s">
        <v>52</v>
      </c>
      <c r="AA821" s="4">
        <f>(AVERAGE(O818:O823)/AVERAGE(P818:P823))</f>
        <v>-1.9741019845964106E-2</v>
      </c>
    </row>
    <row r="822" spans="1:27">
      <c r="A822" s="19">
        <f>_xll.ciqfunctions.udf.CIQ(A813,"IQ_TOTAL_REV",IQ_LTM)</f>
        <v>5527.7830000000004</v>
      </c>
      <c r="B822" s="13">
        <v>10</v>
      </c>
      <c r="C822" s="14" t="s">
        <v>34</v>
      </c>
      <c r="D822" s="15" cm="1">
        <f t="array" ref="D822">_xlfn.SINGLE(IF(A821=A822,_xll.ciqfunctions.udf.CIQ(A813,"IQ_TOTAL_REV",IQ_FY-1)/I822, _xll.ciqfunctions.udf.CIQ(A813, "IQ_TOTAL_REV",IQ_FY)/I822))</f>
        <v>33.339690883948194</v>
      </c>
      <c r="E822" s="16">
        <f t="shared" si="219"/>
        <v>0.21678210903879613</v>
      </c>
      <c r="F822" s="15">
        <f>IF(A821=A822,_xll.ciqfunctions.udf.CIQ(A813,"IQ_DILUT_EPS_EXCL",IQ_FY-1), _xll.ciqfunctions.udf.CIQ(A813, "IQ_DILUT_EPS_EXCL",IQ_FY))</f>
        <v>6.29</v>
      </c>
      <c r="G822" s="15">
        <f>IF(A821=A822,_xll.ciqfunctions.udf.CIQ(A813,"IQ_EBITDA_MARGIN",IQ_FY-1), _xll.ciqfunctions.udf.CIQ(A813, "IQ_EBITDA_MARGIN",IQ_FY))</f>
        <v>26.278600000000001</v>
      </c>
      <c r="H822" s="15">
        <f>IF(A821=A822,_xll.ciqfunctions.udf.CIQ(A813,"IQ_TOTAL_DIV_PAID_CF",IQ_FY-1)/-I822, _xll.ciqfunctions.udf.CIQ(A813, "IQ_TOTAL_DIV_PAID_CF",IQ_FY)/-I822)</f>
        <v>0</v>
      </c>
      <c r="I822" s="17">
        <f>IF(A821=A822,_xll.ciqfunctions.udf.CIQ(A813,"IQ_TOTAL_OUTSTANDING_FILING_DATE",IQ_FY-1), _xll.ciqfunctions.udf.CIQ(A813, "IQ_TOTAL_OUTSTANDING_FILING_DATE",IQ_FY))</f>
        <v>152.41719000000001</v>
      </c>
      <c r="J822" s="17">
        <f>IF(A821=A822,_xll.ciqfunctions.udf.CIQ(A813,"IQ_CASH_OPER",IQ_FY-1), _xll.ciqfunctions.udf.CIQ(A813, "IQ_CASH_OPER",IQ_FY))</f>
        <v>1738.9</v>
      </c>
      <c r="K822" s="17">
        <f>IF(A821=A822,_xll.ciqfunctions.udf.CIQ(A813,"IQ_CAPEX",IQ_FY-1), _xll.ciqfunctions.udf.CIQ(A813, "IQ_CAPEX",IQ_FY))</f>
        <v>-136.589</v>
      </c>
      <c r="L822" s="15">
        <f t="shared" si="216"/>
        <v>10.512665926986321</v>
      </c>
      <c r="M822" s="17">
        <f>IF(A821=A822,_xll.ciqfunctions.udf.CIQ(A813,"IQ_TOTAL_DEBT_ISSUED",IQ_FY-1), _xll.ciqfunctions.udf.CIQ(A813, "IQ_TOTAL_DEBT_ISSUED",IQ_FY))</f>
        <v>0</v>
      </c>
      <c r="N822" s="17">
        <f>IF(A821=A822,_xll.ciqfunctions.udf.CIQ(A813,"IQ_TOTAL_DEBT_REPAID",IQ_FY-1), _xll.ciqfunctions.udf.CIQ(A813, "IQ_TOTAL_DEBT_REPAID",IQ_FY))</f>
        <v>-76.837999999999994</v>
      </c>
      <c r="O822" s="15">
        <f t="shared" si="217"/>
        <v>-0.50412948828147264</v>
      </c>
      <c r="P822" s="15">
        <f t="shared" si="218"/>
        <v>10.008536438704848</v>
      </c>
      <c r="Q822" s="25" t="s">
        <v>44</v>
      </c>
      <c r="R822" s="38" t="s">
        <v>35</v>
      </c>
      <c r="S822" s="1">
        <f>_xll.ciqfunctions.udf.CIQ(A813,"IQ_TEV_EBITDA")</f>
        <v>57.632669999999997</v>
      </c>
      <c r="U822" s="25" t="s">
        <v>55</v>
      </c>
      <c r="V822" s="38" t="s">
        <v>53</v>
      </c>
      <c r="W822" s="1">
        <f>V812/(AVERAGE(D818:D823)/_xlfn.STDEV.P(E818:E823))</f>
        <v>1.0035687224227463</v>
      </c>
      <c r="Y822" s="25" t="s">
        <v>57</v>
      </c>
      <c r="Z822" s="38" t="s">
        <v>53</v>
      </c>
      <c r="AA822" s="1">
        <f>Z812/(AVERAGE(D818:D823)/_xlfn.STDEV.P(E818:E823))</f>
        <v>1.0035687224227463</v>
      </c>
    </row>
    <row r="823" spans="1:27">
      <c r="B823" s="13">
        <v>11</v>
      </c>
      <c r="C823" s="20" t="s">
        <v>36</v>
      </c>
      <c r="D823" s="21" cm="1">
        <f t="array" ref="D823">_xlfn.SINGLE(IF(A821=A822,_xll.ciqfunctions.udf.CIQ(A813,"IQ_TOTAL_REV",IQ_FY)/I823, _xll.ciqfunctions.udf.CIQ(A813, "IQ_TOTAL_REV",IQ_LTM)/I823))</f>
        <v>36.34694999112989</v>
      </c>
      <c r="E823" s="22">
        <f t="shared" si="219"/>
        <v>9.0200569574854034E-2</v>
      </c>
      <c r="F823" s="21">
        <f>IF(A821=A822,_xll.ciqfunctions.udf.CIQ(A813,"IQ_DILUT_EPS_EXCL",IQ_FY), _xll.ciqfunctions.udf.CIQ(A813, "IQ_DILUT_EPS_EXCL",IQ_LTM))</f>
        <v>6.6538599999999999</v>
      </c>
      <c r="G823" s="21">
        <f>IF(A821=A822,_xll.ciqfunctions.udf.CIQ(A813,"IQ_EBITDA_MARGIN",IQ_FY), _xll.ciqfunctions.udf.CIQ(A813, "IQ_EBITDA_MARGIN",IQ_LTM))</f>
        <v>23.483599999999999</v>
      </c>
      <c r="H823" s="21">
        <f>IF(A821=A822,_xll.ciqfunctions.udf.CIQ(A813,"IQ_TOTAL_DIV_PAID_CF",IQ_FY)/-I823, _xll.ciqfunctions.udf.CIQ(A813, "IQ_TOTAL_DIV_PAID_CF",IQ_LTM)/-I823)</f>
        <v>0</v>
      </c>
      <c r="I823" s="23">
        <f>IF(A821=A822,_xll.ciqfunctions.udf.CIQ(A813,"IQ_TOTAL_OUTSTANDING_FILING_DATE",IQ_FY),_xll.ciqfunctions.udf.CIQ(A813,"IQ_sharesoutstanding"))</f>
        <v>152.08382</v>
      </c>
      <c r="J823" s="23">
        <f>IF(A821=A822,_xll.ciqfunctions.udf.CIQ(A813,"IQ_CASH_OPER",IQ_FY), _xll.ciqfunctions.udf.CIQ(A813, "IQ_CASH_OPER",IQ_LTM))</f>
        <v>1770.7180000000001</v>
      </c>
      <c r="K823" s="23">
        <f>IF(A821=A822,_xll.ciqfunctions.udf.CIQ(A813,"IQ_CAPEX",IQ_FY), _xll.ciqfunctions.udf.CIQ(A813, "IQ_CAPEX",IQ_LTM))</f>
        <v>-170.17500000000001</v>
      </c>
      <c r="L823" s="21">
        <f t="shared" si="216"/>
        <v>10.524084679093411</v>
      </c>
      <c r="M823" s="23">
        <f>IF(A821=A822,_xll.ciqfunctions.udf.CIQ(A813,"IQ_TOTAL_DEBT_ISSUED",IQ_FY), _xll.ciqfunctions.udf.CIQ(A813, "IQ_TOTAL_DEBT_ISSUED",IQ_LTM))</f>
        <v>0</v>
      </c>
      <c r="N823" s="23">
        <f>IF(A821=A822,_xll.ciqfunctions.udf.CIQ(A813,"IQ_TOTAL_DEBT_REPAID",IQ_FY), _xll.ciqfunctions.udf.CIQ(A813, "IQ_TOTAL_DEBT_REPAID",IQ_LTM))</f>
        <v>-2.6030000000000002</v>
      </c>
      <c r="O823" s="21">
        <f t="shared" si="217"/>
        <v>-1.7115561668558828E-2</v>
      </c>
      <c r="P823" s="21">
        <f t="shared" si="218"/>
        <v>10.506969117424852</v>
      </c>
      <c r="Q823" s="25" t="s">
        <v>45</v>
      </c>
      <c r="S823" s="45"/>
      <c r="U823" s="25"/>
      <c r="W823" s="45"/>
      <c r="Y823" s="25"/>
      <c r="AA823" s="45"/>
    </row>
    <row r="824" spans="1:27">
      <c r="B824" s="24"/>
      <c r="C824" s="25" t="s">
        <v>37</v>
      </c>
      <c r="E824" s="26">
        <f>((D823/D818)^(1/5))-1</f>
        <v>0.11730099532206495</v>
      </c>
      <c r="F824" s="27">
        <f>((F823/F818)^(1/5))-1</f>
        <v>0.18731214471657065</v>
      </c>
      <c r="G824" s="28"/>
      <c r="H824" s="27" t="e">
        <f>((H823/H818)^(1/5))-1</f>
        <v>#DIV/0!</v>
      </c>
      <c r="I824" s="27">
        <f>((I823/I818)^(1/5))-1</f>
        <v>3.4128158587847235E-3</v>
      </c>
      <c r="J824" s="27"/>
      <c r="K824" s="27"/>
      <c r="L824" s="26">
        <f>((L823/L818)^(1/5))-1</f>
        <v>0.37051621043306482</v>
      </c>
      <c r="M824" s="26"/>
      <c r="N824" s="26"/>
      <c r="O824" s="26"/>
      <c r="P824" s="26">
        <f>((P823/P818)^(1/5))-1</f>
        <v>0.19275235308801886</v>
      </c>
      <c r="Q824" s="18"/>
      <c r="R824" s="36"/>
      <c r="S824" s="45"/>
      <c r="U824" s="18"/>
      <c r="V824" s="36"/>
      <c r="W824" s="45"/>
      <c r="Y824" s="18"/>
      <c r="Z824" s="36"/>
      <c r="AA824" s="45"/>
    </row>
    <row r="825" spans="1:27">
      <c r="A825" s="29"/>
      <c r="B825" s="30"/>
      <c r="C825" s="31" t="s">
        <v>38</v>
      </c>
      <c r="D825" s="29"/>
      <c r="E825" s="32">
        <f>((D823/D813)^(1/10))-1</f>
        <v>0.11076151958100366</v>
      </c>
      <c r="F825" s="33">
        <f>((F823/F813)^(1/10))-1</f>
        <v>0.15462686253329472</v>
      </c>
      <c r="G825" s="34"/>
      <c r="H825" s="33" t="e">
        <f>((H823/H813)^(1/10))-1</f>
        <v>#DIV/0!</v>
      </c>
      <c r="I825" s="33">
        <f>((I823/I813)^(1/10))-1</f>
        <v>-1.4734069001108852E-3</v>
      </c>
      <c r="J825" s="33"/>
      <c r="K825" s="33"/>
      <c r="L825" s="32">
        <f>((L823/L813)^(1/10))-1</f>
        <v>0.14181196858700162</v>
      </c>
      <c r="M825" s="32"/>
      <c r="N825" s="32"/>
      <c r="O825" s="32"/>
      <c r="P825" s="32">
        <f>((P823/P813)^(1/10))-1</f>
        <v>0.15009170838974217</v>
      </c>
      <c r="Q825" s="40"/>
      <c r="R825" s="41"/>
      <c r="S825" s="46"/>
      <c r="U825" s="40"/>
      <c r="V825" s="41"/>
      <c r="W825" s="46"/>
      <c r="Y825" s="40"/>
      <c r="Z825" s="41"/>
      <c r="AA825" s="46"/>
    </row>
    <row r="826" spans="1:27">
      <c r="B826" s="24"/>
      <c r="C826" s="25"/>
      <c r="E826" s="26"/>
      <c r="F826" s="27"/>
      <c r="G826" s="28"/>
      <c r="H826" s="27"/>
      <c r="I826" s="27"/>
      <c r="J826" s="27"/>
      <c r="K826" s="27"/>
      <c r="L826" s="26"/>
      <c r="M826" s="17"/>
      <c r="N826" s="17"/>
      <c r="O826" s="17"/>
      <c r="P826" s="35"/>
      <c r="Q826" s="18"/>
      <c r="R826" s="36"/>
    </row>
    <row r="827" spans="1:27">
      <c r="A827" s="9" t="s">
        <v>0</v>
      </c>
      <c r="B827" s="10"/>
      <c r="C827" s="9" t="s">
        <v>1</v>
      </c>
      <c r="D827" s="9" t="s">
        <v>2</v>
      </c>
      <c r="E827" s="9" t="s">
        <v>3</v>
      </c>
      <c r="F827" s="11" t="s">
        <v>4</v>
      </c>
      <c r="G827" s="11" t="s">
        <v>5</v>
      </c>
      <c r="H827" s="9" t="s">
        <v>6</v>
      </c>
      <c r="I827" s="11" t="s">
        <v>7</v>
      </c>
      <c r="J827" s="11" t="s">
        <v>8</v>
      </c>
      <c r="K827" s="11" t="s">
        <v>9</v>
      </c>
      <c r="L827" s="11" t="s">
        <v>10</v>
      </c>
      <c r="M827" s="11" t="s">
        <v>11</v>
      </c>
      <c r="N827" s="11" t="s">
        <v>12</v>
      </c>
      <c r="O827" s="11" t="s">
        <v>13</v>
      </c>
      <c r="P827" s="11" t="s">
        <v>14</v>
      </c>
      <c r="Q827" s="37" t="s">
        <v>15</v>
      </c>
      <c r="R827" s="42">
        <f>_xll.ciqfunctions.udf.CIQ(A828,("IQ_LASTSALEPRICE"))</f>
        <v>412.125</v>
      </c>
      <c r="S827" s="44"/>
      <c r="U827" s="37" t="s">
        <v>15</v>
      </c>
      <c r="V827" s="42">
        <f>_xll.ciqfunctions.udf.CIQ(A828,("IQ_LASTSALEPRICE"))</f>
        <v>412.125</v>
      </c>
      <c r="W827" s="44"/>
      <c r="Y827" s="37" t="s">
        <v>15</v>
      </c>
      <c r="Z827" s="42">
        <f>_xll.ciqfunctions.udf.CIQ(A828,("IQ_LASTSALEPRICE"))</f>
        <v>412.125</v>
      </c>
      <c r="AA827" s="44"/>
    </row>
    <row r="828" spans="1:27">
      <c r="A828" s="12" t="str">
        <f>Analysis!B57</f>
        <v>NYSE:TYL</v>
      </c>
      <c r="B828" s="13">
        <v>1</v>
      </c>
      <c r="C828" s="14" t="s">
        <v>16</v>
      </c>
      <c r="D828" s="15">
        <f>IF(A836=A837,_xll.ciqfunctions.udf.CIQ(A828,"IQ_TOTAL_REV",IQ_FY-10)/I828,_xll.ciqfunctions.udf.CIQ(A828, "IQ_TOTAL_REV",IQ_FY-9)/I828)</f>
        <v>12.654305239179955</v>
      </c>
      <c r="E828" s="16"/>
      <c r="F828" s="15">
        <f>IF(A836=A837,_xll.ciqfunctions.udf.CIQ(A828,"IQ_DILUT_EPS_EXCL",IQ_FY-10), _xll.ciqfunctions.udf.CIQ(A828, "IQ_DILUT_EPS_EXCL",IQ_FY-9))</f>
        <v>1.1299999999999999</v>
      </c>
      <c r="G828" s="15">
        <f>IF(A836=A837,_xll.ciqfunctions.udf.CIQ(A828,"IQ_EBITDA_MARGIN",IQ_FY-10), _xll.ciqfunctions.udf.CIQ(A828, "IQ_EBITDA_MARGIN",IQ_FY-9))</f>
        <v>18.921700000000001</v>
      </c>
      <c r="H828" s="15">
        <f>IF(A836=A837,_xll.ciqfunctions.udf.CIQ(A828,"IQ_TOTAL_DIV_PAID_CF",IQ_FY-10)/-I828, _xll.ciqfunctions.udf.CIQ(A828, "IQ_TOTAL_DIV_PAID_CF",IQ_FY-9)/-I828)</f>
        <v>0</v>
      </c>
      <c r="I828" s="17">
        <f>IF(A836=A837,_xll.ciqfunctions.udf.CIQ(A828,"IQ_TOTAL_OUTSTANDING_FILING_DATE",IQ_FY-10), _xll.ciqfunctions.udf.CIQ(A828, "IQ_TOTAL_OUTSTANDING_FILING_DATE",IQ_FY-9))</f>
        <v>32.924999999999997</v>
      </c>
      <c r="J828" s="17">
        <f>IF(A836=A837,_xll.ciqfunctions.udf.CIQ(A828,"IQ_CASH_OPER",IQ_FY-10), _xll.ciqfunctions.udf.CIQ(A828, "IQ_CASH_OPER",IQ_FY-9))</f>
        <v>66.09</v>
      </c>
      <c r="K828" s="17">
        <f>IF(A836=A837,_xll.ciqfunctions.udf.CIQ(A828,"IQ_CAPEX",IQ_FY-10), _xll.ciqfunctions.udf.CIQ(A828, "IQ_CAPEX",IQ_FY-9))</f>
        <v>-26.858000000000001</v>
      </c>
      <c r="L828" s="15">
        <f t="shared" ref="L828:L838" si="220">(J828+K828)/I828</f>
        <v>1.1915565679574791</v>
      </c>
      <c r="M828" s="17">
        <f>IF(A836=A837,_xll.ciqfunctions.udf.CIQ(A828,"IQ_TOTAL_DEBT_ISSUED",IQ_FY-10), _xll.ciqfunctions.udf.CIQ(A828, "IQ_TOTAL_DEBT_ISSUED",IQ_FY-9))</f>
        <v>0</v>
      </c>
      <c r="N828" s="17">
        <f>IF(A836=A837,_xll.ciqfunctions.udf.CIQ(A828,"IQ_TOTAL_DEBT_REPAID",IQ_FY-10), _xll.ciqfunctions.udf.CIQ(A828, "IQ_TOTAL_DEBT_REPAID",IQ_FY-9))</f>
        <v>-18</v>
      </c>
      <c r="O828" s="15">
        <f t="shared" ref="O828:O838" si="221">(M828+N828)/I828</f>
        <v>-0.54669703872437359</v>
      </c>
      <c r="P828" s="15">
        <f t="shared" ref="P828:P838" si="222">L828+O828</f>
        <v>0.64485952923310552</v>
      </c>
      <c r="W828" s="43"/>
      <c r="AA828" s="43"/>
    </row>
    <row r="829" spans="1:27">
      <c r="A829" s="18" t="str">
        <f>_xll.ciqfunctions.udf.CIQ(A828,"IQ_COMPANY_NAME")</f>
        <v>Tyler Technologies, Inc.</v>
      </c>
      <c r="B829" s="13">
        <v>2</v>
      </c>
      <c r="C829" s="14" t="s">
        <v>17</v>
      </c>
      <c r="D829" s="15">
        <f>IF(A836=A837,_xll.ciqfunctions.udf.CIQ(A828,"IQ_TOTAL_REV",IQ_FY-9)/I829, _xll.ciqfunctions.udf.CIQ(A828, "IQ_TOTAL_REV",IQ_FY-8)/I829)</f>
        <v>14.683928411899585</v>
      </c>
      <c r="E829" s="16">
        <f t="shared" ref="E829:E838" si="223">(D829-D828)/D828</f>
        <v>0.1603899332565141</v>
      </c>
      <c r="F829" s="15">
        <f>IF(A836=A837,_xll.ciqfunctions.udf.CIQ(A828,"IQ_DILUT_EPS_EXCL",IQ_FY-9), _xll.ciqfunctions.udf.CIQ(A828, "IQ_DILUT_EPS_EXCL",IQ_FY-8))</f>
        <v>1.66</v>
      </c>
      <c r="G829" s="15">
        <f>IF(A836=A837,_xll.ciqfunctions.udf.CIQ(A828,"IQ_EBITDA_MARGIN",IQ_FY-9), _xll.ciqfunctions.udf.CIQ(A828, "IQ_EBITDA_MARGIN",IQ_FY-8))</f>
        <v>21.814800000000002</v>
      </c>
      <c r="H829" s="15">
        <f>IF(A836=A837,_xll.ciqfunctions.udf.CIQ(A828,"IQ_TOTAL_DIV_PAID_CF",IQ_FY-9)/-I829, _xll.ciqfunctions.udf.CIQ(A828, "IQ_TOTAL_DIV_PAID_CF",IQ_FY-8)/-I829)</f>
        <v>0</v>
      </c>
      <c r="I829" s="17">
        <f>IF(A836=A837,_xll.ciqfunctions.udf.CIQ(A828,"IQ_TOTAL_OUTSTANDING_FILING_DATE",IQ_FY-9), _xll.ciqfunctions.udf.CIQ(A828, "IQ_TOTAL_OUTSTANDING_FILING_DATE",IQ_FY-8))</f>
        <v>33.581000000000003</v>
      </c>
      <c r="J829" s="17">
        <f>IF(A836=A837,_xll.ciqfunctions.udf.CIQ(A828,"IQ_CASH_OPER",IQ_FY-9), _xll.ciqfunctions.udf.CIQ(A828, "IQ_CASH_OPER",IQ_FY-8))</f>
        <v>142.839</v>
      </c>
      <c r="K829" s="17">
        <f>IF(A836=A837,_xll.ciqfunctions.udf.CIQ(A828,"IQ_CAPEX",IQ_FY-9), _xll.ciqfunctions.udf.CIQ(A828, "IQ_CAPEX",IQ_FY-8))</f>
        <v>-9.343</v>
      </c>
      <c r="L829" s="15">
        <f t="shared" si="220"/>
        <v>3.9753432000238229</v>
      </c>
      <c r="M829" s="17">
        <f>IF(A836=A837,_xll.ciqfunctions.udf.CIQ(A828,"IQ_TOTAL_DEBT_ISSUED",IQ_FY-9), _xll.ciqfunctions.udf.CIQ(A828, "IQ_TOTAL_DEBT_ISSUED",IQ_FY-8))</f>
        <v>0</v>
      </c>
      <c r="N829" s="17">
        <f>IF(A836=A837,_xll.ciqfunctions.udf.CIQ(A828,"IQ_TOTAL_DEBT_REPAID",IQ_FY-9), _xll.ciqfunctions.udf.CIQ(A828, "IQ_TOTAL_DEBT_REPAID",IQ_FY-8))</f>
        <v>0</v>
      </c>
      <c r="O829" s="15">
        <f t="shared" si="221"/>
        <v>0</v>
      </c>
      <c r="P829" s="15">
        <f t="shared" si="222"/>
        <v>3.9753432000238229</v>
      </c>
      <c r="Q829" s="25" t="s">
        <v>18</v>
      </c>
      <c r="R829" s="39" t="s">
        <v>19</v>
      </c>
      <c r="S829" s="1">
        <f>R827/((AVERAGE(P833:P838))*(1+E839)^3)</f>
        <v>28.194269964008011</v>
      </c>
      <c r="U829" s="25" t="s">
        <v>48</v>
      </c>
      <c r="V829" s="39" t="s">
        <v>19</v>
      </c>
      <c r="W829" s="1">
        <f>V827/((AVERAGE(P833:P838))*(1+E839)^3)</f>
        <v>28.194269964008011</v>
      </c>
      <c r="Y829" s="25" t="s">
        <v>39</v>
      </c>
      <c r="Z829" s="39" t="s">
        <v>19</v>
      </c>
      <c r="AA829" s="1">
        <f>Z827/((AVERAGE(P833:P838))*(1+E839)^3)</f>
        <v>28.194269964008011</v>
      </c>
    </row>
    <row r="830" spans="1:27">
      <c r="B830" s="13">
        <v>3</v>
      </c>
      <c r="C830" s="14" t="s">
        <v>20</v>
      </c>
      <c r="D830" s="15" cm="1">
        <f t="array" ref="D830">_xlfn.SINGLE(IF(A836=A837,_xll.ciqfunctions.udf.CIQ(A828,"IQ_TOTAL_REV",IQ_FY-8)/I830, _xll.ciqfunctions.udf.CIQ(A828, "IQ_TOTAL_REV",IQ_FY-7)/I830))</f>
        <v>16.160505304604616</v>
      </c>
      <c r="E830" s="16">
        <f t="shared" si="223"/>
        <v>0.10055734754934113</v>
      </c>
      <c r="F830" s="15">
        <f>IF(A836=A837,_xll.ciqfunctions.udf.CIQ(A828,"IQ_DILUT_EPS_EXCL",IQ_FY-8), _xll.ciqfunctions.udf.CIQ(A828, "IQ_DILUT_EPS_EXCL",IQ_FY-7))</f>
        <v>1.77</v>
      </c>
      <c r="G830" s="15">
        <f>IF(A836=A837,_xll.ciqfunctions.udf.CIQ(A828,"IQ_EBITDA_MARGIN",IQ_FY-8), _xll.ciqfunctions.udf.CIQ(A828, "IQ_EBITDA_MARGIN",IQ_FY-7))</f>
        <v>21.839600000000001</v>
      </c>
      <c r="H830" s="15">
        <f>IF(A836=A837,_xll.ciqfunctions.udf.CIQ(A828,"IQ_TOTAL_DIV_PAID_CF",IQ_FY-8)/-I830, _xll.ciqfunctions.udf.CIQ(A828, "IQ_TOTAL_DIV_PAID_CF",IQ_FY-7)/-I830)</f>
        <v>0</v>
      </c>
      <c r="I830" s="17">
        <f>IF(A836=A837,_xll.ciqfunctions.udf.CIQ(A828,"IQ_TOTAL_OUTSTANDING_FILING_DATE",IQ_FY-8), _xll.ciqfunctions.udf.CIQ(A828, "IQ_TOTAL_OUTSTANDING_FILING_DATE",IQ_FY-7))</f>
        <v>36.572000000000003</v>
      </c>
      <c r="J830" s="17">
        <f>IF(A836=A837,_xll.ciqfunctions.udf.CIQ(A828,"IQ_CASH_OPER",IQ_FY-8), _xll.ciqfunctions.udf.CIQ(A828, "IQ_CASH_OPER",IQ_FY-7))</f>
        <v>134.327</v>
      </c>
      <c r="K830" s="17">
        <f>IF(A836=A837,_xll.ciqfunctions.udf.CIQ(A828,"IQ_CAPEX",IQ_FY-8), _xll.ciqfunctions.udf.CIQ(A828, "IQ_CAPEX",IQ_FY-7))</f>
        <v>-12.500999999999999</v>
      </c>
      <c r="L830" s="15">
        <f t="shared" si="220"/>
        <v>3.3311276386306461</v>
      </c>
      <c r="M830" s="17">
        <f>IF(A836=A837,_xll.ciqfunctions.udf.CIQ(A828,"IQ_TOTAL_DEBT_ISSUED",IQ_FY-8), _xll.ciqfunctions.udf.CIQ(A828, "IQ_TOTAL_DEBT_ISSUED",IQ_FY-7))</f>
        <v>66</v>
      </c>
      <c r="N830" s="17">
        <f>IF(A836=A837,_xll.ciqfunctions.udf.CIQ(A828,"IQ_TOTAL_DEBT_REPAID",IQ_FY-8), _xll.ciqfunctions.udf.CIQ(A828, "IQ_TOTAL_DEBT_REPAID",IQ_FY-7))</f>
        <v>0</v>
      </c>
      <c r="O830" s="15">
        <f t="shared" si="221"/>
        <v>1.804659302198403</v>
      </c>
      <c r="P830" s="15">
        <f t="shared" si="222"/>
        <v>5.1357869408290489</v>
      </c>
      <c r="Q830" s="25" t="s">
        <v>21</v>
      </c>
      <c r="R830" s="38" t="s">
        <v>49</v>
      </c>
      <c r="S830" s="2">
        <f>(R827*I838)/1000</f>
        <v>17.360431803749997</v>
      </c>
      <c r="U830" s="25" t="s">
        <v>59</v>
      </c>
      <c r="V830" s="38" t="s">
        <v>49</v>
      </c>
      <c r="W830" s="2">
        <f>(V827*I838)/1000</f>
        <v>17.360431803749997</v>
      </c>
      <c r="Y830" s="25" t="s">
        <v>46</v>
      </c>
      <c r="Z830" s="38" t="s">
        <v>49</v>
      </c>
      <c r="AA830" s="2">
        <f>(Z827*I838)/1000</f>
        <v>17.360431803749997</v>
      </c>
    </row>
    <row r="831" spans="1:27">
      <c r="A831" s="18"/>
      <c r="B831" s="13">
        <v>4</v>
      </c>
      <c r="C831" s="14" t="s">
        <v>22</v>
      </c>
      <c r="D831" s="15" cm="1">
        <f t="array" ref="D831">_xlfn.SINGLE(IF(A836=A837,_xll.ciqfunctions.udf.CIQ(A828,"IQ_TOTAL_REV",IQ_FY-7)/I831, _xll.ciqfunctions.udf.CIQ(A828, "IQ_TOTAL_REV",IQ_FY-6)/I831))</f>
        <v>20.633213859020309</v>
      </c>
      <c r="E831" s="16">
        <f t="shared" si="223"/>
        <v>0.27676786524374847</v>
      </c>
      <c r="F831" s="15">
        <f>IF(A836=A837,_xll.ciqfunctions.udf.CIQ(A828,"IQ_DILUT_EPS_EXCL",IQ_FY-7), _xll.ciqfunctions.udf.CIQ(A828, "IQ_DILUT_EPS_EXCL",IQ_FY-6))</f>
        <v>2.92</v>
      </c>
      <c r="G831" s="15">
        <f>IF(A836=A837,_xll.ciqfunctions.udf.CIQ(A828,"IQ_EBITDA_MARGIN",IQ_FY-7), _xll.ciqfunctions.udf.CIQ(A828, "IQ_EBITDA_MARGIN",IQ_FY-6))</f>
        <v>21.7394</v>
      </c>
      <c r="H831" s="15">
        <f>IF(A836=A837,_xll.ciqfunctions.udf.CIQ(A828,"IQ_TOTAL_DIV_PAID_CF",IQ_FY-7)/-I831, _xll.ciqfunctions.udf.CIQ(A828, "IQ_TOTAL_DIV_PAID_CF",IQ_FY-6)/-I831)</f>
        <v>0</v>
      </c>
      <c r="I831" s="17">
        <f>IF(A836=A837,_xll.ciqfunctions.udf.CIQ(A828,"IQ_TOTAL_OUTSTANDING_FILING_DATE",IQ_FY-7), _xll.ciqfunctions.udf.CIQ(A828, "IQ_TOTAL_OUTSTANDING_FILING_DATE",IQ_FY-6))</f>
        <v>36.828000000000003</v>
      </c>
      <c r="J831" s="17">
        <f>IF(A836=A837,_xll.ciqfunctions.udf.CIQ(A828,"IQ_CASH_OPER",IQ_FY-7), _xll.ciqfunctions.udf.CIQ(A828, "IQ_CASH_OPER",IQ_FY-6))</f>
        <v>191.85900000000001</v>
      </c>
      <c r="K831" s="17">
        <f>IF(A836=A837,_xll.ciqfunctions.udf.CIQ(A828,"IQ_CAPEX",IQ_FY-7), _xll.ciqfunctions.udf.CIQ(A828, "IQ_CAPEX",IQ_FY-6))</f>
        <v>-37.725999999999999</v>
      </c>
      <c r="L831" s="15">
        <f t="shared" si="220"/>
        <v>4.185212338438145</v>
      </c>
      <c r="M831" s="17">
        <f>IF(A836=A837,_xll.ciqfunctions.udf.CIQ(A828,"IQ_TOTAL_DEBT_ISSUED",IQ_FY-7), _xll.ciqfunctions.udf.CIQ(A828, "IQ_TOTAL_DEBT_ISSUED",IQ_FY-6))</f>
        <v>0</v>
      </c>
      <c r="N831" s="17">
        <f>IF(A836=A837,_xll.ciqfunctions.udf.CIQ(A828,"IQ_TOTAL_DEBT_REPAID",IQ_FY-7), _xll.ciqfunctions.udf.CIQ(A828, "IQ_TOTAL_DEBT_REPAID",IQ_FY-6))</f>
        <v>-56</v>
      </c>
      <c r="O831" s="15">
        <f t="shared" si="221"/>
        <v>-1.5205821657434559</v>
      </c>
      <c r="P831" s="15">
        <f t="shared" si="222"/>
        <v>2.664630172694689</v>
      </c>
      <c r="Q831" s="25" t="s">
        <v>23</v>
      </c>
      <c r="R831" s="38" t="s">
        <v>24</v>
      </c>
      <c r="S831" s="1" t="e">
        <f>R827/(AVERAGE(H833:H838)*(1+H839)/(0.5-H839))</f>
        <v>#DIV/0!</v>
      </c>
      <c r="U831" s="25" t="s">
        <v>40</v>
      </c>
      <c r="V831" s="38" t="s">
        <v>24</v>
      </c>
      <c r="W831" s="1" t="e">
        <f>V827/(AVERAGE(H833:H838)*(1+H839)/(0.5-H839))</f>
        <v>#DIV/0!</v>
      </c>
      <c r="Y831" s="25" t="s">
        <v>47</v>
      </c>
      <c r="Z831" s="38" t="s">
        <v>24</v>
      </c>
      <c r="AA831" s="1" t="e">
        <f>Z827/(AVERAGE(H833:H838)*(1+H839)/(0.5-H839))</f>
        <v>#DIV/0!</v>
      </c>
    </row>
    <row r="832" spans="1:27">
      <c r="B832" s="13">
        <v>5</v>
      </c>
      <c r="C832" s="14" t="s">
        <v>25</v>
      </c>
      <c r="D832" s="15" cm="1">
        <f t="array" ref="D832">_xlfn.SINGLE(IF(A836=A837,_xll.ciqfunctions.udf.CIQ(A828,"IQ_TOTAL_REV",IQ_FY-6)/I832, _xll.ciqfunctions.udf.CIQ(A828, "IQ_TOTAL_REV",IQ_FY-5)/I832))</f>
        <v>22.186723305453679</v>
      </c>
      <c r="E832" s="16">
        <f t="shared" si="223"/>
        <v>7.5291685388808982E-2</v>
      </c>
      <c r="F832" s="15">
        <f>IF(A836=A837,_xll.ciqfunctions.udf.CIQ(A828,"IQ_DILUT_EPS_EXCL",IQ_FY-6), _xll.ciqfunctions.udf.CIQ(A828, "IQ_DILUT_EPS_EXCL",IQ_FY-5))</f>
        <v>4.32</v>
      </c>
      <c r="G832" s="15">
        <f>IF(A836=A837,_xll.ciqfunctions.udf.CIQ(A828,"IQ_EBITDA_MARGIN",IQ_FY-6), _xll.ciqfunctions.udf.CIQ(A828, "IQ_EBITDA_MARGIN",IQ_FY-5))</f>
        <v>23.126000000000001</v>
      </c>
      <c r="H832" s="15">
        <f>IF(A836=A837,_xll.ciqfunctions.udf.CIQ(A828,"IQ_TOTAL_DIV_PAID_CF",IQ_FY-6)/-I832, _xll.ciqfunctions.udf.CIQ(A828, "IQ_TOTAL_DIV_PAID_CF",IQ_FY-5)/-I832)</f>
        <v>0</v>
      </c>
      <c r="I832" s="17">
        <f>IF(A836=A837,_xll.ciqfunctions.udf.CIQ(A828,"IQ_TOTAL_OUTSTANDING_FILING_DATE",IQ_FY-6), _xll.ciqfunctions.udf.CIQ(A828, "IQ_TOTAL_OUTSTANDING_FILING_DATE",IQ_FY-5))</f>
        <v>37.901000000000003</v>
      </c>
      <c r="J832" s="17">
        <f>IF(A836=A837,_xll.ciqfunctions.udf.CIQ(A828,"IQ_CASH_OPER",IQ_FY-6), _xll.ciqfunctions.udf.CIQ(A828, "IQ_CASH_OPER",IQ_FY-5))</f>
        <v>195.755</v>
      </c>
      <c r="K832" s="17">
        <f>IF(A836=A837,_xll.ciqfunctions.udf.CIQ(A828,"IQ_CAPEX",IQ_FY-6), _xll.ciqfunctions.udf.CIQ(A828, "IQ_CAPEX",IQ_FY-5))</f>
        <v>-43.057000000000002</v>
      </c>
      <c r="L832" s="15">
        <f t="shared" si="220"/>
        <v>4.0288646737553089</v>
      </c>
      <c r="M832" s="17">
        <f>IF(A836=A837,_xll.ciqfunctions.udf.CIQ(A828,"IQ_TOTAL_DEBT_ISSUED",IQ_FY-6), _xll.ciqfunctions.udf.CIQ(A828, "IQ_TOTAL_DEBT_ISSUED",IQ_FY-5))</f>
        <v>0</v>
      </c>
      <c r="N832" s="17">
        <f>IF(A836=A837,_xll.ciqfunctions.udf.CIQ(A828,"IQ_TOTAL_DEBT_REPAID",IQ_FY-6), _xll.ciqfunctions.udf.CIQ(A828, "IQ_TOTAL_DEBT_REPAID",IQ_FY-5))</f>
        <v>-10</v>
      </c>
      <c r="O832" s="15">
        <f t="shared" si="221"/>
        <v>-0.263845281127147</v>
      </c>
      <c r="P832" s="15">
        <f t="shared" si="222"/>
        <v>3.7650193926281617</v>
      </c>
      <c r="Q832" s="18"/>
      <c r="R832" s="38" t="s">
        <v>50</v>
      </c>
      <c r="S832" s="3">
        <f>I839</f>
        <v>1.9254022897248646E-2</v>
      </c>
      <c r="U832" s="18"/>
      <c r="V832" s="38" t="s">
        <v>50</v>
      </c>
      <c r="W832" s="3">
        <f>I839</f>
        <v>1.9254022897248646E-2</v>
      </c>
      <c r="Y832" s="18"/>
      <c r="Z832" s="38" t="s">
        <v>50</v>
      </c>
      <c r="AA832" s="3">
        <f>I839</f>
        <v>1.9254022897248646E-2</v>
      </c>
    </row>
    <row r="833" spans="1:27">
      <c r="B833" s="13">
        <v>6</v>
      </c>
      <c r="C833" s="14" t="s">
        <v>26</v>
      </c>
      <c r="D833" s="15" cm="1">
        <f t="array" ref="D833">_xlfn.SINGLE(IF(A836=A837,_xll.ciqfunctions.udf.CIQ(A828,"IQ_TOTAL_REV",IQ_FY-5)/I833, _xll.ciqfunctions.udf.CIQ(A828, "IQ_TOTAL_REV",IQ_FY-4)/I833))</f>
        <v>24.424359543519707</v>
      </c>
      <c r="E833" s="16">
        <f t="shared" si="223"/>
        <v>0.10085474124590529</v>
      </c>
      <c r="F833" s="15">
        <f>IF(A836=A837,_xll.ciqfunctions.udf.CIQ(A828,"IQ_DILUT_EPS_EXCL",IQ_FY-5), _xll.ciqfunctions.udf.CIQ(A828, "IQ_DILUT_EPS_EXCL",IQ_FY-4))</f>
        <v>3.68</v>
      </c>
      <c r="G833" s="15">
        <f>IF(A836=A837,_xll.ciqfunctions.udf.CIQ(A828,"IQ_EBITDA_MARGIN",IQ_FY-5), _xll.ciqfunctions.udf.CIQ(A828, "IQ_EBITDA_MARGIN",IQ_FY-4))</f>
        <v>20.4514</v>
      </c>
      <c r="H833" s="15">
        <f>IF(A836=A837,_xll.ciqfunctions.udf.CIQ(A828,"IQ_TOTAL_DIV_PAID_CF",IQ_FY-5)/-I833, _xll.ciqfunctions.udf.CIQ(A828, "IQ_TOTAL_DIV_PAID_CF",IQ_FY-4)/-I833)</f>
        <v>0</v>
      </c>
      <c r="I833" s="17">
        <f>IF(A836=A837,_xll.ciqfunctions.udf.CIQ(A828,"IQ_TOTAL_OUTSTANDING_FILING_DATE",IQ_FY-5), _xll.ciqfunctions.udf.CIQ(A828, "IQ_TOTAL_OUTSTANDING_FILING_DATE",IQ_FY-4))</f>
        <v>38.292999999999999</v>
      </c>
      <c r="J833" s="17">
        <f>IF(A836=A837,_xll.ciqfunctions.udf.CIQ(A828,"IQ_CASH_OPER",IQ_FY-5), _xll.ciqfunctions.udf.CIQ(A828, "IQ_CASH_OPER",IQ_FY-4))</f>
        <v>250.203</v>
      </c>
      <c r="K833" s="17">
        <f>IF(A836=A837,_xll.ciqfunctions.udf.CIQ(A828,"IQ_CAPEX",IQ_FY-5), _xll.ciqfunctions.udf.CIQ(A828, "IQ_CAPEX",IQ_FY-4))</f>
        <v>-27.423999999999999</v>
      </c>
      <c r="L833" s="15">
        <f t="shared" si="220"/>
        <v>5.8177473689708306</v>
      </c>
      <c r="M833" s="17">
        <f>IF(A836=A837,_xll.ciqfunctions.udf.CIQ(A828,"IQ_TOTAL_DEBT_ISSUED",IQ_FY-5), _xll.ciqfunctions.udf.CIQ(A828, "IQ_TOTAL_DEBT_ISSUED",IQ_FY-4))</f>
        <v>0</v>
      </c>
      <c r="N833" s="17">
        <f>IF(A836=A837,_xll.ciqfunctions.udf.CIQ(A828,"IQ_TOTAL_DEBT_REPAID",IQ_FY-5), _xll.ciqfunctions.udf.CIQ(A828, "IQ_TOTAL_DEBT_REPAID",IQ_FY-4))</f>
        <v>0</v>
      </c>
      <c r="O833" s="15">
        <f t="shared" si="221"/>
        <v>0</v>
      </c>
      <c r="P833" s="15">
        <f t="shared" si="222"/>
        <v>5.8177473689708306</v>
      </c>
      <c r="Q833" s="25" t="s">
        <v>27</v>
      </c>
      <c r="R833" s="38" t="s">
        <v>51</v>
      </c>
      <c r="S833" s="4">
        <f>AVERAGE(F833:F838)/AVERAGE(D833:D838)</f>
        <v>0.11259541977373619</v>
      </c>
      <c r="U833" s="25" t="s">
        <v>58</v>
      </c>
      <c r="V833" s="38" t="s">
        <v>51</v>
      </c>
      <c r="W833" s="4">
        <f>AVERAGE(F833:F838)/AVERAGE(D833:D838)</f>
        <v>0.11259541977373619</v>
      </c>
      <c r="Y833" s="25" t="s">
        <v>56</v>
      </c>
      <c r="Z833" s="38" t="s">
        <v>51</v>
      </c>
      <c r="AA833" s="4">
        <f>AVERAGE(F833:F838)/AVERAGE(D833:D838)</f>
        <v>0.11259541977373619</v>
      </c>
    </row>
    <row r="834" spans="1:27">
      <c r="A834" s="18"/>
      <c r="B834" s="13">
        <v>7</v>
      </c>
      <c r="C834" s="14" t="s">
        <v>28</v>
      </c>
      <c r="D834" s="15" cm="1">
        <f t="array" ref="D834">_xlfn.SINGLE(IF(A836=A837,_xll.ciqfunctions.udf.CIQ(A828,"IQ_TOTAL_REV",IQ_FY-4)/I834, _xll.ciqfunctions.udf.CIQ(A828, "IQ_TOTAL_REV",IQ_FY-3)/I834))</f>
        <v>27.57708904457305</v>
      </c>
      <c r="E834" s="16">
        <f t="shared" si="223"/>
        <v>0.12908135811855212</v>
      </c>
      <c r="F834" s="15">
        <f>IF(A836=A837,_xll.ciqfunctions.udf.CIQ(A828,"IQ_DILUT_EPS_EXCL",IQ_FY-4), _xll.ciqfunctions.udf.CIQ(A828, "IQ_DILUT_EPS_EXCL",IQ_FY-3))</f>
        <v>3.65</v>
      </c>
      <c r="G834" s="15">
        <f>IF(A836=A837,_xll.ciqfunctions.udf.CIQ(A828,"IQ_EBITDA_MARGIN",IQ_FY-4), _xll.ciqfunctions.udf.CIQ(A828, "IQ_EBITDA_MARGIN",IQ_FY-3))</f>
        <v>18.6023</v>
      </c>
      <c r="H834" s="15">
        <f>IF(A836=A837,_xll.ciqfunctions.udf.CIQ(A828,"IQ_TOTAL_DIV_PAID_CF",IQ_FY-4)/-I834, _xll.ciqfunctions.udf.CIQ(A828, "IQ_TOTAL_DIV_PAID_CF",IQ_FY-3)/-I834)</f>
        <v>0</v>
      </c>
      <c r="I834" s="17">
        <f>IF(A836=A837,_xll.ciqfunctions.udf.CIQ(A828,"IQ_TOTAL_OUTSTANDING_FILING_DATE",IQ_FY-4), _xll.ciqfunctions.udf.CIQ(A828, "IQ_TOTAL_OUTSTANDING_FILING_DATE",IQ_FY-3))</f>
        <v>39.396000000000001</v>
      </c>
      <c r="J834" s="17">
        <f>IF(A836=A837,_xll.ciqfunctions.udf.CIQ(A828,"IQ_CASH_OPER",IQ_FY-4), _xll.ciqfunctions.udf.CIQ(A828, "IQ_CASH_OPER",IQ_FY-3))</f>
        <v>254.72</v>
      </c>
      <c r="K834" s="17">
        <f>IF(A836=A837,_xll.ciqfunctions.udf.CIQ(A828,"IQ_CAPEX",IQ_FY-4), _xll.ciqfunctions.udf.CIQ(A828, "IQ_CAPEX",IQ_FY-3))</f>
        <v>-37.235999999999997</v>
      </c>
      <c r="L834" s="15">
        <f t="shared" si="220"/>
        <v>5.5204589298405935</v>
      </c>
      <c r="M834" s="17">
        <f>IF(A836=A837,_xll.ciqfunctions.udf.CIQ(A828,"IQ_TOTAL_DEBT_ISSUED",IQ_FY-4), _xll.ciqfunctions.udf.CIQ(A828, "IQ_TOTAL_DEBT_ISSUED",IQ_FY-3))</f>
        <v>0</v>
      </c>
      <c r="N834" s="17">
        <f>IF(A836=A837,_xll.ciqfunctions.udf.CIQ(A828,"IQ_TOTAL_DEBT_REPAID",IQ_FY-4), _xll.ciqfunctions.udf.CIQ(A828, "IQ_TOTAL_DEBT_REPAID",IQ_FY-3))</f>
        <v>0</v>
      </c>
      <c r="O834" s="15">
        <f t="shared" si="221"/>
        <v>0</v>
      </c>
      <c r="P834" s="15">
        <f t="shared" si="222"/>
        <v>5.5204589298405935</v>
      </c>
      <c r="Q834" s="18"/>
      <c r="R834" s="38" t="s">
        <v>29</v>
      </c>
      <c r="S834" s="4">
        <f>(AVERAGE(P833:P838)/_xlfn.STDEV.P(P833:P838))/(IF(A836=A837,(_xlfn.SINGLE(_xll.ciqfunctions.udf.CIQ(A828,"IQ_total_assets",IQ_FY)) - _xlfn.SINGLE(_xll.ciqfunctions.udf.CIQ(A828,"iq_gw_intan", IQ_FY)))/I838, (_xlfn.SINGLE(_xll.ciqfunctions.udf.CIQ(A828, "IQ_total_assets",IQ_LTM))-_xlfn.SINGLE(_xll.ciqfunctions.udf.CIQ(A828,"iq_gw_intan",IQ_LTM)))/I838))</f>
        <v>2.6631937115144527E-2</v>
      </c>
      <c r="U834" s="18"/>
      <c r="V834" s="38" t="s">
        <v>29</v>
      </c>
      <c r="W834" s="4">
        <f>(AVERAGE(P833:P838)/_xlfn.STDEV.P(P833:P838))/(IF(A836=A837,(_xlfn.SINGLE(_xll.ciqfunctions.udf.CIQ(A828,"IQ_total_assets",IQ_FY)) - _xlfn.SINGLE(_xll.ciqfunctions.udf.CIQ(A828,"iq_gw_intan", IQ_FY)))/I838, (_xlfn.SINGLE(_xll.ciqfunctions.udf.CIQ(A828, "IQ_total_assets",IQ_LTM))-_xlfn.SINGLE(_xll.ciqfunctions.udf.CIQ(A828,"iq_gw_intan",IQ_LTM)))/I838))</f>
        <v>2.6631937115144527E-2</v>
      </c>
      <c r="Y834" s="18"/>
      <c r="Z834" s="38" t="s">
        <v>29</v>
      </c>
      <c r="AA834" s="4">
        <f>(AVERAGE(P833:P838)/_xlfn.STDEV.P(P833:P838))/(IF(A836=A837,(_xlfn.SINGLE(_xll.ciqfunctions.udf.CIQ(A828,"IQ_total_assets",IQ_FY)) - _xlfn.SINGLE(_xll.ciqfunctions.udf.CIQ(A828,"iq_gw_intan", IQ_FY)))/I838, (_xlfn.SINGLE(_xll.ciqfunctions.udf.CIQ(A828, "IQ_total_assets",IQ_LTM))-_xlfn.SINGLE(_xll.ciqfunctions.udf.CIQ(A828,"iq_gw_intan",IQ_LTM)))/I838))</f>
        <v>2.6631937115144527E-2</v>
      </c>
    </row>
    <row r="835" spans="1:27">
      <c r="A835" s="18"/>
      <c r="B835" s="13">
        <v>8</v>
      </c>
      <c r="C835" s="14" t="s">
        <v>30</v>
      </c>
      <c r="D835" s="15" cm="1">
        <f t="array" ref="D835">_xlfn.SINGLE(IF(A836=A837,_xll.ciqfunctions.udf.CIQ(A828,"IQ_TOTAL_REV",IQ_FY-3)/I835, _xll.ciqfunctions.udf.CIQ(A828, "IQ_TOTAL_REV",IQ_FY-2)/I835))</f>
        <v>27.519787819274743</v>
      </c>
      <c r="E835" s="16">
        <f t="shared" si="223"/>
        <v>-2.0778561945276586E-3</v>
      </c>
      <c r="F835" s="15">
        <f>IF(A836=A837,_xll.ciqfunctions.udf.CIQ(A828,"IQ_DILUT_EPS_EXCL",IQ_FY-3), _xll.ciqfunctions.udf.CIQ(A828, "IQ_DILUT_EPS_EXCL",IQ_FY-2))</f>
        <v>4.6900000000000004</v>
      </c>
      <c r="G835" s="15">
        <f>IF(A836=A837,_xll.ciqfunctions.udf.CIQ(A828,"IQ_EBITDA_MARGIN",IQ_FY-3), _xll.ciqfunctions.udf.CIQ(A828, "IQ_EBITDA_MARGIN",IQ_FY-2))</f>
        <v>19.828800000000001</v>
      </c>
      <c r="H835" s="15">
        <f>IF(A836=A837,_xll.ciqfunctions.udf.CIQ(A828,"IQ_TOTAL_DIV_PAID_CF",IQ_FY-3)/-I835, _xll.ciqfunctions.udf.CIQ(A828, "IQ_TOTAL_DIV_PAID_CF",IQ_FY-2)/-I835)</f>
        <v>0</v>
      </c>
      <c r="I835" s="17">
        <f>IF(A836=A837,_xll.ciqfunctions.udf.CIQ(A828,"IQ_TOTAL_OUTSTANDING_FILING_DATE",IQ_FY-3), _xll.ciqfunctions.udf.CIQ(A828, "IQ_TOTAL_OUTSTANDING_FILING_DATE",IQ_FY-2))</f>
        <v>40.576729999999998</v>
      </c>
      <c r="J835" s="17">
        <f>IF(A836=A837,_xll.ciqfunctions.udf.CIQ(A828,"IQ_CASH_OPER",IQ_FY-3), _xll.ciqfunctions.udf.CIQ(A828, "IQ_CASH_OPER",IQ_FY-2))</f>
        <v>355.089</v>
      </c>
      <c r="K835" s="17">
        <f>IF(A836=A837,_xll.ciqfunctions.udf.CIQ(A828,"IQ_CAPEX",IQ_FY-3), _xll.ciqfunctions.udf.CIQ(A828, "IQ_CAPEX",IQ_FY-2))</f>
        <v>-22.69</v>
      </c>
      <c r="L835" s="15">
        <f t="shared" si="220"/>
        <v>8.191862675972164</v>
      </c>
      <c r="M835" s="17">
        <f>IF(A836=A837,_xll.ciqfunctions.udf.CIQ(A828,"IQ_TOTAL_DEBT_ISSUED",IQ_FY-3), _xll.ciqfunctions.udf.CIQ(A828, "IQ_TOTAL_DEBT_ISSUED",IQ_FY-2))</f>
        <v>0</v>
      </c>
      <c r="N835" s="17">
        <f>IF(A836=A837,_xll.ciqfunctions.udf.CIQ(A828,"IQ_TOTAL_DEBT_REPAID",IQ_FY-3), _xll.ciqfunctions.udf.CIQ(A828, "IQ_TOTAL_DEBT_REPAID",IQ_FY-2))</f>
        <v>0</v>
      </c>
      <c r="O835" s="15">
        <f t="shared" si="221"/>
        <v>0</v>
      </c>
      <c r="P835" s="15">
        <f t="shared" si="222"/>
        <v>8.191862675972164</v>
      </c>
      <c r="Q835" s="18"/>
      <c r="R835" s="39" t="s">
        <v>31</v>
      </c>
      <c r="S835" s="5">
        <f>IF(NOT(D828&gt;0),FALSE,SLOPE(G828:G838,B828:B838))</f>
        <v>-0.44341090909090936</v>
      </c>
      <c r="U835" s="18"/>
      <c r="V835" s="39" t="s">
        <v>31</v>
      </c>
      <c r="W835" s="5">
        <f>IF(NOT(D828&gt;0),FALSE,SLOPE(G828:G838,B828:B838))</f>
        <v>-0.44341090909090936</v>
      </c>
      <c r="Y835" s="18"/>
      <c r="Z835" s="39" t="s">
        <v>31</v>
      </c>
      <c r="AA835" s="5">
        <f>IF(NOT(L828&gt;0),FALSE,SLOPE(O828:O838,J828:J838))</f>
        <v>1.7364841885047815E-2</v>
      </c>
    </row>
    <row r="836" spans="1:27">
      <c r="A836" s="19">
        <f>_xll.ciqfunctions.udf.CIQ(A828,"IQ_TOTAL_REV",IQ_FY)</f>
        <v>1850.204</v>
      </c>
      <c r="B836" s="13">
        <v>9</v>
      </c>
      <c r="C836" s="14" t="s">
        <v>32</v>
      </c>
      <c r="D836" s="15" cm="1">
        <f t="array" ref="D836">_xlfn.SINGLE(IF(A836=A837,_xll.ciqfunctions.udf.CIQ(A828,"IQ_TOTAL_REV",IQ_FY-2)/I836, _xll.ciqfunctions.udf.CIQ(A828, "IQ_TOTAL_REV",IQ_FY-1)/I836))</f>
        <v>38.508551130235084</v>
      </c>
      <c r="E836" s="16">
        <f t="shared" si="223"/>
        <v>0.3993040710606009</v>
      </c>
      <c r="F836" s="15">
        <f>IF(A836=A837,_xll.ciqfunctions.udf.CIQ(A828,"IQ_DILUT_EPS_EXCL",IQ_FY-2), _xll.ciqfunctions.udf.CIQ(A828, "IQ_DILUT_EPS_EXCL",IQ_FY-1))</f>
        <v>3.82</v>
      </c>
      <c r="G836" s="15">
        <f>IF(A836=A837,_xll.ciqfunctions.udf.CIQ(A828,"IQ_EBITDA_MARGIN",IQ_FY-2), _xll.ciqfunctions.udf.CIQ(A828, "IQ_EBITDA_MARGIN",IQ_FY-1))</f>
        <v>18.4346</v>
      </c>
      <c r="H836" s="15">
        <f>IF(A836=A837,_xll.ciqfunctions.udf.CIQ(A828,"IQ_TOTAL_DIV_PAID_CF",IQ_FY-2)/-I836, _xll.ciqfunctions.udf.CIQ(A828, "IQ_TOTAL_DIV_PAID_CF",IQ_FY-1)/-I836)</f>
        <v>0</v>
      </c>
      <c r="I836" s="17">
        <f>IF(A836=A837,_xll.ciqfunctions.udf.CIQ(A828,"IQ_TOTAL_OUTSTANDING_FILING_DATE",IQ_FY-2), _xll.ciqfunctions.udf.CIQ(A828, "IQ_TOTAL_OUTSTANDING_FILING_DATE",IQ_FY-1))</f>
        <v>41.34892</v>
      </c>
      <c r="J836" s="17">
        <f>IF(A836=A837,_xll.ciqfunctions.udf.CIQ(A828,"IQ_CASH_OPER",IQ_FY-2), _xll.ciqfunctions.udf.CIQ(A828, "IQ_CASH_OPER",IQ_FY-1))</f>
        <v>371.75299999999999</v>
      </c>
      <c r="K836" s="17">
        <f>IF(A836=A837,_xll.ciqfunctions.udf.CIQ(A828,"IQ_CAPEX",IQ_FY-2), _xll.ciqfunctions.udf.CIQ(A828, "IQ_CAPEX",IQ_FY-1))</f>
        <v>-33.918999999999997</v>
      </c>
      <c r="L836" s="15">
        <f t="shared" si="220"/>
        <v>8.1703222236517909</v>
      </c>
      <c r="M836" s="17">
        <f>IF(A836=A837,_xll.ciqfunctions.udf.CIQ(A828,"IQ_TOTAL_DEBT_ISSUED",IQ_FY-2), _xll.ciqfunctions.udf.CIQ(A828, "IQ_TOTAL_DEBT_ISSUED",IQ_FY-1))</f>
        <v>1500</v>
      </c>
      <c r="N836" s="17">
        <f>IF(A836=A837,_xll.ciqfunctions.udf.CIQ(A828,"IQ_TOTAL_DEBT_REPAID",IQ_FY-2), _xll.ciqfunctions.udf.CIQ(A828, "IQ_TOTAL_DEBT_REPAID",IQ_FY-1))</f>
        <v>-145</v>
      </c>
      <c r="O836" s="15">
        <f t="shared" si="221"/>
        <v>32.769900640693884</v>
      </c>
      <c r="P836" s="15">
        <f t="shared" si="222"/>
        <v>40.940222864345671</v>
      </c>
      <c r="Q836" s="25" t="s">
        <v>33</v>
      </c>
      <c r="R836" s="38" t="s">
        <v>52</v>
      </c>
      <c r="S836" s="4">
        <f>(AVERAGE(O833:O838)/AVERAGE(P833:P838))</f>
        <v>0.26503454486312483</v>
      </c>
      <c r="U836" s="25" t="s">
        <v>54</v>
      </c>
      <c r="V836" s="38" t="s">
        <v>52</v>
      </c>
      <c r="W836" s="4">
        <f>(AVERAGE(O833:O838)/AVERAGE(P833:P838))</f>
        <v>0.26503454486312483</v>
      </c>
      <c r="Y836" s="25" t="s">
        <v>60</v>
      </c>
      <c r="Z836" s="38" t="s">
        <v>52</v>
      </c>
      <c r="AA836" s="4">
        <f>(AVERAGE(O833:O838)/AVERAGE(P833:P838))</f>
        <v>0.26503454486312483</v>
      </c>
    </row>
    <row r="837" spans="1:27">
      <c r="A837" s="19">
        <f>_xll.ciqfunctions.udf.CIQ(A828,"IQ_TOTAL_REV",IQ_LTM)</f>
        <v>1923.038</v>
      </c>
      <c r="B837" s="13">
        <v>10</v>
      </c>
      <c r="C837" s="14" t="s">
        <v>34</v>
      </c>
      <c r="D837" s="15" cm="1">
        <f t="array" ref="D837">_xlfn.SINGLE(IF(A836=A837,_xll.ciqfunctions.udf.CIQ(A828,"IQ_TOTAL_REV",IQ_FY-1)/I837, _xll.ciqfunctions.udf.CIQ(A828, "IQ_TOTAL_REV",IQ_FY)/I837))</f>
        <v>44.242846840022111</v>
      </c>
      <c r="E837" s="16">
        <f t="shared" si="223"/>
        <v>0.14890967178676143</v>
      </c>
      <c r="F837" s="15">
        <f>IF(A836=A837,_xll.ciqfunctions.udf.CIQ(A828,"IQ_DILUT_EPS_EXCL",IQ_FY-1), _xll.ciqfunctions.udf.CIQ(A828, "IQ_DILUT_EPS_EXCL",IQ_FY))</f>
        <v>3.87</v>
      </c>
      <c r="G837" s="15">
        <f>IF(A836=A837,_xll.ciqfunctions.udf.CIQ(A828,"IQ_EBITDA_MARGIN",IQ_FY-1), _xll.ciqfunctions.udf.CIQ(A828, "IQ_EBITDA_MARGIN",IQ_FY))</f>
        <v>17.096599999999999</v>
      </c>
      <c r="H837" s="15">
        <f>IF(A836=A837,_xll.ciqfunctions.udf.CIQ(A828,"IQ_TOTAL_DIV_PAID_CF",IQ_FY-1)/-I837, _xll.ciqfunctions.udf.CIQ(A828, "IQ_TOTAL_DIV_PAID_CF",IQ_FY)/-I837)</f>
        <v>0</v>
      </c>
      <c r="I837" s="17">
        <f>IF(A836=A837,_xll.ciqfunctions.udf.CIQ(A828,"IQ_TOTAL_OUTSTANDING_FILING_DATE",IQ_FY-1), _xll.ciqfunctions.udf.CIQ(A828, "IQ_TOTAL_OUTSTANDING_FILING_DATE",IQ_FY))</f>
        <v>41.819279999999999</v>
      </c>
      <c r="J837" s="17">
        <f>IF(A836=A837,_xll.ciqfunctions.udf.CIQ(A828,"IQ_CASH_OPER",IQ_FY-1), _xll.ciqfunctions.udf.CIQ(A828, "IQ_CASH_OPER",IQ_FY))</f>
        <v>381.45499999999998</v>
      </c>
      <c r="K837" s="17">
        <f>IF(A836=A837,_xll.ciqfunctions.udf.CIQ(A828,"IQ_CAPEX",IQ_FY-1), _xll.ciqfunctions.udf.CIQ(A828, "IQ_CAPEX",IQ_FY))</f>
        <v>-22.529</v>
      </c>
      <c r="L837" s="15">
        <f t="shared" si="220"/>
        <v>8.5827876520112252</v>
      </c>
      <c r="M837" s="17">
        <f>IF(A836=A837,_xll.ciqfunctions.udf.CIQ(A828,"IQ_TOTAL_DEBT_ISSUED",IQ_FY-1), _xll.ciqfunctions.udf.CIQ(A828, "IQ_TOTAL_DEBT_ISSUED",IQ_FY))</f>
        <v>0</v>
      </c>
      <c r="N837" s="17">
        <f>IF(A836=A837,_xll.ciqfunctions.udf.CIQ(A828,"IQ_TOTAL_DEBT_REPAID",IQ_FY-1), _xll.ciqfunctions.udf.CIQ(A828, "IQ_TOTAL_DEBT_REPAID",IQ_FY))</f>
        <v>-360</v>
      </c>
      <c r="O837" s="15">
        <f t="shared" si="221"/>
        <v>-8.6084695862769518</v>
      </c>
      <c r="P837" s="15">
        <f t="shared" si="222"/>
        <v>-2.5681934265726625E-2</v>
      </c>
      <c r="Q837" s="25" t="s">
        <v>44</v>
      </c>
      <c r="R837" s="38" t="s">
        <v>35</v>
      </c>
      <c r="S837" s="1">
        <f>_xll.ciqfunctions.udf.CIQ(A828,"IQ_TEV_EBITDA")</f>
        <v>52.504600000000003</v>
      </c>
      <c r="U837" s="25" t="s">
        <v>55</v>
      </c>
      <c r="V837" s="38" t="s">
        <v>53</v>
      </c>
      <c r="W837" s="1">
        <f>V827/(AVERAGE(D833:D838)/_xlfn.STDEV.P(E833:E838))</f>
        <v>1.5405499905383386</v>
      </c>
      <c r="Y837" s="25" t="s">
        <v>57</v>
      </c>
      <c r="Z837" s="38" t="s">
        <v>53</v>
      </c>
      <c r="AA837" s="1">
        <f>Z827/(AVERAGE(D833:D838)/_xlfn.STDEV.P(E833:E838))</f>
        <v>1.5405499905383386</v>
      </c>
    </row>
    <row r="838" spans="1:27">
      <c r="B838" s="13">
        <v>11</v>
      </c>
      <c r="C838" s="20" t="s">
        <v>36</v>
      </c>
      <c r="D838" s="21" cm="1">
        <f t="array" ref="D838">_xlfn.SINGLE(IF(A836=A837,_xll.ciqfunctions.udf.CIQ(A828,"IQ_TOTAL_REV",IQ_FY)/I838, _xll.ciqfunctions.udf.CIQ(A828, "IQ_TOTAL_REV",IQ_LTM)/I838))</f>
        <v>45.651631520985923</v>
      </c>
      <c r="E838" s="22">
        <f t="shared" si="223"/>
        <v>3.1842089322548402E-2</v>
      </c>
      <c r="F838" s="21">
        <f>IF(A836=A837,_xll.ciqfunctions.udf.CIQ(A828,"IQ_DILUT_EPS_EXCL",IQ_FY), _xll.ciqfunctions.udf.CIQ(A828, "IQ_DILUT_EPS_EXCL",IQ_LTM))</f>
        <v>3.7013199999999999</v>
      </c>
      <c r="G838" s="21">
        <f>IF(A836=A837,_xll.ciqfunctions.udf.CIQ(A828,"IQ_EBITDA_MARGIN",IQ_FY), _xll.ciqfunctions.udf.CIQ(A828, "IQ_EBITDA_MARGIN",IQ_LTM))</f>
        <v>16.653199999999998</v>
      </c>
      <c r="H838" s="21">
        <f>IF(A836=A837,_xll.ciqfunctions.udf.CIQ(A828,"IQ_TOTAL_DIV_PAID_CF",IQ_FY)/-I838, _xll.ciqfunctions.udf.CIQ(A828, "IQ_TOTAL_DIV_PAID_CF",IQ_LTM)/-I838)</f>
        <v>0</v>
      </c>
      <c r="I838" s="23">
        <f>IF(A836=A837,_xll.ciqfunctions.udf.CIQ(A828,"IQ_TOTAL_OUTSTANDING_FILING_DATE",IQ_FY),_xll.ciqfunctions.udf.CIQ(A828,"IQ_sharesoutstanding"))</f>
        <v>42.124189999999999</v>
      </c>
      <c r="J838" s="23">
        <f>IF(A836=A837,_xll.ciqfunctions.udf.CIQ(A828,"IQ_CASH_OPER",IQ_FY), _xll.ciqfunctions.udf.CIQ(A828, "IQ_CASH_OPER",IQ_LTM))</f>
        <v>354.87799999999999</v>
      </c>
      <c r="K838" s="23">
        <f>IF(A836=A837,_xll.ciqfunctions.udf.CIQ(A828,"IQ_CAPEX",IQ_FY), _xll.ciqfunctions.udf.CIQ(A828, "IQ_CAPEX",IQ_LTM))</f>
        <v>-17.594000000000001</v>
      </c>
      <c r="L838" s="21">
        <f t="shared" si="220"/>
        <v>8.0068958002515895</v>
      </c>
      <c r="M838" s="23">
        <f>IF(A836=A837,_xll.ciqfunctions.udf.CIQ(A828,"IQ_TOTAL_DEBT_ISSUED",IQ_FY), _xll.ciqfunctions.udf.CIQ(A828, "IQ_TOTAL_DEBT_ISSUED",IQ_LTM))</f>
        <v>0</v>
      </c>
      <c r="N838" s="23">
        <f>IF(A836=A837,_xll.ciqfunctions.udf.CIQ(A828,"IQ_TOTAL_DEBT_REPAID",IQ_FY), _xll.ciqfunctions.udf.CIQ(A828, "IQ_TOTAL_DEBT_REPAID",IQ_LTM))</f>
        <v>-345</v>
      </c>
      <c r="O838" s="21">
        <f t="shared" si="221"/>
        <v>-8.1900684618505419</v>
      </c>
      <c r="P838" s="21">
        <f t="shared" si="222"/>
        <v>-0.1831726615989524</v>
      </c>
      <c r="Q838" s="25" t="s">
        <v>45</v>
      </c>
      <c r="S838" s="45"/>
      <c r="U838" s="25"/>
      <c r="W838" s="45"/>
      <c r="Y838" s="25"/>
      <c r="AA838" s="45"/>
    </row>
    <row r="839" spans="1:27">
      <c r="B839" s="24"/>
      <c r="C839" s="25" t="s">
        <v>37</v>
      </c>
      <c r="E839" s="26">
        <f>((D838/D833)^(1/5))-1</f>
        <v>0.13325233806806946</v>
      </c>
      <c r="F839" s="27">
        <f>((F838/F833)^(1/5))-1</f>
        <v>1.1560197970774677E-3</v>
      </c>
      <c r="G839" s="28"/>
      <c r="H839" s="27" t="e">
        <f>((H838/H833)^(1/5))-1</f>
        <v>#DIV/0!</v>
      </c>
      <c r="I839" s="27">
        <f>((I838/I833)^(1/5))-1</f>
        <v>1.9254022897248646E-2</v>
      </c>
      <c r="J839" s="27"/>
      <c r="K839" s="27"/>
      <c r="L839" s="26">
        <f>((L838/L833)^(1/5))-1</f>
        <v>6.5962345257768229E-2</v>
      </c>
      <c r="M839" s="26"/>
      <c r="N839" s="26"/>
      <c r="O839" s="26"/>
      <c r="P839" s="26">
        <f>((P838/P833)^(1/5))-1</f>
        <v>-1.5007502323889521</v>
      </c>
      <c r="Q839" s="18"/>
      <c r="R839" s="36"/>
      <c r="S839" s="45"/>
      <c r="U839" s="18"/>
      <c r="V839" s="36"/>
      <c r="W839" s="45"/>
      <c r="Y839" s="18"/>
      <c r="Z839" s="36"/>
      <c r="AA839" s="45"/>
    </row>
    <row r="840" spans="1:27">
      <c r="A840" s="29"/>
      <c r="B840" s="30"/>
      <c r="C840" s="31" t="s">
        <v>38</v>
      </c>
      <c r="D840" s="29"/>
      <c r="E840" s="32">
        <f>((D838/D828)^(1/10))-1</f>
        <v>0.1368987780910067</v>
      </c>
      <c r="F840" s="33">
        <f>((F838/F828)^(1/10))-1</f>
        <v>0.12597259156645224</v>
      </c>
      <c r="G840" s="34"/>
      <c r="H840" s="33" t="e">
        <f>((H838/H828)^(1/10))-1</f>
        <v>#DIV/0!</v>
      </c>
      <c r="I840" s="33">
        <f>((I838/I828)^(1/10))-1</f>
        <v>2.4945039586503848E-2</v>
      </c>
      <c r="J840" s="33"/>
      <c r="K840" s="33"/>
      <c r="L840" s="32">
        <f>((L838/L828)^(1/10))-1</f>
        <v>0.20985953400885426</v>
      </c>
      <c r="M840" s="32"/>
      <c r="N840" s="32"/>
      <c r="O840" s="32"/>
      <c r="P840" s="32" t="e">
        <f>((P838/P828)^(1/10))-1</f>
        <v>#NUM!</v>
      </c>
      <c r="Q840" s="40"/>
      <c r="R840" s="41"/>
      <c r="S840" s="46"/>
      <c r="U840" s="40"/>
      <c r="V840" s="41"/>
      <c r="W840" s="46"/>
      <c r="Y840" s="40"/>
      <c r="Z840" s="41"/>
      <c r="AA840" s="46"/>
    </row>
    <row r="841" spans="1:27">
      <c r="B841" s="24"/>
      <c r="C841" s="25"/>
      <c r="E841" s="26"/>
      <c r="F841" s="27"/>
      <c r="G841" s="28"/>
      <c r="H841" s="27"/>
      <c r="I841" s="27"/>
      <c r="J841" s="27"/>
      <c r="K841" s="27"/>
      <c r="L841" s="26"/>
      <c r="M841" s="17"/>
      <c r="N841" s="17"/>
      <c r="O841" s="17"/>
      <c r="P841" s="35"/>
      <c r="Q841" s="18"/>
      <c r="R841" s="36"/>
    </row>
    <row r="842" spans="1:27">
      <c r="A842" s="9" t="s">
        <v>0</v>
      </c>
      <c r="B842" s="10"/>
      <c r="C842" s="9" t="s">
        <v>1</v>
      </c>
      <c r="D842" s="9" t="s">
        <v>2</v>
      </c>
      <c r="E842" s="9" t="s">
        <v>3</v>
      </c>
      <c r="F842" s="11" t="s">
        <v>4</v>
      </c>
      <c r="G842" s="11" t="s">
        <v>5</v>
      </c>
      <c r="H842" s="9" t="s">
        <v>6</v>
      </c>
      <c r="I842" s="11" t="s">
        <v>7</v>
      </c>
      <c r="J842" s="11" t="s">
        <v>8</v>
      </c>
      <c r="K842" s="11" t="s">
        <v>9</v>
      </c>
      <c r="L842" s="11" t="s">
        <v>10</v>
      </c>
      <c r="M842" s="11" t="s">
        <v>11</v>
      </c>
      <c r="N842" s="11" t="s">
        <v>12</v>
      </c>
      <c r="O842" s="11" t="s">
        <v>13</v>
      </c>
      <c r="P842" s="11" t="s">
        <v>14</v>
      </c>
      <c r="Q842" s="37" t="s">
        <v>15</v>
      </c>
      <c r="R842" s="42">
        <f>_xll.ciqfunctions.udf.CIQ(A843,("IQ_LASTSALEPRICE"))</f>
        <v>151.69999999999999</v>
      </c>
      <c r="S842" s="44"/>
      <c r="U842" s="37" t="s">
        <v>15</v>
      </c>
      <c r="V842" s="42">
        <f>_xll.ciqfunctions.udf.CIQ(A843,("IQ_LASTSALEPRICE"))</f>
        <v>151.69999999999999</v>
      </c>
      <c r="W842" s="44"/>
      <c r="Y842" s="37" t="s">
        <v>15</v>
      </c>
      <c r="Z842" s="42">
        <f>_xll.ciqfunctions.udf.CIQ(A843,("IQ_LASTSALEPRICE"))</f>
        <v>151.69999999999999</v>
      </c>
      <c r="AA842" s="44"/>
    </row>
    <row r="843" spans="1:27">
      <c r="A843" s="12" t="str">
        <f>Analysis!B58</f>
        <v>NasdaqGS:SPLK</v>
      </c>
      <c r="B843" s="13">
        <v>1</v>
      </c>
      <c r="C843" s="14" t="s">
        <v>16</v>
      </c>
      <c r="D843" s="15">
        <f>IF(A851=A852,_xll.ciqfunctions.udf.CIQ(A843,"IQ_TOTAL_REV",IQ_FY-10)/I843,_xll.ciqfunctions.udf.CIQ(A843, "IQ_TOTAL_REV",IQ_FY-9)/I843)</f>
        <v>2.5666911555288143</v>
      </c>
      <c r="E843" s="16"/>
      <c r="F843" s="15">
        <f>IF(A851=A852,_xll.ciqfunctions.udf.CIQ(A843,"IQ_DILUT_EPS_EXCL",IQ_FY-10), _xll.ciqfunctions.udf.CIQ(A843, "IQ_DILUT_EPS_EXCL",IQ_FY-9))</f>
        <v>-0.75197999999999998</v>
      </c>
      <c r="G843" s="15">
        <f>IF(A851=A852,_xll.ciqfunctions.udf.CIQ(A843,"IQ_EBITDA_MARGIN",IQ_FY-10), _xll.ciqfunctions.udf.CIQ(A843, "IQ_EBITDA_MARGIN",IQ_FY-9))</f>
        <v>-22.961500000000001</v>
      </c>
      <c r="H843" s="15">
        <f>IF(A851=A852,_xll.ciqfunctions.udf.CIQ(A843,"IQ_TOTAL_DIV_PAID_CF",IQ_FY-10)/-I843, _xll.ciqfunctions.udf.CIQ(A843, "IQ_TOTAL_DIV_PAID_CF",IQ_FY-9)/-I843)</f>
        <v>0</v>
      </c>
      <c r="I843" s="17">
        <f>IF(A851=A852,_xll.ciqfunctions.udf.CIQ(A843,"IQ_TOTAL_OUTSTANDING_FILING_DATE",IQ_FY-10), _xll.ciqfunctions.udf.CIQ(A843, "IQ_TOTAL_OUTSTANDING_FILING_DATE",IQ_FY-9))</f>
        <v>117.90394000000001</v>
      </c>
      <c r="J843" s="17">
        <f>IF(A851=A852,_xll.ciqfunctions.udf.CIQ(A843,"IQ_CASH_OPER",IQ_FY-10), _xll.ciqfunctions.udf.CIQ(A843, "IQ_CASH_OPER",IQ_FY-9))</f>
        <v>73.847999999999999</v>
      </c>
      <c r="K843" s="17">
        <f>IF(A851=A852,_xll.ciqfunctions.udf.CIQ(A843,"IQ_CAPEX",IQ_FY-10), _xll.ciqfunctions.udf.CIQ(A843, "IQ_CAPEX",IQ_FY-9))</f>
        <v>-9.3079999999999998</v>
      </c>
      <c r="L843" s="15">
        <f t="shared" ref="L843:L853" si="224">(J843+K843)/I843</f>
        <v>0.54739476899584516</v>
      </c>
      <c r="M843" s="17">
        <f>IF(A851=A852,_xll.ciqfunctions.udf.CIQ(A843,"IQ_TOTAL_DEBT_ISSUED",IQ_FY-10), _xll.ciqfunctions.udf.CIQ(A843, "IQ_TOTAL_DEBT_ISSUED",IQ_FY-9))</f>
        <v>0</v>
      </c>
      <c r="N843" s="17">
        <f>IF(A851=A852,_xll.ciqfunctions.udf.CIQ(A843,"IQ_TOTAL_DEBT_REPAID",IQ_FY-10), _xll.ciqfunctions.udf.CIQ(A843, "IQ_TOTAL_DEBT_REPAID",IQ_FY-9))</f>
        <v>0</v>
      </c>
      <c r="O843" s="15">
        <f t="shared" ref="O843:O853" si="225">(M843+N843)/I843</f>
        <v>0</v>
      </c>
      <c r="P843" s="15">
        <f t="shared" ref="P843:P853" si="226">L843+O843</f>
        <v>0.54739476899584516</v>
      </c>
      <c r="W843" s="43"/>
      <c r="AA843" s="43"/>
    </row>
    <row r="844" spans="1:27">
      <c r="A844" s="18" t="str">
        <f>_xll.ciqfunctions.udf.CIQ(A843,"IQ_COMPANY_NAME")</f>
        <v>Splunk Inc.</v>
      </c>
      <c r="B844" s="13">
        <v>2</v>
      </c>
      <c r="C844" s="14" t="s">
        <v>17</v>
      </c>
      <c r="D844" s="15">
        <f>IF(A851=A852,_xll.ciqfunctions.udf.CIQ(A843,"IQ_TOTAL_REV",IQ_FY-9)/I844, _xll.ciqfunctions.udf.CIQ(A843, "IQ_TOTAL_REV",IQ_FY-8)/I844)</f>
        <v>3.6065069183741199</v>
      </c>
      <c r="E844" s="16">
        <f t="shared" ref="E844:E853" si="227">(D844-D843)/D843</f>
        <v>0.40511915919664776</v>
      </c>
      <c r="F844" s="15">
        <f>IF(A851=A852,_xll.ciqfunctions.udf.CIQ(A843,"IQ_DILUT_EPS_EXCL",IQ_FY-9), _xll.ciqfunctions.udf.CIQ(A843, "IQ_DILUT_EPS_EXCL",IQ_FY-8))</f>
        <v>-1.8127</v>
      </c>
      <c r="G844" s="15">
        <f>IF(A851=A852,_xll.ciqfunctions.udf.CIQ(A843,"IQ_EBITDA_MARGIN",IQ_FY-9), _xll.ciqfunctions.udf.CIQ(A843, "IQ_EBITDA_MARGIN",IQ_FY-8))</f>
        <v>-45.093600000000002</v>
      </c>
      <c r="H844" s="15">
        <f>IF(A851=A852,_xll.ciqfunctions.udf.CIQ(A843,"IQ_TOTAL_DIV_PAID_CF",IQ_FY-9)/-I844, _xll.ciqfunctions.udf.CIQ(A843, "IQ_TOTAL_DIV_PAID_CF",IQ_FY-8)/-I844)</f>
        <v>0</v>
      </c>
      <c r="I844" s="17">
        <f>IF(A851=A852,_xll.ciqfunctions.udf.CIQ(A843,"IQ_TOTAL_OUTSTANDING_FILING_DATE",IQ_FY-9), _xll.ciqfunctions.udf.CIQ(A843, "IQ_TOTAL_OUTSTANDING_FILING_DATE",IQ_FY-8))</f>
        <v>125.01709</v>
      </c>
      <c r="J844" s="17">
        <f>IF(A851=A852,_xll.ciqfunctions.udf.CIQ(A843,"IQ_CASH_OPER",IQ_FY-9), _xll.ciqfunctions.udf.CIQ(A843, "IQ_CASH_OPER",IQ_FY-8))</f>
        <v>103.98</v>
      </c>
      <c r="K844" s="17">
        <f>IF(A851=A852,_xll.ciqfunctions.udf.CIQ(A843,"IQ_CAPEX",IQ_FY-9), _xll.ciqfunctions.udf.CIQ(A843, "IQ_CAPEX",IQ_FY-8))</f>
        <v>-13.95</v>
      </c>
      <c r="L844" s="15">
        <f t="shared" si="224"/>
        <v>0.72014154224834381</v>
      </c>
      <c r="M844" s="17">
        <f>IF(A851=A852,_xll.ciqfunctions.udf.CIQ(A843,"IQ_TOTAL_DEBT_ISSUED",IQ_FY-9), _xll.ciqfunctions.udf.CIQ(A843, "IQ_TOTAL_DEBT_ISSUED",IQ_FY-8))</f>
        <v>0</v>
      </c>
      <c r="N844" s="17">
        <f>IF(A851=A852,_xll.ciqfunctions.udf.CIQ(A843,"IQ_TOTAL_DEBT_REPAID",IQ_FY-9), _xll.ciqfunctions.udf.CIQ(A843, "IQ_TOTAL_DEBT_REPAID",IQ_FY-8))</f>
        <v>-0.52300000000000002</v>
      </c>
      <c r="O844" s="15">
        <f t="shared" si="225"/>
        <v>-4.1834280417181362E-3</v>
      </c>
      <c r="P844" s="15">
        <f t="shared" si="226"/>
        <v>0.7159581142066257</v>
      </c>
      <c r="Q844" s="25" t="s">
        <v>18</v>
      </c>
      <c r="R844" s="39" t="s">
        <v>19</v>
      </c>
      <c r="S844" s="1">
        <f>R842/((AVERAGE(P848:P853))*(1+E854)^3)</f>
        <v>20.781663127031869</v>
      </c>
      <c r="U844" s="25" t="s">
        <v>48</v>
      </c>
      <c r="V844" s="39" t="s">
        <v>19</v>
      </c>
      <c r="W844" s="1">
        <f>V842/((AVERAGE(P848:P853))*(1+E854)^3)</f>
        <v>20.781663127031869</v>
      </c>
      <c r="Y844" s="25" t="s">
        <v>39</v>
      </c>
      <c r="Z844" s="39" t="s">
        <v>19</v>
      </c>
      <c r="AA844" s="1">
        <f>Z842/((AVERAGE(P848:P853))*(1+E854)^3)</f>
        <v>20.781663127031869</v>
      </c>
    </row>
    <row r="845" spans="1:27">
      <c r="B845" s="13">
        <v>3</v>
      </c>
      <c r="C845" s="14" t="s">
        <v>20</v>
      </c>
      <c r="D845" s="15" cm="1">
        <f t="array" ref="D845">_xlfn.SINGLE(IF(A851=A852,_xll.ciqfunctions.udf.CIQ(A843,"IQ_TOTAL_REV",IQ_FY-8)/I845, _xll.ciqfunctions.udf.CIQ(A843, "IQ_TOTAL_REV",IQ_FY-7)/I845))</f>
        <v>5.049485997701713</v>
      </c>
      <c r="E845" s="16">
        <f t="shared" si="227"/>
        <v>0.40010434250826693</v>
      </c>
      <c r="F845" s="15">
        <f>IF(A851=A852,_xll.ciqfunctions.udf.CIQ(A843,"IQ_DILUT_EPS_EXCL",IQ_FY-8), _xll.ciqfunctions.udf.CIQ(A843, "IQ_DILUT_EPS_EXCL",IQ_FY-7))</f>
        <v>-2.1994500000000001</v>
      </c>
      <c r="G845" s="15">
        <f>IF(A851=A852,_xll.ciqfunctions.udf.CIQ(A843,"IQ_EBITDA_MARGIN",IQ_FY-8), _xll.ciqfunctions.udf.CIQ(A843, "IQ_EBITDA_MARGIN",IQ_FY-7))</f>
        <v>-40.158200000000001</v>
      </c>
      <c r="H845" s="15">
        <f>IF(A851=A852,_xll.ciqfunctions.udf.CIQ(A843,"IQ_TOTAL_DIV_PAID_CF",IQ_FY-8)/-I845, _xll.ciqfunctions.udf.CIQ(A843, "IQ_TOTAL_DIV_PAID_CF",IQ_FY-7)/-I845)</f>
        <v>0</v>
      </c>
      <c r="I845" s="17">
        <f>IF(A851=A852,_xll.ciqfunctions.udf.CIQ(A843,"IQ_TOTAL_OUTSTANDING_FILING_DATE",IQ_FY-8), _xll.ciqfunctions.udf.CIQ(A843, "IQ_TOTAL_OUTSTANDING_FILING_DATE",IQ_FY-7))</f>
        <v>132.37683999999999</v>
      </c>
      <c r="J845" s="17">
        <f>IF(A851=A852,_xll.ciqfunctions.udf.CIQ(A843,"IQ_CASH_OPER",IQ_FY-8), _xll.ciqfunctions.udf.CIQ(A843, "IQ_CASH_OPER",IQ_FY-7))</f>
        <v>155.62200000000001</v>
      </c>
      <c r="K845" s="17">
        <f>IF(A851=A852,_xll.ciqfunctions.udf.CIQ(A843,"IQ_CAPEX",IQ_FY-8), _xll.ciqfunctions.udf.CIQ(A843, "IQ_CAPEX",IQ_FY-7))</f>
        <v>-51.332000000000001</v>
      </c>
      <c r="L845" s="15">
        <f t="shared" si="224"/>
        <v>0.78782663190932822</v>
      </c>
      <c r="M845" s="17">
        <f>IF(A851=A852,_xll.ciqfunctions.udf.CIQ(A843,"IQ_TOTAL_DEBT_ISSUED",IQ_FY-8), _xll.ciqfunctions.udf.CIQ(A843, "IQ_TOTAL_DEBT_ISSUED",IQ_FY-7))</f>
        <v>0</v>
      </c>
      <c r="N845" s="17">
        <f>IF(A851=A852,_xll.ciqfunctions.udf.CIQ(A843,"IQ_TOTAL_DEBT_REPAID",IQ_FY-8), _xll.ciqfunctions.udf.CIQ(A843, "IQ_TOTAL_DEBT_REPAID",IQ_FY-7))</f>
        <v>0</v>
      </c>
      <c r="O845" s="15">
        <f t="shared" si="225"/>
        <v>0</v>
      </c>
      <c r="P845" s="15">
        <f t="shared" si="226"/>
        <v>0.78782663190932822</v>
      </c>
      <c r="Q845" s="25" t="s">
        <v>21</v>
      </c>
      <c r="R845" s="38" t="s">
        <v>49</v>
      </c>
      <c r="S845" s="2">
        <f>(R842*I853)/1000</f>
        <v>25.567425462999996</v>
      </c>
      <c r="U845" s="25" t="s">
        <v>59</v>
      </c>
      <c r="V845" s="38" t="s">
        <v>49</v>
      </c>
      <c r="W845" s="2">
        <f>(V842*I853)/1000</f>
        <v>25.567425462999996</v>
      </c>
      <c r="Y845" s="25" t="s">
        <v>46</v>
      </c>
      <c r="Z845" s="38" t="s">
        <v>49</v>
      </c>
      <c r="AA845" s="2">
        <f>(Z842*I853)/1000</f>
        <v>25.567425462999996</v>
      </c>
    </row>
    <row r="846" spans="1:27">
      <c r="A846" s="18"/>
      <c r="B846" s="13">
        <v>4</v>
      </c>
      <c r="C846" s="14" t="s">
        <v>22</v>
      </c>
      <c r="D846" s="15" cm="1">
        <f t="array" ref="D846">_xlfn.SINGLE(IF(A851=A852,_xll.ciqfunctions.udf.CIQ(A843,"IQ_TOTAL_REV",IQ_FY-7)/I846, _xll.ciqfunctions.udf.CIQ(A843, "IQ_TOTAL_REV",IQ_FY-6)/I846))</f>
        <v>6.8252288484699433</v>
      </c>
      <c r="E846" s="16">
        <f t="shared" si="227"/>
        <v>0.35166804137618451</v>
      </c>
      <c r="F846" s="15">
        <f>IF(A851=A852,_xll.ciqfunctions.udf.CIQ(A843,"IQ_DILUT_EPS_EXCL",IQ_FY-7), _xll.ciqfunctions.udf.CIQ(A843, "IQ_DILUT_EPS_EXCL",IQ_FY-6))</f>
        <v>-2.5947300000000002</v>
      </c>
      <c r="G846" s="15">
        <f>IF(A851=A852,_xll.ciqfunctions.udf.CIQ(A843,"IQ_EBITDA_MARGIN",IQ_FY-7), _xll.ciqfunctions.udf.CIQ(A843, "IQ_EBITDA_MARGIN",IQ_FY-6))</f>
        <v>-31.012699999999999</v>
      </c>
      <c r="H846" s="15">
        <f>IF(A851=A852,_xll.ciqfunctions.udf.CIQ(A843,"IQ_TOTAL_DIV_PAID_CF",IQ_FY-7)/-I846, _xll.ciqfunctions.udf.CIQ(A843, "IQ_TOTAL_DIV_PAID_CF",IQ_FY-6)/-I846)</f>
        <v>0</v>
      </c>
      <c r="I846" s="17">
        <f>IF(A851=A852,_xll.ciqfunctions.udf.CIQ(A843,"IQ_TOTAL_OUTSTANDING_FILING_DATE",IQ_FY-7), _xll.ciqfunctions.udf.CIQ(A843, "IQ_TOTAL_OUTSTANDING_FILING_DATE",IQ_FY-6))</f>
        <v>138.2465</v>
      </c>
      <c r="J846" s="17">
        <f>IF(A851=A852,_xll.ciqfunctions.udf.CIQ(A843,"IQ_CASH_OPER",IQ_FY-7), _xll.ciqfunctions.udf.CIQ(A843, "IQ_CASH_OPER",IQ_FY-6))</f>
        <v>201.834</v>
      </c>
      <c r="K846" s="17">
        <f>IF(A851=A852,_xll.ciqfunctions.udf.CIQ(A843,"IQ_CAPEX",IQ_FY-7), _xll.ciqfunctions.udf.CIQ(A843, "IQ_CAPEX",IQ_FY-6))</f>
        <v>-45.348999999999997</v>
      </c>
      <c r="L846" s="15">
        <f t="shared" si="224"/>
        <v>1.1319273905668499</v>
      </c>
      <c r="M846" s="17">
        <f>IF(A851=A852,_xll.ciqfunctions.udf.CIQ(A843,"IQ_TOTAL_DEBT_ISSUED",IQ_FY-7), _xll.ciqfunctions.udf.CIQ(A843, "IQ_TOTAL_DEBT_ISSUED",IQ_FY-6))</f>
        <v>0</v>
      </c>
      <c r="N846" s="17">
        <f>IF(A851=A852,_xll.ciqfunctions.udf.CIQ(A843,"IQ_TOTAL_DEBT_REPAID",IQ_FY-7), _xll.ciqfunctions.udf.CIQ(A843, "IQ_TOTAL_DEBT_REPAID",IQ_FY-6))</f>
        <v>0</v>
      </c>
      <c r="O846" s="15">
        <f t="shared" si="225"/>
        <v>0</v>
      </c>
      <c r="P846" s="15">
        <f t="shared" si="226"/>
        <v>1.1319273905668499</v>
      </c>
      <c r="Q846" s="25" t="s">
        <v>23</v>
      </c>
      <c r="R846" s="38" t="s">
        <v>24</v>
      </c>
      <c r="S846" s="1" t="e">
        <f>R842/(AVERAGE(H848:H853)*(1+H854)/(0.5-H854))</f>
        <v>#DIV/0!</v>
      </c>
      <c r="U846" s="25" t="s">
        <v>40</v>
      </c>
      <c r="V846" s="38" t="s">
        <v>24</v>
      </c>
      <c r="W846" s="1" t="e">
        <f>V842/(AVERAGE(H848:H853)*(1+H854)/(0.5-H854))</f>
        <v>#DIV/0!</v>
      </c>
      <c r="Y846" s="25" t="s">
        <v>47</v>
      </c>
      <c r="Z846" s="38" t="s">
        <v>24</v>
      </c>
      <c r="AA846" s="1" t="e">
        <f>Z842/(AVERAGE(H848:H853)*(1+H854)/(0.5-H854))</f>
        <v>#DIV/0!</v>
      </c>
    </row>
    <row r="847" spans="1:27">
      <c r="B847" s="13">
        <v>5</v>
      </c>
      <c r="C847" s="14" t="s">
        <v>25</v>
      </c>
      <c r="D847" s="15" cm="1">
        <f t="array" ref="D847">_xlfn.SINGLE(IF(A851=A852,_xll.ciqfunctions.udf.CIQ(A843,"IQ_TOTAL_REV",IQ_FY-6)/I847, _xll.ciqfunctions.udf.CIQ(A843, "IQ_TOTAL_REV",IQ_FY-5)/I847))</f>
        <v>9.0890673502104011</v>
      </c>
      <c r="E847" s="16">
        <f t="shared" si="227"/>
        <v>0.33168682721136267</v>
      </c>
      <c r="F847" s="15">
        <f>IF(A851=A852,_xll.ciqfunctions.udf.CIQ(A843,"IQ_DILUT_EPS_EXCL",IQ_FY-6), _xll.ciqfunctions.udf.CIQ(A843, "IQ_DILUT_EPS_EXCL",IQ_FY-5))</f>
        <v>-1.36</v>
      </c>
      <c r="G847" s="15">
        <f>IF(A851=A852,_xll.ciqfunctions.udf.CIQ(A843,"IQ_EBITDA_MARGIN",IQ_FY-6), _xll.ciqfunctions.udf.CIQ(A843, "IQ_EBITDA_MARGIN",IQ_FY-5))</f>
        <v>-11.035399999999999</v>
      </c>
      <c r="H847" s="15">
        <f>IF(A851=A852,_xll.ciqfunctions.udf.CIQ(A843,"IQ_TOTAL_DIV_PAID_CF",IQ_FY-6)/-I847, _xll.ciqfunctions.udf.CIQ(A843, "IQ_TOTAL_DIV_PAID_CF",IQ_FY-5)/-I847)</f>
        <v>0</v>
      </c>
      <c r="I847" s="17">
        <f>IF(A851=A852,_xll.ciqfunctions.udf.CIQ(A843,"IQ_TOTAL_OUTSTANDING_FILING_DATE",IQ_FY-6), _xll.ciqfunctions.udf.CIQ(A843, "IQ_TOTAL_OUTSTANDING_FILING_DATE",IQ_FY-5))</f>
        <v>144.03370000000001</v>
      </c>
      <c r="J847" s="17">
        <f>IF(A851=A852,_xll.ciqfunctions.udf.CIQ(A843,"IQ_CASH_OPER",IQ_FY-6), _xll.ciqfunctions.udf.CIQ(A843, "IQ_CASH_OPER",IQ_FY-5))</f>
        <v>262.904</v>
      </c>
      <c r="K847" s="17">
        <f>IF(A851=A852,_xll.ciqfunctions.udf.CIQ(A843,"IQ_CAPEX",IQ_FY-6), _xll.ciqfunctions.udf.CIQ(A843, "IQ_CAPEX",IQ_FY-5))</f>
        <v>-20.503</v>
      </c>
      <c r="L847" s="15">
        <f t="shared" si="224"/>
        <v>1.6829464215666194</v>
      </c>
      <c r="M847" s="17">
        <f>IF(A851=A852,_xll.ciqfunctions.udf.CIQ(A843,"IQ_TOTAL_DEBT_ISSUED",IQ_FY-6), _xll.ciqfunctions.udf.CIQ(A843, "IQ_TOTAL_DEBT_ISSUED",IQ_FY-5))</f>
        <v>0</v>
      </c>
      <c r="N847" s="17">
        <f>IF(A851=A852,_xll.ciqfunctions.udf.CIQ(A843,"IQ_TOTAL_DEBT_REPAID",IQ_FY-6), _xll.ciqfunctions.udf.CIQ(A843, "IQ_TOTAL_DEBT_REPAID",IQ_FY-5))</f>
        <v>-1.8080000000000001</v>
      </c>
      <c r="O847" s="15">
        <f t="shared" si="225"/>
        <v>-1.2552617894284463E-2</v>
      </c>
      <c r="P847" s="15">
        <f t="shared" si="226"/>
        <v>1.6703938036723349</v>
      </c>
      <c r="Q847" s="18"/>
      <c r="R847" s="38" t="s">
        <v>50</v>
      </c>
      <c r="S847" s="3">
        <f>I854</f>
        <v>2.3478920816551785E-2</v>
      </c>
      <c r="U847" s="18"/>
      <c r="V847" s="38" t="s">
        <v>50</v>
      </c>
      <c r="W847" s="3">
        <f>I854</f>
        <v>2.3478920816551785E-2</v>
      </c>
      <c r="Y847" s="18"/>
      <c r="Z847" s="38" t="s">
        <v>50</v>
      </c>
      <c r="AA847" s="3">
        <f>I854</f>
        <v>2.3478920816551785E-2</v>
      </c>
    </row>
    <row r="848" spans="1:27">
      <c r="B848" s="13">
        <v>6</v>
      </c>
      <c r="C848" s="14" t="s">
        <v>26</v>
      </c>
      <c r="D848" s="15" cm="1">
        <f t="array" ref="D848">_xlfn.SINGLE(IF(A851=A852,_xll.ciqfunctions.udf.CIQ(A843,"IQ_TOTAL_REV",IQ_FY-5)/I848, _xll.ciqfunctions.udf.CIQ(A843, "IQ_TOTAL_REV",IQ_FY-4)/I848))</f>
        <v>12.01409966383363</v>
      </c>
      <c r="E848" s="16">
        <f t="shared" si="227"/>
        <v>0.32181875223485029</v>
      </c>
      <c r="F848" s="15">
        <f>IF(A851=A852,_xll.ciqfunctions.udf.CIQ(A843,"IQ_DILUT_EPS_EXCL",IQ_FY-5), _xll.ciqfunctions.udf.CIQ(A843, "IQ_DILUT_EPS_EXCL",IQ_FY-4))</f>
        <v>-1.89131</v>
      </c>
      <c r="G848" s="15">
        <f>IF(A851=A852,_xll.ciqfunctions.udf.CIQ(A843,"IQ_EBITDA_MARGIN",IQ_FY-5), _xll.ciqfunctions.udf.CIQ(A843, "IQ_EBITDA_MARGIN",IQ_FY-4))</f>
        <v>-11.0228</v>
      </c>
      <c r="H848" s="15">
        <f>IF(A851=A852,_xll.ciqfunctions.udf.CIQ(A843,"IQ_TOTAL_DIV_PAID_CF",IQ_FY-5)/-I848, _xll.ciqfunctions.udf.CIQ(A843, "IQ_TOTAL_DIV_PAID_CF",IQ_FY-4)/-I848)</f>
        <v>0</v>
      </c>
      <c r="I848" s="17">
        <f>IF(A851=A852,_xll.ciqfunctions.udf.CIQ(A843,"IQ_TOTAL_OUTSTANDING_FILING_DATE",IQ_FY-5), _xll.ciqfunctions.udf.CIQ(A843, "IQ_TOTAL_OUTSTANDING_FILING_DATE",IQ_FY-4))</f>
        <v>150.0745</v>
      </c>
      <c r="J848" s="17">
        <f>IF(A851=A852,_xll.ciqfunctions.udf.CIQ(A843,"IQ_CASH_OPER",IQ_FY-5), _xll.ciqfunctions.udf.CIQ(A843, "IQ_CASH_OPER",IQ_FY-4))</f>
        <v>296.45400000000001</v>
      </c>
      <c r="K848" s="17">
        <f>IF(A851=A852,_xll.ciqfunctions.udf.CIQ(A843,"IQ_CAPEX",IQ_FY-5), _xll.ciqfunctions.udf.CIQ(A843, "IQ_CAPEX",IQ_FY-4))</f>
        <v>-23.16</v>
      </c>
      <c r="L848" s="15">
        <f t="shared" si="224"/>
        <v>1.8210555424139343</v>
      </c>
      <c r="M848" s="17">
        <f>IF(A851=A852,_xll.ciqfunctions.udf.CIQ(A843,"IQ_TOTAL_DEBT_ISSUED",IQ_FY-5), _xll.ciqfunctions.udf.CIQ(A843, "IQ_TOTAL_DEBT_ISSUED",IQ_FY-4))</f>
        <v>2105.2959999999998</v>
      </c>
      <c r="N848" s="17">
        <f>IF(A851=A852,_xll.ciqfunctions.udf.CIQ(A843,"IQ_TOTAL_DEBT_REPAID",IQ_FY-5), _xll.ciqfunctions.udf.CIQ(A843, "IQ_TOTAL_DEBT_REPAID",IQ_FY-4))</f>
        <v>-2.5219999999999998</v>
      </c>
      <c r="O848" s="15">
        <f t="shared" si="225"/>
        <v>14.011534271311914</v>
      </c>
      <c r="P848" s="15">
        <f t="shared" si="226"/>
        <v>15.832589813725848</v>
      </c>
      <c r="Q848" s="25" t="s">
        <v>27</v>
      </c>
      <c r="R848" s="38" t="s">
        <v>51</v>
      </c>
      <c r="S848" s="4">
        <f>AVERAGE(F848:F853)/AVERAGE(D848:D853)</f>
        <v>-0.19537406301929597</v>
      </c>
      <c r="U848" s="25" t="s">
        <v>58</v>
      </c>
      <c r="V848" s="38" t="s">
        <v>51</v>
      </c>
      <c r="W848" s="4">
        <f>AVERAGE(F848:F853)/AVERAGE(D848:D853)</f>
        <v>-0.19537406301929597</v>
      </c>
      <c r="Y848" s="25" t="s">
        <v>56</v>
      </c>
      <c r="Z848" s="38" t="s">
        <v>51</v>
      </c>
      <c r="AA848" s="4">
        <f>AVERAGE(F848:F853)/AVERAGE(D848:D853)</f>
        <v>-0.19537406301929597</v>
      </c>
    </row>
    <row r="849" spans="1:27">
      <c r="A849" s="18"/>
      <c r="B849" s="13">
        <v>7</v>
      </c>
      <c r="C849" s="14" t="s">
        <v>28</v>
      </c>
      <c r="D849" s="15" cm="1">
        <f t="array" ref="D849">_xlfn.SINGLE(IF(A851=A852,_xll.ciqfunctions.udf.CIQ(A843,"IQ_TOTAL_REV",IQ_FY-4)/I849, _xll.ciqfunctions.udf.CIQ(A843, "IQ_TOTAL_REV",IQ_FY-3)/I849))</f>
        <v>14.871580910620697</v>
      </c>
      <c r="E849" s="16">
        <f t="shared" si="227"/>
        <v>0.23784397722194869</v>
      </c>
      <c r="F849" s="15">
        <f>IF(A851=A852,_xll.ciqfunctions.udf.CIQ(A843,"IQ_DILUT_EPS_EXCL",IQ_FY-4), _xll.ciqfunctions.udf.CIQ(A843, "IQ_DILUT_EPS_EXCL",IQ_FY-3))</f>
        <v>-2.2156600000000002</v>
      </c>
      <c r="G849" s="15">
        <f>IF(A851=A852,_xll.ciqfunctions.udf.CIQ(A843,"IQ_EBITDA_MARGIN",IQ_FY-4), _xll.ciqfunctions.udf.CIQ(A843, "IQ_EBITDA_MARGIN",IQ_FY-3))</f>
        <v>-9.3040000000000003</v>
      </c>
      <c r="H849" s="15">
        <f>IF(A851=A852,_xll.ciqfunctions.udf.CIQ(A843,"IQ_TOTAL_DIV_PAID_CF",IQ_FY-4)/-I849, _xll.ciqfunctions.udf.CIQ(A843, "IQ_TOTAL_DIV_PAID_CF",IQ_FY-3)/-I849)</f>
        <v>0</v>
      </c>
      <c r="I849" s="17">
        <f>IF(A851=A852,_xll.ciqfunctions.udf.CIQ(A843,"IQ_TOTAL_OUTSTANDING_FILING_DATE",IQ_FY-4), _xll.ciqfunctions.udf.CIQ(A843, "IQ_TOTAL_OUTSTANDING_FILING_DATE",IQ_FY-3))</f>
        <v>158.61972</v>
      </c>
      <c r="J849" s="17">
        <f>IF(A851=A852,_xll.ciqfunctions.udf.CIQ(A843,"IQ_CASH_OPER",IQ_FY-4), _xll.ciqfunctions.udf.CIQ(A843, "IQ_CASH_OPER",IQ_FY-3))</f>
        <v>-287.63600000000002</v>
      </c>
      <c r="K849" s="17">
        <f>IF(A851=A852,_xll.ciqfunctions.udf.CIQ(A843,"IQ_CAPEX",IQ_FY-4), _xll.ciqfunctions.udf.CIQ(A843, "IQ_CAPEX",IQ_FY-3))</f>
        <v>-101.119</v>
      </c>
      <c r="L849" s="15">
        <f t="shared" si="224"/>
        <v>-2.4508617213546966</v>
      </c>
      <c r="M849" s="17">
        <f>IF(A851=A852,_xll.ciqfunctions.udf.CIQ(A843,"IQ_TOTAL_DEBT_ISSUED",IQ_FY-4), _xll.ciqfunctions.udf.CIQ(A843, "IQ_TOTAL_DEBT_ISSUED",IQ_FY-3))</f>
        <v>0</v>
      </c>
      <c r="N849" s="17">
        <f>IF(A851=A852,_xll.ciqfunctions.udf.CIQ(A843,"IQ_TOTAL_DEBT_REPAID",IQ_FY-4), _xll.ciqfunctions.udf.CIQ(A843, "IQ_TOTAL_DEBT_REPAID",IQ_FY-3))</f>
        <v>0</v>
      </c>
      <c r="O849" s="15">
        <f t="shared" si="225"/>
        <v>0</v>
      </c>
      <c r="P849" s="15">
        <f t="shared" si="226"/>
        <v>-2.4508617213546966</v>
      </c>
      <c r="Q849" s="18"/>
      <c r="R849" s="38" t="s">
        <v>29</v>
      </c>
      <c r="S849" s="4">
        <f>(AVERAGE(P848:P853)/_xlfn.STDEV.P(P848:P853))/(IF(A851=A852,(_xlfn.SINGLE(_xll.ciqfunctions.udf.CIQ(A843,"IQ_total_assets",IQ_FY)) - _xlfn.SINGLE(_xll.ciqfunctions.udf.CIQ(A843,"iq_gw_intan", IQ_FY)))/I853, (_xlfn.SINGLE(_xll.ciqfunctions.udf.CIQ(A843, "IQ_total_assets",IQ_LTM))-_xlfn.SINGLE(_xll.ciqfunctions.udf.CIQ(A843,"iq_gw_intan",IQ_LTM)))/I853))</f>
        <v>3.2575637290311946E-2</v>
      </c>
      <c r="U849" s="18"/>
      <c r="V849" s="38" t="s">
        <v>29</v>
      </c>
      <c r="W849" s="4">
        <f>(AVERAGE(P848:P853)/_xlfn.STDEV.P(P848:P853))/(IF(A851=A852,(_xlfn.SINGLE(_xll.ciqfunctions.udf.CIQ(A843,"IQ_total_assets",IQ_FY)) - _xlfn.SINGLE(_xll.ciqfunctions.udf.CIQ(A843,"iq_gw_intan", IQ_FY)))/I853, (_xlfn.SINGLE(_xll.ciqfunctions.udf.CIQ(A843, "IQ_total_assets",IQ_LTM))-_xlfn.SINGLE(_xll.ciqfunctions.udf.CIQ(A843,"iq_gw_intan",IQ_LTM)))/I853))</f>
        <v>3.2575637290311946E-2</v>
      </c>
      <c r="Y849" s="18"/>
      <c r="Z849" s="38" t="s">
        <v>29</v>
      </c>
      <c r="AA849" s="4">
        <f>(AVERAGE(P848:P853)/_xlfn.STDEV.P(P848:P853))/(IF(A851=A852,(_xlfn.SINGLE(_xll.ciqfunctions.udf.CIQ(A843,"IQ_total_assets",IQ_FY)) - _xlfn.SINGLE(_xll.ciqfunctions.udf.CIQ(A843,"iq_gw_intan", IQ_FY)))/I853, (_xlfn.SINGLE(_xll.ciqfunctions.udf.CIQ(A843, "IQ_total_assets",IQ_LTM))-_xlfn.SINGLE(_xll.ciqfunctions.udf.CIQ(A843,"iq_gw_intan",IQ_LTM)))/I853))</f>
        <v>3.2575637290311946E-2</v>
      </c>
    </row>
    <row r="850" spans="1:27">
      <c r="A850" s="18"/>
      <c r="B850" s="13">
        <v>8</v>
      </c>
      <c r="C850" s="14" t="s">
        <v>30</v>
      </c>
      <c r="D850" s="15" cm="1">
        <f t="array" ref="D850">_xlfn.SINGLE(IF(A851=A852,_xll.ciqfunctions.udf.CIQ(A843,"IQ_TOTAL_REV",IQ_FY-3)/I850, _xll.ciqfunctions.udf.CIQ(A843, "IQ_TOTAL_REV",IQ_FY-2)/I850))</f>
        <v>13.607160097488324</v>
      </c>
      <c r="E850" s="16">
        <f t="shared" si="227"/>
        <v>-8.5022622727982722E-2</v>
      </c>
      <c r="F850" s="15">
        <f>IF(A851=A852,_xll.ciqfunctions.udf.CIQ(A843,"IQ_DILUT_EPS_EXCL",IQ_FY-3), _xll.ciqfunctions.udf.CIQ(A843, "IQ_DILUT_EPS_EXCL",IQ_FY-2))</f>
        <v>-5.6839700000000004</v>
      </c>
      <c r="G850" s="15">
        <f>IF(A851=A852,_xll.ciqfunctions.udf.CIQ(A843,"IQ_EBITDA_MARGIN",IQ_FY-3), _xll.ciqfunctions.udf.CIQ(A843, "IQ_EBITDA_MARGIN",IQ_FY-2))</f>
        <v>-30.7941</v>
      </c>
      <c r="H850" s="15">
        <f>IF(A851=A852,_xll.ciqfunctions.udf.CIQ(A843,"IQ_TOTAL_DIV_PAID_CF",IQ_FY-3)/-I850, _xll.ciqfunctions.udf.CIQ(A843, "IQ_TOTAL_DIV_PAID_CF",IQ_FY-2)/-I850)</f>
        <v>0</v>
      </c>
      <c r="I850" s="17">
        <f>IF(A851=A852,_xll.ciqfunctions.udf.CIQ(A843,"IQ_TOTAL_OUTSTANDING_FILING_DATE",IQ_FY-3), _xll.ciqfunctions.udf.CIQ(A843, "IQ_TOTAL_OUTSTANDING_FILING_DATE",IQ_FY-2))</f>
        <v>163.83911000000001</v>
      </c>
      <c r="J850" s="17">
        <f>IF(A851=A852,_xll.ciqfunctions.udf.CIQ(A843,"IQ_CASH_OPER",IQ_FY-3), _xll.ciqfunctions.udf.CIQ(A843, "IQ_CASH_OPER",IQ_FY-2))</f>
        <v>-190.86199999999999</v>
      </c>
      <c r="K850" s="17">
        <f>IF(A851=A852,_xll.ciqfunctions.udf.CIQ(A843,"IQ_CAPEX",IQ_FY-3), _xll.ciqfunctions.udf.CIQ(A843, "IQ_CAPEX",IQ_FY-2))</f>
        <v>-37.106999999999999</v>
      </c>
      <c r="L850" s="15">
        <f t="shared" si="224"/>
        <v>-1.3914199118879491</v>
      </c>
      <c r="M850" s="17">
        <f>IF(A851=A852,_xll.ciqfunctions.udf.CIQ(A843,"IQ_TOTAL_DEBT_ISSUED",IQ_FY-3), _xll.ciqfunctions.udf.CIQ(A843, "IQ_TOTAL_DEBT_ISSUED",IQ_FY-2))</f>
        <v>1246.5440000000001</v>
      </c>
      <c r="N850" s="17">
        <f>IF(A851=A852,_xll.ciqfunctions.udf.CIQ(A843,"IQ_TOTAL_DEBT_REPAID",IQ_FY-3), _xll.ciqfunctions.udf.CIQ(A843, "IQ_TOTAL_DEBT_REPAID",IQ_FY-2))</f>
        <v>-668.92899999999997</v>
      </c>
      <c r="O850" s="15">
        <f t="shared" si="225"/>
        <v>3.5255013287120525</v>
      </c>
      <c r="P850" s="15">
        <f t="shared" si="226"/>
        <v>2.1340814168241033</v>
      </c>
      <c r="Q850" s="18"/>
      <c r="R850" s="39" t="s">
        <v>31</v>
      </c>
      <c r="S850" s="5">
        <f>IF(NOT(D843&gt;0),FALSE,SLOPE(G843:G853,B843:B853))</f>
        <v>2.7312700000000003</v>
      </c>
      <c r="U850" s="18"/>
      <c r="V850" s="39" t="s">
        <v>31</v>
      </c>
      <c r="W850" s="5">
        <f>IF(NOT(D843&gt;0),FALSE,SLOPE(G843:G853,B843:B853))</f>
        <v>2.7312700000000003</v>
      </c>
      <c r="Y850" s="18"/>
      <c r="Z850" s="39" t="s">
        <v>31</v>
      </c>
      <c r="AA850" s="5">
        <f>IF(NOT(L843&gt;0),FALSE,SLOPE(O843:O853,J843:J853))</f>
        <v>-9.0817489610473646E-5</v>
      </c>
    </row>
    <row r="851" spans="1:27">
      <c r="A851" s="19">
        <f>_xll.ciqfunctions.udf.CIQ(A843,"IQ_TOTAL_REV",IQ_FY)</f>
        <v>3653.7080000000001</v>
      </c>
      <c r="B851" s="13">
        <v>9</v>
      </c>
      <c r="C851" s="14" t="s">
        <v>32</v>
      </c>
      <c r="D851" s="15" cm="1">
        <f t="array" ref="D851">_xlfn.SINGLE(IF(A851=A852,_xll.ciqfunctions.udf.CIQ(A843,"IQ_TOTAL_REV",IQ_FY-2)/I851, _xll.ciqfunctions.udf.CIQ(A843, "IQ_TOTAL_REV",IQ_FY-1)/I851))</f>
        <v>16.637610454262603</v>
      </c>
      <c r="E851" s="16">
        <f t="shared" si="227"/>
        <v>0.22270998026499703</v>
      </c>
      <c r="F851" s="15">
        <f>IF(A851=A852,_xll.ciqfunctions.udf.CIQ(A843,"IQ_DILUT_EPS_EXCL",IQ_FY-2), _xll.ciqfunctions.udf.CIQ(A843, "IQ_DILUT_EPS_EXCL",IQ_FY-1))</f>
        <v>-8.2850599999999996</v>
      </c>
      <c r="G851" s="15">
        <f>IF(A851=A852,_xll.ciqfunctions.udf.CIQ(A843,"IQ_EBITDA_MARGIN",IQ_FY-2), _xll.ciqfunctions.udf.CIQ(A843, "IQ_EBITDA_MARGIN",IQ_FY-1))</f>
        <v>-39.185299999999998</v>
      </c>
      <c r="H851" s="15">
        <f>IF(A851=A852,_xll.ciqfunctions.udf.CIQ(A843,"IQ_TOTAL_DIV_PAID_CF",IQ_FY-2)/-I851, _xll.ciqfunctions.udf.CIQ(A843, "IQ_TOTAL_DIV_PAID_CF",IQ_FY-1)/-I851)</f>
        <v>0</v>
      </c>
      <c r="I851" s="17">
        <f>IF(A851=A852,_xll.ciqfunctions.udf.CIQ(A843,"IQ_TOTAL_OUTSTANDING_FILING_DATE",IQ_FY-2), _xll.ciqfunctions.udf.CIQ(A843, "IQ_TOTAL_OUTSTANDING_FILING_DATE",IQ_FY-1))</f>
        <v>160.69999999999999</v>
      </c>
      <c r="J851" s="17">
        <f>IF(A851=A852,_xll.ciqfunctions.udf.CIQ(A843,"IQ_CASH_OPER",IQ_FY-2), _xll.ciqfunctions.udf.CIQ(A843, "IQ_CASH_OPER",IQ_FY-1))</f>
        <v>128.048</v>
      </c>
      <c r="K851" s="17">
        <f>IF(A851=A852,_xll.ciqfunctions.udf.CIQ(A843,"IQ_CAPEX",IQ_FY-2), _xll.ciqfunctions.udf.CIQ(A843, "IQ_CAPEX",IQ_FY-1))</f>
        <v>-10.670999999999999</v>
      </c>
      <c r="L851" s="15">
        <f t="shared" si="224"/>
        <v>0.73041070317361556</v>
      </c>
      <c r="M851" s="17">
        <f>IF(A851=A852,_xll.ciqfunctions.udf.CIQ(A843,"IQ_TOTAL_DEBT_ISSUED",IQ_FY-2), _xll.ciqfunctions.udf.CIQ(A843, "IQ_TOTAL_DEBT_ISSUED",IQ_FY-1))</f>
        <v>981.92</v>
      </c>
      <c r="N851" s="17">
        <f>IF(A851=A852,_xll.ciqfunctions.udf.CIQ(A843,"IQ_TOTAL_DEBT_REPAID",IQ_FY-2), _xll.ciqfunctions.udf.CIQ(A843, "IQ_TOTAL_DEBT_REPAID",IQ_FY-1))</f>
        <v>0</v>
      </c>
      <c r="O851" s="15">
        <f t="shared" si="225"/>
        <v>6.1102675793403858</v>
      </c>
      <c r="P851" s="15">
        <f t="shared" si="226"/>
        <v>6.8406782825140011</v>
      </c>
      <c r="Q851" s="25" t="s">
        <v>33</v>
      </c>
      <c r="R851" s="38" t="s">
        <v>52</v>
      </c>
      <c r="S851" s="4">
        <f>(AVERAGE(O848:O853)/AVERAGE(P848:P853))</f>
        <v>0.79302977409700381</v>
      </c>
      <c r="U851" s="25" t="s">
        <v>54</v>
      </c>
      <c r="V851" s="38" t="s">
        <v>52</v>
      </c>
      <c r="W851" s="4">
        <f>(AVERAGE(O848:O853)/AVERAGE(P848:P853))</f>
        <v>0.79302977409700381</v>
      </c>
      <c r="Y851" s="25" t="s">
        <v>60</v>
      </c>
      <c r="Z851" s="38" t="s">
        <v>52</v>
      </c>
      <c r="AA851" s="4">
        <f>(AVERAGE(O848:O853)/AVERAGE(P848:P853))</f>
        <v>0.79302977409700381</v>
      </c>
    </row>
    <row r="852" spans="1:27">
      <c r="A852" s="19">
        <f>_xll.ciqfunctions.udf.CIQ(A843,"IQ_TOTAL_REV",IQ_LTM)</f>
        <v>3842.9670000000001</v>
      </c>
      <c r="B852" s="13">
        <v>10</v>
      </c>
      <c r="C852" s="14" t="s">
        <v>34</v>
      </c>
      <c r="D852" s="15" cm="1">
        <f t="array" ref="D852">_xlfn.SINGLE(IF(A851=A852,_xll.ciqfunctions.udf.CIQ(A843,"IQ_TOTAL_REV",IQ_FY-1)/I852, _xll.ciqfunctions.udf.CIQ(A843, "IQ_TOTAL_REV",IQ_FY)/I852))</f>
        <v>22.076785498489425</v>
      </c>
      <c r="E852" s="16">
        <f t="shared" si="227"/>
        <v>0.32692044685018395</v>
      </c>
      <c r="F852" s="15">
        <f>IF(A851=A852,_xll.ciqfunctions.udf.CIQ(A843,"IQ_DILUT_EPS_EXCL",IQ_FY-1), _xll.ciqfunctions.udf.CIQ(A843, "IQ_DILUT_EPS_EXCL",IQ_FY))</f>
        <v>-1.71123</v>
      </c>
      <c r="G852" s="15">
        <f>IF(A851=A852,_xll.ciqfunctions.udf.CIQ(A843,"IQ_EBITDA_MARGIN",IQ_FY-1), _xll.ciqfunctions.udf.CIQ(A843, "IQ_EBITDA_MARGIN",IQ_FY))</f>
        <v>-3.4495</v>
      </c>
      <c r="H852" s="15">
        <f>IF(A851=A852,_xll.ciqfunctions.udf.CIQ(A843,"IQ_TOTAL_DIV_PAID_CF",IQ_FY-1)/-I852, _xll.ciqfunctions.udf.CIQ(A843, "IQ_TOTAL_DIV_PAID_CF",IQ_FY)/-I852)</f>
        <v>0</v>
      </c>
      <c r="I852" s="17">
        <f>IF(A851=A852,_xll.ciqfunctions.udf.CIQ(A843,"IQ_TOTAL_OUTSTANDING_FILING_DATE",IQ_FY-1), _xll.ciqfunctions.udf.CIQ(A843, "IQ_TOTAL_OUTSTANDING_FILING_DATE",IQ_FY))</f>
        <v>165.5</v>
      </c>
      <c r="J852" s="17">
        <f>IF(A851=A852,_xll.ciqfunctions.udf.CIQ(A843,"IQ_CASH_OPER",IQ_FY-1), _xll.ciqfunctions.udf.CIQ(A843, "IQ_CASH_OPER",IQ_FY))</f>
        <v>449.63</v>
      </c>
      <c r="K852" s="17">
        <f>IF(A851=A852,_xll.ciqfunctions.udf.CIQ(A843,"IQ_CAPEX",IQ_FY-1), _xll.ciqfunctions.udf.CIQ(A843, "IQ_CAPEX",IQ_FY))</f>
        <v>-13.62</v>
      </c>
      <c r="L852" s="15">
        <f t="shared" si="224"/>
        <v>2.6345015105740179</v>
      </c>
      <c r="M852" s="17">
        <f>IF(A851=A852,_xll.ciqfunctions.udf.CIQ(A843,"IQ_TOTAL_DEBT_ISSUED",IQ_FY-1), _xll.ciqfunctions.udf.CIQ(A843, "IQ_TOTAL_DEBT_ISSUED",IQ_FY))</f>
        <v>0</v>
      </c>
      <c r="N852" s="17">
        <f>IF(A851=A852,_xll.ciqfunctions.udf.CIQ(A843,"IQ_TOTAL_DEBT_REPAID",IQ_FY-1), _xll.ciqfunctions.udf.CIQ(A843, "IQ_TOTAL_DEBT_REPAID",IQ_FY))</f>
        <v>0</v>
      </c>
      <c r="O852" s="15">
        <f t="shared" si="225"/>
        <v>0</v>
      </c>
      <c r="P852" s="15">
        <f t="shared" si="226"/>
        <v>2.6345015105740179</v>
      </c>
      <c r="Q852" s="25" t="s">
        <v>44</v>
      </c>
      <c r="R852" s="38" t="s">
        <v>35</v>
      </c>
      <c r="S852" s="1">
        <f>_xll.ciqfunctions.udf.CIQ(A843,"IQ_TEV_EBITDA")</f>
        <v>161.96646000000001</v>
      </c>
      <c r="U852" s="25" t="s">
        <v>55</v>
      </c>
      <c r="V852" s="38" t="s">
        <v>53</v>
      </c>
      <c r="W852" s="1">
        <f>V842/(AVERAGE(D848:D853)/_xlfn.STDEV.P(E848:E853))</f>
        <v>1.3565156723624072</v>
      </c>
      <c r="Y852" s="25" t="s">
        <v>57</v>
      </c>
      <c r="Z852" s="38" t="s">
        <v>53</v>
      </c>
      <c r="AA852" s="1">
        <f>Z842/(AVERAGE(D848:D853)/_xlfn.STDEV.P(E848:E853))</f>
        <v>1.3565156723624072</v>
      </c>
    </row>
    <row r="853" spans="1:27">
      <c r="B853" s="13">
        <v>11</v>
      </c>
      <c r="C853" s="20" t="s">
        <v>36</v>
      </c>
      <c r="D853" s="21" cm="1">
        <f t="array" ref="D853">_xlfn.SINGLE(IF(A851=A852,_xll.ciqfunctions.udf.CIQ(A843,"IQ_TOTAL_REV",IQ_FY)/I853, _xll.ciqfunctions.udf.CIQ(A843, "IQ_TOTAL_REV",IQ_LTM)/I853))</f>
        <v>22.801595520192638</v>
      </c>
      <c r="E853" s="22">
        <f t="shared" si="227"/>
        <v>3.2831320563077776E-2</v>
      </c>
      <c r="F853" s="21">
        <f>IF(A851=A852,_xll.ciqfunctions.udf.CIQ(A843,"IQ_DILUT_EPS_EXCL",IQ_FY), _xll.ciqfunctions.udf.CIQ(A843, "IQ_DILUT_EPS_EXCL",IQ_LTM))</f>
        <v>-0.14265</v>
      </c>
      <c r="G853" s="21">
        <f>IF(A851=A852,_xll.ciqfunctions.udf.CIQ(A843,"IQ_EBITDA_MARGIN",IQ_FY), _xll.ciqfunctions.udf.CIQ(A843, "IQ_EBITDA_MARGIN",IQ_LTM))</f>
        <v>2.7936999999999999</v>
      </c>
      <c r="H853" s="21">
        <f>IF(A851=A852,_xll.ciqfunctions.udf.CIQ(A843,"IQ_TOTAL_DIV_PAID_CF",IQ_FY)/-I853, _xll.ciqfunctions.udf.CIQ(A843, "IQ_TOTAL_DIV_PAID_CF",IQ_LTM)/-I853)</f>
        <v>0</v>
      </c>
      <c r="I853" s="23">
        <f>IF(A851=A852,_xll.ciqfunctions.udf.CIQ(A843,"IQ_TOTAL_OUTSTANDING_FILING_DATE",IQ_FY),_xll.ciqfunctions.udf.CIQ(A843,"IQ_sharesoutstanding"))</f>
        <v>168.53939</v>
      </c>
      <c r="J853" s="23">
        <f>IF(A851=A852,_xll.ciqfunctions.udf.CIQ(A843,"IQ_CASH_OPER",IQ_FY), _xll.ciqfunctions.udf.CIQ(A843, "IQ_CASH_OPER",IQ_LTM))</f>
        <v>826.54200000000003</v>
      </c>
      <c r="K853" s="23">
        <f>IF(A851=A852,_xll.ciqfunctions.udf.CIQ(A843,"IQ_CAPEX",IQ_FY), _xll.ciqfunctions.udf.CIQ(A843, "IQ_CAPEX",IQ_LTM))</f>
        <v>-12.843</v>
      </c>
      <c r="L853" s="21">
        <f t="shared" si="224"/>
        <v>4.8279455621620562</v>
      </c>
      <c r="M853" s="23">
        <f>IF(A851=A852,_xll.ciqfunctions.udf.CIQ(A843,"IQ_TOTAL_DEBT_ISSUED",IQ_FY), _xll.ciqfunctions.udf.CIQ(A843, "IQ_TOTAL_DEBT_ISSUED",IQ_LTM))</f>
        <v>0</v>
      </c>
      <c r="N853" s="23">
        <f>IF(A851=A852,_xll.ciqfunctions.udf.CIQ(A843,"IQ_TOTAL_DEBT_REPAID",IQ_FY), _xll.ciqfunctions.udf.CIQ(A843, "IQ_TOTAL_DEBT_REPAID",IQ_LTM))</f>
        <v>0</v>
      </c>
      <c r="O853" s="21">
        <f t="shared" si="225"/>
        <v>0</v>
      </c>
      <c r="P853" s="21">
        <f t="shared" si="226"/>
        <v>4.8279455621620562</v>
      </c>
      <c r="Q853" s="25" t="s">
        <v>45</v>
      </c>
      <c r="S853" s="45"/>
      <c r="U853" s="25"/>
      <c r="W853" s="45"/>
      <c r="Y853" s="25"/>
      <c r="AA853" s="45"/>
    </row>
    <row r="854" spans="1:27">
      <c r="B854" s="24"/>
      <c r="C854" s="25" t="s">
        <v>37</v>
      </c>
      <c r="E854" s="26">
        <f>((D853/D848)^(1/5))-1</f>
        <v>0.13672340304799979</v>
      </c>
      <c r="F854" s="27">
        <f>((F853/F848)^(1/5))-1</f>
        <v>-0.40364919280419853</v>
      </c>
      <c r="G854" s="28"/>
      <c r="H854" s="27" t="e">
        <f>((H853/H848)^(1/5))-1</f>
        <v>#DIV/0!</v>
      </c>
      <c r="I854" s="27">
        <f>((I853/I848)^(1/5))-1</f>
        <v>2.3478920816551785E-2</v>
      </c>
      <c r="J854" s="27"/>
      <c r="K854" s="27"/>
      <c r="L854" s="26">
        <f>((L853/L848)^(1/5))-1</f>
        <v>0.2153121352988443</v>
      </c>
      <c r="M854" s="26"/>
      <c r="N854" s="26"/>
      <c r="O854" s="26"/>
      <c r="P854" s="26">
        <f>((P853/P848)^(1/5))-1</f>
        <v>-0.21142667736862009</v>
      </c>
      <c r="Q854" s="18"/>
      <c r="R854" s="36"/>
      <c r="S854" s="45"/>
      <c r="U854" s="18"/>
      <c r="V854" s="36"/>
      <c r="W854" s="45"/>
      <c r="Y854" s="18"/>
      <c r="Z854" s="36"/>
      <c r="AA854" s="45"/>
    </row>
    <row r="855" spans="1:27">
      <c r="A855" s="29"/>
      <c r="B855" s="30"/>
      <c r="C855" s="31" t="s">
        <v>38</v>
      </c>
      <c r="D855" s="29"/>
      <c r="E855" s="32">
        <f>((D853/D843)^(1/10))-1</f>
        <v>0.24411109267192388</v>
      </c>
      <c r="F855" s="33">
        <f>((F853/F843)^(1/10))-1</f>
        <v>-0.15314988937952634</v>
      </c>
      <c r="G855" s="34"/>
      <c r="H855" s="33" t="e">
        <f>((H853/H843)^(1/10))-1</f>
        <v>#DIV/0!</v>
      </c>
      <c r="I855" s="33">
        <f>((I853/I843)^(1/10))-1</f>
        <v>3.6375911112942916E-2</v>
      </c>
      <c r="J855" s="33"/>
      <c r="K855" s="33"/>
      <c r="L855" s="32">
        <f>((L853/L843)^(1/10))-1</f>
        <v>0.24321480161843079</v>
      </c>
      <c r="M855" s="32"/>
      <c r="N855" s="32"/>
      <c r="O855" s="32"/>
      <c r="P855" s="32">
        <f>((P853/P843)^(1/10))-1</f>
        <v>0.24321480161843079</v>
      </c>
      <c r="Q855" s="40"/>
      <c r="R855" s="41"/>
      <c r="S855" s="46"/>
      <c r="U855" s="40"/>
      <c r="V855" s="41"/>
      <c r="W855" s="46"/>
      <c r="Y855" s="40"/>
      <c r="Z855" s="41"/>
      <c r="AA855" s="46"/>
    </row>
    <row r="856" spans="1:27">
      <c r="B856" s="24"/>
      <c r="C856" s="25"/>
      <c r="E856" s="26"/>
      <c r="F856" s="27"/>
      <c r="G856" s="28"/>
      <c r="H856" s="27"/>
      <c r="I856" s="27"/>
      <c r="J856" s="27"/>
      <c r="K856" s="27"/>
      <c r="L856" s="26"/>
      <c r="M856" s="17"/>
      <c r="N856" s="17"/>
      <c r="O856" s="17"/>
      <c r="P856" s="35"/>
      <c r="Q856" s="18"/>
      <c r="R856" s="36"/>
    </row>
    <row r="857" spans="1:27">
      <c r="A857" s="9" t="s">
        <v>0</v>
      </c>
      <c r="B857" s="10"/>
      <c r="C857" s="9" t="s">
        <v>1</v>
      </c>
      <c r="D857" s="9" t="s">
        <v>2</v>
      </c>
      <c r="E857" s="9" t="s">
        <v>3</v>
      </c>
      <c r="F857" s="11" t="s">
        <v>4</v>
      </c>
      <c r="G857" s="11" t="s">
        <v>5</v>
      </c>
      <c r="H857" s="9" t="s">
        <v>6</v>
      </c>
      <c r="I857" s="11" t="s">
        <v>7</v>
      </c>
      <c r="J857" s="11" t="s">
        <v>8</v>
      </c>
      <c r="K857" s="11" t="s">
        <v>9</v>
      </c>
      <c r="L857" s="11" t="s">
        <v>10</v>
      </c>
      <c r="M857" s="11" t="s">
        <v>11</v>
      </c>
      <c r="N857" s="11" t="s">
        <v>12</v>
      </c>
      <c r="O857" s="11" t="s">
        <v>13</v>
      </c>
      <c r="P857" s="11" t="s">
        <v>14</v>
      </c>
      <c r="Q857" s="37" t="s">
        <v>15</v>
      </c>
      <c r="R857" s="42">
        <f>_xll.ciqfunctions.udf.CIQ(A858,("IQ_LASTSALEPRICE"))</f>
        <v>51.9</v>
      </c>
      <c r="S857" s="44"/>
      <c r="U857" s="37" t="s">
        <v>15</v>
      </c>
      <c r="V857" s="42">
        <f>_xll.ciqfunctions.udf.CIQ(A858,("IQ_LASTSALEPRICE"))</f>
        <v>51.9</v>
      </c>
      <c r="W857" s="44"/>
      <c r="Y857" s="37" t="s">
        <v>15</v>
      </c>
      <c r="Z857" s="42">
        <f>_xll.ciqfunctions.udf.CIQ(A858,("IQ_LASTSALEPRICE"))</f>
        <v>51.9</v>
      </c>
      <c r="AA857" s="44"/>
    </row>
    <row r="858" spans="1:27">
      <c r="A858" s="12" t="str">
        <f>Analysis!B59</f>
        <v>NasdaqGS:BSY</v>
      </c>
      <c r="B858" s="13">
        <v>1</v>
      </c>
      <c r="C858" s="14" t="s">
        <v>16</v>
      </c>
      <c r="D858" s="15" t="e">
        <f>IF(A866=A867,_xll.ciqfunctions.udf.CIQ(A858,"IQ_TOTAL_REV",IQ_FY-10)/I858,_xll.ciqfunctions.udf.CIQ(A858, "IQ_TOTAL_REV",IQ_FY-9)/I858)</f>
        <v>#DIV/0!</v>
      </c>
      <c r="E858" s="16"/>
      <c r="F858" s="15">
        <f>IF(A866=A867,_xll.ciqfunctions.udf.CIQ(A858,"IQ_DILUT_EPS_EXCL",IQ_FY-10), _xll.ciqfunctions.udf.CIQ(A858, "IQ_DILUT_EPS_EXCL",IQ_FY-9))</f>
        <v>0</v>
      </c>
      <c r="G858" s="15">
        <f>IF(A866=A867,_xll.ciqfunctions.udf.CIQ(A858,"IQ_EBITDA_MARGIN",IQ_FY-10), _xll.ciqfunctions.udf.CIQ(A858, "IQ_EBITDA_MARGIN",IQ_FY-9))</f>
        <v>0</v>
      </c>
      <c r="H858" s="15" t="e">
        <f>IF(A866=A867,_xll.ciqfunctions.udf.CIQ(A858,"IQ_TOTAL_DIV_PAID_CF",IQ_FY-10)/-I858, _xll.ciqfunctions.udf.CIQ(A858, "IQ_TOTAL_DIV_PAID_CF",IQ_FY-9)/-I858)</f>
        <v>#DIV/0!</v>
      </c>
      <c r="I858" s="17">
        <f>IF(A866=A867,_xll.ciqfunctions.udf.CIQ(A858,"IQ_TOTAL_OUTSTANDING_FILING_DATE",IQ_FY-10), _xll.ciqfunctions.udf.CIQ(A858, "IQ_TOTAL_OUTSTANDING_FILING_DATE",IQ_FY-9))</f>
        <v>0</v>
      </c>
      <c r="J858" s="17">
        <f>IF(A866=A867,_xll.ciqfunctions.udf.CIQ(A858,"IQ_CASH_OPER",IQ_FY-10), _xll.ciqfunctions.udf.CIQ(A858, "IQ_CASH_OPER",IQ_FY-9))</f>
        <v>0</v>
      </c>
      <c r="K858" s="17">
        <f>IF(A866=A867,_xll.ciqfunctions.udf.CIQ(A858,"IQ_CAPEX",IQ_FY-10), _xll.ciqfunctions.udf.CIQ(A858, "IQ_CAPEX",IQ_FY-9))</f>
        <v>0</v>
      </c>
      <c r="L858" s="15" t="e">
        <f t="shared" ref="L858:L868" si="228">(J858+K858)/I858</f>
        <v>#DIV/0!</v>
      </c>
      <c r="M858" s="17">
        <f>IF(A866=A867,_xll.ciqfunctions.udf.CIQ(A858,"IQ_TOTAL_DEBT_ISSUED",IQ_FY-10), _xll.ciqfunctions.udf.CIQ(A858, "IQ_TOTAL_DEBT_ISSUED",IQ_FY-9))</f>
        <v>0</v>
      </c>
      <c r="N858" s="17">
        <f>IF(A866=A867,_xll.ciqfunctions.udf.CIQ(A858,"IQ_TOTAL_DEBT_REPAID",IQ_FY-10), _xll.ciqfunctions.udf.CIQ(A858, "IQ_TOTAL_DEBT_REPAID",IQ_FY-9))</f>
        <v>0</v>
      </c>
      <c r="O858" s="15" t="e">
        <f t="shared" ref="O858:O868" si="229">(M858+N858)/I858</f>
        <v>#DIV/0!</v>
      </c>
      <c r="P858" s="15" t="e">
        <f t="shared" ref="P858:P868" si="230">L858+O858</f>
        <v>#DIV/0!</v>
      </c>
      <c r="W858" s="43"/>
      <c r="AA858" s="43"/>
    </row>
    <row r="859" spans="1:27">
      <c r="A859" s="18" t="str">
        <f>_xll.ciqfunctions.udf.CIQ(A858,"IQ_COMPANY_NAME")</f>
        <v>Bentley Systems, Incorporated</v>
      </c>
      <c r="B859" s="13">
        <v>2</v>
      </c>
      <c r="C859" s="14" t="s">
        <v>17</v>
      </c>
      <c r="D859" s="15" t="e">
        <f>IF(A866=A867,_xll.ciqfunctions.udf.CIQ(A858,"IQ_TOTAL_REV",IQ_FY-9)/I859, _xll.ciqfunctions.udf.CIQ(A858, "IQ_TOTAL_REV",IQ_FY-8)/I859)</f>
        <v>#DIV/0!</v>
      </c>
      <c r="E859" s="16" t="e">
        <f t="shared" ref="E859:E868" si="231">(D859-D858)/D858</f>
        <v>#DIV/0!</v>
      </c>
      <c r="F859" s="15">
        <f>IF(A866=A867,_xll.ciqfunctions.udf.CIQ(A858,"IQ_DILUT_EPS_EXCL",IQ_FY-9), _xll.ciqfunctions.udf.CIQ(A858, "IQ_DILUT_EPS_EXCL",IQ_FY-8))</f>
        <v>0</v>
      </c>
      <c r="G859" s="15">
        <f>IF(A866=A867,_xll.ciqfunctions.udf.CIQ(A858,"IQ_EBITDA_MARGIN",IQ_FY-9), _xll.ciqfunctions.udf.CIQ(A858, "IQ_EBITDA_MARGIN",IQ_FY-8))</f>
        <v>0</v>
      </c>
      <c r="H859" s="15" t="e">
        <f>IF(A866=A867,_xll.ciqfunctions.udf.CIQ(A858,"IQ_TOTAL_DIV_PAID_CF",IQ_FY-9)/-I859, _xll.ciqfunctions.udf.CIQ(A858, "IQ_TOTAL_DIV_PAID_CF",IQ_FY-8)/-I859)</f>
        <v>#DIV/0!</v>
      </c>
      <c r="I859" s="17">
        <f>IF(A866=A867,_xll.ciqfunctions.udf.CIQ(A858,"IQ_TOTAL_OUTSTANDING_FILING_DATE",IQ_FY-9), _xll.ciqfunctions.udf.CIQ(A858, "IQ_TOTAL_OUTSTANDING_FILING_DATE",IQ_FY-8))</f>
        <v>0</v>
      </c>
      <c r="J859" s="17">
        <f>IF(A866=A867,_xll.ciqfunctions.udf.CIQ(A858,"IQ_CASH_OPER",IQ_FY-9), _xll.ciqfunctions.udf.CIQ(A858, "IQ_CASH_OPER",IQ_FY-8))</f>
        <v>0</v>
      </c>
      <c r="K859" s="17">
        <f>IF(A866=A867,_xll.ciqfunctions.udf.CIQ(A858,"IQ_CAPEX",IQ_FY-9), _xll.ciqfunctions.udf.CIQ(A858, "IQ_CAPEX",IQ_FY-8))</f>
        <v>0</v>
      </c>
      <c r="L859" s="15" t="e">
        <f t="shared" si="228"/>
        <v>#DIV/0!</v>
      </c>
      <c r="M859" s="17">
        <f>IF(A866=A867,_xll.ciqfunctions.udf.CIQ(A858,"IQ_TOTAL_DEBT_ISSUED",IQ_FY-9), _xll.ciqfunctions.udf.CIQ(A858, "IQ_TOTAL_DEBT_ISSUED",IQ_FY-8))</f>
        <v>0</v>
      </c>
      <c r="N859" s="17">
        <f>IF(A866=A867,_xll.ciqfunctions.udf.CIQ(A858,"IQ_TOTAL_DEBT_REPAID",IQ_FY-9), _xll.ciqfunctions.udf.CIQ(A858, "IQ_TOTAL_DEBT_REPAID",IQ_FY-8))</f>
        <v>0</v>
      </c>
      <c r="O859" s="15" t="e">
        <f t="shared" si="229"/>
        <v>#DIV/0!</v>
      </c>
      <c r="P859" s="15" t="e">
        <f t="shared" si="230"/>
        <v>#DIV/0!</v>
      </c>
      <c r="Q859" s="25" t="s">
        <v>18</v>
      </c>
      <c r="R859" s="39" t="s">
        <v>19</v>
      </c>
      <c r="S859" s="1">
        <f>R857/((AVERAGE(P863:P868))*(1+E869)^3)</f>
        <v>29.099776442618019</v>
      </c>
      <c r="U859" s="25" t="s">
        <v>48</v>
      </c>
      <c r="V859" s="39" t="s">
        <v>19</v>
      </c>
      <c r="W859" s="1">
        <f>V857/((AVERAGE(P863:P868))*(1+E869)^3)</f>
        <v>29.099776442618019</v>
      </c>
      <c r="Y859" s="25" t="s">
        <v>39</v>
      </c>
      <c r="Z859" s="39" t="s">
        <v>19</v>
      </c>
      <c r="AA859" s="1">
        <f>Z857/((AVERAGE(P863:P868))*(1+E869)^3)</f>
        <v>29.099776442618019</v>
      </c>
    </row>
    <row r="860" spans="1:27">
      <c r="B860" s="13">
        <v>3</v>
      </c>
      <c r="C860" s="14" t="s">
        <v>20</v>
      </c>
      <c r="D860" s="15" cm="1">
        <f t="array" ref="D860">_xlfn.SINGLE(IF(A866=A867,_xll.ciqfunctions.udf.CIQ(A858,"IQ_TOTAL_REV",IQ_FY-8)/I860, _xll.ciqfunctions.udf.CIQ(A858, "IQ_TOTAL_REV",IQ_FY-7)/I860))</f>
        <v>4.0209260537887319</v>
      </c>
      <c r="E860" s="16" t="e">
        <f t="shared" si="231"/>
        <v>#DIV/0!</v>
      </c>
      <c r="F860" s="15">
        <f>IF(A866=A867,_xll.ciqfunctions.udf.CIQ(A858,"IQ_DILUT_EPS_EXCL",IQ_FY-8), _xll.ciqfunctions.udf.CIQ(A858, "IQ_DILUT_EPS_EXCL",IQ_FY-7))</f>
        <v>0.11</v>
      </c>
      <c r="G860" s="15">
        <f>IF(A866=A867,_xll.ciqfunctions.udf.CIQ(A858,"IQ_EBITDA_MARGIN",IQ_FY-8), _xll.ciqfunctions.udf.CIQ(A858, "IQ_EBITDA_MARGIN",IQ_FY-7))</f>
        <v>5.383</v>
      </c>
      <c r="H860" s="15">
        <f>IF(A866=A867,_xll.ciqfunctions.udf.CIQ(A858,"IQ_TOTAL_DIV_PAID_CF",IQ_FY-8)/-I860, _xll.ciqfunctions.udf.CIQ(A858, "IQ_TOTAL_DIV_PAID_CF",IQ_FY-7)/-I860)</f>
        <v>0</v>
      </c>
      <c r="I860" s="17">
        <f>IF(A866=A867,_xll.ciqfunctions.udf.CIQ(A858,"IQ_TOTAL_OUTSTANDING_FILING_DATE",IQ_FY-8), _xll.ciqfunctions.udf.CIQ(A858, "IQ_TOTAL_OUTSTANDING_FILING_DATE",IQ_FY-7))</f>
        <v>45.31767</v>
      </c>
      <c r="J860" s="17">
        <f>IF(A866=A867,_xll.ciqfunctions.udf.CIQ(A858,"IQ_CASH_OPER",IQ_FY-8), _xll.ciqfunctions.udf.CIQ(A858, "IQ_CASH_OPER",IQ_FY-7))</f>
        <v>20.137</v>
      </c>
      <c r="K860" s="17">
        <f>IF(A866=A867,_xll.ciqfunctions.udf.CIQ(A858,"IQ_CAPEX",IQ_FY-8), _xll.ciqfunctions.udf.CIQ(A858, "IQ_CAPEX",IQ_FY-7))</f>
        <v>-2.1539999999999999</v>
      </c>
      <c r="L860" s="15">
        <f t="shared" si="228"/>
        <v>0.39682093099667304</v>
      </c>
      <c r="M860" s="17">
        <f>IF(A866=A867,_xll.ciqfunctions.udf.CIQ(A858,"IQ_TOTAL_DEBT_ISSUED",IQ_FY-8), _xll.ciqfunctions.udf.CIQ(A858, "IQ_TOTAL_DEBT_ISSUED",IQ_FY-7))</f>
        <v>0</v>
      </c>
      <c r="N860" s="17">
        <f>IF(A866=A867,_xll.ciqfunctions.udf.CIQ(A858,"IQ_TOTAL_DEBT_REPAID",IQ_FY-8), _xll.ciqfunctions.udf.CIQ(A858, "IQ_TOTAL_DEBT_REPAID",IQ_FY-7))</f>
        <v>-13.147</v>
      </c>
      <c r="O860" s="15">
        <f t="shared" si="229"/>
        <v>-0.29010758937959519</v>
      </c>
      <c r="P860" s="15">
        <f t="shared" si="230"/>
        <v>0.10671334161707785</v>
      </c>
      <c r="Q860" s="25" t="s">
        <v>21</v>
      </c>
      <c r="R860" s="38" t="s">
        <v>49</v>
      </c>
      <c r="S860" s="2">
        <f>(R857*I868)/1000</f>
        <v>16.287973181999998</v>
      </c>
      <c r="U860" s="25" t="s">
        <v>59</v>
      </c>
      <c r="V860" s="38" t="s">
        <v>49</v>
      </c>
      <c r="W860" s="2">
        <f>(V857*I868)/1000</f>
        <v>16.287973181999998</v>
      </c>
      <c r="Y860" s="25" t="s">
        <v>46</v>
      </c>
      <c r="Z860" s="38" t="s">
        <v>49</v>
      </c>
      <c r="AA860" s="2">
        <f>(Z857*I868)/1000</f>
        <v>16.287973181999998</v>
      </c>
    </row>
    <row r="861" spans="1:27">
      <c r="A861" s="18"/>
      <c r="B861" s="13">
        <v>4</v>
      </c>
      <c r="C861" s="14" t="s">
        <v>22</v>
      </c>
      <c r="D861" s="15" cm="1">
        <f t="array" ref="D861">_xlfn.SINGLE(IF(A866=A867,_xll.ciqfunctions.udf.CIQ(A858,"IQ_TOTAL_REV",IQ_FY-7)/I861, _xll.ciqfunctions.udf.CIQ(A858, "IQ_TOTAL_REV",IQ_FY-6)/I861))</f>
        <v>7.8585578196409003</v>
      </c>
      <c r="E861" s="16">
        <f t="shared" si="231"/>
        <v>0.95441490704265652</v>
      </c>
      <c r="F861" s="15">
        <f>IF(A866=A867,_xll.ciqfunctions.udf.CIQ(A858,"IQ_DILUT_EPS_EXCL",IQ_FY-7), _xll.ciqfunctions.udf.CIQ(A858, "IQ_DILUT_EPS_EXCL",IQ_FY-6))</f>
        <v>-7.7369999999999994E-2</v>
      </c>
      <c r="G861" s="15">
        <f>IF(A866=A867,_xll.ciqfunctions.udf.CIQ(A858,"IQ_EBITDA_MARGIN",IQ_FY-7), _xll.ciqfunctions.udf.CIQ(A858, "IQ_EBITDA_MARGIN",IQ_FY-6))</f>
        <v>6.8491999999999997</v>
      </c>
      <c r="H861" s="15">
        <f>IF(A866=A867,_xll.ciqfunctions.udf.CIQ(A858,"IQ_TOTAL_DIV_PAID_CF",IQ_FY-7)/-I861, _xll.ciqfunctions.udf.CIQ(A858, "IQ_TOTAL_DIV_PAID_CF",IQ_FY-6)/-I861)</f>
        <v>0</v>
      </c>
      <c r="I861" s="17">
        <f>IF(A866=A867,_xll.ciqfunctions.udf.CIQ(A858,"IQ_TOTAL_OUTSTANDING_FILING_DATE",IQ_FY-7), _xll.ciqfunctions.udf.CIQ(A858, "IQ_TOTAL_OUTSTANDING_FILING_DATE",IQ_FY-6))</f>
        <v>22.93347</v>
      </c>
      <c r="J861" s="17">
        <f>IF(A866=A867,_xll.ciqfunctions.udf.CIQ(A858,"IQ_CASH_OPER",IQ_FY-7), _xll.ciqfunctions.udf.CIQ(A858, "IQ_CASH_OPER",IQ_FY-6))</f>
        <v>17.802</v>
      </c>
      <c r="K861" s="17">
        <f>IF(A866=A867,_xll.ciqfunctions.udf.CIQ(A858,"IQ_CAPEX",IQ_FY-7), _xll.ciqfunctions.udf.CIQ(A858, "IQ_CAPEX",IQ_FY-6))</f>
        <v>-7.8460000000000001</v>
      </c>
      <c r="L861" s="15">
        <f t="shared" si="228"/>
        <v>0.43412531989271574</v>
      </c>
      <c r="M861" s="17">
        <f>IF(A866=A867,_xll.ciqfunctions.udf.CIQ(A858,"IQ_TOTAL_DEBT_ISSUED",IQ_FY-7), _xll.ciqfunctions.udf.CIQ(A858, "IQ_TOTAL_DEBT_ISSUED",IQ_FY-6))</f>
        <v>16.442</v>
      </c>
      <c r="N861" s="17">
        <f>IF(A866=A867,_xll.ciqfunctions.udf.CIQ(A858,"IQ_TOTAL_DEBT_REPAID",IQ_FY-7), _xll.ciqfunctions.udf.CIQ(A858, "IQ_TOTAL_DEBT_REPAID",IQ_FY-6))</f>
        <v>-18.658999999999999</v>
      </c>
      <c r="O861" s="15">
        <f t="shared" si="229"/>
        <v>-9.6670935536575964E-2</v>
      </c>
      <c r="P861" s="15">
        <f t="shared" si="230"/>
        <v>0.33745438435613978</v>
      </c>
      <c r="Q861" s="25" t="s">
        <v>23</v>
      </c>
      <c r="R861" s="38" t="s">
        <v>24</v>
      </c>
      <c r="S861" s="1">
        <f>R857/(AVERAGE(H863:H868)*(1+H869)/(0.5-H869))</f>
        <v>140.2293095818718</v>
      </c>
      <c r="U861" s="25" t="s">
        <v>40</v>
      </c>
      <c r="V861" s="38" t="s">
        <v>24</v>
      </c>
      <c r="W861" s="1">
        <f>V857/(AVERAGE(H863:H868)*(1+H869)/(0.5-H869))</f>
        <v>140.2293095818718</v>
      </c>
      <c r="Y861" s="25" t="s">
        <v>47</v>
      </c>
      <c r="Z861" s="38" t="s">
        <v>24</v>
      </c>
      <c r="AA861" s="1">
        <f>Z857/(AVERAGE(H863:H868)*(1+H869)/(0.5-H869))</f>
        <v>140.2293095818718</v>
      </c>
    </row>
    <row r="862" spans="1:27">
      <c r="B862" s="13">
        <v>5</v>
      </c>
      <c r="C862" s="14" t="s">
        <v>25</v>
      </c>
      <c r="D862" s="15" cm="1">
        <f t="array" ref="D862">_xlfn.SINGLE(IF(A866=A867,_xll.ciqfunctions.udf.CIQ(A858,"IQ_TOTAL_REV",IQ_FY-6)/I862, _xll.ciqfunctions.udf.CIQ(A858, "IQ_TOTAL_REV",IQ_FY-5)/I862))</f>
        <v>8.8368050027978935</v>
      </c>
      <c r="E862" s="16">
        <f t="shared" si="231"/>
        <v>0.12448176950636658</v>
      </c>
      <c r="F862" s="15">
        <f>IF(A866=A867,_xll.ciqfunctions.udf.CIQ(A858,"IQ_DILUT_EPS_EXCL",IQ_FY-6), _xll.ciqfunctions.udf.CIQ(A858, "IQ_DILUT_EPS_EXCL",IQ_FY-5))</f>
        <v>-0.115</v>
      </c>
      <c r="G862" s="15">
        <f>IF(A866=A867,_xll.ciqfunctions.udf.CIQ(A858,"IQ_EBITDA_MARGIN",IQ_FY-6), _xll.ciqfunctions.udf.CIQ(A858, "IQ_EBITDA_MARGIN",IQ_FY-5))</f>
        <v>11.7995</v>
      </c>
      <c r="H862" s="15">
        <f>IF(A866=A867,_xll.ciqfunctions.udf.CIQ(A858,"IQ_TOTAL_DIV_PAID_CF",IQ_FY-6)/-I862, _xll.ciqfunctions.udf.CIQ(A858, "IQ_TOTAL_DIV_PAID_CF",IQ_FY-5)/-I862)</f>
        <v>6.6163729279129377E-2</v>
      </c>
      <c r="I862" s="17">
        <f>IF(A866=A867,_xll.ciqfunctions.udf.CIQ(A858,"IQ_TOTAL_OUTSTANDING_FILING_DATE",IQ_FY-6), _xll.ciqfunctions.udf.CIQ(A858, "IQ_TOTAL_OUTSTANDING_FILING_DATE",IQ_FY-5))</f>
        <v>22.927969999999998</v>
      </c>
      <c r="J862" s="17">
        <f>IF(A866=A867,_xll.ciqfunctions.udf.CIQ(A858,"IQ_CASH_OPER",IQ_FY-6), _xll.ciqfunctions.udf.CIQ(A858, "IQ_CASH_OPER",IQ_FY-5))</f>
        <v>35.704999999999998</v>
      </c>
      <c r="K862" s="17">
        <f>IF(A866=A867,_xll.ciqfunctions.udf.CIQ(A858,"IQ_CAPEX",IQ_FY-6), _xll.ciqfunctions.udf.CIQ(A858, "IQ_CAPEX",IQ_FY-5))</f>
        <v>-4.6710000000000003</v>
      </c>
      <c r="L862" s="15">
        <f t="shared" si="228"/>
        <v>1.3535432923193811</v>
      </c>
      <c r="M862" s="17">
        <f>IF(A866=A867,_xll.ciqfunctions.udf.CIQ(A858,"IQ_TOTAL_DEBT_ISSUED",IQ_FY-6), _xll.ciqfunctions.udf.CIQ(A858, "IQ_TOTAL_DEBT_ISSUED",IQ_FY-5))</f>
        <v>2.6080000000000001</v>
      </c>
      <c r="N862" s="17">
        <f>IF(A866=A867,_xll.ciqfunctions.udf.CIQ(A858,"IQ_TOTAL_DEBT_REPAID",IQ_FY-6), _xll.ciqfunctions.udf.CIQ(A858, "IQ_TOTAL_DEBT_REPAID",IQ_FY-5))</f>
        <v>-22.806999999999999</v>
      </c>
      <c r="O862" s="15">
        <f t="shared" si="229"/>
        <v>-0.88097637950503249</v>
      </c>
      <c r="P862" s="15">
        <f t="shared" si="230"/>
        <v>0.47256691281434859</v>
      </c>
      <c r="Q862" s="18"/>
      <c r="R862" s="38" t="s">
        <v>50</v>
      </c>
      <c r="S862" s="3">
        <f>I869</f>
        <v>4.629341049447766E-2</v>
      </c>
      <c r="U862" s="18"/>
      <c r="V862" s="38" t="s">
        <v>50</v>
      </c>
      <c r="W862" s="3">
        <f>I869</f>
        <v>4.629341049447766E-2</v>
      </c>
      <c r="Y862" s="18"/>
      <c r="Z862" s="38" t="s">
        <v>50</v>
      </c>
      <c r="AA862" s="3">
        <f>I869</f>
        <v>4.629341049447766E-2</v>
      </c>
    </row>
    <row r="863" spans="1:27">
      <c r="B863" s="13">
        <v>6</v>
      </c>
      <c r="C863" s="14" t="s">
        <v>26</v>
      </c>
      <c r="D863" s="15" cm="1">
        <f t="array" ref="D863">_xlfn.SINGLE(IF(A866=A867,_xll.ciqfunctions.udf.CIQ(A858,"IQ_TOTAL_REV",IQ_FY-5)/I863, _xll.ciqfunctions.udf.CIQ(A858, "IQ_TOTAL_REV",IQ_FY-4)/I863))</f>
        <v>2.7637058470212441</v>
      </c>
      <c r="E863" s="16">
        <f t="shared" si="231"/>
        <v>-0.68725055649115208</v>
      </c>
      <c r="F863" s="15">
        <f>IF(A866=A867,_xll.ciqfunctions.udf.CIQ(A858,"IQ_DILUT_EPS_EXCL",IQ_FY-5), _xll.ciqfunctions.udf.CIQ(A858, "IQ_DILUT_EPS_EXCL",IQ_FY-4))</f>
        <v>0.49</v>
      </c>
      <c r="G863" s="15">
        <f>IF(A866=A867,_xll.ciqfunctions.udf.CIQ(A858,"IQ_EBITDA_MARGIN",IQ_FY-5), _xll.ciqfunctions.udf.CIQ(A858, "IQ_EBITDA_MARGIN",IQ_FY-4))</f>
        <v>23.326499999999999</v>
      </c>
      <c r="H863" s="15">
        <f>IF(A866=A867,_xll.ciqfunctions.udf.CIQ(A858,"IQ_TOTAL_DIV_PAID_CF",IQ_FY-5)/-I863, _xll.ciqfunctions.udf.CIQ(A858, "IQ_TOTAL_DIV_PAID_CF",IQ_FY-4)/-I863)</f>
        <v>8.014511223691885E-2</v>
      </c>
      <c r="I863" s="17">
        <f>IF(A866=A867,_xll.ciqfunctions.udf.CIQ(A858,"IQ_TOTAL_OUTSTANDING_FILING_DATE",IQ_FY-5), _xll.ciqfunctions.udf.CIQ(A858, "IQ_TOTAL_OUTSTANDING_FILING_DATE",IQ_FY-4))</f>
        <v>250.28351000000001</v>
      </c>
      <c r="J863" s="17">
        <f>IF(A866=A867,_xll.ciqfunctions.udf.CIQ(A858,"IQ_CASH_OPER",IQ_FY-5), _xll.ciqfunctions.udf.CIQ(A858, "IQ_CASH_OPER",IQ_FY-4))</f>
        <v>161.465</v>
      </c>
      <c r="K863" s="17">
        <f>IF(A866=A867,_xll.ciqfunctions.udf.CIQ(A858,"IQ_CAPEX",IQ_FY-5), _xll.ciqfunctions.udf.CIQ(A858, "IQ_CAPEX",IQ_FY-4))</f>
        <v>-18.616</v>
      </c>
      <c r="L863" s="15">
        <f t="shared" si="228"/>
        <v>0.57074874808971632</v>
      </c>
      <c r="M863" s="17">
        <f>IF(A866=A867,_xll.ciqfunctions.udf.CIQ(A858,"IQ_TOTAL_DEBT_ISSUED",IQ_FY-5), _xll.ciqfunctions.udf.CIQ(A858, "IQ_TOTAL_DEBT_ISSUED",IQ_FY-4))</f>
        <v>148.25899999999999</v>
      </c>
      <c r="N863" s="17">
        <f>IF(A866=A867,_xll.ciqfunctions.udf.CIQ(A858,"IQ_TOTAL_DEBT_REPAID",IQ_FY-5), _xll.ciqfunctions.udf.CIQ(A858, "IQ_TOTAL_DEBT_REPAID",IQ_FY-4))</f>
        <v>-159.5</v>
      </c>
      <c r="O863" s="15">
        <f t="shared" si="229"/>
        <v>-4.4913066785742348E-2</v>
      </c>
      <c r="P863" s="15">
        <f t="shared" si="230"/>
        <v>0.52583568130397396</v>
      </c>
      <c r="Q863" s="25" t="s">
        <v>27</v>
      </c>
      <c r="R863" s="38" t="s">
        <v>51</v>
      </c>
      <c r="S863" s="4">
        <f>AVERAGE(F863:F868)/AVERAGE(D863:D868)</f>
        <v>0.1435754554417524</v>
      </c>
      <c r="U863" s="25" t="s">
        <v>58</v>
      </c>
      <c r="V863" s="38" t="s">
        <v>51</v>
      </c>
      <c r="W863" s="4">
        <f>AVERAGE(F863:F868)/AVERAGE(D863:D868)</f>
        <v>0.1435754554417524</v>
      </c>
      <c r="Y863" s="25" t="s">
        <v>56</v>
      </c>
      <c r="Z863" s="38" t="s">
        <v>51</v>
      </c>
      <c r="AA863" s="4">
        <f>AVERAGE(F863:F868)/AVERAGE(D863:D868)</f>
        <v>0.1435754554417524</v>
      </c>
    </row>
    <row r="864" spans="1:27">
      <c r="A864" s="18"/>
      <c r="B864" s="13">
        <v>7</v>
      </c>
      <c r="C864" s="14" t="s">
        <v>28</v>
      </c>
      <c r="D864" s="15" cm="1">
        <f t="array" ref="D864">_xlfn.SINGLE(IF(A866=A867,_xll.ciqfunctions.udf.CIQ(A858,"IQ_TOTAL_REV",IQ_FY-4)/I864, _xll.ciqfunctions.udf.CIQ(A858, "IQ_TOTAL_REV",IQ_FY-3)/I864))</f>
        <v>2.5653900137795156</v>
      </c>
      <c r="E864" s="16">
        <f t="shared" si="231"/>
        <v>-7.1757214486294102E-2</v>
      </c>
      <c r="F864" s="15">
        <f>IF(A866=A867,_xll.ciqfunctions.udf.CIQ(A858,"IQ_DILUT_EPS_EXCL",IQ_FY-4), _xll.ciqfunctions.udf.CIQ(A858, "IQ_DILUT_EPS_EXCL",IQ_FY-3))</f>
        <v>0.35</v>
      </c>
      <c r="G864" s="15">
        <f>IF(A866=A867,_xll.ciqfunctions.udf.CIQ(A858,"IQ_EBITDA_MARGIN",IQ_FY-4), _xll.ciqfunctions.udf.CIQ(A858, "IQ_EBITDA_MARGIN",IQ_FY-3))</f>
        <v>23.654499999999999</v>
      </c>
      <c r="H864" s="15">
        <f>IF(A866=A867,_xll.ciqfunctions.udf.CIQ(A858,"IQ_TOTAL_DIV_PAID_CF",IQ_FY-4)/-I864, _xll.ciqfunctions.udf.CIQ(A858, "IQ_TOTAL_DIV_PAID_CF",IQ_FY-3)/-I864)</f>
        <v>8.702393668443574E-2</v>
      </c>
      <c r="I864" s="17">
        <f>IF(A866=A867,_xll.ciqfunctions.udf.CIQ(A858,"IQ_TOTAL_OUTSTANDING_FILING_DATE",IQ_FY-4), _xll.ciqfunctions.udf.CIQ(A858, "IQ_TOTAL_OUTSTANDING_FILING_DATE",IQ_FY-3))</f>
        <v>287.15087999999997</v>
      </c>
      <c r="J864" s="17">
        <f>IF(A866=A867,_xll.ciqfunctions.udf.CIQ(A858,"IQ_CASH_OPER",IQ_FY-4), _xll.ciqfunctions.udf.CIQ(A858, "IQ_CASH_OPER",IQ_FY-3))</f>
        <v>170.773</v>
      </c>
      <c r="K864" s="17">
        <f>IF(A866=A867,_xll.ciqfunctions.udf.CIQ(A858,"IQ_CAPEX",IQ_FY-4), _xll.ciqfunctions.udf.CIQ(A858, "IQ_CAPEX",IQ_FY-3))</f>
        <v>-16.638999999999999</v>
      </c>
      <c r="L864" s="15">
        <f t="shared" si="228"/>
        <v>0.53677007711068137</v>
      </c>
      <c r="M864" s="17">
        <f>IF(A866=A867,_xll.ciqfunctions.udf.CIQ(A858,"IQ_TOTAL_DEBT_ISSUED",IQ_FY-4), _xll.ciqfunctions.udf.CIQ(A858, "IQ_TOTAL_DEBT_ISSUED",IQ_FY-3))</f>
        <v>191.25</v>
      </c>
      <c r="N864" s="17">
        <f>IF(A866=A867,_xll.ciqfunctions.udf.CIQ(A858,"IQ_TOTAL_DEBT_REPAID",IQ_FY-4), _xll.ciqfunctions.udf.CIQ(A858, "IQ_TOTAL_DEBT_REPAID",IQ_FY-3))</f>
        <v>-227.279</v>
      </c>
      <c r="O864" s="15">
        <f t="shared" si="229"/>
        <v>-0.12547062366655468</v>
      </c>
      <c r="P864" s="15">
        <f t="shared" si="230"/>
        <v>0.41129945344412666</v>
      </c>
      <c r="Q864" s="18"/>
      <c r="R864" s="38" t="s">
        <v>29</v>
      </c>
      <c r="S864" s="4">
        <f>(AVERAGE(P863:P868)/_xlfn.STDEV.P(P863:P868))/(IF(A866=A867,(_xlfn.SINGLE(_xll.ciqfunctions.udf.CIQ(A858,"IQ_total_assets",IQ_FY)) - _xlfn.SINGLE(_xll.ciqfunctions.udf.CIQ(A858,"iq_gw_intan", IQ_FY)))/I868, (_xlfn.SINGLE(_xll.ciqfunctions.udf.CIQ(A858, "IQ_total_assets",IQ_LTM))-_xlfn.SINGLE(_xll.ciqfunctions.udf.CIQ(A858,"iq_gw_intan",IQ_LTM)))/I868))</f>
        <v>0.48024694116023564</v>
      </c>
      <c r="U864" s="18"/>
      <c r="V864" s="38" t="s">
        <v>29</v>
      </c>
      <c r="W864" s="4">
        <f>(AVERAGE(P863:P868)/_xlfn.STDEV.P(P863:P868))/(IF(A866=A867,(_xlfn.SINGLE(_xll.ciqfunctions.udf.CIQ(A858,"IQ_total_assets",IQ_FY)) - _xlfn.SINGLE(_xll.ciqfunctions.udf.CIQ(A858,"iq_gw_intan", IQ_FY)))/I868, (_xlfn.SINGLE(_xll.ciqfunctions.udf.CIQ(A858, "IQ_total_assets",IQ_LTM))-_xlfn.SINGLE(_xll.ciqfunctions.udf.CIQ(A858,"iq_gw_intan",IQ_LTM)))/I868))</f>
        <v>0.48024694116023564</v>
      </c>
      <c r="Y864" s="18"/>
      <c r="Z864" s="38" t="s">
        <v>29</v>
      </c>
      <c r="AA864" s="4">
        <f>(AVERAGE(P863:P868)/_xlfn.STDEV.P(P863:P868))/(IF(A866=A867,(_xlfn.SINGLE(_xll.ciqfunctions.udf.CIQ(A858,"IQ_total_assets",IQ_FY)) - _xlfn.SINGLE(_xll.ciqfunctions.udf.CIQ(A858,"iq_gw_intan", IQ_FY)))/I868, (_xlfn.SINGLE(_xll.ciqfunctions.udf.CIQ(A858, "IQ_total_assets",IQ_LTM))-_xlfn.SINGLE(_xll.ciqfunctions.udf.CIQ(A858,"iq_gw_intan",IQ_LTM)))/I868))</f>
        <v>0.48024694116023564</v>
      </c>
    </row>
    <row r="865" spans="1:27">
      <c r="A865" s="18"/>
      <c r="B865" s="13">
        <v>8</v>
      </c>
      <c r="C865" s="14" t="s">
        <v>30</v>
      </c>
      <c r="D865" s="15" cm="1">
        <f t="array" ref="D865">_xlfn.SINGLE(IF(A866=A867,_xll.ciqfunctions.udf.CIQ(A858,"IQ_TOTAL_REV",IQ_FY-3)/I865, _xll.ciqfunctions.udf.CIQ(A858, "IQ_TOTAL_REV",IQ_FY-2)/I865))</f>
        <v>2.6383064891469683</v>
      </c>
      <c r="E865" s="16">
        <f t="shared" si="231"/>
        <v>2.8423153974949392E-2</v>
      </c>
      <c r="F865" s="15">
        <f>IF(A866=A867,_xll.ciqfunctions.udf.CIQ(A858,"IQ_DILUT_EPS_EXCL",IQ_FY-3), _xll.ciqfunctions.udf.CIQ(A858, "IQ_DILUT_EPS_EXCL",IQ_FY-2))</f>
        <v>0.42</v>
      </c>
      <c r="G865" s="15">
        <f>IF(A866=A867,_xll.ciqfunctions.udf.CIQ(A858,"IQ_EBITDA_MARGIN",IQ_FY-3), _xll.ciqfunctions.udf.CIQ(A858, "IQ_EBITDA_MARGIN",IQ_FY-2))</f>
        <v>26.776299999999999</v>
      </c>
      <c r="H865" s="15">
        <f>IF(A866=A867,_xll.ciqfunctions.udf.CIQ(A858,"IQ_TOTAL_DIV_PAID_CF",IQ_FY-3)/-I865, _xll.ciqfunctions.udf.CIQ(A858, "IQ_TOTAL_DIV_PAID_CF",IQ_FY-2)/-I865)</f>
        <v>9.9262684011364469E-2</v>
      </c>
      <c r="I865" s="17">
        <f>IF(A866=A867,_xll.ciqfunctions.udf.CIQ(A858,"IQ_TOTAL_OUTSTANDING_FILING_DATE",IQ_FY-3), _xll.ciqfunctions.udf.CIQ(A858, "IQ_TOTAL_OUTSTANDING_FILING_DATE",IQ_FY-2))</f>
        <v>303.81004000000001</v>
      </c>
      <c r="J865" s="17">
        <f>IF(A866=A867,_xll.ciqfunctions.udf.CIQ(A858,"IQ_CASH_OPER",IQ_FY-3), _xll.ciqfunctions.udf.CIQ(A858, "IQ_CASH_OPER",IQ_FY-2))</f>
        <v>258.33999999999997</v>
      </c>
      <c r="K865" s="17">
        <f>IF(A866=A867,_xll.ciqfunctions.udf.CIQ(A858,"IQ_CAPEX",IQ_FY-3), _xll.ciqfunctions.udf.CIQ(A858, "IQ_CAPEX",IQ_FY-2))</f>
        <v>-16.446999999999999</v>
      </c>
      <c r="L865" s="15">
        <f t="shared" si="228"/>
        <v>0.796198176992439</v>
      </c>
      <c r="M865" s="17">
        <f>IF(A866=A867,_xll.ciqfunctions.udf.CIQ(A858,"IQ_TOTAL_DEBT_ISSUED",IQ_FY-3), _xll.ciqfunctions.udf.CIQ(A858, "IQ_TOTAL_DEBT_ISSUED",IQ_FY-2))</f>
        <v>675.875</v>
      </c>
      <c r="N865" s="17">
        <f>IF(A866=A867,_xll.ciqfunctions.udf.CIQ(A858,"IQ_TOTAL_DEBT_REPAID",IQ_FY-3), _xll.ciqfunctions.udf.CIQ(A858, "IQ_TOTAL_DEBT_REPAID",IQ_FY-2))</f>
        <v>-667.05</v>
      </c>
      <c r="O865" s="15">
        <f t="shared" si="229"/>
        <v>2.9047756288765325E-2</v>
      </c>
      <c r="P865" s="15">
        <f t="shared" si="230"/>
        <v>0.82524593328120432</v>
      </c>
      <c r="Q865" s="18"/>
      <c r="R865" s="39" t="s">
        <v>31</v>
      </c>
      <c r="S865" s="5" t="e">
        <f>IF(NOT(D858&gt;0),FALSE,SLOPE(G858:G868,B858:B868))</f>
        <v>#DIV/0!</v>
      </c>
      <c r="U865" s="18"/>
      <c r="V865" s="39" t="s">
        <v>31</v>
      </c>
      <c r="W865" s="5" t="e">
        <f>IF(NOT(D858&gt;0),FALSE,SLOPE(G858:G868,B858:B868))</f>
        <v>#DIV/0!</v>
      </c>
      <c r="Y865" s="18"/>
      <c r="Z865" s="39" t="s">
        <v>31</v>
      </c>
      <c r="AA865" s="5" t="e">
        <f>IF(NOT(L858&gt;0),FALSE,SLOPE(O858:O868,J858:J868))</f>
        <v>#DIV/0!</v>
      </c>
    </row>
    <row r="866" spans="1:27">
      <c r="A866" s="19">
        <f>_xll.ciqfunctions.udf.CIQ(A858,"IQ_TOTAL_REV",IQ_FY)</f>
        <v>1099.0820000000001</v>
      </c>
      <c r="B866" s="13">
        <v>9</v>
      </c>
      <c r="C866" s="14" t="s">
        <v>32</v>
      </c>
      <c r="D866" s="15" cm="1">
        <f t="array" ref="D866">_xlfn.SINGLE(IF(A866=A867,_xll.ciqfunctions.udf.CIQ(A858,"IQ_TOTAL_REV",IQ_FY-2)/I866, _xll.ciqfunctions.udf.CIQ(A858, "IQ_TOTAL_REV",IQ_FY-1)/I866))</f>
        <v>3.1203136900680977</v>
      </c>
      <c r="E866" s="16">
        <f t="shared" si="231"/>
        <v>0.18269568107569434</v>
      </c>
      <c r="F866" s="15">
        <f>IF(A866=A867,_xll.ciqfunctions.udf.CIQ(A858,"IQ_DILUT_EPS_EXCL",IQ_FY-2), _xll.ciqfunctions.udf.CIQ(A858, "IQ_DILUT_EPS_EXCL",IQ_FY-1))</f>
        <v>0.3</v>
      </c>
      <c r="G866" s="15">
        <f>IF(A866=A867,_xll.ciqfunctions.udf.CIQ(A858,"IQ_EBITDA_MARGIN",IQ_FY-2), _xll.ciqfunctions.udf.CIQ(A858, "IQ_EBITDA_MARGIN",IQ_FY-1))</f>
        <v>17.3932</v>
      </c>
      <c r="H866" s="15">
        <f>IF(A866=A867,_xll.ciqfunctions.udf.CIQ(A858,"IQ_TOTAL_DIV_PAID_CF",IQ_FY-2)/-I866, _xll.ciqfunctions.udf.CIQ(A858, "IQ_TOTAL_DIV_PAID_CF",IQ_FY-1)/-I866)</f>
        <v>0.10798034082677323</v>
      </c>
      <c r="I866" s="17">
        <f>IF(A866=A867,_xll.ciqfunctions.udf.CIQ(A858,"IQ_TOTAL_OUTSTANDING_FILING_DATE",IQ_FY-2), _xll.ciqfunctions.udf.CIQ(A858, "IQ_TOTAL_OUTSTANDING_FILING_DATE",IQ_FY-1))</f>
        <v>309.27852000000001</v>
      </c>
      <c r="J866" s="17">
        <f>IF(A866=A867,_xll.ciqfunctions.udf.CIQ(A858,"IQ_CASH_OPER",IQ_FY-2), _xll.ciqfunctions.udf.CIQ(A858, "IQ_CASH_OPER",IQ_FY-1))</f>
        <v>288.024</v>
      </c>
      <c r="K866" s="17">
        <f>IF(A866=A867,_xll.ciqfunctions.udf.CIQ(A858,"IQ_CAPEX",IQ_FY-2), _xll.ciqfunctions.udf.CIQ(A858, "IQ_CAPEX",IQ_FY-1))</f>
        <v>-17.539000000000001</v>
      </c>
      <c r="L866" s="15">
        <f t="shared" si="228"/>
        <v>0.87456768740357393</v>
      </c>
      <c r="M866" s="17">
        <f>IF(A866=A867,_xll.ciqfunctions.udf.CIQ(A858,"IQ_TOTAL_DEBT_ISSUED",IQ_FY-2), _xll.ciqfunctions.udf.CIQ(A858, "IQ_TOTAL_DEBT_ISSUED",IQ_FY-1))</f>
        <v>2178.192</v>
      </c>
      <c r="N866" s="17">
        <f>IF(A866=A867,_xll.ciqfunctions.udf.CIQ(A858,"IQ_TOTAL_DEBT_REPAID",IQ_FY-2), _xll.ciqfunctions.udf.CIQ(A858, "IQ_TOTAL_DEBT_REPAID",IQ_FY-1))</f>
        <v>-993.68100000000004</v>
      </c>
      <c r="O866" s="15">
        <f t="shared" si="229"/>
        <v>3.8299168012055929</v>
      </c>
      <c r="P866" s="15">
        <f t="shared" si="230"/>
        <v>4.7044844886091663</v>
      </c>
      <c r="Q866" s="25" t="s">
        <v>33</v>
      </c>
      <c r="R866" s="38" t="s">
        <v>52</v>
      </c>
      <c r="S866" s="4">
        <f>(AVERAGE(O863:O868)/AVERAGE(P863:P868))</f>
        <v>0.46672873178139612</v>
      </c>
      <c r="U866" s="25" t="s">
        <v>54</v>
      </c>
      <c r="V866" s="38" t="s">
        <v>52</v>
      </c>
      <c r="W866" s="4">
        <f>(AVERAGE(O863:O868)/AVERAGE(P863:P868))</f>
        <v>0.46672873178139612</v>
      </c>
      <c r="Y866" s="25" t="s">
        <v>60</v>
      </c>
      <c r="Z866" s="38" t="s">
        <v>52</v>
      </c>
      <c r="AA866" s="4">
        <f>(AVERAGE(O863:O868)/AVERAGE(P863:P868))</f>
        <v>0.46672873178139612</v>
      </c>
    </row>
    <row r="867" spans="1:27">
      <c r="A867" s="19">
        <f>_xll.ciqfunctions.udf.CIQ(A858,"IQ_TOTAL_REV",IQ_LTM)</f>
        <v>1204.72</v>
      </c>
      <c r="B867" s="13">
        <v>10</v>
      </c>
      <c r="C867" s="14" t="s">
        <v>34</v>
      </c>
      <c r="D867" s="15" cm="1">
        <f t="array" ref="D867">_xlfn.SINGLE(IF(A866=A867,_xll.ciqfunctions.udf.CIQ(A858,"IQ_TOTAL_REV",IQ_FY-1)/I867, _xll.ciqfunctions.udf.CIQ(A858, "IQ_TOTAL_REV",IQ_FY)/I867))</f>
        <v>3.5224694187375176</v>
      </c>
      <c r="E867" s="16">
        <f t="shared" si="231"/>
        <v>0.12888310875585182</v>
      </c>
      <c r="F867" s="15">
        <f>IF(A866=A867,_xll.ciqfunctions.udf.CIQ(A858,"IQ_DILUT_EPS_EXCL",IQ_FY-1), _xll.ciqfunctions.udf.CIQ(A858, "IQ_DILUT_EPS_EXCL",IQ_FY))</f>
        <v>0.54722000000000004</v>
      </c>
      <c r="G867" s="15">
        <f>IF(A866=A867,_xll.ciqfunctions.udf.CIQ(A858,"IQ_EBITDA_MARGIN",IQ_FY-1), _xll.ciqfunctions.udf.CIQ(A858, "IQ_EBITDA_MARGIN",IQ_FY))</f>
        <v>26.559100000000001</v>
      </c>
      <c r="H867" s="15">
        <f>IF(A866=A867,_xll.ciqfunctions.udf.CIQ(A858,"IQ_TOTAL_DIV_PAID_CF",IQ_FY-1)/-I867, _xll.ciqfunctions.udf.CIQ(A858, "IQ_TOTAL_DIV_PAID_CF",IQ_FY)/-I867)</f>
        <v>0.11054729097602654</v>
      </c>
      <c r="I867" s="17">
        <f>IF(A866=A867,_xll.ciqfunctions.udf.CIQ(A858,"IQ_TOTAL_OUTSTANDING_FILING_DATE",IQ_FY-1), _xll.ciqfunctions.udf.CIQ(A858, "IQ_TOTAL_OUTSTANDING_FILING_DATE",IQ_FY))</f>
        <v>312.02030999999999</v>
      </c>
      <c r="J867" s="17">
        <f>IF(A866=A867,_xll.ciqfunctions.udf.CIQ(A858,"IQ_CASH_OPER",IQ_FY-1), _xll.ciqfunctions.udf.CIQ(A858, "IQ_CASH_OPER",IQ_FY))</f>
        <v>274.32400000000001</v>
      </c>
      <c r="K867" s="17">
        <f>IF(A866=A867,_xll.ciqfunctions.udf.CIQ(A858,"IQ_CAPEX",IQ_FY-1), _xll.ciqfunctions.udf.CIQ(A858, "IQ_CAPEX",IQ_FY))</f>
        <v>-18.545999999999999</v>
      </c>
      <c r="L867" s="15">
        <f t="shared" si="228"/>
        <v>0.81974791961459181</v>
      </c>
      <c r="M867" s="17">
        <f>IF(A866=A867,_xll.ciqfunctions.udf.CIQ(A858,"IQ_TOTAL_DEBT_ISSUED",IQ_FY-1), _xll.ciqfunctions.udf.CIQ(A858, "IQ_TOTAL_DEBT_ISSUED",IQ_FY))</f>
        <v>833.29200000000003</v>
      </c>
      <c r="N867" s="17">
        <f>IF(A866=A867,_xll.ciqfunctions.udf.CIQ(A858,"IQ_TOTAL_DEBT_REPAID",IQ_FY-1), _xll.ciqfunctions.udf.CIQ(A858, "IQ_TOTAL_DEBT_REPAID",IQ_FY))</f>
        <v>-501.154</v>
      </c>
      <c r="O867" s="15">
        <f t="shared" si="229"/>
        <v>1.0644755785288464</v>
      </c>
      <c r="P867" s="15">
        <f t="shared" si="230"/>
        <v>1.8842234981434383</v>
      </c>
      <c r="Q867" s="25" t="s">
        <v>44</v>
      </c>
      <c r="R867" s="38" t="s">
        <v>35</v>
      </c>
      <c r="S867" s="1">
        <f>_xll.ciqfunctions.udf.CIQ(A858,"IQ_TEV_EBITDA")</f>
        <v>54.588819999999998</v>
      </c>
      <c r="U867" s="25" t="s">
        <v>55</v>
      </c>
      <c r="V867" s="38" t="s">
        <v>53</v>
      </c>
      <c r="W867" s="1">
        <f>V857/(AVERAGE(D863:D868)/_xlfn.STDEV.P(E863:E868))</f>
        <v>4.9607115985121606</v>
      </c>
      <c r="Y867" s="25" t="s">
        <v>57</v>
      </c>
      <c r="Z867" s="38" t="s">
        <v>53</v>
      </c>
      <c r="AA867" s="1">
        <f>Z857/(AVERAGE(D863:D868)/_xlfn.STDEV.P(E863:E868))</f>
        <v>4.9607115985121606</v>
      </c>
    </row>
    <row r="868" spans="1:27">
      <c r="B868" s="13">
        <v>11</v>
      </c>
      <c r="C868" s="20" t="s">
        <v>36</v>
      </c>
      <c r="D868" s="21" cm="1">
        <f t="array" ref="D868">_xlfn.SINGLE(IF(A866=A867,_xll.ciqfunctions.udf.CIQ(A858,"IQ_TOTAL_REV",IQ_FY)/I868, _xll.ciqfunctions.udf.CIQ(A858, "IQ_TOTAL_REV",IQ_LTM)/I868))</f>
        <v>3.8387199746311569</v>
      </c>
      <c r="E868" s="22">
        <f t="shared" si="231"/>
        <v>8.9780923068165652E-2</v>
      </c>
      <c r="F868" s="21">
        <f>IF(A866=A867,_xll.ciqfunctions.udf.CIQ(A858,"IQ_DILUT_EPS_EXCL",IQ_FY), _xll.ciqfunctions.udf.CIQ(A858, "IQ_DILUT_EPS_EXCL",IQ_LTM))</f>
        <v>0.54159000000000002</v>
      </c>
      <c r="G868" s="21">
        <f>IF(A866=A867,_xll.ciqfunctions.udf.CIQ(A858,"IQ_EBITDA_MARGIN",IQ_FY), _xll.ciqfunctions.udf.CIQ(A858, "IQ_EBITDA_MARGIN",IQ_LTM))</f>
        <v>25.413699999999999</v>
      </c>
      <c r="H868" s="21">
        <f>IF(A866=A867,_xll.ciqfunctions.udf.CIQ(A858,"IQ_TOTAL_DIV_PAID_CF",IQ_FY)/-I868, _xll.ciqfunctions.udf.CIQ(A858, "IQ_TOTAL_DIV_PAID_CF",IQ_LTM)/-I868)</f>
        <v>0.16778627208326649</v>
      </c>
      <c r="I868" s="23">
        <f>IF(A866=A867,_xll.ciqfunctions.udf.CIQ(A858,"IQ_TOTAL_OUTSTANDING_FILING_DATE",IQ_FY),_xll.ciqfunctions.udf.CIQ(A858,"IQ_sharesoutstanding"))</f>
        <v>313.83377999999999</v>
      </c>
      <c r="J868" s="23">
        <f>IF(A866=A867,_xll.ciqfunctions.udf.CIQ(A858,"IQ_CASH_OPER",IQ_FY), _xll.ciqfunctions.udf.CIQ(A858, "IQ_CASH_OPER",IQ_LTM))</f>
        <v>365.76900000000001</v>
      </c>
      <c r="K868" s="23">
        <f>IF(A866=A867,_xll.ciqfunctions.udf.CIQ(A858,"IQ_CAPEX",IQ_FY), _xll.ciqfunctions.udf.CIQ(A858, "IQ_CAPEX",IQ_LTM))</f>
        <v>-24.47</v>
      </c>
      <c r="L868" s="21">
        <f t="shared" si="228"/>
        <v>1.0875151808068588</v>
      </c>
      <c r="M868" s="23">
        <f>IF(A866=A867,_xll.ciqfunctions.udf.CIQ(A858,"IQ_TOTAL_DEBT_ISSUED",IQ_FY), _xll.ciqfunctions.udf.CIQ(A858, "IQ_TOTAL_DEBT_ISSUED",IQ_LTM))</f>
        <v>522.48199999999997</v>
      </c>
      <c r="N868" s="23">
        <f>IF(A866=A867,_xll.ciqfunctions.udf.CIQ(A858,"IQ_TOTAL_DEBT_REPAID",IQ_FY), _xll.ciqfunctions.udf.CIQ(A858, "IQ_TOTAL_DEBT_REPAID",IQ_LTM))</f>
        <v>-727.15800000000002</v>
      </c>
      <c r="O868" s="21">
        <f t="shared" si="229"/>
        <v>-0.65217963470981377</v>
      </c>
      <c r="P868" s="21">
        <f t="shared" si="230"/>
        <v>0.43533554609704506</v>
      </c>
      <c r="Q868" s="25" t="s">
        <v>45</v>
      </c>
      <c r="S868" s="45"/>
      <c r="U868" s="25"/>
      <c r="W868" s="45"/>
      <c r="Y868" s="25"/>
      <c r="AA868" s="45"/>
    </row>
    <row r="869" spans="1:27">
      <c r="B869" s="24"/>
      <c r="C869" s="25" t="s">
        <v>37</v>
      </c>
      <c r="E869" s="26">
        <f>((D868/D863)^(1/5))-1</f>
        <v>6.7920499135461165E-2</v>
      </c>
      <c r="F869" s="27">
        <f>((F868/F863)^(1/5))-1</f>
        <v>2.0222533197827186E-2</v>
      </c>
      <c r="G869" s="28"/>
      <c r="H869" s="27">
        <f>((H868/H863)^(1/5))-1</f>
        <v>0.15924672246981197</v>
      </c>
      <c r="I869" s="27">
        <f>((I868/I863)^(1/5))-1</f>
        <v>4.629341049447766E-2</v>
      </c>
      <c r="J869" s="27"/>
      <c r="K869" s="27"/>
      <c r="L869" s="26">
        <f>((L868/L863)^(1/5))-1</f>
        <v>0.13762223573190546</v>
      </c>
      <c r="M869" s="26"/>
      <c r="N869" s="26"/>
      <c r="O869" s="26"/>
      <c r="P869" s="26">
        <f>((P868/P863)^(1/5))-1</f>
        <v>-3.7069782418488573E-2</v>
      </c>
      <c r="Q869" s="18"/>
      <c r="R869" s="36"/>
      <c r="S869" s="45"/>
      <c r="U869" s="18"/>
      <c r="V869" s="36"/>
      <c r="W869" s="45"/>
      <c r="Y869" s="18"/>
      <c r="Z869" s="36"/>
      <c r="AA869" s="45"/>
    </row>
    <row r="870" spans="1:27">
      <c r="A870" s="29"/>
      <c r="B870" s="30"/>
      <c r="C870" s="31" t="s">
        <v>38</v>
      </c>
      <c r="D870" s="29"/>
      <c r="E870" s="32" t="e">
        <f>((D868/D858)^(1/10))-1</f>
        <v>#DIV/0!</v>
      </c>
      <c r="F870" s="33" t="e">
        <f>((F868/F858)^(1/10))-1</f>
        <v>#DIV/0!</v>
      </c>
      <c r="G870" s="34"/>
      <c r="H870" s="33" t="e">
        <f>((H868/H858)^(1/10))-1</f>
        <v>#DIV/0!</v>
      </c>
      <c r="I870" s="33" t="e">
        <f>((I868/I858)^(1/10))-1</f>
        <v>#DIV/0!</v>
      </c>
      <c r="J870" s="33"/>
      <c r="K870" s="33"/>
      <c r="L870" s="32" t="e">
        <f>((L868/L858)^(1/10))-1</f>
        <v>#DIV/0!</v>
      </c>
      <c r="M870" s="32"/>
      <c r="N870" s="32"/>
      <c r="O870" s="32"/>
      <c r="P870" s="32" t="e">
        <f>((P868/P858)^(1/10))-1</f>
        <v>#DIV/0!</v>
      </c>
      <c r="Q870" s="40"/>
      <c r="R870" s="41"/>
      <c r="S870" s="46"/>
      <c r="U870" s="40"/>
      <c r="V870" s="41"/>
      <c r="W870" s="46"/>
      <c r="Y870" s="40"/>
      <c r="Z870" s="41"/>
      <c r="AA870" s="46"/>
    </row>
    <row r="871" spans="1:27">
      <c r="B871" s="24"/>
      <c r="C871" s="25"/>
      <c r="E871" s="26"/>
      <c r="F871" s="27"/>
      <c r="G871" s="28"/>
      <c r="H871" s="27"/>
      <c r="I871" s="27"/>
      <c r="J871" s="27"/>
      <c r="K871" s="27"/>
      <c r="L871" s="26"/>
      <c r="M871" s="17"/>
      <c r="N871" s="17"/>
      <c r="O871" s="17"/>
      <c r="P871" s="35"/>
      <c r="Q871" s="18"/>
      <c r="R871" s="36"/>
    </row>
    <row r="872" spans="1:27">
      <c r="A872" s="9" t="s">
        <v>0</v>
      </c>
      <c r="B872" s="10"/>
      <c r="C872" s="9" t="s">
        <v>1</v>
      </c>
      <c r="D872" s="9" t="s">
        <v>2</v>
      </c>
      <c r="E872" s="9" t="s">
        <v>3</v>
      </c>
      <c r="F872" s="11" t="s">
        <v>4</v>
      </c>
      <c r="G872" s="11" t="s">
        <v>5</v>
      </c>
      <c r="H872" s="9" t="s">
        <v>6</v>
      </c>
      <c r="I872" s="11" t="s">
        <v>7</v>
      </c>
      <c r="J872" s="11" t="s">
        <v>8</v>
      </c>
      <c r="K872" s="11" t="s">
        <v>9</v>
      </c>
      <c r="L872" s="11" t="s">
        <v>10</v>
      </c>
      <c r="M872" s="11" t="s">
        <v>11</v>
      </c>
      <c r="N872" s="11" t="s">
        <v>12</v>
      </c>
      <c r="O872" s="11" t="s">
        <v>13</v>
      </c>
      <c r="P872" s="11" t="s">
        <v>14</v>
      </c>
      <c r="Q872" s="37" t="s">
        <v>15</v>
      </c>
      <c r="R872" s="42">
        <f>_xll.ciqfunctions.udf.CIQ(A873,("IQ_LASTSALEPRICE"))</f>
        <v>193.77</v>
      </c>
      <c r="S872" s="44"/>
      <c r="U872" s="37" t="s">
        <v>15</v>
      </c>
      <c r="V872" s="42">
        <f>_xll.ciqfunctions.udf.CIQ(A873,("IQ_LASTSALEPRICE"))</f>
        <v>193.77</v>
      </c>
      <c r="W872" s="44"/>
      <c r="Y872" s="37" t="s">
        <v>15</v>
      </c>
      <c r="Z872" s="42">
        <f>_xll.ciqfunctions.udf.CIQ(A873,("IQ_LASTSALEPRICE"))</f>
        <v>193.77</v>
      </c>
      <c r="AA872" s="44"/>
    </row>
    <row r="873" spans="1:27">
      <c r="A873" s="12" t="str">
        <f>Analysis!B60</f>
        <v>NasdaqGS:ZS</v>
      </c>
      <c r="B873" s="13">
        <v>1</v>
      </c>
      <c r="C873" s="14" t="s">
        <v>16</v>
      </c>
      <c r="D873" s="15" t="e">
        <f>IF(A881=A882,_xll.ciqfunctions.udf.CIQ(A873,"IQ_TOTAL_REV",IQ_FY-10)/I873,_xll.ciqfunctions.udf.CIQ(A873, "IQ_TOTAL_REV",IQ_FY-9)/I873)</f>
        <v>#DIV/0!</v>
      </c>
      <c r="E873" s="16"/>
      <c r="F873" s="15">
        <f>IF(A881=A882,_xll.ciqfunctions.udf.CIQ(A873,"IQ_DILUT_EPS_EXCL",IQ_FY-10), _xll.ciqfunctions.udf.CIQ(A873, "IQ_DILUT_EPS_EXCL",IQ_FY-9))</f>
        <v>0</v>
      </c>
      <c r="G873" s="15">
        <f>IF(A881=A882,_xll.ciqfunctions.udf.CIQ(A873,"IQ_EBITDA_MARGIN",IQ_FY-10), _xll.ciqfunctions.udf.CIQ(A873, "IQ_EBITDA_MARGIN",IQ_FY-9))</f>
        <v>0</v>
      </c>
      <c r="H873" s="15" t="e">
        <f>IF(A881=A882,_xll.ciqfunctions.udf.CIQ(A873,"IQ_TOTAL_DIV_PAID_CF",IQ_FY-10)/-I873, _xll.ciqfunctions.udf.CIQ(A873, "IQ_TOTAL_DIV_PAID_CF",IQ_FY-9)/-I873)</f>
        <v>#DIV/0!</v>
      </c>
      <c r="I873" s="17">
        <f>IF(A881=A882,_xll.ciqfunctions.udf.CIQ(A873,"IQ_TOTAL_OUTSTANDING_FILING_DATE",IQ_FY-10), _xll.ciqfunctions.udf.CIQ(A873, "IQ_TOTAL_OUTSTANDING_FILING_DATE",IQ_FY-9))</f>
        <v>0</v>
      </c>
      <c r="J873" s="17">
        <f>IF(A881=A882,_xll.ciqfunctions.udf.CIQ(A873,"IQ_CASH_OPER",IQ_FY-10), _xll.ciqfunctions.udf.CIQ(A873, "IQ_CASH_OPER",IQ_FY-9))</f>
        <v>0</v>
      </c>
      <c r="K873" s="17">
        <f>IF(A881=A882,_xll.ciqfunctions.udf.CIQ(A873,"IQ_CAPEX",IQ_FY-10), _xll.ciqfunctions.udf.CIQ(A873, "IQ_CAPEX",IQ_FY-9))</f>
        <v>0</v>
      </c>
      <c r="L873" s="15" t="e">
        <f t="shared" ref="L873:L883" si="232">(J873+K873)/I873</f>
        <v>#DIV/0!</v>
      </c>
      <c r="M873" s="17">
        <f>IF(A881=A882,_xll.ciqfunctions.udf.CIQ(A873,"IQ_TOTAL_DEBT_ISSUED",IQ_FY-10), _xll.ciqfunctions.udf.CIQ(A873, "IQ_TOTAL_DEBT_ISSUED",IQ_FY-9))</f>
        <v>0</v>
      </c>
      <c r="N873" s="17">
        <f>IF(A881=A882,_xll.ciqfunctions.udf.CIQ(A873,"IQ_TOTAL_DEBT_REPAID",IQ_FY-10), _xll.ciqfunctions.udf.CIQ(A873, "IQ_TOTAL_DEBT_REPAID",IQ_FY-9))</f>
        <v>0</v>
      </c>
      <c r="O873" s="15" t="e">
        <f t="shared" ref="O873:O883" si="233">(M873+N873)/I873</f>
        <v>#DIV/0!</v>
      </c>
      <c r="P873" s="15" t="e">
        <f t="shared" ref="P873:P883" si="234">L873+O873</f>
        <v>#DIV/0!</v>
      </c>
      <c r="W873" s="43"/>
      <c r="AA873" s="43"/>
    </row>
    <row r="874" spans="1:27">
      <c r="A874" s="18" t="str">
        <f>_xll.ciqfunctions.udf.CIQ(A873,"IQ_COMPANY_NAME")</f>
        <v>Zscaler, Inc.</v>
      </c>
      <c r="B874" s="13">
        <v>2</v>
      </c>
      <c r="C874" s="14" t="s">
        <v>17</v>
      </c>
      <c r="D874" s="15" t="e">
        <f>IF(A881=A882,_xll.ciqfunctions.udf.CIQ(A873,"IQ_TOTAL_REV",IQ_FY-9)/I874, _xll.ciqfunctions.udf.CIQ(A873, "IQ_TOTAL_REV",IQ_FY-8)/I874)</f>
        <v>#DIV/0!</v>
      </c>
      <c r="E874" s="16" t="e">
        <f t="shared" ref="E874:E883" si="235">(D874-D873)/D873</f>
        <v>#DIV/0!</v>
      </c>
      <c r="F874" s="15">
        <f>IF(A881=A882,_xll.ciqfunctions.udf.CIQ(A873,"IQ_DILUT_EPS_EXCL",IQ_FY-9), _xll.ciqfunctions.udf.CIQ(A873, "IQ_DILUT_EPS_EXCL",IQ_FY-8))</f>
        <v>0</v>
      </c>
      <c r="G874" s="15">
        <f>IF(A881=A882,_xll.ciqfunctions.udf.CIQ(A873,"IQ_EBITDA_MARGIN",IQ_FY-9), _xll.ciqfunctions.udf.CIQ(A873, "IQ_EBITDA_MARGIN",IQ_FY-8))</f>
        <v>0</v>
      </c>
      <c r="H874" s="15" t="e">
        <f>IF(A881=A882,_xll.ciqfunctions.udf.CIQ(A873,"IQ_TOTAL_DIV_PAID_CF",IQ_FY-9)/-I874, _xll.ciqfunctions.udf.CIQ(A873, "IQ_TOTAL_DIV_PAID_CF",IQ_FY-8)/-I874)</f>
        <v>#DIV/0!</v>
      </c>
      <c r="I874" s="17">
        <f>IF(A881=A882,_xll.ciqfunctions.udf.CIQ(A873,"IQ_TOTAL_OUTSTANDING_FILING_DATE",IQ_FY-9), _xll.ciqfunctions.udf.CIQ(A873, "IQ_TOTAL_OUTSTANDING_FILING_DATE",IQ_FY-8))</f>
        <v>0</v>
      </c>
      <c r="J874" s="17">
        <f>IF(A881=A882,_xll.ciqfunctions.udf.CIQ(A873,"IQ_CASH_OPER",IQ_FY-9), _xll.ciqfunctions.udf.CIQ(A873, "IQ_CASH_OPER",IQ_FY-8))</f>
        <v>0</v>
      </c>
      <c r="K874" s="17">
        <f>IF(A881=A882,_xll.ciqfunctions.udf.CIQ(A873,"IQ_CAPEX",IQ_FY-9), _xll.ciqfunctions.udf.CIQ(A873, "IQ_CAPEX",IQ_FY-8))</f>
        <v>0</v>
      </c>
      <c r="L874" s="15" t="e">
        <f t="shared" si="232"/>
        <v>#DIV/0!</v>
      </c>
      <c r="M874" s="17">
        <f>IF(A881=A882,_xll.ciqfunctions.udf.CIQ(A873,"IQ_TOTAL_DEBT_ISSUED",IQ_FY-9), _xll.ciqfunctions.udf.CIQ(A873, "IQ_TOTAL_DEBT_ISSUED",IQ_FY-8))</f>
        <v>0</v>
      </c>
      <c r="N874" s="17">
        <f>IF(A881=A882,_xll.ciqfunctions.udf.CIQ(A873,"IQ_TOTAL_DEBT_REPAID",IQ_FY-9), _xll.ciqfunctions.udf.CIQ(A873, "IQ_TOTAL_DEBT_REPAID",IQ_FY-8))</f>
        <v>0</v>
      </c>
      <c r="O874" s="15" t="e">
        <f t="shared" si="233"/>
        <v>#DIV/0!</v>
      </c>
      <c r="P874" s="15" t="e">
        <f t="shared" si="234"/>
        <v>#DIV/0!</v>
      </c>
      <c r="Q874" s="25" t="s">
        <v>18</v>
      </c>
      <c r="R874" s="39" t="s">
        <v>19</v>
      </c>
      <c r="S874" s="1">
        <f>R872/((AVERAGE(P878:P883))*(1+E884)^3)</f>
        <v>25.272666306802826</v>
      </c>
      <c r="U874" s="25" t="s">
        <v>48</v>
      </c>
      <c r="V874" s="39" t="s">
        <v>19</v>
      </c>
      <c r="W874" s="1">
        <f>V872/((AVERAGE(P878:P883))*(1+E884)^3)</f>
        <v>25.272666306802826</v>
      </c>
      <c r="Y874" s="25" t="s">
        <v>39</v>
      </c>
      <c r="Z874" s="39" t="s">
        <v>19</v>
      </c>
      <c r="AA874" s="1">
        <f>Z872/((AVERAGE(P878:P883))*(1+E884)^3)</f>
        <v>25.272666306802826</v>
      </c>
    </row>
    <row r="875" spans="1:27">
      <c r="B875" s="13">
        <v>3</v>
      </c>
      <c r="C875" s="14" t="s">
        <v>20</v>
      </c>
      <c r="D875" s="15" cm="1">
        <f t="array" ref="D875">_xlfn.SINGLE(IF(A881=A882,_xll.ciqfunctions.udf.CIQ(A873,"IQ_TOTAL_REV",IQ_FY-8)/I875, _xll.ciqfunctions.udf.CIQ(A873, "IQ_TOTAL_REV",IQ_FY-7)/I875))</f>
        <v>1.8221593879699549</v>
      </c>
      <c r="E875" s="16" t="e">
        <f t="shared" si="235"/>
        <v>#DIV/0!</v>
      </c>
      <c r="F875" s="15">
        <f>IF(A881=A882,_xll.ciqfunctions.udf.CIQ(A873,"IQ_DILUT_EPS_EXCL",IQ_FY-8), _xll.ciqfunctions.udf.CIQ(A873, "IQ_DILUT_EPS_EXCL",IQ_FY-7))</f>
        <v>-0.55184</v>
      </c>
      <c r="G875" s="15">
        <f>IF(A881=A882,_xll.ciqfunctions.udf.CIQ(A873,"IQ_EBITDA_MARGIN",IQ_FY-8), _xll.ciqfunctions.udf.CIQ(A873, "IQ_EBITDA_MARGIN",IQ_FY-7))</f>
        <v>-17.807700000000001</v>
      </c>
      <c r="H875" s="15">
        <f>IF(A881=A882,_xll.ciqfunctions.udf.CIQ(A873,"IQ_TOTAL_DIV_PAID_CF",IQ_FY-8)/-I875, _xll.ciqfunctions.udf.CIQ(A873, "IQ_TOTAL_DIV_PAID_CF",IQ_FY-7)/-I875)</f>
        <v>0</v>
      </c>
      <c r="I875" s="17">
        <f>IF(A881=A882,_xll.ciqfunctions.udf.CIQ(A873,"IQ_TOTAL_OUTSTANDING_FILING_DATE",IQ_FY-8), _xll.ciqfunctions.udf.CIQ(A873, "IQ_TOTAL_OUTSTANDING_FILING_DATE",IQ_FY-7))</f>
        <v>29.47437</v>
      </c>
      <c r="J875" s="17">
        <f>IF(A881=A882,_xll.ciqfunctions.udf.CIQ(A873,"IQ_CASH_OPER",IQ_FY-8), _xll.ciqfunctions.udf.CIQ(A873, "IQ_CASH_OPER",IQ_FY-7))</f>
        <v>-3.2789999999999999</v>
      </c>
      <c r="K875" s="17">
        <f>IF(A881=A882,_xll.ciqfunctions.udf.CIQ(A873,"IQ_CAPEX",IQ_FY-8), _xll.ciqfunctions.udf.CIQ(A873, "IQ_CAPEX",IQ_FY-7))</f>
        <v>-5.1710000000000003</v>
      </c>
      <c r="L875" s="15">
        <f t="shared" si="232"/>
        <v>-0.28668975791509704</v>
      </c>
      <c r="M875" s="17">
        <f>IF(A881=A882,_xll.ciqfunctions.udf.CIQ(A873,"IQ_TOTAL_DEBT_ISSUED",IQ_FY-8), _xll.ciqfunctions.udf.CIQ(A873, "IQ_TOTAL_DEBT_ISSUED",IQ_FY-7))</f>
        <v>5.5</v>
      </c>
      <c r="N875" s="17">
        <f>IF(A881=A882,_xll.ciqfunctions.udf.CIQ(A873,"IQ_TOTAL_DEBT_REPAID",IQ_FY-8), _xll.ciqfunctions.udf.CIQ(A873, "IQ_TOTAL_DEBT_REPAID",IQ_FY-7))</f>
        <v>-5.5</v>
      </c>
      <c r="O875" s="15">
        <f t="shared" si="233"/>
        <v>0</v>
      </c>
      <c r="P875" s="15">
        <f t="shared" si="234"/>
        <v>-0.28668975791509704</v>
      </c>
      <c r="Q875" s="25" t="s">
        <v>21</v>
      </c>
      <c r="R875" s="38" t="s">
        <v>49</v>
      </c>
      <c r="S875" s="2">
        <f>(R872*I883)/1000</f>
        <v>28.516892562900001</v>
      </c>
      <c r="U875" s="25" t="s">
        <v>59</v>
      </c>
      <c r="V875" s="38" t="s">
        <v>49</v>
      </c>
      <c r="W875" s="2">
        <f>(V872*I883)/1000</f>
        <v>28.516892562900001</v>
      </c>
      <c r="Y875" s="25" t="s">
        <v>46</v>
      </c>
      <c r="Z875" s="38" t="s">
        <v>49</v>
      </c>
      <c r="AA875" s="2">
        <f>(Z872*I883)/1000</f>
        <v>28.516892562900001</v>
      </c>
    </row>
    <row r="876" spans="1:27">
      <c r="A876" s="18"/>
      <c r="B876" s="13">
        <v>4</v>
      </c>
      <c r="C876" s="14" t="s">
        <v>22</v>
      </c>
      <c r="D876" s="15" cm="1">
        <f t="array" ref="D876">_xlfn.SINGLE(IF(A881=A882,_xll.ciqfunctions.udf.CIQ(A873,"IQ_TOTAL_REV",IQ_FY-7)/I876, _xll.ciqfunctions.udf.CIQ(A873, "IQ_TOTAL_REV",IQ_FY-6)/I876))</f>
        <v>2.6482788907197978</v>
      </c>
      <c r="E876" s="16">
        <f t="shared" si="235"/>
        <v>0.45337389703883829</v>
      </c>
      <c r="F876" s="15">
        <f>IF(A881=A882,_xll.ciqfunctions.udf.CIQ(A873,"IQ_DILUT_EPS_EXCL",IQ_FY-7), _xll.ciqfunctions.udf.CIQ(A873, "IQ_DILUT_EPS_EXCL",IQ_FY-6))</f>
        <v>-1.36066</v>
      </c>
      <c r="G876" s="15">
        <f>IF(A881=A882,_xll.ciqfunctions.udf.CIQ(A873,"IQ_EBITDA_MARGIN",IQ_FY-7), _xll.ciqfunctions.udf.CIQ(A873, "IQ_EBITDA_MARGIN",IQ_FY-6))</f>
        <v>-28.5975</v>
      </c>
      <c r="H876" s="15">
        <f>IF(A881=A882,_xll.ciqfunctions.udf.CIQ(A873,"IQ_TOTAL_DIV_PAID_CF",IQ_FY-7)/-I876, _xll.ciqfunctions.udf.CIQ(A873, "IQ_TOTAL_DIV_PAID_CF",IQ_FY-6)/-I876)</f>
        <v>0</v>
      </c>
      <c r="I876" s="17">
        <f>IF(A881=A882,_xll.ciqfunctions.udf.CIQ(A873,"IQ_TOTAL_OUTSTANDING_FILING_DATE",IQ_FY-7), _xll.ciqfunctions.udf.CIQ(A873, "IQ_TOTAL_OUTSTANDING_FILING_DATE",IQ_FY-6))</f>
        <v>30.331019999999999</v>
      </c>
      <c r="J876" s="17">
        <f>IF(A881=A882,_xll.ciqfunctions.udf.CIQ(A873,"IQ_CASH_OPER",IQ_FY-7), _xll.ciqfunctions.udf.CIQ(A873, "IQ_CASH_OPER",IQ_FY-6))</f>
        <v>-11.916</v>
      </c>
      <c r="K876" s="17">
        <f>IF(A881=A882,_xll.ciqfunctions.udf.CIQ(A873,"IQ_CAPEX",IQ_FY-7), _xll.ciqfunctions.udf.CIQ(A873, "IQ_CAPEX",IQ_FY-6))</f>
        <v>-5.4020000000000001</v>
      </c>
      <c r="L876" s="15">
        <f t="shared" si="232"/>
        <v>-0.57096662097087414</v>
      </c>
      <c r="M876" s="17">
        <f>IF(A881=A882,_xll.ciqfunctions.udf.CIQ(A873,"IQ_TOTAL_DEBT_ISSUED",IQ_FY-7), _xll.ciqfunctions.udf.CIQ(A873, "IQ_TOTAL_DEBT_ISSUED",IQ_FY-6))</f>
        <v>0</v>
      </c>
      <c r="N876" s="17">
        <f>IF(A881=A882,_xll.ciqfunctions.udf.CIQ(A873,"IQ_TOTAL_DEBT_REPAID",IQ_FY-7), _xll.ciqfunctions.udf.CIQ(A873, "IQ_TOTAL_DEBT_REPAID",IQ_FY-6))</f>
        <v>0</v>
      </c>
      <c r="O876" s="15">
        <f t="shared" si="233"/>
        <v>0</v>
      </c>
      <c r="P876" s="15">
        <f t="shared" si="234"/>
        <v>-0.57096662097087414</v>
      </c>
      <c r="Q876" s="25" t="s">
        <v>23</v>
      </c>
      <c r="R876" s="38" t="s">
        <v>24</v>
      </c>
      <c r="S876" s="1" t="e">
        <f>R872/(AVERAGE(H878:H883)*(1+H884)/(0.5-H884))</f>
        <v>#DIV/0!</v>
      </c>
      <c r="U876" s="25" t="s">
        <v>40</v>
      </c>
      <c r="V876" s="38" t="s">
        <v>24</v>
      </c>
      <c r="W876" s="1" t="e">
        <f>V872/(AVERAGE(H878:H883)*(1+H884)/(0.5-H884))</f>
        <v>#DIV/0!</v>
      </c>
      <c r="Y876" s="25" t="s">
        <v>47</v>
      </c>
      <c r="Z876" s="38" t="s">
        <v>24</v>
      </c>
      <c r="AA876" s="1" t="e">
        <f>Z872/(AVERAGE(H878:H883)*(1+H884)/(0.5-H884))</f>
        <v>#DIV/0!</v>
      </c>
    </row>
    <row r="877" spans="1:27">
      <c r="B877" s="13">
        <v>5</v>
      </c>
      <c r="C877" s="14" t="s">
        <v>25</v>
      </c>
      <c r="D877" s="15" cm="1">
        <f t="array" ref="D877">_xlfn.SINGLE(IF(A881=A882,_xll.ciqfunctions.udf.CIQ(A873,"IQ_TOTAL_REV",IQ_FY-6)/I877, _xll.ciqfunctions.udf.CIQ(A873, "IQ_TOTAL_REV",IQ_FY-5)/I877))</f>
        <v>3.8291754679597396</v>
      </c>
      <c r="E877" s="16">
        <f t="shared" si="235"/>
        <v>0.44591095801053493</v>
      </c>
      <c r="F877" s="15">
        <f>IF(A881=A882,_xll.ciqfunctions.udf.CIQ(A873,"IQ_DILUT_EPS_EXCL",IQ_FY-6), _xll.ciqfunctions.udf.CIQ(A873, "IQ_DILUT_EPS_EXCL",IQ_FY-5))</f>
        <v>-1.5410200000000001</v>
      </c>
      <c r="G877" s="15">
        <f>IF(A881=A882,_xll.ciqfunctions.udf.CIQ(A873,"IQ_EBITDA_MARGIN",IQ_FY-6), _xll.ciqfunctions.udf.CIQ(A873, "IQ_EBITDA_MARGIN",IQ_FY-5))</f>
        <v>-15.277100000000001</v>
      </c>
      <c r="H877" s="15">
        <f>IF(A881=A882,_xll.ciqfunctions.udf.CIQ(A873,"IQ_TOTAL_DIV_PAID_CF",IQ_FY-6)/-I877, _xll.ciqfunctions.udf.CIQ(A873, "IQ_TOTAL_DIV_PAID_CF",IQ_FY-5)/-I877)</f>
        <v>0</v>
      </c>
      <c r="I877" s="17">
        <f>IF(A881=A882,_xll.ciqfunctions.udf.CIQ(A873,"IQ_TOTAL_OUTSTANDING_FILING_DATE",IQ_FY-6), _xll.ciqfunctions.udf.CIQ(A873, "IQ_TOTAL_OUTSTANDING_FILING_DATE",IQ_FY-5))</f>
        <v>32.83135</v>
      </c>
      <c r="J877" s="17">
        <f>IF(A881=A882,_xll.ciqfunctions.udf.CIQ(A873,"IQ_CASH_OPER",IQ_FY-6), _xll.ciqfunctions.udf.CIQ(A873, "IQ_CASH_OPER",IQ_FY-5))</f>
        <v>-6.0190000000000001</v>
      </c>
      <c r="K877" s="17">
        <f>IF(A881=A882,_xll.ciqfunctions.udf.CIQ(A873,"IQ_CAPEX",IQ_FY-6), _xll.ciqfunctions.udf.CIQ(A873, "IQ_CAPEX",IQ_FY-5))</f>
        <v>-7.7830000000000004</v>
      </c>
      <c r="L877" s="15">
        <f t="shared" si="232"/>
        <v>-0.42039087640319389</v>
      </c>
      <c r="M877" s="17">
        <f>IF(A881=A882,_xll.ciqfunctions.udf.CIQ(A873,"IQ_TOTAL_DEBT_ISSUED",IQ_FY-6), _xll.ciqfunctions.udf.CIQ(A873, "IQ_TOTAL_DEBT_ISSUED",IQ_FY-5))</f>
        <v>0</v>
      </c>
      <c r="N877" s="17">
        <f>IF(A881=A882,_xll.ciqfunctions.udf.CIQ(A873,"IQ_TOTAL_DEBT_REPAID",IQ_FY-6), _xll.ciqfunctions.udf.CIQ(A873, "IQ_TOTAL_DEBT_REPAID",IQ_FY-5))</f>
        <v>0</v>
      </c>
      <c r="O877" s="15">
        <f t="shared" si="233"/>
        <v>0</v>
      </c>
      <c r="P877" s="15">
        <f t="shared" si="234"/>
        <v>-0.42039087640319389</v>
      </c>
      <c r="Q877" s="18"/>
      <c r="R877" s="38" t="s">
        <v>50</v>
      </c>
      <c r="S877" s="3">
        <f>I884</f>
        <v>4.2056464751293765E-2</v>
      </c>
      <c r="U877" s="18"/>
      <c r="V877" s="38" t="s">
        <v>50</v>
      </c>
      <c r="W877" s="3">
        <f>I884</f>
        <v>4.2056464751293765E-2</v>
      </c>
      <c r="Y877" s="18"/>
      <c r="Z877" s="38" t="s">
        <v>50</v>
      </c>
      <c r="AA877" s="3">
        <f>I884</f>
        <v>4.2056464751293765E-2</v>
      </c>
    </row>
    <row r="878" spans="1:27">
      <c r="B878" s="13">
        <v>6</v>
      </c>
      <c r="C878" s="14" t="s">
        <v>26</v>
      </c>
      <c r="D878" s="15" cm="1">
        <f t="array" ref="D878">_xlfn.SINGLE(IF(A881=A882,_xll.ciqfunctions.udf.CIQ(A873,"IQ_TOTAL_REV",IQ_FY-5)/I878, _xll.ciqfunctions.udf.CIQ(A873, "IQ_TOTAL_REV",IQ_FY-4)/I878))</f>
        <v>1.5877851735193029</v>
      </c>
      <c r="E878" s="16">
        <f t="shared" si="235"/>
        <v>-0.5853454126599984</v>
      </c>
      <c r="F878" s="15">
        <f>IF(A881=A882,_xll.ciqfunctions.udf.CIQ(A873,"IQ_DILUT_EPS_EXCL",IQ_FY-5), _xll.ciqfunctions.udf.CIQ(A873, "IQ_DILUT_EPS_EXCL",IQ_FY-4))</f>
        <v>-0.62582000000000004</v>
      </c>
      <c r="G878" s="15">
        <f>IF(A881=A882,_xll.ciqfunctions.udf.CIQ(A873,"IQ_EBITDA_MARGIN",IQ_FY-5), _xll.ciqfunctions.udf.CIQ(A873, "IQ_EBITDA_MARGIN",IQ_FY-4))</f>
        <v>-10.2521</v>
      </c>
      <c r="H878" s="15">
        <f>IF(A881=A882,_xll.ciqfunctions.udf.CIQ(A873,"IQ_TOTAL_DIV_PAID_CF",IQ_FY-5)/-I878, _xll.ciqfunctions.udf.CIQ(A873, "IQ_TOTAL_DIV_PAID_CF",IQ_FY-4)/-I878)</f>
        <v>0</v>
      </c>
      <c r="I878" s="17">
        <f>IF(A881=A882,_xll.ciqfunctions.udf.CIQ(A873,"IQ_TOTAL_OUTSTANDING_FILING_DATE",IQ_FY-5), _xll.ciqfunctions.udf.CIQ(A873, "IQ_TOTAL_OUTSTANDING_FILING_DATE",IQ_FY-4))</f>
        <v>119.77312999999999</v>
      </c>
      <c r="J878" s="17">
        <f>IF(A881=A882,_xll.ciqfunctions.udf.CIQ(A873,"IQ_CASH_OPER",IQ_FY-5), _xll.ciqfunctions.udf.CIQ(A873, "IQ_CASH_OPER",IQ_FY-4))</f>
        <v>17.306999999999999</v>
      </c>
      <c r="K878" s="17">
        <f>IF(A881=A882,_xll.ciqfunctions.udf.CIQ(A873,"IQ_CAPEX",IQ_FY-5), _xll.ciqfunctions.udf.CIQ(A873, "IQ_CAPEX",IQ_FY-4))</f>
        <v>-13.397</v>
      </c>
      <c r="L878" s="15">
        <f t="shared" si="232"/>
        <v>3.2645051523659763E-2</v>
      </c>
      <c r="M878" s="17">
        <f>IF(A881=A882,_xll.ciqfunctions.udf.CIQ(A873,"IQ_TOTAL_DEBT_ISSUED",IQ_FY-5), _xll.ciqfunctions.udf.CIQ(A873, "IQ_TOTAL_DEBT_ISSUED",IQ_FY-4))</f>
        <v>0</v>
      </c>
      <c r="N878" s="17">
        <f>IF(A881=A882,_xll.ciqfunctions.udf.CIQ(A873,"IQ_TOTAL_DEBT_REPAID",IQ_FY-5), _xll.ciqfunctions.udf.CIQ(A873, "IQ_TOTAL_DEBT_REPAID",IQ_FY-4))</f>
        <v>0</v>
      </c>
      <c r="O878" s="15">
        <f t="shared" si="233"/>
        <v>0</v>
      </c>
      <c r="P878" s="15">
        <f t="shared" si="234"/>
        <v>3.2645051523659763E-2</v>
      </c>
      <c r="Q878" s="25" t="s">
        <v>27</v>
      </c>
      <c r="R878" s="38" t="s">
        <v>51</v>
      </c>
      <c r="S878" s="4">
        <f>AVERAGE(F878:F883)/AVERAGE(D878:D883)</f>
        <v>-0.25615176179831195</v>
      </c>
      <c r="U878" s="25" t="s">
        <v>58</v>
      </c>
      <c r="V878" s="38" t="s">
        <v>51</v>
      </c>
      <c r="W878" s="4">
        <f>AVERAGE(F878:F883)/AVERAGE(D878:D883)</f>
        <v>-0.25615176179831195</v>
      </c>
      <c r="Y878" s="25" t="s">
        <v>56</v>
      </c>
      <c r="Z878" s="38" t="s">
        <v>51</v>
      </c>
      <c r="AA878" s="4">
        <f>AVERAGE(F878:F883)/AVERAGE(D878:D883)</f>
        <v>-0.25615176179831195</v>
      </c>
    </row>
    <row r="879" spans="1:27">
      <c r="A879" s="18"/>
      <c r="B879" s="13">
        <v>7</v>
      </c>
      <c r="C879" s="14" t="s">
        <v>28</v>
      </c>
      <c r="D879" s="15" cm="1">
        <f t="array" ref="D879">_xlfn.SINGLE(IF(A881=A882,_xll.ciqfunctions.udf.CIQ(A873,"IQ_TOTAL_REV",IQ_FY-4)/I879, _xll.ciqfunctions.udf.CIQ(A873, "IQ_TOTAL_REV",IQ_FY-3)/I879))</f>
        <v>2.3760242149911344</v>
      </c>
      <c r="E879" s="16">
        <f t="shared" si="235"/>
        <v>0.49643935125348915</v>
      </c>
      <c r="F879" s="15">
        <f>IF(A881=A882,_xll.ciqfunctions.udf.CIQ(A873,"IQ_DILUT_EPS_EXCL",IQ_FY-4), _xll.ciqfunctions.udf.CIQ(A873, "IQ_DILUT_EPS_EXCL",IQ_FY-3))</f>
        <v>-0.2319</v>
      </c>
      <c r="G879" s="15">
        <f>IF(A881=A882,_xll.ciqfunctions.udf.CIQ(A873,"IQ_EBITDA_MARGIN",IQ_FY-4), _xll.ciqfunctions.udf.CIQ(A873, "IQ_EBITDA_MARGIN",IQ_FY-3))</f>
        <v>-3.8397000000000001</v>
      </c>
      <c r="H879" s="15">
        <f>IF(A881=A882,_xll.ciqfunctions.udf.CIQ(A873,"IQ_TOTAL_DIV_PAID_CF",IQ_FY-4)/-I879, _xll.ciqfunctions.udf.CIQ(A873, "IQ_TOTAL_DIV_PAID_CF",IQ_FY-3)/-I879)</f>
        <v>0</v>
      </c>
      <c r="I879" s="17">
        <f>IF(A881=A882,_xll.ciqfunctions.udf.CIQ(A873,"IQ_TOTAL_OUTSTANDING_FILING_DATE",IQ_FY-4), _xll.ciqfunctions.udf.CIQ(A873, "IQ_TOTAL_OUTSTANDING_FILING_DATE",IQ_FY-3))</f>
        <v>127.45493</v>
      </c>
      <c r="J879" s="17">
        <f>IF(A881=A882,_xll.ciqfunctions.udf.CIQ(A873,"IQ_CASH_OPER",IQ_FY-4), _xll.ciqfunctions.udf.CIQ(A873, "IQ_CASH_OPER",IQ_FY-3))</f>
        <v>58.027000000000001</v>
      </c>
      <c r="K879" s="17">
        <f>IF(A881=A882,_xll.ciqfunctions.udf.CIQ(A873,"IQ_CAPEX",IQ_FY-4), _xll.ciqfunctions.udf.CIQ(A873, "IQ_CAPEX",IQ_FY-3))</f>
        <v>-25.52</v>
      </c>
      <c r="L879" s="15">
        <f t="shared" si="232"/>
        <v>0.25504701936598295</v>
      </c>
      <c r="M879" s="17">
        <f>IF(A881=A882,_xll.ciqfunctions.udf.CIQ(A873,"IQ_TOTAL_DEBT_ISSUED",IQ_FY-4), _xll.ciqfunctions.udf.CIQ(A873, "IQ_TOTAL_DEBT_ISSUED",IQ_FY-3))</f>
        <v>0</v>
      </c>
      <c r="N879" s="17">
        <f>IF(A881=A882,_xll.ciqfunctions.udf.CIQ(A873,"IQ_TOTAL_DEBT_REPAID",IQ_FY-4), _xll.ciqfunctions.udf.CIQ(A873, "IQ_TOTAL_DEBT_REPAID",IQ_FY-3))</f>
        <v>0</v>
      </c>
      <c r="O879" s="15">
        <f t="shared" si="233"/>
        <v>0</v>
      </c>
      <c r="P879" s="15">
        <f t="shared" si="234"/>
        <v>0.25504701936598295</v>
      </c>
      <c r="Q879" s="18"/>
      <c r="R879" s="38" t="s">
        <v>29</v>
      </c>
      <c r="S879" s="4">
        <f>(AVERAGE(P878:P883)/_xlfn.STDEV.P(P878:P883))/(IF(A881=A882,(_xlfn.SINGLE(_xll.ciqfunctions.udf.CIQ(A873,"IQ_total_assets",IQ_FY)) - _xlfn.SINGLE(_xll.ciqfunctions.udf.CIQ(A873,"iq_gw_intan", IQ_FY)))/I883, (_xlfn.SINGLE(_xll.ciqfunctions.udf.CIQ(A873, "IQ_total_assets",IQ_LTM))-_xlfn.SINGLE(_xll.ciqfunctions.udf.CIQ(A873,"iq_gw_intan",IQ_LTM)))/I883))</f>
        <v>3.4118192239798596E-2</v>
      </c>
      <c r="U879" s="18"/>
      <c r="V879" s="38" t="s">
        <v>29</v>
      </c>
      <c r="W879" s="4">
        <f>(AVERAGE(P878:P883)/_xlfn.STDEV.P(P878:P883))/(IF(A881=A882,(_xlfn.SINGLE(_xll.ciqfunctions.udf.CIQ(A873,"IQ_total_assets",IQ_FY)) - _xlfn.SINGLE(_xll.ciqfunctions.udf.CIQ(A873,"iq_gw_intan", IQ_FY)))/I883, (_xlfn.SINGLE(_xll.ciqfunctions.udf.CIQ(A873, "IQ_total_assets",IQ_LTM))-_xlfn.SINGLE(_xll.ciqfunctions.udf.CIQ(A873,"iq_gw_intan",IQ_LTM)))/I883))</f>
        <v>3.4118192239798596E-2</v>
      </c>
      <c r="Y879" s="18"/>
      <c r="Z879" s="38" t="s">
        <v>29</v>
      </c>
      <c r="AA879" s="4">
        <f>(AVERAGE(P878:P883)/_xlfn.STDEV.P(P878:P883))/(IF(A881=A882,(_xlfn.SINGLE(_xll.ciqfunctions.udf.CIQ(A873,"IQ_total_assets",IQ_FY)) - _xlfn.SINGLE(_xll.ciqfunctions.udf.CIQ(A873,"iq_gw_intan", IQ_FY)))/I883, (_xlfn.SINGLE(_xll.ciqfunctions.udf.CIQ(A873, "IQ_total_assets",IQ_LTM))-_xlfn.SINGLE(_xll.ciqfunctions.udf.CIQ(A873,"iq_gw_intan",IQ_LTM)))/I883))</f>
        <v>3.4118192239798596E-2</v>
      </c>
    </row>
    <row r="880" spans="1:27">
      <c r="A880" s="18"/>
      <c r="B880" s="13">
        <v>8</v>
      </c>
      <c r="C880" s="14" t="s">
        <v>30</v>
      </c>
      <c r="D880" s="15" cm="1">
        <f t="array" ref="D880">_xlfn.SINGLE(IF(A881=A882,_xll.ciqfunctions.udf.CIQ(A873,"IQ_TOTAL_REV",IQ_FY-3)/I880, _xll.ciqfunctions.udf.CIQ(A873, "IQ_TOTAL_REV",IQ_FY-2)/I880))</f>
        <v>3.2449094034874038</v>
      </c>
      <c r="E880" s="16">
        <f t="shared" si="235"/>
        <v>0.36568869248645747</v>
      </c>
      <c r="F880" s="15">
        <f>IF(A881=A882,_xll.ciqfunctions.udf.CIQ(A873,"IQ_DILUT_EPS_EXCL",IQ_FY-3), _xll.ciqfunctions.udf.CIQ(A873, "IQ_DILUT_EPS_EXCL",IQ_FY-2))</f>
        <v>-0.89014000000000004</v>
      </c>
      <c r="G880" s="15">
        <f>IF(A881=A882,_xll.ciqfunctions.udf.CIQ(A873,"IQ_EBITDA_MARGIN",IQ_FY-3), _xll.ciqfunctions.udf.CIQ(A873, "IQ_EBITDA_MARGIN",IQ_FY-2))</f>
        <v>-17.167000000000002</v>
      </c>
      <c r="H880" s="15">
        <f>IF(A881=A882,_xll.ciqfunctions.udf.CIQ(A873,"IQ_TOTAL_DIV_PAID_CF",IQ_FY-3)/-I880, _xll.ciqfunctions.udf.CIQ(A873, "IQ_TOTAL_DIV_PAID_CF",IQ_FY-2)/-I880)</f>
        <v>0</v>
      </c>
      <c r="I880" s="17">
        <f>IF(A881=A882,_xll.ciqfunctions.udf.CIQ(A873,"IQ_TOTAL_OUTSTANDING_FILING_DATE",IQ_FY-3), _xll.ciqfunctions.udf.CIQ(A873, "IQ_TOTAL_OUTSTANDING_FILING_DATE",IQ_FY-2))</f>
        <v>132.90633</v>
      </c>
      <c r="J880" s="17">
        <f>IF(A881=A882,_xll.ciqfunctions.udf.CIQ(A873,"IQ_CASH_OPER",IQ_FY-3), _xll.ciqfunctions.udf.CIQ(A873, "IQ_CASH_OPER",IQ_FY-2))</f>
        <v>79.316999999999993</v>
      </c>
      <c r="K880" s="17">
        <f>IF(A881=A882,_xll.ciqfunctions.udf.CIQ(A873,"IQ_CAPEX",IQ_FY-3), _xll.ciqfunctions.udf.CIQ(A873, "IQ_CAPEX",IQ_FY-2))</f>
        <v>-43.072000000000003</v>
      </c>
      <c r="L880" s="15">
        <f t="shared" si="232"/>
        <v>0.27271086335767447</v>
      </c>
      <c r="M880" s="17">
        <f>IF(A881=A882,_xll.ciqfunctions.udf.CIQ(A873,"IQ_TOTAL_DEBT_ISSUED",IQ_FY-3), _xll.ciqfunctions.udf.CIQ(A873, "IQ_TOTAL_DEBT_ISSUED",IQ_FY-2))</f>
        <v>1130.5219999999999</v>
      </c>
      <c r="N880" s="17">
        <f>IF(A881=A882,_xll.ciqfunctions.udf.CIQ(A873,"IQ_TOTAL_DEBT_REPAID",IQ_FY-3), _xll.ciqfunctions.udf.CIQ(A873, "IQ_TOTAL_DEBT_REPAID",IQ_FY-2))</f>
        <v>0</v>
      </c>
      <c r="O880" s="15">
        <f t="shared" si="233"/>
        <v>8.5061561778133505</v>
      </c>
      <c r="P880" s="15">
        <f t="shared" si="234"/>
        <v>8.7788670411710257</v>
      </c>
      <c r="Q880" s="18"/>
      <c r="R880" s="39" t="s">
        <v>31</v>
      </c>
      <c r="S880" s="5" t="e">
        <f>IF(NOT(D873&gt;0),FALSE,SLOPE(G873:G883,B873:B883))</f>
        <v>#DIV/0!</v>
      </c>
      <c r="U880" s="18"/>
      <c r="V880" s="39" t="s">
        <v>31</v>
      </c>
      <c r="W880" s="5" t="e">
        <f>IF(NOT(D873&gt;0),FALSE,SLOPE(G873:G883,B873:B883))</f>
        <v>#DIV/0!</v>
      </c>
      <c r="Y880" s="18"/>
      <c r="Z880" s="39" t="s">
        <v>31</v>
      </c>
      <c r="AA880" s="5" t="e">
        <f>IF(NOT(L873&gt;0),FALSE,SLOPE(O873:O883,J873:J883))</f>
        <v>#DIV/0!</v>
      </c>
    </row>
    <row r="881" spans="1:27">
      <c r="A881" s="19">
        <f>_xll.ciqfunctions.udf.CIQ(A873,"IQ_TOTAL_REV",IQ_FY)</f>
        <v>1616.952</v>
      </c>
      <c r="B881" s="13">
        <v>9</v>
      </c>
      <c r="C881" s="14" t="s">
        <v>32</v>
      </c>
      <c r="D881" s="15" cm="1">
        <f t="array" ref="D881">_xlfn.SINGLE(IF(A881=A882,_xll.ciqfunctions.udf.CIQ(A873,"IQ_TOTAL_REV",IQ_FY-2)/I881, _xll.ciqfunctions.udf.CIQ(A873, "IQ_TOTAL_REV",IQ_FY-1)/I881))</f>
        <v>4.8060432048361177</v>
      </c>
      <c r="E881" s="16">
        <f t="shared" si="235"/>
        <v>0.48110243067831587</v>
      </c>
      <c r="F881" s="15">
        <f>IF(A881=A882,_xll.ciqfunctions.udf.CIQ(A873,"IQ_DILUT_EPS_EXCL",IQ_FY-2), _xll.ciqfunctions.udf.CIQ(A873, "IQ_DILUT_EPS_EXCL",IQ_FY-1))</f>
        <v>-1.9316</v>
      </c>
      <c r="G881" s="15">
        <f>IF(A881=A882,_xll.ciqfunctions.udf.CIQ(A873,"IQ_EBITDA_MARGIN",IQ_FY-2), _xll.ciqfunctions.udf.CIQ(A873, "IQ_EBITDA_MARGIN",IQ_FY-1))</f>
        <v>-26.138400000000001</v>
      </c>
      <c r="H881" s="15">
        <f>IF(A881=A882,_xll.ciqfunctions.udf.CIQ(A873,"IQ_TOTAL_DIV_PAID_CF",IQ_FY-2)/-I881, _xll.ciqfunctions.udf.CIQ(A873, "IQ_TOTAL_DIV_PAID_CF",IQ_FY-1)/-I881)</f>
        <v>0</v>
      </c>
      <c r="I881" s="17">
        <f>IF(A881=A882,_xll.ciqfunctions.udf.CIQ(A873,"IQ_TOTAL_OUTSTANDING_FILING_DATE",IQ_FY-2), _xll.ciqfunctions.udf.CIQ(A873, "IQ_TOTAL_OUTSTANDING_FILING_DATE",IQ_FY-1))</f>
        <v>140.05284</v>
      </c>
      <c r="J881" s="17">
        <f>IF(A881=A882,_xll.ciqfunctions.udf.CIQ(A873,"IQ_CASH_OPER",IQ_FY-2), _xll.ciqfunctions.udf.CIQ(A873, "IQ_CASH_OPER",IQ_FY-1))</f>
        <v>202.04</v>
      </c>
      <c r="K881" s="17">
        <f>IF(A881=A882,_xll.ciqfunctions.udf.CIQ(A873,"IQ_CAPEX",IQ_FY-2), _xll.ciqfunctions.udf.CIQ(A873, "IQ_CAPEX",IQ_FY-1))</f>
        <v>-48.164999999999999</v>
      </c>
      <c r="L881" s="15">
        <f t="shared" si="232"/>
        <v>1.098692464929665</v>
      </c>
      <c r="M881" s="17">
        <f>IF(A881=A882,_xll.ciqfunctions.udf.CIQ(A873,"IQ_TOTAL_DEBT_ISSUED",IQ_FY-2), _xll.ciqfunctions.udf.CIQ(A873, "IQ_TOTAL_DEBT_ISSUED",IQ_FY-1))</f>
        <v>0</v>
      </c>
      <c r="N881" s="17">
        <f>IF(A881=A882,_xll.ciqfunctions.udf.CIQ(A873,"IQ_TOTAL_DEBT_REPAID",IQ_FY-2), _xll.ciqfunctions.udf.CIQ(A873, "IQ_TOTAL_DEBT_REPAID",IQ_FY-1))</f>
        <v>0</v>
      </c>
      <c r="O881" s="15">
        <f t="shared" si="233"/>
        <v>0</v>
      </c>
      <c r="P881" s="15">
        <f t="shared" si="234"/>
        <v>1.098692464929665</v>
      </c>
      <c r="Q881" s="25" t="s">
        <v>33</v>
      </c>
      <c r="R881" s="38" t="s">
        <v>52</v>
      </c>
      <c r="S881" s="4">
        <f>(AVERAGE(O878:O883)/AVERAGE(P878:P883))</f>
        <v>0.59020170674332317</v>
      </c>
      <c r="U881" s="25" t="s">
        <v>54</v>
      </c>
      <c r="V881" s="38" t="s">
        <v>52</v>
      </c>
      <c r="W881" s="4">
        <f>(AVERAGE(O878:O883)/AVERAGE(P878:P883))</f>
        <v>0.59020170674332317</v>
      </c>
      <c r="Y881" s="25" t="s">
        <v>60</v>
      </c>
      <c r="Z881" s="38" t="s">
        <v>52</v>
      </c>
      <c r="AA881" s="4">
        <f>(AVERAGE(O878:O883)/AVERAGE(P878:P883))</f>
        <v>0.59020170674332317</v>
      </c>
    </row>
    <row r="882" spans="1:27">
      <c r="A882" s="19">
        <f>_xll.ciqfunctions.udf.CIQ(A873,"IQ_TOTAL_REV",IQ_LTM)</f>
        <v>1616.952</v>
      </c>
      <c r="B882" s="13">
        <v>10</v>
      </c>
      <c r="C882" s="14" t="s">
        <v>34</v>
      </c>
      <c r="D882" s="15" cm="1">
        <f t="array" ref="D882">_xlfn.SINGLE(IF(A881=A882,_xll.ciqfunctions.udf.CIQ(A873,"IQ_TOTAL_REV",IQ_FY-1)/I882, _xll.ciqfunctions.udf.CIQ(A873, "IQ_TOTAL_REV",IQ_FY)/I882))</f>
        <v>7.6261937139297604</v>
      </c>
      <c r="E882" s="16">
        <f t="shared" si="235"/>
        <v>0.58679258360720621</v>
      </c>
      <c r="F882" s="15">
        <f>IF(A881=A882,_xll.ciqfunctions.udf.CIQ(A873,"IQ_DILUT_EPS_EXCL",IQ_FY-1), _xll.ciqfunctions.udf.CIQ(A873, "IQ_DILUT_EPS_EXCL",IQ_FY))</f>
        <v>-2.76999</v>
      </c>
      <c r="G882" s="15">
        <f>IF(A881=A882,_xll.ciqfunctions.udf.CIQ(A873,"IQ_EBITDA_MARGIN",IQ_FY-1), _xll.ciqfunctions.udf.CIQ(A873, "IQ_EBITDA_MARGIN",IQ_FY))</f>
        <v>-26.6065</v>
      </c>
      <c r="H882" s="15">
        <f>IF(A881=A882,_xll.ciqfunctions.udf.CIQ(A873,"IQ_TOTAL_DIV_PAID_CF",IQ_FY-1)/-I882, _xll.ciqfunctions.udf.CIQ(A873, "IQ_TOTAL_DIV_PAID_CF",IQ_FY)/-I882)</f>
        <v>0</v>
      </c>
      <c r="I882" s="17">
        <f>IF(A881=A882,_xll.ciqfunctions.udf.CIQ(A873,"IQ_TOTAL_OUTSTANDING_FILING_DATE",IQ_FY-1), _xll.ciqfunctions.udf.CIQ(A873, "IQ_TOTAL_OUTSTANDING_FILING_DATE",IQ_FY))</f>
        <v>143.05249000000001</v>
      </c>
      <c r="J882" s="17">
        <f>IF(A881=A882,_xll.ciqfunctions.udf.CIQ(A873,"IQ_CASH_OPER",IQ_FY-1), _xll.ciqfunctions.udf.CIQ(A873, "IQ_CASH_OPER",IQ_FY))</f>
        <v>321.91199999999998</v>
      </c>
      <c r="K882" s="17">
        <f>IF(A881=A882,_xll.ciqfunctions.udf.CIQ(A873,"IQ_CAPEX",IQ_FY-1), _xll.ciqfunctions.udf.CIQ(A873, "IQ_CAPEX",IQ_FY))</f>
        <v>-69.296000000000006</v>
      </c>
      <c r="L882" s="15">
        <f t="shared" si="232"/>
        <v>1.7658972591109736</v>
      </c>
      <c r="M882" s="17">
        <f>IF(A881=A882,_xll.ciqfunctions.udf.CIQ(A873,"IQ_TOTAL_DEBT_ISSUED",IQ_FY-1), _xll.ciqfunctions.udf.CIQ(A873, "IQ_TOTAL_DEBT_ISSUED",IQ_FY))</f>
        <v>0</v>
      </c>
      <c r="N882" s="17">
        <f>IF(A881=A882,_xll.ciqfunctions.udf.CIQ(A873,"IQ_TOTAL_DEBT_REPAID",IQ_FY-1), _xll.ciqfunctions.udf.CIQ(A873, "IQ_TOTAL_DEBT_REPAID",IQ_FY))</f>
        <v>0</v>
      </c>
      <c r="O882" s="15">
        <f t="shared" si="233"/>
        <v>0</v>
      </c>
      <c r="P882" s="15">
        <f t="shared" si="234"/>
        <v>1.7658972591109736</v>
      </c>
      <c r="Q882" s="25" t="s">
        <v>44</v>
      </c>
      <c r="R882" s="38" t="s">
        <v>35</v>
      </c>
      <c r="S882" s="1" t="str">
        <f>_xll.ciqfunctions.udf.CIQ(A873,"IQ_TEV_EBITDA")</f>
        <v>NM</v>
      </c>
      <c r="U882" s="25" t="s">
        <v>55</v>
      </c>
      <c r="V882" s="38" t="s">
        <v>53</v>
      </c>
      <c r="W882" s="1">
        <f>V872/(AVERAGE(D878:D883)/_xlfn.STDEV.P(E878:E883))</f>
        <v>15.195990298357996</v>
      </c>
      <c r="Y882" s="25" t="s">
        <v>57</v>
      </c>
      <c r="Z882" s="38" t="s">
        <v>53</v>
      </c>
      <c r="AA882" s="1">
        <f>Z872/(AVERAGE(D878:D883)/_xlfn.STDEV.P(E878:E883))</f>
        <v>15.195990298357996</v>
      </c>
    </row>
    <row r="883" spans="1:27">
      <c r="B883" s="13">
        <v>11</v>
      </c>
      <c r="C883" s="20" t="s">
        <v>36</v>
      </c>
      <c r="D883" s="21" cm="1">
        <f t="array" ref="D883">_xlfn.SINGLE(IF(A881=A882,_xll.ciqfunctions.udf.CIQ(A873,"IQ_TOTAL_REV",IQ_FY)/I883, _xll.ciqfunctions.udf.CIQ(A873, "IQ_TOTAL_REV",IQ_LTM)/I883))</f>
        <v>10.987059278948925</v>
      </c>
      <c r="E883" s="22">
        <f t="shared" si="235"/>
        <v>0.44070026163645898</v>
      </c>
      <c r="F883" s="21">
        <f>IF(A881=A882,_xll.ciqfunctions.udf.CIQ(A873,"IQ_DILUT_EPS_EXCL",IQ_FY), _xll.ciqfunctions.udf.CIQ(A873, "IQ_DILUT_EPS_EXCL",IQ_LTM))</f>
        <v>-1.3959699999999999</v>
      </c>
      <c r="G883" s="21">
        <f>IF(A881=A882,_xll.ciqfunctions.udf.CIQ(A873,"IQ_EBITDA_MARGIN",IQ_FY), _xll.ciqfunctions.udf.CIQ(A873, "IQ_EBITDA_MARGIN",IQ_LTM))</f>
        <v>-12.104799999999999</v>
      </c>
      <c r="H883" s="21">
        <f>IF(A881=A882,_xll.ciqfunctions.udf.CIQ(A873,"IQ_TOTAL_DIV_PAID_CF",IQ_FY)/-I883, _xll.ciqfunctions.udf.CIQ(A873, "IQ_TOTAL_DIV_PAID_CF",IQ_LTM)/-I883)</f>
        <v>0</v>
      </c>
      <c r="I883" s="23">
        <f>IF(A881=A882,_xll.ciqfunctions.udf.CIQ(A873,"IQ_TOTAL_OUTSTANDING_FILING_DATE",IQ_FY),_xll.ciqfunctions.udf.CIQ(A873,"IQ_sharesoutstanding"))</f>
        <v>147.16876999999999</v>
      </c>
      <c r="J883" s="23">
        <f>IF(A881=A882,_xll.ciqfunctions.udf.CIQ(A873,"IQ_CASH_OPER",IQ_FY), _xll.ciqfunctions.udf.CIQ(A873, "IQ_CASH_OPER",IQ_LTM))</f>
        <v>462.34300000000002</v>
      </c>
      <c r="K883" s="23">
        <f>IF(A881=A882,_xll.ciqfunctions.udf.CIQ(A873,"IQ_CAPEX",IQ_FY), _xll.ciqfunctions.udf.CIQ(A873, "IQ_CAPEX",IQ_LTM))</f>
        <v>-97.197000000000003</v>
      </c>
      <c r="L883" s="21">
        <f t="shared" si="232"/>
        <v>2.4811378120507497</v>
      </c>
      <c r="M883" s="23">
        <f>IF(A881=A882,_xll.ciqfunctions.udf.CIQ(A873,"IQ_TOTAL_DEBT_ISSUED",IQ_FY), _xll.ciqfunctions.udf.CIQ(A873, "IQ_TOTAL_DEBT_ISSUED",IQ_LTM))</f>
        <v>0</v>
      </c>
      <c r="N883" s="23">
        <f>IF(A881=A882,_xll.ciqfunctions.udf.CIQ(A873,"IQ_TOTAL_DEBT_REPAID",IQ_FY), _xll.ciqfunctions.udf.CIQ(A873, "IQ_TOTAL_DEBT_REPAID",IQ_LTM))</f>
        <v>0</v>
      </c>
      <c r="O883" s="21">
        <f t="shared" si="233"/>
        <v>0</v>
      </c>
      <c r="P883" s="21">
        <f t="shared" si="234"/>
        <v>2.4811378120507497</v>
      </c>
      <c r="Q883" s="25" t="s">
        <v>45</v>
      </c>
      <c r="S883" s="45"/>
      <c r="U883" s="25"/>
      <c r="W883" s="45"/>
      <c r="Y883" s="25"/>
      <c r="AA883" s="45"/>
    </row>
    <row r="884" spans="1:27">
      <c r="B884" s="24"/>
      <c r="C884" s="25" t="s">
        <v>37</v>
      </c>
      <c r="E884" s="26">
        <f>((D883/D878)^(1/5))-1</f>
        <v>0.47237333977366158</v>
      </c>
      <c r="F884" s="27">
        <f>((F883/F878)^(1/5))-1</f>
        <v>0.1740465843693626</v>
      </c>
      <c r="G884" s="28"/>
      <c r="H884" s="27" t="e">
        <f>((H883/H878)^(1/5))-1</f>
        <v>#DIV/0!</v>
      </c>
      <c r="I884" s="27">
        <f>((I883/I878)^(1/5))-1</f>
        <v>4.2056464751293765E-2</v>
      </c>
      <c r="J884" s="27"/>
      <c r="K884" s="27"/>
      <c r="L884" s="26">
        <f>((L883/L878)^(1/5))-1</f>
        <v>1.3777528220511863</v>
      </c>
      <c r="M884" s="26"/>
      <c r="N884" s="26"/>
      <c r="O884" s="26"/>
      <c r="P884" s="26">
        <f>((P883/P878)^(1/5))-1</f>
        <v>1.3777528220511863</v>
      </c>
      <c r="Q884" s="18"/>
      <c r="R884" s="36"/>
      <c r="S884" s="45"/>
      <c r="U884" s="18"/>
      <c r="V884" s="36"/>
      <c r="W884" s="45"/>
      <c r="Y884" s="18"/>
      <c r="Z884" s="36"/>
      <c r="AA884" s="45"/>
    </row>
    <row r="885" spans="1:27">
      <c r="A885" s="29"/>
      <c r="B885" s="30"/>
      <c r="C885" s="31" t="s">
        <v>38</v>
      </c>
      <c r="D885" s="29"/>
      <c r="E885" s="32" t="e">
        <f>((D883/D873)^(1/10))-1</f>
        <v>#DIV/0!</v>
      </c>
      <c r="F885" s="33" t="e">
        <f>((F883/F873)^(1/10))-1</f>
        <v>#DIV/0!</v>
      </c>
      <c r="G885" s="34"/>
      <c r="H885" s="33" t="e">
        <f>((H883/H873)^(1/10))-1</f>
        <v>#DIV/0!</v>
      </c>
      <c r="I885" s="33" t="e">
        <f>((I883/I873)^(1/10))-1</f>
        <v>#DIV/0!</v>
      </c>
      <c r="J885" s="33"/>
      <c r="K885" s="33"/>
      <c r="L885" s="32" t="e">
        <f>((L883/L873)^(1/10))-1</f>
        <v>#DIV/0!</v>
      </c>
      <c r="M885" s="32"/>
      <c r="N885" s="32"/>
      <c r="O885" s="32"/>
      <c r="P885" s="32" t="e">
        <f>((P883/P873)^(1/10))-1</f>
        <v>#DIV/0!</v>
      </c>
      <c r="Q885" s="40"/>
      <c r="R885" s="41"/>
      <c r="S885" s="46"/>
      <c r="U885" s="40"/>
      <c r="V885" s="41"/>
      <c r="W885" s="46"/>
      <c r="Y885" s="40"/>
      <c r="Z885" s="41"/>
      <c r="AA885" s="46"/>
    </row>
    <row r="886" spans="1:27">
      <c r="B886" s="24"/>
      <c r="C886" s="25"/>
      <c r="E886" s="26"/>
      <c r="F886" s="27"/>
      <c r="G886" s="28"/>
      <c r="H886" s="27"/>
      <c r="I886" s="27"/>
      <c r="J886" s="27"/>
      <c r="K886" s="27"/>
      <c r="L886" s="26"/>
      <c r="M886" s="17"/>
      <c r="N886" s="17"/>
      <c r="O886" s="17"/>
      <c r="P886" s="35"/>
      <c r="Q886" s="18"/>
      <c r="R886" s="36"/>
    </row>
    <row r="887" spans="1:27">
      <c r="A887" s="9" t="s">
        <v>0</v>
      </c>
      <c r="B887" s="10"/>
      <c r="C887" s="9" t="s">
        <v>1</v>
      </c>
      <c r="D887" s="9" t="s">
        <v>2</v>
      </c>
      <c r="E887" s="9" t="s">
        <v>3</v>
      </c>
      <c r="F887" s="11" t="s">
        <v>4</v>
      </c>
      <c r="G887" s="11" t="s">
        <v>5</v>
      </c>
      <c r="H887" s="9" t="s">
        <v>6</v>
      </c>
      <c r="I887" s="11" t="s">
        <v>7</v>
      </c>
      <c r="J887" s="11" t="s">
        <v>8</v>
      </c>
      <c r="K887" s="11" t="s">
        <v>9</v>
      </c>
      <c r="L887" s="11" t="s">
        <v>10</v>
      </c>
      <c r="M887" s="11" t="s">
        <v>11</v>
      </c>
      <c r="N887" s="11" t="s">
        <v>12</v>
      </c>
      <c r="O887" s="11" t="s">
        <v>13</v>
      </c>
      <c r="P887" s="11" t="s">
        <v>14</v>
      </c>
      <c r="Q887" s="37" t="s">
        <v>15</v>
      </c>
      <c r="R887" s="42">
        <f>_xll.ciqfunctions.udf.CIQ(A888,("IQ_LASTSALEPRICE"))</f>
        <v>112.485</v>
      </c>
      <c r="S887" s="44"/>
      <c r="U887" s="37" t="s">
        <v>15</v>
      </c>
      <c r="V887" s="42">
        <f>_xll.ciqfunctions.udf.CIQ(A888,("IQ_LASTSALEPRICE"))</f>
        <v>112.485</v>
      </c>
      <c r="W887" s="44"/>
      <c r="Y887" s="37" t="s">
        <v>15</v>
      </c>
      <c r="Z887" s="42">
        <f>_xll.ciqfunctions.udf.CIQ(A888,("IQ_LASTSALEPRICE"))</f>
        <v>112.485</v>
      </c>
      <c r="AA887" s="44"/>
    </row>
    <row r="888" spans="1:27">
      <c r="A888" s="12" t="str">
        <f>Analysis!B61</f>
        <v>NasdaqGS:DDOG</v>
      </c>
      <c r="B888" s="13">
        <v>1</v>
      </c>
      <c r="C888" s="14" t="s">
        <v>16</v>
      </c>
      <c r="D888" s="15" t="e">
        <f>IF(A896=A897,_xll.ciqfunctions.udf.CIQ(A888,"IQ_TOTAL_REV",IQ_FY-10)/I888,_xll.ciqfunctions.udf.CIQ(A888, "IQ_TOTAL_REV",IQ_FY-9)/I888)</f>
        <v>#DIV/0!</v>
      </c>
      <c r="E888" s="16"/>
      <c r="F888" s="15">
        <f>IF(A896=A897,_xll.ciqfunctions.udf.CIQ(A888,"IQ_DILUT_EPS_EXCL",IQ_FY-10), _xll.ciqfunctions.udf.CIQ(A888, "IQ_DILUT_EPS_EXCL",IQ_FY-9))</f>
        <v>0</v>
      </c>
      <c r="G888" s="15">
        <f>IF(A896=A897,_xll.ciqfunctions.udf.CIQ(A888,"IQ_EBITDA_MARGIN",IQ_FY-10), _xll.ciqfunctions.udf.CIQ(A888, "IQ_EBITDA_MARGIN",IQ_FY-9))</f>
        <v>0</v>
      </c>
      <c r="H888" s="15" t="e">
        <f>IF(A896=A897,_xll.ciqfunctions.udf.CIQ(A888,"IQ_TOTAL_DIV_PAID_CF",IQ_FY-10)/-I888, _xll.ciqfunctions.udf.CIQ(A888, "IQ_TOTAL_DIV_PAID_CF",IQ_FY-9)/-I888)</f>
        <v>#DIV/0!</v>
      </c>
      <c r="I888" s="17">
        <f>IF(A896=A897,_xll.ciqfunctions.udf.CIQ(A888,"IQ_TOTAL_OUTSTANDING_FILING_DATE",IQ_FY-10), _xll.ciqfunctions.udf.CIQ(A888, "IQ_TOTAL_OUTSTANDING_FILING_DATE",IQ_FY-9))</f>
        <v>0</v>
      </c>
      <c r="J888" s="17">
        <f>IF(A896=A897,_xll.ciqfunctions.udf.CIQ(A888,"IQ_CASH_OPER",IQ_FY-10), _xll.ciqfunctions.udf.CIQ(A888, "IQ_CASH_OPER",IQ_FY-9))</f>
        <v>0</v>
      </c>
      <c r="K888" s="17">
        <f>IF(A896=A897,_xll.ciqfunctions.udf.CIQ(A888,"IQ_CAPEX",IQ_FY-10), _xll.ciqfunctions.udf.CIQ(A888, "IQ_CAPEX",IQ_FY-9))</f>
        <v>0</v>
      </c>
      <c r="L888" s="15" t="e">
        <f t="shared" ref="L888:L898" si="236">(J888+K888)/I888</f>
        <v>#DIV/0!</v>
      </c>
      <c r="M888" s="17">
        <f>IF(A896=A897,_xll.ciqfunctions.udf.CIQ(A888,"IQ_TOTAL_DEBT_ISSUED",IQ_FY-10), _xll.ciqfunctions.udf.CIQ(A888, "IQ_TOTAL_DEBT_ISSUED",IQ_FY-9))</f>
        <v>0</v>
      </c>
      <c r="N888" s="17">
        <f>IF(A896=A897,_xll.ciqfunctions.udf.CIQ(A888,"IQ_TOTAL_DEBT_REPAID",IQ_FY-10), _xll.ciqfunctions.udf.CIQ(A888, "IQ_TOTAL_DEBT_REPAID",IQ_FY-9))</f>
        <v>0</v>
      </c>
      <c r="O888" s="15" t="e">
        <f t="shared" ref="O888:O898" si="237">(M888+N888)/I888</f>
        <v>#DIV/0!</v>
      </c>
      <c r="P888" s="15" t="e">
        <f t="shared" ref="P888:P898" si="238">L888+O888</f>
        <v>#DIV/0!</v>
      </c>
      <c r="W888" s="43"/>
      <c r="AA888" s="43"/>
    </row>
    <row r="889" spans="1:27">
      <c r="A889" s="18" t="str">
        <f>_xll.ciqfunctions.udf.CIQ(A888,"IQ_COMPANY_NAME")</f>
        <v>Datadog, Inc.</v>
      </c>
      <c r="B889" s="13">
        <v>2</v>
      </c>
      <c r="C889" s="14" t="s">
        <v>17</v>
      </c>
      <c r="D889" s="15" t="e">
        <f>IF(A896=A897,_xll.ciqfunctions.udf.CIQ(A888,"IQ_TOTAL_REV",IQ_FY-9)/I889, _xll.ciqfunctions.udf.CIQ(A888, "IQ_TOTAL_REV",IQ_FY-8)/I889)</f>
        <v>#DIV/0!</v>
      </c>
      <c r="E889" s="16" t="e">
        <f t="shared" ref="E889:E898" si="239">(D889-D888)/D888</f>
        <v>#DIV/0!</v>
      </c>
      <c r="F889" s="15">
        <f>IF(A896=A897,_xll.ciqfunctions.udf.CIQ(A888,"IQ_DILUT_EPS_EXCL",IQ_FY-9), _xll.ciqfunctions.udf.CIQ(A888, "IQ_DILUT_EPS_EXCL",IQ_FY-8))</f>
        <v>0</v>
      </c>
      <c r="G889" s="15">
        <f>IF(A896=A897,_xll.ciqfunctions.udf.CIQ(A888,"IQ_EBITDA_MARGIN",IQ_FY-9), _xll.ciqfunctions.udf.CIQ(A888, "IQ_EBITDA_MARGIN",IQ_FY-8))</f>
        <v>0</v>
      </c>
      <c r="H889" s="15" t="e">
        <f>IF(A896=A897,_xll.ciqfunctions.udf.CIQ(A888,"IQ_TOTAL_DIV_PAID_CF",IQ_FY-9)/-I889, _xll.ciqfunctions.udf.CIQ(A888, "IQ_TOTAL_DIV_PAID_CF",IQ_FY-8)/-I889)</f>
        <v>#DIV/0!</v>
      </c>
      <c r="I889" s="17">
        <f>IF(A896=A897,_xll.ciqfunctions.udf.CIQ(A888,"IQ_TOTAL_OUTSTANDING_FILING_DATE",IQ_FY-9), _xll.ciqfunctions.udf.CIQ(A888, "IQ_TOTAL_OUTSTANDING_FILING_DATE",IQ_FY-8))</f>
        <v>0</v>
      </c>
      <c r="J889" s="17">
        <f>IF(A896=A897,_xll.ciqfunctions.udf.CIQ(A888,"IQ_CASH_OPER",IQ_FY-9), _xll.ciqfunctions.udf.CIQ(A888, "IQ_CASH_OPER",IQ_FY-8))</f>
        <v>0</v>
      </c>
      <c r="K889" s="17">
        <f>IF(A896=A897,_xll.ciqfunctions.udf.CIQ(A888,"IQ_CAPEX",IQ_FY-9), _xll.ciqfunctions.udf.CIQ(A888, "IQ_CAPEX",IQ_FY-8))</f>
        <v>0</v>
      </c>
      <c r="L889" s="15" t="e">
        <f t="shared" si="236"/>
        <v>#DIV/0!</v>
      </c>
      <c r="M889" s="17">
        <f>IF(A896=A897,_xll.ciqfunctions.udf.CIQ(A888,"IQ_TOTAL_DEBT_ISSUED",IQ_FY-9), _xll.ciqfunctions.udf.CIQ(A888, "IQ_TOTAL_DEBT_ISSUED",IQ_FY-8))</f>
        <v>0</v>
      </c>
      <c r="N889" s="17">
        <f>IF(A896=A897,_xll.ciqfunctions.udf.CIQ(A888,"IQ_TOTAL_DEBT_REPAID",IQ_FY-9), _xll.ciqfunctions.udf.CIQ(A888, "IQ_TOTAL_DEBT_REPAID",IQ_FY-8))</f>
        <v>0</v>
      </c>
      <c r="O889" s="15" t="e">
        <f t="shared" si="237"/>
        <v>#DIV/0!</v>
      </c>
      <c r="P889" s="15" t="e">
        <f t="shared" si="238"/>
        <v>#DIV/0!</v>
      </c>
      <c r="Q889" s="25" t="s">
        <v>18</v>
      </c>
      <c r="R889" s="39" t="s">
        <v>19</v>
      </c>
      <c r="S889" s="1">
        <f>R887/((AVERAGE(P893:P898))*(1+E899)^3)</f>
        <v>57.897346698801151</v>
      </c>
      <c r="U889" s="25" t="s">
        <v>48</v>
      </c>
      <c r="V889" s="39" t="s">
        <v>19</v>
      </c>
      <c r="W889" s="1">
        <f>V887/((AVERAGE(P893:P898))*(1+E899)^3)</f>
        <v>57.897346698801151</v>
      </c>
      <c r="Y889" s="25" t="s">
        <v>39</v>
      </c>
      <c r="Z889" s="39" t="s">
        <v>19</v>
      </c>
      <c r="AA889" s="1">
        <f>Z887/((AVERAGE(P893:P898))*(1+E899)^3)</f>
        <v>57.897346698801151</v>
      </c>
    </row>
    <row r="890" spans="1:27">
      <c r="B890" s="13">
        <v>3</v>
      </c>
      <c r="C890" s="14" t="s">
        <v>20</v>
      </c>
      <c r="D890" s="15" t="e" cm="1">
        <f t="array" ref="D890">_xlfn.SINGLE(IF(A896=A897,_xll.ciqfunctions.udf.CIQ(A888,"IQ_TOTAL_REV",IQ_FY-8)/I890, _xll.ciqfunctions.udf.CIQ(A888, "IQ_TOTAL_REV",IQ_FY-7)/I890))</f>
        <v>#DIV/0!</v>
      </c>
      <c r="E890" s="16" t="e">
        <f t="shared" si="239"/>
        <v>#DIV/0!</v>
      </c>
      <c r="F890" s="15">
        <f>IF(A896=A897,_xll.ciqfunctions.udf.CIQ(A888,"IQ_DILUT_EPS_EXCL",IQ_FY-8), _xll.ciqfunctions.udf.CIQ(A888, "IQ_DILUT_EPS_EXCL",IQ_FY-7))</f>
        <v>0</v>
      </c>
      <c r="G890" s="15">
        <f>IF(A896=A897,_xll.ciqfunctions.udf.CIQ(A888,"IQ_EBITDA_MARGIN",IQ_FY-8), _xll.ciqfunctions.udf.CIQ(A888, "IQ_EBITDA_MARGIN",IQ_FY-7))</f>
        <v>0</v>
      </c>
      <c r="H890" s="15" t="e">
        <f>IF(A896=A897,_xll.ciqfunctions.udf.CIQ(A888,"IQ_TOTAL_DIV_PAID_CF",IQ_FY-8)/-I890, _xll.ciqfunctions.udf.CIQ(A888, "IQ_TOTAL_DIV_PAID_CF",IQ_FY-7)/-I890)</f>
        <v>#DIV/0!</v>
      </c>
      <c r="I890" s="17">
        <f>IF(A896=A897,_xll.ciqfunctions.udf.CIQ(A888,"IQ_TOTAL_OUTSTANDING_FILING_DATE",IQ_FY-8), _xll.ciqfunctions.udf.CIQ(A888, "IQ_TOTAL_OUTSTANDING_FILING_DATE",IQ_FY-7))</f>
        <v>0</v>
      </c>
      <c r="J890" s="17">
        <f>IF(A896=A897,_xll.ciqfunctions.udf.CIQ(A888,"IQ_CASH_OPER",IQ_FY-8), _xll.ciqfunctions.udf.CIQ(A888, "IQ_CASH_OPER",IQ_FY-7))</f>
        <v>0</v>
      </c>
      <c r="K890" s="17">
        <f>IF(A896=A897,_xll.ciqfunctions.udf.CIQ(A888,"IQ_CAPEX",IQ_FY-8), _xll.ciqfunctions.udf.CIQ(A888, "IQ_CAPEX",IQ_FY-7))</f>
        <v>0</v>
      </c>
      <c r="L890" s="15" t="e">
        <f t="shared" si="236"/>
        <v>#DIV/0!</v>
      </c>
      <c r="M890" s="17">
        <f>IF(A896=A897,_xll.ciqfunctions.udf.CIQ(A888,"IQ_TOTAL_DEBT_ISSUED",IQ_FY-8), _xll.ciqfunctions.udf.CIQ(A888, "IQ_TOTAL_DEBT_ISSUED",IQ_FY-7))</f>
        <v>0</v>
      </c>
      <c r="N890" s="17">
        <f>IF(A896=A897,_xll.ciqfunctions.udf.CIQ(A888,"IQ_TOTAL_DEBT_REPAID",IQ_FY-8), _xll.ciqfunctions.udf.CIQ(A888, "IQ_TOTAL_DEBT_REPAID",IQ_FY-7))</f>
        <v>0</v>
      </c>
      <c r="O890" s="15" t="e">
        <f t="shared" si="237"/>
        <v>#DIV/0!</v>
      </c>
      <c r="P890" s="15" t="e">
        <f t="shared" si="238"/>
        <v>#DIV/0!</v>
      </c>
      <c r="Q890" s="25" t="s">
        <v>21</v>
      </c>
      <c r="R890" s="38" t="s">
        <v>49</v>
      </c>
      <c r="S890" s="2">
        <f>(R887*I898)/1000</f>
        <v>36.957360694800002</v>
      </c>
      <c r="U890" s="25" t="s">
        <v>59</v>
      </c>
      <c r="V890" s="38" t="s">
        <v>49</v>
      </c>
      <c r="W890" s="2">
        <f>(V887*I898)/1000</f>
        <v>36.957360694800002</v>
      </c>
      <c r="Y890" s="25" t="s">
        <v>46</v>
      </c>
      <c r="Z890" s="38" t="s">
        <v>49</v>
      </c>
      <c r="AA890" s="2">
        <f>(Z887*I898)/1000</f>
        <v>36.957360694800002</v>
      </c>
    </row>
    <row r="891" spans="1:27">
      <c r="A891" s="18"/>
      <c r="B891" s="13">
        <v>4</v>
      </c>
      <c r="C891" s="14" t="s">
        <v>22</v>
      </c>
      <c r="D891" s="15" t="e" cm="1">
        <f t="array" ref="D891">_xlfn.SINGLE(IF(A896=A897,_xll.ciqfunctions.udf.CIQ(A888,"IQ_TOTAL_REV",IQ_FY-7)/I891, _xll.ciqfunctions.udf.CIQ(A888, "IQ_TOTAL_REV",IQ_FY-6)/I891))</f>
        <v>#DIV/0!</v>
      </c>
      <c r="E891" s="16" t="e">
        <f t="shared" si="239"/>
        <v>#DIV/0!</v>
      </c>
      <c r="F891" s="15">
        <f>IF(A896=A897,_xll.ciqfunctions.udf.CIQ(A888,"IQ_DILUT_EPS_EXCL",IQ_FY-7), _xll.ciqfunctions.udf.CIQ(A888, "IQ_DILUT_EPS_EXCL",IQ_FY-6))</f>
        <v>0</v>
      </c>
      <c r="G891" s="15">
        <f>IF(A896=A897,_xll.ciqfunctions.udf.CIQ(A888,"IQ_EBITDA_MARGIN",IQ_FY-7), _xll.ciqfunctions.udf.CIQ(A888, "IQ_EBITDA_MARGIN",IQ_FY-6))</f>
        <v>0</v>
      </c>
      <c r="H891" s="15" t="e">
        <f>IF(A896=A897,_xll.ciqfunctions.udf.CIQ(A888,"IQ_TOTAL_DIV_PAID_CF",IQ_FY-7)/-I891, _xll.ciqfunctions.udf.CIQ(A888, "IQ_TOTAL_DIV_PAID_CF",IQ_FY-6)/-I891)</f>
        <v>#DIV/0!</v>
      </c>
      <c r="I891" s="17">
        <f>IF(A896=A897,_xll.ciqfunctions.udf.CIQ(A888,"IQ_TOTAL_OUTSTANDING_FILING_DATE",IQ_FY-7), _xll.ciqfunctions.udf.CIQ(A888, "IQ_TOTAL_OUTSTANDING_FILING_DATE",IQ_FY-6))</f>
        <v>0</v>
      </c>
      <c r="J891" s="17">
        <f>IF(A896=A897,_xll.ciqfunctions.udf.CIQ(A888,"IQ_CASH_OPER",IQ_FY-7), _xll.ciqfunctions.udf.CIQ(A888, "IQ_CASH_OPER",IQ_FY-6))</f>
        <v>0</v>
      </c>
      <c r="K891" s="17">
        <f>IF(A896=A897,_xll.ciqfunctions.udf.CIQ(A888,"IQ_CAPEX",IQ_FY-7), _xll.ciqfunctions.udf.CIQ(A888, "IQ_CAPEX",IQ_FY-6))</f>
        <v>0</v>
      </c>
      <c r="L891" s="15" t="e">
        <f t="shared" si="236"/>
        <v>#DIV/0!</v>
      </c>
      <c r="M891" s="17">
        <f>IF(A896=A897,_xll.ciqfunctions.udf.CIQ(A888,"IQ_TOTAL_DEBT_ISSUED",IQ_FY-7), _xll.ciqfunctions.udf.CIQ(A888, "IQ_TOTAL_DEBT_ISSUED",IQ_FY-6))</f>
        <v>0</v>
      </c>
      <c r="N891" s="17">
        <f>IF(A896=A897,_xll.ciqfunctions.udf.CIQ(A888,"IQ_TOTAL_DEBT_REPAID",IQ_FY-7), _xll.ciqfunctions.udf.CIQ(A888, "IQ_TOTAL_DEBT_REPAID",IQ_FY-6))</f>
        <v>0</v>
      </c>
      <c r="O891" s="15" t="e">
        <f t="shared" si="237"/>
        <v>#DIV/0!</v>
      </c>
      <c r="P891" s="15" t="e">
        <f t="shared" si="238"/>
        <v>#DIV/0!</v>
      </c>
      <c r="Q891" s="25" t="s">
        <v>23</v>
      </c>
      <c r="R891" s="38" t="s">
        <v>24</v>
      </c>
      <c r="S891" s="1" t="e">
        <f>R887/(AVERAGE(H893:H898)*(1+H899)/(0.5-H899))</f>
        <v>#DIV/0!</v>
      </c>
      <c r="U891" s="25" t="s">
        <v>40</v>
      </c>
      <c r="V891" s="38" t="s">
        <v>24</v>
      </c>
      <c r="W891" s="1" t="e">
        <f>V887/(AVERAGE(H893:H898)*(1+H899)/(0.5-H899))</f>
        <v>#DIV/0!</v>
      </c>
      <c r="Y891" s="25" t="s">
        <v>47</v>
      </c>
      <c r="Z891" s="38" t="s">
        <v>24</v>
      </c>
      <c r="AA891" s="1" t="e">
        <f>Z887/(AVERAGE(H893:H898)*(1+H899)/(0.5-H899))</f>
        <v>#DIV/0!</v>
      </c>
    </row>
    <row r="892" spans="1:27">
      <c r="B892" s="13">
        <v>5</v>
      </c>
      <c r="C892" s="14" t="s">
        <v>25</v>
      </c>
      <c r="D892" s="15" cm="1">
        <f t="array" ref="D892">_xlfn.SINGLE(IF(A896=A897,_xll.ciqfunctions.udf.CIQ(A888,"IQ_TOTAL_REV",IQ_FY-6)/I892, _xll.ciqfunctions.udf.CIQ(A888, "IQ_TOTAL_REV",IQ_FY-5)/I892))</f>
        <v>1.6209686526821165</v>
      </c>
      <c r="E892" s="16" t="e">
        <f t="shared" si="239"/>
        <v>#DIV/0!</v>
      </c>
      <c r="F892" s="15">
        <f>IF(A896=A897,_xll.ciqfunctions.udf.CIQ(A888,"IQ_DILUT_EPS_EXCL",IQ_FY-6), _xll.ciqfunctions.udf.CIQ(A888, "IQ_DILUT_EPS_EXCL",IQ_FY-5))</f>
        <v>-4.1910000000000003E-2</v>
      </c>
      <c r="G892" s="15">
        <f>IF(A896=A897,_xll.ciqfunctions.udf.CIQ(A888,"IQ_EBITDA_MARGIN",IQ_FY-6), _xll.ciqfunctions.udf.CIQ(A888, "IQ_EBITDA_MARGIN",IQ_FY-5))</f>
        <v>-0.25</v>
      </c>
      <c r="H892" s="15">
        <f>IF(A896=A897,_xll.ciqfunctions.udf.CIQ(A888,"IQ_TOTAL_DIV_PAID_CF",IQ_FY-6)/-I892, _xll.ciqfunctions.udf.CIQ(A888, "IQ_TOTAL_DIV_PAID_CF",IQ_FY-5)/-I892)</f>
        <v>0</v>
      </c>
      <c r="I892" s="17">
        <f>IF(A896=A897,_xll.ciqfunctions.udf.CIQ(A888,"IQ_TOTAL_OUTSTANDING_FILING_DATE",IQ_FY-6), _xll.ciqfunctions.udf.CIQ(A888, "IQ_TOTAL_OUTSTANDING_FILING_DATE",IQ_FY-5))</f>
        <v>62.160980000000002</v>
      </c>
      <c r="J892" s="17">
        <f>IF(A896=A897,_xll.ciqfunctions.udf.CIQ(A888,"IQ_CASH_OPER",IQ_FY-6), _xll.ciqfunctions.udf.CIQ(A888, "IQ_CASH_OPER",IQ_FY-5))</f>
        <v>13.832000000000001</v>
      </c>
      <c r="K892" s="17">
        <f>IF(A896=A897,_xll.ciqfunctions.udf.CIQ(A888,"IQ_CAPEX",IQ_FY-6), _xll.ciqfunctions.udf.CIQ(A888, "IQ_CAPEX",IQ_FY-5))</f>
        <v>-2.351</v>
      </c>
      <c r="L892" s="15">
        <f t="shared" si="236"/>
        <v>0.18469786029756932</v>
      </c>
      <c r="M892" s="17">
        <f>IF(A896=A897,_xll.ciqfunctions.udf.CIQ(A888,"IQ_TOTAL_DEBT_ISSUED",IQ_FY-6), _xll.ciqfunctions.udf.CIQ(A888, "IQ_TOTAL_DEBT_ISSUED",IQ_FY-5))</f>
        <v>0</v>
      </c>
      <c r="N892" s="17">
        <f>IF(A896=A897,_xll.ciqfunctions.udf.CIQ(A888,"IQ_TOTAL_DEBT_REPAID",IQ_FY-6), _xll.ciqfunctions.udf.CIQ(A888, "IQ_TOTAL_DEBT_REPAID",IQ_FY-5))</f>
        <v>0</v>
      </c>
      <c r="O892" s="15">
        <f t="shared" si="237"/>
        <v>0</v>
      </c>
      <c r="P892" s="15">
        <f t="shared" si="238"/>
        <v>0.18469786029756932</v>
      </c>
      <c r="Q892" s="18"/>
      <c r="R892" s="38" t="s">
        <v>50</v>
      </c>
      <c r="S892" s="3">
        <f>I899</f>
        <v>0.304950624314547</v>
      </c>
      <c r="U892" s="18"/>
      <c r="V892" s="38" t="s">
        <v>50</v>
      </c>
      <c r="W892" s="3">
        <f>I899</f>
        <v>0.304950624314547</v>
      </c>
      <c r="Y892" s="18"/>
      <c r="Z892" s="38" t="s">
        <v>50</v>
      </c>
      <c r="AA892" s="3">
        <f>I899</f>
        <v>0.304950624314547</v>
      </c>
    </row>
    <row r="893" spans="1:27">
      <c r="B893" s="13">
        <v>6</v>
      </c>
      <c r="C893" s="14" t="s">
        <v>26</v>
      </c>
      <c r="D893" s="15" cm="1">
        <f t="array" ref="D893">_xlfn.SINGLE(IF(A896=A897,_xll.ciqfunctions.udf.CIQ(A888,"IQ_TOTAL_REV",IQ_FY-5)/I893, _xll.ciqfunctions.udf.CIQ(A888, "IQ_TOTAL_REV",IQ_FY-4)/I893))</f>
        <v>2.2813825286159015</v>
      </c>
      <c r="E893" s="16">
        <f t="shared" si="239"/>
        <v>0.40741927664118549</v>
      </c>
      <c r="F893" s="15">
        <f>IF(A896=A897,_xll.ciqfunctions.udf.CIQ(A888,"IQ_DILUT_EPS_EXCL",IQ_FY-5), _xll.ciqfunctions.udf.CIQ(A888, "IQ_DILUT_EPS_EXCL",IQ_FY-4))</f>
        <v>-0.15168000000000001</v>
      </c>
      <c r="G893" s="15">
        <f>IF(A896=A897,_xll.ciqfunctions.udf.CIQ(A888,"IQ_EBITDA_MARGIN",IQ_FY-5), _xll.ciqfunctions.udf.CIQ(A888, "IQ_EBITDA_MARGIN",IQ_FY-4))</f>
        <v>-2.7856999999999998</v>
      </c>
      <c r="H893" s="15">
        <f>IF(A896=A897,_xll.ciqfunctions.udf.CIQ(A888,"IQ_TOTAL_DIV_PAID_CF",IQ_FY-5)/-I893, _xll.ciqfunctions.udf.CIQ(A888, "IQ_TOTAL_DIV_PAID_CF",IQ_FY-4)/-I893)</f>
        <v>0</v>
      </c>
      <c r="I893" s="17">
        <f>IF(A896=A897,_xll.ciqfunctions.udf.CIQ(A888,"IQ_TOTAL_OUTSTANDING_FILING_DATE",IQ_FY-5), _xll.ciqfunctions.udf.CIQ(A888, "IQ_TOTAL_OUTSTANDING_FILING_DATE",IQ_FY-4))</f>
        <v>86.823229999999995</v>
      </c>
      <c r="J893" s="17">
        <f>IF(A896=A897,_xll.ciqfunctions.udf.CIQ(A888,"IQ_CASH_OPER",IQ_FY-5), _xll.ciqfunctions.udf.CIQ(A888, "IQ_CASH_OPER",IQ_FY-4))</f>
        <v>10.829000000000001</v>
      </c>
      <c r="K893" s="17">
        <f>IF(A896=A897,_xll.ciqfunctions.udf.CIQ(A888,"IQ_CAPEX",IQ_FY-5), _xll.ciqfunctions.udf.CIQ(A888, "IQ_CAPEX",IQ_FY-4))</f>
        <v>-9.6620000000000008</v>
      </c>
      <c r="L893" s="15">
        <f t="shared" si="236"/>
        <v>1.3441103262341195E-2</v>
      </c>
      <c r="M893" s="17">
        <f>IF(A896=A897,_xll.ciqfunctions.udf.CIQ(A888,"IQ_TOTAL_DEBT_ISSUED",IQ_FY-5), _xll.ciqfunctions.udf.CIQ(A888, "IQ_TOTAL_DEBT_ISSUED",IQ_FY-4))</f>
        <v>0</v>
      </c>
      <c r="N893" s="17">
        <f>IF(A896=A897,_xll.ciqfunctions.udf.CIQ(A888,"IQ_TOTAL_DEBT_REPAID",IQ_FY-5), _xll.ciqfunctions.udf.CIQ(A888, "IQ_TOTAL_DEBT_REPAID",IQ_FY-4))</f>
        <v>0</v>
      </c>
      <c r="O893" s="15">
        <f t="shared" si="237"/>
        <v>0</v>
      </c>
      <c r="P893" s="15">
        <f t="shared" si="238"/>
        <v>1.3441103262341195E-2</v>
      </c>
      <c r="Q893" s="25" t="s">
        <v>27</v>
      </c>
      <c r="R893" s="38" t="s">
        <v>51</v>
      </c>
      <c r="S893" s="4">
        <f>AVERAGE(F893:F898)/AVERAGE(D893:D898)</f>
        <v>-3.4434082913242625E-2</v>
      </c>
      <c r="U893" s="25" t="s">
        <v>58</v>
      </c>
      <c r="V893" s="38" t="s">
        <v>51</v>
      </c>
      <c r="W893" s="4">
        <f>AVERAGE(F893:F898)/AVERAGE(D893:D898)</f>
        <v>-3.4434082913242625E-2</v>
      </c>
      <c r="Y893" s="25" t="s">
        <v>56</v>
      </c>
      <c r="Z893" s="38" t="s">
        <v>51</v>
      </c>
      <c r="AA893" s="4">
        <f>AVERAGE(F893:F898)/AVERAGE(D893:D898)</f>
        <v>-3.4434082913242625E-2</v>
      </c>
    </row>
    <row r="894" spans="1:27">
      <c r="A894" s="18"/>
      <c r="B894" s="13">
        <v>7</v>
      </c>
      <c r="C894" s="14" t="s">
        <v>28</v>
      </c>
      <c r="D894" s="15" cm="1">
        <f t="array" ref="D894">_xlfn.SINGLE(IF(A896=A897,_xll.ciqfunctions.udf.CIQ(A888,"IQ_TOTAL_REV",IQ_FY-4)/I894, _xll.ciqfunctions.udf.CIQ(A888, "IQ_TOTAL_REV",IQ_FY-3)/I894))</f>
        <v>1.2211803803392178</v>
      </c>
      <c r="E894" s="16">
        <f t="shared" si="239"/>
        <v>-0.46471914945359943</v>
      </c>
      <c r="F894" s="15">
        <f>IF(A896=A897,_xll.ciqfunctions.udf.CIQ(A888,"IQ_DILUT_EPS_EXCL",IQ_FY-4), _xll.ciqfunctions.udf.CIQ(A888, "IQ_DILUT_EPS_EXCL",IQ_FY-3))</f>
        <v>-0.12</v>
      </c>
      <c r="G894" s="15">
        <f>IF(A896=A897,_xll.ciqfunctions.udf.CIQ(A888,"IQ_EBITDA_MARGIN",IQ_FY-4), _xll.ciqfunctions.udf.CIQ(A888, "IQ_EBITDA_MARGIN",IQ_FY-3))</f>
        <v>-2.3490000000000002</v>
      </c>
      <c r="H894" s="15">
        <f>IF(A896=A897,_xll.ciqfunctions.udf.CIQ(A888,"IQ_TOTAL_DIV_PAID_CF",IQ_FY-4)/-I894, _xll.ciqfunctions.udf.CIQ(A888, "IQ_TOTAL_DIV_PAID_CF",IQ_FY-3)/-I894)</f>
        <v>0</v>
      </c>
      <c r="I894" s="17">
        <f>IF(A896=A897,_xll.ciqfunctions.udf.CIQ(A888,"IQ_TOTAL_OUTSTANDING_FILING_DATE",IQ_FY-4), _xll.ciqfunctions.udf.CIQ(A888, "IQ_TOTAL_OUTSTANDING_FILING_DATE",IQ_FY-3))</f>
        <v>297.07323000000002</v>
      </c>
      <c r="J894" s="17">
        <f>IF(A896=A897,_xll.ciqfunctions.udf.CIQ(A888,"IQ_CASH_OPER",IQ_FY-4), _xll.ciqfunctions.udf.CIQ(A888, "IQ_CASH_OPER",IQ_FY-3))</f>
        <v>24.234000000000002</v>
      </c>
      <c r="K894" s="17">
        <f>IF(A896=A897,_xll.ciqfunctions.udf.CIQ(A888,"IQ_CAPEX",IQ_FY-4), _xll.ciqfunctions.udf.CIQ(A888, "IQ_CAPEX",IQ_FY-3))</f>
        <v>-13.315</v>
      </c>
      <c r="L894" s="15">
        <f t="shared" si="236"/>
        <v>3.6755247182655944E-2</v>
      </c>
      <c r="M894" s="17">
        <f>IF(A896=A897,_xll.ciqfunctions.udf.CIQ(A888,"IQ_TOTAL_DEBT_ISSUED",IQ_FY-4), _xll.ciqfunctions.udf.CIQ(A888, "IQ_TOTAL_DEBT_ISSUED",IQ_FY-3))</f>
        <v>0</v>
      </c>
      <c r="N894" s="17">
        <f>IF(A896=A897,_xll.ciqfunctions.udf.CIQ(A888,"IQ_TOTAL_DEBT_REPAID",IQ_FY-4), _xll.ciqfunctions.udf.CIQ(A888, "IQ_TOTAL_DEBT_REPAID",IQ_FY-3))</f>
        <v>0</v>
      </c>
      <c r="O894" s="15">
        <f t="shared" si="237"/>
        <v>0</v>
      </c>
      <c r="P894" s="15">
        <f t="shared" si="238"/>
        <v>3.6755247182655944E-2</v>
      </c>
      <c r="Q894" s="18"/>
      <c r="R894" s="38" t="s">
        <v>29</v>
      </c>
      <c r="S894" s="4">
        <f>(AVERAGE(P893:P898)/_xlfn.STDEV.P(P893:P898))/(IF(A896=A897,(_xlfn.SINGLE(_xll.ciqfunctions.udf.CIQ(A888,"IQ_total_assets",IQ_FY)) - _xlfn.SINGLE(_xll.ciqfunctions.udf.CIQ(A888,"iq_gw_intan", IQ_FY)))/I898, (_xlfn.SINGLE(_xll.ciqfunctions.udf.CIQ(A888, "IQ_total_assets",IQ_LTM))-_xlfn.SINGLE(_xll.ciqfunctions.udf.CIQ(A888,"iq_gw_intan",IQ_LTM)))/I898))</f>
        <v>0.11868526704113028</v>
      </c>
      <c r="U894" s="18"/>
      <c r="V894" s="38" t="s">
        <v>29</v>
      </c>
      <c r="W894" s="4">
        <f>(AVERAGE(P893:P898)/_xlfn.STDEV.P(P893:P898))/(IF(A896=A897,(_xlfn.SINGLE(_xll.ciqfunctions.udf.CIQ(A888,"IQ_total_assets",IQ_FY)) - _xlfn.SINGLE(_xll.ciqfunctions.udf.CIQ(A888,"iq_gw_intan", IQ_FY)))/I898, (_xlfn.SINGLE(_xll.ciqfunctions.udf.CIQ(A888, "IQ_total_assets",IQ_LTM))-_xlfn.SINGLE(_xll.ciqfunctions.udf.CIQ(A888,"iq_gw_intan",IQ_LTM)))/I898))</f>
        <v>0.11868526704113028</v>
      </c>
      <c r="Y894" s="18"/>
      <c r="Z894" s="38" t="s">
        <v>29</v>
      </c>
      <c r="AA894" s="4">
        <f>(AVERAGE(P893:P898)/_xlfn.STDEV.P(P893:P898))/(IF(A896=A897,(_xlfn.SINGLE(_xll.ciqfunctions.udf.CIQ(A888,"IQ_total_assets",IQ_FY)) - _xlfn.SINGLE(_xll.ciqfunctions.udf.CIQ(A888,"iq_gw_intan", IQ_FY)))/I898, (_xlfn.SINGLE(_xll.ciqfunctions.udf.CIQ(A888, "IQ_total_assets",IQ_LTM))-_xlfn.SINGLE(_xll.ciqfunctions.udf.CIQ(A888,"iq_gw_intan",IQ_LTM)))/I898))</f>
        <v>0.11868526704113028</v>
      </c>
    </row>
    <row r="895" spans="1:27">
      <c r="A895" s="18"/>
      <c r="B895" s="13">
        <v>8</v>
      </c>
      <c r="C895" s="14" t="s">
        <v>30</v>
      </c>
      <c r="D895" s="15" cm="1">
        <f t="array" ref="D895">_xlfn.SINGLE(IF(A896=A897,_xll.ciqfunctions.udf.CIQ(A888,"IQ_TOTAL_REV",IQ_FY-3)/I895, _xll.ciqfunctions.udf.CIQ(A888, "IQ_TOTAL_REV",IQ_FY-2)/I895))</f>
        <v>1.9689467691433682</v>
      </c>
      <c r="E895" s="16">
        <f t="shared" si="239"/>
        <v>0.61233082421160157</v>
      </c>
      <c r="F895" s="15">
        <f>IF(A896=A897,_xll.ciqfunctions.udf.CIQ(A888,"IQ_DILUT_EPS_EXCL",IQ_FY-3), _xll.ciqfunctions.udf.CIQ(A888, "IQ_DILUT_EPS_EXCL",IQ_FY-2))</f>
        <v>-8.1729999999999997E-2</v>
      </c>
      <c r="G895" s="15">
        <f>IF(A896=A897,_xll.ciqfunctions.udf.CIQ(A888,"IQ_EBITDA_MARGIN",IQ_FY-3), _xll.ciqfunctions.udf.CIQ(A888, "IQ_EBITDA_MARGIN",IQ_FY-2))</f>
        <v>0.1216</v>
      </c>
      <c r="H895" s="15">
        <f>IF(A896=A897,_xll.ciqfunctions.udf.CIQ(A888,"IQ_TOTAL_DIV_PAID_CF",IQ_FY-3)/-I895, _xll.ciqfunctions.udf.CIQ(A888, "IQ_TOTAL_DIV_PAID_CF",IQ_FY-2)/-I895)</f>
        <v>0</v>
      </c>
      <c r="I895" s="17">
        <f>IF(A896=A897,_xll.ciqfunctions.udf.CIQ(A888,"IQ_TOTAL_OUTSTANDING_FILING_DATE",IQ_FY-3), _xll.ciqfunctions.udf.CIQ(A888, "IQ_TOTAL_OUTSTANDING_FILING_DATE",IQ_FY-2))</f>
        <v>306.49178000000001</v>
      </c>
      <c r="J895" s="17">
        <f>IF(A896=A897,_xll.ciqfunctions.udf.CIQ(A888,"IQ_CASH_OPER",IQ_FY-3), _xll.ciqfunctions.udf.CIQ(A888, "IQ_CASH_OPER",IQ_FY-2))</f>
        <v>109.09099999999999</v>
      </c>
      <c r="K895" s="17">
        <f>IF(A896=A897,_xll.ciqfunctions.udf.CIQ(A888,"IQ_CAPEX",IQ_FY-3), _xll.ciqfunctions.udf.CIQ(A888, "IQ_CAPEX",IQ_FY-2))</f>
        <v>-5.415</v>
      </c>
      <c r="L895" s="15">
        <f t="shared" si="236"/>
        <v>0.33826682072843839</v>
      </c>
      <c r="M895" s="17">
        <f>IF(A896=A897,_xll.ciqfunctions.udf.CIQ(A888,"IQ_TOTAL_DEBT_ISSUED",IQ_FY-3), _xll.ciqfunctions.udf.CIQ(A888, "IQ_TOTAL_DEBT_ISSUED",IQ_FY-2))</f>
        <v>730.20699999999999</v>
      </c>
      <c r="N895" s="17">
        <f>IF(A896=A897,_xll.ciqfunctions.udf.CIQ(A888,"IQ_TOTAL_DEBT_REPAID",IQ_FY-3), _xll.ciqfunctions.udf.CIQ(A888, "IQ_TOTAL_DEBT_REPAID",IQ_FY-2))</f>
        <v>0</v>
      </c>
      <c r="O895" s="15">
        <f t="shared" si="237"/>
        <v>2.3824684629388755</v>
      </c>
      <c r="P895" s="15">
        <f t="shared" si="238"/>
        <v>2.720735283667314</v>
      </c>
      <c r="Q895" s="18"/>
      <c r="R895" s="39" t="s">
        <v>31</v>
      </c>
      <c r="S895" s="5" t="e">
        <f>IF(NOT(D888&gt;0),FALSE,SLOPE(G888:G898,B888:B898))</f>
        <v>#DIV/0!</v>
      </c>
      <c r="U895" s="18"/>
      <c r="V895" s="39" t="s">
        <v>31</v>
      </c>
      <c r="W895" s="5" t="e">
        <f>IF(NOT(D888&gt;0),FALSE,SLOPE(G888:G898,B888:B898))</f>
        <v>#DIV/0!</v>
      </c>
      <c r="Y895" s="18"/>
      <c r="Z895" s="39" t="s">
        <v>31</v>
      </c>
      <c r="AA895" s="5" t="e">
        <f>IF(NOT(L888&gt;0),FALSE,SLOPE(O888:O898,J888:J898))</f>
        <v>#DIV/0!</v>
      </c>
    </row>
    <row r="896" spans="1:27">
      <c r="A896" s="19">
        <f>_xll.ciqfunctions.udf.CIQ(A888,"IQ_TOTAL_REV",IQ_FY)</f>
        <v>1675.1</v>
      </c>
      <c r="B896" s="13">
        <v>9</v>
      </c>
      <c r="C896" s="14" t="s">
        <v>32</v>
      </c>
      <c r="D896" s="15" cm="1">
        <f t="array" ref="D896">_xlfn.SINGLE(IF(A896=A897,_xll.ciqfunctions.udf.CIQ(A888,"IQ_TOTAL_REV",IQ_FY-2)/I896, _xll.ciqfunctions.udf.CIQ(A888, "IQ_TOTAL_REV",IQ_FY-1)/I896))</f>
        <v>3.277324657377584</v>
      </c>
      <c r="E896" s="16">
        <f t="shared" si="239"/>
        <v>0.66450648069244311</v>
      </c>
      <c r="F896" s="15">
        <f>IF(A896=A897,_xll.ciqfunctions.udf.CIQ(A888,"IQ_DILUT_EPS_EXCL",IQ_FY-2), _xll.ciqfunctions.udf.CIQ(A888, "IQ_DILUT_EPS_EXCL",IQ_FY-1))</f>
        <v>-7.0000000000000007E-2</v>
      </c>
      <c r="G896" s="15">
        <f>IF(A896=A897,_xll.ciqfunctions.udf.CIQ(A888,"IQ_EBITDA_MARGIN",IQ_FY-2), _xll.ciqfunctions.udf.CIQ(A888, "IQ_EBITDA_MARGIN",IQ_FY-1))</f>
        <v>-8.9999999999999998E-4</v>
      </c>
      <c r="H896" s="15">
        <f>IF(A896=A897,_xll.ciqfunctions.udf.CIQ(A888,"IQ_TOTAL_DIV_PAID_CF",IQ_FY-2)/-I896, _xll.ciqfunctions.udf.CIQ(A888, "IQ_TOTAL_DIV_PAID_CF",IQ_FY-1)/-I896)</f>
        <v>0</v>
      </c>
      <c r="I896" s="17">
        <f>IF(A896=A897,_xll.ciqfunctions.udf.CIQ(A888,"IQ_TOTAL_OUTSTANDING_FILING_DATE",IQ_FY-2), _xll.ciqfunctions.udf.CIQ(A888, "IQ_TOTAL_OUTSTANDING_FILING_DATE",IQ_FY-1))</f>
        <v>313.90969999999999</v>
      </c>
      <c r="J896" s="17">
        <f>IF(A896=A897,_xll.ciqfunctions.udf.CIQ(A888,"IQ_CASH_OPER",IQ_FY-2), _xll.ciqfunctions.udf.CIQ(A888, "IQ_CASH_OPER",IQ_FY-1))</f>
        <v>286.54500000000002</v>
      </c>
      <c r="K896" s="17">
        <f>IF(A896=A897,_xll.ciqfunctions.udf.CIQ(A888,"IQ_CAPEX",IQ_FY-2), _xll.ciqfunctions.udf.CIQ(A888, "IQ_CAPEX",IQ_FY-1))</f>
        <v>-9.9559999999999995</v>
      </c>
      <c r="L896" s="15">
        <f t="shared" si="236"/>
        <v>0.88111007719735968</v>
      </c>
      <c r="M896" s="17">
        <f>IF(A896=A897,_xll.ciqfunctions.udf.CIQ(A888,"IQ_TOTAL_DEBT_ISSUED",IQ_FY-2), _xll.ciqfunctions.udf.CIQ(A888, "IQ_TOTAL_DEBT_ISSUED",IQ_FY-1))</f>
        <v>0</v>
      </c>
      <c r="N896" s="17">
        <f>IF(A896=A897,_xll.ciqfunctions.udf.CIQ(A888,"IQ_TOTAL_DEBT_REPAID",IQ_FY-2), _xll.ciqfunctions.udf.CIQ(A888, "IQ_TOTAL_DEBT_REPAID",IQ_FY-1))</f>
        <v>0</v>
      </c>
      <c r="O896" s="15">
        <f t="shared" si="237"/>
        <v>0</v>
      </c>
      <c r="P896" s="15">
        <f t="shared" si="238"/>
        <v>0.88111007719735968</v>
      </c>
      <c r="Q896" s="25" t="s">
        <v>33</v>
      </c>
      <c r="R896" s="38" t="s">
        <v>52</v>
      </c>
      <c r="S896" s="4">
        <f>(AVERAGE(O893:O898)/AVERAGE(P893:P898))</f>
        <v>0.36917131682480669</v>
      </c>
      <c r="U896" s="25" t="s">
        <v>54</v>
      </c>
      <c r="V896" s="38" t="s">
        <v>52</v>
      </c>
      <c r="W896" s="4">
        <f>(AVERAGE(O893:O898)/AVERAGE(P893:P898))</f>
        <v>0.36917131682480669</v>
      </c>
      <c r="Y896" s="25" t="s">
        <v>60</v>
      </c>
      <c r="Z896" s="38" t="s">
        <v>52</v>
      </c>
      <c r="AA896" s="4">
        <f>(AVERAGE(O893:O898)/AVERAGE(P893:P898))</f>
        <v>0.36917131682480669</v>
      </c>
    </row>
    <row r="897" spans="1:27">
      <c r="A897" s="19">
        <f>_xll.ciqfunctions.udf.CIQ(A888,"IQ_TOTAL_REV",IQ_LTM)</f>
        <v>2008.1089999999999</v>
      </c>
      <c r="B897" s="13">
        <v>10</v>
      </c>
      <c r="C897" s="14" t="s">
        <v>34</v>
      </c>
      <c r="D897" s="15" cm="1">
        <f t="array" ref="D897">_xlfn.SINGLE(IF(A896=A897,_xll.ciqfunctions.udf.CIQ(A888,"IQ_TOTAL_REV",IQ_FY-1)/I897, _xll.ciqfunctions.udf.CIQ(A888, "IQ_TOTAL_REV",IQ_FY)/I897))</f>
        <v>5.2364385977948436</v>
      </c>
      <c r="E897" s="16">
        <f t="shared" si="239"/>
        <v>0.59777841539351284</v>
      </c>
      <c r="F897" s="15">
        <f>IF(A896=A897,_xll.ciqfunctions.udf.CIQ(A888,"IQ_DILUT_EPS_EXCL",IQ_FY-1), _xll.ciqfunctions.udf.CIQ(A888, "IQ_DILUT_EPS_EXCL",IQ_FY))</f>
        <v>-0.16</v>
      </c>
      <c r="G897" s="15">
        <f>IF(A896=A897,_xll.ciqfunctions.udf.CIQ(A888,"IQ_EBITDA_MARGIN",IQ_FY-1), _xll.ciqfunctions.udf.CIQ(A888, "IQ_EBITDA_MARGIN",IQ_FY))</f>
        <v>-1.8395999999999999</v>
      </c>
      <c r="H897" s="15">
        <f>IF(A896=A897,_xll.ciqfunctions.udf.CIQ(A888,"IQ_TOTAL_DIV_PAID_CF",IQ_FY-1)/-I897, _xll.ciqfunctions.udf.CIQ(A888, "IQ_TOTAL_DIV_PAID_CF",IQ_FY)/-I897)</f>
        <v>0</v>
      </c>
      <c r="I897" s="17">
        <f>IF(A896=A897,_xll.ciqfunctions.udf.CIQ(A888,"IQ_TOTAL_OUTSTANDING_FILING_DATE",IQ_FY-1), _xll.ciqfunctions.udf.CIQ(A888, "IQ_TOTAL_OUTSTANDING_FILING_DATE",IQ_FY))</f>
        <v>319.89299</v>
      </c>
      <c r="J897" s="17">
        <f>IF(A896=A897,_xll.ciqfunctions.udf.CIQ(A888,"IQ_CASH_OPER",IQ_FY-1), _xll.ciqfunctions.udf.CIQ(A888, "IQ_CASH_OPER",IQ_FY))</f>
        <v>418.40699999999998</v>
      </c>
      <c r="K897" s="17">
        <f>IF(A896=A897,_xll.ciqfunctions.udf.CIQ(A888,"IQ_CAPEX",IQ_FY-1), _xll.ciqfunctions.udf.CIQ(A888, "IQ_CAPEX",IQ_FY))</f>
        <v>-35.261000000000003</v>
      </c>
      <c r="L897" s="15">
        <f t="shared" si="236"/>
        <v>1.1977317789927187</v>
      </c>
      <c r="M897" s="17">
        <f>IF(A896=A897,_xll.ciqfunctions.udf.CIQ(A888,"IQ_TOTAL_DEBT_ISSUED",IQ_FY-1), _xll.ciqfunctions.udf.CIQ(A888, "IQ_TOTAL_DEBT_ISSUED",IQ_FY))</f>
        <v>0</v>
      </c>
      <c r="N897" s="17">
        <f>IF(A896=A897,_xll.ciqfunctions.udf.CIQ(A888,"IQ_TOTAL_DEBT_REPAID",IQ_FY-1), _xll.ciqfunctions.udf.CIQ(A888, "IQ_TOTAL_DEBT_REPAID",IQ_FY))</f>
        <v>-3.0000000000000001E-3</v>
      </c>
      <c r="O897" s="15">
        <f t="shared" si="237"/>
        <v>-9.3781361073276407E-6</v>
      </c>
      <c r="P897" s="15">
        <f t="shared" si="238"/>
        <v>1.1977224008566114</v>
      </c>
      <c r="Q897" s="25" t="s">
        <v>44</v>
      </c>
      <c r="R897" s="38" t="s">
        <v>35</v>
      </c>
      <c r="S897" s="1" t="str">
        <f>_xll.ciqfunctions.udf.CIQ(A888,"IQ_TEV_EBITDA")</f>
        <v>NM</v>
      </c>
      <c r="U897" s="25" t="s">
        <v>55</v>
      </c>
      <c r="V897" s="38" t="s">
        <v>53</v>
      </c>
      <c r="W897" s="1">
        <f>V887/(AVERAGE(D893:D898)/_xlfn.STDEV.P(E893:E898))</f>
        <v>13.202723779946167</v>
      </c>
      <c r="Y897" s="25" t="s">
        <v>57</v>
      </c>
      <c r="Z897" s="38" t="s">
        <v>53</v>
      </c>
      <c r="AA897" s="1">
        <f>Z887/(AVERAGE(D893:D898)/_xlfn.STDEV.P(E893:E898))</f>
        <v>13.202723779946167</v>
      </c>
    </row>
    <row r="898" spans="1:27">
      <c r="B898" s="13">
        <v>11</v>
      </c>
      <c r="C898" s="20" t="s">
        <v>36</v>
      </c>
      <c r="D898" s="21" cm="1">
        <f t="array" ref="D898">_xlfn.SINGLE(IF(A896=A897,_xll.ciqfunctions.udf.CIQ(A888,"IQ_TOTAL_REV",IQ_FY)/I898, _xll.ciqfunctions.udf.CIQ(A888, "IQ_TOTAL_REV",IQ_LTM)/I898))</f>
        <v>6.1119662394285159</v>
      </c>
      <c r="E898" s="22">
        <f t="shared" si="239"/>
        <v>0.16719906579299382</v>
      </c>
      <c r="F898" s="21">
        <f>IF(A896=A897,_xll.ciqfunctions.udf.CIQ(A888,"IQ_DILUT_EPS_EXCL",IQ_FY), _xll.ciqfunctions.udf.CIQ(A888, "IQ_DILUT_EPS_EXCL",IQ_LTM))</f>
        <v>-0.10861999999999999</v>
      </c>
      <c r="G898" s="21">
        <f>IF(A896=A897,_xll.ciqfunctions.udf.CIQ(A888,"IQ_EBITDA_MARGIN",IQ_FY), _xll.ciqfunctions.udf.CIQ(A888, "IQ_EBITDA_MARGIN",IQ_LTM))</f>
        <v>-3.0051000000000001</v>
      </c>
      <c r="H898" s="21">
        <f>IF(A896=A897,_xll.ciqfunctions.udf.CIQ(A888,"IQ_TOTAL_DIV_PAID_CF",IQ_FY)/-I898, _xll.ciqfunctions.udf.CIQ(A888, "IQ_TOTAL_DIV_PAID_CF",IQ_LTM)/-I898)</f>
        <v>0</v>
      </c>
      <c r="I898" s="23">
        <f>IF(A896=A897,_xll.ciqfunctions.udf.CIQ(A888,"IQ_TOTAL_OUTSTANDING_FILING_DATE",IQ_FY),_xll.ciqfunctions.udf.CIQ(A888,"IQ_sharesoutstanding"))</f>
        <v>328.55367999999999</v>
      </c>
      <c r="J898" s="23">
        <f>IF(A896=A897,_xll.ciqfunctions.udf.CIQ(A888,"IQ_CASH_OPER",IQ_FY), _xll.ciqfunctions.udf.CIQ(A888, "IQ_CASH_OPER",IQ_LTM))</f>
        <v>554.16899999999998</v>
      </c>
      <c r="K898" s="23">
        <f>IF(A896=A897,_xll.ciqfunctions.udf.CIQ(A888,"IQ_CAPEX",IQ_FY), _xll.ciqfunctions.udf.CIQ(A888, "IQ_CAPEX",IQ_LTM))</f>
        <v>-27.245000000000001</v>
      </c>
      <c r="L898" s="21">
        <f t="shared" si="236"/>
        <v>1.6037683705140664</v>
      </c>
      <c r="M898" s="23">
        <f>IF(A896=A897,_xll.ciqfunctions.udf.CIQ(A888,"IQ_TOTAL_DEBT_ISSUED",IQ_FY), _xll.ciqfunctions.udf.CIQ(A888, "IQ_TOTAL_DEBT_ISSUED",IQ_LTM))</f>
        <v>0</v>
      </c>
      <c r="N898" s="23">
        <f>IF(A896=A897,_xll.ciqfunctions.udf.CIQ(A888,"IQ_TOTAL_DEBT_REPAID",IQ_FY), _xll.ciqfunctions.udf.CIQ(A888, "IQ_TOTAL_DEBT_REPAID",IQ_LTM))</f>
        <v>0</v>
      </c>
      <c r="O898" s="21">
        <f t="shared" si="237"/>
        <v>0</v>
      </c>
      <c r="P898" s="21">
        <f t="shared" si="238"/>
        <v>1.6037683705140664</v>
      </c>
      <c r="Q898" s="25" t="s">
        <v>45</v>
      </c>
      <c r="S898" s="45"/>
      <c r="U898" s="25"/>
      <c r="W898" s="45"/>
      <c r="Y898" s="25"/>
      <c r="AA898" s="45"/>
    </row>
    <row r="899" spans="1:27">
      <c r="B899" s="24"/>
      <c r="C899" s="25" t="s">
        <v>37</v>
      </c>
      <c r="E899" s="26">
        <f>((D898/D893)^(1/5))-1</f>
        <v>0.2178577581740051</v>
      </c>
      <c r="F899" s="27">
        <f>((F898/F893)^(1/5))-1</f>
        <v>-6.46023043453815E-2</v>
      </c>
      <c r="G899" s="28"/>
      <c r="H899" s="27" t="e">
        <f>((H898/H893)^(1/5))-1</f>
        <v>#DIV/0!</v>
      </c>
      <c r="I899" s="27">
        <f>((I898/I893)^(1/5))-1</f>
        <v>0.304950624314547</v>
      </c>
      <c r="J899" s="27"/>
      <c r="K899" s="27"/>
      <c r="L899" s="26">
        <f>((L898/L893)^(1/5))-1</f>
        <v>1.6022040310474859</v>
      </c>
      <c r="M899" s="26"/>
      <c r="N899" s="26"/>
      <c r="O899" s="26"/>
      <c r="P899" s="26">
        <f>((P898/P893)^(1/5))-1</f>
        <v>1.6022040310474859</v>
      </c>
      <c r="Q899" s="18"/>
      <c r="R899" s="36"/>
      <c r="S899" s="45"/>
      <c r="U899" s="18"/>
      <c r="V899" s="36"/>
      <c r="W899" s="45"/>
      <c r="Y899" s="18"/>
      <c r="Z899" s="36"/>
      <c r="AA899" s="45"/>
    </row>
    <row r="900" spans="1:27">
      <c r="A900" s="29"/>
      <c r="B900" s="30"/>
      <c r="C900" s="31" t="s">
        <v>38</v>
      </c>
      <c r="D900" s="29"/>
      <c r="E900" s="32" t="e">
        <f>((D898/D888)^(1/10))-1</f>
        <v>#DIV/0!</v>
      </c>
      <c r="F900" s="33" t="e">
        <f>((F898/F888)^(1/10))-1</f>
        <v>#DIV/0!</v>
      </c>
      <c r="G900" s="34"/>
      <c r="H900" s="33" t="e">
        <f>((H898/H888)^(1/10))-1</f>
        <v>#DIV/0!</v>
      </c>
      <c r="I900" s="33" t="e">
        <f>((I898/I888)^(1/10))-1</f>
        <v>#DIV/0!</v>
      </c>
      <c r="J900" s="33"/>
      <c r="K900" s="33"/>
      <c r="L900" s="32" t="e">
        <f>((L898/L888)^(1/10))-1</f>
        <v>#DIV/0!</v>
      </c>
      <c r="M900" s="32"/>
      <c r="N900" s="32"/>
      <c r="O900" s="32"/>
      <c r="P900" s="32" t="e">
        <f>((P898/P888)^(1/10))-1</f>
        <v>#DIV/0!</v>
      </c>
      <c r="Q900" s="40"/>
      <c r="R900" s="41"/>
      <c r="S900" s="46"/>
      <c r="U900" s="40"/>
      <c r="V900" s="41"/>
      <c r="W900" s="46"/>
      <c r="Y900" s="40"/>
      <c r="Z900" s="41"/>
      <c r="AA900" s="46"/>
    </row>
    <row r="901" spans="1:27">
      <c r="B901" s="24"/>
      <c r="C901" s="25"/>
      <c r="E901" s="26"/>
      <c r="F901" s="27"/>
      <c r="G901" s="28"/>
      <c r="H901" s="27"/>
      <c r="I901" s="27"/>
      <c r="J901" s="27"/>
      <c r="K901" s="27"/>
      <c r="L901" s="26"/>
      <c r="M901" s="17"/>
      <c r="N901" s="17"/>
      <c r="O901" s="17"/>
      <c r="P901" s="35"/>
      <c r="Q901" s="18"/>
      <c r="R901" s="36"/>
    </row>
    <row r="902" spans="1:27">
      <c r="A902" s="9" t="s">
        <v>0</v>
      </c>
      <c r="B902" s="10"/>
      <c r="C902" s="9" t="s">
        <v>1</v>
      </c>
      <c r="D902" s="9" t="s">
        <v>2</v>
      </c>
      <c r="E902" s="9" t="s">
        <v>3</v>
      </c>
      <c r="F902" s="11" t="s">
        <v>4</v>
      </c>
      <c r="G902" s="11" t="s">
        <v>5</v>
      </c>
      <c r="H902" s="9" t="s">
        <v>6</v>
      </c>
      <c r="I902" s="11" t="s">
        <v>7</v>
      </c>
      <c r="J902" s="11" t="s">
        <v>8</v>
      </c>
      <c r="K902" s="11" t="s">
        <v>9</v>
      </c>
      <c r="L902" s="11" t="s">
        <v>10</v>
      </c>
      <c r="M902" s="11" t="s">
        <v>11</v>
      </c>
      <c r="N902" s="11" t="s">
        <v>12</v>
      </c>
      <c r="O902" s="11" t="s">
        <v>13</v>
      </c>
      <c r="P902" s="11" t="s">
        <v>14</v>
      </c>
      <c r="Q902" s="37" t="s">
        <v>15</v>
      </c>
      <c r="R902" s="42">
        <f>_xll.ciqfunctions.udf.CIQ(A903,("IQ_LASTSALEPRICE"))</f>
        <v>211.0575</v>
      </c>
      <c r="S902" s="44"/>
      <c r="U902" s="37" t="s">
        <v>15</v>
      </c>
      <c r="V902" s="42">
        <f>_xll.ciqfunctions.udf.CIQ(A903,("IQ_LASTSALEPRICE"))</f>
        <v>211.0575</v>
      </c>
      <c r="W902" s="44"/>
      <c r="Y902" s="37" t="s">
        <v>15</v>
      </c>
      <c r="Z902" s="42">
        <f>_xll.ciqfunctions.udf.CIQ(A903,("IQ_LASTSALEPRICE"))</f>
        <v>211.0575</v>
      </c>
      <c r="AA902" s="44"/>
    </row>
    <row r="903" spans="1:27">
      <c r="A903" s="59" t="str">
        <f>Analysis!B62</f>
        <v>NasdaqGS:CRWD</v>
      </c>
      <c r="B903" s="13">
        <v>1</v>
      </c>
      <c r="C903" s="14" t="s">
        <v>16</v>
      </c>
      <c r="D903" s="15" t="e">
        <f>IF(A911=A912,_xll.ciqfunctions.udf.CIQ(A903,"IQ_TOTAL_REV",IQ_FY-10)/I903,_xll.ciqfunctions.udf.CIQ(A903, "IQ_TOTAL_REV",IQ_FY-9)/I903)</f>
        <v>#DIV/0!</v>
      </c>
      <c r="E903" s="16"/>
      <c r="F903" s="15">
        <f>IF(A911=A912,_xll.ciqfunctions.udf.CIQ(A903,"IQ_DILUT_EPS_EXCL",IQ_FY-10), _xll.ciqfunctions.udf.CIQ(A903, "IQ_DILUT_EPS_EXCL",IQ_FY-9))</f>
        <v>0</v>
      </c>
      <c r="G903" s="15">
        <f>IF(A911=A912,_xll.ciqfunctions.udf.CIQ(A903,"IQ_EBITDA_MARGIN",IQ_FY-10), _xll.ciqfunctions.udf.CIQ(A903, "IQ_EBITDA_MARGIN",IQ_FY-9))</f>
        <v>0</v>
      </c>
      <c r="H903" s="15" t="e">
        <f>IF(A911=A912,_xll.ciqfunctions.udf.CIQ(A903,"IQ_TOTAL_DIV_PAID_CF",IQ_FY-10)/-I903, _xll.ciqfunctions.udf.CIQ(A903, "IQ_TOTAL_DIV_PAID_CF",IQ_FY-9)/-I903)</f>
        <v>#DIV/0!</v>
      </c>
      <c r="I903" s="17">
        <f>IF(A911=A912,_xll.ciqfunctions.udf.CIQ(A903,"IQ_TOTAL_OUTSTANDING_FILING_DATE",IQ_FY-10), _xll.ciqfunctions.udf.CIQ(A903, "IQ_TOTAL_OUTSTANDING_FILING_DATE",IQ_FY-9))</f>
        <v>0</v>
      </c>
      <c r="J903" s="17">
        <f>IF(A911=A912,_xll.ciqfunctions.udf.CIQ(A903,"IQ_CASH_OPER",IQ_FY-10), _xll.ciqfunctions.udf.CIQ(A903, "IQ_CASH_OPER",IQ_FY-9))</f>
        <v>0</v>
      </c>
      <c r="K903" s="17">
        <f>IF(A911=A912,_xll.ciqfunctions.udf.CIQ(A903,"IQ_CAPEX",IQ_FY-10), _xll.ciqfunctions.udf.CIQ(A903, "IQ_CAPEX",IQ_FY-9))</f>
        <v>0</v>
      </c>
      <c r="L903" s="15" t="e">
        <f t="shared" ref="L903:L913" si="240">(J903+K903)/I903</f>
        <v>#DIV/0!</v>
      </c>
      <c r="M903" s="17">
        <f>IF(A911=A912,_xll.ciqfunctions.udf.CIQ(A903,"IQ_TOTAL_DEBT_ISSUED",IQ_FY-10), _xll.ciqfunctions.udf.CIQ(A903, "IQ_TOTAL_DEBT_ISSUED",IQ_FY-9))</f>
        <v>0</v>
      </c>
      <c r="N903" s="17">
        <f>IF(A911=A912,_xll.ciqfunctions.udf.CIQ(A903,"IQ_TOTAL_DEBT_REPAID",IQ_FY-10), _xll.ciqfunctions.udf.CIQ(A903, "IQ_TOTAL_DEBT_REPAID",IQ_FY-9))</f>
        <v>0</v>
      </c>
      <c r="O903" s="15" t="e">
        <f t="shared" ref="O903:O913" si="241">(M903+N903)/I903</f>
        <v>#DIV/0!</v>
      </c>
      <c r="P903" s="15" t="e">
        <f t="shared" ref="P903:P913" si="242">L903+O903</f>
        <v>#DIV/0!</v>
      </c>
      <c r="W903" s="43"/>
      <c r="AA903" s="43"/>
    </row>
    <row r="904" spans="1:27">
      <c r="A904" s="18" t="str">
        <f>_xll.ciqfunctions.udf.CIQ(A903,"IQ_COMPANY_NAME")</f>
        <v>CrowdStrike Holdings, Inc.</v>
      </c>
      <c r="B904" s="13">
        <v>2</v>
      </c>
      <c r="C904" s="14" t="s">
        <v>17</v>
      </c>
      <c r="D904" s="15" t="e">
        <f>IF(A911=A912,_xll.ciqfunctions.udf.CIQ(A903,"IQ_TOTAL_REV",IQ_FY-9)/I904, _xll.ciqfunctions.udf.CIQ(A903, "IQ_TOTAL_REV",IQ_FY-8)/I904)</f>
        <v>#DIV/0!</v>
      </c>
      <c r="E904" s="16" t="e">
        <f t="shared" ref="E904:E913" si="243">(D904-D903)/D903</f>
        <v>#DIV/0!</v>
      </c>
      <c r="F904" s="15">
        <f>IF(A911=A912,_xll.ciqfunctions.udf.CIQ(A903,"IQ_DILUT_EPS_EXCL",IQ_FY-9), _xll.ciqfunctions.udf.CIQ(A903, "IQ_DILUT_EPS_EXCL",IQ_FY-8))</f>
        <v>0</v>
      </c>
      <c r="G904" s="15">
        <f>IF(A911=A912,_xll.ciqfunctions.udf.CIQ(A903,"IQ_EBITDA_MARGIN",IQ_FY-9), _xll.ciqfunctions.udf.CIQ(A903, "IQ_EBITDA_MARGIN",IQ_FY-8))</f>
        <v>0</v>
      </c>
      <c r="H904" s="15" t="e">
        <f>IF(A911=A912,_xll.ciqfunctions.udf.CIQ(A903,"IQ_TOTAL_DIV_PAID_CF",IQ_FY-9)/-I904, _xll.ciqfunctions.udf.CIQ(A903, "IQ_TOTAL_DIV_PAID_CF",IQ_FY-8)/-I904)</f>
        <v>#DIV/0!</v>
      </c>
      <c r="I904" s="17">
        <f>IF(A911=A912,_xll.ciqfunctions.udf.CIQ(A903,"IQ_TOTAL_OUTSTANDING_FILING_DATE",IQ_FY-9), _xll.ciqfunctions.udf.CIQ(A903, "IQ_TOTAL_OUTSTANDING_FILING_DATE",IQ_FY-8))</f>
        <v>0</v>
      </c>
      <c r="J904" s="17">
        <f>IF(A911=A912,_xll.ciqfunctions.udf.CIQ(A903,"IQ_CASH_OPER",IQ_FY-9), _xll.ciqfunctions.udf.CIQ(A903, "IQ_CASH_OPER",IQ_FY-8))</f>
        <v>0</v>
      </c>
      <c r="K904" s="17">
        <f>IF(A911=A912,_xll.ciqfunctions.udf.CIQ(A903,"IQ_CAPEX",IQ_FY-9), _xll.ciqfunctions.udf.CIQ(A903, "IQ_CAPEX",IQ_FY-8))</f>
        <v>0</v>
      </c>
      <c r="L904" s="15" t="e">
        <f t="shared" si="240"/>
        <v>#DIV/0!</v>
      </c>
      <c r="M904" s="17">
        <f>IF(A911=A912,_xll.ciqfunctions.udf.CIQ(A903,"IQ_TOTAL_DEBT_ISSUED",IQ_FY-9), _xll.ciqfunctions.udf.CIQ(A903, "IQ_TOTAL_DEBT_ISSUED",IQ_FY-8))</f>
        <v>0</v>
      </c>
      <c r="N904" s="17">
        <f>IF(A911=A912,_xll.ciqfunctions.udf.CIQ(A903,"IQ_TOTAL_DEBT_REPAID",IQ_FY-9), _xll.ciqfunctions.udf.CIQ(A903, "IQ_TOTAL_DEBT_REPAID",IQ_FY-8))</f>
        <v>0</v>
      </c>
      <c r="O904" s="15" t="e">
        <f t="shared" si="241"/>
        <v>#DIV/0!</v>
      </c>
      <c r="P904" s="15" t="e">
        <f t="shared" si="242"/>
        <v>#DIV/0!</v>
      </c>
      <c r="Q904" s="25" t="s">
        <v>18</v>
      </c>
      <c r="R904" s="39" t="s">
        <v>19</v>
      </c>
      <c r="S904" s="1">
        <f>R902/((AVERAGE(P908:P913))*(1+E914)^3)</f>
        <v>69.429130715437267</v>
      </c>
      <c r="U904" s="25" t="s">
        <v>48</v>
      </c>
      <c r="V904" s="39" t="s">
        <v>19</v>
      </c>
      <c r="W904" s="1">
        <f>V902/((AVERAGE(P908:P913))*(1+E914)^3)</f>
        <v>69.429130715437267</v>
      </c>
      <c r="Y904" s="25" t="s">
        <v>39</v>
      </c>
      <c r="Z904" s="39" t="s">
        <v>19</v>
      </c>
      <c r="AA904" s="1">
        <f>Z902/((AVERAGE(P908:P913))*(1+E914)^3)</f>
        <v>69.429130715437267</v>
      </c>
    </row>
    <row r="905" spans="1:27">
      <c r="B905" s="13">
        <v>3</v>
      </c>
      <c r="C905" s="14" t="s">
        <v>20</v>
      </c>
      <c r="D905" s="15" t="e" cm="1">
        <f t="array" ref="D905">_xlfn.SINGLE(IF(A911=A912,_xll.ciqfunctions.udf.CIQ(A903,"IQ_TOTAL_REV",IQ_FY-8)/I905, _xll.ciqfunctions.udf.CIQ(A903, "IQ_TOTAL_REV",IQ_FY-7)/I905))</f>
        <v>#DIV/0!</v>
      </c>
      <c r="E905" s="16" t="e">
        <f t="shared" si="243"/>
        <v>#DIV/0!</v>
      </c>
      <c r="F905" s="15">
        <f>IF(A911=A912,_xll.ciqfunctions.udf.CIQ(A903,"IQ_DILUT_EPS_EXCL",IQ_FY-8), _xll.ciqfunctions.udf.CIQ(A903, "IQ_DILUT_EPS_EXCL",IQ_FY-7))</f>
        <v>0</v>
      </c>
      <c r="G905" s="15">
        <f>IF(A911=A912,_xll.ciqfunctions.udf.CIQ(A903,"IQ_EBITDA_MARGIN",IQ_FY-8), _xll.ciqfunctions.udf.CIQ(A903, "IQ_EBITDA_MARGIN",IQ_FY-7))</f>
        <v>0</v>
      </c>
      <c r="H905" s="15" t="e">
        <f>IF(A911=A912,_xll.ciqfunctions.udf.CIQ(A903,"IQ_TOTAL_DIV_PAID_CF",IQ_FY-8)/-I905, _xll.ciqfunctions.udf.CIQ(A903, "IQ_TOTAL_DIV_PAID_CF",IQ_FY-7)/-I905)</f>
        <v>#DIV/0!</v>
      </c>
      <c r="I905" s="17">
        <f>IF(A911=A912,_xll.ciqfunctions.udf.CIQ(A903,"IQ_TOTAL_OUTSTANDING_FILING_DATE",IQ_FY-8), _xll.ciqfunctions.udf.CIQ(A903, "IQ_TOTAL_OUTSTANDING_FILING_DATE",IQ_FY-7))</f>
        <v>0</v>
      </c>
      <c r="J905" s="17">
        <f>IF(A911=A912,_xll.ciqfunctions.udf.CIQ(A903,"IQ_CASH_OPER",IQ_FY-8), _xll.ciqfunctions.udf.CIQ(A903, "IQ_CASH_OPER",IQ_FY-7))</f>
        <v>0</v>
      </c>
      <c r="K905" s="17">
        <f>IF(A911=A912,_xll.ciqfunctions.udf.CIQ(A903,"IQ_CAPEX",IQ_FY-8), _xll.ciqfunctions.udf.CIQ(A903, "IQ_CAPEX",IQ_FY-7))</f>
        <v>0</v>
      </c>
      <c r="L905" s="15" t="e">
        <f t="shared" si="240"/>
        <v>#DIV/0!</v>
      </c>
      <c r="M905" s="17">
        <f>IF(A911=A912,_xll.ciqfunctions.udf.CIQ(A903,"IQ_TOTAL_DEBT_ISSUED",IQ_FY-8), _xll.ciqfunctions.udf.CIQ(A903, "IQ_TOTAL_DEBT_ISSUED",IQ_FY-7))</f>
        <v>0</v>
      </c>
      <c r="N905" s="17">
        <f>IF(A911=A912,_xll.ciqfunctions.udf.CIQ(A903,"IQ_TOTAL_DEBT_REPAID",IQ_FY-8), _xll.ciqfunctions.udf.CIQ(A903, "IQ_TOTAL_DEBT_REPAID",IQ_FY-7))</f>
        <v>0</v>
      </c>
      <c r="O905" s="15" t="e">
        <f t="shared" si="241"/>
        <v>#DIV/0!</v>
      </c>
      <c r="P905" s="15" t="e">
        <f t="shared" si="242"/>
        <v>#DIV/0!</v>
      </c>
      <c r="Q905" s="25" t="s">
        <v>21</v>
      </c>
      <c r="R905" s="38" t="s">
        <v>49</v>
      </c>
      <c r="S905" s="2">
        <f>(R902*I913)/1000</f>
        <v>50.3980405215</v>
      </c>
      <c r="U905" s="25" t="s">
        <v>59</v>
      </c>
      <c r="V905" s="38" t="s">
        <v>49</v>
      </c>
      <c r="W905" s="2">
        <f>(V902*I913)/1000</f>
        <v>50.3980405215</v>
      </c>
      <c r="Y905" s="25" t="s">
        <v>46</v>
      </c>
      <c r="Z905" s="38" t="s">
        <v>49</v>
      </c>
      <c r="AA905" s="2">
        <f>(Z902*I913)/1000</f>
        <v>50.3980405215</v>
      </c>
    </row>
    <row r="906" spans="1:27">
      <c r="A906" s="18"/>
      <c r="B906" s="13">
        <v>4</v>
      </c>
      <c r="C906" s="14" t="s">
        <v>22</v>
      </c>
      <c r="D906" s="15" cm="1">
        <f t="array" ref="D906">_xlfn.SINGLE(IF(A911=A912,_xll.ciqfunctions.udf.CIQ(A903,"IQ_TOTAL_REV",IQ_FY-7)/I906, _xll.ciqfunctions.udf.CIQ(A903, "IQ_TOTAL_REV",IQ_FY-6)/I906))</f>
        <v>1.3024099955553361</v>
      </c>
      <c r="E906" s="16" t="e">
        <f t="shared" si="243"/>
        <v>#DIV/0!</v>
      </c>
      <c r="F906" s="15">
        <f>IF(A911=A912,_xll.ciqfunctions.udf.CIQ(A903,"IQ_DILUT_EPS_EXCL",IQ_FY-7), _xll.ciqfunctions.udf.CIQ(A903, "IQ_DILUT_EPS_EXCL",IQ_FY-6))</f>
        <v>-2.7288600000000001</v>
      </c>
      <c r="G906" s="15">
        <f>IF(A911=A912,_xll.ciqfunctions.udf.CIQ(A903,"IQ_EBITDA_MARGIN",IQ_FY-7), _xll.ciqfunctions.udf.CIQ(A903, "IQ_EBITDA_MARGIN",IQ_FY-6))</f>
        <v>-168.9923</v>
      </c>
      <c r="H906" s="15">
        <f>IF(A911=A912,_xll.ciqfunctions.udf.CIQ(A903,"IQ_TOTAL_DIV_PAID_CF",IQ_FY-7)/-I906, _xll.ciqfunctions.udf.CIQ(A903, "IQ_TOTAL_DIV_PAID_CF",IQ_FY-6)/-I906)</f>
        <v>0</v>
      </c>
      <c r="I906" s="17">
        <f>IF(A911=A912,_xll.ciqfunctions.udf.CIQ(A903,"IQ_TOTAL_OUTSTANDING_FILING_DATE",IQ_FY-7), _xll.ciqfunctions.udf.CIQ(A903, "IQ_TOTAL_OUTSTANDING_FILING_DATE",IQ_FY-6))</f>
        <v>40.497999999999998</v>
      </c>
      <c r="J906" s="17">
        <f>IF(A911=A912,_xll.ciqfunctions.udf.CIQ(A903,"IQ_CASH_OPER",IQ_FY-7), _xll.ciqfunctions.udf.CIQ(A903, "IQ_CASH_OPER",IQ_FY-6))</f>
        <v>-51.997999999999998</v>
      </c>
      <c r="K906" s="17">
        <f>IF(A911=A912,_xll.ciqfunctions.udf.CIQ(A903,"IQ_CAPEX",IQ_FY-7), _xll.ciqfunctions.udf.CIQ(A903, "IQ_CAPEX",IQ_FY-6))</f>
        <v>-6.5910000000000002</v>
      </c>
      <c r="L906" s="15">
        <f t="shared" si="240"/>
        <v>-1.4467134179465653</v>
      </c>
      <c r="M906" s="17">
        <f>IF(A911=A912,_xll.ciqfunctions.udf.CIQ(A903,"IQ_TOTAL_DEBT_ISSUED",IQ_FY-7), _xll.ciqfunctions.udf.CIQ(A903, "IQ_TOTAL_DEBT_ISSUED",IQ_FY-6))</f>
        <v>19.34</v>
      </c>
      <c r="N906" s="17">
        <f>IF(A911=A912,_xll.ciqfunctions.udf.CIQ(A903,"IQ_TOTAL_DEBT_REPAID",IQ_FY-7), _xll.ciqfunctions.udf.CIQ(A903, "IQ_TOTAL_DEBT_REPAID",IQ_FY-6))</f>
        <v>-2.4</v>
      </c>
      <c r="O906" s="15">
        <f t="shared" si="241"/>
        <v>0.41829226134623937</v>
      </c>
      <c r="P906" s="15">
        <f t="shared" si="242"/>
        <v>-1.0284211566003258</v>
      </c>
      <c r="Q906" s="25" t="s">
        <v>23</v>
      </c>
      <c r="R906" s="38" t="s">
        <v>24</v>
      </c>
      <c r="S906" s="1" t="e">
        <f>R902/(AVERAGE(H908:H913)*(1+H914)/(0.5-H914))</f>
        <v>#DIV/0!</v>
      </c>
      <c r="U906" s="25" t="s">
        <v>40</v>
      </c>
      <c r="V906" s="38" t="s">
        <v>24</v>
      </c>
      <c r="W906" s="1" t="e">
        <f>V902/(AVERAGE(H908:H913)*(1+H914)/(0.5-H914))</f>
        <v>#DIV/0!</v>
      </c>
      <c r="Y906" s="25" t="s">
        <v>47</v>
      </c>
      <c r="Z906" s="38" t="s">
        <v>24</v>
      </c>
      <c r="AA906" s="1" t="e">
        <f>Z902/(AVERAGE(H908:H913)*(1+H914)/(0.5-H914))</f>
        <v>#DIV/0!</v>
      </c>
    </row>
    <row r="907" spans="1:27">
      <c r="B907" s="13">
        <v>5</v>
      </c>
      <c r="C907" s="14" t="s">
        <v>25</v>
      </c>
      <c r="D907" s="15" cm="1">
        <f t="array" ref="D907">_xlfn.SINGLE(IF(A911=A912,_xll.ciqfunctions.udf.CIQ(A903,"IQ_TOTAL_REV",IQ_FY-6)/I907, _xll.ciqfunctions.udf.CIQ(A903, "IQ_TOTAL_REV",IQ_FY-5)/I907))</f>
        <v>2.6848138183626866</v>
      </c>
      <c r="E907" s="16">
        <f t="shared" si="243"/>
        <v>1.0614198505271035</v>
      </c>
      <c r="F907" s="15">
        <f>IF(A911=A912,_xll.ciqfunctions.udf.CIQ(A903,"IQ_DILUT_EPS_EXCL",IQ_FY-6), _xll.ciqfunctions.udf.CIQ(A903, "IQ_DILUT_EPS_EXCL",IQ_FY-5))</f>
        <v>-3.37527</v>
      </c>
      <c r="G907" s="15">
        <f>IF(A911=A912,_xll.ciqfunctions.udf.CIQ(A903,"IQ_EBITDA_MARGIN",IQ_FY-6), _xll.ciqfunctions.udf.CIQ(A903, "IQ_EBITDA_MARGIN",IQ_FY-5))</f>
        <v>-106.8622</v>
      </c>
      <c r="H907" s="15">
        <f>IF(A911=A912,_xll.ciqfunctions.udf.CIQ(A903,"IQ_TOTAL_DIV_PAID_CF",IQ_FY-6)/-I907, _xll.ciqfunctions.udf.CIQ(A903, "IQ_TOTAL_DIV_PAID_CF",IQ_FY-5)/-I907)</f>
        <v>0</v>
      </c>
      <c r="I907" s="17">
        <f>IF(A911=A912,_xll.ciqfunctions.udf.CIQ(A903,"IQ_TOTAL_OUTSTANDING_FILING_DATE",IQ_FY-6), _xll.ciqfunctions.udf.CIQ(A903, "IQ_TOTAL_OUTSTANDING_FILING_DATE",IQ_FY-5))</f>
        <v>44.231000000000002</v>
      </c>
      <c r="J907" s="17">
        <f>IF(A911=A912,_xll.ciqfunctions.udf.CIQ(A903,"IQ_CASH_OPER",IQ_FY-6), _xll.ciqfunctions.udf.CIQ(A903, "IQ_CASH_OPER",IQ_FY-5))</f>
        <v>-58.765999999999998</v>
      </c>
      <c r="K907" s="17">
        <f>IF(A911=A912,_xll.ciqfunctions.udf.CIQ(A903,"IQ_CAPEX",IQ_FY-6), _xll.ciqfunctions.udf.CIQ(A903, "IQ_CAPEX",IQ_FY-5))</f>
        <v>-22.905999999999999</v>
      </c>
      <c r="L907" s="15">
        <f t="shared" si="240"/>
        <v>-1.8464877574551783</v>
      </c>
      <c r="M907" s="17">
        <f>IF(A911=A912,_xll.ciqfunctions.udf.CIQ(A903,"IQ_TOTAL_DEBT_ISSUED",IQ_FY-6), _xll.ciqfunctions.udf.CIQ(A903, "IQ_TOTAL_DEBT_ISSUED",IQ_FY-5))</f>
        <v>10</v>
      </c>
      <c r="N907" s="17">
        <f>IF(A911=A912,_xll.ciqfunctions.udf.CIQ(A903,"IQ_TOTAL_DEBT_REPAID",IQ_FY-6), _xll.ciqfunctions.udf.CIQ(A903, "IQ_TOTAL_DEBT_REPAID",IQ_FY-5))</f>
        <v>-19.324000000000002</v>
      </c>
      <c r="O907" s="15">
        <f t="shared" si="241"/>
        <v>-0.21080237842237348</v>
      </c>
      <c r="P907" s="15">
        <f t="shared" si="242"/>
        <v>-2.0572901358775519</v>
      </c>
      <c r="Q907" s="18"/>
      <c r="R907" s="38" t="s">
        <v>50</v>
      </c>
      <c r="S907" s="3">
        <f>I914</f>
        <v>0.38168078025164975</v>
      </c>
      <c r="U907" s="18"/>
      <c r="V907" s="38" t="s">
        <v>50</v>
      </c>
      <c r="W907" s="3">
        <f>I914</f>
        <v>0.38168078025164975</v>
      </c>
      <c r="Y907" s="18"/>
      <c r="Z907" s="38" t="s">
        <v>50</v>
      </c>
      <c r="AA907" s="3">
        <f>I914</f>
        <v>0.38168078025164975</v>
      </c>
    </row>
    <row r="908" spans="1:27">
      <c r="B908" s="13">
        <v>6</v>
      </c>
      <c r="C908" s="14" t="s">
        <v>26</v>
      </c>
      <c r="D908" s="15" cm="1">
        <f t="array" ref="D908">_xlfn.SINGLE(IF(A911=A912,_xll.ciqfunctions.udf.CIQ(A903,"IQ_TOTAL_REV",IQ_FY-5)/I908, _xll.ciqfunctions.udf.CIQ(A903, "IQ_TOTAL_REV",IQ_FY-4)/I908))</f>
        <v>5.2681711776057174</v>
      </c>
      <c r="E908" s="16">
        <f t="shared" si="243"/>
        <v>0.96221098892379497</v>
      </c>
      <c r="F908" s="15">
        <f>IF(A911=A912,_xll.ciqfunctions.udf.CIQ(A903,"IQ_DILUT_EPS_EXCL",IQ_FY-5), _xll.ciqfunctions.udf.CIQ(A903, "IQ_DILUT_EPS_EXCL",IQ_FY-4))</f>
        <v>-3.1223299999999998</v>
      </c>
      <c r="G908" s="15">
        <f>IF(A911=A912,_xll.ciqfunctions.udf.CIQ(A903,"IQ_EBITDA_MARGIN",IQ_FY-5), _xll.ciqfunctions.udf.CIQ(A903, "IQ_EBITDA_MARGIN",IQ_FY-4))</f>
        <v>-50.701999999999998</v>
      </c>
      <c r="H908" s="15">
        <f>IF(A911=A912,_xll.ciqfunctions.udf.CIQ(A903,"IQ_TOTAL_DIV_PAID_CF",IQ_FY-5)/-I908, _xll.ciqfunctions.udf.CIQ(A903, "IQ_TOTAL_DIV_PAID_CF",IQ_FY-4)/-I908)</f>
        <v>0</v>
      </c>
      <c r="I908" s="17">
        <f>IF(A911=A912,_xll.ciqfunctions.udf.CIQ(A903,"IQ_TOTAL_OUTSTANDING_FILING_DATE",IQ_FY-5), _xll.ciqfunctions.udf.CIQ(A903, "IQ_TOTAL_OUTSTANDING_FILING_DATE",IQ_FY-4))</f>
        <v>47.421390000000002</v>
      </c>
      <c r="J908" s="17">
        <f>IF(A911=A912,_xll.ciqfunctions.udf.CIQ(A903,"IQ_CASH_OPER",IQ_FY-5), _xll.ciqfunctions.udf.CIQ(A903, "IQ_CASH_OPER",IQ_FY-4))</f>
        <v>-22.968</v>
      </c>
      <c r="K908" s="17">
        <f>IF(A911=A912,_xll.ciqfunctions.udf.CIQ(A903,"IQ_CAPEX",IQ_FY-5), _xll.ciqfunctions.udf.CIQ(A903, "IQ_CAPEX",IQ_FY-4))</f>
        <v>-35.850999999999999</v>
      </c>
      <c r="L908" s="15">
        <f t="shared" si="240"/>
        <v>-1.2403474465847584</v>
      </c>
      <c r="M908" s="17">
        <f>IF(A911=A912,_xll.ciqfunctions.udf.CIQ(A903,"IQ_TOTAL_DEBT_ISSUED",IQ_FY-5), _xll.ciqfunctions.udf.CIQ(A903, "IQ_TOTAL_DEBT_ISSUED",IQ_FY-4))</f>
        <v>10</v>
      </c>
      <c r="N908" s="17">
        <f>IF(A911=A912,_xll.ciqfunctions.udf.CIQ(A903,"IQ_TOTAL_DEBT_REPAID",IQ_FY-5), _xll.ciqfunctions.udf.CIQ(A903, "IQ_TOTAL_DEBT_REPAID",IQ_FY-4))</f>
        <v>-26.158000000000001</v>
      </c>
      <c r="O908" s="15">
        <f t="shared" si="241"/>
        <v>-0.34073231510084373</v>
      </c>
      <c r="P908" s="15">
        <f t="shared" si="242"/>
        <v>-1.581079761685602</v>
      </c>
      <c r="Q908" s="25" t="s">
        <v>27</v>
      </c>
      <c r="R908" s="38" t="s">
        <v>51</v>
      </c>
      <c r="S908" s="4">
        <f>AVERAGE(F908:F913)/AVERAGE(D908:D913)</f>
        <v>-0.17553660951781411</v>
      </c>
      <c r="U908" s="25" t="s">
        <v>58</v>
      </c>
      <c r="V908" s="38" t="s">
        <v>51</v>
      </c>
      <c r="W908" s="4">
        <f>AVERAGE(F908:F913)/AVERAGE(D908:D913)</f>
        <v>-0.17553660951781411</v>
      </c>
      <c r="Y908" s="25" t="s">
        <v>56</v>
      </c>
      <c r="Z908" s="38" t="s">
        <v>51</v>
      </c>
      <c r="AA908" s="4">
        <f>AVERAGE(F908:F913)/AVERAGE(D908:D913)</f>
        <v>-0.17553660951781411</v>
      </c>
    </row>
    <row r="909" spans="1:27">
      <c r="A909" s="18"/>
      <c r="B909" s="13">
        <v>7</v>
      </c>
      <c r="C909" s="14" t="s">
        <v>28</v>
      </c>
      <c r="D909" s="15" cm="1">
        <f t="array" ref="D909">_xlfn.SINGLE(IF(A911=A912,_xll.ciqfunctions.udf.CIQ(A903,"IQ_TOTAL_REV",IQ_FY-4)/I909, _xll.ciqfunctions.udf.CIQ(A903, "IQ_TOTAL_REV",IQ_FY-3)/I909))</f>
        <v>2.257896820747626</v>
      </c>
      <c r="E909" s="16">
        <f t="shared" si="243"/>
        <v>-0.57140784825944158</v>
      </c>
      <c r="F909" s="15">
        <f>IF(A911=A912,_xll.ciqfunctions.udf.CIQ(A903,"IQ_DILUT_EPS_EXCL",IQ_FY-4), _xll.ciqfunctions.udf.CIQ(A903, "IQ_DILUT_EPS_EXCL",IQ_FY-3))</f>
        <v>-0.95757000000000003</v>
      </c>
      <c r="G909" s="15">
        <f>IF(A911=A912,_xll.ciqfunctions.udf.CIQ(A903,"IQ_EBITDA_MARGIN",IQ_FY-4), _xll.ciqfunctions.udf.CIQ(A903, "IQ_EBITDA_MARGIN",IQ_FY-3))</f>
        <v>-26.744599999999998</v>
      </c>
      <c r="H909" s="15">
        <f>IF(A911=A912,_xll.ciqfunctions.udf.CIQ(A903,"IQ_TOTAL_DIV_PAID_CF",IQ_FY-4)/-I909, _xll.ciqfunctions.udf.CIQ(A903, "IQ_TOTAL_DIV_PAID_CF",IQ_FY-3)/-I909)</f>
        <v>0</v>
      </c>
      <c r="I909" s="17">
        <f>IF(A911=A912,_xll.ciqfunctions.udf.CIQ(A903,"IQ_TOTAL_OUTSTANDING_FILING_DATE",IQ_FY-4), _xll.ciqfunctions.udf.CIQ(A903, "IQ_TOTAL_OUTSTANDING_FILING_DATE",IQ_FY-3))</f>
        <v>213.21302</v>
      </c>
      <c r="J909" s="17">
        <f>IF(A911=A912,_xll.ciqfunctions.udf.CIQ(A903,"IQ_CASH_OPER",IQ_FY-4), _xll.ciqfunctions.udf.CIQ(A903, "IQ_CASH_OPER",IQ_FY-3))</f>
        <v>99.942999999999998</v>
      </c>
      <c r="K909" s="17">
        <f>IF(A911=A912,_xll.ciqfunctions.udf.CIQ(A903,"IQ_CAPEX",IQ_FY-4), _xll.ciqfunctions.udf.CIQ(A903, "IQ_CAPEX",IQ_FY-3))</f>
        <v>-80.197999999999993</v>
      </c>
      <c r="L909" s="15">
        <f t="shared" si="240"/>
        <v>9.2606914906040935E-2</v>
      </c>
      <c r="M909" s="17">
        <f>IF(A911=A912,_xll.ciqfunctions.udf.CIQ(A903,"IQ_TOTAL_DEBT_ISSUED",IQ_FY-4), _xll.ciqfunctions.udf.CIQ(A903, "IQ_TOTAL_DEBT_ISSUED",IQ_FY-3))</f>
        <v>0</v>
      </c>
      <c r="N909" s="17">
        <f>IF(A911=A912,_xll.ciqfunctions.udf.CIQ(A903,"IQ_TOTAL_DEBT_REPAID",IQ_FY-4), _xll.ciqfunctions.udf.CIQ(A903, "IQ_TOTAL_DEBT_REPAID",IQ_FY-3))</f>
        <v>0</v>
      </c>
      <c r="O909" s="15">
        <f t="shared" si="241"/>
        <v>0</v>
      </c>
      <c r="P909" s="15">
        <f t="shared" si="242"/>
        <v>9.2606914906040935E-2</v>
      </c>
      <c r="Q909" s="18"/>
      <c r="R909" s="38" t="s">
        <v>29</v>
      </c>
      <c r="S909" s="4">
        <f>(AVERAGE(P908:P913)/_xlfn.STDEV.P(P908:P913))/(IF(A911=A912,(_xlfn.SINGLE(_xll.ciqfunctions.udf.CIQ(A903,"IQ_total_assets",IQ_FY)) - _xlfn.SINGLE(_xll.ciqfunctions.udf.CIQ(A903,"iq_gw_intan", IQ_FY)))/I913, (_xlfn.SINGLE(_xll.ciqfunctions.udf.CIQ(A903, "IQ_total_assets",IQ_LTM))-_xlfn.SINGLE(_xll.ciqfunctions.udf.CIQ(A903,"iq_gw_intan",IQ_LTM)))/I913))</f>
        <v>4.4713927782927605E-2</v>
      </c>
      <c r="U909" s="18"/>
      <c r="V909" s="38" t="s">
        <v>29</v>
      </c>
      <c r="W909" s="4">
        <f>(AVERAGE(P908:P913)/_xlfn.STDEV.P(P908:P913))/(IF(A911=A912,(_xlfn.SINGLE(_xll.ciqfunctions.udf.CIQ(A903,"IQ_total_assets",IQ_FY)) - _xlfn.SINGLE(_xll.ciqfunctions.udf.CIQ(A903,"iq_gw_intan", IQ_FY)))/I913, (_xlfn.SINGLE(_xll.ciqfunctions.udf.CIQ(A903, "IQ_total_assets",IQ_LTM))-_xlfn.SINGLE(_xll.ciqfunctions.udf.CIQ(A903,"iq_gw_intan",IQ_LTM)))/I913))</f>
        <v>4.4713927782927605E-2</v>
      </c>
      <c r="Y909" s="18"/>
      <c r="Z909" s="38" t="s">
        <v>29</v>
      </c>
      <c r="AA909" s="4">
        <f>(AVERAGE(P908:P913)/_xlfn.STDEV.P(P908:P913))/(IF(A911=A912,(_xlfn.SINGLE(_xll.ciqfunctions.udf.CIQ(A903,"IQ_total_assets",IQ_FY)) - _xlfn.SINGLE(_xll.ciqfunctions.udf.CIQ(A903,"iq_gw_intan", IQ_FY)))/I913, (_xlfn.SINGLE(_xll.ciqfunctions.udf.CIQ(A903, "IQ_total_assets",IQ_LTM))-_xlfn.SINGLE(_xll.ciqfunctions.udf.CIQ(A903,"iq_gw_intan",IQ_LTM)))/I913))</f>
        <v>4.4713927782927605E-2</v>
      </c>
    </row>
    <row r="910" spans="1:27">
      <c r="A910" s="18"/>
      <c r="B910" s="13">
        <v>8</v>
      </c>
      <c r="C910" s="14" t="s">
        <v>30</v>
      </c>
      <c r="D910" s="15" cm="1">
        <f t="array" ref="D910">_xlfn.SINGLE(IF(A911=A912,_xll.ciqfunctions.udf.CIQ(A903,"IQ_TOTAL_REV",IQ_FY-3)/I910, _xll.ciqfunctions.udf.CIQ(A903, "IQ_TOTAL_REV",IQ_FY-2)/I910))</f>
        <v>3.9058992551375376</v>
      </c>
      <c r="E910" s="16">
        <f t="shared" si="243"/>
        <v>0.72988385441112913</v>
      </c>
      <c r="F910" s="15">
        <f>IF(A911=A912,_xll.ciqfunctions.udf.CIQ(A903,"IQ_DILUT_EPS_EXCL",IQ_FY-3), _xll.ciqfunctions.udf.CIQ(A903, "IQ_DILUT_EPS_EXCL",IQ_FY-2))</f>
        <v>-0.42537999999999998</v>
      </c>
      <c r="G910" s="15">
        <f>IF(A911=A912,_xll.ciqfunctions.udf.CIQ(A903,"IQ_EBITDA_MARGIN",IQ_FY-3), _xll.ciqfunctions.udf.CIQ(A903, "IQ_EBITDA_MARGIN",IQ_FY-2))</f>
        <v>-6.8925000000000001</v>
      </c>
      <c r="H910" s="15">
        <f>IF(A911=A912,_xll.ciqfunctions.udf.CIQ(A903,"IQ_TOTAL_DIV_PAID_CF",IQ_FY-3)/-I910, _xll.ciqfunctions.udf.CIQ(A903, "IQ_TOTAL_DIV_PAID_CF",IQ_FY-2)/-I910)</f>
        <v>0</v>
      </c>
      <c r="I910" s="17">
        <f>IF(A911=A912,_xll.ciqfunctions.udf.CIQ(A903,"IQ_TOTAL_OUTSTANDING_FILING_DATE",IQ_FY-3), _xll.ciqfunctions.udf.CIQ(A903, "IQ_TOTAL_OUTSTANDING_FILING_DATE",IQ_FY-2))</f>
        <v>223.87622999999999</v>
      </c>
      <c r="J910" s="17">
        <f>IF(A911=A912,_xll.ciqfunctions.udf.CIQ(A903,"IQ_CASH_OPER",IQ_FY-3), _xll.ciqfunctions.udf.CIQ(A903, "IQ_CASH_OPER",IQ_FY-2))</f>
        <v>356.56599999999997</v>
      </c>
      <c r="K910" s="17">
        <f>IF(A911=A912,_xll.ciqfunctions.udf.CIQ(A903,"IQ_CAPEX",IQ_FY-3), _xll.ciqfunctions.udf.CIQ(A903, "IQ_CAPEX",IQ_FY-2))</f>
        <v>-52.798999999999999</v>
      </c>
      <c r="L910" s="15">
        <f t="shared" si="240"/>
        <v>1.3568524000962496</v>
      </c>
      <c r="M910" s="17">
        <f>IF(A911=A912,_xll.ciqfunctions.udf.CIQ(A903,"IQ_TOTAL_DEBT_ISSUED",IQ_FY-3), _xll.ciqfunctions.udf.CIQ(A903, "IQ_TOTAL_DEBT_ISSUED",IQ_FY-2))</f>
        <v>739.56899999999996</v>
      </c>
      <c r="N910" s="17">
        <f>IF(A911=A912,_xll.ciqfunctions.udf.CIQ(A903,"IQ_TOTAL_DEBT_REPAID",IQ_FY-3), _xll.ciqfunctions.udf.CIQ(A903, "IQ_TOTAL_DEBT_REPAID",IQ_FY-2))</f>
        <v>0</v>
      </c>
      <c r="O910" s="15">
        <f t="shared" si="241"/>
        <v>3.3034726375372676</v>
      </c>
      <c r="P910" s="15">
        <f t="shared" si="242"/>
        <v>4.660325037633517</v>
      </c>
      <c r="Q910" s="18"/>
      <c r="R910" s="39" t="s">
        <v>31</v>
      </c>
      <c r="S910" s="5" t="e">
        <f>IF(NOT(D903&gt;0),FALSE,SLOPE(G903:G913,B903:B913))</f>
        <v>#DIV/0!</v>
      </c>
      <c r="U910" s="18"/>
      <c r="V910" s="39" t="s">
        <v>31</v>
      </c>
      <c r="W910" s="5" t="e">
        <f>IF(NOT(D903&gt;0),FALSE,SLOPE(G903:G913,B903:B913))</f>
        <v>#DIV/0!</v>
      </c>
      <c r="Y910" s="18"/>
      <c r="Z910" s="39" t="s">
        <v>31</v>
      </c>
      <c r="AA910" s="5" t="e">
        <f>IF(NOT(L903&gt;0),FALSE,SLOPE(O903:O913,J903:J913))</f>
        <v>#DIV/0!</v>
      </c>
    </row>
    <row r="911" spans="1:27">
      <c r="A911" s="19">
        <f>_xll.ciqfunctions.udf.CIQ(A903,"IQ_TOTAL_REV",IQ_FY)</f>
        <v>2241.2359999999999</v>
      </c>
      <c r="B911" s="13">
        <v>9</v>
      </c>
      <c r="C911" s="14" t="s">
        <v>32</v>
      </c>
      <c r="D911" s="15" cm="1">
        <f t="array" ref="D911">_xlfn.SINGLE(IF(A911=A912,_xll.ciqfunctions.udf.CIQ(A903,"IQ_TOTAL_REV",IQ_FY-2)/I911, _xll.ciqfunctions.udf.CIQ(A903, "IQ_TOTAL_REV",IQ_FY-1)/I911))</f>
        <v>6.2902780309181701</v>
      </c>
      <c r="E911" s="16">
        <f t="shared" si="243"/>
        <v>0.61045577984234822</v>
      </c>
      <c r="F911" s="15">
        <f>IF(A911=A912,_xll.ciqfunctions.udf.CIQ(A903,"IQ_DILUT_EPS_EXCL",IQ_FY-2), _xll.ciqfunctions.udf.CIQ(A903, "IQ_DILUT_EPS_EXCL",IQ_FY-1))</f>
        <v>-1.03372</v>
      </c>
      <c r="G911" s="15">
        <f>IF(A911=A912,_xll.ciqfunctions.udf.CIQ(A903,"IQ_EBITDA_MARGIN",IQ_FY-2), _xll.ciqfunctions.udf.CIQ(A903, "IQ_EBITDA_MARGIN",IQ_FY-1))</f>
        <v>-5.9340000000000002</v>
      </c>
      <c r="H911" s="15">
        <f>IF(A911=A912,_xll.ciqfunctions.udf.CIQ(A903,"IQ_TOTAL_DIV_PAID_CF",IQ_FY-2)/-I911, _xll.ciqfunctions.udf.CIQ(A903, "IQ_TOTAL_DIV_PAID_CF",IQ_FY-1)/-I911)</f>
        <v>0</v>
      </c>
      <c r="I911" s="17">
        <f>IF(A911=A912,_xll.ciqfunctions.udf.CIQ(A903,"IQ_TOTAL_OUTSTANDING_FILING_DATE",IQ_FY-2), _xll.ciqfunctions.udf.CIQ(A903, "IQ_TOTAL_OUTSTANDING_FILING_DATE",IQ_FY-1))</f>
        <v>230.76786000000001</v>
      </c>
      <c r="J911" s="17">
        <f>IF(A911=A912,_xll.ciqfunctions.udf.CIQ(A903,"IQ_CASH_OPER",IQ_FY-2), _xll.ciqfunctions.udf.CIQ(A903, "IQ_CASH_OPER",IQ_FY-1))</f>
        <v>574.78399999999999</v>
      </c>
      <c r="K911" s="17">
        <f>IF(A911=A912,_xll.ciqfunctions.udf.CIQ(A903,"IQ_CAPEX",IQ_FY-2), _xll.ciqfunctions.udf.CIQ(A903, "IQ_CAPEX",IQ_FY-1))</f>
        <v>-112.143</v>
      </c>
      <c r="L911" s="15">
        <f t="shared" si="240"/>
        <v>2.0047895751167424</v>
      </c>
      <c r="M911" s="17">
        <f>IF(A911=A912,_xll.ciqfunctions.udf.CIQ(A903,"IQ_TOTAL_DEBT_ISSUED",IQ_FY-2), _xll.ciqfunctions.udf.CIQ(A903, "IQ_TOTAL_DEBT_ISSUED",IQ_FY-1))</f>
        <v>0</v>
      </c>
      <c r="N911" s="17">
        <f>IF(A911=A912,_xll.ciqfunctions.udf.CIQ(A903,"IQ_TOTAL_DEBT_REPAID",IQ_FY-2), _xll.ciqfunctions.udf.CIQ(A903, "IQ_TOTAL_DEBT_REPAID",IQ_FY-1))</f>
        <v>0</v>
      </c>
      <c r="O911" s="15">
        <f t="shared" si="241"/>
        <v>0</v>
      </c>
      <c r="P911" s="15">
        <f t="shared" si="242"/>
        <v>2.0047895751167424</v>
      </c>
      <c r="Q911" s="25" t="s">
        <v>33</v>
      </c>
      <c r="R911" s="38" t="s">
        <v>52</v>
      </c>
      <c r="S911" s="4">
        <f>(AVERAGE(O908:O913)/AVERAGE(P908:P913))</f>
        <v>0.25241448977483893</v>
      </c>
      <c r="U911" s="25" t="s">
        <v>54</v>
      </c>
      <c r="V911" s="38" t="s">
        <v>52</v>
      </c>
      <c r="W911" s="4">
        <f>(AVERAGE(O908:O913)/AVERAGE(P908:P913))</f>
        <v>0.25241448977483893</v>
      </c>
      <c r="Y911" s="25" t="s">
        <v>60</v>
      </c>
      <c r="Z911" s="38" t="s">
        <v>52</v>
      </c>
      <c r="AA911" s="4">
        <f>(AVERAGE(O908:O913)/AVERAGE(P908:P913))</f>
        <v>0.25241448977483893</v>
      </c>
    </row>
    <row r="912" spans="1:27">
      <c r="A912" s="19">
        <f>_xll.ciqfunctions.udf.CIQ(A903,"IQ_TOTAL_REV",IQ_LTM)</f>
        <v>2642.4549999999999</v>
      </c>
      <c r="B912" s="13">
        <v>10</v>
      </c>
      <c r="C912" s="14" t="s">
        <v>34</v>
      </c>
      <c r="D912" s="15" cm="1">
        <f t="array" ref="D912">_xlfn.SINGLE(IF(A911=A912,_xll.ciqfunctions.udf.CIQ(A903,"IQ_TOTAL_REV",IQ_FY-1)/I912, _xll.ciqfunctions.udf.CIQ(A903, "IQ_TOTAL_REV",IQ_FY)/I912))</f>
        <v>9.5022389810330932</v>
      </c>
      <c r="E912" s="16">
        <f t="shared" si="243"/>
        <v>0.51062304946258219</v>
      </c>
      <c r="F912" s="15">
        <f>IF(A911=A912,_xll.ciqfunctions.udf.CIQ(A903,"IQ_DILUT_EPS_EXCL",IQ_FY-1), _xll.ciqfunctions.udf.CIQ(A903, "IQ_DILUT_EPS_EXCL",IQ_FY))</f>
        <v>-0.78598999999999997</v>
      </c>
      <c r="G912" s="15">
        <f>IF(A911=A912,_xll.ciqfunctions.udf.CIQ(A903,"IQ_EBITDA_MARGIN",IQ_FY-1), _xll.ciqfunctions.udf.CIQ(A903, "IQ_EBITDA_MARGIN",IQ_FY))</f>
        <v>-5.2561</v>
      </c>
      <c r="H912" s="15">
        <f>IF(A911=A912,_xll.ciqfunctions.udf.CIQ(A903,"IQ_TOTAL_DIV_PAID_CF",IQ_FY-1)/-I912, _xll.ciqfunctions.udf.CIQ(A903, "IQ_TOTAL_DIV_PAID_CF",IQ_FY)/-I912)</f>
        <v>0</v>
      </c>
      <c r="I912" s="17">
        <f>IF(A911=A912,_xll.ciqfunctions.udf.CIQ(A903,"IQ_TOTAL_OUTSTANDING_FILING_DATE",IQ_FY-1), _xll.ciqfunctions.udf.CIQ(A903, "IQ_TOTAL_OUTSTANDING_FILING_DATE",IQ_FY))</f>
        <v>235.86399</v>
      </c>
      <c r="J912" s="17">
        <f>IF(A911=A912,_xll.ciqfunctions.udf.CIQ(A903,"IQ_CASH_OPER",IQ_FY-1), _xll.ciqfunctions.udf.CIQ(A903, "IQ_CASH_OPER",IQ_FY))</f>
        <v>941.00699999999995</v>
      </c>
      <c r="K912" s="17">
        <f>IF(A911=A912,_xll.ciqfunctions.udf.CIQ(A903,"IQ_CAPEX",IQ_FY-1), _xll.ciqfunctions.udf.CIQ(A903, "IQ_CAPEX",IQ_FY))</f>
        <v>-235.01900000000001</v>
      </c>
      <c r="L912" s="15">
        <f t="shared" si="240"/>
        <v>2.9931995977851469</v>
      </c>
      <c r="M912" s="17">
        <f>IF(A911=A912,_xll.ciqfunctions.udf.CIQ(A903,"IQ_TOTAL_DEBT_ISSUED",IQ_FY-1), _xll.ciqfunctions.udf.CIQ(A903, "IQ_TOTAL_DEBT_ISSUED",IQ_FY))</f>
        <v>0</v>
      </c>
      <c r="N912" s="17">
        <f>IF(A911=A912,_xll.ciqfunctions.udf.CIQ(A903,"IQ_TOTAL_DEBT_REPAID",IQ_FY-1), _xll.ciqfunctions.udf.CIQ(A903, "IQ_TOTAL_DEBT_REPAID",IQ_FY))</f>
        <v>-1.591</v>
      </c>
      <c r="O912" s="15">
        <f t="shared" si="241"/>
        <v>-6.7454128966443752E-3</v>
      </c>
      <c r="P912" s="15">
        <f t="shared" si="242"/>
        <v>2.9864541848885024</v>
      </c>
      <c r="Q912" s="25" t="s">
        <v>44</v>
      </c>
      <c r="R912" s="38" t="s">
        <v>35</v>
      </c>
      <c r="S912" s="1" t="str">
        <f>_xll.ciqfunctions.udf.CIQ(A903,"IQ_TEV_EBITDA")</f>
        <v>NM</v>
      </c>
      <c r="U912" s="25" t="s">
        <v>55</v>
      </c>
      <c r="V912" s="38" t="s">
        <v>53</v>
      </c>
      <c r="W912" s="1">
        <f>V902/(AVERAGE(D908:D913)/_xlfn.STDEV.P(E908:E913))</f>
        <v>16.428055079743476</v>
      </c>
      <c r="Y912" s="25" t="s">
        <v>57</v>
      </c>
      <c r="Z912" s="38" t="s">
        <v>53</v>
      </c>
      <c r="AA912" s="1">
        <f>Z902/(AVERAGE(D908:D913)/_xlfn.STDEV.P(E908:E913))</f>
        <v>16.428055079743476</v>
      </c>
    </row>
    <row r="913" spans="1:27">
      <c r="B913" s="13">
        <v>11</v>
      </c>
      <c r="C913" s="20" t="s">
        <v>36</v>
      </c>
      <c r="D913" s="21" cm="1">
        <f t="array" ref="D913">_xlfn.SINGLE(IF(A911=A912,_xll.ciqfunctions.udf.CIQ(A903,"IQ_TOTAL_REV",IQ_FY)/I913, _xll.ciqfunctions.udf.CIQ(A903, "IQ_TOTAL_REV",IQ_LTM)/I913))</f>
        <v>11.066103768946707</v>
      </c>
      <c r="E913" s="22">
        <f t="shared" si="243"/>
        <v>0.16457855785727554</v>
      </c>
      <c r="F913" s="21">
        <f>IF(A911=A912,_xll.ciqfunctions.udf.CIQ(A903,"IQ_DILUT_EPS_EXCL",IQ_FY), _xll.ciqfunctions.udf.CIQ(A903, "IQ_DILUT_EPS_EXCL",IQ_LTM))</f>
        <v>-0.39640999999999998</v>
      </c>
      <c r="G913" s="21">
        <f>IF(A911=A912,_xll.ciqfunctions.udf.CIQ(A903,"IQ_EBITDA_MARGIN",IQ_FY), _xll.ciqfunctions.udf.CIQ(A903, "IQ_EBITDA_MARGIN",IQ_LTM))</f>
        <v>-2.4605000000000001</v>
      </c>
      <c r="H913" s="21">
        <f>IF(A911=A912,_xll.ciqfunctions.udf.CIQ(A903,"IQ_TOTAL_DIV_PAID_CF",IQ_FY)/-I913, _xll.ciqfunctions.udf.CIQ(A903, "IQ_TOTAL_DIV_PAID_CF",IQ_LTM)/-I913)</f>
        <v>0</v>
      </c>
      <c r="I913" s="23">
        <f>IF(A911=A912,_xll.ciqfunctions.udf.CIQ(A903,"IQ_TOTAL_OUTSTANDING_FILING_DATE",IQ_FY),_xll.ciqfunctions.udf.CIQ(A903,"IQ_sharesoutstanding"))</f>
        <v>238.78819999999999</v>
      </c>
      <c r="J913" s="23">
        <f>IF(A911=A912,_xll.ciqfunctions.udf.CIQ(A903,"IQ_CASH_OPER",IQ_FY), _xll.ciqfunctions.udf.CIQ(A903, "IQ_CASH_OPER",IQ_LTM))</f>
        <v>1061.817</v>
      </c>
      <c r="K913" s="23">
        <f>IF(A911=A912,_xll.ciqfunctions.udf.CIQ(A903,"IQ_CAPEX",IQ_FY), _xll.ciqfunctions.udf.CIQ(A903, "IQ_CAPEX",IQ_LTM))</f>
        <v>-219.36099999999999</v>
      </c>
      <c r="L913" s="21">
        <f t="shared" si="240"/>
        <v>3.5280470307996796</v>
      </c>
      <c r="M913" s="23">
        <f>IF(A911=A912,_xll.ciqfunctions.udf.CIQ(A903,"IQ_TOTAL_DEBT_ISSUED",IQ_FY), _xll.ciqfunctions.udf.CIQ(A903, "IQ_TOTAL_DEBT_ISSUED",IQ_LTM))</f>
        <v>0</v>
      </c>
      <c r="N913" s="23">
        <f>IF(A911=A912,_xll.ciqfunctions.udf.CIQ(A903,"IQ_TOTAL_DEBT_REPAID",IQ_FY), _xll.ciqfunctions.udf.CIQ(A903, "IQ_TOTAL_DEBT_REPAID",IQ_LTM))</f>
        <v>-1.591</v>
      </c>
      <c r="O913" s="21">
        <f t="shared" si="241"/>
        <v>-6.6628082962223428E-3</v>
      </c>
      <c r="P913" s="21">
        <f t="shared" si="242"/>
        <v>3.5213842225034573</v>
      </c>
      <c r="Q913" s="25" t="s">
        <v>45</v>
      </c>
      <c r="S913" s="45"/>
      <c r="U913" s="25"/>
      <c r="W913" s="45"/>
      <c r="Y913" s="25"/>
      <c r="AA913" s="45"/>
    </row>
    <row r="914" spans="1:27">
      <c r="B914" s="24"/>
      <c r="C914" s="25" t="s">
        <v>37</v>
      </c>
      <c r="E914" s="26">
        <f>((D913/D908)^(1/5))-1</f>
        <v>0.16002399343610785</v>
      </c>
      <c r="F914" s="27">
        <f>((F913/F908)^(1/5))-1</f>
        <v>-0.33819025165505434</v>
      </c>
      <c r="G914" s="28"/>
      <c r="H914" s="27" t="e">
        <f>((H913/H908)^(1/5))-1</f>
        <v>#DIV/0!</v>
      </c>
      <c r="I914" s="27">
        <f>((I913/I908)^(1/5))-1</f>
        <v>0.38168078025164975</v>
      </c>
      <c r="J914" s="27"/>
      <c r="K914" s="27"/>
      <c r="L914" s="26">
        <f>((L913/L908)^(1/5))-1</f>
        <v>-2.2325319948533013</v>
      </c>
      <c r="M914" s="26"/>
      <c r="N914" s="26"/>
      <c r="O914" s="26"/>
      <c r="P914" s="26">
        <f>((P913/P908)^(1/5))-1</f>
        <v>-2.173686007141717</v>
      </c>
      <c r="Q914" s="18"/>
      <c r="R914" s="36"/>
      <c r="S914" s="45"/>
      <c r="U914" s="18"/>
      <c r="V914" s="36"/>
      <c r="W914" s="45"/>
      <c r="Y914" s="18"/>
      <c r="Z914" s="36"/>
      <c r="AA914" s="45"/>
    </row>
    <row r="915" spans="1:27">
      <c r="A915" s="29"/>
      <c r="B915" s="30"/>
      <c r="C915" s="31" t="s">
        <v>38</v>
      </c>
      <c r="D915" s="29"/>
      <c r="E915" s="32" t="e">
        <f>((D913/D903)^(1/10))-1</f>
        <v>#DIV/0!</v>
      </c>
      <c r="F915" s="33" t="e">
        <f>((F913/F903)^(1/10))-1</f>
        <v>#DIV/0!</v>
      </c>
      <c r="G915" s="34"/>
      <c r="H915" s="33" t="e">
        <f>((H913/H903)^(1/10))-1</f>
        <v>#DIV/0!</v>
      </c>
      <c r="I915" s="33" t="e">
        <f>((I913/I903)^(1/10))-1</f>
        <v>#DIV/0!</v>
      </c>
      <c r="J915" s="33"/>
      <c r="K915" s="33"/>
      <c r="L915" s="32" t="e">
        <f>((L913/L903)^(1/10))-1</f>
        <v>#DIV/0!</v>
      </c>
      <c r="M915" s="32"/>
      <c r="N915" s="32"/>
      <c r="O915" s="32"/>
      <c r="P915" s="32" t="e">
        <f>((P913/P903)^(1/10))-1</f>
        <v>#DIV/0!</v>
      </c>
      <c r="Q915" s="40"/>
      <c r="R915" s="41"/>
      <c r="S915" s="46"/>
      <c r="U915" s="40"/>
      <c r="V915" s="41"/>
      <c r="W915" s="46"/>
      <c r="Y915" s="40"/>
      <c r="Z915" s="41"/>
      <c r="AA915" s="46"/>
    </row>
    <row r="916" spans="1:27">
      <c r="B916" s="24"/>
      <c r="C916" s="25"/>
      <c r="E916" s="26"/>
      <c r="F916" s="27"/>
      <c r="G916" s="28"/>
      <c r="H916" s="27"/>
      <c r="I916" s="27"/>
      <c r="J916" s="27"/>
      <c r="K916" s="27"/>
      <c r="L916" s="26"/>
      <c r="M916" s="17"/>
      <c r="N916" s="17"/>
      <c r="O916" s="17"/>
      <c r="P916" s="35"/>
      <c r="Q916" s="18"/>
      <c r="R916" s="36"/>
    </row>
    <row r="917" spans="1:27">
      <c r="A917" s="9" t="s">
        <v>0</v>
      </c>
      <c r="B917" s="10"/>
      <c r="C917" s="9" t="s">
        <v>1</v>
      </c>
      <c r="D917" s="9" t="s">
        <v>2</v>
      </c>
      <c r="E917" s="9" t="s">
        <v>3</v>
      </c>
      <c r="F917" s="11" t="s">
        <v>4</v>
      </c>
      <c r="G917" s="11" t="s">
        <v>5</v>
      </c>
      <c r="H917" s="9" t="s">
        <v>6</v>
      </c>
      <c r="I917" s="11" t="s">
        <v>7</v>
      </c>
      <c r="J917" s="11" t="s">
        <v>8</v>
      </c>
      <c r="K917" s="11" t="s">
        <v>9</v>
      </c>
      <c r="L917" s="11" t="s">
        <v>10</v>
      </c>
      <c r="M917" s="11" t="s">
        <v>11</v>
      </c>
      <c r="N917" s="11" t="s">
        <v>12</v>
      </c>
      <c r="O917" s="11" t="s">
        <v>13</v>
      </c>
      <c r="P917" s="11" t="s">
        <v>14</v>
      </c>
      <c r="Q917" s="37" t="s">
        <v>15</v>
      </c>
      <c r="R917" s="42">
        <f>_xll.ciqfunctions.udf.CIQ(A918,("IQ_LASTSALEPRICE"))</f>
        <v>469.81</v>
      </c>
      <c r="S917" s="44"/>
      <c r="U917" s="37" t="s">
        <v>15</v>
      </c>
      <c r="V917" s="42">
        <f>_xll.ciqfunctions.udf.CIQ(A918,("IQ_LASTSALEPRICE"))</f>
        <v>469.81</v>
      </c>
      <c r="W917" s="44"/>
      <c r="Y917" s="37" t="s">
        <v>15</v>
      </c>
      <c r="Z917" s="42">
        <f>_xll.ciqfunctions.udf.CIQ(A918,("IQ_LASTSALEPRICE"))</f>
        <v>469.81</v>
      </c>
      <c r="AA917" s="44"/>
    </row>
    <row r="918" spans="1:27">
      <c r="A918" s="12" t="str">
        <f>Analysis!B63</f>
        <v>NYSE:HUBS</v>
      </c>
      <c r="B918" s="13">
        <v>1</v>
      </c>
      <c r="C918" s="14" t="s">
        <v>16</v>
      </c>
      <c r="D918" s="15">
        <f>IF(A926=A927,_xll.ciqfunctions.udf.CIQ(A918,"IQ_TOTAL_REV",IQ_FY-10)/I918,_xll.ciqfunctions.udf.CIQ(A918, "IQ_TOTAL_REV",IQ_FY-9)/I918)</f>
        <v>13.691387374168471</v>
      </c>
      <c r="E918" s="16"/>
      <c r="F918" s="15">
        <f>IF(A926=A927,_xll.ciqfunctions.udf.CIQ(A918,"IQ_DILUT_EPS_EXCL",IQ_FY-10), _xll.ciqfunctions.udf.CIQ(A918, "IQ_DILUT_EPS_EXCL",IQ_FY-9))</f>
        <v>-6.71387</v>
      </c>
      <c r="G918" s="15">
        <f>IF(A926=A927,_xll.ciqfunctions.udf.CIQ(A918,"IQ_EBITDA_MARGIN",IQ_FY-10), _xll.ciqfunctions.udf.CIQ(A918, "IQ_EBITDA_MARGIN",IQ_FY-9))</f>
        <v>-42.168300000000002</v>
      </c>
      <c r="H918" s="15">
        <f>IF(A926=A927,_xll.ciqfunctions.udf.CIQ(A918,"IQ_TOTAL_DIV_PAID_CF",IQ_FY-10)/-I918, _xll.ciqfunctions.udf.CIQ(A918, "IQ_TOTAL_DIV_PAID_CF",IQ_FY-9)/-I918)</f>
        <v>0</v>
      </c>
      <c r="I918" s="17">
        <f>IF(A926=A927,_xll.ciqfunctions.udf.CIQ(A918,"IQ_TOTAL_OUTSTANDING_FILING_DATE",IQ_FY-10), _xll.ciqfunctions.udf.CIQ(A918, "IQ_TOTAL_OUTSTANDING_FILING_DATE",IQ_FY-9))</f>
        <v>5.67028</v>
      </c>
      <c r="J918" s="17">
        <f>IF(A926=A927,_xll.ciqfunctions.udf.CIQ(A918,"IQ_CASH_OPER",IQ_FY-10), _xll.ciqfunctions.udf.CIQ(A918, "IQ_CASH_OPER",IQ_FY-9))</f>
        <v>-19.808</v>
      </c>
      <c r="K918" s="17">
        <f>IF(A926=A927,_xll.ciqfunctions.udf.CIQ(A918,"IQ_CAPEX",IQ_FY-10), _xll.ciqfunctions.udf.CIQ(A918, "IQ_CAPEX",IQ_FY-9))</f>
        <v>-4.3579999999999997</v>
      </c>
      <c r="L918" s="15">
        <f t="shared" ref="L918:L928" si="244">(J918+K918)/I918</f>
        <v>-4.261870665998857</v>
      </c>
      <c r="M918" s="17">
        <f>IF(A926=A927,_xll.ciqfunctions.udf.CIQ(A918,"IQ_TOTAL_DEBT_ISSUED",IQ_FY-10), _xll.ciqfunctions.udf.CIQ(A918, "IQ_TOTAL_DEBT_ISSUED",IQ_FY-9))</f>
        <v>0</v>
      </c>
      <c r="N918" s="17">
        <f>IF(A926=A927,_xll.ciqfunctions.udf.CIQ(A918,"IQ_TOTAL_DEBT_REPAID",IQ_FY-10), _xll.ciqfunctions.udf.CIQ(A918, "IQ_TOTAL_DEBT_REPAID",IQ_FY-9))</f>
        <v>-0.107</v>
      </c>
      <c r="O918" s="15">
        <f t="shared" ref="O918:O928" si="245">(M918+N918)/I918</f>
        <v>-1.8870320336914579E-2</v>
      </c>
      <c r="P918" s="15">
        <f t="shared" ref="P918:P928" si="246">L918+O918</f>
        <v>-4.2807409863357719</v>
      </c>
      <c r="W918" s="43"/>
      <c r="AA918" s="43"/>
    </row>
    <row r="919" spans="1:27">
      <c r="A919" s="18" t="str">
        <f>_xll.ciqfunctions.udf.CIQ(A918,"IQ_COMPANY_NAME")</f>
        <v>HubSpot, Inc.</v>
      </c>
      <c r="B919" s="13">
        <v>2</v>
      </c>
      <c r="C919" s="14" t="s">
        <v>17</v>
      </c>
      <c r="D919" s="15">
        <f>IF(A926=A927,_xll.ciqfunctions.udf.CIQ(A918,"IQ_TOTAL_REV",IQ_FY-9)/I919, _xll.ciqfunctions.udf.CIQ(A918, "IQ_TOTAL_REV",IQ_FY-8)/I919)</f>
        <v>3.5896293675770439</v>
      </c>
      <c r="E919" s="16">
        <f t="shared" ref="E919:E928" si="247">(D919-D918)/D918</f>
        <v>-0.73781843508791567</v>
      </c>
      <c r="F919" s="15">
        <f>IF(A926=A927,_xll.ciqfunctions.udf.CIQ(A918,"IQ_DILUT_EPS_EXCL",IQ_FY-9), _xll.ciqfunctions.udf.CIQ(A918, "IQ_DILUT_EPS_EXCL",IQ_FY-8))</f>
        <v>-4.2</v>
      </c>
      <c r="G919" s="15">
        <f>IF(A926=A927,_xll.ciqfunctions.udf.CIQ(A918,"IQ_EBITDA_MARGIN",IQ_FY-9), _xll.ciqfunctions.udf.CIQ(A918, "IQ_EBITDA_MARGIN",IQ_FY-8))</f>
        <v>-40.383600000000001</v>
      </c>
      <c r="H919" s="15">
        <f>IF(A926=A927,_xll.ciqfunctions.udf.CIQ(A918,"IQ_TOTAL_DIV_PAID_CF",IQ_FY-9)/-I919, _xll.ciqfunctions.udf.CIQ(A918, "IQ_TOTAL_DIV_PAID_CF",IQ_FY-8)/-I919)</f>
        <v>0</v>
      </c>
      <c r="I919" s="17">
        <f>IF(A926=A927,_xll.ciqfunctions.udf.CIQ(A918,"IQ_TOTAL_OUTSTANDING_FILING_DATE",IQ_FY-9), _xll.ciqfunctions.udf.CIQ(A918, "IQ_TOTAL_OUTSTANDING_FILING_DATE",IQ_FY-8))</f>
        <v>32.280769999999997</v>
      </c>
      <c r="J919" s="17">
        <f>IF(A926=A927,_xll.ciqfunctions.udf.CIQ(A918,"IQ_CASH_OPER",IQ_FY-9), _xll.ciqfunctions.udf.CIQ(A918, "IQ_CASH_OPER",IQ_FY-8))</f>
        <v>-12.464</v>
      </c>
      <c r="K919" s="17">
        <f>IF(A926=A927,_xll.ciqfunctions.udf.CIQ(A918,"IQ_CAPEX",IQ_FY-9), _xll.ciqfunctions.udf.CIQ(A918, "IQ_CAPEX",IQ_FY-8))</f>
        <v>-7.266</v>
      </c>
      <c r="L919" s="15">
        <f t="shared" si="244"/>
        <v>-0.61119979480043385</v>
      </c>
      <c r="M919" s="17">
        <f>IF(A926=A927,_xll.ciqfunctions.udf.CIQ(A918,"IQ_TOTAL_DEBT_ISSUED",IQ_FY-9), _xll.ciqfunctions.udf.CIQ(A918, "IQ_TOTAL_DEBT_ISSUED",IQ_FY-8))</f>
        <v>18</v>
      </c>
      <c r="N919" s="17">
        <f>IF(A926=A927,_xll.ciqfunctions.udf.CIQ(A918,"IQ_TOTAL_DEBT_REPAID",IQ_FY-9), _xll.ciqfunctions.udf.CIQ(A918, "IQ_TOTAL_DEBT_REPAID",IQ_FY-8))</f>
        <v>-18.120999999999999</v>
      </c>
      <c r="O919" s="15">
        <f t="shared" si="245"/>
        <v>-3.7483616406919253E-3</v>
      </c>
      <c r="P919" s="15">
        <f t="shared" si="246"/>
        <v>-0.61494815644112577</v>
      </c>
      <c r="Q919" s="25" t="s">
        <v>18</v>
      </c>
      <c r="R919" s="39" t="s">
        <v>19</v>
      </c>
      <c r="S919" s="1">
        <f>R917/((AVERAGE(P923:P928))*(1+E929)^3)</f>
        <v>67.212811856925669</v>
      </c>
      <c r="U919" s="25" t="s">
        <v>48</v>
      </c>
      <c r="V919" s="39" t="s">
        <v>19</v>
      </c>
      <c r="W919" s="1">
        <f>V917/((AVERAGE(P923:P928))*(1+E929)^3)</f>
        <v>67.212811856925669</v>
      </c>
      <c r="Y919" s="25" t="s">
        <v>39</v>
      </c>
      <c r="Z919" s="39" t="s">
        <v>19</v>
      </c>
      <c r="AA919" s="1">
        <f>Z917/((AVERAGE(P923:P928))*(1+E929)^3)</f>
        <v>67.212811856925669</v>
      </c>
    </row>
    <row r="920" spans="1:27">
      <c r="B920" s="13">
        <v>3</v>
      </c>
      <c r="C920" s="14" t="s">
        <v>20</v>
      </c>
      <c r="D920" s="15" cm="1">
        <f t="array" ref="D920">_xlfn.SINGLE(IF(A926=A927,_xll.ciqfunctions.udf.CIQ(A918,"IQ_TOTAL_REV",IQ_FY-8)/I920, _xll.ciqfunctions.udf.CIQ(A918, "IQ_TOTAL_REV",IQ_FY-7)/I920))</f>
        <v>5.2421554083002402</v>
      </c>
      <c r="E920" s="16">
        <f t="shared" si="247"/>
        <v>0.46036118816317556</v>
      </c>
      <c r="F920" s="15">
        <f>IF(A926=A927,_xll.ciqfunctions.udf.CIQ(A918,"IQ_DILUT_EPS_EXCL",IQ_FY-8), _xll.ciqfunctions.udf.CIQ(A918, "IQ_DILUT_EPS_EXCL",IQ_FY-7))</f>
        <v>-1.39</v>
      </c>
      <c r="G920" s="15">
        <f>IF(A926=A927,_xll.ciqfunctions.udf.CIQ(A918,"IQ_EBITDA_MARGIN",IQ_FY-8), _xll.ciqfunctions.udf.CIQ(A918, "IQ_EBITDA_MARGIN",IQ_FY-7))</f>
        <v>-24.035499999999999</v>
      </c>
      <c r="H920" s="15">
        <f>IF(A926=A927,_xll.ciqfunctions.udf.CIQ(A918,"IQ_TOTAL_DIV_PAID_CF",IQ_FY-8)/-I920, _xll.ciqfunctions.udf.CIQ(A918, "IQ_TOTAL_DIV_PAID_CF",IQ_FY-7)/-I920)</f>
        <v>0</v>
      </c>
      <c r="I920" s="17">
        <f>IF(A926=A927,_xll.ciqfunctions.udf.CIQ(A918,"IQ_TOTAL_OUTSTANDING_FILING_DATE",IQ_FY-8), _xll.ciqfunctions.udf.CIQ(A918, "IQ_TOTAL_OUTSTANDING_FILING_DATE",IQ_FY-7))</f>
        <v>34.70767</v>
      </c>
      <c r="J920" s="17">
        <f>IF(A926=A927,_xll.ciqfunctions.udf.CIQ(A918,"IQ_CASH_OPER",IQ_FY-8), _xll.ciqfunctions.udf.CIQ(A918, "IQ_CASH_OPER",IQ_FY-7))</f>
        <v>-0.42299999999999999</v>
      </c>
      <c r="K920" s="17">
        <f>IF(A926=A927,_xll.ciqfunctions.udf.CIQ(A918,"IQ_CAPEX",IQ_FY-8), _xll.ciqfunctions.udf.CIQ(A918, "IQ_CAPEX",IQ_FY-7))</f>
        <v>-8.4269999999999996</v>
      </c>
      <c r="L920" s="15">
        <f t="shared" si="244"/>
        <v>-0.25498686601549453</v>
      </c>
      <c r="M920" s="17">
        <f>IF(A926=A927,_xll.ciqfunctions.udf.CIQ(A918,"IQ_TOTAL_DEBT_ISSUED",IQ_FY-8), _xll.ciqfunctions.udf.CIQ(A918, "IQ_TOTAL_DEBT_ISSUED",IQ_FY-7))</f>
        <v>0</v>
      </c>
      <c r="N920" s="17">
        <f>IF(A926=A927,_xll.ciqfunctions.udf.CIQ(A918,"IQ_TOTAL_DEBT_REPAID",IQ_FY-8), _xll.ciqfunctions.udf.CIQ(A918, "IQ_TOTAL_DEBT_REPAID",IQ_FY-7))</f>
        <v>-0.20599999999999999</v>
      </c>
      <c r="O920" s="15">
        <f t="shared" si="245"/>
        <v>-5.9352875027335449E-3</v>
      </c>
      <c r="P920" s="15">
        <f t="shared" si="246"/>
        <v>-0.26092215351822806</v>
      </c>
      <c r="Q920" s="25" t="s">
        <v>21</v>
      </c>
      <c r="R920" s="38" t="s">
        <v>49</v>
      </c>
      <c r="S920" s="2">
        <f>(R917*I928)/1000</f>
        <v>23.645790997399999</v>
      </c>
      <c r="U920" s="25" t="s">
        <v>59</v>
      </c>
      <c r="V920" s="38" t="s">
        <v>49</v>
      </c>
      <c r="W920" s="2">
        <f>(V917*I928)/1000</f>
        <v>23.645790997399999</v>
      </c>
      <c r="Y920" s="25" t="s">
        <v>46</v>
      </c>
      <c r="Z920" s="38" t="s">
        <v>49</v>
      </c>
      <c r="AA920" s="2">
        <f>(Z917*I928)/1000</f>
        <v>23.645790997399999</v>
      </c>
    </row>
    <row r="921" spans="1:27">
      <c r="A921" s="18"/>
      <c r="B921" s="13">
        <v>4</v>
      </c>
      <c r="C921" s="14" t="s">
        <v>22</v>
      </c>
      <c r="D921" s="15" cm="1">
        <f t="array" ref="D921">_xlfn.SINGLE(IF(A926=A927,_xll.ciqfunctions.udf.CIQ(A918,"IQ_TOTAL_REV",IQ_FY-7)/I921, _xll.ciqfunctions.udf.CIQ(A918, "IQ_TOTAL_REV",IQ_FY-6)/I921))</f>
        <v>7.493684902783178</v>
      </c>
      <c r="E921" s="16">
        <f t="shared" si="247"/>
        <v>0.42950452993399374</v>
      </c>
      <c r="F921" s="15">
        <f>IF(A926=A927,_xll.ciqfunctions.udf.CIQ(A918,"IQ_DILUT_EPS_EXCL",IQ_FY-7), _xll.ciqfunctions.udf.CIQ(A918, "IQ_DILUT_EPS_EXCL",IQ_FY-6))</f>
        <v>-1.2944899999999999</v>
      </c>
      <c r="G921" s="15">
        <f>IF(A926=A927,_xll.ciqfunctions.udf.CIQ(A918,"IQ_EBITDA_MARGIN",IQ_FY-7), _xll.ciqfunctions.udf.CIQ(A918, "IQ_EBITDA_MARGIN",IQ_FY-6))</f>
        <v>-14.239699999999999</v>
      </c>
      <c r="H921" s="15">
        <f>IF(A926=A927,_xll.ciqfunctions.udf.CIQ(A918,"IQ_TOTAL_DIV_PAID_CF",IQ_FY-7)/-I921, _xll.ciqfunctions.udf.CIQ(A918, "IQ_TOTAL_DIV_PAID_CF",IQ_FY-6)/-I921)</f>
        <v>0</v>
      </c>
      <c r="I921" s="17">
        <f>IF(A926=A927,_xll.ciqfunctions.udf.CIQ(A918,"IQ_TOTAL_OUTSTANDING_FILING_DATE",IQ_FY-7), _xll.ciqfunctions.udf.CIQ(A918, "IQ_TOTAL_OUTSTANDING_FILING_DATE",IQ_FY-6))</f>
        <v>36.159379999999999</v>
      </c>
      <c r="J921" s="17">
        <f>IF(A926=A927,_xll.ciqfunctions.udf.CIQ(A918,"IQ_CASH_OPER",IQ_FY-7), _xll.ciqfunctions.udf.CIQ(A918, "IQ_CASH_OPER",IQ_FY-6))</f>
        <v>19.366</v>
      </c>
      <c r="K921" s="17">
        <f>IF(A926=A927,_xll.ciqfunctions.udf.CIQ(A918,"IQ_CAPEX",IQ_FY-7), _xll.ciqfunctions.udf.CIQ(A918, "IQ_CAPEX",IQ_FY-6))</f>
        <v>-15.789</v>
      </c>
      <c r="L921" s="15">
        <f t="shared" si="244"/>
        <v>9.8923156315180186E-2</v>
      </c>
      <c r="M921" s="17">
        <f>IF(A926=A927,_xll.ciqfunctions.udf.CIQ(A918,"IQ_TOTAL_DEBT_ISSUED",IQ_FY-7), _xll.ciqfunctions.udf.CIQ(A918, "IQ_TOTAL_DEBT_ISSUED",IQ_FY-6))</f>
        <v>0</v>
      </c>
      <c r="N921" s="17">
        <f>IF(A926=A927,_xll.ciqfunctions.udf.CIQ(A918,"IQ_TOTAL_DEBT_REPAID",IQ_FY-7), _xll.ciqfunctions.udf.CIQ(A918, "IQ_TOTAL_DEBT_REPAID",IQ_FY-6))</f>
        <v>-0.74299999999999999</v>
      </c>
      <c r="O921" s="15">
        <f t="shared" si="245"/>
        <v>-2.0547918686658898E-2</v>
      </c>
      <c r="P921" s="15">
        <f t="shared" si="246"/>
        <v>7.8375237628521291E-2</v>
      </c>
      <c r="Q921" s="25" t="s">
        <v>23</v>
      </c>
      <c r="R921" s="38" t="s">
        <v>24</v>
      </c>
      <c r="S921" s="1" t="e">
        <f>R917/(AVERAGE(H923:H928)*(1+H929)/(0.5-H929))</f>
        <v>#DIV/0!</v>
      </c>
      <c r="U921" s="25" t="s">
        <v>40</v>
      </c>
      <c r="V921" s="38" t="s">
        <v>24</v>
      </c>
      <c r="W921" s="1" t="e">
        <f>V917/(AVERAGE(H923:H928)*(1+H929)/(0.5-H929))</f>
        <v>#DIV/0!</v>
      </c>
      <c r="Y921" s="25" t="s">
        <v>47</v>
      </c>
      <c r="Z921" s="38" t="s">
        <v>24</v>
      </c>
      <c r="AA921" s="1" t="e">
        <f>Z917/(AVERAGE(H923:H928)*(1+H929)/(0.5-H929))</f>
        <v>#DIV/0!</v>
      </c>
    </row>
    <row r="922" spans="1:27">
      <c r="B922" s="13">
        <v>5</v>
      </c>
      <c r="C922" s="14" t="s">
        <v>25</v>
      </c>
      <c r="D922" s="15" cm="1">
        <f t="array" ref="D922">_xlfn.SINGLE(IF(A926=A927,_xll.ciqfunctions.udf.CIQ(A918,"IQ_TOTAL_REV",IQ_FY-6)/I922, _xll.ciqfunctions.udf.CIQ(A918, "IQ_TOTAL_REV",IQ_FY-5)/I922))</f>
        <v>9.9215493605084255</v>
      </c>
      <c r="E922" s="16">
        <f t="shared" si="247"/>
        <v>0.32398806317884155</v>
      </c>
      <c r="F922" s="15">
        <f>IF(A926=A927,_xll.ciqfunctions.udf.CIQ(A918,"IQ_DILUT_EPS_EXCL",IQ_FY-6), _xll.ciqfunctions.udf.CIQ(A918, "IQ_DILUT_EPS_EXCL",IQ_FY-5))</f>
        <v>-1.08</v>
      </c>
      <c r="G922" s="15">
        <f>IF(A926=A927,_xll.ciqfunctions.udf.CIQ(A918,"IQ_EBITDA_MARGIN",IQ_FY-6), _xll.ciqfunctions.udf.CIQ(A918, "IQ_EBITDA_MARGIN",IQ_FY-5))</f>
        <v>-8.16</v>
      </c>
      <c r="H922" s="15">
        <f>IF(A926=A927,_xll.ciqfunctions.udf.CIQ(A918,"IQ_TOTAL_DIV_PAID_CF",IQ_FY-6)/-I922, _xll.ciqfunctions.udf.CIQ(A918, "IQ_TOTAL_DIV_PAID_CF",IQ_FY-5)/-I922)</f>
        <v>0</v>
      </c>
      <c r="I922" s="17">
        <f>IF(A926=A927,_xll.ciqfunctions.udf.CIQ(A918,"IQ_TOTAL_OUTSTANDING_FILING_DATE",IQ_FY-6), _xll.ciqfunctions.udf.CIQ(A918, "IQ_TOTAL_OUTSTANDING_FILING_DATE",IQ_FY-5))</f>
        <v>37.858199999999997</v>
      </c>
      <c r="J922" s="17">
        <f>IF(A926=A927,_xll.ciqfunctions.udf.CIQ(A918,"IQ_CASH_OPER",IQ_FY-6), _xll.ciqfunctions.udf.CIQ(A918, "IQ_CASH_OPER",IQ_FY-5))</f>
        <v>49.613999999999997</v>
      </c>
      <c r="K922" s="17">
        <f>IF(A926=A927,_xll.ciqfunctions.udf.CIQ(A918,"IQ_CAPEX",IQ_FY-6), _xll.ciqfunctions.udf.CIQ(A918, "IQ_CAPEX",IQ_FY-5))</f>
        <v>-20.276</v>
      </c>
      <c r="L922" s="15">
        <f t="shared" si="244"/>
        <v>0.77494439777908086</v>
      </c>
      <c r="M922" s="17">
        <f>IF(A926=A927,_xll.ciqfunctions.udf.CIQ(A918,"IQ_TOTAL_DEBT_ISSUED",IQ_FY-6), _xll.ciqfunctions.udf.CIQ(A918, "IQ_TOTAL_DEBT_ISSUED",IQ_FY-5))</f>
        <v>400</v>
      </c>
      <c r="N922" s="17">
        <f>IF(A926=A927,_xll.ciqfunctions.udf.CIQ(A918,"IQ_TOTAL_DEBT_REPAID",IQ_FY-6), _xll.ciqfunctions.udf.CIQ(A918, "IQ_TOTAL_DEBT_REPAID",IQ_FY-5))</f>
        <v>-1.054</v>
      </c>
      <c r="O922" s="15">
        <f t="shared" si="245"/>
        <v>10.537901960473558</v>
      </c>
      <c r="P922" s="15">
        <f t="shared" si="246"/>
        <v>11.312846358252639</v>
      </c>
      <c r="Q922" s="18"/>
      <c r="R922" s="38" t="s">
        <v>50</v>
      </c>
      <c r="S922" s="3">
        <f>I929</f>
        <v>4.9056133648554878E-2</v>
      </c>
      <c r="U922" s="18"/>
      <c r="V922" s="38" t="s">
        <v>50</v>
      </c>
      <c r="W922" s="3">
        <f>I929</f>
        <v>4.9056133648554878E-2</v>
      </c>
      <c r="Y922" s="18"/>
      <c r="Z922" s="38" t="s">
        <v>50</v>
      </c>
      <c r="AA922" s="3">
        <f>I929</f>
        <v>4.9056133648554878E-2</v>
      </c>
    </row>
    <row r="923" spans="1:27">
      <c r="B923" s="13">
        <v>6</v>
      </c>
      <c r="C923" s="14" t="s">
        <v>26</v>
      </c>
      <c r="D923" s="15" cm="1">
        <f t="array" ref="D923">_xlfn.SINGLE(IF(A926=A927,_xll.ciqfunctions.udf.CIQ(A918,"IQ_TOTAL_REV",IQ_FY-5)/I923, _xll.ciqfunctions.udf.CIQ(A918, "IQ_TOTAL_REV",IQ_FY-4)/I923))</f>
        <v>12.949782672464762</v>
      </c>
      <c r="E923" s="16">
        <f t="shared" si="247"/>
        <v>0.30521778423134871</v>
      </c>
      <c r="F923" s="15">
        <f>IF(A926=A927,_xll.ciqfunctions.udf.CIQ(A918,"IQ_DILUT_EPS_EXCL",IQ_FY-5), _xll.ciqfunctions.udf.CIQ(A918, "IQ_DILUT_EPS_EXCL",IQ_FY-4))</f>
        <v>-1.66</v>
      </c>
      <c r="G923" s="15">
        <f>IF(A926=A927,_xll.ciqfunctions.udf.CIQ(A918,"IQ_EBITDA_MARGIN",IQ_FY-5), _xll.ciqfunctions.udf.CIQ(A918, "IQ_EBITDA_MARGIN",IQ_FY-4))</f>
        <v>-6.9066999999999998</v>
      </c>
      <c r="H923" s="15">
        <f>IF(A926=A927,_xll.ciqfunctions.udf.CIQ(A918,"IQ_TOTAL_DIV_PAID_CF",IQ_FY-5)/-I923, _xll.ciqfunctions.udf.CIQ(A918, "IQ_TOTAL_DIV_PAID_CF",IQ_FY-4)/-I923)</f>
        <v>0</v>
      </c>
      <c r="I923" s="17">
        <f>IF(A926=A927,_xll.ciqfunctions.udf.CIQ(A918,"IQ_TOTAL_OUTSTANDING_FILING_DATE",IQ_FY-5), _xll.ciqfunctions.udf.CIQ(A918, "IQ_TOTAL_OUTSTANDING_FILING_DATE",IQ_FY-4))</f>
        <v>39.613019999999999</v>
      </c>
      <c r="J923" s="17">
        <f>IF(A926=A927,_xll.ciqfunctions.udf.CIQ(A918,"IQ_CASH_OPER",IQ_FY-5), _xll.ciqfunctions.udf.CIQ(A918, "IQ_CASH_OPER",IQ_FY-4))</f>
        <v>84.850999999999999</v>
      </c>
      <c r="K923" s="17">
        <f>IF(A926=A927,_xll.ciqfunctions.udf.CIQ(A918,"IQ_CAPEX",IQ_FY-5), _xll.ciqfunctions.udf.CIQ(A918, "IQ_CAPEX",IQ_FY-4))</f>
        <v>-22.305</v>
      </c>
      <c r="L923" s="15">
        <f t="shared" si="244"/>
        <v>1.5789253129400385</v>
      </c>
      <c r="M923" s="17">
        <f>IF(A926=A927,_xll.ciqfunctions.udf.CIQ(A918,"IQ_TOTAL_DEBT_ISSUED",IQ_FY-5), _xll.ciqfunctions.udf.CIQ(A918, "IQ_TOTAL_DEBT_ISSUED",IQ_FY-4))</f>
        <v>0</v>
      </c>
      <c r="N923" s="17">
        <f>IF(A926=A927,_xll.ciqfunctions.udf.CIQ(A918,"IQ_TOTAL_DEBT_REPAID",IQ_FY-5), _xll.ciqfunctions.udf.CIQ(A918, "IQ_TOTAL_DEBT_REPAID",IQ_FY-4))</f>
        <v>-0.74399999999999999</v>
      </c>
      <c r="O923" s="15">
        <f t="shared" si="245"/>
        <v>-1.8781703591394951E-2</v>
      </c>
      <c r="P923" s="15">
        <f t="shared" si="246"/>
        <v>1.5601436093486436</v>
      </c>
      <c r="Q923" s="25" t="s">
        <v>27</v>
      </c>
      <c r="R923" s="38" t="s">
        <v>51</v>
      </c>
      <c r="S923" s="4">
        <f>AVERAGE(F923:F928)/AVERAGE(D923:D928)</f>
        <v>-8.2559148190777878E-2</v>
      </c>
      <c r="U923" s="25" t="s">
        <v>58</v>
      </c>
      <c r="V923" s="38" t="s">
        <v>51</v>
      </c>
      <c r="W923" s="4">
        <f>AVERAGE(F923:F928)/AVERAGE(D923:D928)</f>
        <v>-8.2559148190777878E-2</v>
      </c>
      <c r="Y923" s="25" t="s">
        <v>56</v>
      </c>
      <c r="Z923" s="38" t="s">
        <v>51</v>
      </c>
      <c r="AA923" s="4">
        <f>AVERAGE(F923:F928)/AVERAGE(D923:D928)</f>
        <v>-8.2559148190777878E-2</v>
      </c>
    </row>
    <row r="924" spans="1:27">
      <c r="A924" s="18"/>
      <c r="B924" s="13">
        <v>7</v>
      </c>
      <c r="C924" s="14" t="s">
        <v>28</v>
      </c>
      <c r="D924" s="15" cm="1">
        <f t="array" ref="D924">_xlfn.SINGLE(IF(A926=A927,_xll.ciqfunctions.udf.CIQ(A918,"IQ_TOTAL_REV",IQ_FY-4)/I924, _xll.ciqfunctions.udf.CIQ(A918, "IQ_TOTAL_REV",IQ_FY-3)/I924))</f>
        <v>15.590070276135476</v>
      </c>
      <c r="E924" s="16">
        <f t="shared" si="247"/>
        <v>0.20388663427416284</v>
      </c>
      <c r="F924" s="15">
        <f>IF(A926=A927,_xll.ciqfunctions.udf.CIQ(A918,"IQ_DILUT_EPS_EXCL",IQ_FY-4), _xll.ciqfunctions.udf.CIQ(A918, "IQ_DILUT_EPS_EXCL",IQ_FY-3))</f>
        <v>-1.28</v>
      </c>
      <c r="G924" s="15">
        <f>IF(A926=A927,_xll.ciqfunctions.udf.CIQ(A918,"IQ_EBITDA_MARGIN",IQ_FY-4), _xll.ciqfunctions.udf.CIQ(A918, "IQ_EBITDA_MARGIN",IQ_FY-3))</f>
        <v>-4.3372999999999999</v>
      </c>
      <c r="H924" s="15">
        <f>IF(A926=A927,_xll.ciqfunctions.udf.CIQ(A918,"IQ_TOTAL_DIV_PAID_CF",IQ_FY-4)/-I924, _xll.ciqfunctions.udf.CIQ(A918, "IQ_TOTAL_DIV_PAID_CF",IQ_FY-3)/-I924)</f>
        <v>0</v>
      </c>
      <c r="I924" s="17">
        <f>IF(A926=A927,_xll.ciqfunctions.udf.CIQ(A918,"IQ_TOTAL_OUTSTANDING_FILING_DATE",IQ_FY-4), _xll.ciqfunctions.udf.CIQ(A918, "IQ_TOTAL_OUTSTANDING_FILING_DATE",IQ_FY-3))</f>
        <v>43.28781</v>
      </c>
      <c r="J924" s="17">
        <f>IF(A926=A927,_xll.ciqfunctions.udf.CIQ(A918,"IQ_CASH_OPER",IQ_FY-4), _xll.ciqfunctions.udf.CIQ(A918, "IQ_CASH_OPER",IQ_FY-3))</f>
        <v>118.973</v>
      </c>
      <c r="K924" s="17">
        <f>IF(A926=A927,_xll.ciqfunctions.udf.CIQ(A918,"IQ_CAPEX",IQ_FY-4), _xll.ciqfunctions.udf.CIQ(A918, "IQ_CAPEX",IQ_FY-3))</f>
        <v>-40.372</v>
      </c>
      <c r="L924" s="15">
        <f t="shared" si="244"/>
        <v>1.8157767741079993</v>
      </c>
      <c r="M924" s="17">
        <f>IF(A926=A927,_xll.ciqfunctions.udf.CIQ(A918,"IQ_TOTAL_DEBT_ISSUED",IQ_FY-4), _xll.ciqfunctions.udf.CIQ(A918, "IQ_TOTAL_DEBT_ISSUED",IQ_FY-3))</f>
        <v>0</v>
      </c>
      <c r="N924" s="17">
        <f>IF(A926=A927,_xll.ciqfunctions.udf.CIQ(A918,"IQ_TOTAL_DEBT_REPAID",IQ_FY-4), _xll.ciqfunctions.udf.CIQ(A918, "IQ_TOTAL_DEBT_REPAID",IQ_FY-3))</f>
        <v>-0.61699999999999999</v>
      </c>
      <c r="O924" s="15">
        <f t="shared" si="245"/>
        <v>-1.4253435320474747E-2</v>
      </c>
      <c r="P924" s="15">
        <f t="shared" si="246"/>
        <v>1.8015233387875245</v>
      </c>
      <c r="Q924" s="18"/>
      <c r="R924" s="38" t="s">
        <v>29</v>
      </c>
      <c r="S924" s="4">
        <f>(AVERAGE(P923:P928)/_xlfn.STDEV.P(P923:P928))/(IF(A926=A927,(_xlfn.SINGLE(_xll.ciqfunctions.udf.CIQ(A918,"IQ_total_assets",IQ_FY)) - _xlfn.SINGLE(_xll.ciqfunctions.udf.CIQ(A918,"iq_gw_intan", IQ_FY)))/I928, (_xlfn.SINGLE(_xll.ciqfunctions.udf.CIQ(A918, "IQ_total_assets",IQ_LTM))-_xlfn.SINGLE(_xll.ciqfunctions.udf.CIQ(A918,"iq_gw_intan",IQ_LTM)))/I928))</f>
        <v>3.6047037791730747E-2</v>
      </c>
      <c r="U924" s="18"/>
      <c r="V924" s="38" t="s">
        <v>29</v>
      </c>
      <c r="W924" s="4">
        <f>(AVERAGE(P923:P928)/_xlfn.STDEV.P(P923:P928))/(IF(A926=A927,(_xlfn.SINGLE(_xll.ciqfunctions.udf.CIQ(A918,"IQ_total_assets",IQ_FY)) - _xlfn.SINGLE(_xll.ciqfunctions.udf.CIQ(A918,"iq_gw_intan", IQ_FY)))/I928, (_xlfn.SINGLE(_xll.ciqfunctions.udf.CIQ(A918, "IQ_total_assets",IQ_LTM))-_xlfn.SINGLE(_xll.ciqfunctions.udf.CIQ(A918,"iq_gw_intan",IQ_LTM)))/I928))</f>
        <v>3.6047037791730747E-2</v>
      </c>
      <c r="Y924" s="18"/>
      <c r="Z924" s="38" t="s">
        <v>29</v>
      </c>
      <c r="AA924" s="4">
        <f>(AVERAGE(P923:P928)/_xlfn.STDEV.P(P923:P928))/(IF(A926=A927,(_xlfn.SINGLE(_xll.ciqfunctions.udf.CIQ(A918,"IQ_total_assets",IQ_FY)) - _xlfn.SINGLE(_xll.ciqfunctions.udf.CIQ(A918,"iq_gw_intan", IQ_FY)))/I928, (_xlfn.SINGLE(_xll.ciqfunctions.udf.CIQ(A918, "IQ_total_assets",IQ_LTM))-_xlfn.SINGLE(_xll.ciqfunctions.udf.CIQ(A918,"iq_gw_intan",IQ_LTM)))/I928))</f>
        <v>3.6047037791730747E-2</v>
      </c>
    </row>
    <row r="925" spans="1:27">
      <c r="A925" s="18"/>
      <c r="B925" s="13">
        <v>8</v>
      </c>
      <c r="C925" s="14" t="s">
        <v>30</v>
      </c>
      <c r="D925" s="15" cm="1">
        <f t="array" ref="D925">_xlfn.SINGLE(IF(A926=A927,_xll.ciqfunctions.udf.CIQ(A918,"IQ_TOTAL_REV",IQ_FY-3)/I925, _xll.ciqfunctions.udf.CIQ(A918, "IQ_TOTAL_REV",IQ_FY-2)/I925))</f>
        <v>19.057355555756985</v>
      </c>
      <c r="E925" s="16">
        <f t="shared" si="247"/>
        <v>0.22240344130642314</v>
      </c>
      <c r="F925" s="15">
        <f>IF(A926=A927,_xll.ciqfunctions.udf.CIQ(A918,"IQ_DILUT_EPS_EXCL",IQ_FY-3), _xll.ciqfunctions.udf.CIQ(A918, "IQ_DILUT_EPS_EXCL",IQ_FY-2))</f>
        <v>-1.9</v>
      </c>
      <c r="G925" s="15">
        <f>IF(A926=A927,_xll.ciqfunctions.udf.CIQ(A918,"IQ_EBITDA_MARGIN",IQ_FY-3), _xll.ciqfunctions.udf.CIQ(A918, "IQ_EBITDA_MARGIN",IQ_FY-2))</f>
        <v>-3.3711000000000002</v>
      </c>
      <c r="H925" s="15">
        <f>IF(A926=A927,_xll.ciqfunctions.udf.CIQ(A918,"IQ_TOTAL_DIV_PAID_CF",IQ_FY-3)/-I925, _xll.ciqfunctions.udf.CIQ(A918, "IQ_TOTAL_DIV_PAID_CF",IQ_FY-2)/-I925)</f>
        <v>0</v>
      </c>
      <c r="I925" s="17">
        <f>IF(A926=A927,_xll.ciqfunctions.udf.CIQ(A918,"IQ_TOTAL_OUTSTANDING_FILING_DATE",IQ_FY-3), _xll.ciqfunctions.udf.CIQ(A918, "IQ_TOTAL_OUTSTANDING_FILING_DATE",IQ_FY-2))</f>
        <v>46.335180000000001</v>
      </c>
      <c r="J925" s="17">
        <f>IF(A926=A927,_xll.ciqfunctions.udf.CIQ(A918,"IQ_CASH_OPER",IQ_FY-3), _xll.ciqfunctions.udf.CIQ(A918, "IQ_CASH_OPER",IQ_FY-2))</f>
        <v>88.912999999999997</v>
      </c>
      <c r="K925" s="17">
        <f>IF(A926=A927,_xll.ciqfunctions.udf.CIQ(A918,"IQ_CAPEX",IQ_FY-3), _xll.ciqfunctions.udf.CIQ(A918, "IQ_CAPEX",IQ_FY-2))</f>
        <v>-37.274000000000001</v>
      </c>
      <c r="L925" s="15">
        <f t="shared" si="244"/>
        <v>1.1144663730668576</v>
      </c>
      <c r="M925" s="17">
        <f>IF(A926=A927,_xll.ciqfunctions.udf.CIQ(A918,"IQ_TOTAL_DEBT_ISSUED",IQ_FY-3), _xll.ciqfunctions.udf.CIQ(A918, "IQ_TOTAL_DEBT_ISSUED",IQ_FY-2))</f>
        <v>460.02300000000002</v>
      </c>
      <c r="N925" s="17">
        <f>IF(A926=A927,_xll.ciqfunctions.udf.CIQ(A918,"IQ_TOTAL_DEBT_REPAID",IQ_FY-3), _xll.ciqfunctions.udf.CIQ(A918, "IQ_TOTAL_DEBT_REPAID",IQ_FY-2))</f>
        <v>-236.02099999999999</v>
      </c>
      <c r="O925" s="15">
        <f t="shared" si="245"/>
        <v>4.834382859848608</v>
      </c>
      <c r="P925" s="15">
        <f t="shared" si="246"/>
        <v>5.9488492329154656</v>
      </c>
      <c r="Q925" s="18"/>
      <c r="R925" s="39" t="s">
        <v>31</v>
      </c>
      <c r="S925" s="5">
        <f>IF(NOT(D918&gt;0),FALSE,SLOPE(G918:G928,B918:B928))</f>
        <v>3.8606518181818181</v>
      </c>
      <c r="U925" s="18"/>
      <c r="V925" s="39" t="s">
        <v>31</v>
      </c>
      <c r="W925" s="5">
        <f>IF(NOT(D918&gt;0),FALSE,SLOPE(G918:G928,B918:B928))</f>
        <v>3.8606518181818181</v>
      </c>
      <c r="Y925" s="18"/>
      <c r="Z925" s="39" t="s">
        <v>31</v>
      </c>
      <c r="AA925" s="5" t="b">
        <f>IF(NOT(L918&gt;0),FALSE,SLOPE(O918:O928,J918:J928))</f>
        <v>0</v>
      </c>
    </row>
    <row r="926" spans="1:27">
      <c r="A926" s="19">
        <f>_xll.ciqfunctions.udf.CIQ(A918,"IQ_TOTAL_REV",IQ_FY)</f>
        <v>1730.9690000000001</v>
      </c>
      <c r="B926" s="13">
        <v>9</v>
      </c>
      <c r="C926" s="14" t="s">
        <v>32</v>
      </c>
      <c r="D926" s="15" cm="1">
        <f t="array" ref="D926">_xlfn.SINGLE(IF(A926=A927,_xll.ciqfunctions.udf.CIQ(A918,"IQ_TOTAL_REV",IQ_FY-2)/I926, _xll.ciqfunctions.udf.CIQ(A918, "IQ_TOTAL_REV",IQ_FY-1)/I926))</f>
        <v>27.342330856039986</v>
      </c>
      <c r="E926" s="16">
        <f t="shared" si="247"/>
        <v>0.43473897918539994</v>
      </c>
      <c r="F926" s="15">
        <f>IF(A926=A927,_xll.ciqfunctions.udf.CIQ(A918,"IQ_DILUT_EPS_EXCL",IQ_FY-2), _xll.ciqfunctions.udf.CIQ(A918, "IQ_DILUT_EPS_EXCL",IQ_FY-1))</f>
        <v>-1.66</v>
      </c>
      <c r="G926" s="15">
        <f>IF(A926=A927,_xll.ciqfunctions.udf.CIQ(A918,"IQ_EBITDA_MARGIN",IQ_FY-2), _xll.ciqfunctions.udf.CIQ(A918, "IQ_EBITDA_MARGIN",IQ_FY-1))</f>
        <v>-2.5093999999999999</v>
      </c>
      <c r="H926" s="15">
        <f>IF(A926=A927,_xll.ciqfunctions.udf.CIQ(A918,"IQ_TOTAL_DIV_PAID_CF",IQ_FY-2)/-I926, _xll.ciqfunctions.udf.CIQ(A918, "IQ_TOTAL_DIV_PAID_CF",IQ_FY-1)/-I926)</f>
        <v>0</v>
      </c>
      <c r="I926" s="17">
        <f>IF(A926=A927,_xll.ciqfunctions.udf.CIQ(A918,"IQ_TOTAL_OUTSTANDING_FILING_DATE",IQ_FY-2), _xll.ciqfunctions.udf.CIQ(A918, "IQ_TOTAL_OUTSTANDING_FILING_DATE",IQ_FY-1))</f>
        <v>47.569389999999999</v>
      </c>
      <c r="J926" s="17">
        <f>IF(A926=A927,_xll.ciqfunctions.udf.CIQ(A918,"IQ_CASH_OPER",IQ_FY-2), _xll.ciqfunctions.udf.CIQ(A918, "IQ_CASH_OPER",IQ_FY-1))</f>
        <v>238.72800000000001</v>
      </c>
      <c r="K926" s="17">
        <f>IF(A926=A927,_xll.ciqfunctions.udf.CIQ(A918,"IQ_CAPEX",IQ_FY-2), _xll.ciqfunctions.udf.CIQ(A918, "IQ_CAPEX",IQ_FY-1))</f>
        <v>-28.725999999999999</v>
      </c>
      <c r="L926" s="15">
        <f t="shared" si="244"/>
        <v>4.4146456366163198</v>
      </c>
      <c r="M926" s="17">
        <f>IF(A926=A927,_xll.ciqfunctions.udf.CIQ(A918,"IQ_TOTAL_DEBT_ISSUED",IQ_FY-2), _xll.ciqfunctions.udf.CIQ(A918, "IQ_TOTAL_DEBT_ISSUED",IQ_FY-1))</f>
        <v>0</v>
      </c>
      <c r="N926" s="17">
        <f>IF(A926=A927,_xll.ciqfunctions.udf.CIQ(A918,"IQ_TOTAL_DEBT_REPAID",IQ_FY-2), _xll.ciqfunctions.udf.CIQ(A918, "IQ_TOTAL_DEBT_REPAID",IQ_FY-1))</f>
        <v>-89.525000000000006</v>
      </c>
      <c r="O926" s="15">
        <f t="shared" si="245"/>
        <v>-1.8819875554426915</v>
      </c>
      <c r="P926" s="15">
        <f t="shared" si="246"/>
        <v>2.5326580811736283</v>
      </c>
      <c r="Q926" s="25" t="s">
        <v>33</v>
      </c>
      <c r="R926" s="38" t="s">
        <v>52</v>
      </c>
      <c r="S926" s="4">
        <f>(AVERAGE(O923:O928)/AVERAGE(P923:P928))</f>
        <v>6.0403683193680738E-2</v>
      </c>
      <c r="U926" s="25" t="s">
        <v>54</v>
      </c>
      <c r="V926" s="38" t="s">
        <v>52</v>
      </c>
      <c r="W926" s="4">
        <f>(AVERAGE(O923:O928)/AVERAGE(P923:P928))</f>
        <v>6.0403683193680738E-2</v>
      </c>
      <c r="Y926" s="25" t="s">
        <v>60</v>
      </c>
      <c r="Z926" s="38" t="s">
        <v>52</v>
      </c>
      <c r="AA926" s="4">
        <f>(AVERAGE(O923:O928)/AVERAGE(P923:P928))</f>
        <v>6.0403683193680738E-2</v>
      </c>
    </row>
    <row r="927" spans="1:27">
      <c r="A927" s="19">
        <f>_xll.ciqfunctions.udf.CIQ(A918,"IQ_TOTAL_REV",IQ_LTM)</f>
        <v>2057.971</v>
      </c>
      <c r="B927" s="13">
        <v>10</v>
      </c>
      <c r="C927" s="14" t="s">
        <v>34</v>
      </c>
      <c r="D927" s="15" cm="1">
        <f t="array" ref="D927">_xlfn.SINGLE(IF(A926=A927,_xll.ciqfunctions.udf.CIQ(A918,"IQ_TOTAL_REV",IQ_FY-1)/I927, _xll.ciqfunctions.udf.CIQ(A918, "IQ_TOTAL_REV",IQ_FY)/I927))</f>
        <v>35.045363401214445</v>
      </c>
      <c r="E927" s="16">
        <f t="shared" si="247"/>
        <v>0.28172552609840285</v>
      </c>
      <c r="F927" s="15">
        <f>IF(A926=A927,_xll.ciqfunctions.udf.CIQ(A918,"IQ_DILUT_EPS_EXCL",IQ_FY-1), _xll.ciqfunctions.udf.CIQ(A918, "IQ_DILUT_EPS_EXCL",IQ_FY))</f>
        <v>-2.35</v>
      </c>
      <c r="G927" s="15">
        <f>IF(A926=A927,_xll.ciqfunctions.udf.CIQ(A918,"IQ_EBITDA_MARGIN",IQ_FY-1), _xll.ciqfunctions.udf.CIQ(A918, "IQ_EBITDA_MARGIN",IQ_FY))</f>
        <v>-4.7920999999999996</v>
      </c>
      <c r="H927" s="15">
        <f>IF(A926=A927,_xll.ciqfunctions.udf.CIQ(A918,"IQ_TOTAL_DIV_PAID_CF",IQ_FY-1)/-I927, _xll.ciqfunctions.udf.CIQ(A918, "IQ_TOTAL_DIV_PAID_CF",IQ_FY)/-I927)</f>
        <v>0</v>
      </c>
      <c r="I927" s="17">
        <f>IF(A926=A927,_xll.ciqfunctions.udf.CIQ(A918,"IQ_TOTAL_OUTSTANDING_FILING_DATE",IQ_FY-1), _xll.ciqfunctions.udf.CIQ(A918, "IQ_TOTAL_OUTSTANDING_FILING_DATE",IQ_FY))</f>
        <v>49.392240000000001</v>
      </c>
      <c r="J927" s="17">
        <f>IF(A926=A927,_xll.ciqfunctions.udf.CIQ(A918,"IQ_CASH_OPER",IQ_FY-1), _xll.ciqfunctions.udf.CIQ(A918, "IQ_CASH_OPER",IQ_FY))</f>
        <v>273.17399999999998</v>
      </c>
      <c r="K927" s="17">
        <f>IF(A926=A927,_xll.ciqfunctions.udf.CIQ(A918,"IQ_CAPEX",IQ_FY-1), _xll.ciqfunctions.udf.CIQ(A918, "IQ_CAPEX",IQ_FY))</f>
        <v>-37.426000000000002</v>
      </c>
      <c r="L927" s="15">
        <f t="shared" si="244"/>
        <v>4.7729764837553423</v>
      </c>
      <c r="M927" s="17">
        <f>IF(A926=A927,_xll.ciqfunctions.udf.CIQ(A918,"IQ_TOTAL_DEBT_ISSUED",IQ_FY-1), _xll.ciqfunctions.udf.CIQ(A918, "IQ_TOTAL_DEBT_ISSUED",IQ_FY))</f>
        <v>0</v>
      </c>
      <c r="N927" s="17">
        <f>IF(A926=A927,_xll.ciqfunctions.udf.CIQ(A918,"IQ_TOTAL_DEBT_REPAID",IQ_FY-1), _xll.ciqfunctions.udf.CIQ(A918, "IQ_TOTAL_DEBT_REPAID",IQ_FY))</f>
        <v>-81.426000000000002</v>
      </c>
      <c r="O927" s="15">
        <f t="shared" si="245"/>
        <v>-1.6485585589963119</v>
      </c>
      <c r="P927" s="15">
        <f t="shared" si="246"/>
        <v>3.1244179247590305</v>
      </c>
      <c r="Q927" s="25" t="s">
        <v>44</v>
      </c>
      <c r="R927" s="38" t="s">
        <v>35</v>
      </c>
      <c r="S927" s="1" t="str">
        <f>_xll.ciqfunctions.udf.CIQ(A918,"IQ_TEV_EBITDA")</f>
        <v>NM</v>
      </c>
      <c r="U927" s="25" t="s">
        <v>55</v>
      </c>
      <c r="V927" s="38" t="s">
        <v>53</v>
      </c>
      <c r="W927" s="1">
        <f>V917/(AVERAGE(D923:D928)/_xlfn.STDEV.P(E923:E928))</f>
        <v>1.632529019794499</v>
      </c>
      <c r="Y927" s="25" t="s">
        <v>57</v>
      </c>
      <c r="Z927" s="38" t="s">
        <v>53</v>
      </c>
      <c r="AA927" s="1">
        <f>Z917/(AVERAGE(D923:D928)/_xlfn.STDEV.P(E923:E928))</f>
        <v>1.632529019794499</v>
      </c>
    </row>
    <row r="928" spans="1:27">
      <c r="B928" s="13">
        <v>11</v>
      </c>
      <c r="C928" s="20" t="s">
        <v>36</v>
      </c>
      <c r="D928" s="21" cm="1">
        <f t="array" ref="D928">_xlfn.SINGLE(IF(A926=A927,_xll.ciqfunctions.udf.CIQ(A918,"IQ_TOTAL_REV",IQ_FY)/I928, _xll.ciqfunctions.udf.CIQ(A918, "IQ_TOTAL_REV",IQ_LTM)/I928))</f>
        <v>40.889110269828222</v>
      </c>
      <c r="E928" s="22">
        <f t="shared" si="247"/>
        <v>0.16674807453733725</v>
      </c>
      <c r="F928" s="21">
        <f>IF(A926=A927,_xll.ciqfunctions.udf.CIQ(A918,"IQ_DILUT_EPS_EXCL",IQ_FY), _xll.ciqfunctions.udf.CIQ(A918, "IQ_DILUT_EPS_EXCL",IQ_LTM))</f>
        <v>-3.6060300000000001</v>
      </c>
      <c r="G928" s="21">
        <f>IF(A926=A927,_xll.ciqfunctions.udf.CIQ(A918,"IQ_EBITDA_MARGIN",IQ_FY), _xll.ciqfunctions.udf.CIQ(A918, "IQ_EBITDA_MARGIN",IQ_LTM))</f>
        <v>-3.7347999999999999</v>
      </c>
      <c r="H928" s="21">
        <f>IF(A926=A927,_xll.ciqfunctions.udf.CIQ(A918,"IQ_TOTAL_DIV_PAID_CF",IQ_FY)/-I928, _xll.ciqfunctions.udf.CIQ(A918, "IQ_TOTAL_DIV_PAID_CF",IQ_LTM)/-I928)</f>
        <v>0</v>
      </c>
      <c r="I928" s="23">
        <f>IF(A926=A927,_xll.ciqfunctions.udf.CIQ(A918,"IQ_TOTAL_OUTSTANDING_FILING_DATE",IQ_FY),_xll.ciqfunctions.udf.CIQ(A918,"IQ_sharesoutstanding"))</f>
        <v>50.330539999999999</v>
      </c>
      <c r="J928" s="23">
        <f>IF(A926=A927,_xll.ciqfunctions.udf.CIQ(A918,"IQ_CASH_OPER",IQ_FY), _xll.ciqfunctions.udf.CIQ(A918, "IQ_CASH_OPER",IQ_LTM))</f>
        <v>336.62400000000002</v>
      </c>
      <c r="K928" s="23">
        <f>IF(A926=A927,_xll.ciqfunctions.udf.CIQ(A918,"IQ_CAPEX",IQ_FY), _xll.ciqfunctions.udf.CIQ(A918, "IQ_CAPEX",IQ_LTM))</f>
        <v>-31.073</v>
      </c>
      <c r="L928" s="21">
        <f t="shared" si="244"/>
        <v>6.0708865829772547</v>
      </c>
      <c r="M928" s="23">
        <f>IF(A926=A927,_xll.ciqfunctions.udf.CIQ(A918,"IQ_TOTAL_DEBT_ISSUED",IQ_FY), _xll.ciqfunctions.udf.CIQ(A918, "IQ_TOTAL_DEBT_ISSUED",IQ_LTM))</f>
        <v>0</v>
      </c>
      <c r="N928" s="23">
        <f>IF(A926=A927,_xll.ciqfunctions.udf.CIQ(A918,"IQ_TOTAL_DEBT_REPAID",IQ_FY), _xll.ciqfunctions.udf.CIQ(A918, "IQ_TOTAL_DEBT_REPAID",IQ_LTM))</f>
        <v>0</v>
      </c>
      <c r="O928" s="21">
        <f t="shared" si="245"/>
        <v>0</v>
      </c>
      <c r="P928" s="21">
        <f t="shared" si="246"/>
        <v>6.0708865829772547</v>
      </c>
      <c r="Q928" s="25" t="s">
        <v>45</v>
      </c>
      <c r="S928" s="45"/>
      <c r="U928" s="25"/>
      <c r="W928" s="45"/>
      <c r="Y928" s="25"/>
      <c r="AA928" s="45"/>
    </row>
    <row r="929" spans="1:27">
      <c r="B929" s="24"/>
      <c r="C929" s="25" t="s">
        <v>37</v>
      </c>
      <c r="E929" s="26">
        <f>((D928/D923)^(1/5))-1</f>
        <v>0.2585458331654451</v>
      </c>
      <c r="F929" s="27">
        <f>((F928/F923)^(1/5))-1</f>
        <v>0.16784242869857469</v>
      </c>
      <c r="G929" s="28"/>
      <c r="H929" s="27" t="e">
        <f>((H928/H923)^(1/5))-1</f>
        <v>#DIV/0!</v>
      </c>
      <c r="I929" s="27">
        <f>((I928/I923)^(1/5))-1</f>
        <v>4.9056133648554878E-2</v>
      </c>
      <c r="J929" s="27"/>
      <c r="K929" s="27"/>
      <c r="L929" s="26">
        <f>((L928/L923)^(1/5))-1</f>
        <v>0.30911592641316799</v>
      </c>
      <c r="M929" s="26"/>
      <c r="N929" s="26"/>
      <c r="O929" s="26"/>
      <c r="P929" s="26">
        <f>((P928/P923)^(1/5))-1</f>
        <v>0.31225280143463019</v>
      </c>
      <c r="Q929" s="18"/>
      <c r="R929" s="36"/>
      <c r="S929" s="45"/>
      <c r="U929" s="18"/>
      <c r="V929" s="36"/>
      <c r="W929" s="45"/>
      <c r="Y929" s="18"/>
      <c r="Z929" s="36"/>
      <c r="AA929" s="45"/>
    </row>
    <row r="930" spans="1:27">
      <c r="A930" s="29"/>
      <c r="B930" s="30"/>
      <c r="C930" s="31" t="s">
        <v>38</v>
      </c>
      <c r="D930" s="29"/>
      <c r="E930" s="32">
        <f>((D928/D918)^(1/10))-1</f>
        <v>0.11561930350407001</v>
      </c>
      <c r="F930" s="33">
        <f>((F928/F918)^(1/10))-1</f>
        <v>-6.0264483902890631E-2</v>
      </c>
      <c r="G930" s="34"/>
      <c r="H930" s="33" t="e">
        <f>((H928/H918)^(1/10))-1</f>
        <v>#DIV/0!</v>
      </c>
      <c r="I930" s="33">
        <f>((I928/I918)^(1/10))-1</f>
        <v>0.24400666879233945</v>
      </c>
      <c r="J930" s="33"/>
      <c r="K930" s="33"/>
      <c r="L930" s="32" t="e">
        <f>((L928/L918)^(1/10))-1</f>
        <v>#NUM!</v>
      </c>
      <c r="M930" s="32"/>
      <c r="N930" s="32"/>
      <c r="O930" s="32"/>
      <c r="P930" s="32" t="e">
        <f>((P928/P918)^(1/10))-1</f>
        <v>#NUM!</v>
      </c>
      <c r="Q930" s="40"/>
      <c r="R930" s="41"/>
      <c r="S930" s="46"/>
      <c r="U930" s="40"/>
      <c r="V930" s="41"/>
      <c r="W930" s="46"/>
      <c r="Y930" s="40"/>
      <c r="Z930" s="41"/>
      <c r="AA930" s="46"/>
    </row>
    <row r="931" spans="1:27">
      <c r="B931" s="24"/>
      <c r="C931" s="25"/>
      <c r="E931" s="26"/>
      <c r="F931" s="27"/>
      <c r="G931" s="28"/>
      <c r="H931" s="27"/>
      <c r="I931" s="27"/>
      <c r="J931" s="27"/>
      <c r="K931" s="27"/>
      <c r="L931" s="26"/>
      <c r="M931" s="17"/>
      <c r="N931" s="17"/>
      <c r="O931" s="17"/>
      <c r="P931" s="35"/>
      <c r="Q931" s="18"/>
      <c r="R931" s="36"/>
    </row>
    <row r="932" spans="1:27">
      <c r="A932" s="9" t="s">
        <v>0</v>
      </c>
      <c r="B932" s="10"/>
      <c r="C932" s="9" t="s">
        <v>1</v>
      </c>
      <c r="D932" s="9" t="s">
        <v>2</v>
      </c>
      <c r="E932" s="9" t="s">
        <v>3</v>
      </c>
      <c r="F932" s="11" t="s">
        <v>4</v>
      </c>
      <c r="G932" s="11" t="s">
        <v>5</v>
      </c>
      <c r="H932" s="9" t="s">
        <v>6</v>
      </c>
      <c r="I932" s="11" t="s">
        <v>7</v>
      </c>
      <c r="J932" s="11" t="s">
        <v>8</v>
      </c>
      <c r="K932" s="11" t="s">
        <v>9</v>
      </c>
      <c r="L932" s="11" t="s">
        <v>10</v>
      </c>
      <c r="M932" s="11" t="s">
        <v>11</v>
      </c>
      <c r="N932" s="11" t="s">
        <v>12</v>
      </c>
      <c r="O932" s="11" t="s">
        <v>13</v>
      </c>
      <c r="P932" s="11" t="s">
        <v>14</v>
      </c>
      <c r="Q932" s="37" t="s">
        <v>15</v>
      </c>
      <c r="R932" s="42">
        <f>_xll.ciqfunctions.udf.CIQ(A933,("IQ_LASTSALEPRICE"))</f>
        <v>19.1892</v>
      </c>
      <c r="S932" s="44"/>
      <c r="U932" s="37" t="s">
        <v>15</v>
      </c>
      <c r="V932" s="42">
        <f>_xll.ciqfunctions.udf.CIQ(A933,("IQ_LASTSALEPRICE"))</f>
        <v>19.1892</v>
      </c>
      <c r="W932" s="44"/>
      <c r="Y932" s="37" t="s">
        <v>15</v>
      </c>
      <c r="Z932" s="42">
        <f>_xll.ciqfunctions.udf.CIQ(A933,("IQ_LASTSALEPRICE"))</f>
        <v>19.1892</v>
      </c>
      <c r="AA932" s="44"/>
    </row>
    <row r="933" spans="1:27">
      <c r="A933" s="12" t="str">
        <f>Analysis!B64</f>
        <v>NYSE:PLTR</v>
      </c>
      <c r="B933" s="13">
        <v>1</v>
      </c>
      <c r="C933" s="14" t="s">
        <v>16</v>
      </c>
      <c r="D933" s="15" t="e">
        <f>IF(A941=A942,_xll.ciqfunctions.udf.CIQ(A933,"IQ_TOTAL_REV",IQ_FY-10)/I933,_xll.ciqfunctions.udf.CIQ(A933, "IQ_TOTAL_REV",IQ_FY-9)/I933)</f>
        <v>#DIV/0!</v>
      </c>
      <c r="E933" s="16"/>
      <c r="F933" s="15">
        <f>IF(A941=A942,_xll.ciqfunctions.udf.CIQ(A933,"IQ_DILUT_EPS_EXCL",IQ_FY-10), _xll.ciqfunctions.udf.CIQ(A933, "IQ_DILUT_EPS_EXCL",IQ_FY-9))</f>
        <v>0</v>
      </c>
      <c r="G933" s="15">
        <f>IF(A941=A942,_xll.ciqfunctions.udf.CIQ(A933,"IQ_EBITDA_MARGIN",IQ_FY-10), _xll.ciqfunctions.udf.CIQ(A933, "IQ_EBITDA_MARGIN",IQ_FY-9))</f>
        <v>0</v>
      </c>
      <c r="H933" s="15" t="e">
        <f>IF(A941=A942,_xll.ciqfunctions.udf.CIQ(A933,"IQ_TOTAL_DIV_PAID_CF",IQ_FY-10)/-I933, _xll.ciqfunctions.udf.CIQ(A933, "IQ_TOTAL_DIV_PAID_CF",IQ_FY-9)/-I933)</f>
        <v>#DIV/0!</v>
      </c>
      <c r="I933" s="17">
        <f>IF(A941=A942,_xll.ciqfunctions.udf.CIQ(A933,"IQ_TOTAL_OUTSTANDING_FILING_DATE",IQ_FY-10), _xll.ciqfunctions.udf.CIQ(A933, "IQ_TOTAL_OUTSTANDING_FILING_DATE",IQ_FY-9))</f>
        <v>0</v>
      </c>
      <c r="J933" s="17">
        <f>IF(A941=A942,_xll.ciqfunctions.udf.CIQ(A933,"IQ_CASH_OPER",IQ_FY-10), _xll.ciqfunctions.udf.CIQ(A933, "IQ_CASH_OPER",IQ_FY-9))</f>
        <v>0</v>
      </c>
      <c r="K933" s="17">
        <f>IF(A941=A942,_xll.ciqfunctions.udf.CIQ(A933,"IQ_CAPEX",IQ_FY-10), _xll.ciqfunctions.udf.CIQ(A933, "IQ_CAPEX",IQ_FY-9))</f>
        <v>0</v>
      </c>
      <c r="L933" s="15" t="e">
        <f t="shared" ref="L933:L943" si="248">(J933+K933)/I933</f>
        <v>#DIV/0!</v>
      </c>
      <c r="M933" s="17">
        <f>IF(A941=A942,_xll.ciqfunctions.udf.CIQ(A933,"IQ_TOTAL_DEBT_ISSUED",IQ_FY-10), _xll.ciqfunctions.udf.CIQ(A933, "IQ_TOTAL_DEBT_ISSUED",IQ_FY-9))</f>
        <v>0</v>
      </c>
      <c r="N933" s="17">
        <f>IF(A941=A942,_xll.ciqfunctions.udf.CIQ(A933,"IQ_TOTAL_DEBT_REPAID",IQ_FY-10), _xll.ciqfunctions.udf.CIQ(A933, "IQ_TOTAL_DEBT_REPAID",IQ_FY-9))</f>
        <v>0</v>
      </c>
      <c r="O933" s="15" t="e">
        <f t="shared" ref="O933:O943" si="249">(M933+N933)/I933</f>
        <v>#DIV/0!</v>
      </c>
      <c r="P933" s="15" t="e">
        <f t="shared" ref="P933:P943" si="250">L933+O933</f>
        <v>#DIV/0!</v>
      </c>
      <c r="W933" s="43"/>
      <c r="AA933" s="43"/>
    </row>
    <row r="934" spans="1:27">
      <c r="A934" s="18" t="str">
        <f>_xll.ciqfunctions.udf.CIQ(A933,"IQ_COMPANY_NAME")</f>
        <v>Palantir Technologies Inc.</v>
      </c>
      <c r="B934" s="13">
        <v>2</v>
      </c>
      <c r="C934" s="14" t="s">
        <v>17</v>
      </c>
      <c r="D934" s="15" t="e">
        <f>IF(A941=A942,_xll.ciqfunctions.udf.CIQ(A933,"IQ_TOTAL_REV",IQ_FY-9)/I934, _xll.ciqfunctions.udf.CIQ(A933, "IQ_TOTAL_REV",IQ_FY-8)/I934)</f>
        <v>#DIV/0!</v>
      </c>
      <c r="E934" s="16" t="e">
        <f t="shared" ref="E934:E943" si="251">(D934-D933)/D933</f>
        <v>#DIV/0!</v>
      </c>
      <c r="F934" s="15">
        <f>IF(A941=A942,_xll.ciqfunctions.udf.CIQ(A933,"IQ_DILUT_EPS_EXCL",IQ_FY-9), _xll.ciqfunctions.udf.CIQ(A933, "IQ_DILUT_EPS_EXCL",IQ_FY-8))</f>
        <v>0</v>
      </c>
      <c r="G934" s="15">
        <f>IF(A941=A942,_xll.ciqfunctions.udf.CIQ(A933,"IQ_EBITDA_MARGIN",IQ_FY-9), _xll.ciqfunctions.udf.CIQ(A933, "IQ_EBITDA_MARGIN",IQ_FY-8))</f>
        <v>0</v>
      </c>
      <c r="H934" s="15" t="e">
        <f>IF(A941=A942,_xll.ciqfunctions.udf.CIQ(A933,"IQ_TOTAL_DIV_PAID_CF",IQ_FY-9)/-I934, _xll.ciqfunctions.udf.CIQ(A933, "IQ_TOTAL_DIV_PAID_CF",IQ_FY-8)/-I934)</f>
        <v>#DIV/0!</v>
      </c>
      <c r="I934" s="17">
        <f>IF(A941=A942,_xll.ciqfunctions.udf.CIQ(A933,"IQ_TOTAL_OUTSTANDING_FILING_DATE",IQ_FY-9), _xll.ciqfunctions.udf.CIQ(A933, "IQ_TOTAL_OUTSTANDING_FILING_DATE",IQ_FY-8))</f>
        <v>0</v>
      </c>
      <c r="J934" s="17">
        <f>IF(A941=A942,_xll.ciqfunctions.udf.CIQ(A933,"IQ_CASH_OPER",IQ_FY-9), _xll.ciqfunctions.udf.CIQ(A933, "IQ_CASH_OPER",IQ_FY-8))</f>
        <v>0</v>
      </c>
      <c r="K934" s="17">
        <f>IF(A941=A942,_xll.ciqfunctions.udf.CIQ(A933,"IQ_CAPEX",IQ_FY-9), _xll.ciqfunctions.udf.CIQ(A933, "IQ_CAPEX",IQ_FY-8))</f>
        <v>0</v>
      </c>
      <c r="L934" s="15" t="e">
        <f t="shared" si="248"/>
        <v>#DIV/0!</v>
      </c>
      <c r="M934" s="17">
        <f>IF(A941=A942,_xll.ciqfunctions.udf.CIQ(A933,"IQ_TOTAL_DEBT_ISSUED",IQ_FY-9), _xll.ciqfunctions.udf.CIQ(A933, "IQ_TOTAL_DEBT_ISSUED",IQ_FY-8))</f>
        <v>0</v>
      </c>
      <c r="N934" s="17">
        <f>IF(A941=A942,_xll.ciqfunctions.udf.CIQ(A933,"IQ_TOTAL_DEBT_REPAID",IQ_FY-9), _xll.ciqfunctions.udf.CIQ(A933, "IQ_TOTAL_DEBT_REPAID",IQ_FY-8))</f>
        <v>0</v>
      </c>
      <c r="O934" s="15" t="e">
        <f t="shared" si="249"/>
        <v>#DIV/0!</v>
      </c>
      <c r="P934" s="15" t="e">
        <f t="shared" si="250"/>
        <v>#DIV/0!</v>
      </c>
      <c r="Q934" s="25" t="s">
        <v>18</v>
      </c>
      <c r="R934" s="39" t="s">
        <v>19</v>
      </c>
      <c r="S934" s="1">
        <f>R932/((AVERAGE(P938:P943))*(1+E944)^3)</f>
        <v>495.07765938998983</v>
      </c>
      <c r="U934" s="25" t="s">
        <v>48</v>
      </c>
      <c r="V934" s="39" t="s">
        <v>19</v>
      </c>
      <c r="W934" s="1">
        <f>V932/((AVERAGE(P938:P943))*(1+E944)^3)</f>
        <v>495.07765938998983</v>
      </c>
      <c r="Y934" s="25" t="s">
        <v>39</v>
      </c>
      <c r="Z934" s="39" t="s">
        <v>19</v>
      </c>
      <c r="AA934" s="1">
        <f>Z932/((AVERAGE(P938:P943))*(1+E944)^3)</f>
        <v>495.07765938998983</v>
      </c>
    </row>
    <row r="935" spans="1:27">
      <c r="B935" s="13">
        <v>3</v>
      </c>
      <c r="C935" s="14" t="s">
        <v>20</v>
      </c>
      <c r="D935" s="15" t="e" cm="1">
        <f t="array" ref="D935">_xlfn.SINGLE(IF(A941=A942,_xll.ciqfunctions.udf.CIQ(A933,"IQ_TOTAL_REV",IQ_FY-8)/I935, _xll.ciqfunctions.udf.CIQ(A933, "IQ_TOTAL_REV",IQ_FY-7)/I935))</f>
        <v>#DIV/0!</v>
      </c>
      <c r="E935" s="16" t="e">
        <f t="shared" si="251"/>
        <v>#DIV/0!</v>
      </c>
      <c r="F935" s="15">
        <f>IF(A941=A942,_xll.ciqfunctions.udf.CIQ(A933,"IQ_DILUT_EPS_EXCL",IQ_FY-8), _xll.ciqfunctions.udf.CIQ(A933, "IQ_DILUT_EPS_EXCL",IQ_FY-7))</f>
        <v>0</v>
      </c>
      <c r="G935" s="15">
        <f>IF(A941=A942,_xll.ciqfunctions.udf.CIQ(A933,"IQ_EBITDA_MARGIN",IQ_FY-8), _xll.ciqfunctions.udf.CIQ(A933, "IQ_EBITDA_MARGIN",IQ_FY-7))</f>
        <v>0</v>
      </c>
      <c r="H935" s="15" t="e">
        <f>IF(A941=A942,_xll.ciqfunctions.udf.CIQ(A933,"IQ_TOTAL_DIV_PAID_CF",IQ_FY-8)/-I935, _xll.ciqfunctions.udf.CIQ(A933, "IQ_TOTAL_DIV_PAID_CF",IQ_FY-7)/-I935)</f>
        <v>#DIV/0!</v>
      </c>
      <c r="I935" s="17">
        <f>IF(A941=A942,_xll.ciqfunctions.udf.CIQ(A933,"IQ_TOTAL_OUTSTANDING_FILING_DATE",IQ_FY-8), _xll.ciqfunctions.udf.CIQ(A933, "IQ_TOTAL_OUTSTANDING_FILING_DATE",IQ_FY-7))</f>
        <v>0</v>
      </c>
      <c r="J935" s="17">
        <f>IF(A941=A942,_xll.ciqfunctions.udf.CIQ(A933,"IQ_CASH_OPER",IQ_FY-8), _xll.ciqfunctions.udf.CIQ(A933, "IQ_CASH_OPER",IQ_FY-7))</f>
        <v>0</v>
      </c>
      <c r="K935" s="17">
        <f>IF(A941=A942,_xll.ciqfunctions.udf.CIQ(A933,"IQ_CAPEX",IQ_FY-8), _xll.ciqfunctions.udf.CIQ(A933, "IQ_CAPEX",IQ_FY-7))</f>
        <v>0</v>
      </c>
      <c r="L935" s="15" t="e">
        <f t="shared" si="248"/>
        <v>#DIV/0!</v>
      </c>
      <c r="M935" s="17">
        <f>IF(A941=A942,_xll.ciqfunctions.udf.CIQ(A933,"IQ_TOTAL_DEBT_ISSUED",IQ_FY-8), _xll.ciqfunctions.udf.CIQ(A933, "IQ_TOTAL_DEBT_ISSUED",IQ_FY-7))</f>
        <v>0</v>
      </c>
      <c r="N935" s="17">
        <f>IF(A941=A942,_xll.ciqfunctions.udf.CIQ(A933,"IQ_TOTAL_DEBT_REPAID",IQ_FY-8), _xll.ciqfunctions.udf.CIQ(A933, "IQ_TOTAL_DEBT_REPAID",IQ_FY-7))</f>
        <v>0</v>
      </c>
      <c r="O935" s="15" t="e">
        <f t="shared" si="249"/>
        <v>#DIV/0!</v>
      </c>
      <c r="P935" s="15" t="e">
        <f t="shared" si="250"/>
        <v>#DIV/0!</v>
      </c>
      <c r="Q935" s="25" t="s">
        <v>21</v>
      </c>
      <c r="R935" s="38" t="s">
        <v>49</v>
      </c>
      <c r="S935" s="2">
        <f>(R932*I943)/1000</f>
        <v>41.755495218804001</v>
      </c>
      <c r="U935" s="25" t="s">
        <v>59</v>
      </c>
      <c r="V935" s="38" t="s">
        <v>49</v>
      </c>
      <c r="W935" s="2">
        <f>(V932*I943)/1000</f>
        <v>41.755495218804001</v>
      </c>
      <c r="Y935" s="25" t="s">
        <v>46</v>
      </c>
      <c r="Z935" s="38" t="s">
        <v>49</v>
      </c>
      <c r="AA935" s="2">
        <f>(Z932*I943)/1000</f>
        <v>41.755495218804001</v>
      </c>
    </row>
    <row r="936" spans="1:27">
      <c r="A936" s="18"/>
      <c r="B936" s="13">
        <v>4</v>
      </c>
      <c r="C936" s="14" t="s">
        <v>22</v>
      </c>
      <c r="D936" s="15" t="e" cm="1">
        <f t="array" ref="D936">_xlfn.SINGLE(IF(A941=A942,_xll.ciqfunctions.udf.CIQ(A933,"IQ_TOTAL_REV",IQ_FY-7)/I936, _xll.ciqfunctions.udf.CIQ(A933, "IQ_TOTAL_REV",IQ_FY-6)/I936))</f>
        <v>#DIV/0!</v>
      </c>
      <c r="E936" s="16" t="e">
        <f t="shared" si="251"/>
        <v>#DIV/0!</v>
      </c>
      <c r="F936" s="15">
        <f>IF(A941=A942,_xll.ciqfunctions.udf.CIQ(A933,"IQ_DILUT_EPS_EXCL",IQ_FY-7), _xll.ciqfunctions.udf.CIQ(A933, "IQ_DILUT_EPS_EXCL",IQ_FY-6))</f>
        <v>0</v>
      </c>
      <c r="G936" s="15">
        <f>IF(A941=A942,_xll.ciqfunctions.udf.CIQ(A933,"IQ_EBITDA_MARGIN",IQ_FY-7), _xll.ciqfunctions.udf.CIQ(A933, "IQ_EBITDA_MARGIN",IQ_FY-6))</f>
        <v>0</v>
      </c>
      <c r="H936" s="15" t="e">
        <f>IF(A941=A942,_xll.ciqfunctions.udf.CIQ(A933,"IQ_TOTAL_DIV_PAID_CF",IQ_FY-7)/-I936, _xll.ciqfunctions.udf.CIQ(A933, "IQ_TOTAL_DIV_PAID_CF",IQ_FY-6)/-I936)</f>
        <v>#DIV/0!</v>
      </c>
      <c r="I936" s="17">
        <f>IF(A941=A942,_xll.ciqfunctions.udf.CIQ(A933,"IQ_TOTAL_OUTSTANDING_FILING_DATE",IQ_FY-7), _xll.ciqfunctions.udf.CIQ(A933, "IQ_TOTAL_OUTSTANDING_FILING_DATE",IQ_FY-6))</f>
        <v>0</v>
      </c>
      <c r="J936" s="17">
        <f>IF(A941=A942,_xll.ciqfunctions.udf.CIQ(A933,"IQ_CASH_OPER",IQ_FY-7), _xll.ciqfunctions.udf.CIQ(A933, "IQ_CASH_OPER",IQ_FY-6))</f>
        <v>0</v>
      </c>
      <c r="K936" s="17">
        <f>IF(A941=A942,_xll.ciqfunctions.udf.CIQ(A933,"IQ_CAPEX",IQ_FY-7), _xll.ciqfunctions.udf.CIQ(A933, "IQ_CAPEX",IQ_FY-6))</f>
        <v>0</v>
      </c>
      <c r="L936" s="15" t="e">
        <f t="shared" si="248"/>
        <v>#DIV/0!</v>
      </c>
      <c r="M936" s="17">
        <f>IF(A941=A942,_xll.ciqfunctions.udf.CIQ(A933,"IQ_TOTAL_DEBT_ISSUED",IQ_FY-7), _xll.ciqfunctions.udf.CIQ(A933, "IQ_TOTAL_DEBT_ISSUED",IQ_FY-6))</f>
        <v>0</v>
      </c>
      <c r="N936" s="17">
        <f>IF(A941=A942,_xll.ciqfunctions.udf.CIQ(A933,"IQ_TOTAL_DEBT_REPAID",IQ_FY-7), _xll.ciqfunctions.udf.CIQ(A933, "IQ_TOTAL_DEBT_REPAID",IQ_FY-6))</f>
        <v>0</v>
      </c>
      <c r="O936" s="15" t="e">
        <f t="shared" si="249"/>
        <v>#DIV/0!</v>
      </c>
      <c r="P936" s="15" t="e">
        <f t="shared" si="250"/>
        <v>#DIV/0!</v>
      </c>
      <c r="Q936" s="25" t="s">
        <v>23</v>
      </c>
      <c r="R936" s="38" t="s">
        <v>24</v>
      </c>
      <c r="S936" s="1" t="e">
        <f>R932/(AVERAGE(H938:H943)*(1+H944)/(0.5-H944))</f>
        <v>#DIV/0!</v>
      </c>
      <c r="U936" s="25" t="s">
        <v>40</v>
      </c>
      <c r="V936" s="38" t="s">
        <v>24</v>
      </c>
      <c r="W936" s="1" t="e">
        <f>V932/(AVERAGE(H938:H943)*(1+H944)/(0.5-H944))</f>
        <v>#DIV/0!</v>
      </c>
      <c r="Y936" s="25" t="s">
        <v>47</v>
      </c>
      <c r="Z936" s="38" t="s">
        <v>24</v>
      </c>
      <c r="AA936" s="1" t="e">
        <f>Z932/(AVERAGE(H938:H943)*(1+H944)/(0.5-H944))</f>
        <v>#DIV/0!</v>
      </c>
    </row>
    <row r="937" spans="1:27">
      <c r="B937" s="13">
        <v>5</v>
      </c>
      <c r="C937" s="14" t="s">
        <v>25</v>
      </c>
      <c r="D937" s="15" t="e" cm="1">
        <f t="array" ref="D937">_xlfn.SINGLE(IF(A941=A942,_xll.ciqfunctions.udf.CIQ(A933,"IQ_TOTAL_REV",IQ_FY-6)/I937, _xll.ciqfunctions.udf.CIQ(A933, "IQ_TOTAL_REV",IQ_FY-5)/I937))</f>
        <v>#DIV/0!</v>
      </c>
      <c r="E937" s="16" t="e">
        <f t="shared" si="251"/>
        <v>#DIV/0!</v>
      </c>
      <c r="F937" s="15">
        <f>IF(A941=A942,_xll.ciqfunctions.udf.CIQ(A933,"IQ_DILUT_EPS_EXCL",IQ_FY-6), _xll.ciqfunctions.udf.CIQ(A933, "IQ_DILUT_EPS_EXCL",IQ_FY-5))</f>
        <v>0</v>
      </c>
      <c r="G937" s="15">
        <f>IF(A941=A942,_xll.ciqfunctions.udf.CIQ(A933,"IQ_EBITDA_MARGIN",IQ_FY-6), _xll.ciqfunctions.udf.CIQ(A933, "IQ_EBITDA_MARGIN",IQ_FY-5))</f>
        <v>0</v>
      </c>
      <c r="H937" s="15" t="e">
        <f>IF(A941=A942,_xll.ciqfunctions.udf.CIQ(A933,"IQ_TOTAL_DIV_PAID_CF",IQ_FY-6)/-I937, _xll.ciqfunctions.udf.CIQ(A933, "IQ_TOTAL_DIV_PAID_CF",IQ_FY-5)/-I937)</f>
        <v>#DIV/0!</v>
      </c>
      <c r="I937" s="17">
        <f>IF(A941=A942,_xll.ciqfunctions.udf.CIQ(A933,"IQ_TOTAL_OUTSTANDING_FILING_DATE",IQ_FY-6), _xll.ciqfunctions.udf.CIQ(A933, "IQ_TOTAL_OUTSTANDING_FILING_DATE",IQ_FY-5))</f>
        <v>0</v>
      </c>
      <c r="J937" s="17">
        <f>IF(A941=A942,_xll.ciqfunctions.udf.CIQ(A933,"IQ_CASH_OPER",IQ_FY-6), _xll.ciqfunctions.udf.CIQ(A933, "IQ_CASH_OPER",IQ_FY-5))</f>
        <v>0</v>
      </c>
      <c r="K937" s="17">
        <f>IF(A941=A942,_xll.ciqfunctions.udf.CIQ(A933,"IQ_CAPEX",IQ_FY-6), _xll.ciqfunctions.udf.CIQ(A933, "IQ_CAPEX",IQ_FY-5))</f>
        <v>0</v>
      </c>
      <c r="L937" s="15" t="e">
        <f t="shared" si="248"/>
        <v>#DIV/0!</v>
      </c>
      <c r="M937" s="17">
        <f>IF(A941=A942,_xll.ciqfunctions.udf.CIQ(A933,"IQ_TOTAL_DEBT_ISSUED",IQ_FY-6), _xll.ciqfunctions.udf.CIQ(A933, "IQ_TOTAL_DEBT_ISSUED",IQ_FY-5))</f>
        <v>0</v>
      </c>
      <c r="N937" s="17">
        <f>IF(A941=A942,_xll.ciqfunctions.udf.CIQ(A933,"IQ_TOTAL_DEBT_REPAID",IQ_FY-6), _xll.ciqfunctions.udf.CIQ(A933, "IQ_TOTAL_DEBT_REPAID",IQ_FY-5))</f>
        <v>0</v>
      </c>
      <c r="O937" s="15" t="e">
        <f t="shared" si="249"/>
        <v>#DIV/0!</v>
      </c>
      <c r="P937" s="15" t="e">
        <f t="shared" si="250"/>
        <v>#DIV/0!</v>
      </c>
      <c r="Q937" s="18"/>
      <c r="R937" s="38" t="s">
        <v>50</v>
      </c>
      <c r="S937" s="3">
        <f>I944</f>
        <v>0.32279077018427205</v>
      </c>
      <c r="U937" s="18"/>
      <c r="V937" s="38" t="s">
        <v>50</v>
      </c>
      <c r="W937" s="3">
        <f>I944</f>
        <v>0.32279077018427205</v>
      </c>
      <c r="Y937" s="18"/>
      <c r="Z937" s="38" t="s">
        <v>50</v>
      </c>
      <c r="AA937" s="3">
        <f>I944</f>
        <v>0.32279077018427205</v>
      </c>
    </row>
    <row r="938" spans="1:27">
      <c r="B938" s="13">
        <v>6</v>
      </c>
      <c r="C938" s="14" t="s">
        <v>26</v>
      </c>
      <c r="D938" s="15" cm="1">
        <f t="array" ref="D938">_xlfn.SINGLE(IF(A941=A942,_xll.ciqfunctions.udf.CIQ(A933,"IQ_TOTAL_REV",IQ_FY-5)/I938, _xll.ciqfunctions.udf.CIQ(A933, "IQ_TOTAL_REV",IQ_FY-4)/I938))</f>
        <v>1.1081904552667556</v>
      </c>
      <c r="E938" s="16" t="e">
        <f t="shared" si="251"/>
        <v>#DIV/0!</v>
      </c>
      <c r="F938" s="15">
        <f>IF(A941=A942,_xll.ciqfunctions.udf.CIQ(A933,"IQ_DILUT_EPS_EXCL",IQ_FY-5), _xll.ciqfunctions.udf.CIQ(A933, "IQ_DILUT_EPS_EXCL",IQ_FY-4))</f>
        <v>-1.1710700000000001</v>
      </c>
      <c r="G938" s="15">
        <f>IF(A941=A942,_xll.ciqfunctions.udf.CIQ(A933,"IQ_EBITDA_MARGIN",IQ_FY-5), _xll.ciqfunctions.udf.CIQ(A933, "IQ_EBITDA_MARGIN",IQ_FY-4))</f>
        <v>-98.391099999999994</v>
      </c>
      <c r="H938" s="15">
        <f>IF(A941=A942,_xll.ciqfunctions.udf.CIQ(A933,"IQ_TOTAL_DIV_PAID_CF",IQ_FY-5)/-I938, _xll.ciqfunctions.udf.CIQ(A933, "IQ_TOTAL_DIV_PAID_CF",IQ_FY-4)/-I938)</f>
        <v>0</v>
      </c>
      <c r="I938" s="17">
        <f>IF(A941=A942,_xll.ciqfunctions.udf.CIQ(A933,"IQ_TOTAL_OUTSTANDING_FILING_DATE",IQ_FY-5), _xll.ciqfunctions.udf.CIQ(A933, "IQ_TOTAL_OUTSTANDING_FILING_DATE",IQ_FY-4))</f>
        <v>537.28039000000001</v>
      </c>
      <c r="J938" s="17">
        <f>IF(A941=A942,_xll.ciqfunctions.udf.CIQ(A933,"IQ_CASH_OPER",IQ_FY-5), _xll.ciqfunctions.udf.CIQ(A933, "IQ_CASH_OPER",IQ_FY-4))</f>
        <v>-39.012</v>
      </c>
      <c r="K938" s="17">
        <f>IF(A941=A942,_xll.ciqfunctions.udf.CIQ(A933,"IQ_CAPEX",IQ_FY-5), _xll.ciqfunctions.udf.CIQ(A933, "IQ_CAPEX",IQ_FY-4))</f>
        <v>-15.404</v>
      </c>
      <c r="L938" s="15">
        <f t="shared" si="248"/>
        <v>-0.10128045060419941</v>
      </c>
      <c r="M938" s="17">
        <f>IF(A941=A942,_xll.ciqfunctions.udf.CIQ(A933,"IQ_TOTAL_DEBT_ISSUED",IQ_FY-5), _xll.ciqfunctions.udf.CIQ(A933, "IQ_TOTAL_DEBT_ISSUED",IQ_FY-4))</f>
        <v>0</v>
      </c>
      <c r="N938" s="17">
        <f>IF(A941=A942,_xll.ciqfunctions.udf.CIQ(A933,"IQ_TOTAL_DEBT_REPAID",IQ_FY-5), _xll.ciqfunctions.udf.CIQ(A933, "IQ_TOTAL_DEBT_REPAID",IQ_FY-4))</f>
        <v>-56.491</v>
      </c>
      <c r="O938" s="15">
        <f t="shared" si="249"/>
        <v>-0.10514249366145673</v>
      </c>
      <c r="P938" s="15">
        <f t="shared" si="250"/>
        <v>-0.20642294426565613</v>
      </c>
      <c r="Q938" s="25" t="s">
        <v>27</v>
      </c>
      <c r="R938" s="38" t="s">
        <v>51</v>
      </c>
      <c r="S938" s="4">
        <f>AVERAGE(F938:F943)/AVERAGE(D938:D943)</f>
        <v>-0.66996527528760119</v>
      </c>
      <c r="U938" s="25" t="s">
        <v>58</v>
      </c>
      <c r="V938" s="38" t="s">
        <v>51</v>
      </c>
      <c r="W938" s="4">
        <f>AVERAGE(F938:F943)/AVERAGE(D938:D943)</f>
        <v>-0.66996527528760119</v>
      </c>
      <c r="Y938" s="25" t="s">
        <v>56</v>
      </c>
      <c r="Z938" s="38" t="s">
        <v>51</v>
      </c>
      <c r="AA938" s="4">
        <f>AVERAGE(F938:F943)/AVERAGE(D938:D943)</f>
        <v>-0.66996527528760119</v>
      </c>
    </row>
    <row r="939" spans="1:27">
      <c r="A939" s="18"/>
      <c r="B939" s="13">
        <v>7</v>
      </c>
      <c r="C939" s="14" t="s">
        <v>28</v>
      </c>
      <c r="D939" s="15" cm="1">
        <f t="array" ref="D939">_xlfn.SINGLE(IF(A941=A942,_xll.ciqfunctions.udf.CIQ(A933,"IQ_TOTAL_REV",IQ_FY-4)/I939, _xll.ciqfunctions.udf.CIQ(A933, "IQ_TOTAL_REV",IQ_FY-3)/I939))</f>
        <v>1.2769710708111504</v>
      </c>
      <c r="E939" s="16">
        <f t="shared" si="251"/>
        <v>0.1523028958986721</v>
      </c>
      <c r="F939" s="15">
        <f>IF(A941=A942,_xll.ciqfunctions.udf.CIQ(A933,"IQ_DILUT_EPS_EXCL",IQ_FY-4), _xll.ciqfunctions.udf.CIQ(A933, "IQ_DILUT_EPS_EXCL",IQ_FY-3))</f>
        <v>-1.02</v>
      </c>
      <c r="G939" s="15">
        <f>IF(A941=A942,_xll.ciqfunctions.udf.CIQ(A933,"IQ_EBITDA_MARGIN",IQ_FY-4), _xll.ciqfunctions.udf.CIQ(A933, "IQ_EBITDA_MARGIN",IQ_FY-3))</f>
        <v>-75.979399999999998</v>
      </c>
      <c r="H939" s="15">
        <f>IF(A941=A942,_xll.ciqfunctions.udf.CIQ(A933,"IQ_TOTAL_DIV_PAID_CF",IQ_FY-4)/-I939, _xll.ciqfunctions.udf.CIQ(A933, "IQ_TOTAL_DIV_PAID_CF",IQ_FY-3)/-I939)</f>
        <v>0</v>
      </c>
      <c r="I939" s="17">
        <f>IF(A941=A942,_xll.ciqfunctions.udf.CIQ(A933,"IQ_TOTAL_OUTSTANDING_FILING_DATE",IQ_FY-4), _xll.ciqfunctions.udf.CIQ(A933, "IQ_TOTAL_OUTSTANDING_FILING_DATE",IQ_FY-3))</f>
        <v>581.49712</v>
      </c>
      <c r="J939" s="17">
        <f>IF(A941=A942,_xll.ciqfunctions.udf.CIQ(A933,"IQ_CASH_OPER",IQ_FY-4), _xll.ciqfunctions.udf.CIQ(A933, "IQ_CASH_OPER",IQ_FY-3))</f>
        <v>-165.215</v>
      </c>
      <c r="K939" s="17">
        <f>IF(A941=A942,_xll.ciqfunctions.udf.CIQ(A933,"IQ_CAPEX",IQ_FY-4), _xll.ciqfunctions.udf.CIQ(A933, "IQ_CAPEX",IQ_FY-3))</f>
        <v>-13.096</v>
      </c>
      <c r="L939" s="15">
        <f t="shared" si="248"/>
        <v>-0.30664124355422434</v>
      </c>
      <c r="M939" s="17">
        <f>IF(A941=A942,_xll.ciqfunctions.udf.CIQ(A933,"IQ_TOTAL_DEBT_ISSUED",IQ_FY-4), _xll.ciqfunctions.udf.CIQ(A933, "IQ_TOTAL_DEBT_ISSUED",IQ_FY-3))</f>
        <v>544.41300000000001</v>
      </c>
      <c r="N939" s="17">
        <f>IF(A941=A942,_xll.ciqfunctions.udf.CIQ(A933,"IQ_TOTAL_DEBT_REPAID",IQ_FY-4), _xll.ciqfunctions.udf.CIQ(A933, "IQ_TOTAL_DEBT_REPAID",IQ_FY-3))</f>
        <v>-150</v>
      </c>
      <c r="O939" s="15">
        <f t="shared" si="249"/>
        <v>0.67827163099277266</v>
      </c>
      <c r="P939" s="15">
        <f t="shared" si="250"/>
        <v>0.37163038743854832</v>
      </c>
      <c r="Q939" s="18"/>
      <c r="R939" s="38" t="s">
        <v>29</v>
      </c>
      <c r="S939" s="4">
        <f>(AVERAGE(P938:P943)/_xlfn.STDEV.P(P938:P943))/(IF(A941=A942,(_xlfn.SINGLE(_xll.ciqfunctions.udf.CIQ(A933,"IQ_total_assets",IQ_FY)) - _xlfn.SINGLE(_xll.ciqfunctions.udf.CIQ(A933,"iq_gw_intan", IQ_FY)))/I943, (_xlfn.SINGLE(_xll.ciqfunctions.udf.CIQ(A933, "IQ_total_assets",IQ_LTM))-_xlfn.SINGLE(_xll.ciqfunctions.udf.CIQ(A933,"iq_gw_intan",IQ_LTM)))/I943))</f>
        <v>9.5888373248188469E-2</v>
      </c>
      <c r="U939" s="18"/>
      <c r="V939" s="38" t="s">
        <v>29</v>
      </c>
      <c r="W939" s="4">
        <f>(AVERAGE(P938:P943)/_xlfn.STDEV.P(P938:P943))/(IF(A941=A942,(_xlfn.SINGLE(_xll.ciqfunctions.udf.CIQ(A933,"IQ_total_assets",IQ_FY)) - _xlfn.SINGLE(_xll.ciqfunctions.udf.CIQ(A933,"iq_gw_intan", IQ_FY)))/I943, (_xlfn.SINGLE(_xll.ciqfunctions.udf.CIQ(A933, "IQ_total_assets",IQ_LTM))-_xlfn.SINGLE(_xll.ciqfunctions.udf.CIQ(A933,"iq_gw_intan",IQ_LTM)))/I943))</f>
        <v>9.5888373248188469E-2</v>
      </c>
      <c r="Y939" s="18"/>
      <c r="Z939" s="38" t="s">
        <v>29</v>
      </c>
      <c r="AA939" s="4">
        <f>(AVERAGE(P938:P943)/_xlfn.STDEV.P(P938:P943))/(IF(A941=A942,(_xlfn.SINGLE(_xll.ciqfunctions.udf.CIQ(A933,"IQ_total_assets",IQ_FY)) - _xlfn.SINGLE(_xll.ciqfunctions.udf.CIQ(A933,"iq_gw_intan", IQ_FY)))/I943, (_xlfn.SINGLE(_xll.ciqfunctions.udf.CIQ(A933, "IQ_total_assets",IQ_LTM))-_xlfn.SINGLE(_xll.ciqfunctions.udf.CIQ(A933,"iq_gw_intan",IQ_LTM)))/I943))</f>
        <v>9.5888373248188469E-2</v>
      </c>
    </row>
    <row r="940" spans="1:27">
      <c r="A940" s="18"/>
      <c r="B940" s="13">
        <v>8</v>
      </c>
      <c r="C940" s="14" t="s">
        <v>30</v>
      </c>
      <c r="D940" s="15" cm="1">
        <f t="array" ref="D940">_xlfn.SINGLE(IF(A941=A942,_xll.ciqfunctions.udf.CIQ(A933,"IQ_TOTAL_REV",IQ_FY-3)/I940, _xll.ciqfunctions.udf.CIQ(A933, "IQ_TOTAL_REV",IQ_FY-2)/I940))</f>
        <v>0.59962270633639936</v>
      </c>
      <c r="E940" s="16">
        <f t="shared" si="251"/>
        <v>-0.53043360179216092</v>
      </c>
      <c r="F940" s="15">
        <f>IF(A941=A942,_xll.ciqfunctions.udf.CIQ(A933,"IQ_DILUT_EPS_EXCL",IQ_FY-3), _xll.ciqfunctions.udf.CIQ(A933, "IQ_DILUT_EPS_EXCL",IQ_FY-2))</f>
        <v>-1.19661</v>
      </c>
      <c r="G940" s="15">
        <f>IF(A941=A942,_xll.ciqfunctions.udf.CIQ(A933,"IQ_EBITDA_MARGIN",IQ_FY-3), _xll.ciqfunctions.udf.CIQ(A933, "IQ_EBITDA_MARGIN",IQ_FY-2))</f>
        <v>-106.14409999999999</v>
      </c>
      <c r="H940" s="15">
        <f>IF(A941=A942,_xll.ciqfunctions.udf.CIQ(A933,"IQ_TOTAL_DIV_PAID_CF",IQ_FY-3)/-I940, _xll.ciqfunctions.udf.CIQ(A933, "IQ_TOTAL_DIV_PAID_CF",IQ_FY-2)/-I940)</f>
        <v>0</v>
      </c>
      <c r="I940" s="17">
        <f>IF(A941=A942,_xll.ciqfunctions.udf.CIQ(A933,"IQ_TOTAL_OUTSTANDING_FILING_DATE",IQ_FY-3), _xll.ciqfunctions.udf.CIQ(A933, "IQ_TOTAL_OUTSTANDING_FILING_DATE",IQ_FY-2))</f>
        <v>1822.26755</v>
      </c>
      <c r="J940" s="17">
        <f>IF(A941=A942,_xll.ciqfunctions.udf.CIQ(A933,"IQ_CASH_OPER",IQ_FY-3), _xll.ciqfunctions.udf.CIQ(A933, "IQ_CASH_OPER",IQ_FY-2))</f>
        <v>-296.608</v>
      </c>
      <c r="K940" s="17">
        <f>IF(A941=A942,_xll.ciqfunctions.udf.CIQ(A933,"IQ_CAPEX",IQ_FY-3), _xll.ciqfunctions.udf.CIQ(A933, "IQ_CAPEX",IQ_FY-2))</f>
        <v>-12.236000000000001</v>
      </c>
      <c r="L940" s="15">
        <f t="shared" si="248"/>
        <v>-0.16948334507740095</v>
      </c>
      <c r="M940" s="17">
        <f>IF(A941=A942,_xll.ciqfunctions.udf.CIQ(A933,"IQ_TOTAL_DEBT_ISSUED",IQ_FY-3), _xll.ciqfunctions.udf.CIQ(A933, "IQ_TOTAL_DEBT_ISSUED",IQ_FY-2))</f>
        <v>199.369</v>
      </c>
      <c r="N940" s="17">
        <f>IF(A941=A942,_xll.ciqfunctions.udf.CIQ(A933,"IQ_TOTAL_DEBT_REPAID",IQ_FY-3), _xll.ciqfunctions.udf.CIQ(A933, "IQ_TOTAL_DEBT_REPAID",IQ_FY-2))</f>
        <v>-400</v>
      </c>
      <c r="O940" s="15">
        <f t="shared" si="249"/>
        <v>-0.11009963932025239</v>
      </c>
      <c r="P940" s="15">
        <f t="shared" si="250"/>
        <v>-0.27958298439765333</v>
      </c>
      <c r="Q940" s="18"/>
      <c r="R940" s="39" t="s">
        <v>31</v>
      </c>
      <c r="S940" s="5" t="e">
        <f>IF(NOT(D933&gt;0),FALSE,SLOPE(G933:G943,B933:B943))</f>
        <v>#DIV/0!</v>
      </c>
      <c r="U940" s="18"/>
      <c r="V940" s="39" t="s">
        <v>31</v>
      </c>
      <c r="W940" s="5" t="e">
        <f>IF(NOT(D933&gt;0),FALSE,SLOPE(G933:G943,B933:B943))</f>
        <v>#DIV/0!</v>
      </c>
      <c r="Y940" s="18"/>
      <c r="Z940" s="39" t="s">
        <v>31</v>
      </c>
      <c r="AA940" s="5" t="e">
        <f>IF(NOT(L933&gt;0),FALSE,SLOPE(O933:O943,J933:J943))</f>
        <v>#DIV/0!</v>
      </c>
    </row>
    <row r="941" spans="1:27">
      <c r="A941" s="19">
        <f>_xll.ciqfunctions.udf.CIQ(A933,"IQ_TOTAL_REV",IQ_FY)</f>
        <v>1905.8710000000001</v>
      </c>
      <c r="B941" s="13">
        <v>9</v>
      </c>
      <c r="C941" s="14" t="s">
        <v>32</v>
      </c>
      <c r="D941" s="15" cm="1">
        <f t="array" ref="D941">_xlfn.SINGLE(IF(A941=A942,_xll.ciqfunctions.udf.CIQ(A933,"IQ_TOTAL_REV",IQ_FY-2)/I941, _xll.ciqfunctions.udf.CIQ(A933, "IQ_TOTAL_REV",IQ_FY-1)/I941))</f>
        <v>0.75950695563885207</v>
      </c>
      <c r="E941" s="16">
        <f t="shared" si="251"/>
        <v>0.26664141903384608</v>
      </c>
      <c r="F941" s="15">
        <f>IF(A941=A942,_xll.ciqfunctions.udf.CIQ(A933,"IQ_DILUT_EPS_EXCL",IQ_FY-2), _xll.ciqfunctions.udf.CIQ(A933, "IQ_DILUT_EPS_EXCL",IQ_FY-1))</f>
        <v>-0.27051999999999998</v>
      </c>
      <c r="G941" s="15">
        <f>IF(A941=A942,_xll.ciqfunctions.udf.CIQ(A933,"IQ_EBITDA_MARGIN",IQ_FY-2), _xll.ciqfunctions.udf.CIQ(A933, "IQ_EBITDA_MARGIN",IQ_FY-1))</f>
        <v>-25.692399999999999</v>
      </c>
      <c r="H941" s="15">
        <f>IF(A941=A942,_xll.ciqfunctions.udf.CIQ(A933,"IQ_TOTAL_DIV_PAID_CF",IQ_FY-2)/-I941, _xll.ciqfunctions.udf.CIQ(A933, "IQ_TOTAL_DIV_PAID_CF",IQ_FY-1)/-I941)</f>
        <v>0</v>
      </c>
      <c r="I941" s="17">
        <f>IF(A941=A942,_xll.ciqfunctions.udf.CIQ(A933,"IQ_TOTAL_OUTSTANDING_FILING_DATE",IQ_FY-2), _xll.ciqfunctions.udf.CIQ(A933, "IQ_TOTAL_OUTSTANDING_FILING_DATE",IQ_FY-1))</f>
        <v>2030.11834</v>
      </c>
      <c r="J941" s="17">
        <f>IF(A941=A942,_xll.ciqfunctions.udf.CIQ(A933,"IQ_CASH_OPER",IQ_FY-2), _xll.ciqfunctions.udf.CIQ(A933, "IQ_CASH_OPER",IQ_FY-1))</f>
        <v>333.851</v>
      </c>
      <c r="K941" s="17">
        <f>IF(A941=A942,_xll.ciqfunctions.udf.CIQ(A933,"IQ_CAPEX",IQ_FY-2), _xll.ciqfunctions.udf.CIQ(A933, "IQ_CAPEX",IQ_FY-1))</f>
        <v>-12.627000000000001</v>
      </c>
      <c r="L941" s="15">
        <f t="shared" si="248"/>
        <v>0.15822919958449319</v>
      </c>
      <c r="M941" s="17">
        <f>IF(A941=A942,_xll.ciqfunctions.udf.CIQ(A933,"IQ_TOTAL_DEBT_ISSUED",IQ_FY-2), _xll.ciqfunctions.udf.CIQ(A933, "IQ_TOTAL_DEBT_ISSUED",IQ_FY-1))</f>
        <v>0</v>
      </c>
      <c r="N941" s="17">
        <f>IF(A941=A942,_xll.ciqfunctions.udf.CIQ(A933,"IQ_TOTAL_DEBT_REPAID",IQ_FY-2), _xll.ciqfunctions.udf.CIQ(A933, "IQ_TOTAL_DEBT_REPAID",IQ_FY-1))</f>
        <v>-200</v>
      </c>
      <c r="O941" s="15">
        <f t="shared" si="249"/>
        <v>-9.8516424416913551E-2</v>
      </c>
      <c r="P941" s="15">
        <f t="shared" si="250"/>
        <v>5.971277516757964E-2</v>
      </c>
      <c r="Q941" s="25" t="s">
        <v>33</v>
      </c>
      <c r="R941" s="38" t="s">
        <v>52</v>
      </c>
      <c r="S941" s="4">
        <f>(AVERAGE(O938:O943)/AVERAGE(P938:P943))</f>
        <v>1.4530014329670098</v>
      </c>
      <c r="U941" s="25" t="s">
        <v>54</v>
      </c>
      <c r="V941" s="38" t="s">
        <v>52</v>
      </c>
      <c r="W941" s="4">
        <f>(AVERAGE(O938:O943)/AVERAGE(P938:P943))</f>
        <v>1.4530014329670098</v>
      </c>
      <c r="Y941" s="25" t="s">
        <v>60</v>
      </c>
      <c r="Z941" s="38" t="s">
        <v>52</v>
      </c>
      <c r="AA941" s="4">
        <f>(AVERAGE(O938:O943)/AVERAGE(P938:P943))</f>
        <v>1.4530014329670098</v>
      </c>
    </row>
    <row r="942" spans="1:27">
      <c r="A942" s="19">
        <f>_xll.ciqfunctions.udf.CIQ(A933,"IQ_TOTAL_REV",IQ_LTM)</f>
        <v>2125.2860000000001</v>
      </c>
      <c r="B942" s="13">
        <v>10</v>
      </c>
      <c r="C942" s="14" t="s">
        <v>34</v>
      </c>
      <c r="D942" s="15" cm="1">
        <f t="array" ref="D942">_xlfn.SINGLE(IF(A941=A942,_xll.ciqfunctions.udf.CIQ(A933,"IQ_TOTAL_REV",IQ_FY-1)/I942, _xll.ciqfunctions.udf.CIQ(A933, "IQ_TOTAL_REV",IQ_FY)/I942))</f>
        <v>0.90695850817022206</v>
      </c>
      <c r="E942" s="16">
        <f t="shared" si="251"/>
        <v>0.19414114832871085</v>
      </c>
      <c r="F942" s="15">
        <f>IF(A941=A942,_xll.ciqfunctions.udf.CIQ(A933,"IQ_DILUT_EPS_EXCL",IQ_FY-1), _xll.ciqfunctions.udf.CIQ(A933, "IQ_DILUT_EPS_EXCL",IQ_FY))</f>
        <v>-0.18107999999999999</v>
      </c>
      <c r="G942" s="15">
        <f>IF(A941=A942,_xll.ciqfunctions.udf.CIQ(A933,"IQ_EBITDA_MARGIN",IQ_FY-1), _xll.ciqfunctions.udf.CIQ(A933, "IQ_EBITDA_MARGIN",IQ_FY))</f>
        <v>-7.2763999999999998</v>
      </c>
      <c r="H942" s="15">
        <f>IF(A941=A942,_xll.ciqfunctions.udf.CIQ(A933,"IQ_TOTAL_DIV_PAID_CF",IQ_FY-1)/-I942, _xll.ciqfunctions.udf.CIQ(A933, "IQ_TOTAL_DIV_PAID_CF",IQ_FY)/-I942)</f>
        <v>0</v>
      </c>
      <c r="I942" s="17">
        <f>IF(A941=A942,_xll.ciqfunctions.udf.CIQ(A933,"IQ_TOTAL_OUTSTANDING_FILING_DATE",IQ_FY-1), _xll.ciqfunctions.udf.CIQ(A933, "IQ_TOTAL_OUTSTANDING_FILING_DATE",IQ_FY))</f>
        <v>2101.3872000000001</v>
      </c>
      <c r="J942" s="17">
        <f>IF(A941=A942,_xll.ciqfunctions.udf.CIQ(A933,"IQ_CASH_OPER",IQ_FY-1), _xll.ciqfunctions.udf.CIQ(A933, "IQ_CASH_OPER",IQ_FY))</f>
        <v>223.73699999999999</v>
      </c>
      <c r="K942" s="17">
        <f>IF(A941=A942,_xll.ciqfunctions.udf.CIQ(A933,"IQ_CAPEX",IQ_FY-1), _xll.ciqfunctions.udf.CIQ(A933, "IQ_CAPEX",IQ_FY))</f>
        <v>-40.027000000000001</v>
      </c>
      <c r="L942" s="15">
        <f t="shared" si="248"/>
        <v>8.7423203110783179E-2</v>
      </c>
      <c r="M942" s="17">
        <f>IF(A941=A942,_xll.ciqfunctions.udf.CIQ(A933,"IQ_TOTAL_DEBT_ISSUED",IQ_FY-1), _xll.ciqfunctions.udf.CIQ(A933, "IQ_TOTAL_DEBT_ISSUED",IQ_FY))</f>
        <v>0</v>
      </c>
      <c r="N942" s="17">
        <f>IF(A941=A942,_xll.ciqfunctions.udf.CIQ(A933,"IQ_TOTAL_DEBT_REPAID",IQ_FY-1), _xll.ciqfunctions.udf.CIQ(A933, "IQ_TOTAL_DEBT_REPAID",IQ_FY))</f>
        <v>0</v>
      </c>
      <c r="O942" s="15">
        <f t="shared" si="249"/>
        <v>0</v>
      </c>
      <c r="P942" s="15">
        <f t="shared" si="250"/>
        <v>8.7423203110783179E-2</v>
      </c>
      <c r="Q942" s="25" t="s">
        <v>44</v>
      </c>
      <c r="R942" s="38" t="s">
        <v>35</v>
      </c>
      <c r="S942" s="1" t="str">
        <f>_xll.ciqfunctions.udf.CIQ(A933,"IQ_TEV_EBITDA")</f>
        <v>NM</v>
      </c>
      <c r="U942" s="25" t="s">
        <v>55</v>
      </c>
      <c r="V942" s="38" t="s">
        <v>53</v>
      </c>
      <c r="W942" s="1" t="e">
        <f>V932/(AVERAGE(D938:D943)/_xlfn.STDEV.P(E938:E943))</f>
        <v>#DIV/0!</v>
      </c>
      <c r="Y942" s="25" t="s">
        <v>57</v>
      </c>
      <c r="Z942" s="38" t="s">
        <v>53</v>
      </c>
      <c r="AA942" s="1" t="e">
        <f>Z932/(AVERAGE(D938:D943)/_xlfn.STDEV.P(E938:E943))</f>
        <v>#DIV/0!</v>
      </c>
    </row>
    <row r="943" spans="1:27">
      <c r="B943" s="13">
        <v>11</v>
      </c>
      <c r="C943" s="20" t="s">
        <v>36</v>
      </c>
      <c r="D943" s="21" cm="1">
        <f t="array" ref="D943">_xlfn.SINGLE(IF(A941=A942,_xll.ciqfunctions.udf.CIQ(A933,"IQ_TOTAL_REV",IQ_FY)/I943, _xll.ciqfunctions.udf.CIQ(A933, "IQ_TOTAL_REV",IQ_LTM)/I943))</f>
        <v>0.97669870510442813</v>
      </c>
      <c r="E943" s="22">
        <f t="shared" si="251"/>
        <v>7.6894583716851719E-2</v>
      </c>
      <c r="F943" s="21">
        <f>IF(A941=A942,_xll.ciqfunctions.udf.CIQ(A933,"IQ_DILUT_EPS_EXCL",IQ_FY), _xll.ciqfunctions.udf.CIQ(A933, "IQ_DILUT_EPS_EXCL",IQ_LTM))</f>
        <v>6.8750000000000006E-2</v>
      </c>
      <c r="G943" s="21">
        <f>IF(A941=A942,_xll.ciqfunctions.udf.CIQ(A933,"IQ_EBITDA_MARGIN",IQ_FY), _xll.ciqfunctions.udf.CIQ(A933, "IQ_EBITDA_MARGIN",IQ_LTM))</f>
        <v>3.2513000000000001</v>
      </c>
      <c r="H943" s="21">
        <f>IF(A941=A942,_xll.ciqfunctions.udf.CIQ(A933,"IQ_TOTAL_DIV_PAID_CF",IQ_FY)/-I943, _xll.ciqfunctions.udf.CIQ(A933, "IQ_TOTAL_DIV_PAID_CF",IQ_LTM)/-I943)</f>
        <v>0</v>
      </c>
      <c r="I943" s="23">
        <f>IF(A941=A942,_xll.ciqfunctions.udf.CIQ(A933,"IQ_TOTAL_OUTSTANDING_FILING_DATE",IQ_FY),_xll.ciqfunctions.udf.CIQ(A933,"IQ_sharesoutstanding"))</f>
        <v>2175.9893699999998</v>
      </c>
      <c r="J943" s="23">
        <f>IF(A941=A942,_xll.ciqfunctions.udf.CIQ(A933,"IQ_CASH_OPER",IQ_FY), _xll.ciqfunctions.udf.CIQ(A933, "IQ_CASH_OPER",IQ_LTM))</f>
        <v>489.774</v>
      </c>
      <c r="K943" s="23">
        <f>IF(A941=A942,_xll.ciqfunctions.udf.CIQ(A933,"IQ_CAPEX",IQ_FY), _xll.ciqfunctions.udf.CIQ(A933, "IQ_CAPEX",IQ_LTM))</f>
        <v>-15.172000000000001</v>
      </c>
      <c r="L943" s="21">
        <f t="shared" si="248"/>
        <v>0.21810860224928397</v>
      </c>
      <c r="M943" s="23">
        <f>IF(A941=A942,_xll.ciqfunctions.udf.CIQ(A933,"IQ_TOTAL_DEBT_ISSUED",IQ_FY), _xll.ciqfunctions.udf.CIQ(A933, "IQ_TOTAL_DEBT_ISSUED",IQ_LTM))</f>
        <v>0</v>
      </c>
      <c r="N943" s="23">
        <f>IF(A941=A942,_xll.ciqfunctions.udf.CIQ(A933,"IQ_TOTAL_DEBT_REPAID",IQ_FY), _xll.ciqfunctions.udf.CIQ(A933, "IQ_TOTAL_DEBT_REPAID",IQ_LTM))</f>
        <v>0</v>
      </c>
      <c r="O943" s="21">
        <f t="shared" si="249"/>
        <v>0</v>
      </c>
      <c r="P943" s="21">
        <f t="shared" si="250"/>
        <v>0.21810860224928397</v>
      </c>
      <c r="Q943" s="25" t="s">
        <v>45</v>
      </c>
      <c r="S943" s="45"/>
      <c r="U943" s="25"/>
      <c r="W943" s="45"/>
      <c r="Y943" s="25"/>
      <c r="AA943" s="45"/>
    </row>
    <row r="944" spans="1:27">
      <c r="B944" s="24"/>
      <c r="C944" s="25" t="s">
        <v>37</v>
      </c>
      <c r="E944" s="26">
        <f>((D943/D938)^(1/5))-1</f>
        <v>-2.4944713394258189E-2</v>
      </c>
      <c r="F944" s="27">
        <f>((F943/F938)^(1/5))-1</f>
        <v>-1.5672022819170226</v>
      </c>
      <c r="G944" s="28"/>
      <c r="H944" s="27" t="e">
        <f>((H943/H938)^(1/5))-1</f>
        <v>#DIV/0!</v>
      </c>
      <c r="I944" s="27">
        <f>((I943/I938)^(1/5))-1</f>
        <v>0.32279077018427205</v>
      </c>
      <c r="J944" s="27"/>
      <c r="K944" s="27"/>
      <c r="L944" s="26">
        <f>((L943/L938)^(1/5))-1</f>
        <v>-2.1658144498471783</v>
      </c>
      <c r="M944" s="26"/>
      <c r="N944" s="26"/>
      <c r="O944" s="26"/>
      <c r="P944" s="26">
        <f>((P943/P938)^(1/5))-1</f>
        <v>-2.0110740529009901</v>
      </c>
      <c r="Q944" s="18"/>
      <c r="R944" s="36"/>
      <c r="S944" s="45"/>
      <c r="U944" s="18"/>
      <c r="V944" s="36"/>
      <c r="W944" s="45"/>
      <c r="Y944" s="18"/>
      <c r="Z944" s="36"/>
      <c r="AA944" s="45"/>
    </row>
    <row r="945" spans="1:27">
      <c r="A945" s="29"/>
      <c r="B945" s="30"/>
      <c r="C945" s="31" t="s">
        <v>38</v>
      </c>
      <c r="D945" s="29"/>
      <c r="E945" s="32" t="e">
        <f>((D943/D933)^(1/10))-1</f>
        <v>#DIV/0!</v>
      </c>
      <c r="F945" s="33" t="e">
        <f>((F943/F933)^(1/10))-1</f>
        <v>#DIV/0!</v>
      </c>
      <c r="G945" s="34"/>
      <c r="H945" s="33" t="e">
        <f>((H943/H933)^(1/10))-1</f>
        <v>#DIV/0!</v>
      </c>
      <c r="I945" s="33" t="e">
        <f>((I943/I933)^(1/10))-1</f>
        <v>#DIV/0!</v>
      </c>
      <c r="J945" s="33"/>
      <c r="K945" s="33"/>
      <c r="L945" s="32" t="e">
        <f>((L943/L933)^(1/10))-1</f>
        <v>#DIV/0!</v>
      </c>
      <c r="M945" s="32"/>
      <c r="N945" s="32"/>
      <c r="O945" s="32"/>
      <c r="P945" s="32" t="e">
        <f>((P943/P933)^(1/10))-1</f>
        <v>#DIV/0!</v>
      </c>
      <c r="Q945" s="40"/>
      <c r="R945" s="41"/>
      <c r="S945" s="46"/>
      <c r="U945" s="40"/>
      <c r="V945" s="41"/>
      <c r="W945" s="46"/>
      <c r="Y945" s="40"/>
      <c r="Z945" s="41"/>
      <c r="AA945" s="46"/>
    </row>
    <row r="946" spans="1:27">
      <c r="B946" s="24"/>
      <c r="C946" s="25"/>
      <c r="E946" s="26"/>
      <c r="F946" s="27"/>
      <c r="G946" s="28"/>
      <c r="H946" s="27"/>
      <c r="I946" s="27"/>
      <c r="J946" s="27"/>
      <c r="K946" s="27"/>
      <c r="L946" s="26"/>
      <c r="M946" s="17"/>
      <c r="N946" s="17"/>
      <c r="O946" s="17"/>
      <c r="P946" s="35"/>
      <c r="Q946" s="18"/>
      <c r="R946" s="36"/>
    </row>
    <row r="947" spans="1:27">
      <c r="A947" s="9" t="s">
        <v>0</v>
      </c>
      <c r="B947" s="10"/>
      <c r="C947" s="9" t="s">
        <v>1</v>
      </c>
      <c r="D947" s="9" t="s">
        <v>2</v>
      </c>
      <c r="E947" s="9" t="s">
        <v>3</v>
      </c>
      <c r="F947" s="11" t="s">
        <v>4</v>
      </c>
      <c r="G947" s="11" t="s">
        <v>5</v>
      </c>
      <c r="H947" s="9" t="s">
        <v>6</v>
      </c>
      <c r="I947" s="11" t="s">
        <v>7</v>
      </c>
      <c r="J947" s="11" t="s">
        <v>8</v>
      </c>
      <c r="K947" s="11" t="s">
        <v>9</v>
      </c>
      <c r="L947" s="11" t="s">
        <v>10</v>
      </c>
      <c r="M947" s="11" t="s">
        <v>11</v>
      </c>
      <c r="N947" s="11" t="s">
        <v>12</v>
      </c>
      <c r="O947" s="11" t="s">
        <v>13</v>
      </c>
      <c r="P947" s="11" t="s">
        <v>14</v>
      </c>
      <c r="Q947" s="37" t="s">
        <v>15</v>
      </c>
      <c r="R947" s="42">
        <f>_xll.ciqfunctions.udf.CIQ(A948,("IQ_LASTSALEPRICE"))</f>
        <v>190.1</v>
      </c>
      <c r="S947" s="44"/>
      <c r="U947" s="37" t="s">
        <v>15</v>
      </c>
      <c r="V947" s="42">
        <f>_xll.ciqfunctions.udf.CIQ(A948,("IQ_LASTSALEPRICE"))</f>
        <v>190.1</v>
      </c>
      <c r="W947" s="44"/>
      <c r="Y947" s="37" t="s">
        <v>15</v>
      </c>
      <c r="Z947" s="42">
        <f>_xll.ciqfunctions.udf.CIQ(A948,("IQ_LASTSALEPRICE"))</f>
        <v>190.1</v>
      </c>
      <c r="AA947" s="44"/>
    </row>
    <row r="948" spans="1:27">
      <c r="A948" s="12" t="str">
        <f>Analysis!B65</f>
        <v>NasdaqGS:AAPL</v>
      </c>
      <c r="B948" s="13">
        <v>1</v>
      </c>
      <c r="C948" s="14" t="s">
        <v>16</v>
      </c>
      <c r="D948" s="15">
        <f>IF(A956=A957,_xll.ciqfunctions.udf.CIQ(A948,"IQ_TOTAL_REV",IQ_FY-10)/I948,_xll.ciqfunctions.udf.CIQ(A948, "IQ_TOTAL_REV",IQ_FY-9)/I948)</f>
        <v>6.7841177892103826</v>
      </c>
      <c r="E948" s="16"/>
      <c r="F948" s="15">
        <f>IF(A956=A957,_xll.ciqfunctions.udf.CIQ(A948,"IQ_DILUT_EPS_EXCL",IQ_FY-10), _xll.ciqfunctions.udf.CIQ(A948, "IQ_DILUT_EPS_EXCL",IQ_FY-9))</f>
        <v>1.42</v>
      </c>
      <c r="G948" s="15">
        <f>IF(A956=A957,_xll.ciqfunctions.udf.CIQ(A948,"IQ_EBITDA_MARGIN",IQ_FY-10), _xll.ciqfunctions.udf.CIQ(A948, "IQ_EBITDA_MARGIN",IQ_FY-9))</f>
        <v>32.622999999999998</v>
      </c>
      <c r="H948" s="15">
        <f>IF(A956=A957,_xll.ciqfunctions.udf.CIQ(A948,"IQ_TOTAL_DIV_PAID_CF",IQ_FY-10)/-I948, _xll.ciqfunctions.udf.CIQ(A948, "IQ_TOTAL_DIV_PAID_CF",IQ_FY-9)/-I948)</f>
        <v>0.4193284203687232</v>
      </c>
      <c r="I948" s="17">
        <f>IF(A956=A957,_xll.ciqfunctions.udf.CIQ(A948,"IQ_TOTAL_OUTSTANDING_FILING_DATE",IQ_FY-10), _xll.ciqfunctions.udf.CIQ(A948, "IQ_TOTAL_OUTSTANDING_FILING_DATE",IQ_FY-9))</f>
        <v>25192.664000000001</v>
      </c>
      <c r="J948" s="17">
        <f>IF(A956=A957,_xll.ciqfunctions.udf.CIQ(A948,"IQ_CASH_OPER",IQ_FY-10), _xll.ciqfunctions.udf.CIQ(A948, "IQ_CASH_OPER",IQ_FY-9))</f>
        <v>53666</v>
      </c>
      <c r="K948" s="17">
        <f>IF(A956=A957,_xll.ciqfunctions.udf.CIQ(A948,"IQ_CAPEX",IQ_FY-10), _xll.ciqfunctions.udf.CIQ(A948, "IQ_CAPEX",IQ_FY-9))</f>
        <v>-8165</v>
      </c>
      <c r="L948" s="15">
        <f t="shared" ref="L948:L958" si="252">(J948+K948)/I948</f>
        <v>1.8061210199921691</v>
      </c>
      <c r="M948" s="17">
        <f>IF(A956=A957,_xll.ciqfunctions.udf.CIQ(A948,"IQ_TOTAL_DEBT_ISSUED",IQ_FY-10), _xll.ciqfunctions.udf.CIQ(A948, "IQ_TOTAL_DEBT_ISSUED",IQ_FY-9))</f>
        <v>16896</v>
      </c>
      <c r="N948" s="17">
        <f>IF(A956=A957,_xll.ciqfunctions.udf.CIQ(A948,"IQ_TOTAL_DEBT_REPAID",IQ_FY-10), _xll.ciqfunctions.udf.CIQ(A948, "IQ_TOTAL_DEBT_REPAID",IQ_FY-9))</f>
        <v>0</v>
      </c>
      <c r="O948" s="15">
        <f t="shared" ref="O948:O958" si="253">(M948+N948)/I948</f>
        <v>0.67067143038147925</v>
      </c>
      <c r="P948" s="15">
        <f t="shared" ref="P948:P958" si="254">L948+O948</f>
        <v>2.4767924503736483</v>
      </c>
      <c r="W948" s="43"/>
      <c r="AA948" s="43"/>
    </row>
    <row r="949" spans="1:27">
      <c r="A949" s="18" t="str">
        <f>_xll.ciqfunctions.udf.CIQ(A948,"IQ_COMPANY_NAME")</f>
        <v>Apple Inc.</v>
      </c>
      <c r="B949" s="13">
        <v>2</v>
      </c>
      <c r="C949" s="14" t="s">
        <v>17</v>
      </c>
      <c r="D949" s="15">
        <f>IF(A956=A957,_xll.ciqfunctions.udf.CIQ(A948,"IQ_TOTAL_REV",IQ_FY-9)/I949, _xll.ciqfunctions.udf.CIQ(A948, "IQ_TOTAL_REV",IQ_FY-8)/I949)</f>
        <v>7.7919858001241291</v>
      </c>
      <c r="E949" s="16">
        <f t="shared" ref="E949:E958" si="255">(D949-D948)/D948</f>
        <v>0.14856287025509538</v>
      </c>
      <c r="F949" s="15">
        <f>IF(A956=A957,_xll.ciqfunctions.udf.CIQ(A948,"IQ_DILUT_EPS_EXCL",IQ_FY-9), _xll.ciqfunctions.udf.CIQ(A948, "IQ_DILUT_EPS_EXCL",IQ_FY-8))</f>
        <v>1.6125</v>
      </c>
      <c r="G949" s="15">
        <f>IF(A956=A957,_xll.ciqfunctions.udf.CIQ(A948,"IQ_EBITDA_MARGIN",IQ_FY-9), _xll.ciqfunctions.udf.CIQ(A948, "IQ_EBITDA_MARGIN",IQ_FY-8))</f>
        <v>33.069200000000002</v>
      </c>
      <c r="H949" s="15">
        <f>IF(A956=A957,_xll.ciqfunctions.udf.CIQ(A948,"IQ_TOTAL_DIV_PAID_CF",IQ_FY-9)/-I949, _xll.ciqfunctions.udf.CIQ(A948, "IQ_TOTAL_DIV_PAID_CF",IQ_FY-8)/-I949)</f>
        <v>0.47426698767570813</v>
      </c>
      <c r="I949" s="17">
        <f>IF(A956=A957,_xll.ciqfunctions.udf.CIQ(A948,"IQ_TOTAL_OUTSTANDING_FILING_DATE",IQ_FY-9), _xll.ciqfunctions.udf.CIQ(A948, "IQ_TOTAL_OUTSTANDING_FILING_DATE",IQ_FY-8))</f>
        <v>23459.360000000001</v>
      </c>
      <c r="J949" s="17">
        <f>IF(A956=A957,_xll.ciqfunctions.udf.CIQ(A948,"IQ_CASH_OPER",IQ_FY-9), _xll.ciqfunctions.udf.CIQ(A948, "IQ_CASH_OPER",IQ_FY-8))</f>
        <v>59713</v>
      </c>
      <c r="K949" s="17">
        <f>IF(A956=A957,_xll.ciqfunctions.udf.CIQ(A948,"IQ_CAPEX",IQ_FY-9), _xll.ciqfunctions.udf.CIQ(A948, "IQ_CAPEX",IQ_FY-8))</f>
        <v>-9571</v>
      </c>
      <c r="L949" s="15">
        <f t="shared" si="252"/>
        <v>2.1373984627031599</v>
      </c>
      <c r="M949" s="17">
        <f>IF(A956=A957,_xll.ciqfunctions.udf.CIQ(A948,"IQ_TOTAL_DEBT_ISSUED",IQ_FY-9), _xll.ciqfunctions.udf.CIQ(A948, "IQ_TOTAL_DEBT_ISSUED",IQ_FY-8))</f>
        <v>18266</v>
      </c>
      <c r="N949" s="17">
        <f>IF(A956=A957,_xll.ciqfunctions.udf.CIQ(A948,"IQ_TOTAL_DEBT_REPAID",IQ_FY-9), _xll.ciqfunctions.udf.CIQ(A948, "IQ_TOTAL_DEBT_REPAID",IQ_FY-8))</f>
        <v>0</v>
      </c>
      <c r="O949" s="15">
        <f t="shared" si="253"/>
        <v>0.77862311674316775</v>
      </c>
      <c r="P949" s="15">
        <f t="shared" si="254"/>
        <v>2.9160215794463276</v>
      </c>
      <c r="Q949" s="25" t="s">
        <v>18</v>
      </c>
      <c r="R949" s="39" t="s">
        <v>19</v>
      </c>
      <c r="S949" s="1">
        <f>R947/((AVERAGE(P953:P958))*(1+E959)^3)</f>
        <v>27.127367283127388</v>
      </c>
      <c r="U949" s="25" t="s">
        <v>48</v>
      </c>
      <c r="V949" s="39" t="s">
        <v>19</v>
      </c>
      <c r="W949" s="1">
        <f>V947/((AVERAGE(P953:P958))*(1+E959)^3)</f>
        <v>27.127367283127388</v>
      </c>
      <c r="Y949" s="25" t="s">
        <v>39</v>
      </c>
      <c r="Z949" s="39" t="s">
        <v>19</v>
      </c>
      <c r="AA949" s="1">
        <f>Z947/((AVERAGE(P953:P958))*(1+E959)^3)</f>
        <v>27.127367283127388</v>
      </c>
    </row>
    <row r="950" spans="1:27">
      <c r="B950" s="13">
        <v>3</v>
      </c>
      <c r="C950" s="14" t="s">
        <v>20</v>
      </c>
      <c r="D950" s="15" cm="1">
        <f t="array" ref="D950">_xlfn.SINGLE(IF(A956=A957,_xll.ciqfunctions.udf.CIQ(A948,"IQ_TOTAL_REV",IQ_FY-8)/I950, _xll.ciqfunctions.udf.CIQ(A948, "IQ_TOTAL_REV",IQ_FY-7)/I950))</f>
        <v>10.479871060570215</v>
      </c>
      <c r="E950" s="16">
        <f t="shared" si="255"/>
        <v>0.34495510251100131</v>
      </c>
      <c r="F950" s="15">
        <f>IF(A956=A957,_xll.ciqfunctions.udf.CIQ(A948,"IQ_DILUT_EPS_EXCL",IQ_FY-8), _xll.ciqfunctions.udf.CIQ(A948, "IQ_DILUT_EPS_EXCL",IQ_FY-7))</f>
        <v>2.3050000000000002</v>
      </c>
      <c r="G950" s="15">
        <f>IF(A956=A957,_xll.ciqfunctions.udf.CIQ(A948,"IQ_EBITDA_MARGIN",IQ_FY-8), _xll.ciqfunctions.udf.CIQ(A948, "IQ_EBITDA_MARGIN",IQ_FY-7))</f>
        <v>35.293799999999997</v>
      </c>
      <c r="H950" s="15">
        <f>IF(A956=A957,_xll.ciqfunctions.udf.CIQ(A948,"IQ_TOTAL_DIV_PAID_CF",IQ_FY-8)/-I950, _xll.ciqfunctions.udf.CIQ(A948, "IQ_TOTAL_DIV_PAID_CF",IQ_FY-7)/-I950)</f>
        <v>0.51839971474339375</v>
      </c>
      <c r="I950" s="17">
        <f>IF(A956=A957,_xll.ciqfunctions.udf.CIQ(A948,"IQ_TOTAL_OUTSTANDING_FILING_DATE",IQ_FY-8), _xll.ciqfunctions.udf.CIQ(A948, "IQ_TOTAL_OUTSTANDING_FILING_DATE",IQ_FY-7))</f>
        <v>22301.324000000001</v>
      </c>
      <c r="J950" s="17">
        <f>IF(A956=A957,_xll.ciqfunctions.udf.CIQ(A948,"IQ_CASH_OPER",IQ_FY-8), _xll.ciqfunctions.udf.CIQ(A948, "IQ_CASH_OPER",IQ_FY-7))</f>
        <v>81266</v>
      </c>
      <c r="K950" s="17">
        <f>IF(A956=A957,_xll.ciqfunctions.udf.CIQ(A948,"IQ_CAPEX",IQ_FY-8), _xll.ciqfunctions.udf.CIQ(A948, "IQ_CAPEX",IQ_FY-7))</f>
        <v>-11247</v>
      </c>
      <c r="L950" s="15">
        <f t="shared" si="252"/>
        <v>3.1396790612073078</v>
      </c>
      <c r="M950" s="17">
        <f>IF(A956=A957,_xll.ciqfunctions.udf.CIQ(A948,"IQ_TOTAL_DEBT_ISSUED",IQ_FY-8), _xll.ciqfunctions.udf.CIQ(A948, "IQ_TOTAL_DEBT_ISSUED",IQ_FY-7))</f>
        <v>29305</v>
      </c>
      <c r="N950" s="17">
        <f>IF(A956=A957,_xll.ciqfunctions.udf.CIQ(A948,"IQ_TOTAL_DEBT_REPAID",IQ_FY-8), _xll.ciqfunctions.udf.CIQ(A948, "IQ_TOTAL_DEBT_REPAID",IQ_FY-7))</f>
        <v>0</v>
      </c>
      <c r="O950" s="15">
        <f t="shared" si="253"/>
        <v>1.3140475426481406</v>
      </c>
      <c r="P950" s="15">
        <f t="shared" si="254"/>
        <v>4.4537266038554488</v>
      </c>
      <c r="Q950" s="25" t="s">
        <v>21</v>
      </c>
      <c r="R950" s="38" t="s">
        <v>49</v>
      </c>
      <c r="S950" s="2">
        <f>(R947*I958)/1000</f>
        <v>2956.5781551999999</v>
      </c>
      <c r="U950" s="25" t="s">
        <v>59</v>
      </c>
      <c r="V950" s="38" t="s">
        <v>49</v>
      </c>
      <c r="W950" s="2">
        <f>(V947*I958)/1000</f>
        <v>2956.5781551999999</v>
      </c>
      <c r="Y950" s="25" t="s">
        <v>46</v>
      </c>
      <c r="Z950" s="38" t="s">
        <v>49</v>
      </c>
      <c r="AA950" s="2">
        <f>(Z947*I958)/1000</f>
        <v>2956.5781551999999</v>
      </c>
    </row>
    <row r="951" spans="1:27">
      <c r="A951" s="18"/>
      <c r="B951" s="13">
        <v>4</v>
      </c>
      <c r="C951" s="14" t="s">
        <v>22</v>
      </c>
      <c r="D951" s="15" cm="1">
        <f t="array" ref="D951">_xlfn.SINGLE(IF(A956=A957,_xll.ciqfunctions.udf.CIQ(A948,"IQ_TOTAL_REV",IQ_FY-7)/I951, _xll.ciqfunctions.udf.CIQ(A948, "IQ_TOTAL_REV",IQ_FY-6)/I951))</f>
        <v>10.110012296727518</v>
      </c>
      <c r="E951" s="16">
        <f t="shared" si="255"/>
        <v>-3.5292300993498317E-2</v>
      </c>
      <c r="F951" s="15">
        <f>IF(A956=A957,_xll.ciqfunctions.udf.CIQ(A948,"IQ_DILUT_EPS_EXCL",IQ_FY-7), _xll.ciqfunctions.udf.CIQ(A948, "IQ_DILUT_EPS_EXCL",IQ_FY-6))</f>
        <v>2.0775000000000001</v>
      </c>
      <c r="G951" s="15">
        <f>IF(A956=A957,_xll.ciqfunctions.udf.CIQ(A948,"IQ_EBITDA_MARGIN",IQ_FY-7), _xll.ciqfunctions.udf.CIQ(A948, "IQ_EBITDA_MARGIN",IQ_FY-6))</f>
        <v>32.706899999999997</v>
      </c>
      <c r="H951" s="15">
        <f>IF(A956=A957,_xll.ciqfunctions.udf.CIQ(A948,"IQ_TOTAL_DIV_PAID_CF",IQ_FY-7)/-I951, _xll.ciqfunctions.udf.CIQ(A948, "IQ_TOTAL_DIV_PAID_CF",IQ_FY-6)/-I951)</f>
        <v>0.56964022929636726</v>
      </c>
      <c r="I951" s="17">
        <f>IF(A956=A957,_xll.ciqfunctions.udf.CIQ(A948,"IQ_TOTAL_OUTSTANDING_FILING_DATE",IQ_FY-7), _xll.ciqfunctions.udf.CIQ(A948, "IQ_TOTAL_OUTSTANDING_FILING_DATE",IQ_FY-6))</f>
        <v>21329.252</v>
      </c>
      <c r="J951" s="17">
        <f>IF(A956=A957,_xll.ciqfunctions.udf.CIQ(A948,"IQ_CASH_OPER",IQ_FY-7), _xll.ciqfunctions.udf.CIQ(A948, "IQ_CASH_OPER",IQ_FY-6))</f>
        <v>66231</v>
      </c>
      <c r="K951" s="17">
        <f>IF(A956=A957,_xll.ciqfunctions.udf.CIQ(A948,"IQ_CAPEX",IQ_FY-7), _xll.ciqfunctions.udf.CIQ(A948, "IQ_CAPEX",IQ_FY-6))</f>
        <v>-12734</v>
      </c>
      <c r="L951" s="15">
        <f t="shared" si="252"/>
        <v>2.5081517157751243</v>
      </c>
      <c r="M951" s="17">
        <f>IF(A956=A957,_xll.ciqfunctions.udf.CIQ(A948,"IQ_TOTAL_DEBT_ISSUED",IQ_FY-7), _xll.ciqfunctions.udf.CIQ(A948, "IQ_TOTAL_DEBT_ISSUED",IQ_FY-6))</f>
        <v>24954</v>
      </c>
      <c r="N951" s="17">
        <f>IF(A956=A957,_xll.ciqfunctions.udf.CIQ(A948,"IQ_TOTAL_DEBT_REPAID",IQ_FY-7), _xll.ciqfunctions.udf.CIQ(A948, "IQ_TOTAL_DEBT_REPAID",IQ_FY-6))</f>
        <v>-2897</v>
      </c>
      <c r="O951" s="15">
        <f t="shared" si="253"/>
        <v>1.0341197150279813</v>
      </c>
      <c r="P951" s="15">
        <f t="shared" si="254"/>
        <v>3.5422714308031056</v>
      </c>
      <c r="Q951" s="25" t="s">
        <v>23</v>
      </c>
      <c r="R951" s="38" t="s">
        <v>24</v>
      </c>
      <c r="S951" s="1">
        <f>R947/(AVERAGE(H953:H958)*(1+H959)/(0.5-H959))</f>
        <v>92.40995617256273</v>
      </c>
      <c r="U951" s="25" t="s">
        <v>40</v>
      </c>
      <c r="V951" s="38" t="s">
        <v>24</v>
      </c>
      <c r="W951" s="1">
        <f>V947/(AVERAGE(H953:H958)*(1+H959)/(0.5-H959))</f>
        <v>92.40995617256273</v>
      </c>
      <c r="Y951" s="25" t="s">
        <v>47</v>
      </c>
      <c r="Z951" s="38" t="s">
        <v>24</v>
      </c>
      <c r="AA951" s="1">
        <f>Z947/(AVERAGE(H953:H958)*(1+H959)/(0.5-H959))</f>
        <v>92.40995617256273</v>
      </c>
    </row>
    <row r="952" spans="1:27">
      <c r="B952" s="13">
        <v>5</v>
      </c>
      <c r="C952" s="14" t="s">
        <v>25</v>
      </c>
      <c r="D952" s="15" cm="1">
        <f t="array" ref="D952">_xlfn.SINGLE(IF(A956=A957,_xll.ciqfunctions.udf.CIQ(A948,"IQ_TOTAL_REV",IQ_FY-6)/I952, _xll.ciqfunctions.udf.CIQ(A948, "IQ_TOTAL_REV",IQ_FY-5)/I952))</f>
        <v>11.161865504083117</v>
      </c>
      <c r="E952" s="16">
        <f t="shared" si="255"/>
        <v>0.10404074460879442</v>
      </c>
      <c r="F952" s="15">
        <f>IF(A956=A957,_xll.ciqfunctions.udf.CIQ(A948,"IQ_DILUT_EPS_EXCL",IQ_FY-6), _xll.ciqfunctions.udf.CIQ(A948, "IQ_DILUT_EPS_EXCL",IQ_FY-5))</f>
        <v>2.3025000000000002</v>
      </c>
      <c r="G952" s="15">
        <f>IF(A956=A957,_xll.ciqfunctions.udf.CIQ(A948,"IQ_EBITDA_MARGIN",IQ_FY-6), _xll.ciqfunctions.udf.CIQ(A948, "IQ_EBITDA_MARGIN",IQ_FY-5))</f>
        <v>31.191199999999998</v>
      </c>
      <c r="H952" s="15">
        <f>IF(A956=A957,_xll.ciqfunctions.udf.CIQ(A948,"IQ_TOTAL_DIV_PAID_CF",IQ_FY-6)/-I952, _xll.ciqfunctions.udf.CIQ(A948, "IQ_TOTAL_DIV_PAID_CF",IQ_FY-5)/-I952)</f>
        <v>0.62174834719822247</v>
      </c>
      <c r="I952" s="17">
        <f>IF(A956=A957,_xll.ciqfunctions.udf.CIQ(A948,"IQ_TOTAL_OUTSTANDING_FILING_DATE",IQ_FY-6), _xll.ciqfunctions.udf.CIQ(A948, "IQ_TOTAL_OUTSTANDING_FILING_DATE",IQ_FY-5))</f>
        <v>20537.248</v>
      </c>
      <c r="J952" s="17">
        <f>IF(A956=A957,_xll.ciqfunctions.udf.CIQ(A948,"IQ_CASH_OPER",IQ_FY-6), _xll.ciqfunctions.udf.CIQ(A948, "IQ_CASH_OPER",IQ_FY-5))</f>
        <v>64225</v>
      </c>
      <c r="K952" s="17">
        <f>IF(A956=A957,_xll.ciqfunctions.udf.CIQ(A948,"IQ_CAPEX",IQ_FY-6), _xll.ciqfunctions.udf.CIQ(A948, "IQ_CAPEX",IQ_FY-5))</f>
        <v>-12451</v>
      </c>
      <c r="L952" s="15">
        <f t="shared" si="252"/>
        <v>2.5209804156817897</v>
      </c>
      <c r="M952" s="17">
        <f>IF(A956=A957,_xll.ciqfunctions.udf.CIQ(A948,"IQ_TOTAL_DEBT_ISSUED",IQ_FY-6), _xll.ciqfunctions.udf.CIQ(A948, "IQ_TOTAL_DEBT_ISSUED",IQ_FY-5))</f>
        <v>32514</v>
      </c>
      <c r="N952" s="17">
        <f>IF(A956=A957,_xll.ciqfunctions.udf.CIQ(A948,"IQ_TOTAL_DEBT_REPAID",IQ_FY-6), _xll.ciqfunctions.udf.CIQ(A948, "IQ_TOTAL_DEBT_REPAID",IQ_FY-5))</f>
        <v>-3500</v>
      </c>
      <c r="O952" s="15">
        <f t="shared" si="253"/>
        <v>1.4127501406225411</v>
      </c>
      <c r="P952" s="15">
        <f t="shared" si="254"/>
        <v>3.9337305563043308</v>
      </c>
      <c r="Q952" s="18"/>
      <c r="R952" s="38" t="s">
        <v>50</v>
      </c>
      <c r="S952" s="3">
        <f>I959</f>
        <v>-3.9062985126440353E-2</v>
      </c>
      <c r="U952" s="18"/>
      <c r="V952" s="38" t="s">
        <v>50</v>
      </c>
      <c r="W952" s="3">
        <f>I959</f>
        <v>-3.9062985126440353E-2</v>
      </c>
      <c r="Y952" s="18"/>
      <c r="Z952" s="38" t="s">
        <v>50</v>
      </c>
      <c r="AA952" s="3">
        <f>I959</f>
        <v>-3.9062985126440353E-2</v>
      </c>
    </row>
    <row r="953" spans="1:27">
      <c r="B953" s="13">
        <v>6</v>
      </c>
      <c r="C953" s="14" t="s">
        <v>26</v>
      </c>
      <c r="D953" s="15" cm="1">
        <f t="array" ref="D953">_xlfn.SINGLE(IF(A956=A957,_xll.ciqfunctions.udf.CIQ(A948,"IQ_TOTAL_REV",IQ_FY-5)/I953, _xll.ciqfunctions.udf.CIQ(A948, "IQ_TOTAL_REV",IQ_FY-4)/I953))</f>
        <v>13.992240482252489</v>
      </c>
      <c r="E953" s="16">
        <f t="shared" si="255"/>
        <v>0.25357544194865939</v>
      </c>
      <c r="F953" s="15">
        <f>IF(A956=A957,_xll.ciqfunctions.udf.CIQ(A948,"IQ_DILUT_EPS_EXCL",IQ_FY-5), _xll.ciqfunctions.udf.CIQ(A948, "IQ_DILUT_EPS_EXCL",IQ_FY-4))</f>
        <v>2.98</v>
      </c>
      <c r="G953" s="15">
        <f>IF(A956=A957,_xll.ciqfunctions.udf.CIQ(A948,"IQ_EBITDA_MARGIN",IQ_FY-5), _xll.ciqfunctions.udf.CIQ(A948, "IQ_EBITDA_MARGIN",IQ_FY-4))</f>
        <v>30.799099999999999</v>
      </c>
      <c r="H953" s="15">
        <f>IF(A956=A957,_xll.ciqfunctions.udf.CIQ(A948,"IQ_TOTAL_DIV_PAID_CF",IQ_FY-5)/-I953, _xll.ciqfunctions.udf.CIQ(A948, "IQ_TOTAL_DIV_PAID_CF",IQ_FY-4)/-I953)</f>
        <v>0.72238408664563014</v>
      </c>
      <c r="I953" s="17">
        <f>IF(A956=A957,_xll.ciqfunctions.udf.CIQ(A948,"IQ_TOTAL_OUTSTANDING_FILING_DATE",IQ_FY-5), _xll.ciqfunctions.udf.CIQ(A948, "IQ_TOTAL_OUTSTANDING_FILING_DATE",IQ_FY-4))</f>
        <v>18981.592000000001</v>
      </c>
      <c r="J953" s="17">
        <f>IF(A956=A957,_xll.ciqfunctions.udf.CIQ(A948,"IQ_CASH_OPER",IQ_FY-5), _xll.ciqfunctions.udf.CIQ(A948, "IQ_CASH_OPER",IQ_FY-4))</f>
        <v>77434</v>
      </c>
      <c r="K953" s="17">
        <f>IF(A956=A957,_xll.ciqfunctions.udf.CIQ(A948,"IQ_CAPEX",IQ_FY-5), _xll.ciqfunctions.udf.CIQ(A948, "IQ_CAPEX",IQ_FY-4))</f>
        <v>-13313</v>
      </c>
      <c r="L953" s="15">
        <f t="shared" si="252"/>
        <v>3.3780622826578508</v>
      </c>
      <c r="M953" s="17">
        <f>IF(A956=A957,_xll.ciqfunctions.udf.CIQ(A948,"IQ_TOTAL_DEBT_ISSUED",IQ_FY-5), _xll.ciqfunctions.udf.CIQ(A948, "IQ_TOTAL_DEBT_ISSUED",IQ_FY-4))</f>
        <v>6969</v>
      </c>
      <c r="N953" s="17">
        <f>IF(A956=A957,_xll.ciqfunctions.udf.CIQ(A948,"IQ_TOTAL_DEBT_REPAID",IQ_FY-5), _xll.ciqfunctions.udf.CIQ(A948, "IQ_TOTAL_DEBT_REPAID",IQ_FY-4))</f>
        <v>-6537</v>
      </c>
      <c r="O953" s="15">
        <f t="shared" si="253"/>
        <v>2.2758891877983679E-2</v>
      </c>
      <c r="P953" s="15">
        <f t="shared" si="254"/>
        <v>3.4008211745358343</v>
      </c>
      <c r="Q953" s="25" t="s">
        <v>27</v>
      </c>
      <c r="R953" s="38" t="s">
        <v>51</v>
      </c>
      <c r="S953" s="4">
        <f>AVERAGE(F953:F958)/AVERAGE(D953:D958)</f>
        <v>0.23243358573126305</v>
      </c>
      <c r="U953" s="25" t="s">
        <v>58</v>
      </c>
      <c r="V953" s="38" t="s">
        <v>51</v>
      </c>
      <c r="W953" s="4">
        <f>AVERAGE(F953:F958)/AVERAGE(D953:D958)</f>
        <v>0.23243358573126305</v>
      </c>
      <c r="Y953" s="25" t="s">
        <v>56</v>
      </c>
      <c r="Z953" s="38" t="s">
        <v>51</v>
      </c>
      <c r="AA953" s="4">
        <f>AVERAGE(F953:F958)/AVERAGE(D953:D958)</f>
        <v>0.23243358573126305</v>
      </c>
    </row>
    <row r="954" spans="1:27">
      <c r="A954" s="18"/>
      <c r="B954" s="13">
        <v>7</v>
      </c>
      <c r="C954" s="14" t="s">
        <v>28</v>
      </c>
      <c r="D954" s="15" cm="1">
        <f t="array" ref="D954">_xlfn.SINGLE(IF(A956=A957,_xll.ciqfunctions.udf.CIQ(A948,"IQ_TOTAL_REV",IQ_FY-4)/I954, _xll.ciqfunctions.udf.CIQ(A948, "IQ_TOTAL_REV",IQ_FY-3)/I954))</f>
        <v>14.638672237645064</v>
      </c>
      <c r="E954" s="16">
        <f t="shared" si="255"/>
        <v>4.6199302835918062E-2</v>
      </c>
      <c r="F954" s="15">
        <f>IF(A956=A957,_xll.ciqfunctions.udf.CIQ(A948,"IQ_DILUT_EPS_EXCL",IQ_FY-4), _xll.ciqfunctions.udf.CIQ(A948, "IQ_DILUT_EPS_EXCL",IQ_FY-3))</f>
        <v>2.97</v>
      </c>
      <c r="G954" s="15">
        <f>IF(A956=A957,_xll.ciqfunctions.udf.CIQ(A948,"IQ_EBITDA_MARGIN",IQ_FY-4), _xll.ciqfunctions.udf.CIQ(A948, "IQ_EBITDA_MARGIN",IQ_FY-3))</f>
        <v>29.394500000000001</v>
      </c>
      <c r="H954" s="15">
        <f>IF(A956=A957,_xll.ciqfunctions.udf.CIQ(A948,"IQ_TOTAL_DIV_PAID_CF",IQ_FY-4)/-I954, _xll.ciqfunctions.udf.CIQ(A948, "IQ_TOTAL_DIV_PAID_CF",IQ_FY-3)/-I954)</f>
        <v>0.7944045651114664</v>
      </c>
      <c r="I954" s="17">
        <f>IF(A956=A957,_xll.ciqfunctions.udf.CIQ(A948,"IQ_TOTAL_OUTSTANDING_FILING_DATE",IQ_FY-4), _xll.ciqfunctions.udf.CIQ(A948, "IQ_TOTAL_OUTSTANDING_FILING_DATE",IQ_FY-3))</f>
        <v>17773.060000000001</v>
      </c>
      <c r="J954" s="17">
        <f>IF(A956=A957,_xll.ciqfunctions.udf.CIQ(A948,"IQ_CASH_OPER",IQ_FY-4), _xll.ciqfunctions.udf.CIQ(A948, "IQ_CASH_OPER",IQ_FY-3))</f>
        <v>69391</v>
      </c>
      <c r="K954" s="17">
        <f>IF(A956=A957,_xll.ciqfunctions.udf.CIQ(A948,"IQ_CAPEX",IQ_FY-4), _xll.ciqfunctions.udf.CIQ(A948, "IQ_CAPEX",IQ_FY-3))</f>
        <v>-10495</v>
      </c>
      <c r="L954" s="15">
        <f t="shared" si="252"/>
        <v>3.3137793942067373</v>
      </c>
      <c r="M954" s="17">
        <f>IF(A956=A957,_xll.ciqfunctions.udf.CIQ(A948,"IQ_TOTAL_DEBT_ISSUED",IQ_FY-4), _xll.ciqfunctions.udf.CIQ(A948, "IQ_TOTAL_DEBT_ISSUED",IQ_FY-3))</f>
        <v>6963</v>
      </c>
      <c r="N954" s="17">
        <f>IF(A956=A957,_xll.ciqfunctions.udf.CIQ(A948,"IQ_TOTAL_DEBT_REPAID",IQ_FY-4), _xll.ciqfunctions.udf.CIQ(A948, "IQ_TOTAL_DEBT_REPAID",IQ_FY-3))</f>
        <v>-14782</v>
      </c>
      <c r="O954" s="15">
        <f t="shared" si="253"/>
        <v>-0.4399354978827506</v>
      </c>
      <c r="P954" s="15">
        <f t="shared" si="254"/>
        <v>2.8738438963239865</v>
      </c>
      <c r="Q954" s="18"/>
      <c r="R954" s="38" t="s">
        <v>29</v>
      </c>
      <c r="S954" s="4">
        <f>(AVERAGE(P953:P958)/_xlfn.STDEV.P(P953:P958))/(IF(A956=A957,(_xlfn.SINGLE(_xll.ciqfunctions.udf.CIQ(A948,"IQ_total_assets",IQ_FY)) - _xlfn.SINGLE(_xll.ciqfunctions.udf.CIQ(A948,"iq_gw_intan", IQ_FY)))/I958, (_xlfn.SINGLE(_xll.ciqfunctions.udf.CIQ(A948, "IQ_total_assets",IQ_LTM))-_xlfn.SINGLE(_xll.ciqfunctions.udf.CIQ(A948,"iq_gw_intan",IQ_LTM)))/I958))</f>
        <v>0.14403192859800773</v>
      </c>
      <c r="U954" s="18"/>
      <c r="V954" s="38" t="s">
        <v>29</v>
      </c>
      <c r="W954" s="4">
        <f>(AVERAGE(P953:P958)/_xlfn.STDEV.P(P953:P958))/(IF(A956=A957,(_xlfn.SINGLE(_xll.ciqfunctions.udf.CIQ(A948,"IQ_total_assets",IQ_FY)) - _xlfn.SINGLE(_xll.ciqfunctions.udf.CIQ(A948,"iq_gw_intan", IQ_FY)))/I958, (_xlfn.SINGLE(_xll.ciqfunctions.udf.CIQ(A948, "IQ_total_assets",IQ_LTM))-_xlfn.SINGLE(_xll.ciqfunctions.udf.CIQ(A948,"iq_gw_intan",IQ_LTM)))/I958))</f>
        <v>0.14403192859800773</v>
      </c>
      <c r="Y954" s="18"/>
      <c r="Z954" s="38" t="s">
        <v>29</v>
      </c>
      <c r="AA954" s="4">
        <f>(AVERAGE(P953:P958)/_xlfn.STDEV.P(P953:P958))/(IF(A956=A957,(_xlfn.SINGLE(_xll.ciqfunctions.udf.CIQ(A948,"IQ_total_assets",IQ_FY)) - _xlfn.SINGLE(_xll.ciqfunctions.udf.CIQ(A948,"iq_gw_intan", IQ_FY)))/I958, (_xlfn.SINGLE(_xll.ciqfunctions.udf.CIQ(A948, "IQ_total_assets",IQ_LTM))-_xlfn.SINGLE(_xll.ciqfunctions.udf.CIQ(A948,"iq_gw_intan",IQ_LTM)))/I958))</f>
        <v>0.14403192859800773</v>
      </c>
    </row>
    <row r="955" spans="1:27">
      <c r="A955" s="18"/>
      <c r="B955" s="13">
        <v>8</v>
      </c>
      <c r="C955" s="14" t="s">
        <v>30</v>
      </c>
      <c r="D955" s="15" cm="1">
        <f t="array" ref="D955">_xlfn.SINGLE(IF(A956=A957,_xll.ciqfunctions.udf.CIQ(A948,"IQ_TOTAL_REV",IQ_FY-3)/I955, _xll.ciqfunctions.udf.CIQ(A948, "IQ_TOTAL_REV",IQ_FY-2)/I955))</f>
        <v>16.146229676124918</v>
      </c>
      <c r="E955" s="16">
        <f t="shared" si="255"/>
        <v>0.10298457496732474</v>
      </c>
      <c r="F955" s="15">
        <f>IF(A956=A957,_xll.ciqfunctions.udf.CIQ(A948,"IQ_DILUT_EPS_EXCL",IQ_FY-3), _xll.ciqfunctions.udf.CIQ(A948, "IQ_DILUT_EPS_EXCL",IQ_FY-2))</f>
        <v>3.28</v>
      </c>
      <c r="G955" s="15">
        <f>IF(A956=A957,_xll.ciqfunctions.udf.CIQ(A948,"IQ_EBITDA_MARGIN",IQ_FY-3), _xll.ciqfunctions.udf.CIQ(A948, "IQ_EBITDA_MARGIN",IQ_FY-2))</f>
        <v>28.174700000000001</v>
      </c>
      <c r="H955" s="15">
        <f>IF(A956=A957,_xll.ciqfunctions.udf.CIQ(A948,"IQ_TOTAL_DIV_PAID_CF",IQ_FY-3)/-I955, _xll.ciqfunctions.udf.CIQ(A948, "IQ_TOTAL_DIV_PAID_CF",IQ_FY-2)/-I955)</f>
        <v>0.82820632777631453</v>
      </c>
      <c r="I955" s="17">
        <f>IF(A956=A957,_xll.ciqfunctions.udf.CIQ(A948,"IQ_TOTAL_OUTSTANDING_FILING_DATE",IQ_FY-3), _xll.ciqfunctions.udf.CIQ(A948, "IQ_TOTAL_OUTSTANDING_FILING_DATE",IQ_FY-2))</f>
        <v>17001.802</v>
      </c>
      <c r="J955" s="17">
        <f>IF(A956=A957,_xll.ciqfunctions.udf.CIQ(A948,"IQ_CASH_OPER",IQ_FY-3), _xll.ciqfunctions.udf.CIQ(A948, "IQ_CASH_OPER",IQ_FY-2))</f>
        <v>80674</v>
      </c>
      <c r="K955" s="17">
        <f>IF(A956=A957,_xll.ciqfunctions.udf.CIQ(A948,"IQ_CAPEX",IQ_FY-3), _xll.ciqfunctions.udf.CIQ(A948, "IQ_CAPEX",IQ_FY-2))</f>
        <v>-7309</v>
      </c>
      <c r="L955" s="15">
        <f t="shared" si="252"/>
        <v>4.3151308314259866</v>
      </c>
      <c r="M955" s="17">
        <f>IF(A956=A957,_xll.ciqfunctions.udf.CIQ(A948,"IQ_TOTAL_DEBT_ISSUED",IQ_FY-3), _xll.ciqfunctions.udf.CIQ(A948, "IQ_TOTAL_DEBT_ISSUED",IQ_FY-2))</f>
        <v>16091</v>
      </c>
      <c r="N955" s="17">
        <f>IF(A956=A957,_xll.ciqfunctions.udf.CIQ(A948,"IQ_TOTAL_DEBT_REPAID",IQ_FY-3), _xll.ciqfunctions.udf.CIQ(A948, "IQ_TOTAL_DEBT_REPAID",IQ_FY-2))</f>
        <v>-13592</v>
      </c>
      <c r="O955" s="15">
        <f t="shared" si="253"/>
        <v>0.14698441965151693</v>
      </c>
      <c r="P955" s="15">
        <f t="shared" si="254"/>
        <v>4.4621152510775035</v>
      </c>
      <c r="Q955" s="18"/>
      <c r="R955" s="39" t="s">
        <v>31</v>
      </c>
      <c r="S955" s="5">
        <f>IF(NOT(D948&gt;0),FALSE,SLOPE(G948:G958,B948:B958))</f>
        <v>-0.15437909090909066</v>
      </c>
      <c r="U955" s="18"/>
      <c r="V955" s="39" t="s">
        <v>31</v>
      </c>
      <c r="W955" s="5">
        <f>IF(NOT(D948&gt;0),FALSE,SLOPE(G948:G958,B948:B958))</f>
        <v>-0.15437909090909066</v>
      </c>
      <c r="Y955" s="18"/>
      <c r="Z955" s="39" t="s">
        <v>31</v>
      </c>
      <c r="AA955" s="5">
        <f>IF(NOT(L948&gt;0),FALSE,SLOPE(O948:O958,J948:J958))</f>
        <v>-1.3980846106229837E-5</v>
      </c>
    </row>
    <row r="956" spans="1:27">
      <c r="A956" s="19">
        <f>_xll.ciqfunctions.udf.CIQ(A948,"IQ_TOTAL_REV",IQ_FY)</f>
        <v>383285</v>
      </c>
      <c r="B956" s="13">
        <v>9</v>
      </c>
      <c r="C956" s="14" t="s">
        <v>32</v>
      </c>
      <c r="D956" s="15" cm="1">
        <f t="array" ref="D956">_xlfn.SINGLE(IF(A956=A957,_xll.ciqfunctions.udf.CIQ(A948,"IQ_TOTAL_REV",IQ_FY-2)/I956, _xll.ciqfunctions.udf.CIQ(A948, "IQ_TOTAL_REV",IQ_FY-1)/I956))</f>
        <v>22.297217359789599</v>
      </c>
      <c r="E956" s="16">
        <f t="shared" si="255"/>
        <v>0.38095504690856802</v>
      </c>
      <c r="F956" s="15">
        <f>IF(A956=A957,_xll.ciqfunctions.udf.CIQ(A948,"IQ_DILUT_EPS_EXCL",IQ_FY-2), _xll.ciqfunctions.udf.CIQ(A948, "IQ_DILUT_EPS_EXCL",IQ_FY-1))</f>
        <v>5.61</v>
      </c>
      <c r="G956" s="15">
        <f>IF(A956=A957,_xll.ciqfunctions.udf.CIQ(A948,"IQ_EBITDA_MARGIN",IQ_FY-2), _xll.ciqfunctions.udf.CIQ(A948, "IQ_EBITDA_MARGIN",IQ_FY-1))</f>
        <v>32.866900000000001</v>
      </c>
      <c r="H956" s="15">
        <f>IF(A956=A957,_xll.ciqfunctions.udf.CIQ(A948,"IQ_TOTAL_DIV_PAID_CF",IQ_FY-2)/-I956, _xll.ciqfunctions.udf.CIQ(A948, "IQ_TOTAL_DIV_PAID_CF",IQ_FY-1)/-I956)</f>
        <v>0.88179019439795336</v>
      </c>
      <c r="I956" s="17">
        <f>IF(A956=A957,_xll.ciqfunctions.udf.CIQ(A948,"IQ_TOTAL_OUTSTANDING_FILING_DATE",IQ_FY-2), _xll.ciqfunctions.udf.CIQ(A948, "IQ_TOTAL_OUTSTANDING_FILING_DATE",IQ_FY-1))</f>
        <v>16406.397000000001</v>
      </c>
      <c r="J956" s="17">
        <f>IF(A956=A957,_xll.ciqfunctions.udf.CIQ(A948,"IQ_CASH_OPER",IQ_FY-2), _xll.ciqfunctions.udf.CIQ(A948, "IQ_CASH_OPER",IQ_FY-1))</f>
        <v>104038</v>
      </c>
      <c r="K956" s="17">
        <f>IF(A956=A957,_xll.ciqfunctions.udf.CIQ(A948,"IQ_CAPEX",IQ_FY-2), _xll.ciqfunctions.udf.CIQ(A948, "IQ_CAPEX",IQ_FY-1))</f>
        <v>-11085</v>
      </c>
      <c r="L956" s="15">
        <f t="shared" si="252"/>
        <v>5.6656559023897808</v>
      </c>
      <c r="M956" s="17">
        <f>IF(A956=A957,_xll.ciqfunctions.udf.CIQ(A948,"IQ_TOTAL_DEBT_ISSUED",IQ_FY-2), _xll.ciqfunctions.udf.CIQ(A948, "IQ_TOTAL_DEBT_ISSUED",IQ_FY-1))</f>
        <v>21415</v>
      </c>
      <c r="N956" s="17">
        <f>IF(A956=A957,_xll.ciqfunctions.udf.CIQ(A948,"IQ_TOTAL_DEBT_REPAID",IQ_FY-2), _xll.ciqfunctions.udf.CIQ(A948, "IQ_TOTAL_DEBT_REPAID",IQ_FY-1))</f>
        <v>-8750</v>
      </c>
      <c r="O956" s="15">
        <f t="shared" si="253"/>
        <v>0.77195498804521179</v>
      </c>
      <c r="P956" s="15">
        <f t="shared" si="254"/>
        <v>6.4376108904349927</v>
      </c>
      <c r="Q956" s="25" t="s">
        <v>33</v>
      </c>
      <c r="R956" s="38" t="s">
        <v>52</v>
      </c>
      <c r="S956" s="4">
        <f>(AVERAGE(O953:O958)/AVERAGE(P953:P958))</f>
        <v>-4.7623268964628396E-3</v>
      </c>
      <c r="U956" s="25" t="s">
        <v>54</v>
      </c>
      <c r="V956" s="38" t="s">
        <v>52</v>
      </c>
      <c r="W956" s="4">
        <f>(AVERAGE(O953:O958)/AVERAGE(P953:P958))</f>
        <v>-4.7623268964628396E-3</v>
      </c>
      <c r="Y956" s="25" t="s">
        <v>60</v>
      </c>
      <c r="Z956" s="38" t="s">
        <v>52</v>
      </c>
      <c r="AA956" s="4">
        <f>(AVERAGE(O953:O958)/AVERAGE(P953:P958))</f>
        <v>-4.7623268964628396E-3</v>
      </c>
    </row>
    <row r="957" spans="1:27">
      <c r="A957" s="19">
        <f>_xll.ciqfunctions.udf.CIQ(A948,"IQ_TOTAL_REV",IQ_LTM)</f>
        <v>383285</v>
      </c>
      <c r="B957" s="13">
        <v>10</v>
      </c>
      <c r="C957" s="14" t="s">
        <v>34</v>
      </c>
      <c r="D957" s="15" cm="1">
        <f t="array" ref="D957">_xlfn.SINGLE(IF(A956=A957,_xll.ciqfunctions.udf.CIQ(A948,"IQ_TOTAL_REV",IQ_FY-1)/I957, _xll.ciqfunctions.udf.CIQ(A948, "IQ_TOTAL_REV",IQ_FY)/I957))</f>
        <v>24.787847311668166</v>
      </c>
      <c r="E957" s="16">
        <f t="shared" si="255"/>
        <v>0.11170138011795698</v>
      </c>
      <c r="F957" s="15">
        <f>IF(A956=A957,_xll.ciqfunctions.udf.CIQ(A948,"IQ_DILUT_EPS_EXCL",IQ_FY-1), _xll.ciqfunctions.udf.CIQ(A948, "IQ_DILUT_EPS_EXCL",IQ_FY))</f>
        <v>6.11</v>
      </c>
      <c r="G957" s="15">
        <f>IF(A956=A957,_xll.ciqfunctions.udf.CIQ(A948,"IQ_EBITDA_MARGIN",IQ_FY-1), _xll.ciqfunctions.udf.CIQ(A948, "IQ_EBITDA_MARGIN",IQ_FY))</f>
        <v>33.104599999999998</v>
      </c>
      <c r="H957" s="15">
        <f>IF(A956=A957,_xll.ciqfunctions.udf.CIQ(A948,"IQ_TOTAL_DIV_PAID_CF",IQ_FY-1)/-I957, _xll.ciqfunctions.udf.CIQ(A948, "IQ_TOTAL_DIV_PAID_CF",IQ_FY)/-I957)</f>
        <v>0.93291990919353251</v>
      </c>
      <c r="I957" s="17">
        <f>IF(A956=A957,_xll.ciqfunctions.udf.CIQ(A948,"IQ_TOTAL_OUTSTANDING_FILING_DATE",IQ_FY-1), _xll.ciqfunctions.udf.CIQ(A948, "IQ_TOTAL_OUTSTANDING_FILING_DATE",IQ_FY))</f>
        <v>15908.118</v>
      </c>
      <c r="J957" s="17">
        <f>IF(A956=A957,_xll.ciqfunctions.udf.CIQ(A948,"IQ_CASH_OPER",IQ_FY-1), _xll.ciqfunctions.udf.CIQ(A948, "IQ_CASH_OPER",IQ_FY))</f>
        <v>122151</v>
      </c>
      <c r="K957" s="17">
        <f>IF(A956=A957,_xll.ciqfunctions.udf.CIQ(A948,"IQ_CAPEX",IQ_FY-1), _xll.ciqfunctions.udf.CIQ(A948, "IQ_CAPEX",IQ_FY))</f>
        <v>-10708</v>
      </c>
      <c r="L957" s="15">
        <f t="shared" si="252"/>
        <v>7.0054169827002788</v>
      </c>
      <c r="M957" s="17">
        <f>IF(A956=A957,_xll.ciqfunctions.udf.CIQ(A948,"IQ_TOTAL_DEBT_ISSUED",IQ_FY-1), _xll.ciqfunctions.udf.CIQ(A948, "IQ_TOTAL_DEBT_ISSUED",IQ_FY))</f>
        <v>9420</v>
      </c>
      <c r="N957" s="17">
        <f>IF(A956=A957,_xll.ciqfunctions.udf.CIQ(A948,"IQ_TOTAL_DEBT_REPAID",IQ_FY-1), _xll.ciqfunctions.udf.CIQ(A948, "IQ_TOTAL_DEBT_REPAID",IQ_FY))</f>
        <v>-9543</v>
      </c>
      <c r="O957" s="15">
        <f t="shared" si="253"/>
        <v>-7.7319014103365341E-3</v>
      </c>
      <c r="P957" s="15">
        <f t="shared" si="254"/>
        <v>6.9976850812899425</v>
      </c>
      <c r="Q957" s="25" t="s">
        <v>44</v>
      </c>
      <c r="R957" s="38" t="s">
        <v>35</v>
      </c>
      <c r="S957" s="1">
        <f>_xll.ciqfunctions.udf.CIQ(A948,"IQ_TEV_EBITDA")</f>
        <v>20.578520000000001</v>
      </c>
      <c r="U957" s="25" t="s">
        <v>55</v>
      </c>
      <c r="V957" s="38" t="s">
        <v>53</v>
      </c>
      <c r="W957" s="1">
        <f>V947/(AVERAGE(D953:D958)/_xlfn.STDEV.P(E953:E958))</f>
        <v>1.2812974771453938</v>
      </c>
      <c r="Y957" s="25" t="s">
        <v>57</v>
      </c>
      <c r="Z957" s="38" t="s">
        <v>53</v>
      </c>
      <c r="AA957" s="1">
        <f>Z947/(AVERAGE(D953:D958)/_xlfn.STDEV.P(E953:E958))</f>
        <v>1.2812974771453938</v>
      </c>
    </row>
    <row r="958" spans="1:27">
      <c r="B958" s="13">
        <v>11</v>
      </c>
      <c r="C958" s="20" t="s">
        <v>36</v>
      </c>
      <c r="D958" s="21" cm="1">
        <f t="array" ref="D958">_xlfn.SINGLE(IF(A956=A957,_xll.ciqfunctions.udf.CIQ(A948,"IQ_TOTAL_REV",IQ_FY)/I958, _xll.ciqfunctions.udf.CIQ(A948, "IQ_TOTAL_REV",IQ_LTM)/I958))</f>
        <v>24.644191587443817</v>
      </c>
      <c r="E958" s="22">
        <f t="shared" si="255"/>
        <v>-5.7954094366527344E-3</v>
      </c>
      <c r="F958" s="21">
        <f>IF(A956=A957,_xll.ciqfunctions.udf.CIQ(A948,"IQ_DILUT_EPS_EXCL",IQ_FY), _xll.ciqfunctions.udf.CIQ(A948, "IQ_DILUT_EPS_EXCL",IQ_LTM))</f>
        <v>6.13</v>
      </c>
      <c r="G958" s="21">
        <f>IF(A956=A957,_xll.ciqfunctions.udf.CIQ(A948,"IQ_EBITDA_MARGIN",IQ_FY), _xll.ciqfunctions.udf.CIQ(A948, "IQ_EBITDA_MARGIN",IQ_LTM))</f>
        <v>32.826700000000002</v>
      </c>
      <c r="H958" s="21">
        <f>IF(A956=A957,_xll.ciqfunctions.udf.CIQ(A948,"IQ_TOTAL_DIV_PAID_CF",IQ_FY)/-I958, _xll.ciqfunctions.udf.CIQ(A948, "IQ_TOTAL_DIV_PAID_CF",IQ_LTM)/-I958)</f>
        <v>0.96606697001276687</v>
      </c>
      <c r="I958" s="23">
        <f>IF(A956=A957,_xll.ciqfunctions.udf.CIQ(A948,"IQ_TOTAL_OUTSTANDING_FILING_DATE",IQ_FY),_xll.ciqfunctions.udf.CIQ(A948,"IQ_sharesoutstanding"))</f>
        <v>15552.752</v>
      </c>
      <c r="J958" s="23">
        <f>IF(A956=A957,_xll.ciqfunctions.udf.CIQ(A948,"IQ_CASH_OPER",IQ_FY), _xll.ciqfunctions.udf.CIQ(A948, "IQ_CASH_OPER",IQ_LTM))</f>
        <v>110543</v>
      </c>
      <c r="K958" s="23">
        <f>IF(A956=A957,_xll.ciqfunctions.udf.CIQ(A948,"IQ_CAPEX",IQ_FY), _xll.ciqfunctions.udf.CIQ(A948, "IQ_CAPEX",IQ_LTM))</f>
        <v>-10959</v>
      </c>
      <c r="L958" s="21">
        <f t="shared" si="252"/>
        <v>6.4029825718303739</v>
      </c>
      <c r="M958" s="23">
        <f>IF(A956=A957,_xll.ciqfunctions.udf.CIQ(A948,"IQ_TOTAL_DEBT_ISSUED",IQ_FY), _xll.ciqfunctions.udf.CIQ(A948, "IQ_TOTAL_DEBT_ISSUED",IQ_LTM))</f>
        <v>5228</v>
      </c>
      <c r="N958" s="23">
        <f>IF(A956=A957,_xll.ciqfunctions.udf.CIQ(A948,"IQ_TOTAL_DEBT_REPAID",IQ_FY), _xll.ciqfunctions.udf.CIQ(A948, "IQ_TOTAL_DEBT_REPAID",IQ_LTM))</f>
        <v>-15129</v>
      </c>
      <c r="O958" s="21">
        <f t="shared" si="253"/>
        <v>-0.63660759201972739</v>
      </c>
      <c r="P958" s="21">
        <f t="shared" si="254"/>
        <v>5.7663749798106467</v>
      </c>
      <c r="Q958" s="25" t="s">
        <v>45</v>
      </c>
      <c r="S958" s="45"/>
      <c r="U958" s="25"/>
      <c r="W958" s="45"/>
      <c r="Y958" s="25"/>
      <c r="AA958" s="45"/>
    </row>
    <row r="959" spans="1:27">
      <c r="B959" s="24"/>
      <c r="C959" s="25" t="s">
        <v>37</v>
      </c>
      <c r="E959" s="26">
        <f>((D958/D953)^(1/5))-1</f>
        <v>0.11986446268720208</v>
      </c>
      <c r="F959" s="27">
        <f>((F958/F953)^(1/5))-1</f>
        <v>0.15517782121590074</v>
      </c>
      <c r="G959" s="28"/>
      <c r="H959" s="27">
        <f>((H958/H953)^(1/5))-1</f>
        <v>5.9858318192147708E-2</v>
      </c>
      <c r="I959" s="27">
        <f>((I958/I953)^(1/5))-1</f>
        <v>-3.9062985126440353E-2</v>
      </c>
      <c r="J959" s="27"/>
      <c r="K959" s="27"/>
      <c r="L959" s="26">
        <f>((L958/L953)^(1/5))-1</f>
        <v>0.13643063723888993</v>
      </c>
      <c r="M959" s="26"/>
      <c r="N959" s="26"/>
      <c r="O959" s="26"/>
      <c r="P959" s="26">
        <f>((P958/P953)^(1/5))-1</f>
        <v>0.11138317271328613</v>
      </c>
      <c r="Q959" s="18"/>
      <c r="R959" s="36"/>
      <c r="S959" s="45"/>
      <c r="U959" s="18"/>
      <c r="V959" s="36"/>
      <c r="W959" s="45"/>
      <c r="Y959" s="18"/>
      <c r="Z959" s="36"/>
      <c r="AA959" s="45"/>
    </row>
    <row r="960" spans="1:27">
      <c r="A960" s="29"/>
      <c r="B960" s="30"/>
      <c r="C960" s="31" t="s">
        <v>38</v>
      </c>
      <c r="D960" s="29"/>
      <c r="E960" s="32">
        <f>((D958/D948)^(1/10))-1</f>
        <v>0.1376852293998061</v>
      </c>
      <c r="F960" s="33">
        <f>((F958/F948)^(1/10))-1</f>
        <v>0.15748990763394222</v>
      </c>
      <c r="G960" s="34"/>
      <c r="H960" s="33">
        <f>((H958/H948)^(1/10))-1</f>
        <v>8.7039420243918642E-2</v>
      </c>
      <c r="I960" s="33">
        <f>((I958/I948)^(1/10))-1</f>
        <v>-4.7086860779796291E-2</v>
      </c>
      <c r="J960" s="33"/>
      <c r="K960" s="33"/>
      <c r="L960" s="32">
        <f>((L958/L948)^(1/10))-1</f>
        <v>0.1349155519471803</v>
      </c>
      <c r="M960" s="32"/>
      <c r="N960" s="32"/>
      <c r="O960" s="32"/>
      <c r="P960" s="32">
        <f>((P958/P948)^(1/10))-1</f>
        <v>8.8181470620314339E-2</v>
      </c>
      <c r="Q960" s="40"/>
      <c r="R960" s="41"/>
      <c r="S960" s="46"/>
      <c r="U960" s="40"/>
      <c r="V960" s="41"/>
      <c r="W960" s="46"/>
      <c r="Y960" s="40"/>
      <c r="Z960" s="41"/>
      <c r="AA960" s="46"/>
    </row>
    <row r="961" spans="1:27">
      <c r="B961" s="24"/>
      <c r="C961" s="25"/>
      <c r="E961" s="26"/>
      <c r="F961" s="27"/>
      <c r="G961" s="28"/>
      <c r="H961" s="27"/>
      <c r="I961" s="27"/>
      <c r="J961" s="27"/>
      <c r="K961" s="27"/>
      <c r="L961" s="26"/>
      <c r="M961" s="17"/>
      <c r="N961" s="17"/>
      <c r="O961" s="17"/>
      <c r="P961" s="35"/>
      <c r="Q961" s="18"/>
      <c r="R961" s="36"/>
    </row>
    <row r="962" spans="1:27">
      <c r="A962" s="9" t="s">
        <v>0</v>
      </c>
      <c r="B962" s="10"/>
      <c r="C962" s="9" t="s">
        <v>1</v>
      </c>
      <c r="D962" s="9" t="s">
        <v>2</v>
      </c>
      <c r="E962" s="9" t="s">
        <v>3</v>
      </c>
      <c r="F962" s="11" t="s">
        <v>4</v>
      </c>
      <c r="G962" s="11" t="s">
        <v>5</v>
      </c>
      <c r="H962" s="9" t="s">
        <v>6</v>
      </c>
      <c r="I962" s="11" t="s">
        <v>7</v>
      </c>
      <c r="J962" s="11" t="s">
        <v>8</v>
      </c>
      <c r="K962" s="11" t="s">
        <v>9</v>
      </c>
      <c r="L962" s="11" t="s">
        <v>10</v>
      </c>
      <c r="M962" s="11" t="s">
        <v>11</v>
      </c>
      <c r="N962" s="11" t="s">
        <v>12</v>
      </c>
      <c r="O962" s="11" t="s">
        <v>13</v>
      </c>
      <c r="P962" s="11" t="s">
        <v>14</v>
      </c>
      <c r="Q962" s="37" t="s">
        <v>15</v>
      </c>
      <c r="R962" s="42">
        <f>_xll.ciqfunctions.udf.CIQ(A963,("IQ_LASTSALEPRICE"))</f>
        <v>28.6</v>
      </c>
      <c r="S962" s="44"/>
      <c r="U962" s="37" t="s">
        <v>15</v>
      </c>
      <c r="V962" s="42">
        <f>_xll.ciqfunctions.udf.CIQ(A963,("IQ_LASTSALEPRICE"))</f>
        <v>28.6</v>
      </c>
      <c r="W962" s="44"/>
      <c r="Y962" s="37" t="s">
        <v>15</v>
      </c>
      <c r="Z962" s="42">
        <f>_xll.ciqfunctions.udf.CIQ(A963,("IQ_LASTSALEPRICE"))</f>
        <v>28.6</v>
      </c>
      <c r="AA962" s="44"/>
    </row>
    <row r="963" spans="1:27">
      <c r="A963" s="12" t="str">
        <f>Analysis!B66</f>
        <v>NYSE:HPQ</v>
      </c>
      <c r="B963" s="13">
        <v>1</v>
      </c>
      <c r="C963" s="14" t="s">
        <v>16</v>
      </c>
      <c r="D963" s="15">
        <f>IF(A971=A972,_xll.ciqfunctions.udf.CIQ(A963,"IQ_TOTAL_REV",IQ_FY-10)/I963,_xll.ciqfunctions.udf.CIQ(A963, "IQ_TOTAL_REV",IQ_FY-9)/I963)</f>
        <v>58.832434097004679</v>
      </c>
      <c r="E963" s="16"/>
      <c r="F963" s="15">
        <f>IF(A971=A972,_xll.ciqfunctions.udf.CIQ(A963,"IQ_DILUT_EPS_EXCL",IQ_FY-10), _xll.ciqfunctions.udf.CIQ(A963, "IQ_DILUT_EPS_EXCL",IQ_FY-9))</f>
        <v>2.62</v>
      </c>
      <c r="G963" s="15">
        <f>IF(A971=A972,_xll.ciqfunctions.udf.CIQ(A963,"IQ_EBITDA_MARGIN",IQ_FY-10), _xll.ciqfunctions.udf.CIQ(A963, "IQ_EBITDA_MARGIN",IQ_FY-9))</f>
        <v>11.357200000000001</v>
      </c>
      <c r="H963" s="15">
        <f>IF(A971=A972,_xll.ciqfunctions.udf.CIQ(A963,"IQ_TOTAL_DIV_PAID_CF",IQ_FY-10)/-I963, _xll.ciqfunctions.udf.CIQ(A963, "IQ_TOTAL_DIV_PAID_CF",IQ_FY-9)/-I963)</f>
        <v>0.57890469712007486</v>
      </c>
      <c r="I963" s="17">
        <f>IF(A971=A972,_xll.ciqfunctions.udf.CIQ(A963,"IQ_TOTAL_OUTSTANDING_FILING_DATE",IQ_FY-10), _xll.ciqfunctions.udf.CIQ(A963, "IQ_TOTAL_OUTSTANDING_FILING_DATE",IQ_FY-9))</f>
        <v>1908.7770499999999</v>
      </c>
      <c r="J963" s="17">
        <f>IF(A971=A972,_xll.ciqfunctions.udf.CIQ(A963,"IQ_CASH_OPER",IQ_FY-10), _xll.ciqfunctions.udf.CIQ(A963, "IQ_CASH_OPER",IQ_FY-9))</f>
        <v>11608</v>
      </c>
      <c r="K963" s="17">
        <f>IF(A971=A972,_xll.ciqfunctions.udf.CIQ(A963,"IQ_CAPEX",IQ_FY-10), _xll.ciqfunctions.udf.CIQ(A963, "IQ_CAPEX",IQ_FY-9))</f>
        <v>-3199</v>
      </c>
      <c r="L963" s="15">
        <f t="shared" ref="L963:L973" si="256">(J963+K963)/I963</f>
        <v>4.4054385503010947</v>
      </c>
      <c r="M963" s="17">
        <f>IF(A971=A972,_xll.ciqfunctions.udf.CIQ(A963,"IQ_TOTAL_DEBT_ISSUED",IQ_FY-10), _xll.ciqfunctions.udf.CIQ(A963, "IQ_TOTAL_DEBT_ISSUED",IQ_FY-9))</f>
        <v>279</v>
      </c>
      <c r="N963" s="17">
        <f>IF(A971=A972,_xll.ciqfunctions.udf.CIQ(A963,"IQ_TOTAL_DEBT_REPAID",IQ_FY-10), _xll.ciqfunctions.udf.CIQ(A963, "IQ_TOTAL_DEBT_REPAID",IQ_FY-9))</f>
        <v>-5875</v>
      </c>
      <c r="O963" s="15">
        <f t="shared" ref="O963:O973" si="257">(M963+N963)/I963</f>
        <v>-2.9317200769990399</v>
      </c>
      <c r="P963" s="15">
        <f t="shared" ref="P963:P973" si="258">L963+O963</f>
        <v>1.4737184733020547</v>
      </c>
      <c r="W963" s="43"/>
      <c r="AA963" s="43"/>
    </row>
    <row r="964" spans="1:27">
      <c r="A964" s="18" t="str">
        <f>_xll.ciqfunctions.udf.CIQ(A963,"IQ_COMPANY_NAME")</f>
        <v>HP Inc.</v>
      </c>
      <c r="B964" s="13">
        <v>2</v>
      </c>
      <c r="C964" s="14" t="s">
        <v>17</v>
      </c>
      <c r="D964" s="15">
        <f>IF(A971=A972,_xll.ciqfunctions.udf.CIQ(A963,"IQ_TOTAL_REV",IQ_FY-9)/I964, _xll.ciqfunctions.udf.CIQ(A963, "IQ_TOTAL_REV",IQ_FY-8)/I964)</f>
        <v>30.887932114746956</v>
      </c>
      <c r="E964" s="16">
        <f t="shared" ref="E964:E973" si="259">(D964-D963)/D963</f>
        <v>-0.47498463069166902</v>
      </c>
      <c r="F964" s="15">
        <f>IF(A971=A972,_xll.ciqfunctions.udf.CIQ(A963,"IQ_DILUT_EPS_EXCL",IQ_FY-9), _xll.ciqfunctions.udf.CIQ(A963, "IQ_DILUT_EPS_EXCL",IQ_FY-8))</f>
        <v>1.53</v>
      </c>
      <c r="G964" s="15">
        <f>IF(A971=A972,_xll.ciqfunctions.udf.CIQ(A963,"IQ_EBITDA_MARGIN",IQ_FY-9), _xll.ciqfunctions.udf.CIQ(A963, "IQ_EBITDA_MARGIN",IQ_FY-8))</f>
        <v>8.6582000000000008</v>
      </c>
      <c r="H964" s="15">
        <f>IF(A971=A972,_xll.ciqfunctions.udf.CIQ(A963,"IQ_TOTAL_DIV_PAID_CF",IQ_FY-9)/-I964, _xll.ciqfunctions.udf.CIQ(A963, "IQ_TOTAL_DIV_PAID_CF",IQ_FY-8)/-I964)</f>
        <v>0.64555456433002756</v>
      </c>
      <c r="I964" s="17">
        <f>IF(A971=A972,_xll.ciqfunctions.udf.CIQ(A963,"IQ_TOTAL_OUTSTANDING_FILING_DATE",IQ_FY-9), _xll.ciqfunctions.udf.CIQ(A963, "IQ_TOTAL_OUTSTANDING_FILING_DATE",IQ_FY-8))</f>
        <v>1834.0819899999999</v>
      </c>
      <c r="J964" s="17">
        <f>IF(A971=A972,_xll.ciqfunctions.udf.CIQ(A963,"IQ_CASH_OPER",IQ_FY-9), _xll.ciqfunctions.udf.CIQ(A963, "IQ_CASH_OPER",IQ_FY-8))</f>
        <v>12333</v>
      </c>
      <c r="K964" s="17">
        <f>IF(A971=A972,_xll.ciqfunctions.udf.CIQ(A963,"IQ_CAPEX",IQ_FY-9), _xll.ciqfunctions.udf.CIQ(A963, "IQ_CAPEX",IQ_FY-8))</f>
        <v>-3853</v>
      </c>
      <c r="L964" s="15">
        <f t="shared" si="256"/>
        <v>4.6235664742556031</v>
      </c>
      <c r="M964" s="17">
        <f>IF(A971=A972,_xll.ciqfunctions.udf.CIQ(A963,"IQ_TOTAL_DEBT_ISSUED",IQ_FY-9), _xll.ciqfunctions.udf.CIQ(A963, "IQ_TOTAL_DEBT_ISSUED",IQ_FY-8))</f>
        <v>3023</v>
      </c>
      <c r="N964" s="17">
        <f>IF(A971=A972,_xll.ciqfunctions.udf.CIQ(A963,"IQ_TOTAL_DEBT_REPAID",IQ_FY-9), _xll.ciqfunctions.udf.CIQ(A963, "IQ_TOTAL_DEBT_REPAID",IQ_FY-8))</f>
        <v>-6037</v>
      </c>
      <c r="O964" s="15">
        <f t="shared" si="257"/>
        <v>-1.6433289331847156</v>
      </c>
      <c r="P964" s="15">
        <f t="shared" si="258"/>
        <v>2.9802375410708875</v>
      </c>
      <c r="Q964" s="25" t="s">
        <v>18</v>
      </c>
      <c r="R964" s="39" t="s">
        <v>19</v>
      </c>
      <c r="S964" s="1">
        <f>R962/((AVERAGE(P968:P973))*(1+E974)^3)</f>
        <v>6.3592737568759592</v>
      </c>
      <c r="U964" s="25" t="s">
        <v>48</v>
      </c>
      <c r="V964" s="39" t="s">
        <v>19</v>
      </c>
      <c r="W964" s="1">
        <f>V962/((AVERAGE(P968:P973))*(1+E974)^3)</f>
        <v>6.3592737568759592</v>
      </c>
      <c r="Y964" s="25" t="s">
        <v>39</v>
      </c>
      <c r="Z964" s="39" t="s">
        <v>19</v>
      </c>
      <c r="AA964" s="1">
        <f>Z962/((AVERAGE(P968:P973))*(1+E974)^3)</f>
        <v>6.3592737568759592</v>
      </c>
    </row>
    <row r="965" spans="1:27">
      <c r="B965" s="13">
        <v>3</v>
      </c>
      <c r="C965" s="14" t="s">
        <v>20</v>
      </c>
      <c r="D965" s="15" cm="1">
        <f t="array" ref="D965">_xlfn.SINGLE(IF(A971=A972,_xll.ciqfunctions.udf.CIQ(A963,"IQ_TOTAL_REV",IQ_FY-8)/I965, _xll.ciqfunctions.udf.CIQ(A963, "IQ_TOTAL_REV",IQ_FY-7)/I965))</f>
        <v>28.720622158447483</v>
      </c>
      <c r="E965" s="16">
        <f t="shared" si="259"/>
        <v>-7.0166884213809996E-2</v>
      </c>
      <c r="F965" s="15">
        <f>IF(A971=A972,_xll.ciqfunctions.udf.CIQ(A963,"IQ_DILUT_EPS_EXCL",IQ_FY-8), _xll.ciqfunctions.udf.CIQ(A963, "IQ_DILUT_EPS_EXCL",IQ_FY-7))</f>
        <v>2.02</v>
      </c>
      <c r="G965" s="15">
        <f>IF(A971=A972,_xll.ciqfunctions.udf.CIQ(A963,"IQ_EBITDA_MARGIN",IQ_FY-8), _xll.ciqfunctions.udf.CIQ(A963, "IQ_EBITDA_MARGIN",IQ_FY-7))</f>
        <v>8.4156999999999993</v>
      </c>
      <c r="H965" s="15">
        <f>IF(A971=A972,_xll.ciqfunctions.udf.CIQ(A963,"IQ_TOTAL_DIV_PAID_CF",IQ_FY-8)/-I965, _xll.ciqfunctions.udf.CIQ(A963, "IQ_TOTAL_DIV_PAID_CF",IQ_FY-7)/-I965)</f>
        <v>0.69760367056058437</v>
      </c>
      <c r="I965" s="17">
        <f>IF(A971=A972,_xll.ciqfunctions.udf.CIQ(A963,"IQ_TOTAL_OUTSTANDING_FILING_DATE",IQ_FY-8), _xll.ciqfunctions.udf.CIQ(A963, "IQ_TOTAL_OUTSTANDING_FILING_DATE",IQ_FY-7))</f>
        <v>1791.8483699999999</v>
      </c>
      <c r="J965" s="17">
        <f>IF(A971=A972,_xll.ciqfunctions.udf.CIQ(A963,"IQ_CASH_OPER",IQ_FY-8), _xll.ciqfunctions.udf.CIQ(A963, "IQ_CASH_OPER",IQ_FY-7))</f>
        <v>7026</v>
      </c>
      <c r="K965" s="17">
        <f>IF(A971=A972,_xll.ciqfunctions.udf.CIQ(A963,"IQ_CAPEX",IQ_FY-8), _xll.ciqfunctions.udf.CIQ(A963, "IQ_CAPEX",IQ_FY-7))</f>
        <v>-3603</v>
      </c>
      <c r="L965" s="15">
        <f t="shared" si="256"/>
        <v>1.9103178914631043</v>
      </c>
      <c r="M965" s="17">
        <f>IF(A971=A972,_xll.ciqfunctions.udf.CIQ(A963,"IQ_TOTAL_DEBT_ISSUED",IQ_FY-8), _xll.ciqfunctions.udf.CIQ(A963, "IQ_TOTAL_DEBT_ISSUED",IQ_FY-7))</f>
        <v>20832</v>
      </c>
      <c r="N965" s="17">
        <f>IF(A971=A972,_xll.ciqfunctions.udf.CIQ(A963,"IQ_TOTAL_DEBT_REPAID",IQ_FY-8), _xll.ciqfunctions.udf.CIQ(A963, "IQ_TOTAL_DEBT_REPAID",IQ_FY-7))</f>
        <v>-15867</v>
      </c>
      <c r="O965" s="15">
        <f t="shared" si="257"/>
        <v>2.7708817794666412</v>
      </c>
      <c r="P965" s="15">
        <f t="shared" si="258"/>
        <v>4.681199670929745</v>
      </c>
      <c r="Q965" s="25" t="s">
        <v>21</v>
      </c>
      <c r="R965" s="38" t="s">
        <v>49</v>
      </c>
      <c r="S965" s="2">
        <f>(R962*I973)/1000</f>
        <v>28.4284</v>
      </c>
      <c r="U965" s="25" t="s">
        <v>59</v>
      </c>
      <c r="V965" s="38" t="s">
        <v>49</v>
      </c>
      <c r="W965" s="2">
        <f>(V962*I973)/1000</f>
        <v>28.4284</v>
      </c>
      <c r="Y965" s="25" t="s">
        <v>46</v>
      </c>
      <c r="Z965" s="38" t="s">
        <v>49</v>
      </c>
      <c r="AA965" s="2">
        <f>(Z962*I973)/1000</f>
        <v>28.4284</v>
      </c>
    </row>
    <row r="966" spans="1:27">
      <c r="A966" s="18"/>
      <c r="B966" s="13">
        <v>4</v>
      </c>
      <c r="C966" s="14" t="s">
        <v>22</v>
      </c>
      <c r="D966" s="15" cm="1">
        <f t="array" ref="D966">_xlfn.SINGLE(IF(A971=A972,_xll.ciqfunctions.udf.CIQ(A963,"IQ_TOTAL_REV",IQ_FY-7)/I966, _xll.ciqfunctions.udf.CIQ(A963, "IQ_TOTAL_REV",IQ_FY-6)/I966))</f>
        <v>28.28459971504078</v>
      </c>
      <c r="E966" s="16">
        <f t="shared" si="259"/>
        <v>-1.5181511075951996E-2</v>
      </c>
      <c r="F966" s="15">
        <f>IF(A971=A972,_xll.ciqfunctions.udf.CIQ(A963,"IQ_DILUT_EPS_EXCL",IQ_FY-7), _xll.ciqfunctions.udf.CIQ(A963, "IQ_DILUT_EPS_EXCL",IQ_FY-6))</f>
        <v>1.53</v>
      </c>
      <c r="G966" s="15">
        <f>IF(A971=A972,_xll.ciqfunctions.udf.CIQ(A963,"IQ_EBITDA_MARGIN",IQ_FY-7), _xll.ciqfunctions.udf.CIQ(A963, "IQ_EBITDA_MARGIN",IQ_FY-6))</f>
        <v>8.8559999999999999</v>
      </c>
      <c r="H966" s="15">
        <f>IF(A971=A972,_xll.ciqfunctions.udf.CIQ(A963,"IQ_TOTAL_DIV_PAID_CF",IQ_FY-7)/-I966, _xll.ciqfunctions.udf.CIQ(A963, "IQ_TOTAL_DIV_PAID_CF",IQ_FY-6)/-I966)</f>
        <v>0.50309271851040649</v>
      </c>
      <c r="I966" s="17">
        <f>IF(A971=A972,_xll.ciqfunctions.udf.CIQ(A963,"IQ_TOTAL_OUTSTANDING_FILING_DATE",IQ_FY-7), _xll.ciqfunctions.udf.CIQ(A963, "IQ_TOTAL_OUTSTANDING_FILING_DATE",IQ_FY-6))</f>
        <v>1705.4510399999999</v>
      </c>
      <c r="J966" s="17">
        <f>IF(A971=A972,_xll.ciqfunctions.udf.CIQ(A963,"IQ_CASH_OPER",IQ_FY-7), _xll.ciqfunctions.udf.CIQ(A963, "IQ_CASH_OPER",IQ_FY-6))</f>
        <v>3252</v>
      </c>
      <c r="K966" s="17">
        <f>IF(A971=A972,_xll.ciqfunctions.udf.CIQ(A963,"IQ_CAPEX",IQ_FY-7), _xll.ciqfunctions.udf.CIQ(A963, "IQ_CAPEX",IQ_FY-6))</f>
        <v>-433</v>
      </c>
      <c r="L966" s="15">
        <f t="shared" si="256"/>
        <v>1.6529351672270816</v>
      </c>
      <c r="M966" s="17">
        <f>IF(A971=A972,_xll.ciqfunctions.udf.CIQ(A963,"IQ_TOTAL_DEBT_ISSUED",IQ_FY-7), _xll.ciqfunctions.udf.CIQ(A963, "IQ_TOTAL_DEBT_ISSUED",IQ_FY-6))</f>
        <v>101</v>
      </c>
      <c r="N966" s="17">
        <f>IF(A971=A972,_xll.ciqfunctions.udf.CIQ(A963,"IQ_TOTAL_DEBT_REPAID",IQ_FY-7), _xll.ciqfunctions.udf.CIQ(A963, "IQ_TOTAL_DEBT_REPAID",IQ_FY-6))</f>
        <v>-2188</v>
      </c>
      <c r="O966" s="15">
        <f t="shared" si="257"/>
        <v>-1.2237231975888325</v>
      </c>
      <c r="P966" s="15">
        <f t="shared" si="258"/>
        <v>0.42921196963824904</v>
      </c>
      <c r="Q966" s="25" t="s">
        <v>23</v>
      </c>
      <c r="R966" s="38" t="s">
        <v>24</v>
      </c>
      <c r="S966" s="1">
        <f>R962/(AVERAGE(H968:H973)*(1+H974)/(0.5-H974))</f>
        <v>11.482429933111236</v>
      </c>
      <c r="U966" s="25" t="s">
        <v>40</v>
      </c>
      <c r="V966" s="38" t="s">
        <v>24</v>
      </c>
      <c r="W966" s="1">
        <f>V962/(AVERAGE(H968:H973)*(1+H974)/(0.5-H974))</f>
        <v>11.482429933111236</v>
      </c>
      <c r="Y966" s="25" t="s">
        <v>47</v>
      </c>
      <c r="Z966" s="38" t="s">
        <v>24</v>
      </c>
      <c r="AA966" s="1">
        <f>Z962/(AVERAGE(H968:H973)*(1+H974)/(0.5-H974))</f>
        <v>11.482429933111236</v>
      </c>
    </row>
    <row r="967" spans="1:27">
      <c r="B967" s="13">
        <v>5</v>
      </c>
      <c r="C967" s="14" t="s">
        <v>25</v>
      </c>
      <c r="D967" s="15" cm="1">
        <f t="array" ref="D967">_xlfn.SINGLE(IF(A971=A972,_xll.ciqfunctions.udf.CIQ(A963,"IQ_TOTAL_REV",IQ_FY-6)/I967, _xll.ciqfunctions.udf.CIQ(A963, "IQ_TOTAL_REV",IQ_FY-5)/I967))</f>
        <v>31.640591857280072</v>
      </c>
      <c r="E967" s="16">
        <f t="shared" si="259"/>
        <v>0.11865086216704314</v>
      </c>
      <c r="F967" s="15">
        <f>IF(A971=A972,_xll.ciqfunctions.udf.CIQ(A963,"IQ_DILUT_EPS_EXCL",IQ_FY-6), _xll.ciqfunctions.udf.CIQ(A963, "IQ_DILUT_EPS_EXCL",IQ_FY-5))</f>
        <v>1.48</v>
      </c>
      <c r="G967" s="15">
        <f>IF(A971=A972,_xll.ciqfunctions.udf.CIQ(A963,"IQ_EBITDA_MARGIN",IQ_FY-6), _xll.ciqfunctions.udf.CIQ(A963, "IQ_EBITDA_MARGIN",IQ_FY-5))</f>
        <v>8.3735999999999997</v>
      </c>
      <c r="H967" s="15">
        <f>IF(A971=A972,_xll.ciqfunctions.udf.CIQ(A963,"IQ_TOTAL_DIV_PAID_CF",IQ_FY-6)/-I967, _xll.ciqfunctions.udf.CIQ(A963, "IQ_TOTAL_DIV_PAID_CF",IQ_FY-5)/-I967)</f>
        <v>0.54338960197495745</v>
      </c>
      <c r="I967" s="17">
        <f>IF(A971=A972,_xll.ciqfunctions.udf.CIQ(A963,"IQ_TOTAL_OUTSTANDING_FILING_DATE",IQ_FY-6), _xll.ciqfunctions.udf.CIQ(A963, "IQ_TOTAL_OUTSTANDING_FILING_DATE",IQ_FY-5))</f>
        <v>1645.22839</v>
      </c>
      <c r="J967" s="17">
        <f>IF(A971=A972,_xll.ciqfunctions.udf.CIQ(A963,"IQ_CASH_OPER",IQ_FY-6), _xll.ciqfunctions.udf.CIQ(A963, "IQ_CASH_OPER",IQ_FY-5))</f>
        <v>3677</v>
      </c>
      <c r="K967" s="17">
        <f>IF(A971=A972,_xll.ciqfunctions.udf.CIQ(A963,"IQ_CAPEX",IQ_FY-6), _xll.ciqfunctions.udf.CIQ(A963, "IQ_CAPEX",IQ_FY-5))</f>
        <v>-402</v>
      </c>
      <c r="L967" s="15">
        <f t="shared" si="256"/>
        <v>1.9906050855346595</v>
      </c>
      <c r="M967" s="17">
        <f>IF(A971=A972,_xll.ciqfunctions.udf.CIQ(A963,"IQ_TOTAL_DEBT_ISSUED",IQ_FY-6), _xll.ciqfunctions.udf.CIQ(A963, "IQ_TOTAL_DEBT_ISSUED",IQ_FY-5))</f>
        <v>1094</v>
      </c>
      <c r="N967" s="17">
        <f>IF(A971=A972,_xll.ciqfunctions.udf.CIQ(A963,"IQ_TOTAL_DEBT_REPAID",IQ_FY-6), _xll.ciqfunctions.udf.CIQ(A963, "IQ_TOTAL_DEBT_REPAID",IQ_FY-5))</f>
        <v>-87</v>
      </c>
      <c r="O967" s="15">
        <f t="shared" si="257"/>
        <v>0.61207307515523723</v>
      </c>
      <c r="P967" s="15">
        <f t="shared" si="258"/>
        <v>2.602678160689897</v>
      </c>
      <c r="Q967" s="18"/>
      <c r="R967" s="38" t="s">
        <v>50</v>
      </c>
      <c r="S967" s="3">
        <f>I974</f>
        <v>-8.5433409622370782E-2</v>
      </c>
      <c r="U967" s="18"/>
      <c r="V967" s="38" t="s">
        <v>50</v>
      </c>
      <c r="W967" s="3">
        <f>I974</f>
        <v>-8.5433409622370782E-2</v>
      </c>
      <c r="Y967" s="18"/>
      <c r="Z967" s="38" t="s">
        <v>50</v>
      </c>
      <c r="AA967" s="3">
        <f>I974</f>
        <v>-8.5433409622370782E-2</v>
      </c>
    </row>
    <row r="968" spans="1:27">
      <c r="B968" s="13">
        <v>6</v>
      </c>
      <c r="C968" s="14" t="s">
        <v>26</v>
      </c>
      <c r="D968" s="15" cm="1">
        <f t="array" ref="D968">_xlfn.SINGLE(IF(A971=A972,_xll.ciqfunctions.udf.CIQ(A963,"IQ_TOTAL_REV",IQ_FY-5)/I968, _xll.ciqfunctions.udf.CIQ(A963, "IQ_TOTAL_REV",IQ_FY-4)/I968))</f>
        <v>37.639012963103426</v>
      </c>
      <c r="E968" s="16">
        <f t="shared" si="259"/>
        <v>0.18957992735661164</v>
      </c>
      <c r="F968" s="15">
        <f>IF(A971=A972,_xll.ciqfunctions.udf.CIQ(A963,"IQ_DILUT_EPS_EXCL",IQ_FY-5), _xll.ciqfunctions.udf.CIQ(A963, "IQ_DILUT_EPS_EXCL",IQ_FY-4))</f>
        <v>3.26</v>
      </c>
      <c r="G968" s="15">
        <f>IF(A971=A972,_xll.ciqfunctions.udf.CIQ(A963,"IQ_EBITDA_MARGIN",IQ_FY-5), _xll.ciqfunctions.udf.CIQ(A963, "IQ_EBITDA_MARGIN",IQ_FY-4))</f>
        <v>8.2894000000000005</v>
      </c>
      <c r="H968" s="15">
        <f>IF(A971=A972,_xll.ciqfunctions.udf.CIQ(A963,"IQ_TOTAL_DIV_PAID_CF",IQ_FY-5)/-I968, _xll.ciqfunctions.udf.CIQ(A963, "IQ_TOTAL_DIV_PAID_CF",IQ_FY-4)/-I968)</f>
        <v>0.57869531833749444</v>
      </c>
      <c r="I968" s="17">
        <f>IF(A971=A972,_xll.ciqfunctions.udf.CIQ(A963,"IQ_TOTAL_OUTSTANDING_FILING_DATE",IQ_FY-5), _xll.ciqfunctions.udf.CIQ(A963, "IQ_TOTAL_OUTSTANDING_FILING_DATE",IQ_FY-4))</f>
        <v>1553.49451</v>
      </c>
      <c r="J968" s="17">
        <f>IF(A971=A972,_xll.ciqfunctions.udf.CIQ(A963,"IQ_CASH_OPER",IQ_FY-5), _xll.ciqfunctions.udf.CIQ(A963, "IQ_CASH_OPER",IQ_FY-4))</f>
        <v>4528</v>
      </c>
      <c r="K968" s="17">
        <f>IF(A971=A972,_xll.ciqfunctions.udf.CIQ(A963,"IQ_CAPEX",IQ_FY-5), _xll.ciqfunctions.udf.CIQ(A963, "IQ_CAPEX",IQ_FY-4))</f>
        <v>-546</v>
      </c>
      <c r="L968" s="15">
        <f t="shared" si="256"/>
        <v>2.5632533455171336</v>
      </c>
      <c r="M968" s="17">
        <f>IF(A971=A972,_xll.ciqfunctions.udf.CIQ(A963,"IQ_TOTAL_DEBT_ISSUED",IQ_FY-5), _xll.ciqfunctions.udf.CIQ(A963, "IQ_TOTAL_DEBT_ISSUED",IQ_FY-4))</f>
        <v>1455</v>
      </c>
      <c r="N968" s="17">
        <f>IF(A971=A972,_xll.ciqfunctions.udf.CIQ(A963,"IQ_TOTAL_DEBT_REPAID",IQ_FY-5), _xll.ciqfunctions.udf.CIQ(A963, "IQ_TOTAL_DEBT_REPAID",IQ_FY-4))</f>
        <v>-3694</v>
      </c>
      <c r="O968" s="15">
        <f t="shared" si="257"/>
        <v>-1.4412667605758067</v>
      </c>
      <c r="P968" s="15">
        <f t="shared" si="258"/>
        <v>1.1219865849413269</v>
      </c>
      <c r="Q968" s="25" t="s">
        <v>27</v>
      </c>
      <c r="R968" s="38" t="s">
        <v>51</v>
      </c>
      <c r="S968" s="4">
        <f>AVERAGE(F968:F973)/AVERAGE(D968:D973)</f>
        <v>6.3487974138046147E-2</v>
      </c>
      <c r="U968" s="25" t="s">
        <v>58</v>
      </c>
      <c r="V968" s="38" t="s">
        <v>51</v>
      </c>
      <c r="W968" s="4">
        <f>AVERAGE(F968:F973)/AVERAGE(D968:D973)</f>
        <v>6.3487974138046147E-2</v>
      </c>
      <c r="Y968" s="25" t="s">
        <v>56</v>
      </c>
      <c r="Z968" s="38" t="s">
        <v>51</v>
      </c>
      <c r="AA968" s="4">
        <f>AVERAGE(F968:F973)/AVERAGE(D968:D973)</f>
        <v>6.3487974138046147E-2</v>
      </c>
    </row>
    <row r="969" spans="1:27">
      <c r="A969" s="18"/>
      <c r="B969" s="13">
        <v>7</v>
      </c>
      <c r="C969" s="14" t="s">
        <v>28</v>
      </c>
      <c r="D969" s="15" cm="1">
        <f t="array" ref="D969">_xlfn.SINGLE(IF(A971=A972,_xll.ciqfunctions.udf.CIQ(A963,"IQ_TOTAL_REV",IQ_FY-4)/I969, _xll.ciqfunctions.udf.CIQ(A963, "IQ_TOTAL_REV",IQ_FY-3)/I969))</f>
        <v>40.432498083454448</v>
      </c>
      <c r="E969" s="16">
        <f t="shared" si="259"/>
        <v>7.4217810203721465E-2</v>
      </c>
      <c r="F969" s="15">
        <f>IF(A971=A972,_xll.ciqfunctions.udf.CIQ(A963,"IQ_DILUT_EPS_EXCL",IQ_FY-4), _xll.ciqfunctions.udf.CIQ(A963, "IQ_DILUT_EPS_EXCL",IQ_FY-3))</f>
        <v>2.0699999999999998</v>
      </c>
      <c r="G969" s="15">
        <f>IF(A971=A972,_xll.ciqfunctions.udf.CIQ(A963,"IQ_EBITDA_MARGIN",IQ_FY-4), _xll.ciqfunctions.udf.CIQ(A963, "IQ_EBITDA_MARGIN",IQ_FY-3))</f>
        <v>8.5351999999999997</v>
      </c>
      <c r="H969" s="15">
        <f>IF(A971=A972,_xll.ciqfunctions.udf.CIQ(A963,"IQ_TOTAL_DIV_PAID_CF",IQ_FY-4)/-I969, _xll.ciqfunctions.udf.CIQ(A963, "IQ_TOTAL_DIV_PAID_CF",IQ_FY-3)/-I969)</f>
        <v>0.66749818130830574</v>
      </c>
      <c r="I969" s="17">
        <f>IF(A971=A972,_xll.ciqfunctions.udf.CIQ(A963,"IQ_TOTAL_OUTSTANDING_FILING_DATE",IQ_FY-4), _xll.ciqfunctions.udf.CIQ(A963, "IQ_TOTAL_OUTSTANDING_FILING_DATE",IQ_FY-3))</f>
        <v>1453.1874800000001</v>
      </c>
      <c r="J969" s="17">
        <f>IF(A971=A972,_xll.ciqfunctions.udf.CIQ(A963,"IQ_CASH_OPER",IQ_FY-4), _xll.ciqfunctions.udf.CIQ(A963, "IQ_CASH_OPER",IQ_FY-3))</f>
        <v>4654</v>
      </c>
      <c r="K969" s="17">
        <f>IF(A971=A972,_xll.ciqfunctions.udf.CIQ(A963,"IQ_CAPEX",IQ_FY-4), _xll.ciqfunctions.udf.CIQ(A963, "IQ_CAPEX",IQ_FY-3))</f>
        <v>-671</v>
      </c>
      <c r="L969" s="15">
        <f t="shared" si="256"/>
        <v>2.7408713980937955</v>
      </c>
      <c r="M969" s="17">
        <f>IF(A971=A972,_xll.ciqfunctions.udf.CIQ(A963,"IQ_TOTAL_DEBT_ISSUED",IQ_FY-4), _xll.ciqfunctions.udf.CIQ(A963, "IQ_TOTAL_DEBT_ISSUED",IQ_FY-3))</f>
        <v>127</v>
      </c>
      <c r="N969" s="17">
        <f>IF(A971=A972,_xll.ciqfunctions.udf.CIQ(A963,"IQ_TOTAL_DEBT_REPAID",IQ_FY-4), _xll.ciqfunctions.udf.CIQ(A963, "IQ_TOTAL_DEBT_REPAID",IQ_FY-3))</f>
        <v>-1536</v>
      </c>
      <c r="O969" s="15">
        <f t="shared" si="257"/>
        <v>-0.96959271903443589</v>
      </c>
      <c r="P969" s="15">
        <f t="shared" si="258"/>
        <v>1.7712786790593595</v>
      </c>
      <c r="Q969" s="18"/>
      <c r="R969" s="38" t="s">
        <v>29</v>
      </c>
      <c r="S969" s="4">
        <f>(AVERAGE(P968:P973)/_xlfn.STDEV.P(P968:P973))/(IF(A971=A972,(_xlfn.SINGLE(_xll.ciqfunctions.udf.CIQ(A963,"IQ_total_assets",IQ_FY)) - _xlfn.SINGLE(_xll.ciqfunctions.udf.CIQ(A963,"iq_gw_intan", IQ_FY)))/I973, (_xlfn.SINGLE(_xll.ciqfunctions.udf.CIQ(A963, "IQ_total_assets",IQ_LTM))-_xlfn.SINGLE(_xll.ciqfunctions.udf.CIQ(A963,"iq_gw_intan",IQ_LTM)))/I973))</f>
        <v>5.3674793367258528E-2</v>
      </c>
      <c r="U969" s="18"/>
      <c r="V969" s="38" t="s">
        <v>29</v>
      </c>
      <c r="W969" s="4">
        <f>(AVERAGE(P968:P973)/_xlfn.STDEV.P(P968:P973))/(IF(A971=A972,(_xlfn.SINGLE(_xll.ciqfunctions.udf.CIQ(A963,"IQ_total_assets",IQ_FY)) - _xlfn.SINGLE(_xll.ciqfunctions.udf.CIQ(A963,"iq_gw_intan", IQ_FY)))/I973, (_xlfn.SINGLE(_xll.ciqfunctions.udf.CIQ(A963, "IQ_total_assets",IQ_LTM))-_xlfn.SINGLE(_xll.ciqfunctions.udf.CIQ(A963,"iq_gw_intan",IQ_LTM)))/I973))</f>
        <v>5.3674793367258528E-2</v>
      </c>
      <c r="Y969" s="18"/>
      <c r="Z969" s="38" t="s">
        <v>29</v>
      </c>
      <c r="AA969" s="4">
        <f>(AVERAGE(P968:P973)/_xlfn.STDEV.P(P968:P973))/(IF(A971=A972,(_xlfn.SINGLE(_xll.ciqfunctions.udf.CIQ(A963,"IQ_total_assets",IQ_FY)) - _xlfn.SINGLE(_xll.ciqfunctions.udf.CIQ(A963,"iq_gw_intan", IQ_FY)))/I973, (_xlfn.SINGLE(_xll.ciqfunctions.udf.CIQ(A963, "IQ_total_assets",IQ_LTM))-_xlfn.SINGLE(_xll.ciqfunctions.udf.CIQ(A963,"iq_gw_intan",IQ_LTM)))/I973))</f>
        <v>5.3674793367258528E-2</v>
      </c>
    </row>
    <row r="970" spans="1:27">
      <c r="A970" s="18"/>
      <c r="B970" s="13">
        <v>8</v>
      </c>
      <c r="C970" s="14" t="s">
        <v>30</v>
      </c>
      <c r="D970" s="15" cm="1">
        <f t="array" ref="D970">_xlfn.SINGLE(IF(A971=A972,_xll.ciqfunctions.udf.CIQ(A963,"IQ_TOTAL_REV",IQ_FY-3)/I970, _xll.ciqfunctions.udf.CIQ(A963, "IQ_TOTAL_REV",IQ_FY-2)/I970))</f>
        <v>43.918583526854945</v>
      </c>
      <c r="E970" s="16">
        <f t="shared" si="259"/>
        <v>8.6219887680574786E-2</v>
      </c>
      <c r="F970" s="15">
        <f>IF(A971=A972,_xll.ciqfunctions.udf.CIQ(A963,"IQ_DILUT_EPS_EXCL",IQ_FY-3), _xll.ciqfunctions.udf.CIQ(A963, "IQ_DILUT_EPS_EXCL",IQ_FY-2))</f>
        <v>2</v>
      </c>
      <c r="G970" s="15">
        <f>IF(A971=A972,_xll.ciqfunctions.udf.CIQ(A963,"IQ_EBITDA_MARGIN",IQ_FY-3), _xll.ciqfunctions.udf.CIQ(A963, "IQ_EBITDA_MARGIN",IQ_FY-2))</f>
        <v>8.7324000000000002</v>
      </c>
      <c r="H970" s="15">
        <f>IF(A971=A972,_xll.ciqfunctions.udf.CIQ(A963,"IQ_TOTAL_DIV_PAID_CF",IQ_FY-3)/-I970, _xll.ciqfunctions.udf.CIQ(A963, "IQ_TOTAL_DIV_PAID_CF",IQ_FY-2)/-I970)</f>
        <v>0.77308617341892294</v>
      </c>
      <c r="I970" s="17">
        <f>IF(A971=A972,_xll.ciqfunctions.udf.CIQ(A963,"IQ_TOTAL_OUTSTANDING_FILING_DATE",IQ_FY-3), _xll.ciqfunctions.udf.CIQ(A963, "IQ_TOTAL_OUTSTANDING_FILING_DATE",IQ_FY-2))</f>
        <v>1289.6363100000001</v>
      </c>
      <c r="J970" s="17">
        <f>IF(A971=A972,_xll.ciqfunctions.udf.CIQ(A963,"IQ_CASH_OPER",IQ_FY-3), _xll.ciqfunctions.udf.CIQ(A963, "IQ_CASH_OPER",IQ_FY-2))</f>
        <v>4316</v>
      </c>
      <c r="K970" s="17">
        <f>IF(A971=A972,_xll.ciqfunctions.udf.CIQ(A963,"IQ_CAPEX",IQ_FY-3), _xll.ciqfunctions.udf.CIQ(A963, "IQ_CAPEX",IQ_FY-2))</f>
        <v>-580</v>
      </c>
      <c r="L970" s="15">
        <f t="shared" si="256"/>
        <v>2.8969407661916713</v>
      </c>
      <c r="M970" s="17">
        <f>IF(A971=A972,_xll.ciqfunctions.udf.CIQ(A963,"IQ_TOTAL_DEBT_ISSUED",IQ_FY-3), _xll.ciqfunctions.udf.CIQ(A963, "IQ_TOTAL_DEBT_ISSUED",IQ_FY-2))</f>
        <v>3108</v>
      </c>
      <c r="N970" s="17">
        <f>IF(A971=A972,_xll.ciqfunctions.udf.CIQ(A963,"IQ_TOTAL_DEBT_REPAID",IQ_FY-3), _xll.ciqfunctions.udf.CIQ(A963, "IQ_TOTAL_DEBT_REPAID",IQ_FY-2))</f>
        <v>-1849</v>
      </c>
      <c r="O970" s="15">
        <f t="shared" si="257"/>
        <v>0.9762442250094524</v>
      </c>
      <c r="P970" s="15">
        <f t="shared" si="258"/>
        <v>3.8731849912011236</v>
      </c>
      <c r="Q970" s="18"/>
      <c r="R970" s="39" t="s">
        <v>31</v>
      </c>
      <c r="S970" s="5">
        <f>IF(NOT(D963&gt;0),FALSE,SLOPE(G963:G973,B963:B973))</f>
        <v>-1.0631818181818208E-2</v>
      </c>
      <c r="U970" s="18"/>
      <c r="V970" s="39" t="s">
        <v>31</v>
      </c>
      <c r="W970" s="5">
        <f>IF(NOT(D963&gt;0),FALSE,SLOPE(G963:G973,B963:B973))</f>
        <v>-1.0631818181818208E-2</v>
      </c>
      <c r="Y970" s="18"/>
      <c r="Z970" s="39" t="s">
        <v>31</v>
      </c>
      <c r="AA970" s="5">
        <f>IF(NOT(L963&gt;0),FALSE,SLOPE(O963:O973,J963:J973))</f>
        <v>-2.0915141138954724E-4</v>
      </c>
    </row>
    <row r="971" spans="1:27">
      <c r="A971" s="19">
        <f>_xll.ciqfunctions.udf.CIQ(A963,"IQ_TOTAL_REV",IQ_FY)</f>
        <v>53718</v>
      </c>
      <c r="B971" s="13">
        <v>9</v>
      </c>
      <c r="C971" s="14" t="s">
        <v>32</v>
      </c>
      <c r="D971" s="15" cm="1">
        <f t="array" ref="D971">_xlfn.SINGLE(IF(A971=A972,_xll.ciqfunctions.udf.CIQ(A963,"IQ_TOTAL_REV",IQ_FY-2)/I971, _xll.ciqfunctions.udf.CIQ(A963, "IQ_TOTAL_REV",IQ_FY-1)/I971))</f>
        <v>58.636443300858168</v>
      </c>
      <c r="E971" s="16">
        <f t="shared" si="259"/>
        <v>0.33511690478368178</v>
      </c>
      <c r="F971" s="15">
        <f>IF(A971=A972,_xll.ciqfunctions.udf.CIQ(A963,"IQ_DILUT_EPS_EXCL",IQ_FY-2), _xll.ciqfunctions.udf.CIQ(A963, "IQ_DILUT_EPS_EXCL",IQ_FY-1))</f>
        <v>5.33</v>
      </c>
      <c r="G971" s="15">
        <f>IF(A971=A972,_xll.ciqfunctions.udf.CIQ(A963,"IQ_EBITDA_MARGIN",IQ_FY-2), _xll.ciqfunctions.udf.CIQ(A963, "IQ_EBITDA_MARGIN",IQ_FY-1))</f>
        <v>10.022500000000001</v>
      </c>
      <c r="H971" s="15">
        <f>IF(A971=A972,_xll.ciqfunctions.udf.CIQ(A963,"IQ_TOTAL_DIV_PAID_CF",IQ_FY-2)/-I971, _xll.ciqfunctions.udf.CIQ(A963, "IQ_TOTAL_DIV_PAID_CF",IQ_FY-1)/-I971)</f>
        <v>0.8663345852884049</v>
      </c>
      <c r="I971" s="17">
        <f>IF(A971=A972,_xll.ciqfunctions.udf.CIQ(A963,"IQ_TOTAL_OUTSTANDING_FILING_DATE",IQ_FY-2), _xll.ciqfunctions.udf.CIQ(A963, "IQ_TOTAL_OUTSTANDING_FILING_DATE",IQ_FY-1))</f>
        <v>1082.7225599999999</v>
      </c>
      <c r="J971" s="17">
        <f>IF(A971=A972,_xll.ciqfunctions.udf.CIQ(A963,"IQ_CASH_OPER",IQ_FY-2), _xll.ciqfunctions.udf.CIQ(A963, "IQ_CASH_OPER",IQ_FY-1))</f>
        <v>6409</v>
      </c>
      <c r="K971" s="17">
        <f>IF(A971=A972,_xll.ciqfunctions.udf.CIQ(A963,"IQ_CAPEX",IQ_FY-2), _xll.ciqfunctions.udf.CIQ(A963, "IQ_CAPEX",IQ_FY-1))</f>
        <v>-582</v>
      </c>
      <c r="L971" s="15">
        <f t="shared" si="256"/>
        <v>5.3818034418715728</v>
      </c>
      <c r="M971" s="17">
        <f>IF(A971=A972,_xll.ciqfunctions.udf.CIQ(A963,"IQ_TOTAL_DEBT_ISSUED",IQ_FY-2), _xll.ciqfunctions.udf.CIQ(A963, "IQ_TOTAL_DEBT_ISSUED",IQ_FY-1))</f>
        <v>2521</v>
      </c>
      <c r="N971" s="17">
        <f>IF(A971=A972,_xll.ciqfunctions.udf.CIQ(A963,"IQ_TOTAL_DEBT_REPAID",IQ_FY-2), _xll.ciqfunctions.udf.CIQ(A963, "IQ_TOTAL_DEBT_REPAID",IQ_FY-1))</f>
        <v>-1245</v>
      </c>
      <c r="O971" s="15">
        <f t="shared" si="257"/>
        <v>1.1785105872366788</v>
      </c>
      <c r="P971" s="15">
        <f t="shared" si="258"/>
        <v>6.5603140291082518</v>
      </c>
      <c r="Q971" s="25" t="s">
        <v>33</v>
      </c>
      <c r="R971" s="38" t="s">
        <v>52</v>
      </c>
      <c r="S971" s="4">
        <f>(AVERAGE(O968:O973)/AVERAGE(P968:P973))</f>
        <v>6.529295976130399E-2</v>
      </c>
      <c r="U971" s="25" t="s">
        <v>54</v>
      </c>
      <c r="V971" s="38" t="s">
        <v>52</v>
      </c>
      <c r="W971" s="4">
        <f>(AVERAGE(O968:O973)/AVERAGE(P968:P973))</f>
        <v>6.529295976130399E-2</v>
      </c>
      <c r="Y971" s="25" t="s">
        <v>60</v>
      </c>
      <c r="Z971" s="38" t="s">
        <v>52</v>
      </c>
      <c r="AA971" s="4">
        <f>(AVERAGE(O968:O973)/AVERAGE(P968:P973))</f>
        <v>6.529295976130399E-2</v>
      </c>
    </row>
    <row r="972" spans="1:27">
      <c r="A972" s="19">
        <f>_xll.ciqfunctions.udf.CIQ(A963,"IQ_TOTAL_REV",IQ_LTM)</f>
        <v>53718</v>
      </c>
      <c r="B972" s="13">
        <v>10</v>
      </c>
      <c r="C972" s="14" t="s">
        <v>34</v>
      </c>
      <c r="D972" s="15" cm="1">
        <f t="array" ref="D972">_xlfn.SINGLE(IF(A971=A972,_xll.ciqfunctions.udf.CIQ(A963,"IQ_TOTAL_REV",IQ_FY-1)/I972, _xll.ciqfunctions.udf.CIQ(A963, "IQ_TOTAL_REV",IQ_FY)/I972))</f>
        <v>64.127953303878101</v>
      </c>
      <c r="E972" s="16">
        <f t="shared" si="259"/>
        <v>9.3653531726736947E-2</v>
      </c>
      <c r="F972" s="15">
        <f>IF(A971=A972,_xll.ciqfunctions.udf.CIQ(A963,"IQ_DILUT_EPS_EXCL",IQ_FY-1), _xll.ciqfunctions.udf.CIQ(A963, "IQ_DILUT_EPS_EXCL",IQ_FY))</f>
        <v>3.05</v>
      </c>
      <c r="G972" s="15">
        <f>IF(A971=A972,_xll.ciqfunctions.udf.CIQ(A963,"IQ_EBITDA_MARGIN",IQ_FY-1), _xll.ciqfunctions.udf.CIQ(A963, "IQ_EBITDA_MARGIN",IQ_FY))</f>
        <v>9.5739999999999998</v>
      </c>
      <c r="H972" s="15">
        <f>IF(A971=A972,_xll.ciqfunctions.udf.CIQ(A963,"IQ_TOTAL_DIV_PAID_CF",IQ_FY-1)/-I972, _xll.ciqfunctions.udf.CIQ(A963, "IQ_TOTAL_DIV_PAID_CF",IQ_FY)/-I972)</f>
        <v>1.0558513817398598</v>
      </c>
      <c r="I972" s="17">
        <f>IF(A971=A972,_xll.ciqfunctions.udf.CIQ(A963,"IQ_TOTAL_OUTSTANDING_FILING_DATE",IQ_FY-1), _xll.ciqfunctions.udf.CIQ(A963, "IQ_TOTAL_OUTSTANDING_FILING_DATE",IQ_FY))</f>
        <v>982.14580000000001</v>
      </c>
      <c r="J972" s="17">
        <f>IF(A971=A972,_xll.ciqfunctions.udf.CIQ(A963,"IQ_CASH_OPER",IQ_FY-1), _xll.ciqfunctions.udf.CIQ(A963, "IQ_CASH_OPER",IQ_FY))</f>
        <v>4463</v>
      </c>
      <c r="K972" s="17">
        <f>IF(A971=A972,_xll.ciqfunctions.udf.CIQ(A963,"IQ_CAPEX",IQ_FY-1), _xll.ciqfunctions.udf.CIQ(A963, "IQ_CAPEX",IQ_FY))</f>
        <v>-791</v>
      </c>
      <c r="L972" s="15">
        <f t="shared" si="256"/>
        <v>3.7387524337017988</v>
      </c>
      <c r="M972" s="17">
        <f>IF(A971=A972,_xll.ciqfunctions.udf.CIQ(A963,"IQ_TOTAL_DEBT_ISSUED",IQ_FY-1), _xll.ciqfunctions.udf.CIQ(A963, "IQ_TOTAL_DEBT_ISSUED",IQ_FY))</f>
        <v>4175</v>
      </c>
      <c r="N972" s="17">
        <f>IF(A971=A972,_xll.ciqfunctions.udf.CIQ(A963,"IQ_TOTAL_DEBT_REPAID",IQ_FY-1), _xll.ciqfunctions.udf.CIQ(A963, "IQ_TOTAL_DEBT_REPAID",IQ_FY))</f>
        <v>-1093</v>
      </c>
      <c r="O972" s="15">
        <f t="shared" si="257"/>
        <v>3.1380269609664877</v>
      </c>
      <c r="P972" s="15">
        <f t="shared" si="258"/>
        <v>6.8767793946682865</v>
      </c>
      <c r="Q972" s="25" t="s">
        <v>44</v>
      </c>
      <c r="R972" s="38" t="s">
        <v>35</v>
      </c>
      <c r="S972" s="1">
        <f>_xll.ciqfunctions.udf.CIQ(A963,"IQ_TEV_EBITDA")</f>
        <v>6.8111600000000001</v>
      </c>
      <c r="U972" s="25" t="s">
        <v>55</v>
      </c>
      <c r="V972" s="38" t="s">
        <v>53</v>
      </c>
      <c r="W972" s="1">
        <f>V962/(AVERAGE(D968:D973)/_xlfn.STDEV.P(E968:E973))</f>
        <v>8.463672440792594E-2</v>
      </c>
      <c r="Y972" s="25" t="s">
        <v>57</v>
      </c>
      <c r="Z972" s="38" t="s">
        <v>53</v>
      </c>
      <c r="AA972" s="1">
        <f>Z962/(AVERAGE(D968:D973)/_xlfn.STDEV.P(E968:E973))</f>
        <v>8.463672440792594E-2</v>
      </c>
    </row>
    <row r="973" spans="1:27">
      <c r="B973" s="13">
        <v>11</v>
      </c>
      <c r="C973" s="20" t="s">
        <v>36</v>
      </c>
      <c r="D973" s="21" cm="1">
        <f t="array" ref="D973">_xlfn.SINGLE(IF(A971=A972,_xll.ciqfunctions.udf.CIQ(A963,"IQ_TOTAL_REV",IQ_FY)/I973, _xll.ciqfunctions.udf.CIQ(A963, "IQ_TOTAL_REV",IQ_LTM)/I973))</f>
        <v>54.04225352112676</v>
      </c>
      <c r="E973" s="22">
        <f t="shared" si="259"/>
        <v>-0.1572746246080711</v>
      </c>
      <c r="F973" s="21">
        <f>IF(A971=A972,_xll.ciqfunctions.udf.CIQ(A963,"IQ_DILUT_EPS_EXCL",IQ_FY), _xll.ciqfunctions.udf.CIQ(A963, "IQ_DILUT_EPS_EXCL",IQ_LTM))</f>
        <v>3.26</v>
      </c>
      <c r="G973" s="21">
        <f>IF(A971=A972,_xll.ciqfunctions.udf.CIQ(A963,"IQ_EBITDA_MARGIN",IQ_FY), _xll.ciqfunctions.udf.CIQ(A963, "IQ_EBITDA_MARGIN",IQ_LTM))</f>
        <v>9.4436999999999998</v>
      </c>
      <c r="H973" s="21">
        <f>IF(A971=A972,_xll.ciqfunctions.udf.CIQ(A963,"IQ_TOTAL_DIV_PAID_CF",IQ_FY)/-I973, _xll.ciqfunctions.udf.CIQ(A963, "IQ_TOTAL_DIV_PAID_CF",IQ_LTM)/-I973)</f>
        <v>1.0422535211267605</v>
      </c>
      <c r="I973" s="23">
        <f>IF(A971=A972,_xll.ciqfunctions.udf.CIQ(A963,"IQ_TOTAL_OUTSTANDING_FILING_DATE",IQ_FY),_xll.ciqfunctions.udf.CIQ(A963,"IQ_sharesoutstanding"))</f>
        <v>994</v>
      </c>
      <c r="J973" s="23">
        <f>IF(A971=A972,_xll.ciqfunctions.udf.CIQ(A963,"IQ_CASH_OPER",IQ_FY), _xll.ciqfunctions.udf.CIQ(A963, "IQ_CASH_OPER",IQ_LTM))</f>
        <v>3571</v>
      </c>
      <c r="K973" s="23">
        <f>IF(A971=A972,_xll.ciqfunctions.udf.CIQ(A963,"IQ_CAPEX",IQ_FY), _xll.ciqfunctions.udf.CIQ(A963, "IQ_CAPEX",IQ_LTM))</f>
        <v>-609</v>
      </c>
      <c r="L973" s="21">
        <f t="shared" si="256"/>
        <v>2.9798792756539236</v>
      </c>
      <c r="M973" s="23">
        <f>IF(A971=A972,_xll.ciqfunctions.udf.CIQ(A963,"IQ_TOTAL_DEBT_ISSUED",IQ_FY), _xll.ciqfunctions.udf.CIQ(A963, "IQ_TOTAL_DEBT_ISSUED",IQ_LTM))</f>
        <v>255</v>
      </c>
      <c r="N973" s="23">
        <f>IF(A971=A972,_xll.ciqfunctions.udf.CIQ(A963,"IQ_TOTAL_DEBT_REPAID",IQ_FY), _xll.ciqfunctions.udf.CIQ(A963, "IQ_TOTAL_DEBT_REPAID",IQ_LTM))</f>
        <v>-1710</v>
      </c>
      <c r="O973" s="21">
        <f t="shared" si="257"/>
        <v>-1.4637826961770624</v>
      </c>
      <c r="P973" s="21">
        <f t="shared" si="258"/>
        <v>1.5160965794768613</v>
      </c>
      <c r="Q973" s="25" t="s">
        <v>45</v>
      </c>
      <c r="S973" s="45"/>
      <c r="U973" s="25"/>
      <c r="W973" s="45"/>
      <c r="Y973" s="25"/>
      <c r="AA973" s="45"/>
    </row>
    <row r="974" spans="1:27">
      <c r="B974" s="24"/>
      <c r="C974" s="25" t="s">
        <v>37</v>
      </c>
      <c r="E974" s="26">
        <f>((D973/D968)^(1/5))-1</f>
        <v>7.5026190333022491E-2</v>
      </c>
      <c r="F974" s="27">
        <f>((F973/F968)^(1/5))-1</f>
        <v>0</v>
      </c>
      <c r="G974" s="28"/>
      <c r="H974" s="27">
        <f>((H973/H968)^(1/5))-1</f>
        <v>0.12487607643898913</v>
      </c>
      <c r="I974" s="27">
        <f>((I973/I968)^(1/5))-1</f>
        <v>-8.5433409622370782E-2</v>
      </c>
      <c r="J974" s="27"/>
      <c r="K974" s="27"/>
      <c r="L974" s="26">
        <f>((L973/L968)^(1/5))-1</f>
        <v>3.0579329227786722E-2</v>
      </c>
      <c r="M974" s="26"/>
      <c r="N974" s="26"/>
      <c r="O974" s="26"/>
      <c r="P974" s="26">
        <f>((P973/P968)^(1/5))-1</f>
        <v>6.2057036713623281E-2</v>
      </c>
      <c r="Q974" s="18"/>
      <c r="R974" s="36"/>
      <c r="S974" s="45"/>
      <c r="U974" s="18"/>
      <c r="V974" s="36"/>
      <c r="W974" s="45"/>
      <c r="Y974" s="18"/>
      <c r="Z974" s="36"/>
      <c r="AA974" s="45"/>
    </row>
    <row r="975" spans="1:27">
      <c r="A975" s="29"/>
      <c r="B975" s="30"/>
      <c r="C975" s="31" t="s">
        <v>38</v>
      </c>
      <c r="D975" s="29"/>
      <c r="E975" s="32">
        <f>((D973/D963)^(1/10))-1</f>
        <v>-8.4567478128720897E-3</v>
      </c>
      <c r="F975" s="33">
        <f>((F973/F963)^(1/10))-1</f>
        <v>2.2095863986345332E-2</v>
      </c>
      <c r="G975" s="34"/>
      <c r="H975" s="33">
        <f>((H973/H963)^(1/10))-1</f>
        <v>6.0563385857746344E-2</v>
      </c>
      <c r="I975" s="33">
        <f>((I973/I963)^(1/10))-1</f>
        <v>-6.3164977486530383E-2</v>
      </c>
      <c r="J975" s="33"/>
      <c r="K975" s="33"/>
      <c r="L975" s="32">
        <f>((L973/L963)^(1/10))-1</f>
        <v>-3.834132826697001E-2</v>
      </c>
      <c r="M975" s="32"/>
      <c r="N975" s="32"/>
      <c r="O975" s="32"/>
      <c r="P975" s="32">
        <f>((P973/P963)^(1/10))-1</f>
        <v>2.839043621899684E-3</v>
      </c>
      <c r="Q975" s="40"/>
      <c r="R975" s="41"/>
      <c r="S975" s="46"/>
      <c r="U975" s="40"/>
      <c r="V975" s="41"/>
      <c r="W975" s="46"/>
      <c r="Y975" s="40"/>
      <c r="Z975" s="41"/>
      <c r="AA975" s="46"/>
    </row>
    <row r="976" spans="1:27">
      <c r="B976" s="24"/>
      <c r="C976" s="25"/>
      <c r="E976" s="26"/>
      <c r="F976" s="27"/>
      <c r="G976" s="28"/>
      <c r="H976" s="27"/>
      <c r="I976" s="27"/>
      <c r="J976" s="27"/>
      <c r="K976" s="27"/>
      <c r="L976" s="26"/>
      <c r="M976" s="17"/>
      <c r="N976" s="17"/>
      <c r="O976" s="17"/>
      <c r="P976" s="35"/>
      <c r="Q976" s="18"/>
      <c r="R976" s="36"/>
    </row>
    <row r="977" spans="1:27">
      <c r="A977" s="9" t="s">
        <v>0</v>
      </c>
      <c r="B977" s="10"/>
      <c r="C977" s="9" t="s">
        <v>1</v>
      </c>
      <c r="D977" s="9" t="s">
        <v>2</v>
      </c>
      <c r="E977" s="9" t="s">
        <v>3</v>
      </c>
      <c r="F977" s="11" t="s">
        <v>4</v>
      </c>
      <c r="G977" s="11" t="s">
        <v>5</v>
      </c>
      <c r="H977" s="9" t="s">
        <v>6</v>
      </c>
      <c r="I977" s="11" t="s">
        <v>7</v>
      </c>
      <c r="J977" s="11" t="s">
        <v>8</v>
      </c>
      <c r="K977" s="11" t="s">
        <v>9</v>
      </c>
      <c r="L977" s="11" t="s">
        <v>10</v>
      </c>
      <c r="M977" s="11" t="s">
        <v>11</v>
      </c>
      <c r="N977" s="11" t="s">
        <v>12</v>
      </c>
      <c r="O977" s="11" t="s">
        <v>13</v>
      </c>
      <c r="P977" s="11" t="s">
        <v>14</v>
      </c>
      <c r="Q977" s="37" t="s">
        <v>15</v>
      </c>
      <c r="R977" s="42">
        <f>_xll.ciqfunctions.udf.CIQ(A978,("IQ_LASTSALEPRICE"))</f>
        <v>78.27</v>
      </c>
      <c r="S977" s="44"/>
      <c r="U977" s="37" t="s">
        <v>15</v>
      </c>
      <c r="V977" s="42">
        <f>_xll.ciqfunctions.udf.CIQ(A978,("IQ_LASTSALEPRICE"))</f>
        <v>78.27</v>
      </c>
      <c r="W977" s="44"/>
      <c r="Y977" s="37" t="s">
        <v>15</v>
      </c>
      <c r="Z977" s="42">
        <f>_xll.ciqfunctions.udf.CIQ(A978,("IQ_LASTSALEPRICE"))</f>
        <v>78.27</v>
      </c>
      <c r="AA977" s="44"/>
    </row>
    <row r="978" spans="1:27">
      <c r="A978" s="12" t="str">
        <f>Analysis!B67</f>
        <v>NasdaqGS:NTAP</v>
      </c>
      <c r="B978" s="13">
        <v>1</v>
      </c>
      <c r="C978" s="14" t="s">
        <v>16</v>
      </c>
      <c r="D978" s="15">
        <f>IF(A986=A987,_xll.ciqfunctions.udf.CIQ(A978,"IQ_TOTAL_REV",IQ_FY-10)/I978,_xll.ciqfunctions.udf.CIQ(A978, "IQ_TOTAL_REV",IQ_FY-9)/I978)</f>
        <v>19.551816719260795</v>
      </c>
      <c r="E978" s="16"/>
      <c r="F978" s="15">
        <f>IF(A986=A987,_xll.ciqfunctions.udf.CIQ(A978,"IQ_DILUT_EPS_EXCL",IQ_FY-10), _xll.ciqfunctions.udf.CIQ(A978, "IQ_DILUT_EPS_EXCL",IQ_FY-9))</f>
        <v>1.83</v>
      </c>
      <c r="G978" s="15">
        <f>IF(A986=A987,_xll.ciqfunctions.udf.CIQ(A978,"IQ_EBITDA_MARGIN",IQ_FY-10), _xll.ciqfunctions.udf.CIQ(A978, "IQ_EBITDA_MARGIN",IQ_FY-9))</f>
        <v>17.375399999999999</v>
      </c>
      <c r="H978" s="15">
        <f>IF(A986=A987,_xll.ciqfunctions.udf.CIQ(A978,"IQ_TOTAL_DIV_PAID_CF",IQ_FY-10)/-I978, _xll.ciqfunctions.udf.CIQ(A978, "IQ_TOTAL_DIV_PAID_CF",IQ_FY-9)/-I978)</f>
        <v>0.62442165648864523</v>
      </c>
      <c r="I978" s="17">
        <f>IF(A986=A987,_xll.ciqfunctions.udf.CIQ(A978,"IQ_TOTAL_OUTSTANDING_FILING_DATE",IQ_FY-10), _xll.ciqfunctions.udf.CIQ(A978, "IQ_TOTAL_OUTSTANDING_FILING_DATE",IQ_FY-9))</f>
        <v>323.49934999999999</v>
      </c>
      <c r="J978" s="17">
        <f>IF(A986=A987,_xll.ciqfunctions.udf.CIQ(A978,"IQ_CASH_OPER",IQ_FY-10), _xll.ciqfunctions.udf.CIQ(A978, "IQ_CASH_OPER",IQ_FY-9))</f>
        <v>1350</v>
      </c>
      <c r="K978" s="17">
        <f>IF(A986=A987,_xll.ciqfunctions.udf.CIQ(A978,"IQ_CAPEX",IQ_FY-10), _xll.ciqfunctions.udf.CIQ(A978, "IQ_CAPEX",IQ_FY-9))</f>
        <v>-221</v>
      </c>
      <c r="L978" s="15">
        <f t="shared" ref="L978:L988" si="260">(J978+K978)/I978</f>
        <v>3.4899606444340616</v>
      </c>
      <c r="M978" s="17">
        <f>IF(A986=A987,_xll.ciqfunctions.udf.CIQ(A978,"IQ_TOTAL_DEBT_ISSUED",IQ_FY-10), _xll.ciqfunctions.udf.CIQ(A978, "IQ_TOTAL_DEBT_ISSUED",IQ_FY-9))</f>
        <v>0</v>
      </c>
      <c r="N978" s="17">
        <f>IF(A986=A987,_xll.ciqfunctions.udf.CIQ(A978,"IQ_TOTAL_DEBT_REPAID",IQ_FY-10), _xll.ciqfunctions.udf.CIQ(A978, "IQ_TOTAL_DEBT_REPAID",IQ_FY-9))</f>
        <v>-1265</v>
      </c>
      <c r="O978" s="15">
        <f t="shared" ref="O978:O988" si="261">(M978+N978)/I978</f>
        <v>-3.9103633438521594</v>
      </c>
      <c r="P978" s="15">
        <f t="shared" ref="P978:P988" si="262">L978+O978</f>
        <v>-0.42040269941809782</v>
      </c>
      <c r="W978" s="43"/>
      <c r="AA978" s="43"/>
    </row>
    <row r="979" spans="1:27">
      <c r="A979" s="18" t="str">
        <f>_xll.ciqfunctions.udf.CIQ(A978,"IQ_COMPANY_NAME")</f>
        <v>NetApp, Inc.</v>
      </c>
      <c r="B979" s="13">
        <v>2</v>
      </c>
      <c r="C979" s="14" t="s">
        <v>17</v>
      </c>
      <c r="D979" s="15">
        <f>IF(A986=A987,_xll.ciqfunctions.udf.CIQ(A978,"IQ_TOTAL_REV",IQ_FY-9)/I979, _xll.ciqfunctions.udf.CIQ(A978, "IQ_TOTAL_REV",IQ_FY-8)/I979)</f>
        <v>20.07677966486828</v>
      </c>
      <c r="E979" s="16">
        <f t="shared" ref="E979:E988" si="263">(D979-D978)/D978</f>
        <v>2.684982951432514E-2</v>
      </c>
      <c r="F979" s="15">
        <f>IF(A986=A987,_xll.ciqfunctions.udf.CIQ(A978,"IQ_DILUT_EPS_EXCL",IQ_FY-9), _xll.ciqfunctions.udf.CIQ(A978, "IQ_DILUT_EPS_EXCL",IQ_FY-8))</f>
        <v>1.75</v>
      </c>
      <c r="G979" s="15">
        <f>IF(A986=A987,_xll.ciqfunctions.udf.CIQ(A978,"IQ_EBITDA_MARGIN",IQ_FY-9), _xll.ciqfunctions.udf.CIQ(A978, "IQ_EBITDA_MARGIN",IQ_FY-8))</f>
        <v>15.6785</v>
      </c>
      <c r="H979" s="15">
        <f>IF(A986=A987,_xll.ciqfunctions.udf.CIQ(A978,"IQ_TOTAL_DIV_PAID_CF",IQ_FY-9)/-I979, _xll.ciqfunctions.udf.CIQ(A978, "IQ_TOTAL_DIV_PAID_CF",IQ_FY-8)/-I979)</f>
        <v>0.68201374657726643</v>
      </c>
      <c r="I979" s="17">
        <f>IF(A986=A987,_xll.ciqfunctions.udf.CIQ(A978,"IQ_TOTAL_OUTSTANDING_FILING_DATE",IQ_FY-9), _xll.ciqfunctions.udf.CIQ(A978, "IQ_TOTAL_OUTSTANDING_FILING_DATE",IQ_FY-8))</f>
        <v>304.97919000000002</v>
      </c>
      <c r="J979" s="17">
        <f>IF(A986=A987,_xll.ciqfunctions.udf.CIQ(A978,"IQ_CASH_OPER",IQ_FY-9), _xll.ciqfunctions.udf.CIQ(A978, "IQ_CASH_OPER",IQ_FY-8))</f>
        <v>1268</v>
      </c>
      <c r="K979" s="17">
        <f>IF(A986=A987,_xll.ciqfunctions.udf.CIQ(A978,"IQ_CAPEX",IQ_FY-9), _xll.ciqfunctions.udf.CIQ(A978, "IQ_CAPEX",IQ_FY-8))</f>
        <v>-175</v>
      </c>
      <c r="L979" s="15">
        <f t="shared" si="260"/>
        <v>3.5838510817738087</v>
      </c>
      <c r="M979" s="17">
        <f>IF(A986=A987,_xll.ciqfunctions.udf.CIQ(A978,"IQ_TOTAL_DEBT_ISSUED",IQ_FY-9), _xll.ciqfunctions.udf.CIQ(A978, "IQ_TOTAL_DEBT_ISSUED",IQ_FY-8))</f>
        <v>495</v>
      </c>
      <c r="N979" s="17">
        <f>IF(A986=A987,_xll.ciqfunctions.udf.CIQ(A978,"IQ_TOTAL_DEBT_REPAID",IQ_FY-9), _xll.ciqfunctions.udf.CIQ(A978, "IQ_TOTAL_DEBT_REPAID",IQ_FY-8))</f>
        <v>0</v>
      </c>
      <c r="O979" s="15">
        <f t="shared" si="261"/>
        <v>1.6230615603641676</v>
      </c>
      <c r="P979" s="15">
        <f t="shared" si="262"/>
        <v>5.2069126421379766</v>
      </c>
      <c r="Q979" s="25" t="s">
        <v>18</v>
      </c>
      <c r="R979" s="39" t="s">
        <v>19</v>
      </c>
      <c r="S979" s="1">
        <f>R977/((AVERAGE(P983:P988))*(1+E989)^3)</f>
        <v>14.953116628141233</v>
      </c>
      <c r="U979" s="25" t="s">
        <v>48</v>
      </c>
      <c r="V979" s="39" t="s">
        <v>19</v>
      </c>
      <c r="W979" s="1">
        <f>V977/((AVERAGE(P983:P988))*(1+E989)^3)</f>
        <v>14.953116628141233</v>
      </c>
      <c r="Y979" s="25" t="s">
        <v>39</v>
      </c>
      <c r="Z979" s="39" t="s">
        <v>19</v>
      </c>
      <c r="AA979" s="1">
        <f>Z977/((AVERAGE(P983:P988))*(1+E989)^3)</f>
        <v>14.953116628141233</v>
      </c>
    </row>
    <row r="980" spans="1:27">
      <c r="B980" s="13">
        <v>3</v>
      </c>
      <c r="C980" s="14" t="s">
        <v>20</v>
      </c>
      <c r="D980" s="15" cm="1">
        <f t="array" ref="D980">_xlfn.SINGLE(IF(A986=A987,_xll.ciqfunctions.udf.CIQ(A978,"IQ_TOTAL_REV",IQ_FY-8)/I980, _xll.ciqfunctions.udf.CIQ(A978, "IQ_TOTAL_REV",IQ_FY-7)/I980))</f>
        <v>19.80147468501427</v>
      </c>
      <c r="E980" s="16">
        <f t="shared" si="263"/>
        <v>-1.3712606526023552E-2</v>
      </c>
      <c r="F980" s="15">
        <f>IF(A986=A987,_xll.ciqfunctions.udf.CIQ(A978,"IQ_DILUT_EPS_EXCL",IQ_FY-8), _xll.ciqfunctions.udf.CIQ(A978, "IQ_DILUT_EPS_EXCL",IQ_FY-7))</f>
        <v>0.77</v>
      </c>
      <c r="G980" s="15">
        <f>IF(A986=A987,_xll.ciqfunctions.udf.CIQ(A978,"IQ_EBITDA_MARGIN",IQ_FY-8), _xll.ciqfunctions.udf.CIQ(A978, "IQ_EBITDA_MARGIN",IQ_FY-7))</f>
        <v>11.3775</v>
      </c>
      <c r="H980" s="15">
        <f>IF(A986=A987,_xll.ciqfunctions.udf.CIQ(A978,"IQ_TOTAL_DIV_PAID_CF",IQ_FY-8)/-I980, _xll.ciqfunctions.udf.CIQ(A978, "IQ_TOTAL_DIV_PAID_CF",IQ_FY-7)/-I980)</f>
        <v>0.74978537393671063</v>
      </c>
      <c r="I980" s="17">
        <f>IF(A986=A987,_xll.ciqfunctions.udf.CIQ(A978,"IQ_TOTAL_OUTSTANDING_FILING_DATE",IQ_FY-8), _xll.ciqfunctions.udf.CIQ(A978, "IQ_TOTAL_OUTSTANDING_FILING_DATE",IQ_FY-7))</f>
        <v>280.08015</v>
      </c>
      <c r="J980" s="17">
        <f>IF(A986=A987,_xll.ciqfunctions.udf.CIQ(A978,"IQ_CASH_OPER",IQ_FY-8), _xll.ciqfunctions.udf.CIQ(A978, "IQ_CASH_OPER",IQ_FY-7))</f>
        <v>974</v>
      </c>
      <c r="K980" s="17">
        <f>IF(A986=A987,_xll.ciqfunctions.udf.CIQ(A978,"IQ_CAPEX",IQ_FY-8), _xll.ciqfunctions.udf.CIQ(A978, "IQ_CAPEX",IQ_FY-7))</f>
        <v>-160</v>
      </c>
      <c r="L980" s="15">
        <f t="shared" si="260"/>
        <v>2.9063109256403927</v>
      </c>
      <c r="M980" s="17">
        <f>IF(A986=A987,_xll.ciqfunctions.udf.CIQ(A978,"IQ_TOTAL_DEBT_ISSUED",IQ_FY-8), _xll.ciqfunctions.udf.CIQ(A978, "IQ_TOTAL_DEBT_ISSUED",IQ_FY-7))</f>
        <v>1018</v>
      </c>
      <c r="N980" s="17">
        <f>IF(A986=A987,_xll.ciqfunctions.udf.CIQ(A978,"IQ_TOTAL_DEBT_REPAID",IQ_FY-8), _xll.ciqfunctions.udf.CIQ(A978, "IQ_TOTAL_DEBT_REPAID",IQ_FY-7))</f>
        <v>-20</v>
      </c>
      <c r="O980" s="15">
        <f t="shared" si="261"/>
        <v>3.5632657294706531</v>
      </c>
      <c r="P980" s="15">
        <f t="shared" si="262"/>
        <v>6.4695766551110463</v>
      </c>
      <c r="Q980" s="25" t="s">
        <v>21</v>
      </c>
      <c r="R980" s="38" t="s">
        <v>49</v>
      </c>
      <c r="S980" s="2">
        <f>(R977*I988)/1000</f>
        <v>16.3420840932</v>
      </c>
      <c r="U980" s="25" t="s">
        <v>59</v>
      </c>
      <c r="V980" s="38" t="s">
        <v>49</v>
      </c>
      <c r="W980" s="2">
        <f>(V977*I988)/1000</f>
        <v>16.3420840932</v>
      </c>
      <c r="Y980" s="25" t="s">
        <v>46</v>
      </c>
      <c r="Z980" s="38" t="s">
        <v>49</v>
      </c>
      <c r="AA980" s="2">
        <f>(Z977*I988)/1000</f>
        <v>16.3420840932</v>
      </c>
    </row>
    <row r="981" spans="1:27">
      <c r="A981" s="18"/>
      <c r="B981" s="13">
        <v>4</v>
      </c>
      <c r="C981" s="14" t="s">
        <v>22</v>
      </c>
      <c r="D981" s="15" cm="1">
        <f t="array" ref="D981">_xlfn.SINGLE(IF(A986=A987,_xll.ciqfunctions.udf.CIQ(A978,"IQ_TOTAL_REV",IQ_FY-7)/I981, _xll.ciqfunctions.udf.CIQ(A978, "IQ_TOTAL_REV",IQ_FY-6)/I981))</f>
        <v>20.206993805789114</v>
      </c>
      <c r="E981" s="16">
        <f t="shared" si="263"/>
        <v>2.0479238401458082E-2</v>
      </c>
      <c r="F981" s="15">
        <f>IF(A986=A987,_xll.ciqfunctions.udf.CIQ(A978,"IQ_DILUT_EPS_EXCL",IQ_FY-7), _xll.ciqfunctions.udf.CIQ(A978, "IQ_DILUT_EPS_EXCL",IQ_FY-6))</f>
        <v>1.71</v>
      </c>
      <c r="G981" s="15">
        <f>IF(A986=A987,_xll.ciqfunctions.udf.CIQ(A978,"IQ_EBITDA_MARGIN",IQ_FY-7), _xll.ciqfunctions.udf.CIQ(A978, "IQ_EBITDA_MARGIN",IQ_FY-6))</f>
        <v>15.661899999999999</v>
      </c>
      <c r="H981" s="15">
        <f>IF(A986=A987,_xll.ciqfunctions.udf.CIQ(A978,"IQ_TOTAL_DIV_PAID_CF",IQ_FY-7)/-I981, _xll.ciqfunctions.udf.CIQ(A978, "IQ_TOTAL_DIV_PAID_CF",IQ_FY-6)/-I981)</f>
        <v>0.76544431098235954</v>
      </c>
      <c r="I981" s="17">
        <f>IF(A986=A987,_xll.ciqfunctions.udf.CIQ(A978,"IQ_TOTAL_OUTSTANDING_FILING_DATE",IQ_FY-7), _xll.ciqfunctions.udf.CIQ(A978, "IQ_TOTAL_OUTSTANDING_FILING_DATE",IQ_FY-6))</f>
        <v>271.73759999999999</v>
      </c>
      <c r="J981" s="17">
        <f>IF(A986=A987,_xll.ciqfunctions.udf.CIQ(A978,"IQ_CASH_OPER",IQ_FY-7), _xll.ciqfunctions.udf.CIQ(A978, "IQ_CASH_OPER",IQ_FY-6))</f>
        <v>986</v>
      </c>
      <c r="K981" s="17">
        <f>IF(A986=A987,_xll.ciqfunctions.udf.CIQ(A978,"IQ_CAPEX",IQ_FY-7), _xll.ciqfunctions.udf.CIQ(A978, "IQ_CAPEX",IQ_FY-6))</f>
        <v>-175</v>
      </c>
      <c r="L981" s="15">
        <f t="shared" si="260"/>
        <v>2.9844968086860266</v>
      </c>
      <c r="M981" s="17">
        <f>IF(A986=A987,_xll.ciqfunctions.udf.CIQ(A978,"IQ_TOTAL_DEBT_ISSUED",IQ_FY-7), _xll.ciqfunctions.udf.CIQ(A978, "IQ_TOTAL_DEBT_ISSUED",IQ_FY-6))</f>
        <v>499</v>
      </c>
      <c r="N981" s="17">
        <f>IF(A986=A987,_xll.ciqfunctions.udf.CIQ(A978,"IQ_TOTAL_DEBT_REPAID",IQ_FY-7), _xll.ciqfunctions.udf.CIQ(A978, "IQ_TOTAL_DEBT_REPAID",IQ_FY-6))</f>
        <v>-850</v>
      </c>
      <c r="O981" s="15">
        <f t="shared" si="261"/>
        <v>-1.2916872747827317</v>
      </c>
      <c r="P981" s="15">
        <f t="shared" si="262"/>
        <v>1.6928095339032949</v>
      </c>
      <c r="Q981" s="25" t="s">
        <v>23</v>
      </c>
      <c r="R981" s="38" t="s">
        <v>24</v>
      </c>
      <c r="S981" s="1">
        <f>R977/(AVERAGE(H983:H988)*(1+H989)/(0.5-H989))</f>
        <v>17.757407629609048</v>
      </c>
      <c r="U981" s="25" t="s">
        <v>40</v>
      </c>
      <c r="V981" s="38" t="s">
        <v>24</v>
      </c>
      <c r="W981" s="1">
        <f>V977/(AVERAGE(H983:H988)*(1+H989)/(0.5-H989))</f>
        <v>17.757407629609048</v>
      </c>
      <c r="Y981" s="25" t="s">
        <v>47</v>
      </c>
      <c r="Z981" s="38" t="s">
        <v>24</v>
      </c>
      <c r="AA981" s="1">
        <f>Z977/(AVERAGE(H983:H988)*(1+H989)/(0.5-H989))</f>
        <v>17.757407629609048</v>
      </c>
    </row>
    <row r="982" spans="1:27">
      <c r="B982" s="13">
        <v>5</v>
      </c>
      <c r="C982" s="14" t="s">
        <v>25</v>
      </c>
      <c r="D982" s="15" cm="1">
        <f t="array" ref="D982">_xlfn.SINGLE(IF(A986=A987,_xll.ciqfunctions.udf.CIQ(A978,"IQ_TOTAL_REV",IQ_FY-6)/I982, _xll.ciqfunctions.udf.CIQ(A978, "IQ_TOTAL_REV",IQ_FY-5)/I982))</f>
        <v>22.464652046488435</v>
      </c>
      <c r="E982" s="16">
        <f t="shared" si="263"/>
        <v>0.11172657657036165</v>
      </c>
      <c r="F982" s="15">
        <f>IF(A986=A987,_xll.ciqfunctions.udf.CIQ(A978,"IQ_DILUT_EPS_EXCL",IQ_FY-6), _xll.ciqfunctions.udf.CIQ(A978, "IQ_DILUT_EPS_EXCL",IQ_FY-5))</f>
        <v>0.42</v>
      </c>
      <c r="G982" s="15">
        <f>IF(A986=A987,_xll.ciqfunctions.udf.CIQ(A978,"IQ_EBITDA_MARGIN",IQ_FY-6), _xll.ciqfunctions.udf.CIQ(A978, "IQ_EBITDA_MARGIN",IQ_FY-5))</f>
        <v>18.617999999999999</v>
      </c>
      <c r="H982" s="15">
        <f>IF(A986=A987,_xll.ciqfunctions.udf.CIQ(A978,"IQ_TOTAL_DIV_PAID_CF",IQ_FY-6)/-I982, _xll.ciqfunctions.udf.CIQ(A978, "IQ_TOTAL_DIV_PAID_CF",IQ_FY-5)/-I982)</f>
        <v>0.81220401046604573</v>
      </c>
      <c r="I982" s="17">
        <f>IF(A986=A987,_xll.ciqfunctions.udf.CIQ(A978,"IQ_TOTAL_OUTSTANDING_FILING_DATE",IQ_FY-6), _xll.ciqfunctions.udf.CIQ(A978, "IQ_TOTAL_OUTSTANDING_FILING_DATE",IQ_FY-5))</f>
        <v>263.48059999999998</v>
      </c>
      <c r="J982" s="17">
        <f>IF(A986=A987,_xll.ciqfunctions.udf.CIQ(A978,"IQ_CASH_OPER",IQ_FY-6), _xll.ciqfunctions.udf.CIQ(A978, "IQ_CASH_OPER",IQ_FY-5))</f>
        <v>1478</v>
      </c>
      <c r="K982" s="17">
        <f>IF(A986=A987,_xll.ciqfunctions.udf.CIQ(A978,"IQ_CAPEX",IQ_FY-6), _xll.ciqfunctions.udf.CIQ(A978, "IQ_CAPEX",IQ_FY-5))</f>
        <v>-145</v>
      </c>
      <c r="L982" s="15">
        <f t="shared" si="260"/>
        <v>5.0591960091179393</v>
      </c>
      <c r="M982" s="17">
        <f>IF(A986=A987,_xll.ciqfunctions.udf.CIQ(A978,"IQ_TOTAL_DEBT_ISSUED",IQ_FY-6), _xll.ciqfunctions.udf.CIQ(A978, "IQ_TOTAL_DEBT_ISSUED",IQ_FY-5))</f>
        <v>795</v>
      </c>
      <c r="N982" s="17">
        <f>IF(A986=A987,_xll.ciqfunctions.udf.CIQ(A978,"IQ_TOTAL_DEBT_REPAID",IQ_FY-6), _xll.ciqfunctions.udf.CIQ(A978, "IQ_TOTAL_DEBT_REPAID",IQ_FY-5))</f>
        <v>-865</v>
      </c>
      <c r="O982" s="15">
        <f t="shared" si="261"/>
        <v>-0.26567420903094957</v>
      </c>
      <c r="P982" s="15">
        <f t="shared" si="262"/>
        <v>4.7935218000869897</v>
      </c>
      <c r="Q982" s="18"/>
      <c r="R982" s="38" t="s">
        <v>50</v>
      </c>
      <c r="S982" s="3">
        <f>I989</f>
        <v>-2.7494328753659647E-2</v>
      </c>
      <c r="U982" s="18"/>
      <c r="V982" s="38" t="s">
        <v>50</v>
      </c>
      <c r="W982" s="3">
        <f>I989</f>
        <v>-2.7494328753659647E-2</v>
      </c>
      <c r="Y982" s="18"/>
      <c r="Z982" s="38" t="s">
        <v>50</v>
      </c>
      <c r="AA982" s="3">
        <f>I989</f>
        <v>-2.7494328753659647E-2</v>
      </c>
    </row>
    <row r="983" spans="1:27">
      <c r="B983" s="13">
        <v>6</v>
      </c>
      <c r="C983" s="14" t="s">
        <v>26</v>
      </c>
      <c r="D983" s="15" cm="1">
        <f t="array" ref="D983">_xlfn.SINGLE(IF(A986=A987,_xll.ciqfunctions.udf.CIQ(A978,"IQ_TOTAL_REV",IQ_FY-5)/I983, _xll.ciqfunctions.udf.CIQ(A978, "IQ_TOTAL_REV",IQ_FY-4)/I983))</f>
        <v>25.6059658484076</v>
      </c>
      <c r="E983" s="16">
        <f t="shared" si="263"/>
        <v>0.13983362820036196</v>
      </c>
      <c r="F983" s="15">
        <f>IF(A986=A987,_xll.ciqfunctions.udf.CIQ(A978,"IQ_DILUT_EPS_EXCL",IQ_FY-5), _xll.ciqfunctions.udf.CIQ(A978, "IQ_DILUT_EPS_EXCL",IQ_FY-4))</f>
        <v>4.51</v>
      </c>
      <c r="G983" s="15">
        <f>IF(A986=A987,_xll.ciqfunctions.udf.CIQ(A978,"IQ_EBITDA_MARGIN",IQ_FY-5), _xll.ciqfunctions.udf.CIQ(A978, "IQ_EBITDA_MARGIN",IQ_FY-4))</f>
        <v>21.867799999999999</v>
      </c>
      <c r="H983" s="15">
        <f>IF(A986=A987,_xll.ciqfunctions.udf.CIQ(A978,"IQ_TOTAL_DIV_PAID_CF",IQ_FY-5)/-I983, _xll.ciqfunctions.udf.CIQ(A978, "IQ_TOTAL_DIV_PAID_CF",IQ_FY-4)/-I983)</f>
        <v>1.6790114280683799</v>
      </c>
      <c r="I983" s="17">
        <f>IF(A986=A987,_xll.ciqfunctions.udf.CIQ(A978,"IQ_TOTAL_OUTSTANDING_FILING_DATE",IQ_FY-5), _xll.ciqfunctions.udf.CIQ(A978, "IQ_TOTAL_OUTSTANDING_FILING_DATE",IQ_FY-4))</f>
        <v>240.02218999999999</v>
      </c>
      <c r="J983" s="17">
        <f>IF(A986=A987,_xll.ciqfunctions.udf.CIQ(A978,"IQ_CASH_OPER",IQ_FY-5), _xll.ciqfunctions.udf.CIQ(A978, "IQ_CASH_OPER",IQ_FY-4))</f>
        <v>1341</v>
      </c>
      <c r="K983" s="17">
        <f>IF(A986=A987,_xll.ciqfunctions.udf.CIQ(A978,"IQ_CAPEX",IQ_FY-5), _xll.ciqfunctions.udf.CIQ(A978, "IQ_CAPEX",IQ_FY-4))</f>
        <v>-173</v>
      </c>
      <c r="L983" s="15">
        <f t="shared" si="260"/>
        <v>4.8662167443768434</v>
      </c>
      <c r="M983" s="17">
        <f>IF(A986=A987,_xll.ciqfunctions.udf.CIQ(A978,"IQ_TOTAL_DEBT_ISSUED",IQ_FY-5), _xll.ciqfunctions.udf.CIQ(A978, "IQ_TOTAL_DEBT_ISSUED",IQ_FY-4))</f>
        <v>0</v>
      </c>
      <c r="N983" s="17">
        <f>IF(A986=A987,_xll.ciqfunctions.udf.CIQ(A978,"IQ_TOTAL_DEBT_REPAID",IQ_FY-5), _xll.ciqfunctions.udf.CIQ(A978, "IQ_TOTAL_DEBT_REPAID",IQ_FY-4))</f>
        <v>-136</v>
      </c>
      <c r="O983" s="15">
        <f t="shared" si="261"/>
        <v>-0.56661427845483792</v>
      </c>
      <c r="P983" s="15">
        <f t="shared" si="262"/>
        <v>4.2996024659220051</v>
      </c>
      <c r="Q983" s="25" t="s">
        <v>27</v>
      </c>
      <c r="R983" s="38" t="s">
        <v>51</v>
      </c>
      <c r="S983" s="4">
        <f>AVERAGE(F983:F988)/AVERAGE(D983:D988)</f>
        <v>0.16273101678527446</v>
      </c>
      <c r="U983" s="25" t="s">
        <v>58</v>
      </c>
      <c r="V983" s="38" t="s">
        <v>51</v>
      </c>
      <c r="W983" s="4">
        <f>AVERAGE(F983:F988)/AVERAGE(D983:D988)</f>
        <v>0.16273101678527446</v>
      </c>
      <c r="Y983" s="25" t="s">
        <v>56</v>
      </c>
      <c r="Z983" s="38" t="s">
        <v>51</v>
      </c>
      <c r="AA983" s="4">
        <f>AVERAGE(F983:F988)/AVERAGE(D983:D988)</f>
        <v>0.16273101678527446</v>
      </c>
    </row>
    <row r="984" spans="1:27">
      <c r="A984" s="18"/>
      <c r="B984" s="13">
        <v>7</v>
      </c>
      <c r="C984" s="14" t="s">
        <v>28</v>
      </c>
      <c r="D984" s="15" cm="1">
        <f t="array" ref="D984">_xlfn.SINGLE(IF(A986=A987,_xll.ciqfunctions.udf.CIQ(A978,"IQ_TOTAL_REV",IQ_FY-4)/I984, _xll.ciqfunctions.udf.CIQ(A978, "IQ_TOTAL_REV",IQ_FY-3)/I984))</f>
        <v>24.398567643586155</v>
      </c>
      <c r="E984" s="16">
        <f t="shared" si="263"/>
        <v>-4.7153003794876622E-2</v>
      </c>
      <c r="F984" s="15">
        <f>IF(A986=A987,_xll.ciqfunctions.udf.CIQ(A978,"IQ_DILUT_EPS_EXCL",IQ_FY-4), _xll.ciqfunctions.udf.CIQ(A978, "IQ_DILUT_EPS_EXCL",IQ_FY-3))</f>
        <v>3.52</v>
      </c>
      <c r="G984" s="15">
        <f>IF(A986=A987,_xll.ciqfunctions.udf.CIQ(A978,"IQ_EBITDA_MARGIN",IQ_FY-4), _xll.ciqfunctions.udf.CIQ(A978, "IQ_EBITDA_MARGIN",IQ_FY-3))</f>
        <v>19.992599999999999</v>
      </c>
      <c r="H984" s="15">
        <f>IF(A986=A987,_xll.ciqfunctions.udf.CIQ(A978,"IQ_TOTAL_DIV_PAID_CF",IQ_FY-4)/-I984, _xll.ciqfunctions.udf.CIQ(A978, "IQ_TOTAL_DIV_PAID_CF",IQ_FY-3)/-I984)</f>
        <v>1.9791151506900078</v>
      </c>
      <c r="I984" s="17">
        <f>IF(A986=A987,_xll.ciqfunctions.udf.CIQ(A978,"IQ_TOTAL_OUTSTANDING_FILING_DATE",IQ_FY-4), _xll.ciqfunctions.udf.CIQ(A978, "IQ_TOTAL_OUTSTANDING_FILING_DATE",IQ_FY-3))</f>
        <v>221.81630000000001</v>
      </c>
      <c r="J984" s="17">
        <f>IF(A986=A987,_xll.ciqfunctions.udf.CIQ(A978,"IQ_CASH_OPER",IQ_FY-4), _xll.ciqfunctions.udf.CIQ(A978, "IQ_CASH_OPER",IQ_FY-3))</f>
        <v>1060</v>
      </c>
      <c r="K984" s="17">
        <f>IF(A986=A987,_xll.ciqfunctions.udf.CIQ(A978,"IQ_CAPEX",IQ_FY-4), _xll.ciqfunctions.udf.CIQ(A978, "IQ_CAPEX",IQ_FY-3))</f>
        <v>-124</v>
      </c>
      <c r="L984" s="15">
        <f t="shared" si="260"/>
        <v>4.2197079294894015</v>
      </c>
      <c r="M984" s="17">
        <f>IF(A986=A987,_xll.ciqfunctions.udf.CIQ(A978,"IQ_TOTAL_DEBT_ISSUED",IQ_FY-4), _xll.ciqfunctions.udf.CIQ(A978, "IQ_TOTAL_DEBT_ISSUED",IQ_FY-3))</f>
        <v>283</v>
      </c>
      <c r="N984" s="17">
        <f>IF(A986=A987,_xll.ciqfunctions.udf.CIQ(A978,"IQ_TOTAL_DEBT_REPAID",IQ_FY-4), _xll.ciqfunctions.udf.CIQ(A978, "IQ_TOTAL_DEBT_REPAID",IQ_FY-3))</f>
        <v>-410</v>
      </c>
      <c r="O984" s="15">
        <f t="shared" si="261"/>
        <v>-0.57254584086020721</v>
      </c>
      <c r="P984" s="15">
        <f t="shared" si="262"/>
        <v>3.6471620886291944</v>
      </c>
      <c r="Q984" s="18"/>
      <c r="R984" s="38" t="s">
        <v>29</v>
      </c>
      <c r="S984" s="4">
        <f>(AVERAGE(P983:P988)/_xlfn.STDEV.P(P983:P988))/(IF(A986=A987,(_xlfn.SINGLE(_xll.ciqfunctions.udf.CIQ(A978,"IQ_total_assets",IQ_FY)) - _xlfn.SINGLE(_xll.ciqfunctions.udf.CIQ(A978,"iq_gw_intan", IQ_FY)))/I988, (_xlfn.SINGLE(_xll.ciqfunctions.udf.CIQ(A978, "IQ_total_assets",IQ_LTM))-_xlfn.SINGLE(_xll.ciqfunctions.udf.CIQ(A978,"iq_gw_intan",IQ_LTM)))/I988))</f>
        <v>7.2860319956797176E-2</v>
      </c>
      <c r="U984" s="18"/>
      <c r="V984" s="38" t="s">
        <v>29</v>
      </c>
      <c r="W984" s="4">
        <f>(AVERAGE(P983:P988)/_xlfn.STDEV.P(P983:P988))/(IF(A986=A987,(_xlfn.SINGLE(_xll.ciqfunctions.udf.CIQ(A978,"IQ_total_assets",IQ_FY)) - _xlfn.SINGLE(_xll.ciqfunctions.udf.CIQ(A978,"iq_gw_intan", IQ_FY)))/I988, (_xlfn.SINGLE(_xll.ciqfunctions.udf.CIQ(A978, "IQ_total_assets",IQ_LTM))-_xlfn.SINGLE(_xll.ciqfunctions.udf.CIQ(A978,"iq_gw_intan",IQ_LTM)))/I988))</f>
        <v>7.2860319956797176E-2</v>
      </c>
      <c r="Y984" s="18"/>
      <c r="Z984" s="38" t="s">
        <v>29</v>
      </c>
      <c r="AA984" s="4">
        <f>(AVERAGE(P983:P988)/_xlfn.STDEV.P(P983:P988))/(IF(A986=A987,(_xlfn.SINGLE(_xll.ciqfunctions.udf.CIQ(A978,"IQ_total_assets",IQ_FY)) - _xlfn.SINGLE(_xll.ciqfunctions.udf.CIQ(A978,"iq_gw_intan", IQ_FY)))/I988, (_xlfn.SINGLE(_xll.ciqfunctions.udf.CIQ(A978, "IQ_total_assets",IQ_LTM))-_xlfn.SINGLE(_xll.ciqfunctions.udf.CIQ(A978,"iq_gw_intan",IQ_LTM)))/I988))</f>
        <v>7.2860319956797176E-2</v>
      </c>
    </row>
    <row r="985" spans="1:27">
      <c r="A985" s="18"/>
      <c r="B985" s="13">
        <v>8</v>
      </c>
      <c r="C985" s="14" t="s">
        <v>30</v>
      </c>
      <c r="D985" s="15" cm="1">
        <f t="array" ref="D985">_xlfn.SINGLE(IF(A986=A987,_xll.ciqfunctions.udf.CIQ(A978,"IQ_TOTAL_REV",IQ_FY-3)/I985, _xll.ciqfunctions.udf.CIQ(A978, "IQ_TOTAL_REV",IQ_FY-2)/I985))</f>
        <v>25.732762129330517</v>
      </c>
      <c r="E985" s="16">
        <f t="shared" si="263"/>
        <v>5.4683311956433334E-2</v>
      </c>
      <c r="F985" s="15">
        <f>IF(A986=A987,_xll.ciqfunctions.udf.CIQ(A978,"IQ_DILUT_EPS_EXCL",IQ_FY-3), _xll.ciqfunctions.udf.CIQ(A978, "IQ_DILUT_EPS_EXCL",IQ_FY-2))</f>
        <v>3.23</v>
      </c>
      <c r="G985" s="15">
        <f>IF(A986=A987,_xll.ciqfunctions.udf.CIQ(A978,"IQ_EBITDA_MARGIN",IQ_FY-3), _xll.ciqfunctions.udf.CIQ(A978, "IQ_EBITDA_MARGIN",IQ_FY-2))</f>
        <v>19.132999999999999</v>
      </c>
      <c r="H985" s="15">
        <f>IF(A986=A987,_xll.ciqfunctions.udf.CIQ(A978,"IQ_TOTAL_DIV_PAID_CF",IQ_FY-3)/-I985, _xll.ciqfunctions.udf.CIQ(A978, "IQ_TOTAL_DIV_PAID_CF",IQ_FY-2)/-I985)</f>
        <v>1.9129333964526689</v>
      </c>
      <c r="I985" s="17">
        <f>IF(A986=A987,_xll.ciqfunctions.udf.CIQ(A978,"IQ_TOTAL_OUTSTANDING_FILING_DATE",IQ_FY-3), _xll.ciqfunctions.udf.CIQ(A978, "IQ_TOTAL_OUTSTANDING_FILING_DATE",IQ_FY-2))</f>
        <v>223.21738999999999</v>
      </c>
      <c r="J985" s="17">
        <f>IF(A986=A987,_xll.ciqfunctions.udf.CIQ(A978,"IQ_CASH_OPER",IQ_FY-3), _xll.ciqfunctions.udf.CIQ(A978, "IQ_CASH_OPER",IQ_FY-2))</f>
        <v>1333</v>
      </c>
      <c r="K985" s="17">
        <f>IF(A986=A987,_xll.ciqfunctions.udf.CIQ(A978,"IQ_CAPEX",IQ_FY-3), _xll.ciqfunctions.udf.CIQ(A978, "IQ_CAPEX",IQ_FY-2))</f>
        <v>-162</v>
      </c>
      <c r="L985" s="15">
        <f t="shared" si="260"/>
        <v>5.2460070427308558</v>
      </c>
      <c r="M985" s="17">
        <f>IF(A986=A987,_xll.ciqfunctions.udf.CIQ(A978,"IQ_TOTAL_DEBT_ISSUED",IQ_FY-3), _xll.ciqfunctions.udf.CIQ(A978, "IQ_TOTAL_DEBT_ISSUED",IQ_FY-2))</f>
        <v>2057</v>
      </c>
      <c r="N985" s="17">
        <f>IF(A986=A987,_xll.ciqfunctions.udf.CIQ(A978,"IQ_TOTAL_DEBT_REPAID",IQ_FY-3), _xll.ciqfunctions.udf.CIQ(A978, "IQ_TOTAL_DEBT_REPAID",IQ_FY-2))</f>
        <v>-1109</v>
      </c>
      <c r="O985" s="15">
        <f t="shared" si="261"/>
        <v>4.2469809363867217</v>
      </c>
      <c r="P985" s="15">
        <f t="shared" si="262"/>
        <v>9.4929879791175775</v>
      </c>
      <c r="Q985" s="18"/>
      <c r="R985" s="39" t="s">
        <v>31</v>
      </c>
      <c r="S985" s="5">
        <f>IF(NOT(D978&gt;0),FALSE,SLOPE(G978:G988,B978:B988))</f>
        <v>0.72935545454545458</v>
      </c>
      <c r="U985" s="18"/>
      <c r="V985" s="39" t="s">
        <v>31</v>
      </c>
      <c r="W985" s="5">
        <f>IF(NOT(D978&gt;0),FALSE,SLOPE(G978:G988,B978:B988))</f>
        <v>0.72935545454545458</v>
      </c>
      <c r="Y985" s="18"/>
      <c r="Z985" s="39" t="s">
        <v>31</v>
      </c>
      <c r="AA985" s="5">
        <f>IF(NOT(L978&gt;0),FALSE,SLOPE(O978:O988,J978:J988))</f>
        <v>-1.8744889837508504E-3</v>
      </c>
    </row>
    <row r="986" spans="1:27">
      <c r="A986" s="19">
        <f>_xll.ciqfunctions.udf.CIQ(A978,"IQ_TOTAL_REV",IQ_FY)</f>
        <v>6362</v>
      </c>
      <c r="B986" s="13">
        <v>9</v>
      </c>
      <c r="C986" s="14" t="s">
        <v>32</v>
      </c>
      <c r="D986" s="15" cm="1">
        <f t="array" ref="D986">_xlfn.SINGLE(IF(A986=A987,_xll.ciqfunctions.udf.CIQ(A978,"IQ_TOTAL_REV",IQ_FY-2)/I986, _xll.ciqfunctions.udf.CIQ(A978, "IQ_TOTAL_REV",IQ_FY-1)/I986))</f>
        <v>28.563624048455626</v>
      </c>
      <c r="E986" s="16">
        <f t="shared" si="263"/>
        <v>0.11001002942853375</v>
      </c>
      <c r="F986" s="15">
        <f>IF(A986=A987,_xll.ciqfunctions.udf.CIQ(A978,"IQ_DILUT_EPS_EXCL",IQ_FY-2), _xll.ciqfunctions.udf.CIQ(A978, "IQ_DILUT_EPS_EXCL",IQ_FY-1))</f>
        <v>4.09</v>
      </c>
      <c r="G986" s="15">
        <f>IF(A986=A987,_xll.ciqfunctions.udf.CIQ(A978,"IQ_EBITDA_MARGIN",IQ_FY-2), _xll.ciqfunctions.udf.CIQ(A978, "IQ_EBITDA_MARGIN",IQ_FY-1))</f>
        <v>21.589099999999998</v>
      </c>
      <c r="H986" s="15">
        <f>IF(A986=A987,_xll.ciqfunctions.udf.CIQ(A978,"IQ_TOTAL_DIV_PAID_CF",IQ_FY-2)/-I986, _xll.ciqfunctions.udf.CIQ(A978, "IQ_TOTAL_DIV_PAID_CF",IQ_FY-1)/-I986)</f>
        <v>2.0163621914547658</v>
      </c>
      <c r="I986" s="17">
        <f>IF(A986=A987,_xll.ciqfunctions.udf.CIQ(A978,"IQ_TOTAL_OUTSTANDING_FILING_DATE",IQ_FY-2), _xll.ciqfunctions.udf.CIQ(A978, "IQ_TOTAL_OUTSTANDING_FILING_DATE",IQ_FY-1))</f>
        <v>221.19041999999999</v>
      </c>
      <c r="J986" s="17">
        <f>IF(A986=A987,_xll.ciqfunctions.udf.CIQ(A978,"IQ_CASH_OPER",IQ_FY-2), _xll.ciqfunctions.udf.CIQ(A978, "IQ_CASH_OPER",IQ_FY-1))</f>
        <v>1211</v>
      </c>
      <c r="K986" s="17">
        <f>IF(A986=A987,_xll.ciqfunctions.udf.CIQ(A978,"IQ_CAPEX",IQ_FY-2), _xll.ciqfunctions.udf.CIQ(A978, "IQ_CAPEX",IQ_FY-1))</f>
        <v>-226</v>
      </c>
      <c r="L986" s="15">
        <f t="shared" si="260"/>
        <v>4.4531765887509955</v>
      </c>
      <c r="M986" s="17">
        <f>IF(A986=A987,_xll.ciqfunctions.udf.CIQ(A978,"IQ_TOTAL_DEBT_ISSUED",IQ_FY-2), _xll.ciqfunctions.udf.CIQ(A978, "IQ_TOTAL_DEBT_ISSUED",IQ_FY-1))</f>
        <v>0</v>
      </c>
      <c r="N986" s="17">
        <f>IF(A986=A987,_xll.ciqfunctions.udf.CIQ(A978,"IQ_TOTAL_DEBT_REPAID",IQ_FY-2), _xll.ciqfunctions.udf.CIQ(A978, "IQ_TOTAL_DEBT_REPAID",IQ_FY-1))</f>
        <v>0</v>
      </c>
      <c r="O986" s="15">
        <f t="shared" si="261"/>
        <v>0</v>
      </c>
      <c r="P986" s="15">
        <f t="shared" si="262"/>
        <v>4.4531765887509955</v>
      </c>
      <c r="Q986" s="25" t="s">
        <v>33</v>
      </c>
      <c r="R986" s="38" t="s">
        <v>52</v>
      </c>
      <c r="S986" s="4">
        <f>(AVERAGE(O983:O988)/AVERAGE(P983:P988))</f>
        <v>2.5534700684133757E-2</v>
      </c>
      <c r="U986" s="25" t="s">
        <v>54</v>
      </c>
      <c r="V986" s="38" t="s">
        <v>52</v>
      </c>
      <c r="W986" s="4">
        <f>(AVERAGE(O983:O988)/AVERAGE(P983:P988))</f>
        <v>2.5534700684133757E-2</v>
      </c>
      <c r="Y986" s="25" t="s">
        <v>60</v>
      </c>
      <c r="Z986" s="38" t="s">
        <v>52</v>
      </c>
      <c r="AA986" s="4">
        <f>(AVERAGE(O983:O988)/AVERAGE(P983:P988))</f>
        <v>2.5534700684133757E-2</v>
      </c>
    </row>
    <row r="987" spans="1:27">
      <c r="A987" s="19">
        <f>_xll.ciqfunctions.udf.CIQ(A978,"IQ_TOTAL_REV",IQ_LTM)</f>
        <v>6202</v>
      </c>
      <c r="B987" s="13">
        <v>10</v>
      </c>
      <c r="C987" s="14" t="s">
        <v>34</v>
      </c>
      <c r="D987" s="15" cm="1">
        <f t="array" ref="D987">_xlfn.SINGLE(IF(A986=A987,_xll.ciqfunctions.udf.CIQ(A978,"IQ_TOTAL_REV",IQ_FY-1)/I987, _xll.ciqfunctions.udf.CIQ(A978, "IQ_TOTAL_REV",IQ_FY)/I987))</f>
        <v>29.948566326541901</v>
      </c>
      <c r="E987" s="16">
        <f t="shared" si="263"/>
        <v>4.8486224147777757E-2</v>
      </c>
      <c r="F987" s="15">
        <f>IF(A986=A987,_xll.ciqfunctions.udf.CIQ(A978,"IQ_DILUT_EPS_EXCL",IQ_FY-1), _xll.ciqfunctions.udf.CIQ(A978, "IQ_DILUT_EPS_EXCL",IQ_FY))</f>
        <v>5.79</v>
      </c>
      <c r="G987" s="15">
        <f>IF(A986=A987,_xll.ciqfunctions.udf.CIQ(A978,"IQ_EBITDA_MARGIN",IQ_FY-1), _xll.ciqfunctions.udf.CIQ(A978, "IQ_EBITDA_MARGIN",IQ_FY))</f>
        <v>21.455500000000001</v>
      </c>
      <c r="H987" s="15">
        <f>IF(A986=A987,_xll.ciqfunctions.udf.CIQ(A978,"IQ_TOTAL_DIV_PAID_CF",IQ_FY-1)/-I987, _xll.ciqfunctions.udf.CIQ(A978, "IQ_TOTAL_DIV_PAID_CF",IQ_FY)/-I987)</f>
        <v>2.0336027433301007</v>
      </c>
      <c r="I987" s="17">
        <f>IF(A986=A987,_xll.ciqfunctions.udf.CIQ(A978,"IQ_TOTAL_OUTSTANDING_FILING_DATE",IQ_FY-1), _xll.ciqfunctions.udf.CIQ(A978, "IQ_TOTAL_OUTSTANDING_FILING_DATE",IQ_FY))</f>
        <v>212.43087</v>
      </c>
      <c r="J987" s="17">
        <f>IF(A986=A987,_xll.ciqfunctions.udf.CIQ(A978,"IQ_CASH_OPER",IQ_FY-1), _xll.ciqfunctions.udf.CIQ(A978, "IQ_CASH_OPER",IQ_FY))</f>
        <v>1107</v>
      </c>
      <c r="K987" s="17">
        <f>IF(A986=A987,_xll.ciqfunctions.udf.CIQ(A978,"IQ_CAPEX",IQ_FY-1), _xll.ciqfunctions.udf.CIQ(A978, "IQ_CAPEX",IQ_FY))</f>
        <v>-239</v>
      </c>
      <c r="L987" s="15">
        <f t="shared" si="260"/>
        <v>4.0860351416910357</v>
      </c>
      <c r="M987" s="17">
        <f>IF(A986=A987,_xll.ciqfunctions.udf.CIQ(A978,"IQ_TOTAL_DEBT_ISSUED",IQ_FY-1), _xll.ciqfunctions.udf.CIQ(A978, "IQ_TOTAL_DEBT_ISSUED",IQ_FY))</f>
        <v>0</v>
      </c>
      <c r="N987" s="17">
        <f>IF(A986=A987,_xll.ciqfunctions.udf.CIQ(A978,"IQ_TOTAL_DEBT_REPAID",IQ_FY-1), _xll.ciqfunctions.udf.CIQ(A978, "IQ_TOTAL_DEBT_REPAID",IQ_FY))</f>
        <v>-250</v>
      </c>
      <c r="O987" s="15">
        <f t="shared" si="261"/>
        <v>-1.1768534394271417</v>
      </c>
      <c r="P987" s="15">
        <f t="shared" si="262"/>
        <v>2.9091817022638939</v>
      </c>
      <c r="Q987" s="25" t="s">
        <v>44</v>
      </c>
      <c r="R987" s="38" t="s">
        <v>35</v>
      </c>
      <c r="S987" s="1">
        <f>_xll.ciqfunctions.udf.CIQ(A978,"IQ_TEV_EBITDA")</f>
        <v>11.61327</v>
      </c>
      <c r="U987" s="25" t="s">
        <v>55</v>
      </c>
      <c r="V987" s="38" t="s">
        <v>53</v>
      </c>
      <c r="W987" s="1">
        <f>V977/(AVERAGE(D983:D988)/_xlfn.STDEV.P(E983:E988))</f>
        <v>0.18309179010995519</v>
      </c>
      <c r="Y987" s="25" t="s">
        <v>57</v>
      </c>
      <c r="Z987" s="38" t="s">
        <v>53</v>
      </c>
      <c r="AA987" s="1">
        <f>Z977/(AVERAGE(D983:D988)/_xlfn.STDEV.P(E983:E988))</f>
        <v>0.18309179010995519</v>
      </c>
    </row>
    <row r="988" spans="1:27">
      <c r="B988" s="13">
        <v>11</v>
      </c>
      <c r="C988" s="20" t="s">
        <v>36</v>
      </c>
      <c r="D988" s="21" cm="1">
        <f t="array" ref="D988">_xlfn.SINGLE(IF(A986=A987,_xll.ciqfunctions.udf.CIQ(A978,"IQ_TOTAL_REV",IQ_FY)/I988, _xll.ciqfunctions.udf.CIQ(A978, "IQ_TOTAL_REV",IQ_LTM)/I988))</f>
        <v>29.704322730904892</v>
      </c>
      <c r="E988" s="22">
        <f t="shared" si="263"/>
        <v>-8.1554353211408422E-3</v>
      </c>
      <c r="F988" s="21">
        <f>IF(A986=A987,_xll.ciqfunctions.udf.CIQ(A978,"IQ_DILUT_EPS_EXCL",IQ_FY), _xll.ciqfunctions.udf.CIQ(A978, "IQ_DILUT_EPS_EXCL",IQ_LTM))</f>
        <v>5.5403700000000002</v>
      </c>
      <c r="G988" s="21">
        <f>IF(A986=A987,_xll.ciqfunctions.udf.CIQ(A978,"IQ_EBITDA_MARGIN",IQ_FY), _xll.ciqfunctions.udf.CIQ(A978, "IQ_EBITDA_MARGIN",IQ_LTM))</f>
        <v>21.0093</v>
      </c>
      <c r="H988" s="21">
        <f>IF(A986=A987,_xll.ciqfunctions.udf.CIQ(A978,"IQ_TOTAL_DIV_PAID_CF",IQ_FY)/-I988, _xll.ciqfunctions.udf.CIQ(A978, "IQ_TOTAL_DIV_PAID_CF",IQ_LTM)/-I988)</f>
        <v>2.0498952158702504</v>
      </c>
      <c r="I988" s="23">
        <f>IF(A986=A987,_xll.ciqfunctions.udf.CIQ(A978,"IQ_TOTAL_OUTSTANDING_FILING_DATE",IQ_FY),_xll.ciqfunctions.udf.CIQ(A978,"IQ_sharesoutstanding"))</f>
        <v>208.79115999999999</v>
      </c>
      <c r="J988" s="23">
        <f>IF(A986=A987,_xll.ciqfunctions.udf.CIQ(A978,"IQ_CASH_OPER",IQ_FY), _xll.ciqfunctions.udf.CIQ(A978, "IQ_CASH_OPER",IQ_LTM))</f>
        <v>1279</v>
      </c>
      <c r="K988" s="23">
        <f>IF(A986=A987,_xll.ciqfunctions.udf.CIQ(A978,"IQ_CAPEX",IQ_FY), _xll.ciqfunctions.udf.CIQ(A978, "IQ_CAPEX",IQ_LTM))</f>
        <v>-209</v>
      </c>
      <c r="L988" s="21">
        <f t="shared" si="260"/>
        <v>5.1247380396756261</v>
      </c>
      <c r="M988" s="23">
        <f>IF(A986=A987,_xll.ciqfunctions.udf.CIQ(A978,"IQ_TOTAL_DEBT_ISSUED",IQ_FY), _xll.ciqfunctions.udf.CIQ(A978, "IQ_TOTAL_DEBT_ISSUED",IQ_LTM))</f>
        <v>0</v>
      </c>
      <c r="N988" s="23">
        <f>IF(A986=A987,_xll.ciqfunctions.udf.CIQ(A978,"IQ_TOTAL_DEBT_REPAID",IQ_FY), _xll.ciqfunctions.udf.CIQ(A978, "IQ_TOTAL_DEBT_REPAID",IQ_LTM))</f>
        <v>-250</v>
      </c>
      <c r="O988" s="21">
        <f t="shared" si="261"/>
        <v>-1.1973687008587912</v>
      </c>
      <c r="P988" s="21">
        <f t="shared" si="262"/>
        <v>3.9273693388168347</v>
      </c>
      <c r="Q988" s="25" t="s">
        <v>45</v>
      </c>
      <c r="S988" s="45"/>
      <c r="U988" s="25"/>
      <c r="W988" s="45"/>
      <c r="Y988" s="25"/>
      <c r="AA988" s="45"/>
    </row>
    <row r="989" spans="1:27">
      <c r="B989" s="24"/>
      <c r="C989" s="25" t="s">
        <v>37</v>
      </c>
      <c r="E989" s="26">
        <f>((D988/D983)^(1/5))-1</f>
        <v>3.013868961095767E-2</v>
      </c>
      <c r="F989" s="27">
        <f>((F988/F983)^(1/5))-1</f>
        <v>4.2011340223187865E-2</v>
      </c>
      <c r="G989" s="28"/>
      <c r="H989" s="27">
        <f>((H988/H983)^(1/5))-1</f>
        <v>4.0724076827332256E-2</v>
      </c>
      <c r="I989" s="27">
        <f>((I988/I983)^(1/5))-1</f>
        <v>-2.7494328753659647E-2</v>
      </c>
      <c r="J989" s="27"/>
      <c r="K989" s="27"/>
      <c r="L989" s="26">
        <f>((L988/L983)^(1/5))-1</f>
        <v>1.0406297489363725E-2</v>
      </c>
      <c r="M989" s="26"/>
      <c r="N989" s="26"/>
      <c r="O989" s="26"/>
      <c r="P989" s="26">
        <f>((P988/P983)^(1/5))-1</f>
        <v>-1.7947538821456388E-2</v>
      </c>
      <c r="Q989" s="18"/>
      <c r="R989" s="36"/>
      <c r="S989" s="45"/>
      <c r="U989" s="18"/>
      <c r="V989" s="36"/>
      <c r="W989" s="45"/>
      <c r="Y989" s="18"/>
      <c r="Z989" s="36"/>
      <c r="AA989" s="45"/>
    </row>
    <row r="990" spans="1:27">
      <c r="A990" s="29"/>
      <c r="B990" s="30"/>
      <c r="C990" s="31" t="s">
        <v>38</v>
      </c>
      <c r="D990" s="29"/>
      <c r="E990" s="32">
        <f>((D988/D978)^(1/10))-1</f>
        <v>4.2709316008110232E-2</v>
      </c>
      <c r="F990" s="33">
        <f>((F988/F978)^(1/10))-1</f>
        <v>0.11714299831176889</v>
      </c>
      <c r="G990" s="34"/>
      <c r="H990" s="33">
        <f>((H988/H978)^(1/10))-1</f>
        <v>0.12622553648199508</v>
      </c>
      <c r="I990" s="33">
        <f>((I988/I978)^(1/10))-1</f>
        <v>-4.284148005609667E-2</v>
      </c>
      <c r="J990" s="33"/>
      <c r="K990" s="33"/>
      <c r="L990" s="32">
        <f>((L988/L978)^(1/10))-1</f>
        <v>3.9166443348185975E-2</v>
      </c>
      <c r="M990" s="32"/>
      <c r="N990" s="32"/>
      <c r="O990" s="32"/>
      <c r="P990" s="32" t="e">
        <f>((P988/P978)^(1/10))-1</f>
        <v>#NUM!</v>
      </c>
      <c r="Q990" s="40"/>
      <c r="R990" s="41"/>
      <c r="S990" s="46"/>
      <c r="U990" s="40"/>
      <c r="V990" s="41"/>
      <c r="W990" s="46"/>
      <c r="Y990" s="40"/>
      <c r="Z990" s="41"/>
      <c r="AA990" s="46"/>
    </row>
    <row r="991" spans="1:27">
      <c r="B991" s="24"/>
      <c r="C991" s="25"/>
      <c r="E991" s="26"/>
      <c r="F991" s="27"/>
      <c r="G991" s="28"/>
      <c r="H991" s="27"/>
      <c r="I991" s="27"/>
      <c r="J991" s="27"/>
      <c r="K991" s="27"/>
      <c r="L991" s="26"/>
      <c r="M991" s="17"/>
      <c r="N991" s="17"/>
      <c r="O991" s="17"/>
      <c r="P991" s="35"/>
      <c r="Q991" s="18"/>
      <c r="R991" s="36"/>
    </row>
    <row r="992" spans="1:27">
      <c r="A992" s="9" t="s">
        <v>0</v>
      </c>
      <c r="B992" s="10"/>
      <c r="C992" s="9" t="s">
        <v>1</v>
      </c>
      <c r="D992" s="9" t="s">
        <v>2</v>
      </c>
      <c r="E992" s="9" t="s">
        <v>3</v>
      </c>
      <c r="F992" s="11" t="s">
        <v>4</v>
      </c>
      <c r="G992" s="11" t="s">
        <v>5</v>
      </c>
      <c r="H992" s="9" t="s">
        <v>6</v>
      </c>
      <c r="I992" s="11" t="s">
        <v>7</v>
      </c>
      <c r="J992" s="11" t="s">
        <v>8</v>
      </c>
      <c r="K992" s="11" t="s">
        <v>9</v>
      </c>
      <c r="L992" s="11" t="s">
        <v>10</v>
      </c>
      <c r="M992" s="11" t="s">
        <v>11</v>
      </c>
      <c r="N992" s="11" t="s">
        <v>12</v>
      </c>
      <c r="O992" s="11" t="s">
        <v>13</v>
      </c>
      <c r="P992" s="11" t="s">
        <v>14</v>
      </c>
      <c r="Q992" s="37" t="s">
        <v>15</v>
      </c>
      <c r="R992" s="42">
        <f>_xll.ciqfunctions.udf.CIQ(A993,("IQ_LASTSALEPRICE"))</f>
        <v>15.685</v>
      </c>
      <c r="S992" s="44"/>
      <c r="U992" s="37" t="s">
        <v>15</v>
      </c>
      <c r="V992" s="42">
        <f>_xll.ciqfunctions.udf.CIQ(A993,("IQ_LASTSALEPRICE"))</f>
        <v>15.685</v>
      </c>
      <c r="W992" s="44"/>
      <c r="Y992" s="37" t="s">
        <v>15</v>
      </c>
      <c r="Z992" s="42">
        <f>_xll.ciqfunctions.udf.CIQ(A993,("IQ_LASTSALEPRICE"))</f>
        <v>15.685</v>
      </c>
      <c r="AA992" s="44"/>
    </row>
    <row r="993" spans="1:27">
      <c r="A993" s="12" t="str">
        <f>Analysis!B68</f>
        <v>NYSE:HPE</v>
      </c>
      <c r="B993" s="13">
        <v>1</v>
      </c>
      <c r="C993" s="14" t="s">
        <v>16</v>
      </c>
      <c r="D993" s="15">
        <f>IF(A1001=A1002,_xll.ciqfunctions.udf.CIQ(A993,"IQ_TOTAL_REV",IQ_FY-10)/I993,_xll.ciqfunctions.udf.CIQ(A993, "IQ_TOTAL_REV",IQ_FY-9)/I993)</f>
        <v>31.802106430155209</v>
      </c>
      <c r="E993" s="16"/>
      <c r="F993" s="15">
        <f>IF(A1001=A1002,_xll.ciqfunctions.udf.CIQ(A993,"IQ_DILUT_EPS_EXCL",IQ_FY-10), _xll.ciqfunctions.udf.CIQ(A993, "IQ_DILUT_EPS_EXCL",IQ_FY-9))</f>
        <v>1.1200000000000001</v>
      </c>
      <c r="G993" s="15">
        <f>IF(A1001=A1002,_xll.ciqfunctions.udf.CIQ(A993,"IQ_EBITDA_MARGIN",IQ_FY-10), _xll.ciqfunctions.udf.CIQ(A993, "IQ_EBITDA_MARGIN",IQ_FY-9))</f>
        <v>14.5578</v>
      </c>
      <c r="H993" s="15">
        <f>IF(A1001=A1002,_xll.ciqfunctions.udf.CIQ(A993,"IQ_TOTAL_DIV_PAID_CF",IQ_FY-10)/-I993, _xll.ciqfunctions.udf.CIQ(A993, "IQ_TOTAL_DIV_PAID_CF",IQ_FY-9)/-I993)</f>
        <v>0</v>
      </c>
      <c r="I993" s="17">
        <f>IF(A1001=A1002,_xll.ciqfunctions.udf.CIQ(A993,"IQ_TOTAL_OUTSTANDING_FILING_DATE",IQ_FY-10), _xll.ciqfunctions.udf.CIQ(A993, "IQ_TOTAL_OUTSTANDING_FILING_DATE",IQ_FY-9))</f>
        <v>1804</v>
      </c>
      <c r="J993" s="17">
        <f>IF(A1001=A1002,_xll.ciqfunctions.udf.CIQ(A993,"IQ_CASH_OPER",IQ_FY-10), _xll.ciqfunctions.udf.CIQ(A993, "IQ_CASH_OPER",IQ_FY-9))</f>
        <v>8739</v>
      </c>
      <c r="K993" s="17">
        <f>IF(A1001=A1002,_xll.ciqfunctions.udf.CIQ(A993,"IQ_CAPEX",IQ_FY-10), _xll.ciqfunctions.udf.CIQ(A993, "IQ_CAPEX",IQ_FY-9))</f>
        <v>-2497</v>
      </c>
      <c r="L993" s="15">
        <f t="shared" ref="L993:L1003" si="264">(J993+K993)/I993</f>
        <v>3.4600886917960088</v>
      </c>
      <c r="M993" s="17">
        <f>IF(A1001=A1002,_xll.ciqfunctions.udf.CIQ(A993,"IQ_TOTAL_DEBT_ISSUED",IQ_FY-10), _xll.ciqfunctions.udf.CIQ(A993, "IQ_TOTAL_DEBT_ISSUED",IQ_FY-9))</f>
        <v>1083</v>
      </c>
      <c r="N993" s="17">
        <f>IF(A1001=A1002,_xll.ciqfunctions.udf.CIQ(A993,"IQ_TOTAL_DEBT_REPAID",IQ_FY-10), _xll.ciqfunctions.udf.CIQ(A993, "IQ_TOTAL_DEBT_REPAID",IQ_FY-9))</f>
        <v>-2321</v>
      </c>
      <c r="O993" s="15">
        <f t="shared" ref="O993:O1003" si="265">(M993+N993)/I993</f>
        <v>-0.6862527716186253</v>
      </c>
      <c r="P993" s="15">
        <f t="shared" ref="P993:P1003" si="266">L993+O993</f>
        <v>2.7738359201773832</v>
      </c>
      <c r="W993" s="43"/>
      <c r="AA993" s="43"/>
    </row>
    <row r="994" spans="1:27">
      <c r="A994" s="18" t="str">
        <f>_xll.ciqfunctions.udf.CIQ(A993,"IQ_COMPANY_NAME")</f>
        <v>Hewlett Packard Enterprise Company</v>
      </c>
      <c r="B994" s="13">
        <v>2</v>
      </c>
      <c r="C994" s="14" t="s">
        <v>17</v>
      </c>
      <c r="D994" s="15">
        <f>IF(A1001=A1002,_xll.ciqfunctions.udf.CIQ(A993,"IQ_TOTAL_REV",IQ_FY-9)/I994, _xll.ciqfunctions.udf.CIQ(A993, "IQ_TOTAL_REV",IQ_FY-8)/I994)</f>
        <v>30.555986696230597</v>
      </c>
      <c r="E994" s="16">
        <f t="shared" ref="E994:E1003" si="267">(D994-D993)/D993</f>
        <v>-3.918355963814471E-2</v>
      </c>
      <c r="F994" s="15">
        <f>IF(A1001=A1002,_xll.ciqfunctions.udf.CIQ(A993,"IQ_DILUT_EPS_EXCL",IQ_FY-9), _xll.ciqfunctions.udf.CIQ(A993, "IQ_DILUT_EPS_EXCL",IQ_FY-8))</f>
        <v>0.9</v>
      </c>
      <c r="G994" s="15">
        <f>IF(A1001=A1002,_xll.ciqfunctions.udf.CIQ(A993,"IQ_EBITDA_MARGIN",IQ_FY-9), _xll.ciqfunctions.udf.CIQ(A993, "IQ_EBITDA_MARGIN",IQ_FY-8))</f>
        <v>14.4422</v>
      </c>
      <c r="H994" s="15">
        <f>IF(A1001=A1002,_xll.ciqfunctions.udf.CIQ(A993,"IQ_TOTAL_DIV_PAID_CF",IQ_FY-9)/-I994, _xll.ciqfunctions.udf.CIQ(A993, "IQ_TOTAL_DIV_PAID_CF",IQ_FY-8)/-I994)</f>
        <v>2.0509977827050999E-2</v>
      </c>
      <c r="I994" s="17">
        <f>IF(A1001=A1002,_xll.ciqfunctions.udf.CIQ(A993,"IQ_TOTAL_OUTSTANDING_FILING_DATE",IQ_FY-9), _xll.ciqfunctions.udf.CIQ(A993, "IQ_TOTAL_OUTSTANDING_FILING_DATE",IQ_FY-8))</f>
        <v>1804</v>
      </c>
      <c r="J994" s="17">
        <f>IF(A1001=A1002,_xll.ciqfunctions.udf.CIQ(A993,"IQ_CASH_OPER",IQ_FY-9), _xll.ciqfunctions.udf.CIQ(A993, "IQ_CASH_OPER",IQ_FY-8))</f>
        <v>6911</v>
      </c>
      <c r="K994" s="17">
        <f>IF(A1001=A1002,_xll.ciqfunctions.udf.CIQ(A993,"IQ_CAPEX",IQ_FY-9), _xll.ciqfunctions.udf.CIQ(A993, "IQ_CAPEX",IQ_FY-8))</f>
        <v>-3620</v>
      </c>
      <c r="L994" s="15">
        <f t="shared" si="264"/>
        <v>1.8242793791574279</v>
      </c>
      <c r="M994" s="17">
        <f>IF(A1001=A1002,_xll.ciqfunctions.udf.CIQ(A993,"IQ_TOTAL_DEBT_ISSUED",IQ_FY-9), _xll.ciqfunctions.udf.CIQ(A993, "IQ_TOTAL_DEBT_ISSUED",IQ_FY-8))</f>
        <v>870</v>
      </c>
      <c r="N994" s="17">
        <f>IF(A1001=A1002,_xll.ciqfunctions.udf.CIQ(A993,"IQ_TOTAL_DEBT_REPAID",IQ_FY-9), _xll.ciqfunctions.udf.CIQ(A993, "IQ_TOTAL_DEBT_REPAID",IQ_FY-8))</f>
        <v>-1135</v>
      </c>
      <c r="O994" s="15">
        <f t="shared" si="265"/>
        <v>-0.14689578713968957</v>
      </c>
      <c r="P994" s="15">
        <f t="shared" si="266"/>
        <v>1.6773835920177382</v>
      </c>
      <c r="Q994" s="25" t="s">
        <v>18</v>
      </c>
      <c r="R994" s="39" t="s">
        <v>19</v>
      </c>
      <c r="S994" s="1">
        <f>R992/((AVERAGE(P998:P1003))*(1+E1004)^3)</f>
        <v>22.087650018447746</v>
      </c>
      <c r="U994" s="25" t="s">
        <v>48</v>
      </c>
      <c r="V994" s="39" t="s">
        <v>19</v>
      </c>
      <c r="W994" s="1">
        <f>V992/((AVERAGE(P998:P1003))*(1+E1004)^3)</f>
        <v>22.087650018447746</v>
      </c>
      <c r="Y994" s="25" t="s">
        <v>39</v>
      </c>
      <c r="Z994" s="39" t="s">
        <v>19</v>
      </c>
      <c r="AA994" s="1">
        <f>Z992/((AVERAGE(P998:P1003))*(1+E1004)^3)</f>
        <v>22.087650018447746</v>
      </c>
    </row>
    <row r="995" spans="1:27">
      <c r="B995" s="13">
        <v>3</v>
      </c>
      <c r="C995" s="14" t="s">
        <v>20</v>
      </c>
      <c r="D995" s="15" cm="1">
        <f t="array" ref="D995">_xlfn.SINGLE(IF(A1001=A1002,_xll.ciqfunctions.udf.CIQ(A993,"IQ_TOTAL_REV",IQ_FY-8)/I995, _xll.ciqfunctions.udf.CIQ(A993, "IQ_TOTAL_REV",IQ_FY-7)/I995))</f>
        <v>17.834514198696802</v>
      </c>
      <c r="E995" s="16">
        <f t="shared" si="267"/>
        <v>-0.41633322543313989</v>
      </c>
      <c r="F995" s="15">
        <f>IF(A1001=A1002,_xll.ciqfunctions.udf.CIQ(A993,"IQ_DILUT_EPS_EXCL",IQ_FY-8), _xll.ciqfunctions.udf.CIQ(A993, "IQ_DILUT_EPS_EXCL",IQ_FY-7))</f>
        <v>1.44</v>
      </c>
      <c r="G995" s="15">
        <f>IF(A1001=A1002,_xll.ciqfunctions.udf.CIQ(A993,"IQ_EBITDA_MARGIN",IQ_FY-8), _xll.ciqfunctions.udf.CIQ(A993, "IQ_EBITDA_MARGIN",IQ_FY-7))</f>
        <v>17.6754</v>
      </c>
      <c r="H995" s="15">
        <f>IF(A1001=A1002,_xll.ciqfunctions.udf.CIQ(A993,"IQ_TOTAL_DIV_PAID_CF",IQ_FY-8)/-I995, _xll.ciqfunctions.udf.CIQ(A993, "IQ_TOTAL_DIV_PAID_CF",IQ_FY-7)/-I995)</f>
        <v>1.8364206788245251E-2</v>
      </c>
      <c r="I995" s="17">
        <f>IF(A1001=A1002,_xll.ciqfunctions.udf.CIQ(A993,"IQ_TOTAL_OUTSTANDING_FILING_DATE",IQ_FY-8), _xll.ciqfunctions.udf.CIQ(A993, "IQ_TOTAL_OUTSTANDING_FILING_DATE",IQ_FY-7))</f>
        <v>1742.5201300000001</v>
      </c>
      <c r="J995" s="17">
        <f>IF(A1001=A1002,_xll.ciqfunctions.udf.CIQ(A993,"IQ_CASH_OPER",IQ_FY-8), _xll.ciqfunctions.udf.CIQ(A993, "IQ_CASH_OPER",IQ_FY-7))</f>
        <v>3661</v>
      </c>
      <c r="K995" s="17">
        <f>IF(A1001=A1002,_xll.ciqfunctions.udf.CIQ(A993,"IQ_CAPEX",IQ_FY-8), _xll.ciqfunctions.udf.CIQ(A993, "IQ_CAPEX",IQ_FY-7))</f>
        <v>-3344</v>
      </c>
      <c r="L995" s="15">
        <f t="shared" si="264"/>
        <v>0.18192042349605453</v>
      </c>
      <c r="M995" s="17">
        <f>IF(A1001=A1002,_xll.ciqfunctions.udf.CIQ(A993,"IQ_TOTAL_DEBT_ISSUED",IQ_FY-8), _xll.ciqfunctions.udf.CIQ(A993, "IQ_TOTAL_DEBT_ISSUED",IQ_FY-7))</f>
        <v>15412</v>
      </c>
      <c r="N995" s="17">
        <f>IF(A1001=A1002,_xll.ciqfunctions.udf.CIQ(A993,"IQ_TOTAL_DEBT_REPAID",IQ_FY-8), _xll.ciqfunctions.udf.CIQ(A993, "IQ_TOTAL_DEBT_REPAID",IQ_FY-7))</f>
        <v>-15645</v>
      </c>
      <c r="O995" s="15">
        <f t="shared" si="265"/>
        <v>-0.13371438067691074</v>
      </c>
      <c r="P995" s="15">
        <f t="shared" si="266"/>
        <v>4.8206042819143785E-2</v>
      </c>
      <c r="Q995" s="25" t="s">
        <v>21</v>
      </c>
      <c r="R995" s="38" t="s">
        <v>49</v>
      </c>
      <c r="S995" s="2">
        <f>(R992*I1003)/1000</f>
        <v>20.121733133199999</v>
      </c>
      <c r="U995" s="25" t="s">
        <v>59</v>
      </c>
      <c r="V995" s="38" t="s">
        <v>49</v>
      </c>
      <c r="W995" s="2">
        <f>(V992*I1003)/1000</f>
        <v>20.121733133199999</v>
      </c>
      <c r="Y995" s="25" t="s">
        <v>46</v>
      </c>
      <c r="Z995" s="38" t="s">
        <v>49</v>
      </c>
      <c r="AA995" s="2">
        <f>(Z992*I1003)/1000</f>
        <v>20.121733133199999</v>
      </c>
    </row>
    <row r="996" spans="1:27">
      <c r="A996" s="18"/>
      <c r="B996" s="13">
        <v>4</v>
      </c>
      <c r="C996" s="14" t="s">
        <v>22</v>
      </c>
      <c r="D996" s="15" cm="1">
        <f t="array" ref="D996">_xlfn.SINGLE(IF(A1001=A1002,_xll.ciqfunctions.udf.CIQ(A993,"IQ_TOTAL_REV",IQ_FY-7)/I996, _xll.ciqfunctions.udf.CIQ(A993, "IQ_TOTAL_REV",IQ_FY-6)/I996))</f>
        <v>18.188183062981331</v>
      </c>
      <c r="E996" s="16">
        <f t="shared" si="267"/>
        <v>1.9830585814912319E-2</v>
      </c>
      <c r="F996" s="15">
        <f>IF(A1001=A1002,_xll.ciqfunctions.udf.CIQ(A993,"IQ_DILUT_EPS_EXCL",IQ_FY-7), _xll.ciqfunctions.udf.CIQ(A993, "IQ_DILUT_EPS_EXCL",IQ_FY-6))</f>
        <v>1.86</v>
      </c>
      <c r="G996" s="15">
        <f>IF(A1001=A1002,_xll.ciqfunctions.udf.CIQ(A993,"IQ_EBITDA_MARGIN",IQ_FY-7), _xll.ciqfunctions.udf.CIQ(A993, "IQ_EBITDA_MARGIN",IQ_FY-6))</f>
        <v>16.4299</v>
      </c>
      <c r="H996" s="15">
        <f>IF(A1001=A1002,_xll.ciqfunctions.udf.CIQ(A993,"IQ_TOTAL_DIV_PAID_CF",IQ_FY-7)/-I996, _xll.ciqfunctions.udf.CIQ(A993, "IQ_TOTAL_DIV_PAID_CF",IQ_FY-6)/-I996)</f>
        <v>0.22404862227516631</v>
      </c>
      <c r="I996" s="17">
        <f>IF(A1001=A1002,_xll.ciqfunctions.udf.CIQ(A993,"IQ_TOTAL_OUTSTANDING_FILING_DATE",IQ_FY-7), _xll.ciqfunctions.udf.CIQ(A993, "IQ_TOTAL_OUTSTANDING_FILING_DATE",IQ_FY-6))</f>
        <v>1664.8172</v>
      </c>
      <c r="J996" s="17">
        <f>IF(A1001=A1002,_xll.ciqfunctions.udf.CIQ(A993,"IQ_CASH_OPER",IQ_FY-7), _xll.ciqfunctions.udf.CIQ(A993, "IQ_CASH_OPER",IQ_FY-6))</f>
        <v>5056</v>
      </c>
      <c r="K996" s="17">
        <f>IF(A1001=A1002,_xll.ciqfunctions.udf.CIQ(A993,"IQ_CAPEX",IQ_FY-7), _xll.ciqfunctions.udf.CIQ(A993, "IQ_CAPEX",IQ_FY-6))</f>
        <v>-3280</v>
      </c>
      <c r="L996" s="15">
        <f t="shared" si="264"/>
        <v>1.0667837886345721</v>
      </c>
      <c r="M996" s="17">
        <f>IF(A1001=A1002,_xll.ciqfunctions.udf.CIQ(A993,"IQ_TOTAL_DEBT_ISSUED",IQ_FY-7), _xll.ciqfunctions.udf.CIQ(A993, "IQ_TOTAL_DEBT_ISSUED",IQ_FY-6))</f>
        <v>1074</v>
      </c>
      <c r="N996" s="17">
        <f>IF(A1001=A1002,_xll.ciqfunctions.udf.CIQ(A993,"IQ_TOTAL_DEBT_REPAID",IQ_FY-7), _xll.ciqfunctions.udf.CIQ(A993, "IQ_TOTAL_DEBT_REPAID",IQ_FY-6))</f>
        <v>-904</v>
      </c>
      <c r="O996" s="15">
        <f t="shared" si="265"/>
        <v>0.10211331310128223</v>
      </c>
      <c r="P996" s="15">
        <f t="shared" si="266"/>
        <v>1.1688971017358543</v>
      </c>
      <c r="Q996" s="25" t="s">
        <v>23</v>
      </c>
      <c r="R996" s="38" t="s">
        <v>24</v>
      </c>
      <c r="S996" s="1">
        <f>R992/(AVERAGE(H998:H1003)*(1+H1004)/(0.5-H1004))</f>
        <v>15.099767683135589</v>
      </c>
      <c r="U996" s="25" t="s">
        <v>40</v>
      </c>
      <c r="V996" s="38" t="s">
        <v>24</v>
      </c>
      <c r="W996" s="1">
        <f>V992/(AVERAGE(H998:H1003)*(1+H1004)/(0.5-H1004))</f>
        <v>15.099767683135589</v>
      </c>
      <c r="Y996" s="25" t="s">
        <v>47</v>
      </c>
      <c r="Z996" s="38" t="s">
        <v>24</v>
      </c>
      <c r="AA996" s="1">
        <f>Z992/(AVERAGE(H998:H1003)*(1+H1004)/(0.5-H1004))</f>
        <v>15.099767683135589</v>
      </c>
    </row>
    <row r="997" spans="1:27">
      <c r="B997" s="13">
        <v>5</v>
      </c>
      <c r="C997" s="14" t="s">
        <v>25</v>
      </c>
      <c r="D997" s="15" cm="1">
        <f t="array" ref="D997">_xlfn.SINGLE(IF(A1001=A1002,_xll.ciqfunctions.udf.CIQ(A993,"IQ_TOTAL_REV",IQ_FY-6)/I997, _xll.ciqfunctions.udf.CIQ(A993, "IQ_TOTAL_REV",IQ_FY-5)/I997))</f>
        <v>18.113596334813444</v>
      </c>
      <c r="E997" s="16">
        <f t="shared" si="267"/>
        <v>-4.1008344764076159E-3</v>
      </c>
      <c r="F997" s="15">
        <f>IF(A1001=A1002,_xll.ciqfunctions.udf.CIQ(A993,"IQ_DILUT_EPS_EXCL",IQ_FY-6), _xll.ciqfunctions.udf.CIQ(A993, "IQ_DILUT_EPS_EXCL",IQ_FY-5))</f>
        <v>0.26</v>
      </c>
      <c r="G997" s="15">
        <f>IF(A1001=A1002,_xll.ciqfunctions.udf.CIQ(A993,"IQ_EBITDA_MARGIN",IQ_FY-6), _xll.ciqfunctions.udf.CIQ(A993, "IQ_EBITDA_MARGIN",IQ_FY-5))</f>
        <v>15.3406</v>
      </c>
      <c r="H997" s="15">
        <f>IF(A1001=A1002,_xll.ciqfunctions.udf.CIQ(A993,"IQ_TOTAL_DIV_PAID_CF",IQ_FY-6)/-I997, _xll.ciqfunctions.udf.CIQ(A993, "IQ_TOTAL_DIV_PAID_CF",IQ_FY-5)/-I997)</f>
        <v>0.26852617613869123</v>
      </c>
      <c r="I997" s="17">
        <f>IF(A1001=A1002,_xll.ciqfunctions.udf.CIQ(A993,"IQ_TOTAL_OUTSTANDING_FILING_DATE",IQ_FY-6), _xll.ciqfunctions.udf.CIQ(A993, "IQ_TOTAL_OUTSTANDING_FILING_DATE",IQ_FY-5))</f>
        <v>1593.8855799999999</v>
      </c>
      <c r="J997" s="17">
        <f>IF(A1001=A1002,_xll.ciqfunctions.udf.CIQ(A993,"IQ_CASH_OPER",IQ_FY-6), _xll.ciqfunctions.udf.CIQ(A993, "IQ_CASH_OPER",IQ_FY-5))</f>
        <v>1335</v>
      </c>
      <c r="K997" s="17">
        <f>IF(A1001=A1002,_xll.ciqfunctions.udf.CIQ(A993,"IQ_CAPEX",IQ_FY-6), _xll.ciqfunctions.udf.CIQ(A993, "IQ_CAPEX",IQ_FY-5))</f>
        <v>-3137</v>
      </c>
      <c r="L997" s="15">
        <f t="shared" si="264"/>
        <v>-1.1305704892568262</v>
      </c>
      <c r="M997" s="17">
        <f>IF(A1001=A1002,_xll.ciqfunctions.udf.CIQ(A993,"IQ_TOTAL_DEBT_ISSUED",IQ_FY-6), _xll.ciqfunctions.udf.CIQ(A993, "IQ_TOTAL_DEBT_ISSUED",IQ_FY-5))</f>
        <v>2277</v>
      </c>
      <c r="N997" s="17">
        <f>IF(A1001=A1002,_xll.ciqfunctions.udf.CIQ(A993,"IQ_TOTAL_DEBT_REPAID",IQ_FY-6), _xll.ciqfunctions.udf.CIQ(A993, "IQ_TOTAL_DEBT_REPAID",IQ_FY-5))</f>
        <v>-3783</v>
      </c>
      <c r="O997" s="15">
        <f t="shared" si="265"/>
        <v>-0.9448607973478248</v>
      </c>
      <c r="P997" s="15">
        <f t="shared" si="266"/>
        <v>-2.0754312866046511</v>
      </c>
      <c r="Q997" s="18"/>
      <c r="R997" s="38" t="s">
        <v>50</v>
      </c>
      <c r="S997" s="3">
        <f>I1004</f>
        <v>-1.7137881311983572E-2</v>
      </c>
      <c r="U997" s="18"/>
      <c r="V997" s="38" t="s">
        <v>50</v>
      </c>
      <c r="W997" s="3">
        <f>I1004</f>
        <v>-1.7137881311983572E-2</v>
      </c>
      <c r="Y997" s="18"/>
      <c r="Z997" s="38" t="s">
        <v>50</v>
      </c>
      <c r="AA997" s="3">
        <f>I1004</f>
        <v>-1.7137881311983572E-2</v>
      </c>
    </row>
    <row r="998" spans="1:27">
      <c r="B998" s="13">
        <v>6</v>
      </c>
      <c r="C998" s="14" t="s">
        <v>26</v>
      </c>
      <c r="D998" s="15" cm="1">
        <f t="array" ref="D998">_xlfn.SINGLE(IF(A1001=A1002,_xll.ciqfunctions.udf.CIQ(A993,"IQ_TOTAL_REV",IQ_FY-5)/I998, _xll.ciqfunctions.udf.CIQ(A993, "IQ_TOTAL_REV",IQ_FY-4)/I998))</f>
        <v>22.057965103529909</v>
      </c>
      <c r="E998" s="16">
        <f t="shared" si="267"/>
        <v>0.21775735175988117</v>
      </c>
      <c r="F998" s="15">
        <f>IF(A1001=A1002,_xll.ciqfunctions.udf.CIQ(A993,"IQ_DILUT_EPS_EXCL",IQ_FY-5), _xll.ciqfunctions.udf.CIQ(A993, "IQ_DILUT_EPS_EXCL",IQ_FY-4))</f>
        <v>1.3</v>
      </c>
      <c r="G998" s="15">
        <f>IF(A1001=A1002,_xll.ciqfunctions.udf.CIQ(A993,"IQ_EBITDA_MARGIN",IQ_FY-5), _xll.ciqfunctions.udf.CIQ(A993, "IQ_EBITDA_MARGIN",IQ_FY-4))</f>
        <v>12.0219</v>
      </c>
      <c r="H998" s="15">
        <f>IF(A1001=A1002,_xll.ciqfunctions.udf.CIQ(A993,"IQ_TOTAL_DIV_PAID_CF",IQ_FY-5)/-I998, _xll.ciqfunctions.udf.CIQ(A993, "IQ_TOTAL_DIV_PAID_CF",IQ_FY-4)/-I998)</f>
        <v>0.40752755442149774</v>
      </c>
      <c r="I998" s="17">
        <f>IF(A1001=A1002,_xll.ciqfunctions.udf.CIQ(A993,"IQ_TOTAL_OUTSTANDING_FILING_DATE",IQ_FY-5), _xll.ciqfunctions.udf.CIQ(A993, "IQ_TOTAL_OUTSTANDING_FILING_DATE",IQ_FY-4))</f>
        <v>1398.6784299999999</v>
      </c>
      <c r="J998" s="17">
        <f>IF(A1001=A1002,_xll.ciqfunctions.udf.CIQ(A993,"IQ_CASH_OPER",IQ_FY-5), _xll.ciqfunctions.udf.CIQ(A993, "IQ_CASH_OPER",IQ_FY-4))</f>
        <v>2964</v>
      </c>
      <c r="K998" s="17">
        <f>IF(A1001=A1002,_xll.ciqfunctions.udf.CIQ(A993,"IQ_CAPEX",IQ_FY-5), _xll.ciqfunctions.udf.CIQ(A993, "IQ_CAPEX",IQ_FY-4))</f>
        <v>-2956</v>
      </c>
      <c r="L998" s="15">
        <f t="shared" si="264"/>
        <v>5.7196849743368101E-3</v>
      </c>
      <c r="M998" s="17">
        <f>IF(A1001=A1002,_xll.ciqfunctions.udf.CIQ(A993,"IQ_TOTAL_DEBT_ISSUED",IQ_FY-5), _xll.ciqfunctions.udf.CIQ(A993, "IQ_TOTAL_DEBT_ISSUED",IQ_FY-4))</f>
        <v>2462</v>
      </c>
      <c r="N998" s="17">
        <f>IF(A1001=A1002,_xll.ciqfunctions.udf.CIQ(A993,"IQ_TOTAL_DEBT_REPAID",IQ_FY-5), _xll.ciqfunctions.udf.CIQ(A993, "IQ_TOTAL_DEBT_REPAID",IQ_FY-4))</f>
        <v>-4138</v>
      </c>
      <c r="O998" s="15">
        <f t="shared" si="265"/>
        <v>-1.1982740021235618</v>
      </c>
      <c r="P998" s="15">
        <f t="shared" si="266"/>
        <v>-1.192554317149225</v>
      </c>
      <c r="Q998" s="25" t="s">
        <v>27</v>
      </c>
      <c r="R998" s="38" t="s">
        <v>51</v>
      </c>
      <c r="S998" s="4">
        <f>AVERAGE(F998:F1003)/AVERAGE(D998:D1003)</f>
        <v>4.450864529632987E-2</v>
      </c>
      <c r="U998" s="25" t="s">
        <v>58</v>
      </c>
      <c r="V998" s="38" t="s">
        <v>51</v>
      </c>
      <c r="W998" s="4">
        <f>AVERAGE(F998:F1003)/AVERAGE(D998:D1003)</f>
        <v>4.450864529632987E-2</v>
      </c>
      <c r="Y998" s="25" t="s">
        <v>56</v>
      </c>
      <c r="Z998" s="38" t="s">
        <v>51</v>
      </c>
      <c r="AA998" s="4">
        <f>AVERAGE(F998:F1003)/AVERAGE(D998:D1003)</f>
        <v>4.450864529632987E-2</v>
      </c>
    </row>
    <row r="999" spans="1:27">
      <c r="A999" s="18"/>
      <c r="B999" s="13">
        <v>7</v>
      </c>
      <c r="C999" s="14" t="s">
        <v>28</v>
      </c>
      <c r="D999" s="15" cm="1">
        <f t="array" ref="D999">_xlfn.SINGLE(IF(A1001=A1002,_xll.ciqfunctions.udf.CIQ(A993,"IQ_TOTAL_REV",IQ_FY-4)/I999, _xll.ciqfunctions.udf.CIQ(A993, "IQ_TOTAL_REV",IQ_FY-3)/I999))</f>
        <v>22.534160871355127</v>
      </c>
      <c r="E999" s="16">
        <f t="shared" si="267"/>
        <v>2.1588381593232838E-2</v>
      </c>
      <c r="F999" s="15">
        <f>IF(A1001=A1002,_xll.ciqfunctions.udf.CIQ(A993,"IQ_DILUT_EPS_EXCL",IQ_FY-4), _xll.ciqfunctions.udf.CIQ(A993, "IQ_DILUT_EPS_EXCL",IQ_FY-3))</f>
        <v>0.77</v>
      </c>
      <c r="G999" s="15">
        <f>IF(A1001=A1002,_xll.ciqfunctions.udf.CIQ(A993,"IQ_EBITDA_MARGIN",IQ_FY-4), _xll.ciqfunctions.udf.CIQ(A993, "IQ_EBITDA_MARGIN",IQ_FY-3))</f>
        <v>18.736899999999999</v>
      </c>
      <c r="H999" s="15">
        <f>IF(A1001=A1002,_xll.ciqfunctions.udf.CIQ(A993,"IQ_TOTAL_DIV_PAID_CF",IQ_FY-4)/-I999, _xll.ciqfunctions.udf.CIQ(A993, "IQ_TOTAL_DIV_PAID_CF",IQ_FY-3)/-I999)</f>
        <v>0.47025123767921456</v>
      </c>
      <c r="I999" s="17">
        <f>IF(A1001=A1002,_xll.ciqfunctions.udf.CIQ(A993,"IQ_TOTAL_OUTSTANDING_FILING_DATE",IQ_FY-4), _xll.ciqfunctions.udf.CIQ(A993, "IQ_TOTAL_OUTSTANDING_FILING_DATE",IQ_FY-3))</f>
        <v>1292.92589</v>
      </c>
      <c r="J999" s="17">
        <f>IF(A1001=A1002,_xll.ciqfunctions.udf.CIQ(A993,"IQ_CASH_OPER",IQ_FY-4), _xll.ciqfunctions.udf.CIQ(A993, "IQ_CASH_OPER",IQ_FY-3))</f>
        <v>3997</v>
      </c>
      <c r="K999" s="17">
        <f>IF(A1001=A1002,_xll.ciqfunctions.udf.CIQ(A993,"IQ_CAPEX",IQ_FY-4), _xll.ciqfunctions.udf.CIQ(A993, "IQ_CAPEX",IQ_FY-3))</f>
        <v>-2856</v>
      </c>
      <c r="L999" s="15">
        <f t="shared" si="264"/>
        <v>0.8824945101841839</v>
      </c>
      <c r="M999" s="17">
        <f>IF(A1001=A1002,_xll.ciqfunctions.udf.CIQ(A993,"IQ_TOTAL_DEBT_ISSUED",IQ_FY-4), _xll.ciqfunctions.udf.CIQ(A993, "IQ_TOTAL_DEBT_ISSUED",IQ_FY-3))</f>
        <v>3517</v>
      </c>
      <c r="N999" s="17">
        <f>IF(A1001=A1002,_xll.ciqfunctions.udf.CIQ(A993,"IQ_TOTAL_DEBT_REPAID",IQ_FY-4), _xll.ciqfunctions.udf.CIQ(A993, "IQ_TOTAL_DEBT_REPAID",IQ_FY-3))</f>
        <v>-2256</v>
      </c>
      <c r="O999" s="15">
        <f t="shared" si="265"/>
        <v>0.97530725446297628</v>
      </c>
      <c r="P999" s="15">
        <f t="shared" si="266"/>
        <v>1.8578017646471601</v>
      </c>
      <c r="Q999" s="18"/>
      <c r="R999" s="38" t="s">
        <v>29</v>
      </c>
      <c r="S999" s="4">
        <f>(AVERAGE(P998:P1003)/_xlfn.STDEV.P(P998:P1003))/(IF(A1001=A1002,(_xlfn.SINGLE(_xll.ciqfunctions.udf.CIQ(A993,"IQ_total_assets",IQ_FY)) - _xlfn.SINGLE(_xll.ciqfunctions.udf.CIQ(A993,"iq_gw_intan", IQ_FY)))/I1003, (_xlfn.SINGLE(_xll.ciqfunctions.udf.CIQ(A993, "IQ_total_assets",IQ_LTM))-_xlfn.SINGLE(_xll.ciqfunctions.udf.CIQ(A993,"iq_gw_intan",IQ_LTM)))/I1003))</f>
        <v>2.4867164789503161E-2</v>
      </c>
      <c r="U999" s="18"/>
      <c r="V999" s="38" t="s">
        <v>29</v>
      </c>
      <c r="W999" s="4">
        <f>(AVERAGE(P998:P1003)/_xlfn.STDEV.P(P998:P1003))/(IF(A1001=A1002,(_xlfn.SINGLE(_xll.ciqfunctions.udf.CIQ(A993,"IQ_total_assets",IQ_FY)) - _xlfn.SINGLE(_xll.ciqfunctions.udf.CIQ(A993,"iq_gw_intan", IQ_FY)))/I1003, (_xlfn.SINGLE(_xll.ciqfunctions.udf.CIQ(A993, "IQ_total_assets",IQ_LTM))-_xlfn.SINGLE(_xll.ciqfunctions.udf.CIQ(A993,"iq_gw_intan",IQ_LTM)))/I1003))</f>
        <v>2.4867164789503161E-2</v>
      </c>
      <c r="Y999" s="18"/>
      <c r="Z999" s="38" t="s">
        <v>29</v>
      </c>
      <c r="AA999" s="4">
        <f>(AVERAGE(P998:P1003)/_xlfn.STDEV.P(P998:P1003))/(IF(A1001=A1002,(_xlfn.SINGLE(_xll.ciqfunctions.udf.CIQ(A993,"IQ_total_assets",IQ_FY)) - _xlfn.SINGLE(_xll.ciqfunctions.udf.CIQ(A993,"iq_gw_intan", IQ_FY)))/I1003, (_xlfn.SINGLE(_xll.ciqfunctions.udf.CIQ(A993, "IQ_total_assets",IQ_LTM))-_xlfn.SINGLE(_xll.ciqfunctions.udf.CIQ(A993,"iq_gw_intan",IQ_LTM)))/I1003))</f>
        <v>2.4867164789503161E-2</v>
      </c>
    </row>
    <row r="1000" spans="1:27">
      <c r="A1000" s="18"/>
      <c r="B1000" s="13">
        <v>8</v>
      </c>
      <c r="C1000" s="14" t="s">
        <v>30</v>
      </c>
      <c r="D1000" s="15" cm="1">
        <f t="array" ref="D1000">_xlfn.SINGLE(IF(A1001=A1002,_xll.ciqfunctions.udf.CIQ(A993,"IQ_TOTAL_REV",IQ_FY-3)/I1000, _xll.ciqfunctions.udf.CIQ(A993, "IQ_TOTAL_REV",IQ_FY-2)/I1000))</f>
        <v>20.859686094580873</v>
      </c>
      <c r="E1000" s="16">
        <f t="shared" si="267"/>
        <v>-7.430828182747222E-2</v>
      </c>
      <c r="F1000" s="15">
        <f>IF(A1001=A1002,_xll.ciqfunctions.udf.CIQ(A993,"IQ_DILUT_EPS_EXCL",IQ_FY-3), _xll.ciqfunctions.udf.CIQ(A993, "IQ_DILUT_EPS_EXCL",IQ_FY-2))</f>
        <v>-0.25</v>
      </c>
      <c r="G1000" s="15">
        <f>IF(A1001=A1002,_xll.ciqfunctions.udf.CIQ(A993,"IQ_EBITDA_MARGIN",IQ_FY-3), _xll.ciqfunctions.udf.CIQ(A993, "IQ_EBITDA_MARGIN",IQ_FY-2))</f>
        <v>15.7994</v>
      </c>
      <c r="H1000" s="15">
        <f>IF(A1001=A1002,_xll.ciqfunctions.udf.CIQ(A993,"IQ_TOTAL_DIV_PAID_CF",IQ_FY-3)/-I1000, _xll.ciqfunctions.udf.CIQ(A993, "IQ_TOTAL_DIV_PAID_CF",IQ_FY-2)/-I1000)</f>
        <v>0.47777355297794749</v>
      </c>
      <c r="I1000" s="17">
        <f>IF(A1001=A1002,_xll.ciqfunctions.udf.CIQ(A993,"IQ_TOTAL_OUTSTANDING_FILING_DATE",IQ_FY-3), _xll.ciqfunctions.udf.CIQ(A993, "IQ_TOTAL_OUTSTANDING_FILING_DATE",IQ_FY-2))</f>
        <v>1293.49981</v>
      </c>
      <c r="J1000" s="17">
        <f>IF(A1001=A1002,_xll.ciqfunctions.udf.CIQ(A993,"IQ_CASH_OPER",IQ_FY-3), _xll.ciqfunctions.udf.CIQ(A993, "IQ_CASH_OPER",IQ_FY-2))</f>
        <v>2240</v>
      </c>
      <c r="K1000" s="17">
        <f>IF(A1001=A1002,_xll.ciqfunctions.udf.CIQ(A993,"IQ_CAPEX",IQ_FY-3), _xll.ciqfunctions.udf.CIQ(A993, "IQ_CAPEX",IQ_FY-2))</f>
        <v>-2383</v>
      </c>
      <c r="L1000" s="15">
        <f t="shared" si="264"/>
        <v>-0.11055278005800402</v>
      </c>
      <c r="M1000" s="17">
        <f>IF(A1001=A1002,_xll.ciqfunctions.udf.CIQ(A993,"IQ_TOTAL_DEBT_ISSUED",IQ_FY-3), _xll.ciqfunctions.udf.CIQ(A993, "IQ_TOTAL_DEBT_ISSUED",IQ_FY-2))</f>
        <v>7007</v>
      </c>
      <c r="N1000" s="17">
        <f>IF(A1001=A1002,_xll.ciqfunctions.udf.CIQ(A993,"IQ_TOTAL_DEBT_REPAID",IQ_FY-3), _xll.ciqfunctions.udf.CIQ(A993, "IQ_TOTAL_DEBT_REPAID",IQ_FY-2))</f>
        <v>-5108</v>
      </c>
      <c r="O1000" s="15">
        <f t="shared" si="265"/>
        <v>1.4681099953157317</v>
      </c>
      <c r="P1000" s="15">
        <f t="shared" si="266"/>
        <v>1.3575572152577278</v>
      </c>
      <c r="Q1000" s="18"/>
      <c r="R1000" s="39" t="s">
        <v>31</v>
      </c>
      <c r="S1000" s="5">
        <f>IF(NOT(D993&gt;0),FALSE,SLOPE(G993:G1003,B993:B1003))</f>
        <v>0.23887272727272729</v>
      </c>
      <c r="U1000" s="18"/>
      <c r="V1000" s="39" t="s">
        <v>31</v>
      </c>
      <c r="W1000" s="5">
        <f>IF(NOT(D993&gt;0),FALSE,SLOPE(G993:G1003,B993:B1003))</f>
        <v>0.23887272727272729</v>
      </c>
      <c r="Y1000" s="18"/>
      <c r="Z1000" s="39" t="s">
        <v>31</v>
      </c>
      <c r="AA1000" s="5">
        <f>IF(NOT(L993&gt;0),FALSE,SLOPE(O993:O1003,J993:J1003))</f>
        <v>-1.0452199343860147E-4</v>
      </c>
    </row>
    <row r="1001" spans="1:27">
      <c r="A1001" s="19">
        <f>_xll.ciqfunctions.udf.CIQ(A993,"IQ_TOTAL_REV",IQ_FY)</f>
        <v>28496</v>
      </c>
      <c r="B1001" s="13">
        <v>9</v>
      </c>
      <c r="C1001" s="14" t="s">
        <v>32</v>
      </c>
      <c r="D1001" s="15" cm="1">
        <f t="array" ref="D1001">_xlfn.SINGLE(IF(A1001=A1002,_xll.ciqfunctions.udf.CIQ(A993,"IQ_TOTAL_REV",IQ_FY-2)/I1001, _xll.ciqfunctions.udf.CIQ(A993, "IQ_TOTAL_REV",IQ_FY-1)/I1001))</f>
        <v>21.48070411713212</v>
      </c>
      <c r="E1001" s="16">
        <f t="shared" si="267"/>
        <v>2.9771206514588026E-2</v>
      </c>
      <c r="F1001" s="15">
        <f>IF(A1001=A1002,_xll.ciqfunctions.udf.CIQ(A993,"IQ_DILUT_EPS_EXCL",IQ_FY-2), _xll.ciqfunctions.udf.CIQ(A993, "IQ_DILUT_EPS_EXCL",IQ_FY-1))</f>
        <v>2.58</v>
      </c>
      <c r="G1001" s="15">
        <f>IF(A1001=A1002,_xll.ciqfunctions.udf.CIQ(A993,"IQ_EBITDA_MARGIN",IQ_FY-2), _xll.ciqfunctions.udf.CIQ(A993, "IQ_EBITDA_MARGIN",IQ_FY-1))</f>
        <v>17.448799999999999</v>
      </c>
      <c r="H1001" s="15">
        <f>IF(A1001=A1002,_xll.ciqfunctions.udf.CIQ(A993,"IQ_TOTAL_DIV_PAID_CF",IQ_FY-2)/-I1001, _xll.ciqfunctions.udf.CIQ(A993, "IQ_TOTAL_DIV_PAID_CF",IQ_FY-1)/-I1001)</f>
        <v>0.48320760413214708</v>
      </c>
      <c r="I1001" s="17">
        <f>IF(A1001=A1002,_xll.ciqfunctions.udf.CIQ(A993,"IQ_TOTAL_OUTSTANDING_FILING_DATE",IQ_FY-2), _xll.ciqfunctions.udf.CIQ(A993, "IQ_TOTAL_OUTSTANDING_FILING_DATE",IQ_FY-1))</f>
        <v>1293.4399100000001</v>
      </c>
      <c r="J1001" s="17">
        <f>IF(A1001=A1002,_xll.ciqfunctions.udf.CIQ(A993,"IQ_CASH_OPER",IQ_FY-2), _xll.ciqfunctions.udf.CIQ(A993, "IQ_CASH_OPER",IQ_FY-1))</f>
        <v>5871</v>
      </c>
      <c r="K1001" s="17">
        <f>IF(A1001=A1002,_xll.ciqfunctions.udf.CIQ(A993,"IQ_CAPEX",IQ_FY-2), _xll.ciqfunctions.udf.CIQ(A993, "IQ_CAPEX",IQ_FY-1))</f>
        <v>-2502</v>
      </c>
      <c r="L1001" s="15">
        <f t="shared" si="264"/>
        <v>2.6046822693139258</v>
      </c>
      <c r="M1001" s="17">
        <f>IF(A1001=A1002,_xll.ciqfunctions.udf.CIQ(A993,"IQ_TOTAL_DEBT_ISSUED",IQ_FY-2), _xll.ciqfunctions.udf.CIQ(A993, "IQ_TOTAL_DEBT_ISSUED",IQ_FY-1))</f>
        <v>3022</v>
      </c>
      <c r="N1001" s="17">
        <f>IF(A1001=A1002,_xll.ciqfunctions.udf.CIQ(A993,"IQ_TOTAL_DEBT_REPAID",IQ_FY-2), _xll.ciqfunctions.udf.CIQ(A993, "IQ_TOTAL_DEBT_REPAID",IQ_FY-1))</f>
        <v>-5501</v>
      </c>
      <c r="O1001" s="15">
        <f t="shared" si="265"/>
        <v>-1.9165946410297483</v>
      </c>
      <c r="P1001" s="15">
        <f t="shared" si="266"/>
        <v>0.68808762828417747</v>
      </c>
      <c r="Q1001" s="25" t="s">
        <v>33</v>
      </c>
      <c r="R1001" s="38" t="s">
        <v>52</v>
      </c>
      <c r="S1001" s="4">
        <f>(AVERAGE(O998:O1003)/AVERAGE(P998:P1003))</f>
        <v>-0.3697237471368397</v>
      </c>
      <c r="U1001" s="25" t="s">
        <v>54</v>
      </c>
      <c r="V1001" s="38" t="s">
        <v>52</v>
      </c>
      <c r="W1001" s="4">
        <f>(AVERAGE(O998:O1003)/AVERAGE(P998:P1003))</f>
        <v>-0.3697237471368397</v>
      </c>
      <c r="Y1001" s="25" t="s">
        <v>60</v>
      </c>
      <c r="Z1001" s="38" t="s">
        <v>52</v>
      </c>
      <c r="AA1001" s="4">
        <f>(AVERAGE(O998:O1003)/AVERAGE(P998:P1003))</f>
        <v>-0.3697237471368397</v>
      </c>
    </row>
    <row r="1002" spans="1:27">
      <c r="A1002" s="19">
        <f>_xll.ciqfunctions.udf.CIQ(A993,"IQ_TOTAL_REV",IQ_LTM)</f>
        <v>29655</v>
      </c>
      <c r="B1002" s="13">
        <v>10</v>
      </c>
      <c r="C1002" s="14" t="s">
        <v>34</v>
      </c>
      <c r="D1002" s="15" cm="1">
        <f t="array" ref="D1002">_xlfn.SINGLE(IF(A1001=A1002,_xll.ciqfunctions.udf.CIQ(A993,"IQ_TOTAL_REV",IQ_FY-1)/I1002, _xll.ciqfunctions.udf.CIQ(A993, "IQ_TOTAL_REV",IQ_FY)/I1002))</f>
        <v>22.230945083925214</v>
      </c>
      <c r="E1002" s="16">
        <f t="shared" si="267"/>
        <v>3.4926274422947441E-2</v>
      </c>
      <c r="F1002" s="15">
        <f>IF(A1001=A1002,_xll.ciqfunctions.udf.CIQ(A993,"IQ_DILUT_EPS_EXCL",IQ_FY-1), _xll.ciqfunctions.udf.CIQ(A993, "IQ_DILUT_EPS_EXCL",IQ_FY))</f>
        <v>0.66</v>
      </c>
      <c r="G1002" s="15">
        <f>IF(A1001=A1002,_xll.ciqfunctions.udf.CIQ(A993,"IQ_EBITDA_MARGIN",IQ_FY-1), _xll.ciqfunctions.udf.CIQ(A993, "IQ_EBITDA_MARGIN",IQ_FY))</f>
        <v>16.7742</v>
      </c>
      <c r="H1002" s="15">
        <f>IF(A1001=A1002,_xll.ciqfunctions.udf.CIQ(A993,"IQ_TOTAL_DIV_PAID_CF",IQ_FY-1)/-I1002, _xll.ciqfunctions.udf.CIQ(A993, "IQ_TOTAL_DIV_PAID_CF",IQ_FY)/-I1002)</f>
        <v>0.48446858847268237</v>
      </c>
      <c r="I1002" s="17">
        <f>IF(A1001=A1002,_xll.ciqfunctions.udf.CIQ(A993,"IQ_TOTAL_OUTSTANDING_FILING_DATE",IQ_FY-1), _xll.ciqfunctions.udf.CIQ(A993, "IQ_TOTAL_OUTSTANDING_FILING_DATE",IQ_FY))</f>
        <v>1281.8168499999999</v>
      </c>
      <c r="J1002" s="17">
        <f>IF(A1001=A1002,_xll.ciqfunctions.udf.CIQ(A993,"IQ_CASH_OPER",IQ_FY-1), _xll.ciqfunctions.udf.CIQ(A993, "IQ_CASH_OPER",IQ_FY))</f>
        <v>4593</v>
      </c>
      <c r="K1002" s="17">
        <f>IF(A1001=A1002,_xll.ciqfunctions.udf.CIQ(A993,"IQ_CAPEX",IQ_FY-1), _xll.ciqfunctions.udf.CIQ(A993, "IQ_CAPEX",IQ_FY))</f>
        <v>-3122</v>
      </c>
      <c r="L1002" s="15">
        <f t="shared" si="264"/>
        <v>1.1475898448362574</v>
      </c>
      <c r="M1002" s="17">
        <f>IF(A1001=A1002,_xll.ciqfunctions.udf.CIQ(A993,"IQ_TOTAL_DEBT_ISSUED",IQ_FY-1), _xll.ciqfunctions.udf.CIQ(A993, "IQ_TOTAL_DEBT_ISSUED",IQ_FY))</f>
        <v>3396</v>
      </c>
      <c r="N1002" s="17">
        <f>IF(A1001=A1002,_xll.ciqfunctions.udf.CIQ(A993,"IQ_TOTAL_DEBT_REPAID",IQ_FY-1), _xll.ciqfunctions.udf.CIQ(A993, "IQ_TOTAL_DEBT_REPAID",IQ_FY))</f>
        <v>-3992</v>
      </c>
      <c r="O1002" s="15">
        <f t="shared" si="265"/>
        <v>-0.46496502210904783</v>
      </c>
      <c r="P1002" s="15">
        <f t="shared" si="266"/>
        <v>0.68262482272720959</v>
      </c>
      <c r="Q1002" s="25" t="s">
        <v>44</v>
      </c>
      <c r="R1002" s="38" t="s">
        <v>35</v>
      </c>
      <c r="S1002" s="1">
        <f>_xll.ciqfunctions.udf.CIQ(A993,"IQ_TEV_EBITDA")</f>
        <v>5.5834799999999998</v>
      </c>
      <c r="U1002" s="25" t="s">
        <v>55</v>
      </c>
      <c r="V1002" s="38" t="s">
        <v>53</v>
      </c>
      <c r="W1002" s="1">
        <f>V992/(AVERAGE(D998:D1003)/_xlfn.STDEV.P(E998:E1003))</f>
        <v>6.1604800655504104E-2</v>
      </c>
      <c r="Y1002" s="25" t="s">
        <v>57</v>
      </c>
      <c r="Z1002" s="38" t="s">
        <v>53</v>
      </c>
      <c r="AA1002" s="1">
        <f>Z992/(AVERAGE(D998:D1003)/_xlfn.STDEV.P(E998:E1003))</f>
        <v>6.1604800655504104E-2</v>
      </c>
    </row>
    <row r="1003" spans="1:27">
      <c r="B1003" s="13">
        <v>11</v>
      </c>
      <c r="C1003" s="20" t="s">
        <v>36</v>
      </c>
      <c r="D1003" s="21" cm="1">
        <f t="array" ref="D1003">_xlfn.SINGLE(IF(A1001=A1002,_xll.ciqfunctions.udf.CIQ(A993,"IQ_TOTAL_REV",IQ_FY)/I1003, _xll.ciqfunctions.udf.CIQ(A993, "IQ_TOTAL_REV",IQ_LTM)/I1003))</f>
        <v>23.116233175388906</v>
      </c>
      <c r="E1003" s="22">
        <f t="shared" si="267"/>
        <v>3.9822332704327008E-2</v>
      </c>
      <c r="F1003" s="21">
        <f>IF(A1001=A1002,_xll.ciqfunctions.udf.CIQ(A993,"IQ_DILUT_EPS_EXCL",IQ_FY), _xll.ciqfunctions.udf.CIQ(A993, "IQ_DILUT_EPS_EXCL",IQ_LTM))</f>
        <v>0.82759000000000005</v>
      </c>
      <c r="G1003" s="21">
        <f>IF(A1001=A1002,_xll.ciqfunctions.udf.CIQ(A993,"IQ_EBITDA_MARGIN",IQ_FY), _xll.ciqfunctions.udf.CIQ(A993, "IQ_EBITDA_MARGIN",IQ_LTM))</f>
        <v>17.656300000000002</v>
      </c>
      <c r="H1003" s="21">
        <f>IF(A1001=A1002,_xll.ciqfunctions.udf.CIQ(A993,"IQ_TOTAL_DIV_PAID_CF",IQ_FY)/-I1003, _xll.ciqfunctions.udf.CIQ(A993, "IQ_TOTAL_DIV_PAID_CF",IQ_LTM)/-I1003)</f>
        <v>0.48251385383799467</v>
      </c>
      <c r="I1003" s="23">
        <f>IF(A1001=A1002,_xll.ciqfunctions.udf.CIQ(A993,"IQ_TOTAL_OUTSTANDING_FILING_DATE",IQ_FY),_xll.ciqfunctions.udf.CIQ(A993,"IQ_sharesoutstanding"))</f>
        <v>1282.86472</v>
      </c>
      <c r="J1003" s="23">
        <f>IF(A1001=A1002,_xll.ciqfunctions.udf.CIQ(A993,"IQ_CASH_OPER",IQ_FY), _xll.ciqfunctions.udf.CIQ(A993, "IQ_CASH_OPER",IQ_LTM))</f>
        <v>4621</v>
      </c>
      <c r="K1003" s="23">
        <f>IF(A1001=A1002,_xll.ciqfunctions.udf.CIQ(A993,"IQ_CAPEX",IQ_FY), _xll.ciqfunctions.udf.CIQ(A993, "IQ_CAPEX",IQ_LTM))</f>
        <v>-3153</v>
      </c>
      <c r="L1003" s="21">
        <f t="shared" si="264"/>
        <v>1.1443139538516578</v>
      </c>
      <c r="M1003" s="23">
        <f>IF(A1001=A1002,_xll.ciqfunctions.udf.CIQ(A993,"IQ_TOTAL_DEBT_ISSUED",IQ_FY), _xll.ciqfunctions.udf.CIQ(A993, "IQ_TOTAL_DEBT_ISSUED",IQ_LTM))</f>
        <v>4660</v>
      </c>
      <c r="N1003" s="23">
        <f>IF(A1001=A1002,_xll.ciqfunctions.udf.CIQ(A993,"IQ_TOTAL_DEBT_REPAID",IQ_FY), _xll.ciqfunctions.udf.CIQ(A993, "IQ_TOTAL_DEBT_REPAID",IQ_LTM))</f>
        <v>-5167</v>
      </c>
      <c r="O1003" s="21">
        <f t="shared" si="265"/>
        <v>-0.39520924700462567</v>
      </c>
      <c r="P1003" s="21">
        <f t="shared" si="266"/>
        <v>0.74910470684703212</v>
      </c>
      <c r="Q1003" s="25" t="s">
        <v>45</v>
      </c>
      <c r="S1003" s="45"/>
      <c r="U1003" s="25"/>
      <c r="W1003" s="45"/>
      <c r="Y1003" s="25"/>
      <c r="AA1003" s="45"/>
    </row>
    <row r="1004" spans="1:27">
      <c r="B1004" s="24"/>
      <c r="C1004" s="25" t="s">
        <v>37</v>
      </c>
      <c r="E1004" s="26">
        <f>((D1003/D998)^(1/5))-1</f>
        <v>9.4163251824563865E-3</v>
      </c>
      <c r="F1004" s="27">
        <f>((F1003/F998)^(1/5))-1</f>
        <v>-8.6361533045459793E-2</v>
      </c>
      <c r="G1004" s="28"/>
      <c r="H1004" s="27">
        <f>((H1003/H998)^(1/5))-1</f>
        <v>3.4357247476423325E-2</v>
      </c>
      <c r="I1004" s="27">
        <f>((I1003/I998)^(1/5))-1</f>
        <v>-1.7137881311983572E-2</v>
      </c>
      <c r="J1004" s="27"/>
      <c r="K1004" s="27"/>
      <c r="L1004" s="26">
        <f>((L1003/L998)^(1/5))-1</f>
        <v>1.8855899506153602</v>
      </c>
      <c r="M1004" s="26"/>
      <c r="N1004" s="26"/>
      <c r="O1004" s="26"/>
      <c r="P1004" s="26">
        <f>((P1003/P998)^(1/5))-1</f>
        <v>-1.9111982382545825</v>
      </c>
      <c r="Q1004" s="18"/>
      <c r="R1004" s="36"/>
      <c r="S1004" s="45"/>
      <c r="U1004" s="18"/>
      <c r="V1004" s="36"/>
      <c r="W1004" s="45"/>
      <c r="Y1004" s="18"/>
      <c r="Z1004" s="36"/>
      <c r="AA1004" s="45"/>
    </row>
    <row r="1005" spans="1:27">
      <c r="A1005" s="29"/>
      <c r="B1005" s="30"/>
      <c r="C1005" s="31" t="s">
        <v>38</v>
      </c>
      <c r="D1005" s="29"/>
      <c r="E1005" s="32">
        <f>((D1003/D993)^(1/10))-1</f>
        <v>-3.1396312708459218E-2</v>
      </c>
      <c r="F1005" s="33">
        <f>((F1003/F993)^(1/10))-1</f>
        <v>-2.9803460688737959E-2</v>
      </c>
      <c r="G1005" s="34"/>
      <c r="H1005" s="33" t="e">
        <f>((H1003/H993)^(1/10))-1</f>
        <v>#DIV/0!</v>
      </c>
      <c r="I1005" s="33">
        <f>((I1003/I993)^(1/10))-1</f>
        <v>-3.3516524940686576E-2</v>
      </c>
      <c r="J1005" s="33"/>
      <c r="K1005" s="33"/>
      <c r="L1005" s="32">
        <f>((L1003/L993)^(1/10))-1</f>
        <v>-0.10474697679652523</v>
      </c>
      <c r="M1005" s="32"/>
      <c r="N1005" s="32"/>
      <c r="O1005" s="32"/>
      <c r="P1005" s="32">
        <f>((P1003/P993)^(1/10))-1</f>
        <v>-0.12270394627937575</v>
      </c>
      <c r="Q1005" s="40"/>
      <c r="R1005" s="41"/>
      <c r="S1005" s="46"/>
      <c r="U1005" s="40"/>
      <c r="V1005" s="41"/>
      <c r="W1005" s="46"/>
      <c r="Y1005" s="40"/>
      <c r="Z1005" s="41"/>
      <c r="AA1005" s="46"/>
    </row>
    <row r="1006" spans="1:27">
      <c r="B1006" s="24"/>
      <c r="C1006" s="25"/>
      <c r="E1006" s="26"/>
      <c r="F1006" s="27"/>
      <c r="G1006" s="28"/>
      <c r="H1006" s="27"/>
      <c r="I1006" s="27"/>
      <c r="J1006" s="27"/>
      <c r="K1006" s="27"/>
      <c r="L1006" s="26"/>
      <c r="M1006" s="17"/>
      <c r="N1006" s="17"/>
      <c r="O1006" s="17"/>
      <c r="P1006" s="35"/>
      <c r="Q1006" s="18"/>
      <c r="R1006" s="36"/>
    </row>
    <row r="1007" spans="1:27">
      <c r="A1007" s="9" t="s">
        <v>0</v>
      </c>
      <c r="B1007" s="10"/>
      <c r="C1007" s="9" t="s">
        <v>1</v>
      </c>
      <c r="D1007" s="9" t="s">
        <v>2</v>
      </c>
      <c r="E1007" s="9" t="s">
        <v>3</v>
      </c>
      <c r="F1007" s="11" t="s">
        <v>4</v>
      </c>
      <c r="G1007" s="11" t="s">
        <v>5</v>
      </c>
      <c r="H1007" s="9" t="s">
        <v>6</v>
      </c>
      <c r="I1007" s="11" t="s">
        <v>7</v>
      </c>
      <c r="J1007" s="11" t="s">
        <v>8</v>
      </c>
      <c r="K1007" s="11" t="s">
        <v>9</v>
      </c>
      <c r="L1007" s="11" t="s">
        <v>10</v>
      </c>
      <c r="M1007" s="11" t="s">
        <v>11</v>
      </c>
      <c r="N1007" s="11" t="s">
        <v>12</v>
      </c>
      <c r="O1007" s="11" t="s">
        <v>13</v>
      </c>
      <c r="P1007" s="11" t="s">
        <v>14</v>
      </c>
      <c r="Q1007" s="37" t="s">
        <v>15</v>
      </c>
      <c r="R1007" s="42">
        <f>_xll.ciqfunctions.udf.CIQ(A1008,("IQ_LASTSALEPRICE"))</f>
        <v>74.650000000000006</v>
      </c>
      <c r="S1007" s="44"/>
      <c r="U1007" s="37" t="s">
        <v>15</v>
      </c>
      <c r="V1007" s="42">
        <f>_xll.ciqfunctions.udf.CIQ(A1008,("IQ_LASTSALEPRICE"))</f>
        <v>74.650000000000006</v>
      </c>
      <c r="W1007" s="44"/>
      <c r="Y1007" s="37" t="s">
        <v>15</v>
      </c>
      <c r="Z1007" s="42">
        <f>_xll.ciqfunctions.udf.CIQ(A1008,("IQ_LASTSALEPRICE"))</f>
        <v>74.650000000000006</v>
      </c>
      <c r="AA1007" s="44"/>
    </row>
    <row r="1008" spans="1:27">
      <c r="A1008" s="12" t="str">
        <f>Analysis!B69</f>
        <v>NYSE:DELL</v>
      </c>
      <c r="B1008" s="13">
        <v>1</v>
      </c>
      <c r="C1008" s="14" t="s">
        <v>16</v>
      </c>
      <c r="D1008" s="15">
        <f>IF(A1016=A1017,_xll.ciqfunctions.udf.CIQ(A1008,"IQ_TOTAL_REV",IQ_FY-10)/I1008,_xll.ciqfunctions.udf.CIQ(A1008, "IQ_TOTAL_REV",IQ_FY-9)/I1008)</f>
        <v>140.24129353233832</v>
      </c>
      <c r="E1008" s="16"/>
      <c r="F1008" s="15">
        <f>IF(A1016=A1017,_xll.ciqfunctions.udf.CIQ(A1008,"IQ_DILUT_EPS_EXCL",IQ_FY-10), _xll.ciqfunctions.udf.CIQ(A1008, "IQ_DILUT_EPS_EXCL",IQ_FY-9))</f>
        <v>-1.21736</v>
      </c>
      <c r="G1008" s="15">
        <f>IF(A1016=A1017,_xll.ciqfunctions.udf.CIQ(A1008,"IQ_EBITDA_MARGIN",IQ_FY-10), _xll.ciqfunctions.udf.CIQ(A1008, "IQ_EBITDA_MARGIN",IQ_FY-9))</f>
        <v>1.9653</v>
      </c>
      <c r="H1008" s="15">
        <f>IF(A1016=A1017,_xll.ciqfunctions.udf.CIQ(A1008,"IQ_TOTAL_DIV_PAID_CF",IQ_FY-10)/-I1008, _xll.ciqfunctions.udf.CIQ(A1008, "IQ_TOTAL_DIV_PAID_CF",IQ_FY-9)/-I1008)</f>
        <v>1.6243781094527363</v>
      </c>
      <c r="I1008" s="17">
        <f>IF(A1016=A1017,_xll.ciqfunctions.udf.CIQ(A1008,"IQ_TOTAL_OUTSTANDING_FILING_DATE",IQ_FY-10), _xll.ciqfunctions.udf.CIQ(A1008, "IQ_TOTAL_OUTSTANDING_FILING_DATE",IQ_FY-9))</f>
        <v>402</v>
      </c>
      <c r="J1008" s="17">
        <f>IF(A1016=A1017,_xll.ciqfunctions.udf.CIQ(A1008,"IQ_CASH_OPER",IQ_FY-10), _xll.ciqfunctions.udf.CIQ(A1008, "IQ_CASH_OPER",IQ_FY-9))</f>
        <v>2686</v>
      </c>
      <c r="K1008" s="17">
        <f>IF(A1016=A1017,_xll.ciqfunctions.udf.CIQ(A1008,"IQ_CAPEX",IQ_FY-10), _xll.ciqfunctions.udf.CIQ(A1008, "IQ_CAPEX",IQ_FY-9))</f>
        <v>-532</v>
      </c>
      <c r="L1008" s="15">
        <f t="shared" ref="L1008:L1018" si="268">(J1008+K1008)/I1008</f>
        <v>5.3582089552238807</v>
      </c>
      <c r="M1008" s="17">
        <f>IF(A1016=A1017,_xll.ciqfunctions.udf.CIQ(A1008,"IQ_TOTAL_DEBT_ISSUED",IQ_FY-10), _xll.ciqfunctions.udf.CIQ(A1008, "IQ_TOTAL_DEBT_ISSUED",IQ_FY-9))</f>
        <v>15201</v>
      </c>
      <c r="N1008" s="17">
        <f>IF(A1016=A1017,_xll.ciqfunctions.udf.CIQ(A1008,"IQ_TOTAL_DEBT_REPAID",IQ_FY-10), _xll.ciqfunctions.udf.CIQ(A1008, "IQ_TOTAL_DEBT_REPAID",IQ_FY-9))</f>
        <v>-6733</v>
      </c>
      <c r="O1008" s="15">
        <f t="shared" ref="O1008:O1018" si="269">(M1008+N1008)/I1008</f>
        <v>21.064676616915424</v>
      </c>
      <c r="P1008" s="15">
        <f t="shared" ref="P1008:P1018" si="270">L1008+O1008</f>
        <v>26.422885572139304</v>
      </c>
      <c r="W1008" s="43"/>
      <c r="AA1008" s="43"/>
    </row>
    <row r="1009" spans="1:27">
      <c r="A1009" s="18" t="str">
        <f>_xll.ciqfunctions.udf.CIQ(A1008,"IQ_COMPANY_NAME")</f>
        <v>Dell Technologies Inc.</v>
      </c>
      <c r="B1009" s="13">
        <v>2</v>
      </c>
      <c r="C1009" s="14" t="s">
        <v>17</v>
      </c>
      <c r="D1009" s="15">
        <f>IF(A1016=A1017,_xll.ciqfunctions.udf.CIQ(A1008,"IQ_TOTAL_REV",IQ_FY-9)/I1009, _xll.ciqfunctions.udf.CIQ(A1008, "IQ_TOTAL_REV",IQ_FY-8)/I1009)</f>
        <v>133.68395061728395</v>
      </c>
      <c r="E1009" s="16">
        <f t="shared" ref="E1009:E1018" si="271">(D1009-D1008)/D1008</f>
        <v>-4.6757575817298787E-2</v>
      </c>
      <c r="F1009" s="15">
        <f>IF(A1016=A1017,_xll.ciqfunctions.udf.CIQ(A1008,"IQ_DILUT_EPS_EXCL",IQ_FY-9), _xll.ciqfunctions.udf.CIQ(A1008, "IQ_DILUT_EPS_EXCL",IQ_FY-8))</f>
        <v>-2.7425700000000002</v>
      </c>
      <c r="G1009" s="15">
        <f>IF(A1016=A1017,_xll.ciqfunctions.udf.CIQ(A1008,"IQ_EBITDA_MARGIN",IQ_FY-9), _xll.ciqfunctions.udf.CIQ(A1008, "IQ_EBITDA_MARGIN",IQ_FY-8))</f>
        <v>5.0072000000000001</v>
      </c>
      <c r="H1009" s="15">
        <f>IF(A1016=A1017,_xll.ciqfunctions.udf.CIQ(A1008,"IQ_TOTAL_DIV_PAID_CF",IQ_FY-9)/-I1009, _xll.ciqfunctions.udf.CIQ(A1008, "IQ_TOTAL_DIV_PAID_CF",IQ_FY-8)/-I1009)</f>
        <v>0</v>
      </c>
      <c r="I1009" s="17">
        <f>IF(A1016=A1017,_xll.ciqfunctions.udf.CIQ(A1008,"IQ_TOTAL_OUTSTANDING_FILING_DATE",IQ_FY-9), _xll.ciqfunctions.udf.CIQ(A1008, "IQ_TOTAL_OUTSTANDING_FILING_DATE",IQ_FY-8))</f>
        <v>405</v>
      </c>
      <c r="J1009" s="17">
        <f>IF(A1016=A1017,_xll.ciqfunctions.udf.CIQ(A1008,"IQ_CASH_OPER",IQ_FY-9), _xll.ciqfunctions.udf.CIQ(A1008, "IQ_CASH_OPER",IQ_FY-8))</f>
        <v>2551</v>
      </c>
      <c r="K1009" s="17">
        <f>IF(A1016=A1017,_xll.ciqfunctions.udf.CIQ(A1008,"IQ_CAPEX",IQ_FY-9), _xll.ciqfunctions.udf.CIQ(A1008, "IQ_CAPEX",IQ_FY-8))</f>
        <v>-478</v>
      </c>
      <c r="L1009" s="15">
        <f t="shared" si="268"/>
        <v>5.1185185185185187</v>
      </c>
      <c r="M1009" s="17">
        <f>IF(A1016=A1017,_xll.ciqfunctions.udf.CIQ(A1008,"IQ_TOTAL_DEBT_ISSUED",IQ_FY-9), _xll.ciqfunctions.udf.CIQ(A1008, "IQ_TOTAL_DEBT_ISSUED",IQ_FY-8))</f>
        <v>2936</v>
      </c>
      <c r="N1009" s="17">
        <f>IF(A1016=A1017,_xll.ciqfunctions.udf.CIQ(A1008,"IQ_TOTAL_DEBT_REPAID",IQ_FY-9), _xll.ciqfunctions.udf.CIQ(A1008, "IQ_TOTAL_DEBT_REPAID",IQ_FY-8))</f>
        <v>-6053</v>
      </c>
      <c r="O1009" s="15">
        <f t="shared" si="269"/>
        <v>-7.6962962962962962</v>
      </c>
      <c r="P1009" s="15">
        <f t="shared" si="270"/>
        <v>-2.5777777777777775</v>
      </c>
      <c r="Q1009" s="25" t="s">
        <v>18</v>
      </c>
      <c r="R1009" s="39" t="s">
        <v>19</v>
      </c>
      <c r="S1009" s="1">
        <f>R1007/((AVERAGE(P1013:P1018))*(1+E1019)^3)</f>
        <v>12.14769747976101</v>
      </c>
      <c r="U1009" s="25" t="s">
        <v>48</v>
      </c>
      <c r="V1009" s="39" t="s">
        <v>19</v>
      </c>
      <c r="W1009" s="1">
        <f>V1007/((AVERAGE(P1013:P1018))*(1+E1019)^3)</f>
        <v>12.14769747976101</v>
      </c>
      <c r="Y1009" s="25" t="s">
        <v>39</v>
      </c>
      <c r="Z1009" s="39" t="s">
        <v>19</v>
      </c>
      <c r="AA1009" s="1">
        <f>Z1007/((AVERAGE(P1013:P1018))*(1+E1019)^3)</f>
        <v>12.14769747976101</v>
      </c>
    </row>
    <row r="1010" spans="1:27">
      <c r="B1010" s="13">
        <v>3</v>
      </c>
      <c r="C1010" s="14" t="s">
        <v>20</v>
      </c>
      <c r="D1010" s="15" cm="1">
        <f t="array" ref="D1010">_xlfn.SINGLE(IF(A1016=A1017,_xll.ciqfunctions.udf.CIQ(A1008,"IQ_TOTAL_REV",IQ_FY-8)/I1010, _xll.ciqfunctions.udf.CIQ(A1008, "IQ_TOTAL_REV",IQ_FY-7)/I1010))</f>
        <v>125.7098386004787</v>
      </c>
      <c r="E1010" s="16">
        <f t="shared" si="271"/>
        <v>-5.9648985386689196E-2</v>
      </c>
      <c r="F1010" s="15">
        <f>IF(A1016=A1017,_xll.ciqfunctions.udf.CIQ(A1008,"IQ_DILUT_EPS_EXCL",IQ_FY-8), _xll.ciqfunctions.udf.CIQ(A1008, "IQ_DILUT_EPS_EXCL",IQ_FY-7))</f>
        <v>-2.88395</v>
      </c>
      <c r="G1010" s="15">
        <f>IF(A1016=A1017,_xll.ciqfunctions.udf.CIQ(A1008,"IQ_EBITDA_MARGIN",IQ_FY-8), _xll.ciqfunctions.udf.CIQ(A1008, "IQ_EBITDA_MARGIN",IQ_FY-7))</f>
        <v>4.6825999999999999</v>
      </c>
      <c r="H1010" s="15">
        <f>IF(A1016=A1017,_xll.ciqfunctions.udf.CIQ(A1008,"IQ_TOTAL_DIV_PAID_CF",IQ_FY-8)/-I1010, _xll.ciqfunctions.udf.CIQ(A1008, "IQ_TOTAL_DIV_PAID_CF",IQ_FY-7)/-I1010)</f>
        <v>0</v>
      </c>
      <c r="I1010" s="17">
        <f>IF(A1016=A1017,_xll.ciqfunctions.udf.CIQ(A1008,"IQ_TOTAL_OUTSTANDING_FILING_DATE",IQ_FY-8), _xll.ciqfunctions.udf.CIQ(A1008, "IQ_TOTAL_OUTSTANDING_FILING_DATE",IQ_FY-7))</f>
        <v>404.98818999999997</v>
      </c>
      <c r="J1010" s="17">
        <f>IF(A1016=A1017,_xll.ciqfunctions.udf.CIQ(A1008,"IQ_CASH_OPER",IQ_FY-8), _xll.ciqfunctions.udf.CIQ(A1008, "IQ_CASH_OPER",IQ_FY-7))</f>
        <v>2162</v>
      </c>
      <c r="K1010" s="17">
        <f>IF(A1016=A1017,_xll.ciqfunctions.udf.CIQ(A1008,"IQ_CAPEX",IQ_FY-8), _xll.ciqfunctions.udf.CIQ(A1008, "IQ_CAPEX",IQ_FY-7))</f>
        <v>-482</v>
      </c>
      <c r="L1010" s="15">
        <f t="shared" si="268"/>
        <v>4.1482691137240328</v>
      </c>
      <c r="M1010" s="17">
        <f>IF(A1016=A1017,_xll.ciqfunctions.udf.CIQ(A1008,"IQ_TOTAL_DEBT_ISSUED",IQ_FY-8), _xll.ciqfunctions.udf.CIQ(A1008, "IQ_TOTAL_DEBT_ISSUED",IQ_FY-7))</f>
        <v>5460</v>
      </c>
      <c r="N1010" s="17">
        <f>IF(A1016=A1017,_xll.ciqfunctions.udf.CIQ(A1008,"IQ_TOTAL_DEBT_REPAID",IQ_FY-8), _xll.ciqfunctions.udf.CIQ(A1008, "IQ_TOTAL_DEBT_REPAID",IQ_FY-7))</f>
        <v>-5950</v>
      </c>
      <c r="O1010" s="15">
        <f t="shared" si="269"/>
        <v>-1.2099118248361762</v>
      </c>
      <c r="P1010" s="15">
        <f t="shared" si="270"/>
        <v>2.9383572888878566</v>
      </c>
      <c r="Q1010" s="25" t="s">
        <v>21</v>
      </c>
      <c r="R1010" s="38" t="s">
        <v>49</v>
      </c>
      <c r="S1010" s="2">
        <f>(R1007*I1018)/1000</f>
        <v>54.003798676000002</v>
      </c>
      <c r="U1010" s="25" t="s">
        <v>59</v>
      </c>
      <c r="V1010" s="38" t="s">
        <v>49</v>
      </c>
      <c r="W1010" s="2">
        <f>(V1007*I1018)/1000</f>
        <v>54.003798676000002</v>
      </c>
      <c r="Y1010" s="25" t="s">
        <v>46</v>
      </c>
      <c r="Z1010" s="38" t="s">
        <v>49</v>
      </c>
      <c r="AA1010" s="2">
        <f>(Z1007*I1018)/1000</f>
        <v>54.003798676000002</v>
      </c>
    </row>
    <row r="1011" spans="1:27">
      <c r="A1011" s="18"/>
      <c r="B1011" s="13">
        <v>4</v>
      </c>
      <c r="C1011" s="14" t="s">
        <v>22</v>
      </c>
      <c r="D1011" s="15" cm="1">
        <f t="array" ref="D1011">_xlfn.SINGLE(IF(A1016=A1017,_xll.ciqfunctions.udf.CIQ(A1008,"IQ_TOTAL_REV",IQ_FY-7)/I1011, _xll.ciqfunctions.udf.CIQ(A1008, "IQ_TOTAL_REV",IQ_FY-6)/I1011))</f>
        <v>80.070879292608481</v>
      </c>
      <c r="E1011" s="16">
        <f t="shared" si="271"/>
        <v>-0.36305001912313672</v>
      </c>
      <c r="F1011" s="15">
        <f>IF(A1016=A1017,_xll.ciqfunctions.udf.CIQ(A1008,"IQ_DILUT_EPS_EXCL",IQ_FY-7), _xll.ciqfunctions.udf.CIQ(A1008, "IQ_DILUT_EPS_EXCL",IQ_FY-6))</f>
        <v>-4.49491</v>
      </c>
      <c r="G1011" s="15">
        <f>IF(A1016=A1017,_xll.ciqfunctions.udf.CIQ(A1008,"IQ_EBITDA_MARGIN",IQ_FY-7), _xll.ciqfunctions.udf.CIQ(A1008, "IQ_EBITDA_MARGIN",IQ_FY-6))</f>
        <v>4.1680000000000001</v>
      </c>
      <c r="H1011" s="15">
        <f>IF(A1016=A1017,_xll.ciqfunctions.udf.CIQ(A1008,"IQ_TOTAL_DIV_PAID_CF",IQ_FY-7)/-I1011, _xll.ciqfunctions.udf.CIQ(A1008, "IQ_TOTAL_DIV_PAID_CF",IQ_FY-6)/-I1011)</f>
        <v>0</v>
      </c>
      <c r="I1011" s="17">
        <f>IF(A1016=A1017,_xll.ciqfunctions.udf.CIQ(A1008,"IQ_TOTAL_OUTSTANDING_FILING_DATE",IQ_FY-7), _xll.ciqfunctions.udf.CIQ(A1008, "IQ_TOTAL_OUTSTANDING_FILING_DATE",IQ_FY-6))</f>
        <v>776.36215000000004</v>
      </c>
      <c r="J1011" s="17">
        <f>IF(A1016=A1017,_xll.ciqfunctions.udf.CIQ(A1008,"IQ_CASH_OPER",IQ_FY-7), _xll.ciqfunctions.udf.CIQ(A1008, "IQ_CASH_OPER",IQ_FY-6))</f>
        <v>2367</v>
      </c>
      <c r="K1011" s="17">
        <f>IF(A1016=A1017,_xll.ciqfunctions.udf.CIQ(A1008,"IQ_CAPEX",IQ_FY-7), _xll.ciqfunctions.udf.CIQ(A1008, "IQ_CAPEX",IQ_FY-6))</f>
        <v>-699</v>
      </c>
      <c r="L1011" s="15">
        <f t="shared" si="268"/>
        <v>2.1484818650677391</v>
      </c>
      <c r="M1011" s="17">
        <f>IF(A1016=A1017,_xll.ciqfunctions.udf.CIQ(A1008,"IQ_TOTAL_DEBT_ISSUED",IQ_FY-7), _xll.ciqfunctions.udf.CIQ(A1008, "IQ_TOTAL_DEBT_ISSUED",IQ_FY-6))</f>
        <v>46857</v>
      </c>
      <c r="N1011" s="17">
        <f>IF(A1016=A1017,_xll.ciqfunctions.udf.CIQ(A1008,"IQ_TOTAL_DEBT_REPAID",IQ_FY-7), _xll.ciqfunctions.udf.CIQ(A1008, "IQ_TOTAL_DEBT_REPAID",IQ_FY-6))</f>
        <v>-16960</v>
      </c>
      <c r="O1011" s="15">
        <f t="shared" si="269"/>
        <v>38.509090119862229</v>
      </c>
      <c r="P1011" s="15">
        <f t="shared" si="270"/>
        <v>40.657571984929966</v>
      </c>
      <c r="Q1011" s="25" t="s">
        <v>23</v>
      </c>
      <c r="R1011" s="38" t="s">
        <v>24</v>
      </c>
      <c r="S1011" s="1" t="e">
        <f>R1007/(AVERAGE(H1013:H1018)*(1+H1019)/(0.5-H1019))</f>
        <v>#DIV/0!</v>
      </c>
      <c r="U1011" s="25" t="s">
        <v>40</v>
      </c>
      <c r="V1011" s="38" t="s">
        <v>24</v>
      </c>
      <c r="W1011" s="1" t="e">
        <f>V1007/(AVERAGE(H1013:H1018)*(1+H1019)/(0.5-H1019))</f>
        <v>#DIV/0!</v>
      </c>
      <c r="Y1011" s="25" t="s">
        <v>47</v>
      </c>
      <c r="Z1011" s="38" t="s">
        <v>24</v>
      </c>
      <c r="AA1011" s="1" t="e">
        <f>Z1007/(AVERAGE(H1013:H1018)*(1+H1019)/(0.5-H1019))</f>
        <v>#DIV/0!</v>
      </c>
    </row>
    <row r="1012" spans="1:27">
      <c r="B1012" s="13">
        <v>5</v>
      </c>
      <c r="C1012" s="14" t="s">
        <v>25</v>
      </c>
      <c r="D1012" s="15" cm="1">
        <f t="array" ref="D1012">_xlfn.SINGLE(IF(A1016=A1017,_xll.ciqfunctions.udf.CIQ(A1008,"IQ_TOTAL_REV",IQ_FY-6)/I1012, _xll.ciqfunctions.udf.CIQ(A1008, "IQ_TOTAL_REV",IQ_FY-5)/I1012))</f>
        <v>102.791103586044</v>
      </c>
      <c r="E1012" s="16">
        <f t="shared" si="271"/>
        <v>0.28375140243442881</v>
      </c>
      <c r="F1012" s="15">
        <f>IF(A1016=A1017,_xll.ciqfunctions.udf.CIQ(A1008,"IQ_DILUT_EPS_EXCL",IQ_FY-6), _xll.ciqfunctions.udf.CIQ(A1008, "IQ_DILUT_EPS_EXCL",IQ_FY-5))</f>
        <v>-3.7116899999999999</v>
      </c>
      <c r="G1012" s="15">
        <f>IF(A1016=A1017,_xll.ciqfunctions.udf.CIQ(A1008,"IQ_EBITDA_MARGIN",IQ_FY-6), _xll.ciqfunctions.udf.CIQ(A1008, "IQ_EBITDA_MARGIN",IQ_FY-5))</f>
        <v>7.7934999999999999</v>
      </c>
      <c r="H1012" s="15">
        <f>IF(A1016=A1017,_xll.ciqfunctions.udf.CIQ(A1008,"IQ_TOTAL_DIV_PAID_CF",IQ_FY-6)/-I1012, _xll.ciqfunctions.udf.CIQ(A1008, "IQ_TOTAL_DIV_PAID_CF",IQ_FY-5)/-I1012)</f>
        <v>0</v>
      </c>
      <c r="I1012" s="17">
        <f>IF(A1016=A1017,_xll.ciqfunctions.udf.CIQ(A1008,"IQ_TOTAL_OUTSTANDING_FILING_DATE",IQ_FY-6), _xll.ciqfunctions.udf.CIQ(A1008, "IQ_TOTAL_OUTSTANDING_FILING_DATE",IQ_FY-5))</f>
        <v>768.93813999999998</v>
      </c>
      <c r="J1012" s="17">
        <f>IF(A1016=A1017,_xll.ciqfunctions.udf.CIQ(A1008,"IQ_CASH_OPER",IQ_FY-6), _xll.ciqfunctions.udf.CIQ(A1008, "IQ_CASH_OPER",IQ_FY-5))</f>
        <v>6843</v>
      </c>
      <c r="K1012" s="17">
        <f>IF(A1016=A1017,_xll.ciqfunctions.udf.CIQ(A1008,"IQ_CAPEX",IQ_FY-6), _xll.ciqfunctions.udf.CIQ(A1008, "IQ_CAPEX",IQ_FY-5))</f>
        <v>-1367</v>
      </c>
      <c r="L1012" s="15">
        <f t="shared" si="268"/>
        <v>7.1215091502679266</v>
      </c>
      <c r="M1012" s="17">
        <f>IF(A1016=A1017,_xll.ciqfunctions.udf.CIQ(A1008,"IQ_TOTAL_DEBT_ISSUED",IQ_FY-6), _xll.ciqfunctions.udf.CIQ(A1008, "IQ_TOTAL_DEBT_ISSUED",IQ_FY-5))</f>
        <v>14415</v>
      </c>
      <c r="N1012" s="17">
        <f>IF(A1016=A1017,_xll.ciqfunctions.udf.CIQ(A1008,"IQ_TOTAL_DEBT_REPAID",IQ_FY-6), _xll.ciqfunctions.udf.CIQ(A1008, "IQ_TOTAL_DEBT_REPAID",IQ_FY-5))</f>
        <v>-12258</v>
      </c>
      <c r="O1012" s="15">
        <f t="shared" si="269"/>
        <v>2.80516713607157</v>
      </c>
      <c r="P1012" s="15">
        <f t="shared" si="270"/>
        <v>9.9266762863394966</v>
      </c>
      <c r="Q1012" s="18"/>
      <c r="R1012" s="38" t="s">
        <v>50</v>
      </c>
      <c r="S1012" s="3">
        <f>I1019</f>
        <v>1.3594860525325547E-3</v>
      </c>
      <c r="U1012" s="18"/>
      <c r="V1012" s="38" t="s">
        <v>50</v>
      </c>
      <c r="W1012" s="3">
        <f>I1019</f>
        <v>1.3594860525325547E-3</v>
      </c>
      <c r="Y1012" s="18"/>
      <c r="Z1012" s="38" t="s">
        <v>50</v>
      </c>
      <c r="AA1012" s="3">
        <f>I1019</f>
        <v>1.3594860525325547E-3</v>
      </c>
    </row>
    <row r="1013" spans="1:27">
      <c r="B1013" s="13">
        <v>6</v>
      </c>
      <c r="C1013" s="14" t="s">
        <v>26</v>
      </c>
      <c r="D1013" s="15" cm="1">
        <f t="array" ref="D1013">_xlfn.SINGLE(IF(A1016=A1017,_xll.ciqfunctions.udf.CIQ(A1008,"IQ_TOTAL_REV",IQ_FY-5)/I1013, _xll.ciqfunctions.udf.CIQ(A1008, "IQ_TOTAL_REV",IQ_FY-4)/I1013))</f>
        <v>126.12013716519994</v>
      </c>
      <c r="E1013" s="16">
        <f t="shared" si="271"/>
        <v>0.22695576528787581</v>
      </c>
      <c r="F1013" s="15">
        <f>IF(A1016=A1017,_xll.ciqfunctions.udf.CIQ(A1008,"IQ_DILUT_EPS_EXCL",IQ_FY-5), _xll.ciqfunctions.udf.CIQ(A1008, "IQ_DILUT_EPS_EXCL",IQ_FY-4))</f>
        <v>-2.9974400000000001</v>
      </c>
      <c r="G1013" s="15">
        <f>IF(A1016=A1017,_xll.ciqfunctions.udf.CIQ(A1008,"IQ_EBITDA_MARGIN",IQ_FY-5), _xll.ciqfunctions.udf.CIQ(A1008, "IQ_EBITDA_MARGIN",IQ_FY-4))</f>
        <v>8.5487000000000002</v>
      </c>
      <c r="H1013" s="15">
        <f>IF(A1016=A1017,_xll.ciqfunctions.udf.CIQ(A1008,"IQ_TOTAL_DIV_PAID_CF",IQ_FY-5)/-I1013, _xll.ciqfunctions.udf.CIQ(A1008, "IQ_TOTAL_DIV_PAID_CF",IQ_FY-4)/-I1013)</f>
        <v>0</v>
      </c>
      <c r="I1013" s="17">
        <f>IF(A1016=A1017,_xll.ciqfunctions.udf.CIQ(A1008,"IQ_TOTAL_OUTSTANDING_FILING_DATE",IQ_FY-5), _xll.ciqfunctions.udf.CIQ(A1008, "IQ_TOTAL_OUTSTANDING_FILING_DATE",IQ_FY-4))</f>
        <v>718.52918999999997</v>
      </c>
      <c r="J1013" s="17">
        <f>IF(A1016=A1017,_xll.ciqfunctions.udf.CIQ(A1008,"IQ_CASH_OPER",IQ_FY-5), _xll.ciqfunctions.udf.CIQ(A1008, "IQ_CASH_OPER",IQ_FY-4))</f>
        <v>6991</v>
      </c>
      <c r="K1013" s="17">
        <f>IF(A1016=A1017,_xll.ciqfunctions.udf.CIQ(A1008,"IQ_CAPEX",IQ_FY-5), _xll.ciqfunctions.udf.CIQ(A1008, "IQ_CAPEX",IQ_FY-4))</f>
        <v>-1497</v>
      </c>
      <c r="L1013" s="15">
        <f t="shared" si="268"/>
        <v>7.6461750983282952</v>
      </c>
      <c r="M1013" s="17">
        <f>IF(A1016=A1017,_xll.ciqfunctions.udf.CIQ(A1008,"IQ_TOTAL_DEBT_ISSUED",IQ_FY-5), _xll.ciqfunctions.udf.CIQ(A1008, "IQ_TOTAL_DEBT_ISSUED",IQ_FY-4))</f>
        <v>13045</v>
      </c>
      <c r="N1013" s="17">
        <f>IF(A1016=A1017,_xll.ciqfunctions.udf.CIQ(A1008,"IQ_TOTAL_DEBT_REPAID",IQ_FY-5), _xll.ciqfunctions.udf.CIQ(A1008, "IQ_TOTAL_DEBT_REPAID",IQ_FY-4))</f>
        <v>-11451</v>
      </c>
      <c r="O1013" s="15">
        <f t="shared" si="269"/>
        <v>2.2184206601265566</v>
      </c>
      <c r="P1013" s="15">
        <f t="shared" si="270"/>
        <v>9.8645957584548523</v>
      </c>
      <c r="Q1013" s="25" t="s">
        <v>27</v>
      </c>
      <c r="R1013" s="38" t="s">
        <v>51</v>
      </c>
      <c r="S1013" s="4">
        <f>AVERAGE(F1013:F1018)/AVERAGE(D1013:D1018)</f>
        <v>1.6612808102259305E-2</v>
      </c>
      <c r="U1013" s="25" t="s">
        <v>58</v>
      </c>
      <c r="V1013" s="38" t="s">
        <v>51</v>
      </c>
      <c r="W1013" s="4">
        <f>AVERAGE(F1013:F1018)/AVERAGE(D1013:D1018)</f>
        <v>1.6612808102259305E-2</v>
      </c>
      <c r="Y1013" s="25" t="s">
        <v>56</v>
      </c>
      <c r="Z1013" s="38" t="s">
        <v>51</v>
      </c>
      <c r="AA1013" s="4">
        <f>AVERAGE(F1013:F1018)/AVERAGE(D1013:D1018)</f>
        <v>1.6612808102259305E-2</v>
      </c>
    </row>
    <row r="1014" spans="1:27">
      <c r="A1014" s="18"/>
      <c r="B1014" s="13">
        <v>7</v>
      </c>
      <c r="C1014" s="14" t="s">
        <v>28</v>
      </c>
      <c r="D1014" s="15" cm="1">
        <f t="array" ref="D1014">_xlfn.SINGLE(IF(A1016=A1017,_xll.ciqfunctions.udf.CIQ(A1008,"IQ_TOTAL_REV",IQ_FY-4)/I1014, _xll.ciqfunctions.udf.CIQ(A1008, "IQ_TOTAL_REV",IQ_FY-3)/I1014))</f>
        <v>114.69644193421462</v>
      </c>
      <c r="E1014" s="16">
        <f t="shared" si="271"/>
        <v>-9.0577884608719197E-2</v>
      </c>
      <c r="F1014" s="15">
        <f>IF(A1016=A1017,_xll.ciqfunctions.udf.CIQ(A1008,"IQ_DILUT_EPS_EXCL",IQ_FY-4), _xll.ciqfunctions.udf.CIQ(A1008, "IQ_DILUT_EPS_EXCL",IQ_FY-3))</f>
        <v>0.58721999999999996</v>
      </c>
      <c r="G1014" s="15">
        <f>IF(A1016=A1017,_xll.ciqfunctions.udf.CIQ(A1008,"IQ_EBITDA_MARGIN",IQ_FY-4), _xll.ciqfunctions.udf.CIQ(A1008, "IQ_EBITDA_MARGIN",IQ_FY-3))</f>
        <v>10.440300000000001</v>
      </c>
      <c r="H1014" s="15">
        <f>IF(A1016=A1017,_xll.ciqfunctions.udf.CIQ(A1008,"IQ_TOTAL_DIV_PAID_CF",IQ_FY-4)/-I1014, _xll.ciqfunctions.udf.CIQ(A1008, "IQ_TOTAL_DIV_PAID_CF",IQ_FY-3)/-I1014)</f>
        <v>0</v>
      </c>
      <c r="I1014" s="17">
        <f>IF(A1016=A1017,_xll.ciqfunctions.udf.CIQ(A1008,"IQ_TOTAL_OUTSTANDING_FILING_DATE",IQ_FY-4), _xll.ciqfunctions.udf.CIQ(A1008, "IQ_TOTAL_OUTSTANDING_FILING_DATE",IQ_FY-3))</f>
        <v>739.47367999999994</v>
      </c>
      <c r="J1014" s="17">
        <f>IF(A1016=A1017,_xll.ciqfunctions.udf.CIQ(A1008,"IQ_CASH_OPER",IQ_FY-4), _xll.ciqfunctions.udf.CIQ(A1008, "IQ_CASH_OPER",IQ_FY-3))</f>
        <v>9291</v>
      </c>
      <c r="K1014" s="17">
        <f>IF(A1016=A1017,_xll.ciqfunctions.udf.CIQ(A1008,"IQ_CAPEX",IQ_FY-4), _xll.ciqfunctions.udf.CIQ(A1008, "IQ_CAPEX",IQ_FY-3))</f>
        <v>-2576</v>
      </c>
      <c r="L1014" s="15">
        <f t="shared" si="268"/>
        <v>9.080782969854992</v>
      </c>
      <c r="M1014" s="17">
        <f>IF(A1016=A1017,_xll.ciqfunctions.udf.CIQ(A1008,"IQ_TOTAL_DEBT_ISSUED",IQ_FY-4), _xll.ciqfunctions.udf.CIQ(A1008, "IQ_TOTAL_DEBT_ISSUED",IQ_FY-3))</f>
        <v>20481</v>
      </c>
      <c r="N1014" s="17">
        <f>IF(A1016=A1017,_xll.ciqfunctions.udf.CIQ(A1008,"IQ_TOTAL_DEBT_REPAID",IQ_FY-4), _xll.ciqfunctions.udf.CIQ(A1008, "IQ_TOTAL_DEBT_REPAID",IQ_FY-3))</f>
        <v>-22117</v>
      </c>
      <c r="O1014" s="15">
        <f t="shared" si="269"/>
        <v>-2.2123843542342172</v>
      </c>
      <c r="P1014" s="15">
        <f t="shared" si="270"/>
        <v>6.8683986156207748</v>
      </c>
      <c r="Q1014" s="18"/>
      <c r="R1014" s="38" t="s">
        <v>29</v>
      </c>
      <c r="S1014" s="4">
        <f>(AVERAGE(P1013:P1018)/_xlfn.STDEV.P(P1013:P1018))/(IF(A1016=A1017,(_xlfn.SINGLE(_xll.ciqfunctions.udf.CIQ(A1008,"IQ_total_assets",IQ_FY)) - _xlfn.SINGLE(_xll.ciqfunctions.udf.CIQ(A1008,"iq_gw_intan", IQ_FY)))/I1018, (_xlfn.SINGLE(_xll.ciqfunctions.udf.CIQ(A1008, "IQ_total_assets",IQ_LTM))-_xlfn.SINGLE(_xll.ciqfunctions.udf.CIQ(A1008,"iq_gw_intan",IQ_LTM)))/I1018))</f>
        <v>2.8494557351204486E-2</v>
      </c>
      <c r="U1014" s="18"/>
      <c r="V1014" s="38" t="s">
        <v>29</v>
      </c>
      <c r="W1014" s="4">
        <f>(AVERAGE(P1013:P1018)/_xlfn.STDEV.P(P1013:P1018))/(IF(A1016=A1017,(_xlfn.SINGLE(_xll.ciqfunctions.udf.CIQ(A1008,"IQ_total_assets",IQ_FY)) - _xlfn.SINGLE(_xll.ciqfunctions.udf.CIQ(A1008,"iq_gw_intan", IQ_FY)))/I1018, (_xlfn.SINGLE(_xll.ciqfunctions.udf.CIQ(A1008, "IQ_total_assets",IQ_LTM))-_xlfn.SINGLE(_xll.ciqfunctions.udf.CIQ(A1008,"iq_gw_intan",IQ_LTM)))/I1018))</f>
        <v>2.8494557351204486E-2</v>
      </c>
      <c r="Y1014" s="18"/>
      <c r="Z1014" s="38" t="s">
        <v>29</v>
      </c>
      <c r="AA1014" s="4">
        <f>(AVERAGE(P1013:P1018)/_xlfn.STDEV.P(P1013:P1018))/(IF(A1016=A1017,(_xlfn.SINGLE(_xll.ciqfunctions.udf.CIQ(A1008,"IQ_total_assets",IQ_FY)) - _xlfn.SINGLE(_xll.ciqfunctions.udf.CIQ(A1008,"iq_gw_intan", IQ_FY)))/I1018, (_xlfn.SINGLE(_xll.ciqfunctions.udf.CIQ(A1008, "IQ_total_assets",IQ_LTM))-_xlfn.SINGLE(_xll.ciqfunctions.udf.CIQ(A1008,"iq_gw_intan",IQ_LTM)))/I1018))</f>
        <v>2.8494557351204486E-2</v>
      </c>
    </row>
    <row r="1015" spans="1:27">
      <c r="A1015" s="18"/>
      <c r="B1015" s="13">
        <v>8</v>
      </c>
      <c r="C1015" s="14" t="s">
        <v>30</v>
      </c>
      <c r="D1015" s="15" cm="1">
        <f t="array" ref="D1015">_xlfn.SINGLE(IF(A1016=A1017,_xll.ciqfunctions.udf.CIQ(A1008,"IQ_TOTAL_REV",IQ_FY-3)/I1015, _xll.ciqfunctions.udf.CIQ(A1008, "IQ_TOTAL_REV",IQ_FY-2)/I1015))</f>
        <v>113.6406264859443</v>
      </c>
      <c r="E1015" s="16">
        <f t="shared" si="271"/>
        <v>-9.2053025400377925E-3</v>
      </c>
      <c r="F1015" s="15">
        <f>IF(A1016=A1017,_xll.ciqfunctions.udf.CIQ(A1008,"IQ_DILUT_EPS_EXCL",IQ_FY-3), _xll.ciqfunctions.udf.CIQ(A1008, "IQ_DILUT_EPS_EXCL",IQ_FY-2))</f>
        <v>2.9152499999999999</v>
      </c>
      <c r="G1015" s="15">
        <f>IF(A1016=A1017,_xll.ciqfunctions.udf.CIQ(A1008,"IQ_EBITDA_MARGIN",IQ_FY-3), _xll.ciqfunctions.udf.CIQ(A1008, "IQ_EBITDA_MARGIN",IQ_FY-2))</f>
        <v>10.1073</v>
      </c>
      <c r="H1015" s="15">
        <f>IF(A1016=A1017,_xll.ciqfunctions.udf.CIQ(A1008,"IQ_TOTAL_DIV_PAID_CF",IQ_FY-3)/-I1015, _xll.ciqfunctions.udf.CIQ(A1008, "IQ_TOTAL_DIV_PAID_CF",IQ_FY-2)/-I1015)</f>
        <v>0</v>
      </c>
      <c r="I1015" s="17">
        <f>IF(A1016=A1017,_xll.ciqfunctions.udf.CIQ(A1008,"IQ_TOTAL_OUTSTANDING_FILING_DATE",IQ_FY-3), _xll.ciqfunctions.udf.CIQ(A1008, "IQ_TOTAL_OUTSTANDING_FILING_DATE",IQ_FY-2))</f>
        <v>762.66738999999995</v>
      </c>
      <c r="J1015" s="17">
        <f>IF(A1016=A1017,_xll.ciqfunctions.udf.CIQ(A1008,"IQ_CASH_OPER",IQ_FY-3), _xll.ciqfunctions.udf.CIQ(A1008, "IQ_CASH_OPER",IQ_FY-2))</f>
        <v>11407</v>
      </c>
      <c r="K1015" s="17">
        <f>IF(A1016=A1017,_xll.ciqfunctions.udf.CIQ(A1008,"IQ_CAPEX",IQ_FY-3), _xll.ciqfunctions.udf.CIQ(A1008, "IQ_CAPEX",IQ_FY-2))</f>
        <v>-2082</v>
      </c>
      <c r="L1015" s="15">
        <f t="shared" si="268"/>
        <v>12.22682406809081</v>
      </c>
      <c r="M1015" s="17">
        <f>IF(A1016=A1017,_xll.ciqfunctions.udf.CIQ(A1008,"IQ_TOTAL_DEBT_ISSUED",IQ_FY-3), _xll.ciqfunctions.udf.CIQ(A1008, "IQ_TOTAL_DEBT_ISSUED",IQ_FY-2))</f>
        <v>16391</v>
      </c>
      <c r="N1015" s="17">
        <f>IF(A1016=A1017,_xll.ciqfunctions.udf.CIQ(A1008,"IQ_TOTAL_DEBT_REPAID",IQ_FY-3), _xll.ciqfunctions.udf.CIQ(A1008, "IQ_TOTAL_DEBT_REPAID",IQ_FY-2))</f>
        <v>-20919</v>
      </c>
      <c r="O1015" s="15">
        <f t="shared" si="269"/>
        <v>-5.9370573062000203</v>
      </c>
      <c r="P1015" s="15">
        <f t="shared" si="270"/>
        <v>6.2897667618907898</v>
      </c>
      <c r="Q1015" s="18"/>
      <c r="R1015" s="39" t="s">
        <v>31</v>
      </c>
      <c r="S1015" s="5">
        <f>IF(NOT(D1008&gt;0),FALSE,SLOPE(G1008:G1018,B1008:B1018))</f>
        <v>0.67794818181818184</v>
      </c>
      <c r="U1015" s="18"/>
      <c r="V1015" s="39" t="s">
        <v>31</v>
      </c>
      <c r="W1015" s="5">
        <f>IF(NOT(D1008&gt;0),FALSE,SLOPE(G1008:G1018,B1008:B1018))</f>
        <v>0.67794818181818184</v>
      </c>
      <c r="Y1015" s="18"/>
      <c r="Z1015" s="39" t="s">
        <v>31</v>
      </c>
      <c r="AA1015" s="5">
        <f>IF(NOT(L1008&gt;0),FALSE,SLOPE(O1008:O1018,J1008:J1018))</f>
        <v>-2.1316782829926659E-3</v>
      </c>
    </row>
    <row r="1016" spans="1:27">
      <c r="A1016" s="19">
        <f>_xll.ciqfunctions.udf.CIQ(A1008,"IQ_TOTAL_REV",IQ_FY)</f>
        <v>102301</v>
      </c>
      <c r="B1016" s="13">
        <v>9</v>
      </c>
      <c r="C1016" s="14" t="s">
        <v>32</v>
      </c>
      <c r="D1016" s="15" cm="1">
        <f t="array" ref="D1016">_xlfn.SINGLE(IF(A1016=A1017,_xll.ciqfunctions.udf.CIQ(A1008,"IQ_TOTAL_REV",IQ_FY-2)/I1016, _xll.ciqfunctions.udf.CIQ(A1008, "IQ_TOTAL_REV",IQ_FY-1)/I1016))</f>
        <v>133.08419198963279</v>
      </c>
      <c r="E1016" s="16">
        <f t="shared" si="271"/>
        <v>0.17109695805921465</v>
      </c>
      <c r="F1016" s="15">
        <f>IF(A1016=A1017,_xll.ciqfunctions.udf.CIQ(A1008,"IQ_DILUT_EPS_EXCL",IQ_FY-2), _xll.ciqfunctions.udf.CIQ(A1008, "IQ_DILUT_EPS_EXCL",IQ_FY-1))</f>
        <v>6.2465200000000003</v>
      </c>
      <c r="G1016" s="15">
        <f>IF(A1016=A1017,_xll.ciqfunctions.udf.CIQ(A1008,"IQ_EBITDA_MARGIN",IQ_FY-2), _xll.ciqfunctions.udf.CIQ(A1008, "IQ_EBITDA_MARGIN",IQ_FY-1))</f>
        <v>8.8411000000000008</v>
      </c>
      <c r="H1016" s="15">
        <f>IF(A1016=A1017,_xll.ciqfunctions.udf.CIQ(A1008,"IQ_TOTAL_DIV_PAID_CF",IQ_FY-2)/-I1016, _xll.ciqfunctions.udf.CIQ(A1008, "IQ_TOTAL_DIV_PAID_CF",IQ_FY-1)/-I1016)</f>
        <v>0</v>
      </c>
      <c r="I1016" s="17">
        <f>IF(A1016=A1017,_xll.ciqfunctions.udf.CIQ(A1008,"IQ_TOTAL_OUTSTANDING_FILING_DATE",IQ_FY-2), _xll.ciqfunctions.udf.CIQ(A1008, "IQ_TOTAL_OUTSTANDING_FILING_DATE",IQ_FY-1))</f>
        <v>760.39835000000005</v>
      </c>
      <c r="J1016" s="17">
        <f>IF(A1016=A1017,_xll.ciqfunctions.udf.CIQ(A1008,"IQ_CASH_OPER",IQ_FY-2), _xll.ciqfunctions.udf.CIQ(A1008, "IQ_CASH_OPER",IQ_FY-1))</f>
        <v>10307</v>
      </c>
      <c r="K1016" s="17">
        <f>IF(A1016=A1017,_xll.ciqfunctions.udf.CIQ(A1008,"IQ_CAPEX",IQ_FY-2), _xll.ciqfunctions.udf.CIQ(A1008, "IQ_CAPEX",IQ_FY-1))</f>
        <v>-2796</v>
      </c>
      <c r="L1016" s="15">
        <f t="shared" si="268"/>
        <v>9.8777173832636525</v>
      </c>
      <c r="M1016" s="17">
        <f>IF(A1016=A1017,_xll.ciqfunctions.udf.CIQ(A1008,"IQ_TOTAL_DEBT_ISSUED",IQ_FY-2), _xll.ciqfunctions.udf.CIQ(A1008, "IQ_TOTAL_DEBT_ISSUED",IQ_FY-1))</f>
        <v>20425</v>
      </c>
      <c r="N1016" s="17">
        <f>IF(A1016=A1017,_xll.ciqfunctions.udf.CIQ(A1008,"IQ_TOTAL_DEBT_REPAID",IQ_FY-2), _xll.ciqfunctions.udf.CIQ(A1008, "IQ_TOTAL_DEBT_REPAID",IQ_FY-1))</f>
        <v>-26723</v>
      </c>
      <c r="O1016" s="15">
        <f t="shared" si="269"/>
        <v>-8.2825008760211016</v>
      </c>
      <c r="P1016" s="15">
        <f t="shared" si="270"/>
        <v>1.5952165072425508</v>
      </c>
      <c r="Q1016" s="25" t="s">
        <v>33</v>
      </c>
      <c r="R1016" s="38" t="s">
        <v>52</v>
      </c>
      <c r="S1016" s="4">
        <f>(AVERAGE(O1013:O1018)/AVERAGE(P1013:P1018))</f>
        <v>-0.29136287747618694</v>
      </c>
      <c r="U1016" s="25" t="s">
        <v>54</v>
      </c>
      <c r="V1016" s="38" t="s">
        <v>52</v>
      </c>
      <c r="W1016" s="4">
        <f>(AVERAGE(O1013:O1018)/AVERAGE(P1013:P1018))</f>
        <v>-0.29136287747618694</v>
      </c>
      <c r="Y1016" s="25" t="s">
        <v>60</v>
      </c>
      <c r="Z1016" s="38" t="s">
        <v>52</v>
      </c>
      <c r="AA1016" s="4">
        <f>(AVERAGE(O1013:O1018)/AVERAGE(P1013:P1018))</f>
        <v>-0.29136287747618694</v>
      </c>
    </row>
    <row r="1017" spans="1:27">
      <c r="A1017" s="19">
        <f>_xll.ciqfunctions.udf.CIQ(A1008,"IQ_TOTAL_REV",IQ_LTM)</f>
        <v>93616</v>
      </c>
      <c r="B1017" s="13">
        <v>10</v>
      </c>
      <c r="C1017" s="14" t="s">
        <v>34</v>
      </c>
      <c r="D1017" s="15" cm="1">
        <f t="array" ref="D1017">_xlfn.SINGLE(IF(A1016=A1017,_xll.ciqfunctions.udf.CIQ(A1008,"IQ_TOTAL_REV",IQ_FY-1)/I1017, _xll.ciqfunctions.udf.CIQ(A1008, "IQ_TOTAL_REV",IQ_FY)/I1017))</f>
        <v>139.90744180649241</v>
      </c>
      <c r="E1017" s="16">
        <f t="shared" si="271"/>
        <v>5.1270175028685284E-2</v>
      </c>
      <c r="F1017" s="15">
        <f>IF(A1016=A1017,_xll.ciqfunctions.udf.CIQ(A1008,"IQ_DILUT_EPS_EXCL",IQ_FY-1), _xll.ciqfunctions.udf.CIQ(A1008, "IQ_DILUT_EPS_EXCL",IQ_FY))</f>
        <v>3.24</v>
      </c>
      <c r="G1017" s="15">
        <f>IF(A1016=A1017,_xll.ciqfunctions.udf.CIQ(A1008,"IQ_EBITDA_MARGIN",IQ_FY-1), _xll.ciqfunctions.udf.CIQ(A1008, "IQ_EBITDA_MARGIN",IQ_FY))</f>
        <v>8.4162999999999997</v>
      </c>
      <c r="H1017" s="15">
        <f>IF(A1016=A1017,_xll.ciqfunctions.udf.CIQ(A1008,"IQ_TOTAL_DIV_PAID_CF",IQ_FY-1)/-I1017, _xll.ciqfunctions.udf.CIQ(A1008, "IQ_TOTAL_DIV_PAID_CF",IQ_FY)/-I1017)</f>
        <v>1.3183719993104532</v>
      </c>
      <c r="I1017" s="17">
        <f>IF(A1016=A1017,_xll.ciqfunctions.udf.CIQ(A1008,"IQ_TOTAL_OUTSTANDING_FILING_DATE",IQ_FY-1), _xll.ciqfunctions.udf.CIQ(A1008, "IQ_TOTAL_OUTSTANDING_FILING_DATE",IQ_FY))</f>
        <v>731.20484999999996</v>
      </c>
      <c r="J1017" s="17">
        <f>IF(A1016=A1017,_xll.ciqfunctions.udf.CIQ(A1008,"IQ_CASH_OPER",IQ_FY-1), _xll.ciqfunctions.udf.CIQ(A1008, "IQ_CASH_OPER",IQ_FY))</f>
        <v>3565</v>
      </c>
      <c r="K1017" s="17">
        <f>IF(A1016=A1017,_xll.ciqfunctions.udf.CIQ(A1008,"IQ_CAPEX",IQ_FY-1), _xll.ciqfunctions.udf.CIQ(A1008, "IQ_CAPEX",IQ_FY))</f>
        <v>-3003</v>
      </c>
      <c r="L1017" s="15">
        <f t="shared" si="268"/>
        <v>0.76859446432829326</v>
      </c>
      <c r="M1017" s="17">
        <f>IF(A1016=A1017,_xll.ciqfunctions.udf.CIQ(A1008,"IQ_TOTAL_DEBT_ISSUED",IQ_FY-1), _xll.ciqfunctions.udf.CIQ(A1008, "IQ_TOTAL_DEBT_ISSUED",IQ_FY))</f>
        <v>12479</v>
      </c>
      <c r="N1017" s="17">
        <f>IF(A1016=A1017,_xll.ciqfunctions.udf.CIQ(A1008,"IQ_TOTAL_DEBT_REPAID",IQ_FY-1), _xll.ciqfunctions.udf.CIQ(A1008, "IQ_TOTAL_DEBT_REPAID",IQ_FY))</f>
        <v>-9825</v>
      </c>
      <c r="O1017" s="15">
        <f t="shared" si="269"/>
        <v>3.6296258155289864</v>
      </c>
      <c r="P1017" s="15">
        <f t="shared" si="270"/>
        <v>4.3982202798572798</v>
      </c>
      <c r="Q1017" s="25" t="s">
        <v>44</v>
      </c>
      <c r="R1017" s="38" t="s">
        <v>35</v>
      </c>
      <c r="S1017" s="1">
        <f>_xll.ciqfunctions.udf.CIQ(A1008,"IQ_TEV_EBITDA")</f>
        <v>8.5677400000000006</v>
      </c>
      <c r="U1017" s="25" t="s">
        <v>55</v>
      </c>
      <c r="V1017" s="38" t="s">
        <v>53</v>
      </c>
      <c r="W1017" s="1">
        <f>V1007/(AVERAGE(D1013:D1018)/_xlfn.STDEV.P(E1013:E1018))</f>
        <v>7.0345025966211228E-2</v>
      </c>
      <c r="Y1017" s="25" t="s">
        <v>57</v>
      </c>
      <c r="Z1017" s="38" t="s">
        <v>53</v>
      </c>
      <c r="AA1017" s="1">
        <f>Z1007/(AVERAGE(D1013:D1018)/_xlfn.STDEV.P(E1013:E1018))</f>
        <v>7.0345025966211228E-2</v>
      </c>
    </row>
    <row r="1018" spans="1:27">
      <c r="B1018" s="13">
        <v>11</v>
      </c>
      <c r="C1018" s="20" t="s">
        <v>36</v>
      </c>
      <c r="D1018" s="21" cm="1">
        <f t="array" ref="D1018">_xlfn.SINGLE(IF(A1016=A1017,_xll.ciqfunctions.udf.CIQ(A1008,"IQ_TOTAL_REV",IQ_FY)/I1018, _xll.ciqfunctions.udf.CIQ(A1008, "IQ_TOTAL_REV",IQ_LTM)/I1018))</f>
        <v>129.40634865202088</v>
      </c>
      <c r="E1018" s="22">
        <f t="shared" si="271"/>
        <v>-7.5057430962076455E-2</v>
      </c>
      <c r="F1018" s="21">
        <f>IF(A1016=A1017,_xll.ciqfunctions.udf.CIQ(A1008,"IQ_DILUT_EPS_EXCL",IQ_FY), _xll.ciqfunctions.udf.CIQ(A1008, "IQ_DILUT_EPS_EXCL",IQ_LTM))</f>
        <v>2.5819399999999999</v>
      </c>
      <c r="G1018" s="21">
        <f>IF(A1016=A1017,_xll.ciqfunctions.udf.CIQ(A1008,"IQ_EBITDA_MARGIN",IQ_FY), _xll.ciqfunctions.udf.CIQ(A1008, "IQ_EBITDA_MARGIN",IQ_LTM))</f>
        <v>8.7527000000000008</v>
      </c>
      <c r="H1018" s="21">
        <f>IF(A1016=A1017,_xll.ciqfunctions.udf.CIQ(A1008,"IQ_TOTAL_DIV_PAID_CF",IQ_FY)/-I1018, _xll.ciqfunctions.udf.CIQ(A1008, "IQ_TOTAL_DIV_PAID_CF",IQ_LTM)/-I1018)</f>
        <v>1.4085740608059443</v>
      </c>
      <c r="I1018" s="23">
        <f>IF(A1016=A1017,_xll.ciqfunctions.udf.CIQ(A1008,"IQ_TOTAL_OUTSTANDING_FILING_DATE",IQ_FY),_xll.ciqfunctions.udf.CIQ(A1008,"IQ_sharesoutstanding"))</f>
        <v>723.42664000000002</v>
      </c>
      <c r="J1018" s="23">
        <f>IF(A1016=A1017,_xll.ciqfunctions.udf.CIQ(A1008,"IQ_CASH_OPER",IQ_FY), _xll.ciqfunctions.udf.CIQ(A1008, "IQ_CASH_OPER",IQ_LTM))</f>
        <v>8101</v>
      </c>
      <c r="K1018" s="23">
        <f>IF(A1016=A1017,_xll.ciqfunctions.udf.CIQ(A1008,"IQ_CAPEX",IQ_FY), _xll.ciqfunctions.udf.CIQ(A1008, "IQ_CAPEX",IQ_LTM))</f>
        <v>-2831</v>
      </c>
      <c r="L1018" s="21">
        <f t="shared" si="268"/>
        <v>7.2847745833634212</v>
      </c>
      <c r="M1018" s="23">
        <f>IF(A1016=A1017,_xll.ciqfunctions.udf.CIQ(A1008,"IQ_TOTAL_DEBT_ISSUED",IQ_FY), _xll.ciqfunctions.udf.CIQ(A1008, "IQ_TOTAL_DEBT_ISSUED",IQ_LTM))</f>
        <v>10669</v>
      </c>
      <c r="N1018" s="23">
        <f>IF(A1016=A1017,_xll.ciqfunctions.udf.CIQ(A1008,"IQ_TOTAL_DEBT_REPAID",IQ_FY), _xll.ciqfunctions.udf.CIQ(A1008, "IQ_TOTAL_DEBT_REPAID",IQ_LTM))</f>
        <v>-10665</v>
      </c>
      <c r="O1018" s="21">
        <f t="shared" si="269"/>
        <v>5.5292406704845701E-3</v>
      </c>
      <c r="P1018" s="21">
        <f t="shared" si="270"/>
        <v>7.2903038240339058</v>
      </c>
      <c r="Q1018" s="25" t="s">
        <v>45</v>
      </c>
      <c r="S1018" s="45"/>
      <c r="U1018" s="25"/>
      <c r="W1018" s="45"/>
      <c r="Y1018" s="25"/>
      <c r="AA1018" s="45"/>
    </row>
    <row r="1019" spans="1:27">
      <c r="B1019" s="24"/>
      <c r="C1019" s="25" t="s">
        <v>37</v>
      </c>
      <c r="E1019" s="26">
        <f>((D1018/D1013)^(1/5))-1</f>
        <v>5.1577598503058653E-3</v>
      </c>
      <c r="F1019" s="27">
        <f>((F1018/F1013)^(1/5))-1</f>
        <v>-1.9705974130381816</v>
      </c>
      <c r="G1019" s="28"/>
      <c r="H1019" s="27" t="e">
        <f>((H1018/H1013)^(1/5))-1</f>
        <v>#DIV/0!</v>
      </c>
      <c r="I1019" s="27">
        <f>((I1018/I1013)^(1/5))-1</f>
        <v>1.3594860525325547E-3</v>
      </c>
      <c r="J1019" s="27"/>
      <c r="K1019" s="27"/>
      <c r="L1019" s="26">
        <f>((L1018/L1013)^(1/5))-1</f>
        <v>-9.6370707311127513E-3</v>
      </c>
      <c r="M1019" s="26"/>
      <c r="N1019" s="26"/>
      <c r="O1019" s="26"/>
      <c r="P1019" s="26">
        <f>((P1018/P1013)^(1/5))-1</f>
        <v>-5.8688711329393572E-2</v>
      </c>
      <c r="Q1019" s="18"/>
      <c r="R1019" s="36"/>
      <c r="S1019" s="45"/>
      <c r="U1019" s="18"/>
      <c r="V1019" s="36"/>
      <c r="W1019" s="45"/>
      <c r="Y1019" s="18"/>
      <c r="Z1019" s="36"/>
      <c r="AA1019" s="45"/>
    </row>
    <row r="1020" spans="1:27">
      <c r="A1020" s="29"/>
      <c r="B1020" s="30"/>
      <c r="C1020" s="31" t="s">
        <v>38</v>
      </c>
      <c r="D1020" s="29"/>
      <c r="E1020" s="32">
        <f>((D1018/D1008)^(1/10))-1</f>
        <v>-8.0084621418693436E-3</v>
      </c>
      <c r="F1020" s="33" t="e">
        <f>((F1018/F1008)^(1/10))-1</f>
        <v>#NUM!</v>
      </c>
      <c r="G1020" s="34"/>
      <c r="H1020" s="33">
        <f>((H1018/H1008)^(1/10))-1</f>
        <v>-1.4153597820969144E-2</v>
      </c>
      <c r="I1020" s="33">
        <f>((I1018/I1008)^(1/10))-1</f>
        <v>6.0515070458336817E-2</v>
      </c>
      <c r="J1020" s="33"/>
      <c r="K1020" s="33"/>
      <c r="L1020" s="32">
        <f>((L1018/L1008)^(1/10))-1</f>
        <v>3.1192266139420388E-2</v>
      </c>
      <c r="M1020" s="32"/>
      <c r="N1020" s="32"/>
      <c r="O1020" s="32"/>
      <c r="P1020" s="32">
        <f>((P1018/P1008)^(1/10))-1</f>
        <v>-0.12082255395682562</v>
      </c>
      <c r="Q1020" s="40"/>
      <c r="R1020" s="41"/>
      <c r="S1020" s="46"/>
      <c r="U1020" s="40"/>
      <c r="V1020" s="41"/>
      <c r="W1020" s="46"/>
      <c r="Y1020" s="40"/>
      <c r="Z1020" s="41"/>
      <c r="AA1020" s="46"/>
    </row>
    <row r="1021" spans="1:27">
      <c r="B1021" s="24"/>
      <c r="C1021" s="25"/>
      <c r="E1021" s="26"/>
      <c r="F1021" s="27"/>
      <c r="G1021" s="28"/>
      <c r="H1021" s="27"/>
      <c r="I1021" s="27"/>
      <c r="J1021" s="27"/>
      <c r="K1021" s="27"/>
      <c r="L1021" s="26"/>
      <c r="M1021" s="17"/>
      <c r="N1021" s="17"/>
      <c r="O1021" s="17"/>
      <c r="P1021" s="35"/>
      <c r="Q1021" s="18"/>
      <c r="R1021" s="36"/>
    </row>
    <row r="1022" spans="1:27">
      <c r="A1022" s="9" t="s">
        <v>0</v>
      </c>
      <c r="B1022" s="10"/>
      <c r="C1022" s="9" t="s">
        <v>1</v>
      </c>
      <c r="D1022" s="9" t="s">
        <v>2</v>
      </c>
      <c r="E1022" s="9" t="s">
        <v>3</v>
      </c>
      <c r="F1022" s="11" t="s">
        <v>4</v>
      </c>
      <c r="G1022" s="11" t="s">
        <v>5</v>
      </c>
      <c r="H1022" s="9" t="s">
        <v>6</v>
      </c>
      <c r="I1022" s="11" t="s">
        <v>7</v>
      </c>
      <c r="J1022" s="11" t="s">
        <v>8</v>
      </c>
      <c r="K1022" s="11" t="s">
        <v>9</v>
      </c>
      <c r="L1022" s="11" t="s">
        <v>10</v>
      </c>
      <c r="M1022" s="11" t="s">
        <v>11</v>
      </c>
      <c r="N1022" s="11" t="s">
        <v>12</v>
      </c>
      <c r="O1022" s="11" t="s">
        <v>13</v>
      </c>
      <c r="P1022" s="11" t="s">
        <v>14</v>
      </c>
      <c r="Q1022" s="37" t="s">
        <v>15</v>
      </c>
      <c r="R1022" s="42">
        <f>_xll.ciqfunctions.udf.CIQ(A1023,("IQ_LASTSALEPRICE"))</f>
        <v>47.325000000000003</v>
      </c>
      <c r="S1022" s="44"/>
      <c r="U1022" s="37" t="s">
        <v>15</v>
      </c>
      <c r="V1022" s="42">
        <f>_xll.ciqfunctions.udf.CIQ(A1023,("IQ_LASTSALEPRICE"))</f>
        <v>47.325000000000003</v>
      </c>
      <c r="W1022" s="44"/>
      <c r="Y1022" s="37" t="s">
        <v>15</v>
      </c>
      <c r="Z1022" s="42">
        <f>_xll.ciqfunctions.udf.CIQ(A1023,("IQ_LASTSALEPRICE"))</f>
        <v>47.325000000000003</v>
      </c>
      <c r="AA1022" s="44"/>
    </row>
    <row r="1023" spans="1:27">
      <c r="A1023" s="12" t="str">
        <f>Analysis!B70</f>
        <v>NasdaqGS:WDC</v>
      </c>
      <c r="B1023" s="13">
        <v>1</v>
      </c>
      <c r="C1023" s="14" t="s">
        <v>16</v>
      </c>
      <c r="D1023" s="15">
        <f>IF(A1031=A1032,_xll.ciqfunctions.udf.CIQ(A1023,"IQ_TOTAL_REV",IQ_FY-10)/I1023,_xll.ciqfunctions.udf.CIQ(A1023, "IQ_TOTAL_REV",IQ_FY-9)/I1023)</f>
        <v>64.655033347339796</v>
      </c>
      <c r="E1023" s="16"/>
      <c r="F1023" s="15">
        <f>IF(A1031=A1032,_xll.ciqfunctions.udf.CIQ(A1023,"IQ_DILUT_EPS_EXCL",IQ_FY-10), _xll.ciqfunctions.udf.CIQ(A1023, "IQ_DILUT_EPS_EXCL",IQ_FY-9))</f>
        <v>6.68</v>
      </c>
      <c r="G1023" s="15">
        <f>IF(A1031=A1032,_xll.ciqfunctions.udf.CIQ(A1023,"IQ_EBITDA_MARGIN",IQ_FY-10), _xll.ciqfunctions.udf.CIQ(A1023, "IQ_EBITDA_MARGIN",IQ_FY-9))</f>
        <v>20.601400000000002</v>
      </c>
      <c r="H1023" s="15">
        <f>IF(A1031=A1032,_xll.ciqfunctions.udf.CIQ(A1023,"IQ_TOTAL_DIV_PAID_CF",IQ_FY-10)/-I1023, _xll.ciqfunctions.udf.CIQ(A1023, "IQ_TOTAL_DIV_PAID_CF",IQ_FY-9)/-I1023)</f>
        <v>1.1067847744191015</v>
      </c>
      <c r="I1023" s="17">
        <f>IF(A1031=A1032,_xll.ciqfunctions.udf.CIQ(A1023,"IQ_TOTAL_OUTSTANDING_FILING_DATE",IQ_FY-10), _xll.ciqfunctions.udf.CIQ(A1023, "IQ_TOTAL_OUTSTANDING_FILING_DATE",IQ_FY-9))</f>
        <v>234.01116999999999</v>
      </c>
      <c r="J1023" s="17">
        <f>IF(A1031=A1032,_xll.ciqfunctions.udf.CIQ(A1023,"IQ_CASH_OPER",IQ_FY-10), _xll.ciqfunctions.udf.CIQ(A1023, "IQ_CASH_OPER",IQ_FY-9))</f>
        <v>2816</v>
      </c>
      <c r="K1023" s="17">
        <f>IF(A1031=A1032,_xll.ciqfunctions.udf.CIQ(A1023,"IQ_CAPEX",IQ_FY-10), _xll.ciqfunctions.udf.CIQ(A1023, "IQ_CAPEX",IQ_FY-9))</f>
        <v>-628</v>
      </c>
      <c r="L1023" s="15">
        <f t="shared" ref="L1023:L1033" si="272">(J1023+K1023)/I1023</f>
        <v>9.3499810286833753</v>
      </c>
      <c r="M1023" s="17">
        <f>IF(A1031=A1032,_xll.ciqfunctions.udf.CIQ(A1023,"IQ_TOTAL_DEBT_ISSUED",IQ_FY-10), _xll.ciqfunctions.udf.CIQ(A1023, "IQ_TOTAL_DEBT_ISSUED",IQ_FY-9))</f>
        <v>2992</v>
      </c>
      <c r="N1023" s="17">
        <f>IF(A1031=A1032,_xll.ciqfunctions.udf.CIQ(A1023,"IQ_TOTAL_DEBT_REPAID",IQ_FY-10), _xll.ciqfunctions.udf.CIQ(A1023, "IQ_TOTAL_DEBT_REPAID",IQ_FY-9))</f>
        <v>-2517</v>
      </c>
      <c r="O1023" s="15">
        <f t="shared" ref="O1023:O1033" si="273">(M1023+N1023)/I1023</f>
        <v>2.0298176364829081</v>
      </c>
      <c r="P1023" s="15">
        <f t="shared" ref="P1023:P1033" si="274">L1023+O1023</f>
        <v>11.379798665166284</v>
      </c>
      <c r="W1023" s="43"/>
      <c r="AA1023" s="43"/>
    </row>
    <row r="1024" spans="1:27">
      <c r="A1024" s="18" t="str">
        <f>_xll.ciqfunctions.udf.CIQ(A1023,"IQ_COMPANY_NAME")</f>
        <v>Western Digital Corporation</v>
      </c>
      <c r="B1024" s="13">
        <v>2</v>
      </c>
      <c r="C1024" s="14" t="s">
        <v>17</v>
      </c>
      <c r="D1024" s="15">
        <f>IF(A1031=A1032,_xll.ciqfunctions.udf.CIQ(A1023,"IQ_TOTAL_REV",IQ_FY-9)/I1024, _xll.ciqfunctions.udf.CIQ(A1023, "IQ_TOTAL_REV",IQ_FY-8)/I1024)</f>
        <v>63.245709756010967</v>
      </c>
      <c r="E1024" s="16">
        <f t="shared" ref="E1024:E1033" si="275">(D1024-D1023)/D1023</f>
        <v>-2.1797585096857957E-2</v>
      </c>
      <c r="F1024" s="15">
        <f>IF(A1031=A1032,_xll.ciqfunctions.udf.CIQ(A1023,"IQ_DILUT_EPS_EXCL",IQ_FY-9), _xll.ciqfunctions.udf.CIQ(A1023, "IQ_DILUT_EPS_EXCL",IQ_FY-8))</f>
        <v>6.18</v>
      </c>
      <c r="G1024" s="15">
        <f>IF(A1031=A1032,_xll.ciqfunctions.udf.CIQ(A1023,"IQ_EBITDA_MARGIN",IQ_FY-9), _xll.ciqfunctions.udf.CIQ(A1023, "IQ_EBITDA_MARGIN",IQ_FY-8))</f>
        <v>19.908000000000001</v>
      </c>
      <c r="H1024" s="15">
        <f>IF(A1031=A1032,_xll.ciqfunctions.udf.CIQ(A1023,"IQ_TOTAL_DIV_PAID_CF",IQ_FY-9)/-I1024, _xll.ciqfunctions.udf.CIQ(A1023, "IQ_TOTAL_DIV_PAID_CF",IQ_FY-8)/-I1024)</f>
        <v>1.7187277699272812</v>
      </c>
      <c r="I1024" s="17">
        <f>IF(A1031=A1032,_xll.ciqfunctions.udf.CIQ(A1023,"IQ_TOTAL_OUTSTANDING_FILING_DATE",IQ_FY-9), _xll.ciqfunctions.udf.CIQ(A1023, "IQ_TOTAL_OUTSTANDING_FILING_DATE",IQ_FY-8))</f>
        <v>230.40298000000001</v>
      </c>
      <c r="J1024" s="17">
        <f>IF(A1031=A1032,_xll.ciqfunctions.udf.CIQ(A1023,"IQ_CASH_OPER",IQ_FY-9), _xll.ciqfunctions.udf.CIQ(A1023, "IQ_CASH_OPER",IQ_FY-8))</f>
        <v>2242</v>
      </c>
      <c r="K1024" s="17">
        <f>IF(A1031=A1032,_xll.ciqfunctions.udf.CIQ(A1023,"IQ_CAPEX",IQ_FY-9), _xll.ciqfunctions.udf.CIQ(A1023, "IQ_CAPEX",IQ_FY-8))</f>
        <v>-612</v>
      </c>
      <c r="L1024" s="15">
        <f t="shared" si="272"/>
        <v>7.0745612752057285</v>
      </c>
      <c r="M1024" s="17">
        <f>IF(A1031=A1032,_xll.ciqfunctions.udf.CIQ(A1023,"IQ_TOTAL_DEBT_ISSUED",IQ_FY-9), _xll.ciqfunctions.udf.CIQ(A1023, "IQ_TOTAL_DEBT_ISSUED",IQ_FY-8))</f>
        <v>255</v>
      </c>
      <c r="N1024" s="17">
        <f>IF(A1031=A1032,_xll.ciqfunctions.udf.CIQ(A1023,"IQ_TOTAL_DEBT_REPAID",IQ_FY-9), _xll.ciqfunctions.udf.CIQ(A1023, "IQ_TOTAL_DEBT_REPAID",IQ_FY-8))</f>
        <v>-125</v>
      </c>
      <c r="O1024" s="15">
        <f t="shared" si="273"/>
        <v>0.56422881335996611</v>
      </c>
      <c r="P1024" s="15">
        <f t="shared" si="274"/>
        <v>7.6387900885656945</v>
      </c>
      <c r="Q1024" s="25" t="s">
        <v>18</v>
      </c>
      <c r="R1024" s="39" t="s">
        <v>19</v>
      </c>
      <c r="S1024" s="1">
        <f>R1022/((AVERAGE(P1028:P1033))*(1+E1034)^3)</f>
        <v>-28.295777645829556</v>
      </c>
      <c r="U1024" s="25" t="s">
        <v>48</v>
      </c>
      <c r="V1024" s="39" t="s">
        <v>19</v>
      </c>
      <c r="W1024" s="1">
        <f>V1022/((AVERAGE(P1028:P1033))*(1+E1034)^3)</f>
        <v>-28.295777645829556</v>
      </c>
      <c r="Y1024" s="25" t="s">
        <v>39</v>
      </c>
      <c r="Z1024" s="39" t="s">
        <v>19</v>
      </c>
      <c r="AA1024" s="1">
        <f>Z1022/((AVERAGE(P1028:P1033))*(1+E1034)^3)</f>
        <v>-28.295777645829556</v>
      </c>
    </row>
    <row r="1025" spans="1:27">
      <c r="B1025" s="13">
        <v>3</v>
      </c>
      <c r="C1025" s="14" t="s">
        <v>20</v>
      </c>
      <c r="D1025" s="15" cm="1">
        <f t="array" ref="D1025">_xlfn.SINGLE(IF(A1031=A1032,_xll.ciqfunctions.udf.CIQ(A1023,"IQ_TOTAL_REV",IQ_FY-8)/I1025, _xll.ciqfunctions.udf.CIQ(A1023, "IQ_TOTAL_REV",IQ_FY-7)/I1025))</f>
        <v>45.710926269267965</v>
      </c>
      <c r="E1025" s="16">
        <f t="shared" si="275"/>
        <v>-0.27724858420260623</v>
      </c>
      <c r="F1025" s="15">
        <f>IF(A1031=A1032,_xll.ciqfunctions.udf.CIQ(A1023,"IQ_DILUT_EPS_EXCL",IQ_FY-8), _xll.ciqfunctions.udf.CIQ(A1023, "IQ_DILUT_EPS_EXCL",IQ_FY-7))</f>
        <v>1</v>
      </c>
      <c r="G1025" s="15">
        <f>IF(A1031=A1032,_xll.ciqfunctions.udf.CIQ(A1023,"IQ_EBITDA_MARGIN",IQ_FY-8), _xll.ciqfunctions.udf.CIQ(A1023, "IQ_EBITDA_MARGIN",IQ_FY-7))</f>
        <v>15.122299999999999</v>
      </c>
      <c r="H1025" s="15">
        <f>IF(A1031=A1032,_xll.ciqfunctions.udf.CIQ(A1023,"IQ_TOTAL_DIV_PAID_CF",IQ_FY-8)/-I1025, _xll.ciqfunctions.udf.CIQ(A1023, "IQ_TOTAL_DIV_PAID_CF",IQ_FY-7)/-I1025)</f>
        <v>1.6322818061367041</v>
      </c>
      <c r="I1025" s="17">
        <f>IF(A1031=A1032,_xll.ciqfunctions.udf.CIQ(A1023,"IQ_TOTAL_OUTSTANDING_FILING_DATE",IQ_FY-8), _xll.ciqfunctions.udf.CIQ(A1023, "IQ_TOTAL_OUTSTANDING_FILING_DATE",IQ_FY-7))</f>
        <v>284.26463999999999</v>
      </c>
      <c r="J1025" s="17">
        <f>IF(A1031=A1032,_xll.ciqfunctions.udf.CIQ(A1023,"IQ_CASH_OPER",IQ_FY-8), _xll.ciqfunctions.udf.CIQ(A1023, "IQ_CASH_OPER",IQ_FY-7))</f>
        <v>1983</v>
      </c>
      <c r="K1025" s="17">
        <f>IF(A1031=A1032,_xll.ciqfunctions.udf.CIQ(A1023,"IQ_CAPEX",IQ_FY-8), _xll.ciqfunctions.udf.CIQ(A1023, "IQ_CAPEX",IQ_FY-7))</f>
        <v>-584</v>
      </c>
      <c r="L1025" s="15">
        <f t="shared" si="272"/>
        <v>4.9214703594509679</v>
      </c>
      <c r="M1025" s="17">
        <f>IF(A1031=A1032,_xll.ciqfunctions.udf.CIQ(A1023,"IQ_TOTAL_DEBT_ISSUED",IQ_FY-8), _xll.ciqfunctions.udf.CIQ(A1023, "IQ_TOTAL_DEBT_ISSUED",IQ_FY-7))</f>
        <v>17108</v>
      </c>
      <c r="N1025" s="17">
        <f>IF(A1031=A1032,_xll.ciqfunctions.udf.CIQ(A1023,"IQ_TOTAL_DEBT_REPAID",IQ_FY-8), _xll.ciqfunctions.udf.CIQ(A1023, "IQ_TOTAL_DEBT_REPAID",IQ_FY-7))</f>
        <v>-5179</v>
      </c>
      <c r="O1025" s="15">
        <f t="shared" si="273"/>
        <v>41.964417382337814</v>
      </c>
      <c r="P1025" s="15">
        <f t="shared" si="274"/>
        <v>46.885887741788778</v>
      </c>
      <c r="Q1025" s="25" t="s">
        <v>21</v>
      </c>
      <c r="R1025" s="38" t="s">
        <v>49</v>
      </c>
      <c r="S1025" s="2">
        <f>(R1022*I1033)/1000</f>
        <v>15.344807547</v>
      </c>
      <c r="U1025" s="25" t="s">
        <v>59</v>
      </c>
      <c r="V1025" s="38" t="s">
        <v>49</v>
      </c>
      <c r="W1025" s="2">
        <f>(V1022*I1033)/1000</f>
        <v>15.344807547</v>
      </c>
      <c r="Y1025" s="25" t="s">
        <v>46</v>
      </c>
      <c r="Z1025" s="38" t="s">
        <v>49</v>
      </c>
      <c r="AA1025" s="2">
        <f>(Z1022*I1033)/1000</f>
        <v>15.344807547</v>
      </c>
    </row>
    <row r="1026" spans="1:27">
      <c r="A1026" s="18"/>
      <c r="B1026" s="13">
        <v>4</v>
      </c>
      <c r="C1026" s="14" t="s">
        <v>22</v>
      </c>
      <c r="D1026" s="15" cm="1">
        <f t="array" ref="D1026">_xlfn.SINGLE(IF(A1031=A1032,_xll.ciqfunctions.udf.CIQ(A1023,"IQ_TOTAL_REV",IQ_FY-7)/I1026, _xll.ciqfunctions.udf.CIQ(A1023, "IQ_TOTAL_REV",IQ_FY-6)/I1026))</f>
        <v>64.749465722800124</v>
      </c>
      <c r="E1026" s="16">
        <f t="shared" si="275"/>
        <v>0.41649865814099707</v>
      </c>
      <c r="F1026" s="15">
        <f>IF(A1031=A1032,_xll.ciqfunctions.udf.CIQ(A1023,"IQ_DILUT_EPS_EXCL",IQ_FY-7), _xll.ciqfunctions.udf.CIQ(A1023, "IQ_DILUT_EPS_EXCL",IQ_FY-6))</f>
        <v>1.34</v>
      </c>
      <c r="G1026" s="15">
        <f>IF(A1031=A1032,_xll.ciqfunctions.udf.CIQ(A1023,"IQ_EBITDA_MARGIN",IQ_FY-7), _xll.ciqfunctions.udf.CIQ(A1023, "IQ_EBITDA_MARGIN",IQ_FY-6))</f>
        <v>22.5946</v>
      </c>
      <c r="H1026" s="15">
        <f>IF(A1031=A1032,_xll.ciqfunctions.udf.CIQ(A1023,"IQ_TOTAL_DIV_PAID_CF",IQ_FY-7)/-I1026, _xll.ciqfunctions.udf.CIQ(A1023, "IQ_TOTAL_DIV_PAID_CF",IQ_FY-6)/-I1026)</f>
        <v>1.9465874050640166</v>
      </c>
      <c r="I1026" s="17">
        <f>IF(A1031=A1032,_xll.ciqfunctions.udf.CIQ(A1023,"IQ_TOTAL_OUTSTANDING_FILING_DATE",IQ_FY-7), _xll.ciqfunctions.udf.CIQ(A1023, "IQ_TOTAL_OUTSTANDING_FILING_DATE",IQ_FY-6))</f>
        <v>294.87502000000001</v>
      </c>
      <c r="J1026" s="17">
        <f>IF(A1031=A1032,_xll.ciqfunctions.udf.CIQ(A1023,"IQ_CASH_OPER",IQ_FY-7), _xll.ciqfunctions.udf.CIQ(A1023, "IQ_CASH_OPER",IQ_FY-6))</f>
        <v>3437</v>
      </c>
      <c r="K1026" s="17">
        <f>IF(A1031=A1032,_xll.ciqfunctions.udf.CIQ(A1023,"IQ_CAPEX",IQ_FY-7), _xll.ciqfunctions.udf.CIQ(A1023, "IQ_CAPEX",IQ_FY-6))</f>
        <v>-578</v>
      </c>
      <c r="L1026" s="15">
        <f t="shared" si="272"/>
        <v>9.6956330855017825</v>
      </c>
      <c r="M1026" s="17">
        <f>IF(A1031=A1032,_xll.ciqfunctions.udf.CIQ(A1023,"IQ_TOTAL_DEBT_ISSUED",IQ_FY-7), _xll.ciqfunctions.udf.CIQ(A1023, "IQ_TOTAL_DEBT_ISSUED",IQ_FY-6))</f>
        <v>7908</v>
      </c>
      <c r="N1026" s="17">
        <f>IF(A1031=A1032,_xll.ciqfunctions.udf.CIQ(A1023,"IQ_TOTAL_DEBT_REPAID",IQ_FY-7), _xll.ciqfunctions.udf.CIQ(A1023, "IQ_TOTAL_DEBT_REPAID",IQ_FY-6))</f>
        <v>-12189</v>
      </c>
      <c r="O1026" s="15">
        <f t="shared" si="273"/>
        <v>-14.518015123831105</v>
      </c>
      <c r="P1026" s="15">
        <f t="shared" si="274"/>
        <v>-4.822382038329323</v>
      </c>
      <c r="Q1026" s="25" t="s">
        <v>23</v>
      </c>
      <c r="R1026" s="38" t="s">
        <v>24</v>
      </c>
      <c r="S1026" s="1" t="e">
        <f>R1022/(AVERAGE(H1028:H1033)*(1+H1034)/(0.5-H1034))</f>
        <v>#DIV/0!</v>
      </c>
      <c r="U1026" s="25" t="s">
        <v>40</v>
      </c>
      <c r="V1026" s="38" t="s">
        <v>24</v>
      </c>
      <c r="W1026" s="1" t="e">
        <f>V1022/(AVERAGE(H1028:H1033)*(1+H1034)/(0.5-H1034))</f>
        <v>#DIV/0!</v>
      </c>
      <c r="Y1026" s="25" t="s">
        <v>47</v>
      </c>
      <c r="Z1026" s="38" t="s">
        <v>24</v>
      </c>
      <c r="AA1026" s="1" t="e">
        <f>Z1022/(AVERAGE(H1028:H1033)*(1+H1034)/(0.5-H1034))</f>
        <v>#DIV/0!</v>
      </c>
    </row>
    <row r="1027" spans="1:27">
      <c r="B1027" s="13">
        <v>5</v>
      </c>
      <c r="C1027" s="14" t="s">
        <v>25</v>
      </c>
      <c r="D1027" s="15" cm="1">
        <f t="array" ref="D1027">_xlfn.SINGLE(IF(A1031=A1032,_xll.ciqfunctions.udf.CIQ(A1023,"IQ_TOTAL_REV",IQ_FY-6)/I1027, _xll.ciqfunctions.udf.CIQ(A1023, "IQ_TOTAL_REV",IQ_FY-5)/I1027))</f>
        <v>70.86499883081504</v>
      </c>
      <c r="E1027" s="16">
        <f t="shared" si="275"/>
        <v>9.4449167105041643E-2</v>
      </c>
      <c r="F1027" s="15">
        <f>IF(A1031=A1032,_xll.ciqfunctions.udf.CIQ(A1023,"IQ_DILUT_EPS_EXCL",IQ_FY-6), _xll.ciqfunctions.udf.CIQ(A1023, "IQ_DILUT_EPS_EXCL",IQ_FY-5))</f>
        <v>2.2000000000000002</v>
      </c>
      <c r="G1027" s="15">
        <f>IF(A1031=A1032,_xll.ciqfunctions.udf.CIQ(A1023,"IQ_EBITDA_MARGIN",IQ_FY-6), _xll.ciqfunctions.udf.CIQ(A1023, "IQ_EBITDA_MARGIN",IQ_FY-5))</f>
        <v>28.5077</v>
      </c>
      <c r="H1027" s="15">
        <f>IF(A1031=A1032,_xll.ciqfunctions.udf.CIQ(A1023,"IQ_TOTAL_DIV_PAID_CF",IQ_FY-6)/-I1027, _xll.ciqfunctions.udf.CIQ(A1023, "IQ_TOTAL_DIV_PAID_CF",IQ_FY-5)/-I1027)</f>
        <v>2.0353050954944214</v>
      </c>
      <c r="I1027" s="17">
        <f>IF(A1031=A1032,_xll.ciqfunctions.udf.CIQ(A1023,"IQ_TOTAL_OUTSTANDING_FILING_DATE",IQ_FY-6), _xll.ciqfunctions.udf.CIQ(A1023, "IQ_TOTAL_OUTSTANDING_FILING_DATE",IQ_FY-5))</f>
        <v>291.35681</v>
      </c>
      <c r="J1027" s="17">
        <f>IF(A1031=A1032,_xll.ciqfunctions.udf.CIQ(A1023,"IQ_CASH_OPER",IQ_FY-6), _xll.ciqfunctions.udf.CIQ(A1023, "IQ_CASH_OPER",IQ_FY-5))</f>
        <v>4205</v>
      </c>
      <c r="K1027" s="17">
        <f>IF(A1031=A1032,_xll.ciqfunctions.udf.CIQ(A1023,"IQ_CAPEX",IQ_FY-6), _xll.ciqfunctions.udf.CIQ(A1023, "IQ_CAPEX",IQ_FY-5))</f>
        <v>-835</v>
      </c>
      <c r="L1027" s="15">
        <f t="shared" si="272"/>
        <v>11.566573645558517</v>
      </c>
      <c r="M1027" s="17">
        <f>IF(A1031=A1032,_xll.ciqfunctions.udf.CIQ(A1023,"IQ_TOTAL_DEBT_ISSUED",IQ_FY-6), _xll.ciqfunctions.udf.CIQ(A1023, "IQ_TOTAL_DEBT_ISSUED",IQ_FY-5))</f>
        <v>14340</v>
      </c>
      <c r="N1027" s="17">
        <f>IF(A1031=A1032,_xll.ciqfunctions.udf.CIQ(A1023,"IQ_TOTAL_DEBT_REPAID",IQ_FY-6), _xll.ciqfunctions.udf.CIQ(A1023, "IQ_TOTAL_DEBT_REPAID",IQ_FY-5))</f>
        <v>-17074</v>
      </c>
      <c r="O1027" s="15">
        <f t="shared" si="273"/>
        <v>-9.383683189008007</v>
      </c>
      <c r="P1027" s="15">
        <f t="shared" si="274"/>
        <v>2.1828904565505098</v>
      </c>
      <c r="Q1027" s="18"/>
      <c r="R1027" s="38" t="s">
        <v>50</v>
      </c>
      <c r="S1027" s="3">
        <f>I1034</f>
        <v>1.8391307888863784E-2</v>
      </c>
      <c r="U1027" s="18"/>
      <c r="V1027" s="38" t="s">
        <v>50</v>
      </c>
      <c r="W1027" s="3">
        <f>I1034</f>
        <v>1.8391307888863784E-2</v>
      </c>
      <c r="Y1027" s="18"/>
      <c r="Z1027" s="38" t="s">
        <v>50</v>
      </c>
      <c r="AA1027" s="3">
        <f>I1034</f>
        <v>1.8391307888863784E-2</v>
      </c>
    </row>
    <row r="1028" spans="1:27">
      <c r="B1028" s="13">
        <v>6</v>
      </c>
      <c r="C1028" s="14" t="s">
        <v>26</v>
      </c>
      <c r="D1028" s="15" cm="1">
        <f t="array" ref="D1028">_xlfn.SINGLE(IF(A1031=A1032,_xll.ciqfunctions.udf.CIQ(A1023,"IQ_TOTAL_REV",IQ_FY-5)/I1028, _xll.ciqfunctions.udf.CIQ(A1023, "IQ_TOTAL_REV",IQ_FY-4)/I1028))</f>
        <v>55.975617616904216</v>
      </c>
      <c r="E1028" s="16">
        <f t="shared" si="275"/>
        <v>-0.21010910124274643</v>
      </c>
      <c r="F1028" s="15">
        <f>IF(A1031=A1032,_xll.ciqfunctions.udf.CIQ(A1023,"IQ_DILUT_EPS_EXCL",IQ_FY-5), _xll.ciqfunctions.udf.CIQ(A1023, "IQ_DILUT_EPS_EXCL",IQ_FY-4))</f>
        <v>-2.5821900000000002</v>
      </c>
      <c r="G1028" s="15">
        <f>IF(A1031=A1032,_xll.ciqfunctions.udf.CIQ(A1023,"IQ_EBITDA_MARGIN",IQ_FY-5), _xll.ciqfunctions.udf.CIQ(A1023, "IQ_EBITDA_MARGIN",IQ_FY-4))</f>
        <v>12.2759</v>
      </c>
      <c r="H1028" s="15">
        <f>IF(A1031=A1032,_xll.ciqfunctions.udf.CIQ(A1023,"IQ_TOTAL_DIV_PAID_CF",IQ_FY-5)/-I1028, _xll.ciqfunctions.udf.CIQ(A1023, "IQ_TOTAL_DIV_PAID_CF",IQ_FY-4)/-I1028)</f>
        <v>1.9729471113689456</v>
      </c>
      <c r="I1028" s="17">
        <f>IF(A1031=A1032,_xll.ciqfunctions.udf.CIQ(A1023,"IQ_TOTAL_OUTSTANDING_FILING_DATE",IQ_FY-5), _xll.ciqfunctions.udf.CIQ(A1023, "IQ_TOTAL_OUTSTANDING_FILING_DATE",IQ_FY-4))</f>
        <v>296.00387999999998</v>
      </c>
      <c r="J1028" s="17">
        <f>IF(A1031=A1032,_xll.ciqfunctions.udf.CIQ(A1023,"IQ_CASH_OPER",IQ_FY-5), _xll.ciqfunctions.udf.CIQ(A1023, "IQ_CASH_OPER",IQ_FY-4))</f>
        <v>1547</v>
      </c>
      <c r="K1028" s="17">
        <f>IF(A1031=A1032,_xll.ciqfunctions.udf.CIQ(A1023,"IQ_CAPEX",IQ_FY-5), _xll.ciqfunctions.udf.CIQ(A1023, "IQ_CAPEX",IQ_FY-4))</f>
        <v>-876</v>
      </c>
      <c r="L1028" s="15">
        <f t="shared" si="272"/>
        <v>2.2668621776174018</v>
      </c>
      <c r="M1028" s="17">
        <f>IF(A1031=A1032,_xll.ciqfunctions.udf.CIQ(A1023,"IQ_TOTAL_DEBT_ISSUED",IQ_FY-5), _xll.ciqfunctions.udf.CIQ(A1023, "IQ_TOTAL_DEBT_ISSUED",IQ_FY-4))</f>
        <v>0</v>
      </c>
      <c r="N1028" s="17">
        <f>IF(A1031=A1032,_xll.ciqfunctions.udf.CIQ(A1023,"IQ_TOTAL_DEBT_REPAID",IQ_FY-5), _xll.ciqfunctions.udf.CIQ(A1023, "IQ_TOTAL_DEBT_REPAID",IQ_FY-4))</f>
        <v>-681</v>
      </c>
      <c r="O1028" s="15">
        <f t="shared" si="273"/>
        <v>-2.3006455185655001</v>
      </c>
      <c r="P1028" s="15">
        <f t="shared" si="274"/>
        <v>-3.3783340948098317E-2</v>
      </c>
      <c r="Q1028" s="25" t="s">
        <v>27</v>
      </c>
      <c r="R1028" s="38" t="s">
        <v>51</v>
      </c>
      <c r="S1028" s="4">
        <f>AVERAGE(F1028:F1033)/AVERAGE(D1028:D1033)</f>
        <v>-3.0549156619330397E-2</v>
      </c>
      <c r="U1028" s="25" t="s">
        <v>58</v>
      </c>
      <c r="V1028" s="38" t="s">
        <v>51</v>
      </c>
      <c r="W1028" s="4">
        <f>AVERAGE(F1028:F1033)/AVERAGE(D1028:D1033)</f>
        <v>-3.0549156619330397E-2</v>
      </c>
      <c r="Y1028" s="25" t="s">
        <v>56</v>
      </c>
      <c r="Z1028" s="38" t="s">
        <v>51</v>
      </c>
      <c r="AA1028" s="4">
        <f>AVERAGE(F1028:F1033)/AVERAGE(D1028:D1033)</f>
        <v>-3.0549156619330397E-2</v>
      </c>
    </row>
    <row r="1029" spans="1:27">
      <c r="A1029" s="18"/>
      <c r="B1029" s="13">
        <v>7</v>
      </c>
      <c r="C1029" s="14" t="s">
        <v>28</v>
      </c>
      <c r="D1029" s="15" cm="1">
        <f t="array" ref="D1029">_xlfn.SINGLE(IF(A1031=A1032,_xll.ciqfunctions.udf.CIQ(A1023,"IQ_TOTAL_REV",IQ_FY-4)/I1029, _xll.ciqfunctions.udf.CIQ(A1023, "IQ_TOTAL_REV",IQ_FY-3)/I1029))</f>
        <v>55.320903384799031</v>
      </c>
      <c r="E1029" s="16">
        <f t="shared" si="275"/>
        <v>-1.1696418190256222E-2</v>
      </c>
      <c r="F1029" s="15">
        <f>IF(A1031=A1032,_xll.ciqfunctions.udf.CIQ(A1023,"IQ_DILUT_EPS_EXCL",IQ_FY-4), _xll.ciqfunctions.udf.CIQ(A1023, "IQ_DILUT_EPS_EXCL",IQ_FY-3))</f>
        <v>-0.84</v>
      </c>
      <c r="G1029" s="15">
        <f>IF(A1031=A1032,_xll.ciqfunctions.udf.CIQ(A1023,"IQ_EBITDA_MARGIN",IQ_FY-4), _xll.ciqfunctions.udf.CIQ(A1023, "IQ_EBITDA_MARGIN",IQ_FY-3))</f>
        <v>11.555899999999999</v>
      </c>
      <c r="H1029" s="15">
        <f>IF(A1031=A1032,_xll.ciqfunctions.udf.CIQ(A1023,"IQ_TOTAL_DIV_PAID_CF",IQ_FY-4)/-I1029, _xll.ciqfunctions.udf.CIQ(A1023, "IQ_TOTAL_DIV_PAID_CF",IQ_FY-3)/-I1029)</f>
        <v>1.9667744690460938</v>
      </c>
      <c r="I1029" s="17">
        <f>IF(A1031=A1032,_xll.ciqfunctions.udf.CIQ(A1023,"IQ_TOTAL_OUTSTANDING_FILING_DATE",IQ_FY-4), _xll.ciqfunctions.udf.CIQ(A1023, "IQ_TOTAL_OUTSTANDING_FILING_DATE",IQ_FY-3))</f>
        <v>302.52578999999997</v>
      </c>
      <c r="J1029" s="17">
        <f>IF(A1031=A1032,_xll.ciqfunctions.udf.CIQ(A1023,"IQ_CASH_OPER",IQ_FY-4), _xll.ciqfunctions.udf.CIQ(A1023, "IQ_CASH_OPER",IQ_FY-3))</f>
        <v>824</v>
      </c>
      <c r="K1029" s="17">
        <f>IF(A1031=A1032,_xll.ciqfunctions.udf.CIQ(A1023,"IQ_CAPEX",IQ_FY-4), _xll.ciqfunctions.udf.CIQ(A1023, "IQ_CAPEX",IQ_FY-3))</f>
        <v>-647</v>
      </c>
      <c r="L1029" s="15">
        <f t="shared" si="272"/>
        <v>0.58507408574984632</v>
      </c>
      <c r="M1029" s="17">
        <f>IF(A1031=A1032,_xll.ciqfunctions.udf.CIQ(A1023,"IQ_TOTAL_DEBT_ISSUED",IQ_FY-4), _xll.ciqfunctions.udf.CIQ(A1023, "IQ_TOTAL_DEBT_ISSUED",IQ_FY-3))</f>
        <v>0</v>
      </c>
      <c r="N1029" s="17">
        <f>IF(A1031=A1032,_xll.ciqfunctions.udf.CIQ(A1023,"IQ_TOTAL_DEBT_REPAID",IQ_FY-4), _xll.ciqfunctions.udf.CIQ(A1023, "IQ_TOTAL_DEBT_REPAID",IQ_FY-3))</f>
        <v>-982</v>
      </c>
      <c r="O1029" s="15">
        <f t="shared" si="273"/>
        <v>-3.2460042497533848</v>
      </c>
      <c r="P1029" s="15">
        <f t="shared" si="274"/>
        <v>-2.6609301640035383</v>
      </c>
      <c r="Q1029" s="18"/>
      <c r="R1029" s="38" t="s">
        <v>29</v>
      </c>
      <c r="S1029" s="4">
        <f>(AVERAGE(P1028:P1033)/_xlfn.STDEV.P(P1028:P1033))/(IF(A1031=A1032,(_xlfn.SINGLE(_xll.ciqfunctions.udf.CIQ(A1023,"IQ_total_assets",IQ_FY)) - _xlfn.SINGLE(_xll.ciqfunctions.udf.CIQ(A1023,"iq_gw_intan", IQ_FY)))/I1033, (_xlfn.SINGLE(_xll.ciqfunctions.udf.CIQ(A1023, "IQ_total_assets",IQ_LTM))-_xlfn.SINGLE(_xll.ciqfunctions.udf.CIQ(A1023,"iq_gw_intan",IQ_LTM)))/I1033))</f>
        <v>-3.5762255443547691E-2</v>
      </c>
      <c r="U1029" s="18"/>
      <c r="V1029" s="38" t="s">
        <v>29</v>
      </c>
      <c r="W1029" s="4">
        <f>(AVERAGE(P1028:P1033)/_xlfn.STDEV.P(P1028:P1033))/(IF(A1031=A1032,(_xlfn.SINGLE(_xll.ciqfunctions.udf.CIQ(A1023,"IQ_total_assets",IQ_FY)) - _xlfn.SINGLE(_xll.ciqfunctions.udf.CIQ(A1023,"iq_gw_intan", IQ_FY)))/I1033, (_xlfn.SINGLE(_xll.ciqfunctions.udf.CIQ(A1023, "IQ_total_assets",IQ_LTM))-_xlfn.SINGLE(_xll.ciqfunctions.udf.CIQ(A1023,"iq_gw_intan",IQ_LTM)))/I1033))</f>
        <v>-3.5762255443547691E-2</v>
      </c>
      <c r="Y1029" s="18"/>
      <c r="Z1029" s="38" t="s">
        <v>29</v>
      </c>
      <c r="AA1029" s="4">
        <f>(AVERAGE(P1028:P1033)/_xlfn.STDEV.P(P1028:P1033))/(IF(A1031=A1032,(_xlfn.SINGLE(_xll.ciqfunctions.udf.CIQ(A1023,"IQ_total_assets",IQ_FY)) - _xlfn.SINGLE(_xll.ciqfunctions.udf.CIQ(A1023,"iq_gw_intan", IQ_FY)))/I1033, (_xlfn.SINGLE(_xll.ciqfunctions.udf.CIQ(A1023, "IQ_total_assets",IQ_LTM))-_xlfn.SINGLE(_xll.ciqfunctions.udf.CIQ(A1023,"iq_gw_intan",IQ_LTM)))/I1033))</f>
        <v>-3.5762255443547691E-2</v>
      </c>
    </row>
    <row r="1030" spans="1:27">
      <c r="A1030" s="18"/>
      <c r="B1030" s="13">
        <v>8</v>
      </c>
      <c r="C1030" s="14" t="s">
        <v>30</v>
      </c>
      <c r="D1030" s="15" cm="1">
        <f t="array" ref="D1030">_xlfn.SINGLE(IF(A1031=A1032,_xll.ciqfunctions.udf.CIQ(A1023,"IQ_TOTAL_REV",IQ_FY-3)/I1030, _xll.ciqfunctions.udf.CIQ(A1023, "IQ_TOTAL_REV",IQ_FY-2)/I1030))</f>
        <v>54.808443324581326</v>
      </c>
      <c r="E1030" s="16">
        <f t="shared" si="275"/>
        <v>-9.2634072992835142E-3</v>
      </c>
      <c r="F1030" s="15">
        <f>IF(A1031=A1032,_xll.ciqfunctions.udf.CIQ(A1023,"IQ_DILUT_EPS_EXCL",IQ_FY-3), _xll.ciqfunctions.udf.CIQ(A1023, "IQ_DILUT_EPS_EXCL",IQ_FY-2))</f>
        <v>2.66</v>
      </c>
      <c r="G1030" s="15">
        <f>IF(A1031=A1032,_xll.ciqfunctions.udf.CIQ(A1023,"IQ_EBITDA_MARGIN",IQ_FY-3), _xll.ciqfunctions.udf.CIQ(A1023, "IQ_EBITDA_MARGIN",IQ_FY-2))</f>
        <v>13.7158</v>
      </c>
      <c r="H1030" s="15">
        <f>IF(A1031=A1032,_xll.ciqfunctions.udf.CIQ(A1023,"IQ_TOTAL_DIV_PAID_CF",IQ_FY-3)/-I1030, _xll.ciqfunctions.udf.CIQ(A1023, "IQ_TOTAL_DIV_PAID_CF",IQ_FY-2)/-I1030)</f>
        <v>0</v>
      </c>
      <c r="I1030" s="17">
        <f>IF(A1031=A1032,_xll.ciqfunctions.udf.CIQ(A1023,"IQ_TOTAL_OUTSTANDING_FILING_DATE",IQ_FY-3), _xll.ciqfunctions.udf.CIQ(A1023, "IQ_TOTAL_OUTSTANDING_FILING_DATE",IQ_FY-2))</f>
        <v>308.74804999999998</v>
      </c>
      <c r="J1030" s="17">
        <f>IF(A1031=A1032,_xll.ciqfunctions.udf.CIQ(A1023,"IQ_CASH_OPER",IQ_FY-3), _xll.ciqfunctions.udf.CIQ(A1023, "IQ_CASH_OPER",IQ_FY-2))</f>
        <v>1898</v>
      </c>
      <c r="K1030" s="17">
        <f>IF(A1031=A1032,_xll.ciqfunctions.udf.CIQ(A1023,"IQ_CAPEX",IQ_FY-3), _xll.ciqfunctions.udf.CIQ(A1023, "IQ_CAPEX",IQ_FY-2))</f>
        <v>-1146</v>
      </c>
      <c r="L1030" s="15">
        <f t="shared" si="272"/>
        <v>2.4356429133722464</v>
      </c>
      <c r="M1030" s="17">
        <f>IF(A1031=A1032,_xll.ciqfunctions.udf.CIQ(A1023,"IQ_TOTAL_DEBT_ISSUED",IQ_FY-3), _xll.ciqfunctions.udf.CIQ(A1023, "IQ_TOTAL_DEBT_ISSUED",IQ_FY-2))</f>
        <v>0</v>
      </c>
      <c r="N1030" s="17">
        <f>IF(A1031=A1032,_xll.ciqfunctions.udf.CIQ(A1023,"IQ_TOTAL_DEBT_REPAID",IQ_FY-3), _xll.ciqfunctions.udf.CIQ(A1023, "IQ_TOTAL_DEBT_REPAID",IQ_FY-2))</f>
        <v>-886</v>
      </c>
      <c r="O1030" s="15">
        <f t="shared" si="273"/>
        <v>-2.8696537516593223</v>
      </c>
      <c r="P1030" s="15">
        <f t="shared" si="274"/>
        <v>-0.43401083828707598</v>
      </c>
      <c r="Q1030" s="18"/>
      <c r="R1030" s="39" t="s">
        <v>31</v>
      </c>
      <c r="S1030" s="5">
        <f>IF(NOT(D1023&gt;0),FALSE,SLOPE(G1023:G1033,B1023:B1033))</f>
        <v>-2.3626145454545457</v>
      </c>
      <c r="U1030" s="18"/>
      <c r="V1030" s="39" t="s">
        <v>31</v>
      </c>
      <c r="W1030" s="5">
        <f>IF(NOT(D1023&gt;0),FALSE,SLOPE(G1023:G1033,B1023:B1033))</f>
        <v>-2.3626145454545457</v>
      </c>
      <c r="Y1030" s="18"/>
      <c r="Z1030" s="39" t="s">
        <v>31</v>
      </c>
      <c r="AA1030" s="5">
        <f>IF(NOT(L1023&gt;0),FALSE,SLOPE(O1023:O1033,J1023:J1033))</f>
        <v>-1.6148145971323429E-3</v>
      </c>
    </row>
    <row r="1031" spans="1:27">
      <c r="A1031" s="19">
        <f>_xll.ciqfunctions.udf.CIQ(A1023,"IQ_TOTAL_REV",IQ_FY)</f>
        <v>12318</v>
      </c>
      <c r="B1031" s="13">
        <v>9</v>
      </c>
      <c r="C1031" s="14" t="s">
        <v>32</v>
      </c>
      <c r="D1031" s="15" cm="1">
        <f t="array" ref="D1031">_xlfn.SINGLE(IF(A1031=A1032,_xll.ciqfunctions.udf.CIQ(A1023,"IQ_TOTAL_REV",IQ_FY-2)/I1031, _xll.ciqfunctions.udf.CIQ(A1023, "IQ_TOTAL_REV",IQ_FY-1)/I1031))</f>
        <v>59.756584369219055</v>
      </c>
      <c r="E1031" s="16">
        <f t="shared" si="275"/>
        <v>9.0280634597379852E-2</v>
      </c>
      <c r="F1031" s="15">
        <f>IF(A1031=A1032,_xll.ciqfunctions.udf.CIQ(A1023,"IQ_DILUT_EPS_EXCL",IQ_FY-2), _xll.ciqfunctions.udf.CIQ(A1023, "IQ_DILUT_EPS_EXCL",IQ_FY-1))</f>
        <v>4.75</v>
      </c>
      <c r="G1031" s="15">
        <f>IF(A1031=A1032,_xll.ciqfunctions.udf.CIQ(A1023,"IQ_EBITDA_MARGIN",IQ_FY-2), _xll.ciqfunctions.udf.CIQ(A1023, "IQ_EBITDA_MARGIN",IQ_FY-1))</f>
        <v>19.0975</v>
      </c>
      <c r="H1031" s="15">
        <f>IF(A1031=A1032,_xll.ciqfunctions.udf.CIQ(A1023,"IQ_TOTAL_DIV_PAID_CF",IQ_FY-2)/-I1031, _xll.ciqfunctions.udf.CIQ(A1023, "IQ_TOTAL_DIV_PAID_CF",IQ_FY-1)/-I1031)</f>
        <v>0</v>
      </c>
      <c r="I1031" s="17">
        <f>IF(A1031=A1032,_xll.ciqfunctions.udf.CIQ(A1023,"IQ_TOTAL_OUTSTANDING_FILING_DATE",IQ_FY-2), _xll.ciqfunctions.udf.CIQ(A1023, "IQ_TOTAL_OUTSTANDING_FILING_DATE",IQ_FY-1))</f>
        <v>314.49254000000002</v>
      </c>
      <c r="J1031" s="17">
        <f>IF(A1031=A1032,_xll.ciqfunctions.udf.CIQ(A1023,"IQ_CASH_OPER",IQ_FY-2), _xll.ciqfunctions.udf.CIQ(A1023, "IQ_CASH_OPER",IQ_FY-1))</f>
        <v>1880</v>
      </c>
      <c r="K1031" s="17">
        <f>IF(A1031=A1032,_xll.ciqfunctions.udf.CIQ(A1023,"IQ_CAPEX",IQ_FY-2), _xll.ciqfunctions.udf.CIQ(A1023, "IQ_CAPEX",IQ_FY-1))</f>
        <v>-1122</v>
      </c>
      <c r="L1031" s="15">
        <f t="shared" si="272"/>
        <v>2.4102320519272094</v>
      </c>
      <c r="M1031" s="17">
        <f>IF(A1031=A1032,_xll.ciqfunctions.udf.CIQ(A1023,"IQ_TOTAL_DEBT_ISSUED",IQ_FY-2), _xll.ciqfunctions.udf.CIQ(A1023, "IQ_TOTAL_DEBT_ISSUED",IQ_FY-1))</f>
        <v>1894</v>
      </c>
      <c r="N1031" s="17">
        <f>IF(A1031=A1032,_xll.ciqfunctions.udf.CIQ(A1023,"IQ_TOTAL_DEBT_REPAID",IQ_FY-2), _xll.ciqfunctions.udf.CIQ(A1023, "IQ_TOTAL_DEBT_REPAID",IQ_FY-1))</f>
        <v>-3621</v>
      </c>
      <c r="O1031" s="15">
        <f t="shared" si="273"/>
        <v>-5.4913862185729423</v>
      </c>
      <c r="P1031" s="15">
        <f t="shared" si="274"/>
        <v>-3.0811541666457329</v>
      </c>
      <c r="Q1031" s="25" t="s">
        <v>33</v>
      </c>
      <c r="R1031" s="38" t="s">
        <v>52</v>
      </c>
      <c r="S1031" s="4">
        <f>(AVERAGE(O1028:O1033)/AVERAGE(P1028:P1033))</f>
        <v>0.90571027517118863</v>
      </c>
      <c r="U1031" s="25" t="s">
        <v>54</v>
      </c>
      <c r="V1031" s="38" t="s">
        <v>52</v>
      </c>
      <c r="W1031" s="4">
        <f>(AVERAGE(O1028:O1033)/AVERAGE(P1028:P1033))</f>
        <v>0.90571027517118863</v>
      </c>
      <c r="Y1031" s="25" t="s">
        <v>60</v>
      </c>
      <c r="Z1031" s="38" t="s">
        <v>52</v>
      </c>
      <c r="AA1031" s="4">
        <f>(AVERAGE(O1028:O1033)/AVERAGE(P1028:P1033))</f>
        <v>0.90571027517118863</v>
      </c>
    </row>
    <row r="1032" spans="1:27">
      <c r="A1032" s="19">
        <f>_xll.ciqfunctions.udf.CIQ(A1023,"IQ_TOTAL_REV",IQ_LTM)</f>
        <v>11332</v>
      </c>
      <c r="B1032" s="13">
        <v>10</v>
      </c>
      <c r="C1032" s="14" t="s">
        <v>34</v>
      </c>
      <c r="D1032" s="15" cm="1">
        <f t="array" ref="D1032">_xlfn.SINGLE(IF(A1031=A1032,_xll.ciqfunctions.udf.CIQ(A1023,"IQ_TOTAL_REV",IQ_FY-1)/I1032, _xll.ciqfunctions.udf.CIQ(A1023, "IQ_TOTAL_REV",IQ_FY)/I1032))</f>
        <v>38.26702267403418</v>
      </c>
      <c r="E1032" s="16">
        <f t="shared" si="275"/>
        <v>-0.35961830686986629</v>
      </c>
      <c r="F1032" s="15">
        <f>IF(A1031=A1032,_xll.ciqfunctions.udf.CIQ(A1023,"IQ_DILUT_EPS_EXCL",IQ_FY-1), _xll.ciqfunctions.udf.CIQ(A1023, "IQ_DILUT_EPS_EXCL",IQ_FY))</f>
        <v>-5.4402499999999998</v>
      </c>
      <c r="G1032" s="15">
        <f>IF(A1031=A1032,_xll.ciqfunctions.udf.CIQ(A1023,"IQ_EBITDA_MARGIN",IQ_FY-1), _xll.ciqfunctions.udf.CIQ(A1023, "IQ_EBITDA_MARGIN",IQ_FY))</f>
        <v>-2.0781999999999998</v>
      </c>
      <c r="H1032" s="15">
        <f>IF(A1031=A1032,_xll.ciqfunctions.udf.CIQ(A1023,"IQ_TOTAL_DIV_PAID_CF",IQ_FY-1)/-I1032, _xll.ciqfunctions.udf.CIQ(A1023, "IQ_TOTAL_DIV_PAID_CF",IQ_FY)/-I1032)</f>
        <v>0</v>
      </c>
      <c r="I1032" s="17">
        <f>IF(A1031=A1032,_xll.ciqfunctions.udf.CIQ(A1023,"IQ_TOTAL_OUTSTANDING_FILING_DATE",IQ_FY-1), _xll.ciqfunctions.udf.CIQ(A1023, "IQ_TOTAL_OUTSTANDING_FILING_DATE",IQ_FY))</f>
        <v>321.89596</v>
      </c>
      <c r="J1032" s="17">
        <f>IF(A1031=A1032,_xll.ciqfunctions.udf.CIQ(A1023,"IQ_CASH_OPER",IQ_FY-1), _xll.ciqfunctions.udf.CIQ(A1023, "IQ_CASH_OPER",IQ_FY))</f>
        <v>-408</v>
      </c>
      <c r="K1032" s="17">
        <f>IF(A1031=A1032,_xll.ciqfunctions.udf.CIQ(A1023,"IQ_CAPEX",IQ_FY-1), _xll.ciqfunctions.udf.CIQ(A1023, "IQ_CAPEX",IQ_FY))</f>
        <v>-821</v>
      </c>
      <c r="L1032" s="15">
        <f t="shared" si="272"/>
        <v>-3.8180038047075833</v>
      </c>
      <c r="M1032" s="17">
        <f>IF(A1031=A1032,_xll.ciqfunctions.udf.CIQ(A1023,"IQ_TOTAL_DEBT_ISSUED",IQ_FY-1), _xll.ciqfunctions.udf.CIQ(A1023, "IQ_TOTAL_DEBT_ISSUED",IQ_FY))</f>
        <v>1180</v>
      </c>
      <c r="N1032" s="17">
        <f>IF(A1031=A1032,_xll.ciqfunctions.udf.CIQ(A1023,"IQ_TOTAL_DEBT_REPAID",IQ_FY-1), _xll.ciqfunctions.udf.CIQ(A1023, "IQ_TOTAL_DEBT_REPAID",IQ_FY))</f>
        <v>-1180</v>
      </c>
      <c r="O1032" s="15">
        <f t="shared" si="273"/>
        <v>0</v>
      </c>
      <c r="P1032" s="15">
        <f t="shared" si="274"/>
        <v>-3.8180038047075833</v>
      </c>
      <c r="Q1032" s="25" t="s">
        <v>44</v>
      </c>
      <c r="R1032" s="38" t="s">
        <v>35</v>
      </c>
      <c r="S1032" s="1" t="str">
        <f>_xll.ciqfunctions.udf.CIQ(A1023,"IQ_TEV_EBITDA")</f>
        <v>NM</v>
      </c>
      <c r="U1032" s="25" t="s">
        <v>55</v>
      </c>
      <c r="V1032" s="38" t="s">
        <v>53</v>
      </c>
      <c r="W1032" s="1">
        <f>V1022/(AVERAGE(D1028:D1033)/_xlfn.STDEV.P(E1028:E1033))</f>
        <v>0.14077470991934835</v>
      </c>
      <c r="Y1032" s="25" t="s">
        <v>57</v>
      </c>
      <c r="Z1032" s="38" t="s">
        <v>53</v>
      </c>
      <c r="AA1032" s="1">
        <f>Z1022/(AVERAGE(D1028:D1033)/_xlfn.STDEV.P(E1028:E1033))</f>
        <v>0.14077470991934835</v>
      </c>
    </row>
    <row r="1033" spans="1:27">
      <c r="B1033" s="13">
        <v>11</v>
      </c>
      <c r="C1033" s="20" t="s">
        <v>36</v>
      </c>
      <c r="D1033" s="21" cm="1">
        <f t="array" ref="D1033">_xlfn.SINGLE(IF(A1031=A1032,_xll.ciqfunctions.udf.CIQ(A1023,"IQ_TOTAL_REV",IQ_FY)/I1033, _xll.ciqfunctions.udf.CIQ(A1023, "IQ_TOTAL_REV",IQ_LTM)/I1033))</f>
        <v>34.949079573490465</v>
      </c>
      <c r="E1033" s="22">
        <f t="shared" si="275"/>
        <v>-8.6705023508272097E-2</v>
      </c>
      <c r="F1033" s="21">
        <f>IF(A1031=A1032,_xll.ciqfunctions.udf.CIQ(A1023,"IQ_DILUT_EPS_EXCL",IQ_FY), _xll.ciqfunctions.udf.CIQ(A1023, "IQ_DILUT_EPS_EXCL",IQ_LTM))</f>
        <v>-7.6841299999999997</v>
      </c>
      <c r="G1033" s="21">
        <f>IF(A1031=A1032,_xll.ciqfunctions.udf.CIQ(A1023,"IQ_EBITDA_MARGIN",IQ_FY), _xll.ciqfunctions.udf.CIQ(A1023, "IQ_EBITDA_MARGIN",IQ_LTM))</f>
        <v>-9.2303999999999995</v>
      </c>
      <c r="H1033" s="21">
        <f>IF(A1031=A1032,_xll.ciqfunctions.udf.CIQ(A1023,"IQ_TOTAL_DIV_PAID_CF",IQ_FY)/-I1033, _xll.ciqfunctions.udf.CIQ(A1023, "IQ_TOTAL_DIV_PAID_CF",IQ_LTM)/-I1033)</f>
        <v>0</v>
      </c>
      <c r="I1033" s="23">
        <f>IF(A1031=A1032,_xll.ciqfunctions.udf.CIQ(A1023,"IQ_TOTAL_OUTSTANDING_FILING_DATE",IQ_FY),_xll.ciqfunctions.udf.CIQ(A1023,"IQ_sharesoutstanding"))</f>
        <v>324.24315999999999</v>
      </c>
      <c r="J1033" s="23">
        <f>IF(A1031=A1032,_xll.ciqfunctions.udf.CIQ(A1023,"IQ_CASH_OPER",IQ_FY), _xll.ciqfunctions.udf.CIQ(A1023, "IQ_CASH_OPER",IQ_LTM))</f>
        <v>-1040</v>
      </c>
      <c r="K1033" s="23">
        <f>IF(A1031=A1032,_xll.ciqfunctions.udf.CIQ(A1023,"IQ_CAPEX",IQ_FY), _xll.ciqfunctions.udf.CIQ(A1023, "IQ_CAPEX",IQ_LTM))</f>
        <v>-625</v>
      </c>
      <c r="L1033" s="21">
        <f t="shared" si="272"/>
        <v>-5.1350350767615272</v>
      </c>
      <c r="M1033" s="23">
        <f>IF(A1031=A1032,_xll.ciqfunctions.udf.CIQ(A1023,"IQ_TOTAL_DEBT_ISSUED",IQ_FY), _xll.ciqfunctions.udf.CIQ(A1023, "IQ_TOTAL_DEBT_ISSUED",IQ_LTM))</f>
        <v>1480</v>
      </c>
      <c r="N1033" s="23">
        <f>IF(A1031=A1032,_xll.ciqfunctions.udf.CIQ(A1023,"IQ_TOTAL_DEBT_REPAID",IQ_FY), _xll.ciqfunctions.udf.CIQ(A1023, "IQ_TOTAL_DEBT_REPAID",IQ_LTM))</f>
        <v>-880</v>
      </c>
      <c r="O1033" s="21">
        <f t="shared" si="273"/>
        <v>1.8504630907248745</v>
      </c>
      <c r="P1033" s="21">
        <f t="shared" si="274"/>
        <v>-3.2845719860366529</v>
      </c>
      <c r="Q1033" s="25" t="s">
        <v>45</v>
      </c>
      <c r="S1033" s="45"/>
      <c r="U1033" s="25"/>
      <c r="W1033" s="45"/>
      <c r="Y1033" s="25"/>
      <c r="AA1033" s="45"/>
    </row>
    <row r="1034" spans="1:27">
      <c r="B1034" s="24"/>
      <c r="C1034" s="25" t="s">
        <v>37</v>
      </c>
      <c r="E1034" s="26">
        <f>((D1033/D1028)^(1/5))-1</f>
        <v>-8.9903656122518494E-2</v>
      </c>
      <c r="F1034" s="27">
        <f>((F1033/F1028)^(1/5))-1</f>
        <v>0.24371623003342813</v>
      </c>
      <c r="G1034" s="28"/>
      <c r="H1034" s="27">
        <f>((H1033/H1028)^(1/5))-1</f>
        <v>-1</v>
      </c>
      <c r="I1034" s="27">
        <f>((I1033/I1028)^(1/5))-1</f>
        <v>1.8391307888863784E-2</v>
      </c>
      <c r="J1034" s="27"/>
      <c r="K1034" s="27"/>
      <c r="L1034" s="26">
        <f>((L1033/L1028)^(1/5))-1</f>
        <v>-2.1776701292719762</v>
      </c>
      <c r="M1034" s="26"/>
      <c r="N1034" s="26"/>
      <c r="O1034" s="26"/>
      <c r="P1034" s="26">
        <f>((P1033/P1028)^(1/5))-1</f>
        <v>1.4977860608770008</v>
      </c>
      <c r="Q1034" s="18"/>
      <c r="R1034" s="36"/>
      <c r="S1034" s="45"/>
      <c r="U1034" s="18"/>
      <c r="V1034" s="36"/>
      <c r="W1034" s="45"/>
      <c r="Y1034" s="18"/>
      <c r="Z1034" s="36"/>
      <c r="AA1034" s="45"/>
    </row>
    <row r="1035" spans="1:27">
      <c r="A1035" s="29"/>
      <c r="B1035" s="30"/>
      <c r="C1035" s="31" t="s">
        <v>38</v>
      </c>
      <c r="D1035" s="29"/>
      <c r="E1035" s="32">
        <f>((D1033/D1023)^(1/10))-1</f>
        <v>-5.9663399776379356E-2</v>
      </c>
      <c r="F1035" s="33" t="e">
        <f>((F1033/F1023)^(1/10))-1</f>
        <v>#NUM!</v>
      </c>
      <c r="G1035" s="34"/>
      <c r="H1035" s="33">
        <f>((H1033/H1023)^(1/10))-1</f>
        <v>-1</v>
      </c>
      <c r="I1035" s="33">
        <f>((I1033/I1023)^(1/10))-1</f>
        <v>3.3150103480712012E-2</v>
      </c>
      <c r="J1035" s="33"/>
      <c r="K1035" s="33"/>
      <c r="L1035" s="32" t="e">
        <f>((L1033/L1023)^(1/10))-1</f>
        <v>#NUM!</v>
      </c>
      <c r="M1035" s="32"/>
      <c r="N1035" s="32"/>
      <c r="O1035" s="32"/>
      <c r="P1035" s="32" t="e">
        <f>((P1033/P1023)^(1/10))-1</f>
        <v>#NUM!</v>
      </c>
      <c r="Q1035" s="40"/>
      <c r="R1035" s="41"/>
      <c r="S1035" s="46"/>
      <c r="U1035" s="40"/>
      <c r="V1035" s="41"/>
      <c r="W1035" s="46"/>
      <c r="Y1035" s="40"/>
      <c r="Z1035" s="41"/>
      <c r="AA1035" s="46"/>
    </row>
    <row r="1036" spans="1:27">
      <c r="B1036" s="24"/>
      <c r="C1036" s="25"/>
      <c r="E1036" s="26"/>
      <c r="F1036" s="27"/>
      <c r="G1036" s="28"/>
      <c r="H1036" s="27"/>
      <c r="I1036" s="27"/>
      <c r="J1036" s="27"/>
      <c r="K1036" s="27"/>
      <c r="L1036" s="26"/>
      <c r="M1036" s="17"/>
      <c r="N1036" s="17"/>
      <c r="O1036" s="17"/>
      <c r="P1036" s="35"/>
      <c r="Q1036" s="18"/>
      <c r="R1036" s="36"/>
    </row>
    <row r="1037" spans="1:27">
      <c r="A1037" s="9" t="s">
        <v>0</v>
      </c>
      <c r="B1037" s="10"/>
      <c r="C1037" s="9" t="s">
        <v>1</v>
      </c>
      <c r="D1037" s="9" t="s">
        <v>2</v>
      </c>
      <c r="E1037" s="9" t="s">
        <v>3</v>
      </c>
      <c r="F1037" s="11" t="s">
        <v>4</v>
      </c>
      <c r="G1037" s="11" t="s">
        <v>5</v>
      </c>
      <c r="H1037" s="9" t="s">
        <v>6</v>
      </c>
      <c r="I1037" s="11" t="s">
        <v>7</v>
      </c>
      <c r="J1037" s="11" t="s">
        <v>8</v>
      </c>
      <c r="K1037" s="11" t="s">
        <v>9</v>
      </c>
      <c r="L1037" s="11" t="s">
        <v>10</v>
      </c>
      <c r="M1037" s="11" t="s">
        <v>11</v>
      </c>
      <c r="N1037" s="11" t="s">
        <v>12</v>
      </c>
      <c r="O1037" s="11" t="s">
        <v>13</v>
      </c>
      <c r="P1037" s="11" t="s">
        <v>14</v>
      </c>
      <c r="Q1037" s="37" t="s">
        <v>15</v>
      </c>
      <c r="R1037" s="42" t="str">
        <f>_xll.ciqfunctions.udf.CIQ(A1038,("IQ_LASTSALEPRICE"))</f>
        <v>(Invalid Identifier)</v>
      </c>
      <c r="S1037" s="44"/>
      <c r="U1037" s="37" t="s">
        <v>15</v>
      </c>
      <c r="V1037" s="42" t="str">
        <f>_xll.ciqfunctions.udf.CIQ(A1038,("IQ_LASTSALEPRICE"))</f>
        <v>(Invalid Identifier)</v>
      </c>
      <c r="W1037" s="44"/>
      <c r="Y1037" s="37" t="s">
        <v>15</v>
      </c>
      <c r="Z1037" s="42" t="str">
        <f>_xll.ciqfunctions.udf.CIQ(A1038,("IQ_LASTSALEPRICE"))</f>
        <v>(Invalid Identifier)</v>
      </c>
      <c r="AA1037" s="44"/>
    </row>
    <row r="1038" spans="1:27">
      <c r="A1038" s="12" t="str">
        <f>Analysis!B71</f>
        <v>NasdaqGS:NATI</v>
      </c>
      <c r="B1038" s="13">
        <v>1</v>
      </c>
      <c r="C1038" s="14" t="s">
        <v>16</v>
      </c>
      <c r="D1038" s="15" t="e">
        <f>IF(A1046=A1047,_xll.ciqfunctions.udf.CIQ(A1038,"IQ_TOTAL_REV",IQ_FY-10)/I1038,_xll.ciqfunctions.udf.CIQ(A1038, "IQ_TOTAL_REV",IQ_FY-9)/I1038)</f>
        <v>#VALUE!</v>
      </c>
      <c r="E1038" s="16"/>
      <c r="F1038" s="15" t="str">
        <f>IF(A1046=A1047,_xll.ciqfunctions.udf.CIQ(A1038,"IQ_DILUT_EPS_EXCL",IQ_FY-10), _xll.ciqfunctions.udf.CIQ(A1038, "IQ_DILUT_EPS_EXCL",IQ_FY-9))</f>
        <v>(Invalid Identifier)</v>
      </c>
      <c r="G1038" s="15" t="str">
        <f>IF(A1046=A1047,_xll.ciqfunctions.udf.CIQ(A1038,"IQ_EBITDA_MARGIN",IQ_FY-10), _xll.ciqfunctions.udf.CIQ(A1038, "IQ_EBITDA_MARGIN",IQ_FY-9))</f>
        <v>(Invalid Identifier)</v>
      </c>
      <c r="H1038" s="15" t="e">
        <f>IF(A1046=A1047,_xll.ciqfunctions.udf.CIQ(A1038,"IQ_TOTAL_DIV_PAID_CF",IQ_FY-10)/-I1038, _xll.ciqfunctions.udf.CIQ(A1038, "IQ_TOTAL_DIV_PAID_CF",IQ_FY-9)/-I1038)</f>
        <v>#VALUE!</v>
      </c>
      <c r="I1038" s="17" t="str">
        <f>IF(A1046=A1047,_xll.ciqfunctions.udf.CIQ(A1038,"IQ_TOTAL_OUTSTANDING_FILING_DATE",IQ_FY-10), _xll.ciqfunctions.udf.CIQ(A1038, "IQ_TOTAL_OUTSTANDING_FILING_DATE",IQ_FY-9))</f>
        <v>(Invalid Identifier)</v>
      </c>
      <c r="J1038" s="17" t="str">
        <f>IF(A1046=A1047,_xll.ciqfunctions.udf.CIQ(A1038,"IQ_CASH_OPER",IQ_FY-10), _xll.ciqfunctions.udf.CIQ(A1038, "IQ_CASH_OPER",IQ_FY-9))</f>
        <v>(Invalid Identifier)</v>
      </c>
      <c r="K1038" s="17" t="str">
        <f>IF(A1046=A1047,_xll.ciqfunctions.udf.CIQ(A1038,"IQ_CAPEX",IQ_FY-10), _xll.ciqfunctions.udf.CIQ(A1038, "IQ_CAPEX",IQ_FY-9))</f>
        <v>(Invalid Identifier)</v>
      </c>
      <c r="L1038" s="15" t="e">
        <f t="shared" ref="L1038:L1048" si="276">(J1038+K1038)/I1038</f>
        <v>#VALUE!</v>
      </c>
      <c r="M1038" s="17" t="str">
        <f>IF(A1046=A1047,_xll.ciqfunctions.udf.CIQ(A1038,"IQ_TOTAL_DEBT_ISSUED",IQ_FY-10), _xll.ciqfunctions.udf.CIQ(A1038, "IQ_TOTAL_DEBT_ISSUED",IQ_FY-9))</f>
        <v>(Invalid Identifier)</v>
      </c>
      <c r="N1038" s="17" t="str">
        <f>IF(A1046=A1047,_xll.ciqfunctions.udf.CIQ(A1038,"IQ_TOTAL_DEBT_REPAID",IQ_FY-10), _xll.ciqfunctions.udf.CIQ(A1038, "IQ_TOTAL_DEBT_REPAID",IQ_FY-9))</f>
        <v>(Invalid Identifier)</v>
      </c>
      <c r="O1038" s="15" t="e">
        <f t="shared" ref="O1038:O1048" si="277">(M1038+N1038)/I1038</f>
        <v>#VALUE!</v>
      </c>
      <c r="P1038" s="15" t="e">
        <f t="shared" ref="P1038:P1048" si="278">L1038+O1038</f>
        <v>#VALUE!</v>
      </c>
      <c r="W1038" s="43"/>
      <c r="AA1038" s="43"/>
    </row>
    <row r="1039" spans="1:27">
      <c r="A1039" s="18" t="str">
        <f>_xll.ciqfunctions.udf.CIQ(A1038,"IQ_COMPANY_NAME")</f>
        <v>(Invalid Identifier)</v>
      </c>
      <c r="B1039" s="13">
        <v>2</v>
      </c>
      <c r="C1039" s="14" t="s">
        <v>17</v>
      </c>
      <c r="D1039" s="15" t="e">
        <f>IF(A1046=A1047,_xll.ciqfunctions.udf.CIQ(A1038,"IQ_TOTAL_REV",IQ_FY-9)/I1039, _xll.ciqfunctions.udf.CIQ(A1038, "IQ_TOTAL_REV",IQ_FY-8)/I1039)</f>
        <v>#VALUE!</v>
      </c>
      <c r="E1039" s="16" t="e">
        <f t="shared" ref="E1039:E1048" si="279">(D1039-D1038)/D1038</f>
        <v>#VALUE!</v>
      </c>
      <c r="F1039" s="15" t="str">
        <f>IF(A1046=A1047,_xll.ciqfunctions.udf.CIQ(A1038,"IQ_DILUT_EPS_EXCL",IQ_FY-9), _xll.ciqfunctions.udf.CIQ(A1038, "IQ_DILUT_EPS_EXCL",IQ_FY-8))</f>
        <v>(Invalid Identifier)</v>
      </c>
      <c r="G1039" s="15" t="str">
        <f>IF(A1046=A1047,_xll.ciqfunctions.udf.CIQ(A1038,"IQ_EBITDA_MARGIN",IQ_FY-9), _xll.ciqfunctions.udf.CIQ(A1038, "IQ_EBITDA_MARGIN",IQ_FY-8))</f>
        <v>(Invalid Identifier)</v>
      </c>
      <c r="H1039" s="15" t="e">
        <f>IF(A1046=A1047,_xll.ciqfunctions.udf.CIQ(A1038,"IQ_TOTAL_DIV_PAID_CF",IQ_FY-9)/-I1039, _xll.ciqfunctions.udf.CIQ(A1038, "IQ_TOTAL_DIV_PAID_CF",IQ_FY-8)/-I1039)</f>
        <v>#VALUE!</v>
      </c>
      <c r="I1039" s="17" t="str">
        <f>IF(A1046=A1047,_xll.ciqfunctions.udf.CIQ(A1038,"IQ_TOTAL_OUTSTANDING_FILING_DATE",IQ_FY-9), _xll.ciqfunctions.udf.CIQ(A1038, "IQ_TOTAL_OUTSTANDING_FILING_DATE",IQ_FY-8))</f>
        <v>(Invalid Identifier)</v>
      </c>
      <c r="J1039" s="17" t="str">
        <f>IF(A1046=A1047,_xll.ciqfunctions.udf.CIQ(A1038,"IQ_CASH_OPER",IQ_FY-9), _xll.ciqfunctions.udf.CIQ(A1038, "IQ_CASH_OPER",IQ_FY-8))</f>
        <v>(Invalid Identifier)</v>
      </c>
      <c r="K1039" s="17" t="str">
        <f>IF(A1046=A1047,_xll.ciqfunctions.udf.CIQ(A1038,"IQ_CAPEX",IQ_FY-9), _xll.ciqfunctions.udf.CIQ(A1038, "IQ_CAPEX",IQ_FY-8))</f>
        <v>(Invalid Identifier)</v>
      </c>
      <c r="L1039" s="15" t="e">
        <f t="shared" si="276"/>
        <v>#VALUE!</v>
      </c>
      <c r="M1039" s="17" t="str">
        <f>IF(A1046=A1047,_xll.ciqfunctions.udf.CIQ(A1038,"IQ_TOTAL_DEBT_ISSUED",IQ_FY-9), _xll.ciqfunctions.udf.CIQ(A1038, "IQ_TOTAL_DEBT_ISSUED",IQ_FY-8))</f>
        <v>(Invalid Identifier)</v>
      </c>
      <c r="N1039" s="17" t="str">
        <f>IF(A1046=A1047,_xll.ciqfunctions.udf.CIQ(A1038,"IQ_TOTAL_DEBT_REPAID",IQ_FY-9), _xll.ciqfunctions.udf.CIQ(A1038, "IQ_TOTAL_DEBT_REPAID",IQ_FY-8))</f>
        <v>(Invalid Identifier)</v>
      </c>
      <c r="O1039" s="15" t="e">
        <f t="shared" si="277"/>
        <v>#VALUE!</v>
      </c>
      <c r="P1039" s="15" t="e">
        <f t="shared" si="278"/>
        <v>#VALUE!</v>
      </c>
      <c r="Q1039" s="25" t="s">
        <v>18</v>
      </c>
      <c r="R1039" s="39" t="s">
        <v>19</v>
      </c>
      <c r="S1039" s="1" t="e">
        <f>R1037/((AVERAGE(P1043:P1048))*(1+E1049)^3)</f>
        <v>#VALUE!</v>
      </c>
      <c r="U1039" s="25" t="s">
        <v>48</v>
      </c>
      <c r="V1039" s="39" t="s">
        <v>19</v>
      </c>
      <c r="W1039" s="1" t="e">
        <f>V1037/((AVERAGE(P1043:P1048))*(1+E1049)^3)</f>
        <v>#VALUE!</v>
      </c>
      <c r="Y1039" s="25" t="s">
        <v>39</v>
      </c>
      <c r="Z1039" s="39" t="s">
        <v>19</v>
      </c>
      <c r="AA1039" s="1" t="e">
        <f>Z1037/((AVERAGE(P1043:P1048))*(1+E1049)^3)</f>
        <v>#VALUE!</v>
      </c>
    </row>
    <row r="1040" spans="1:27">
      <c r="B1040" s="13">
        <v>3</v>
      </c>
      <c r="C1040" s="14" t="s">
        <v>20</v>
      </c>
      <c r="D1040" s="15" t="e" cm="1">
        <f t="array" ref="D1040">_xlfn.SINGLE(IF(A1046=A1047,_xll.ciqfunctions.udf.CIQ(A1038,"IQ_TOTAL_REV",IQ_FY-8)/I1040, _xll.ciqfunctions.udf.CIQ(A1038, "IQ_TOTAL_REV",IQ_FY-7)/I1040))</f>
        <v>#VALUE!</v>
      </c>
      <c r="E1040" s="16" t="e">
        <f t="shared" si="279"/>
        <v>#VALUE!</v>
      </c>
      <c r="F1040" s="15" t="str">
        <f>IF(A1046=A1047,_xll.ciqfunctions.udf.CIQ(A1038,"IQ_DILUT_EPS_EXCL",IQ_FY-8), _xll.ciqfunctions.udf.CIQ(A1038, "IQ_DILUT_EPS_EXCL",IQ_FY-7))</f>
        <v>(Invalid Identifier)</v>
      </c>
      <c r="G1040" s="15" t="str">
        <f>IF(A1046=A1047,_xll.ciqfunctions.udf.CIQ(A1038,"IQ_EBITDA_MARGIN",IQ_FY-8), _xll.ciqfunctions.udf.CIQ(A1038, "IQ_EBITDA_MARGIN",IQ_FY-7))</f>
        <v>(Invalid Identifier)</v>
      </c>
      <c r="H1040" s="15" t="e">
        <f>IF(A1046=A1047,_xll.ciqfunctions.udf.CIQ(A1038,"IQ_TOTAL_DIV_PAID_CF",IQ_FY-8)/-I1040, _xll.ciqfunctions.udf.CIQ(A1038, "IQ_TOTAL_DIV_PAID_CF",IQ_FY-7)/-I1040)</f>
        <v>#VALUE!</v>
      </c>
      <c r="I1040" s="17" t="str">
        <f>IF(A1046=A1047,_xll.ciqfunctions.udf.CIQ(A1038,"IQ_TOTAL_OUTSTANDING_FILING_DATE",IQ_FY-8), _xll.ciqfunctions.udf.CIQ(A1038, "IQ_TOTAL_OUTSTANDING_FILING_DATE",IQ_FY-7))</f>
        <v>(Invalid Identifier)</v>
      </c>
      <c r="J1040" s="17" t="str">
        <f>IF(A1046=A1047,_xll.ciqfunctions.udf.CIQ(A1038,"IQ_CASH_OPER",IQ_FY-8), _xll.ciqfunctions.udf.CIQ(A1038, "IQ_CASH_OPER",IQ_FY-7))</f>
        <v>(Invalid Identifier)</v>
      </c>
      <c r="K1040" s="17" t="str">
        <f>IF(A1046=A1047,_xll.ciqfunctions.udf.CIQ(A1038,"IQ_CAPEX",IQ_FY-8), _xll.ciqfunctions.udf.CIQ(A1038, "IQ_CAPEX",IQ_FY-7))</f>
        <v>(Invalid Identifier)</v>
      </c>
      <c r="L1040" s="15" t="e">
        <f t="shared" si="276"/>
        <v>#VALUE!</v>
      </c>
      <c r="M1040" s="17" t="str">
        <f>IF(A1046=A1047,_xll.ciqfunctions.udf.CIQ(A1038,"IQ_TOTAL_DEBT_ISSUED",IQ_FY-8), _xll.ciqfunctions.udf.CIQ(A1038, "IQ_TOTAL_DEBT_ISSUED",IQ_FY-7))</f>
        <v>(Invalid Identifier)</v>
      </c>
      <c r="N1040" s="17" t="str">
        <f>IF(A1046=A1047,_xll.ciqfunctions.udf.CIQ(A1038,"IQ_TOTAL_DEBT_REPAID",IQ_FY-8), _xll.ciqfunctions.udf.CIQ(A1038, "IQ_TOTAL_DEBT_REPAID",IQ_FY-7))</f>
        <v>(Invalid Identifier)</v>
      </c>
      <c r="O1040" s="15" t="e">
        <f t="shared" si="277"/>
        <v>#VALUE!</v>
      </c>
      <c r="P1040" s="15" t="e">
        <f t="shared" si="278"/>
        <v>#VALUE!</v>
      </c>
      <c r="Q1040" s="25" t="s">
        <v>21</v>
      </c>
      <c r="R1040" s="38" t="s">
        <v>49</v>
      </c>
      <c r="S1040" s="2" t="e">
        <f>(R1037*I1048)/1000</f>
        <v>#VALUE!</v>
      </c>
      <c r="U1040" s="25" t="s">
        <v>59</v>
      </c>
      <c r="V1040" s="38" t="s">
        <v>49</v>
      </c>
      <c r="W1040" s="2" t="e">
        <f>(V1037*I1048)/1000</f>
        <v>#VALUE!</v>
      </c>
      <c r="Y1040" s="25" t="s">
        <v>46</v>
      </c>
      <c r="Z1040" s="38" t="s">
        <v>49</v>
      </c>
      <c r="AA1040" s="2" t="e">
        <f>(Z1037*I1048)/1000</f>
        <v>#VALUE!</v>
      </c>
    </row>
    <row r="1041" spans="1:27">
      <c r="A1041" s="18"/>
      <c r="B1041" s="13">
        <v>4</v>
      </c>
      <c r="C1041" s="14" t="s">
        <v>22</v>
      </c>
      <c r="D1041" s="15" t="e" cm="1">
        <f t="array" ref="D1041">_xlfn.SINGLE(IF(A1046=A1047,_xll.ciqfunctions.udf.CIQ(A1038,"IQ_TOTAL_REV",IQ_FY-7)/I1041, _xll.ciqfunctions.udf.CIQ(A1038, "IQ_TOTAL_REV",IQ_FY-6)/I1041))</f>
        <v>#VALUE!</v>
      </c>
      <c r="E1041" s="16" t="e">
        <f t="shared" si="279"/>
        <v>#VALUE!</v>
      </c>
      <c r="F1041" s="15" t="str">
        <f>IF(A1046=A1047,_xll.ciqfunctions.udf.CIQ(A1038,"IQ_DILUT_EPS_EXCL",IQ_FY-7), _xll.ciqfunctions.udf.CIQ(A1038, "IQ_DILUT_EPS_EXCL",IQ_FY-6))</f>
        <v>(Invalid Identifier)</v>
      </c>
      <c r="G1041" s="15" t="str">
        <f>IF(A1046=A1047,_xll.ciqfunctions.udf.CIQ(A1038,"IQ_EBITDA_MARGIN",IQ_FY-7), _xll.ciqfunctions.udf.CIQ(A1038, "IQ_EBITDA_MARGIN",IQ_FY-6))</f>
        <v>(Invalid Identifier)</v>
      </c>
      <c r="H1041" s="15" t="e">
        <f>IF(A1046=A1047,_xll.ciqfunctions.udf.CIQ(A1038,"IQ_TOTAL_DIV_PAID_CF",IQ_FY-7)/-I1041, _xll.ciqfunctions.udf.CIQ(A1038, "IQ_TOTAL_DIV_PAID_CF",IQ_FY-6)/-I1041)</f>
        <v>#VALUE!</v>
      </c>
      <c r="I1041" s="17" t="str">
        <f>IF(A1046=A1047,_xll.ciqfunctions.udf.CIQ(A1038,"IQ_TOTAL_OUTSTANDING_FILING_DATE",IQ_FY-7), _xll.ciqfunctions.udf.CIQ(A1038, "IQ_TOTAL_OUTSTANDING_FILING_DATE",IQ_FY-6))</f>
        <v>(Invalid Identifier)</v>
      </c>
      <c r="J1041" s="17" t="str">
        <f>IF(A1046=A1047,_xll.ciqfunctions.udf.CIQ(A1038,"IQ_CASH_OPER",IQ_FY-7), _xll.ciqfunctions.udf.CIQ(A1038, "IQ_CASH_OPER",IQ_FY-6))</f>
        <v>(Invalid Identifier)</v>
      </c>
      <c r="K1041" s="17" t="str">
        <f>IF(A1046=A1047,_xll.ciqfunctions.udf.CIQ(A1038,"IQ_CAPEX",IQ_FY-7), _xll.ciqfunctions.udf.CIQ(A1038, "IQ_CAPEX",IQ_FY-6))</f>
        <v>(Invalid Identifier)</v>
      </c>
      <c r="L1041" s="15" t="e">
        <f t="shared" si="276"/>
        <v>#VALUE!</v>
      </c>
      <c r="M1041" s="17" t="str">
        <f>IF(A1046=A1047,_xll.ciqfunctions.udf.CIQ(A1038,"IQ_TOTAL_DEBT_ISSUED",IQ_FY-7), _xll.ciqfunctions.udf.CIQ(A1038, "IQ_TOTAL_DEBT_ISSUED",IQ_FY-6))</f>
        <v>(Invalid Identifier)</v>
      </c>
      <c r="N1041" s="17" t="str">
        <f>IF(A1046=A1047,_xll.ciqfunctions.udf.CIQ(A1038,"IQ_TOTAL_DEBT_REPAID",IQ_FY-7), _xll.ciqfunctions.udf.CIQ(A1038, "IQ_TOTAL_DEBT_REPAID",IQ_FY-6))</f>
        <v>(Invalid Identifier)</v>
      </c>
      <c r="O1041" s="15" t="e">
        <f t="shared" si="277"/>
        <v>#VALUE!</v>
      </c>
      <c r="P1041" s="15" t="e">
        <f t="shared" si="278"/>
        <v>#VALUE!</v>
      </c>
      <c r="Q1041" s="25" t="s">
        <v>23</v>
      </c>
      <c r="R1041" s="38" t="s">
        <v>24</v>
      </c>
      <c r="S1041" s="1" t="e">
        <f>R1037/(AVERAGE(H1043:H1048)*(1+H1049)/(0.5-H1049))</f>
        <v>#VALUE!</v>
      </c>
      <c r="U1041" s="25" t="s">
        <v>40</v>
      </c>
      <c r="V1041" s="38" t="s">
        <v>24</v>
      </c>
      <c r="W1041" s="1" t="e">
        <f>V1037/(AVERAGE(H1043:H1048)*(1+H1049)/(0.5-H1049))</f>
        <v>#VALUE!</v>
      </c>
      <c r="Y1041" s="25" t="s">
        <v>47</v>
      </c>
      <c r="Z1041" s="38" t="s">
        <v>24</v>
      </c>
      <c r="AA1041" s="1" t="e">
        <f>Z1037/(AVERAGE(H1043:H1048)*(1+H1049)/(0.5-H1049))</f>
        <v>#VALUE!</v>
      </c>
    </row>
    <row r="1042" spans="1:27">
      <c r="B1042" s="13">
        <v>5</v>
      </c>
      <c r="C1042" s="14" t="s">
        <v>25</v>
      </c>
      <c r="D1042" s="15" t="e" cm="1">
        <f t="array" ref="D1042">_xlfn.SINGLE(IF(A1046=A1047,_xll.ciqfunctions.udf.CIQ(A1038,"IQ_TOTAL_REV",IQ_FY-6)/I1042, _xll.ciqfunctions.udf.CIQ(A1038, "IQ_TOTAL_REV",IQ_FY-5)/I1042))</f>
        <v>#VALUE!</v>
      </c>
      <c r="E1042" s="16" t="e">
        <f t="shared" si="279"/>
        <v>#VALUE!</v>
      </c>
      <c r="F1042" s="15" t="str">
        <f>IF(A1046=A1047,_xll.ciqfunctions.udf.CIQ(A1038,"IQ_DILUT_EPS_EXCL",IQ_FY-6), _xll.ciqfunctions.udf.CIQ(A1038, "IQ_DILUT_EPS_EXCL",IQ_FY-5))</f>
        <v>(Invalid Identifier)</v>
      </c>
      <c r="G1042" s="15" t="str">
        <f>IF(A1046=A1047,_xll.ciqfunctions.udf.CIQ(A1038,"IQ_EBITDA_MARGIN",IQ_FY-6), _xll.ciqfunctions.udf.CIQ(A1038, "IQ_EBITDA_MARGIN",IQ_FY-5))</f>
        <v>(Invalid Identifier)</v>
      </c>
      <c r="H1042" s="15" t="e">
        <f>IF(A1046=A1047,_xll.ciqfunctions.udf.CIQ(A1038,"IQ_TOTAL_DIV_PAID_CF",IQ_FY-6)/-I1042, _xll.ciqfunctions.udf.CIQ(A1038, "IQ_TOTAL_DIV_PAID_CF",IQ_FY-5)/-I1042)</f>
        <v>#VALUE!</v>
      </c>
      <c r="I1042" s="17" t="str">
        <f>IF(A1046=A1047,_xll.ciqfunctions.udf.CIQ(A1038,"IQ_TOTAL_OUTSTANDING_FILING_DATE",IQ_FY-6), _xll.ciqfunctions.udf.CIQ(A1038, "IQ_TOTAL_OUTSTANDING_FILING_DATE",IQ_FY-5))</f>
        <v>(Invalid Identifier)</v>
      </c>
      <c r="J1042" s="17" t="str">
        <f>IF(A1046=A1047,_xll.ciqfunctions.udf.CIQ(A1038,"IQ_CASH_OPER",IQ_FY-6), _xll.ciqfunctions.udf.CIQ(A1038, "IQ_CASH_OPER",IQ_FY-5))</f>
        <v>(Invalid Identifier)</v>
      </c>
      <c r="K1042" s="17" t="str">
        <f>IF(A1046=A1047,_xll.ciqfunctions.udf.CIQ(A1038,"IQ_CAPEX",IQ_FY-6), _xll.ciqfunctions.udf.CIQ(A1038, "IQ_CAPEX",IQ_FY-5))</f>
        <v>(Invalid Identifier)</v>
      </c>
      <c r="L1042" s="15" t="e">
        <f t="shared" si="276"/>
        <v>#VALUE!</v>
      </c>
      <c r="M1042" s="17" t="str">
        <f>IF(A1046=A1047,_xll.ciqfunctions.udf.CIQ(A1038,"IQ_TOTAL_DEBT_ISSUED",IQ_FY-6), _xll.ciqfunctions.udf.CIQ(A1038, "IQ_TOTAL_DEBT_ISSUED",IQ_FY-5))</f>
        <v>(Invalid Identifier)</v>
      </c>
      <c r="N1042" s="17" t="str">
        <f>IF(A1046=A1047,_xll.ciqfunctions.udf.CIQ(A1038,"IQ_TOTAL_DEBT_REPAID",IQ_FY-6), _xll.ciqfunctions.udf.CIQ(A1038, "IQ_TOTAL_DEBT_REPAID",IQ_FY-5))</f>
        <v>(Invalid Identifier)</v>
      </c>
      <c r="O1042" s="15" t="e">
        <f t="shared" si="277"/>
        <v>#VALUE!</v>
      </c>
      <c r="P1042" s="15" t="e">
        <f t="shared" si="278"/>
        <v>#VALUE!</v>
      </c>
      <c r="Q1042" s="18"/>
      <c r="R1042" s="38" t="s">
        <v>50</v>
      </c>
      <c r="S1042" s="3" t="e">
        <f>I1049</f>
        <v>#VALUE!</v>
      </c>
      <c r="U1042" s="18"/>
      <c r="V1042" s="38" t="s">
        <v>50</v>
      </c>
      <c r="W1042" s="3" t="e">
        <f>I1049</f>
        <v>#VALUE!</v>
      </c>
      <c r="Y1042" s="18"/>
      <c r="Z1042" s="38" t="s">
        <v>50</v>
      </c>
      <c r="AA1042" s="3" t="e">
        <f>I1049</f>
        <v>#VALUE!</v>
      </c>
    </row>
    <row r="1043" spans="1:27">
      <c r="B1043" s="13">
        <v>6</v>
      </c>
      <c r="C1043" s="14" t="s">
        <v>26</v>
      </c>
      <c r="D1043" s="15" t="e" cm="1">
        <f t="array" ref="D1043">_xlfn.SINGLE(IF(A1046=A1047,_xll.ciqfunctions.udf.CIQ(A1038,"IQ_TOTAL_REV",IQ_FY-5)/I1043, _xll.ciqfunctions.udf.CIQ(A1038, "IQ_TOTAL_REV",IQ_FY-4)/I1043))</f>
        <v>#VALUE!</v>
      </c>
      <c r="E1043" s="16" t="e">
        <f t="shared" si="279"/>
        <v>#VALUE!</v>
      </c>
      <c r="F1043" s="15" t="str">
        <f>IF(A1046=A1047,_xll.ciqfunctions.udf.CIQ(A1038,"IQ_DILUT_EPS_EXCL",IQ_FY-5), _xll.ciqfunctions.udf.CIQ(A1038, "IQ_DILUT_EPS_EXCL",IQ_FY-4))</f>
        <v>(Invalid Identifier)</v>
      </c>
      <c r="G1043" s="15" t="str">
        <f>IF(A1046=A1047,_xll.ciqfunctions.udf.CIQ(A1038,"IQ_EBITDA_MARGIN",IQ_FY-5), _xll.ciqfunctions.udf.CIQ(A1038, "IQ_EBITDA_MARGIN",IQ_FY-4))</f>
        <v>(Invalid Identifier)</v>
      </c>
      <c r="H1043" s="15" t="e">
        <f>IF(A1046=A1047,_xll.ciqfunctions.udf.CIQ(A1038,"IQ_TOTAL_DIV_PAID_CF",IQ_FY-5)/-I1043, _xll.ciqfunctions.udf.CIQ(A1038, "IQ_TOTAL_DIV_PAID_CF",IQ_FY-4)/-I1043)</f>
        <v>#VALUE!</v>
      </c>
      <c r="I1043" s="17" t="str">
        <f>IF(A1046=A1047,_xll.ciqfunctions.udf.CIQ(A1038,"IQ_TOTAL_OUTSTANDING_FILING_DATE",IQ_FY-5), _xll.ciqfunctions.udf.CIQ(A1038, "IQ_TOTAL_OUTSTANDING_FILING_DATE",IQ_FY-4))</f>
        <v>(Invalid Identifier)</v>
      </c>
      <c r="J1043" s="17" t="str">
        <f>IF(A1046=A1047,_xll.ciqfunctions.udf.CIQ(A1038,"IQ_CASH_OPER",IQ_FY-5), _xll.ciqfunctions.udf.CIQ(A1038, "IQ_CASH_OPER",IQ_FY-4))</f>
        <v>(Invalid Identifier)</v>
      </c>
      <c r="K1043" s="17" t="str">
        <f>IF(A1046=A1047,_xll.ciqfunctions.udf.CIQ(A1038,"IQ_CAPEX",IQ_FY-5), _xll.ciqfunctions.udf.CIQ(A1038, "IQ_CAPEX",IQ_FY-4))</f>
        <v>(Invalid Identifier)</v>
      </c>
      <c r="L1043" s="15" t="e">
        <f t="shared" si="276"/>
        <v>#VALUE!</v>
      </c>
      <c r="M1043" s="17" t="str">
        <f>IF(A1046=A1047,_xll.ciqfunctions.udf.CIQ(A1038,"IQ_TOTAL_DEBT_ISSUED",IQ_FY-5), _xll.ciqfunctions.udf.CIQ(A1038, "IQ_TOTAL_DEBT_ISSUED",IQ_FY-4))</f>
        <v>(Invalid Identifier)</v>
      </c>
      <c r="N1043" s="17" t="str">
        <f>IF(A1046=A1047,_xll.ciqfunctions.udf.CIQ(A1038,"IQ_TOTAL_DEBT_REPAID",IQ_FY-5), _xll.ciqfunctions.udf.CIQ(A1038, "IQ_TOTAL_DEBT_REPAID",IQ_FY-4))</f>
        <v>(Invalid Identifier)</v>
      </c>
      <c r="O1043" s="15" t="e">
        <f t="shared" si="277"/>
        <v>#VALUE!</v>
      </c>
      <c r="P1043" s="15" t="e">
        <f t="shared" si="278"/>
        <v>#VALUE!</v>
      </c>
      <c r="Q1043" s="25" t="s">
        <v>27</v>
      </c>
      <c r="R1043" s="38" t="s">
        <v>51</v>
      </c>
      <c r="S1043" s="4" t="e">
        <f>AVERAGE(F1043:F1048)/AVERAGE(D1043:D1048)</f>
        <v>#DIV/0!</v>
      </c>
      <c r="U1043" s="25" t="s">
        <v>58</v>
      </c>
      <c r="V1043" s="38" t="s">
        <v>51</v>
      </c>
      <c r="W1043" s="4" t="e">
        <f>AVERAGE(F1043:F1048)/AVERAGE(D1043:D1048)</f>
        <v>#DIV/0!</v>
      </c>
      <c r="Y1043" s="25" t="s">
        <v>56</v>
      </c>
      <c r="Z1043" s="38" t="s">
        <v>51</v>
      </c>
      <c r="AA1043" s="4" t="e">
        <f>AVERAGE(F1043:F1048)/AVERAGE(D1043:D1048)</f>
        <v>#DIV/0!</v>
      </c>
    </row>
    <row r="1044" spans="1:27">
      <c r="A1044" s="18"/>
      <c r="B1044" s="13">
        <v>7</v>
      </c>
      <c r="C1044" s="14" t="s">
        <v>28</v>
      </c>
      <c r="D1044" s="15" t="e" cm="1">
        <f t="array" ref="D1044">_xlfn.SINGLE(IF(A1046=A1047,_xll.ciqfunctions.udf.CIQ(A1038,"IQ_TOTAL_REV",IQ_FY-4)/I1044, _xll.ciqfunctions.udf.CIQ(A1038, "IQ_TOTAL_REV",IQ_FY-3)/I1044))</f>
        <v>#VALUE!</v>
      </c>
      <c r="E1044" s="16" t="e">
        <f t="shared" si="279"/>
        <v>#VALUE!</v>
      </c>
      <c r="F1044" s="15" t="str">
        <f>IF(A1046=A1047,_xll.ciqfunctions.udf.CIQ(A1038,"IQ_DILUT_EPS_EXCL",IQ_FY-4), _xll.ciqfunctions.udf.CIQ(A1038, "IQ_DILUT_EPS_EXCL",IQ_FY-3))</f>
        <v>(Invalid Identifier)</v>
      </c>
      <c r="G1044" s="15" t="str">
        <f>IF(A1046=A1047,_xll.ciqfunctions.udf.CIQ(A1038,"IQ_EBITDA_MARGIN",IQ_FY-4), _xll.ciqfunctions.udf.CIQ(A1038, "IQ_EBITDA_MARGIN",IQ_FY-3))</f>
        <v>(Invalid Identifier)</v>
      </c>
      <c r="H1044" s="15" t="e">
        <f>IF(A1046=A1047,_xll.ciqfunctions.udf.CIQ(A1038,"IQ_TOTAL_DIV_PAID_CF",IQ_FY-4)/-I1044, _xll.ciqfunctions.udf.CIQ(A1038, "IQ_TOTAL_DIV_PAID_CF",IQ_FY-3)/-I1044)</f>
        <v>#VALUE!</v>
      </c>
      <c r="I1044" s="17" t="str">
        <f>IF(A1046=A1047,_xll.ciqfunctions.udf.CIQ(A1038,"IQ_TOTAL_OUTSTANDING_FILING_DATE",IQ_FY-4), _xll.ciqfunctions.udf.CIQ(A1038, "IQ_TOTAL_OUTSTANDING_FILING_DATE",IQ_FY-3))</f>
        <v>(Invalid Identifier)</v>
      </c>
      <c r="J1044" s="17" t="str">
        <f>IF(A1046=A1047,_xll.ciqfunctions.udf.CIQ(A1038,"IQ_CASH_OPER",IQ_FY-4), _xll.ciqfunctions.udf.CIQ(A1038, "IQ_CASH_OPER",IQ_FY-3))</f>
        <v>(Invalid Identifier)</v>
      </c>
      <c r="K1044" s="17" t="str">
        <f>IF(A1046=A1047,_xll.ciqfunctions.udf.CIQ(A1038,"IQ_CAPEX",IQ_FY-4), _xll.ciqfunctions.udf.CIQ(A1038, "IQ_CAPEX",IQ_FY-3))</f>
        <v>(Invalid Identifier)</v>
      </c>
      <c r="L1044" s="15" t="e">
        <f t="shared" si="276"/>
        <v>#VALUE!</v>
      </c>
      <c r="M1044" s="17" t="str">
        <f>IF(A1046=A1047,_xll.ciqfunctions.udf.CIQ(A1038,"IQ_TOTAL_DEBT_ISSUED",IQ_FY-4), _xll.ciqfunctions.udf.CIQ(A1038, "IQ_TOTAL_DEBT_ISSUED",IQ_FY-3))</f>
        <v>(Invalid Identifier)</v>
      </c>
      <c r="N1044" s="17" t="str">
        <f>IF(A1046=A1047,_xll.ciqfunctions.udf.CIQ(A1038,"IQ_TOTAL_DEBT_REPAID",IQ_FY-4), _xll.ciqfunctions.udf.CIQ(A1038, "IQ_TOTAL_DEBT_REPAID",IQ_FY-3))</f>
        <v>(Invalid Identifier)</v>
      </c>
      <c r="O1044" s="15" t="e">
        <f t="shared" si="277"/>
        <v>#VALUE!</v>
      </c>
      <c r="P1044" s="15" t="e">
        <f t="shared" si="278"/>
        <v>#VALUE!</v>
      </c>
      <c r="Q1044" s="18"/>
      <c r="R1044" s="38" t="s">
        <v>29</v>
      </c>
      <c r="S1044" s="4" t="e">
        <f>(AVERAGE(P1043:P1048)/_xlfn.STDEV.P(P1043:P1048))/(IF(A1046=A1047,(_xlfn.SINGLE(_xll.ciqfunctions.udf.CIQ(A1038,"IQ_total_assets",IQ_FY)) - _xlfn.SINGLE(_xll.ciqfunctions.udf.CIQ(A1038,"iq_gw_intan", IQ_FY)))/I1048, (_xlfn.SINGLE(_xll.ciqfunctions.udf.CIQ(A1038, "IQ_total_assets",IQ_LTM))-_xlfn.SINGLE(_xll.ciqfunctions.udf.CIQ(A1038,"iq_gw_intan",IQ_LTM)))/I1048))</f>
        <v>#VALUE!</v>
      </c>
      <c r="U1044" s="18"/>
      <c r="V1044" s="38" t="s">
        <v>29</v>
      </c>
      <c r="W1044" s="4" t="e">
        <f>(AVERAGE(P1043:P1048)/_xlfn.STDEV.P(P1043:P1048))/(IF(A1046=A1047,(_xlfn.SINGLE(_xll.ciqfunctions.udf.CIQ(A1038,"IQ_total_assets",IQ_FY)) - _xlfn.SINGLE(_xll.ciqfunctions.udf.CIQ(A1038,"iq_gw_intan", IQ_FY)))/I1048, (_xlfn.SINGLE(_xll.ciqfunctions.udf.CIQ(A1038, "IQ_total_assets",IQ_LTM))-_xlfn.SINGLE(_xll.ciqfunctions.udf.CIQ(A1038,"iq_gw_intan",IQ_LTM)))/I1048))</f>
        <v>#VALUE!</v>
      </c>
      <c r="Y1044" s="18"/>
      <c r="Z1044" s="38" t="s">
        <v>29</v>
      </c>
      <c r="AA1044" s="4" t="e">
        <f>(AVERAGE(P1043:P1048)/_xlfn.STDEV.P(P1043:P1048))/(IF(A1046=A1047,(_xlfn.SINGLE(_xll.ciqfunctions.udf.CIQ(A1038,"IQ_total_assets",IQ_FY)) - _xlfn.SINGLE(_xll.ciqfunctions.udf.CIQ(A1038,"iq_gw_intan", IQ_FY)))/I1048, (_xlfn.SINGLE(_xll.ciqfunctions.udf.CIQ(A1038, "IQ_total_assets",IQ_LTM))-_xlfn.SINGLE(_xll.ciqfunctions.udf.CIQ(A1038,"iq_gw_intan",IQ_LTM)))/I1048))</f>
        <v>#VALUE!</v>
      </c>
    </row>
    <row r="1045" spans="1:27">
      <c r="A1045" s="18"/>
      <c r="B1045" s="13">
        <v>8</v>
      </c>
      <c r="C1045" s="14" t="s">
        <v>30</v>
      </c>
      <c r="D1045" s="15" t="e" cm="1">
        <f t="array" ref="D1045">_xlfn.SINGLE(IF(A1046=A1047,_xll.ciqfunctions.udf.CIQ(A1038,"IQ_TOTAL_REV",IQ_FY-3)/I1045, _xll.ciqfunctions.udf.CIQ(A1038, "IQ_TOTAL_REV",IQ_FY-2)/I1045))</f>
        <v>#VALUE!</v>
      </c>
      <c r="E1045" s="16" t="e">
        <f t="shared" si="279"/>
        <v>#VALUE!</v>
      </c>
      <c r="F1045" s="15" t="str">
        <f>IF(A1046=A1047,_xll.ciqfunctions.udf.CIQ(A1038,"IQ_DILUT_EPS_EXCL",IQ_FY-3), _xll.ciqfunctions.udf.CIQ(A1038, "IQ_DILUT_EPS_EXCL",IQ_FY-2))</f>
        <v>(Invalid Identifier)</v>
      </c>
      <c r="G1045" s="15" t="str">
        <f>IF(A1046=A1047,_xll.ciqfunctions.udf.CIQ(A1038,"IQ_EBITDA_MARGIN",IQ_FY-3), _xll.ciqfunctions.udf.CIQ(A1038, "IQ_EBITDA_MARGIN",IQ_FY-2))</f>
        <v>(Invalid Identifier)</v>
      </c>
      <c r="H1045" s="15" t="e">
        <f>IF(A1046=A1047,_xll.ciqfunctions.udf.CIQ(A1038,"IQ_TOTAL_DIV_PAID_CF",IQ_FY-3)/-I1045, _xll.ciqfunctions.udf.CIQ(A1038, "IQ_TOTAL_DIV_PAID_CF",IQ_FY-2)/-I1045)</f>
        <v>#VALUE!</v>
      </c>
      <c r="I1045" s="17" t="str">
        <f>IF(A1046=A1047,_xll.ciqfunctions.udf.CIQ(A1038,"IQ_TOTAL_OUTSTANDING_FILING_DATE",IQ_FY-3), _xll.ciqfunctions.udf.CIQ(A1038, "IQ_TOTAL_OUTSTANDING_FILING_DATE",IQ_FY-2))</f>
        <v>(Invalid Identifier)</v>
      </c>
      <c r="J1045" s="17" t="str">
        <f>IF(A1046=A1047,_xll.ciqfunctions.udf.CIQ(A1038,"IQ_CASH_OPER",IQ_FY-3), _xll.ciqfunctions.udf.CIQ(A1038, "IQ_CASH_OPER",IQ_FY-2))</f>
        <v>(Invalid Identifier)</v>
      </c>
      <c r="K1045" s="17" t="str">
        <f>IF(A1046=A1047,_xll.ciqfunctions.udf.CIQ(A1038,"IQ_CAPEX",IQ_FY-3), _xll.ciqfunctions.udf.CIQ(A1038, "IQ_CAPEX",IQ_FY-2))</f>
        <v>(Invalid Identifier)</v>
      </c>
      <c r="L1045" s="15" t="e">
        <f t="shared" si="276"/>
        <v>#VALUE!</v>
      </c>
      <c r="M1045" s="17" t="str">
        <f>IF(A1046=A1047,_xll.ciqfunctions.udf.CIQ(A1038,"IQ_TOTAL_DEBT_ISSUED",IQ_FY-3), _xll.ciqfunctions.udf.CIQ(A1038, "IQ_TOTAL_DEBT_ISSUED",IQ_FY-2))</f>
        <v>(Invalid Identifier)</v>
      </c>
      <c r="N1045" s="17" t="str">
        <f>IF(A1046=A1047,_xll.ciqfunctions.udf.CIQ(A1038,"IQ_TOTAL_DEBT_REPAID",IQ_FY-3), _xll.ciqfunctions.udf.CIQ(A1038, "IQ_TOTAL_DEBT_REPAID",IQ_FY-2))</f>
        <v>(Invalid Identifier)</v>
      </c>
      <c r="O1045" s="15" t="e">
        <f t="shared" si="277"/>
        <v>#VALUE!</v>
      </c>
      <c r="P1045" s="15" t="e">
        <f t="shared" si="278"/>
        <v>#VALUE!</v>
      </c>
      <c r="Q1045" s="18"/>
      <c r="R1045" s="39" t="s">
        <v>31</v>
      </c>
      <c r="S1045" s="5" t="e">
        <f>IF(NOT(D1038&gt;0),FALSE,SLOPE(G1038:G1048,B1038:B1048))</f>
        <v>#VALUE!</v>
      </c>
      <c r="U1045" s="18"/>
      <c r="V1045" s="39" t="s">
        <v>31</v>
      </c>
      <c r="W1045" s="5" t="e">
        <f>IF(NOT(D1038&gt;0),FALSE,SLOPE(G1038:G1048,B1038:B1048))</f>
        <v>#VALUE!</v>
      </c>
      <c r="Y1045" s="18"/>
      <c r="Z1045" s="39" t="s">
        <v>31</v>
      </c>
      <c r="AA1045" s="5" t="e">
        <f>IF(NOT(L1038&gt;0),FALSE,SLOPE(O1038:O1048,J1038:J1048))</f>
        <v>#VALUE!</v>
      </c>
    </row>
    <row r="1046" spans="1:27">
      <c r="A1046" s="19" t="str">
        <f>_xll.ciqfunctions.udf.CIQ(A1038,"IQ_TOTAL_REV",IQ_FY)</f>
        <v>(Invalid Identifier)</v>
      </c>
      <c r="B1046" s="13">
        <v>9</v>
      </c>
      <c r="C1046" s="14" t="s">
        <v>32</v>
      </c>
      <c r="D1046" s="15" t="e" cm="1">
        <f t="array" ref="D1046">_xlfn.SINGLE(IF(A1046=A1047,_xll.ciqfunctions.udf.CIQ(A1038,"IQ_TOTAL_REV",IQ_FY-2)/I1046, _xll.ciqfunctions.udf.CIQ(A1038, "IQ_TOTAL_REV",IQ_FY-1)/I1046))</f>
        <v>#VALUE!</v>
      </c>
      <c r="E1046" s="16" t="e">
        <f t="shared" si="279"/>
        <v>#VALUE!</v>
      </c>
      <c r="F1046" s="15" t="str">
        <f>IF(A1046=A1047,_xll.ciqfunctions.udf.CIQ(A1038,"IQ_DILUT_EPS_EXCL",IQ_FY-2), _xll.ciqfunctions.udf.CIQ(A1038, "IQ_DILUT_EPS_EXCL",IQ_FY-1))</f>
        <v>(Invalid Identifier)</v>
      </c>
      <c r="G1046" s="15" t="str">
        <f>IF(A1046=A1047,_xll.ciqfunctions.udf.CIQ(A1038,"IQ_EBITDA_MARGIN",IQ_FY-2), _xll.ciqfunctions.udf.CIQ(A1038, "IQ_EBITDA_MARGIN",IQ_FY-1))</f>
        <v>(Invalid Identifier)</v>
      </c>
      <c r="H1046" s="15" t="e">
        <f>IF(A1046=A1047,_xll.ciqfunctions.udf.CIQ(A1038,"IQ_TOTAL_DIV_PAID_CF",IQ_FY-2)/-I1046, _xll.ciqfunctions.udf.CIQ(A1038, "IQ_TOTAL_DIV_PAID_CF",IQ_FY-1)/-I1046)</f>
        <v>#VALUE!</v>
      </c>
      <c r="I1046" s="17" t="str">
        <f>IF(A1046=A1047,_xll.ciqfunctions.udf.CIQ(A1038,"IQ_TOTAL_OUTSTANDING_FILING_DATE",IQ_FY-2), _xll.ciqfunctions.udf.CIQ(A1038, "IQ_TOTAL_OUTSTANDING_FILING_DATE",IQ_FY-1))</f>
        <v>(Invalid Identifier)</v>
      </c>
      <c r="J1046" s="17" t="str">
        <f>IF(A1046=A1047,_xll.ciqfunctions.udf.CIQ(A1038,"IQ_CASH_OPER",IQ_FY-2), _xll.ciqfunctions.udf.CIQ(A1038, "IQ_CASH_OPER",IQ_FY-1))</f>
        <v>(Invalid Identifier)</v>
      </c>
      <c r="K1046" s="17" t="str">
        <f>IF(A1046=A1047,_xll.ciqfunctions.udf.CIQ(A1038,"IQ_CAPEX",IQ_FY-2), _xll.ciqfunctions.udf.CIQ(A1038, "IQ_CAPEX",IQ_FY-1))</f>
        <v>(Invalid Identifier)</v>
      </c>
      <c r="L1046" s="15" t="e">
        <f t="shared" si="276"/>
        <v>#VALUE!</v>
      </c>
      <c r="M1046" s="17" t="str">
        <f>IF(A1046=A1047,_xll.ciqfunctions.udf.CIQ(A1038,"IQ_TOTAL_DEBT_ISSUED",IQ_FY-2), _xll.ciqfunctions.udf.CIQ(A1038, "IQ_TOTAL_DEBT_ISSUED",IQ_FY-1))</f>
        <v>(Invalid Identifier)</v>
      </c>
      <c r="N1046" s="17" t="str">
        <f>IF(A1046=A1047,_xll.ciqfunctions.udf.CIQ(A1038,"IQ_TOTAL_DEBT_REPAID",IQ_FY-2), _xll.ciqfunctions.udf.CIQ(A1038, "IQ_TOTAL_DEBT_REPAID",IQ_FY-1))</f>
        <v>(Invalid Identifier)</v>
      </c>
      <c r="O1046" s="15" t="e">
        <f t="shared" si="277"/>
        <v>#VALUE!</v>
      </c>
      <c r="P1046" s="15" t="e">
        <f t="shared" si="278"/>
        <v>#VALUE!</v>
      </c>
      <c r="Q1046" s="25" t="s">
        <v>33</v>
      </c>
      <c r="R1046" s="38" t="s">
        <v>52</v>
      </c>
      <c r="S1046" s="4" t="e">
        <f>(AVERAGE(O1043:O1048)/AVERAGE(P1043:P1048))</f>
        <v>#VALUE!</v>
      </c>
      <c r="U1046" s="25" t="s">
        <v>54</v>
      </c>
      <c r="V1046" s="38" t="s">
        <v>52</v>
      </c>
      <c r="W1046" s="4" t="e">
        <f>(AVERAGE(O1043:O1048)/AVERAGE(P1043:P1048))</f>
        <v>#VALUE!</v>
      </c>
      <c r="Y1046" s="25" t="s">
        <v>60</v>
      </c>
      <c r="Z1046" s="38" t="s">
        <v>52</v>
      </c>
      <c r="AA1046" s="4" t="e">
        <f>(AVERAGE(O1043:O1048)/AVERAGE(P1043:P1048))</f>
        <v>#VALUE!</v>
      </c>
    </row>
    <row r="1047" spans="1:27">
      <c r="A1047" s="19" t="str">
        <f>_xll.ciqfunctions.udf.CIQ(A1038,"IQ_TOTAL_REV",IQ_LTM)</f>
        <v>(Invalid Identifier)</v>
      </c>
      <c r="B1047" s="13">
        <v>10</v>
      </c>
      <c r="C1047" s="14" t="s">
        <v>34</v>
      </c>
      <c r="D1047" s="15" t="e" cm="1">
        <f t="array" ref="D1047">_xlfn.SINGLE(IF(A1046=A1047,_xll.ciqfunctions.udf.CIQ(A1038,"IQ_TOTAL_REV",IQ_FY-1)/I1047, _xll.ciqfunctions.udf.CIQ(A1038, "IQ_TOTAL_REV",IQ_FY)/I1047))</f>
        <v>#VALUE!</v>
      </c>
      <c r="E1047" s="16" t="e">
        <f t="shared" si="279"/>
        <v>#VALUE!</v>
      </c>
      <c r="F1047" s="15" t="str">
        <f>IF(A1046=A1047,_xll.ciqfunctions.udf.CIQ(A1038,"IQ_DILUT_EPS_EXCL",IQ_FY-1), _xll.ciqfunctions.udf.CIQ(A1038, "IQ_DILUT_EPS_EXCL",IQ_FY))</f>
        <v>(Invalid Identifier)</v>
      </c>
      <c r="G1047" s="15" t="str">
        <f>IF(A1046=A1047,_xll.ciqfunctions.udf.CIQ(A1038,"IQ_EBITDA_MARGIN",IQ_FY-1), _xll.ciqfunctions.udf.CIQ(A1038, "IQ_EBITDA_MARGIN",IQ_FY))</f>
        <v>(Invalid Identifier)</v>
      </c>
      <c r="H1047" s="15" t="e">
        <f>IF(A1046=A1047,_xll.ciqfunctions.udf.CIQ(A1038,"IQ_TOTAL_DIV_PAID_CF",IQ_FY-1)/-I1047, _xll.ciqfunctions.udf.CIQ(A1038, "IQ_TOTAL_DIV_PAID_CF",IQ_FY)/-I1047)</f>
        <v>#VALUE!</v>
      </c>
      <c r="I1047" s="17" t="str">
        <f>IF(A1046=A1047,_xll.ciqfunctions.udf.CIQ(A1038,"IQ_TOTAL_OUTSTANDING_FILING_DATE",IQ_FY-1), _xll.ciqfunctions.udf.CIQ(A1038, "IQ_TOTAL_OUTSTANDING_FILING_DATE",IQ_FY))</f>
        <v>(Invalid Identifier)</v>
      </c>
      <c r="J1047" s="17" t="str">
        <f>IF(A1046=A1047,_xll.ciqfunctions.udf.CIQ(A1038,"IQ_CASH_OPER",IQ_FY-1), _xll.ciqfunctions.udf.CIQ(A1038, "IQ_CASH_OPER",IQ_FY))</f>
        <v>(Invalid Identifier)</v>
      </c>
      <c r="K1047" s="17" t="str">
        <f>IF(A1046=A1047,_xll.ciqfunctions.udf.CIQ(A1038,"IQ_CAPEX",IQ_FY-1), _xll.ciqfunctions.udf.CIQ(A1038, "IQ_CAPEX",IQ_FY))</f>
        <v>(Invalid Identifier)</v>
      </c>
      <c r="L1047" s="15" t="e">
        <f t="shared" si="276"/>
        <v>#VALUE!</v>
      </c>
      <c r="M1047" s="17" t="str">
        <f>IF(A1046=A1047,_xll.ciqfunctions.udf.CIQ(A1038,"IQ_TOTAL_DEBT_ISSUED",IQ_FY-1), _xll.ciqfunctions.udf.CIQ(A1038, "IQ_TOTAL_DEBT_ISSUED",IQ_FY))</f>
        <v>(Invalid Identifier)</v>
      </c>
      <c r="N1047" s="17" t="str">
        <f>IF(A1046=A1047,_xll.ciqfunctions.udf.CIQ(A1038,"IQ_TOTAL_DEBT_REPAID",IQ_FY-1), _xll.ciqfunctions.udf.CIQ(A1038, "IQ_TOTAL_DEBT_REPAID",IQ_FY))</f>
        <v>(Invalid Identifier)</v>
      </c>
      <c r="O1047" s="15" t="e">
        <f t="shared" si="277"/>
        <v>#VALUE!</v>
      </c>
      <c r="P1047" s="15" t="e">
        <f t="shared" si="278"/>
        <v>#VALUE!</v>
      </c>
      <c r="Q1047" s="25" t="s">
        <v>44</v>
      </c>
      <c r="R1047" s="38" t="s">
        <v>35</v>
      </c>
      <c r="S1047" s="1" t="str">
        <f>_xll.ciqfunctions.udf.CIQ(A1038,"IQ_TEV_EBITDA")</f>
        <v>(Invalid Identifier)</v>
      </c>
      <c r="U1047" s="25" t="s">
        <v>55</v>
      </c>
      <c r="V1047" s="38" t="s">
        <v>53</v>
      </c>
      <c r="W1047" s="1" t="e">
        <f>V1037/(AVERAGE(D1043:D1048)/_xlfn.STDEV.P(E1043:E1048))</f>
        <v>#VALUE!</v>
      </c>
      <c r="Y1047" s="25" t="s">
        <v>57</v>
      </c>
      <c r="Z1047" s="38" t="s">
        <v>53</v>
      </c>
      <c r="AA1047" s="1" t="e">
        <f>Z1037/(AVERAGE(D1043:D1048)/_xlfn.STDEV.P(E1043:E1048))</f>
        <v>#VALUE!</v>
      </c>
    </row>
    <row r="1048" spans="1:27">
      <c r="B1048" s="13">
        <v>11</v>
      </c>
      <c r="C1048" s="20" t="s">
        <v>36</v>
      </c>
      <c r="D1048" s="21" t="e" cm="1">
        <f t="array" ref="D1048">_xlfn.SINGLE(IF(A1046=A1047,_xll.ciqfunctions.udf.CIQ(A1038,"IQ_TOTAL_REV",IQ_FY)/I1048, _xll.ciqfunctions.udf.CIQ(A1038, "IQ_TOTAL_REV",IQ_LTM)/I1048))</f>
        <v>#VALUE!</v>
      </c>
      <c r="E1048" s="22" t="e">
        <f t="shared" si="279"/>
        <v>#VALUE!</v>
      </c>
      <c r="F1048" s="21" t="str">
        <f>IF(A1046=A1047,_xll.ciqfunctions.udf.CIQ(A1038,"IQ_DILUT_EPS_EXCL",IQ_FY), _xll.ciqfunctions.udf.CIQ(A1038, "IQ_DILUT_EPS_EXCL",IQ_LTM))</f>
        <v>(Invalid Identifier)</v>
      </c>
      <c r="G1048" s="21" t="str">
        <f>IF(A1046=A1047,_xll.ciqfunctions.udf.CIQ(A1038,"IQ_EBITDA_MARGIN",IQ_FY), _xll.ciqfunctions.udf.CIQ(A1038, "IQ_EBITDA_MARGIN",IQ_LTM))</f>
        <v>(Invalid Identifier)</v>
      </c>
      <c r="H1048" s="21" t="e">
        <f>IF(A1046=A1047,_xll.ciqfunctions.udf.CIQ(A1038,"IQ_TOTAL_DIV_PAID_CF",IQ_FY)/-I1048, _xll.ciqfunctions.udf.CIQ(A1038, "IQ_TOTAL_DIV_PAID_CF",IQ_LTM)/-I1048)</f>
        <v>#VALUE!</v>
      </c>
      <c r="I1048" s="23" t="str">
        <f>IF(A1046=A1047,_xll.ciqfunctions.udf.CIQ(A1038,"IQ_TOTAL_OUTSTANDING_FILING_DATE",IQ_FY),_xll.ciqfunctions.udf.CIQ(A1038,"IQ_sharesoutstanding"))</f>
        <v>(Invalid Identifier)</v>
      </c>
      <c r="J1048" s="23" t="str">
        <f>IF(A1046=A1047,_xll.ciqfunctions.udf.CIQ(A1038,"IQ_CASH_OPER",IQ_FY), _xll.ciqfunctions.udf.CIQ(A1038, "IQ_CASH_OPER",IQ_LTM))</f>
        <v>(Invalid Identifier)</v>
      </c>
      <c r="K1048" s="23" t="str">
        <f>IF(A1046=A1047,_xll.ciqfunctions.udf.CIQ(A1038,"IQ_CAPEX",IQ_FY), _xll.ciqfunctions.udf.CIQ(A1038, "IQ_CAPEX",IQ_LTM))</f>
        <v>(Invalid Identifier)</v>
      </c>
      <c r="L1048" s="21" t="e">
        <f t="shared" si="276"/>
        <v>#VALUE!</v>
      </c>
      <c r="M1048" s="23" t="str">
        <f>IF(A1046=A1047,_xll.ciqfunctions.udf.CIQ(A1038,"IQ_TOTAL_DEBT_ISSUED",IQ_FY), _xll.ciqfunctions.udf.CIQ(A1038, "IQ_TOTAL_DEBT_ISSUED",IQ_LTM))</f>
        <v>(Invalid Identifier)</v>
      </c>
      <c r="N1048" s="23" t="str">
        <f>IF(A1046=A1047,_xll.ciqfunctions.udf.CIQ(A1038,"IQ_TOTAL_DEBT_REPAID",IQ_FY), _xll.ciqfunctions.udf.CIQ(A1038, "IQ_TOTAL_DEBT_REPAID",IQ_LTM))</f>
        <v>(Invalid Identifier)</v>
      </c>
      <c r="O1048" s="21" t="e">
        <f t="shared" si="277"/>
        <v>#VALUE!</v>
      </c>
      <c r="P1048" s="21" t="e">
        <f t="shared" si="278"/>
        <v>#VALUE!</v>
      </c>
      <c r="Q1048" s="25" t="s">
        <v>45</v>
      </c>
      <c r="S1048" s="45"/>
      <c r="U1048" s="25"/>
      <c r="W1048" s="45"/>
      <c r="Y1048" s="25"/>
      <c r="AA1048" s="45"/>
    </row>
    <row r="1049" spans="1:27">
      <c r="B1049" s="24"/>
      <c r="C1049" s="25" t="s">
        <v>37</v>
      </c>
      <c r="E1049" s="26" t="e">
        <f>((D1048/D1043)^(1/5))-1</f>
        <v>#VALUE!</v>
      </c>
      <c r="F1049" s="27" t="e">
        <f>((F1048/F1043)^(1/5))-1</f>
        <v>#VALUE!</v>
      </c>
      <c r="G1049" s="28"/>
      <c r="H1049" s="27" t="e">
        <f>((H1048/H1043)^(1/5))-1</f>
        <v>#VALUE!</v>
      </c>
      <c r="I1049" s="27" t="e">
        <f>((I1048/I1043)^(1/5))-1</f>
        <v>#VALUE!</v>
      </c>
      <c r="J1049" s="27"/>
      <c r="K1049" s="27"/>
      <c r="L1049" s="26" t="e">
        <f>((L1048/L1043)^(1/5))-1</f>
        <v>#VALUE!</v>
      </c>
      <c r="M1049" s="26"/>
      <c r="N1049" s="26"/>
      <c r="O1049" s="26"/>
      <c r="P1049" s="26" t="e">
        <f>((P1048/P1043)^(1/5))-1</f>
        <v>#VALUE!</v>
      </c>
      <c r="Q1049" s="18"/>
      <c r="R1049" s="36"/>
      <c r="S1049" s="45"/>
      <c r="U1049" s="18"/>
      <c r="V1049" s="36"/>
      <c r="W1049" s="45"/>
      <c r="Y1049" s="18"/>
      <c r="Z1049" s="36"/>
      <c r="AA1049" s="45"/>
    </row>
    <row r="1050" spans="1:27">
      <c r="A1050" s="29"/>
      <c r="B1050" s="30"/>
      <c r="C1050" s="31" t="s">
        <v>38</v>
      </c>
      <c r="D1050" s="29"/>
      <c r="E1050" s="32" t="e">
        <f>((D1048/D1038)^(1/10))-1</f>
        <v>#VALUE!</v>
      </c>
      <c r="F1050" s="33" t="e">
        <f>((F1048/F1038)^(1/10))-1</f>
        <v>#VALUE!</v>
      </c>
      <c r="G1050" s="34"/>
      <c r="H1050" s="33" t="e">
        <f>((H1048/H1038)^(1/10))-1</f>
        <v>#VALUE!</v>
      </c>
      <c r="I1050" s="33" t="e">
        <f>((I1048/I1038)^(1/10))-1</f>
        <v>#VALUE!</v>
      </c>
      <c r="J1050" s="33"/>
      <c r="K1050" s="33"/>
      <c r="L1050" s="32" t="e">
        <f>((L1048/L1038)^(1/10))-1</f>
        <v>#VALUE!</v>
      </c>
      <c r="M1050" s="32"/>
      <c r="N1050" s="32"/>
      <c r="O1050" s="32"/>
      <c r="P1050" s="32" t="e">
        <f>((P1048/P1038)^(1/10))-1</f>
        <v>#VALUE!</v>
      </c>
      <c r="Q1050" s="40"/>
      <c r="R1050" s="41"/>
      <c r="S1050" s="46"/>
      <c r="U1050" s="40"/>
      <c r="V1050" s="41"/>
      <c r="W1050" s="46"/>
      <c r="Y1050" s="40"/>
      <c r="Z1050" s="41"/>
      <c r="AA1050" s="46"/>
    </row>
    <row r="1051" spans="1:27">
      <c r="B1051" s="24"/>
      <c r="C1051" s="25"/>
      <c r="E1051" s="26"/>
      <c r="F1051" s="27"/>
      <c r="G1051" s="28"/>
      <c r="H1051" s="27"/>
      <c r="I1051" s="27"/>
      <c r="J1051" s="27"/>
      <c r="K1051" s="27"/>
      <c r="L1051" s="26"/>
      <c r="M1051" s="17"/>
      <c r="N1051" s="17"/>
      <c r="O1051" s="17"/>
      <c r="P1051" s="35"/>
      <c r="Q1051" s="18"/>
      <c r="R1051" s="36"/>
    </row>
    <row r="1052" spans="1:27">
      <c r="A1052" s="9" t="s">
        <v>0</v>
      </c>
      <c r="B1052" s="10"/>
      <c r="C1052" s="9" t="s">
        <v>1</v>
      </c>
      <c r="D1052" s="9" t="s">
        <v>2</v>
      </c>
      <c r="E1052" s="9" t="s">
        <v>3</v>
      </c>
      <c r="F1052" s="11" t="s">
        <v>4</v>
      </c>
      <c r="G1052" s="11" t="s">
        <v>5</v>
      </c>
      <c r="H1052" s="9" t="s">
        <v>6</v>
      </c>
      <c r="I1052" s="11" t="s">
        <v>7</v>
      </c>
      <c r="J1052" s="11" t="s">
        <v>8</v>
      </c>
      <c r="K1052" s="11" t="s">
        <v>9</v>
      </c>
      <c r="L1052" s="11" t="s">
        <v>10</v>
      </c>
      <c r="M1052" s="11" t="s">
        <v>11</v>
      </c>
      <c r="N1052" s="11" t="s">
        <v>12</v>
      </c>
      <c r="O1052" s="11" t="s">
        <v>13</v>
      </c>
      <c r="P1052" s="11" t="s">
        <v>14</v>
      </c>
      <c r="Q1052" s="37" t="s">
        <v>15</v>
      </c>
      <c r="R1052" s="42">
        <f>_xll.ciqfunctions.udf.CIQ(A1053,("IQ_LASTSALEPRICE"))</f>
        <v>27.305</v>
      </c>
      <c r="S1052" s="44"/>
      <c r="U1052" s="37" t="s">
        <v>15</v>
      </c>
      <c r="V1052" s="42">
        <f>_xll.ciqfunctions.udf.CIQ(A1053,("IQ_LASTSALEPRICE"))</f>
        <v>27.305</v>
      </c>
      <c r="W1052" s="44"/>
      <c r="Y1052" s="37" t="s">
        <v>15</v>
      </c>
      <c r="Z1052" s="42">
        <f>_xll.ciqfunctions.udf.CIQ(A1053,("IQ_LASTSALEPRICE"))</f>
        <v>27.305</v>
      </c>
      <c r="AA1052" s="44"/>
    </row>
    <row r="1053" spans="1:27">
      <c r="A1053" s="12" t="str">
        <f>Analysis!B72</f>
        <v>NYSE:JNPR</v>
      </c>
      <c r="B1053" s="13">
        <v>1</v>
      </c>
      <c r="C1053" s="14" t="s">
        <v>16</v>
      </c>
      <c r="D1053" s="15">
        <f>IF(A1061=A1062,_xll.ciqfunctions.udf.CIQ(A1053,"IQ_TOTAL_REV",IQ_FY-10)/I1053,_xll.ciqfunctions.udf.CIQ(A1053, "IQ_TOTAL_REV",IQ_FY-9)/I1053)</f>
        <v>9.3173228610117889</v>
      </c>
      <c r="E1053" s="16"/>
      <c r="F1053" s="15">
        <f>IF(A1061=A1062,_xll.ciqfunctions.udf.CIQ(A1053,"IQ_DILUT_EPS_EXCL",IQ_FY-10), _xll.ciqfunctions.udf.CIQ(A1053, "IQ_DILUT_EPS_EXCL",IQ_FY-9))</f>
        <v>0.86</v>
      </c>
      <c r="G1053" s="15">
        <f>IF(A1061=A1062,_xll.ciqfunctions.udf.CIQ(A1053,"IQ_EBITDA_MARGIN",IQ_FY-10), _xll.ciqfunctions.udf.CIQ(A1053, "IQ_EBITDA_MARGIN",IQ_FY-9))</f>
        <v>16.994700000000002</v>
      </c>
      <c r="H1053" s="15">
        <f>IF(A1061=A1062,_xll.ciqfunctions.udf.CIQ(A1053,"IQ_TOTAL_DIV_PAID_CF",IQ_FY-10)/-I1053, _xll.ciqfunctions.udf.CIQ(A1053, "IQ_TOTAL_DIV_PAID_CF",IQ_FY-9)/-I1053)</f>
        <v>0</v>
      </c>
      <c r="I1053" s="17">
        <f>IF(A1061=A1062,_xll.ciqfunctions.udf.CIQ(A1053,"IQ_TOTAL_OUTSTANDING_FILING_DATE",IQ_FY-10), _xll.ciqfunctions.udf.CIQ(A1053, "IQ_TOTAL_OUTSTANDING_FILING_DATE",IQ_FY-9))</f>
        <v>501.12034</v>
      </c>
      <c r="J1053" s="17">
        <f>IF(A1061=A1062,_xll.ciqfunctions.udf.CIQ(A1053,"IQ_CASH_OPER",IQ_FY-10), _xll.ciqfunctions.udf.CIQ(A1053, "IQ_CASH_OPER",IQ_FY-9))</f>
        <v>845.9</v>
      </c>
      <c r="K1053" s="17">
        <f>IF(A1061=A1062,_xll.ciqfunctions.udf.CIQ(A1053,"IQ_CAPEX",IQ_FY-10), _xll.ciqfunctions.udf.CIQ(A1053, "IQ_CAPEX",IQ_FY-9))</f>
        <v>-230</v>
      </c>
      <c r="L1053" s="15">
        <f t="shared" ref="L1053:L1063" si="280">(J1053+K1053)/I1053</f>
        <v>1.2290461009824507</v>
      </c>
      <c r="M1053" s="17">
        <f>IF(A1061=A1062,_xll.ciqfunctions.udf.CIQ(A1053,"IQ_TOTAL_DEBT_ISSUED",IQ_FY-10), _xll.ciqfunctions.udf.CIQ(A1053, "IQ_TOTAL_DEBT_ISSUED",IQ_FY-9))</f>
        <v>33.9</v>
      </c>
      <c r="N1053" s="17">
        <f>IF(A1061=A1062,_xll.ciqfunctions.udf.CIQ(A1053,"IQ_TOTAL_DEBT_REPAID",IQ_FY-10), _xll.ciqfunctions.udf.CIQ(A1053, "IQ_TOTAL_DEBT_REPAID",IQ_FY-9))</f>
        <v>-1.4</v>
      </c>
      <c r="O1053" s="15">
        <f t="shared" ref="O1053:O1063" si="281">(M1053+N1053)/I1053</f>
        <v>6.485468141245275E-2</v>
      </c>
      <c r="P1053" s="15">
        <f t="shared" ref="P1053:P1063" si="282">L1053+O1053</f>
        <v>1.2939007823949034</v>
      </c>
      <c r="W1053" s="43"/>
      <c r="AA1053" s="43"/>
    </row>
    <row r="1054" spans="1:27">
      <c r="A1054" s="18" t="str">
        <f>_xll.ciqfunctions.udf.CIQ(A1053,"IQ_COMPANY_NAME")</f>
        <v>Juniper Networks, Inc.</v>
      </c>
      <c r="B1054" s="13">
        <v>2</v>
      </c>
      <c r="C1054" s="14" t="s">
        <v>17</v>
      </c>
      <c r="D1054" s="15">
        <f>IF(A1061=A1062,_xll.ciqfunctions.udf.CIQ(A1053,"IQ_TOTAL_REV",IQ_FY-9)/I1054, _xll.ciqfunctions.udf.CIQ(A1053, "IQ_TOTAL_REV",IQ_FY-8)/I1054)</f>
        <v>11.369108370102158</v>
      </c>
      <c r="E1054" s="16">
        <f t="shared" ref="E1054:E1063" si="283">(D1054-D1053)/D1053</f>
        <v>0.22021191491346054</v>
      </c>
      <c r="F1054" s="15">
        <f>IF(A1061=A1062,_xll.ciqfunctions.udf.CIQ(A1053,"IQ_DILUT_EPS_EXCL",IQ_FY-9), _xll.ciqfunctions.udf.CIQ(A1053, "IQ_DILUT_EPS_EXCL",IQ_FY-8))</f>
        <v>-0.73087000000000002</v>
      </c>
      <c r="G1054" s="15">
        <f>IF(A1061=A1062,_xll.ciqfunctions.udf.CIQ(A1053,"IQ_EBITDA_MARGIN",IQ_FY-9), _xll.ciqfunctions.udf.CIQ(A1053, "IQ_EBITDA_MARGIN",IQ_FY-8))</f>
        <v>17.6676</v>
      </c>
      <c r="H1054" s="15">
        <f>IF(A1061=A1062,_xll.ciqfunctions.udf.CIQ(A1053,"IQ_TOTAL_DIV_PAID_CF",IQ_FY-9)/-I1054, _xll.ciqfunctions.udf.CIQ(A1053, "IQ_TOTAL_DIV_PAID_CF",IQ_FY-8)/-I1054)</f>
        <v>0.21130801578284142</v>
      </c>
      <c r="I1054" s="17">
        <f>IF(A1061=A1062,_xll.ciqfunctions.udf.CIQ(A1053,"IQ_TOTAL_OUTSTANDING_FILING_DATE",IQ_FY-9), _xll.ciqfunctions.udf.CIQ(A1053, "IQ_TOTAL_OUTSTANDING_FILING_DATE",IQ_FY-8))</f>
        <v>406.98881999999998</v>
      </c>
      <c r="J1054" s="17">
        <f>IF(A1061=A1062,_xll.ciqfunctions.udf.CIQ(A1053,"IQ_CASH_OPER",IQ_FY-9), _xll.ciqfunctions.udf.CIQ(A1053, "IQ_CASH_OPER",IQ_FY-8))</f>
        <v>763.4</v>
      </c>
      <c r="K1054" s="17">
        <f>IF(A1061=A1062,_xll.ciqfunctions.udf.CIQ(A1053,"IQ_CAPEX",IQ_FY-9), _xll.ciqfunctions.udf.CIQ(A1053, "IQ_CAPEX",IQ_FY-8))</f>
        <v>-192.9</v>
      </c>
      <c r="L1054" s="15">
        <f t="shared" si="280"/>
        <v>1.4017584070245468</v>
      </c>
      <c r="M1054" s="17">
        <f>IF(A1061=A1062,_xll.ciqfunctions.udf.CIQ(A1053,"IQ_TOTAL_DEBT_ISSUED",IQ_FY-9), _xll.ciqfunctions.udf.CIQ(A1053, "IQ_TOTAL_DEBT_ISSUED",IQ_FY-8))</f>
        <v>355.5</v>
      </c>
      <c r="N1054" s="17">
        <f>IF(A1061=A1062,_xll.ciqfunctions.udf.CIQ(A1053,"IQ_TOTAL_DEBT_REPAID",IQ_FY-9), _xll.ciqfunctions.udf.CIQ(A1053, "IQ_TOTAL_DEBT_REPAID",IQ_FY-8))</f>
        <v>-0.4</v>
      </c>
      <c r="O1054" s="15">
        <f t="shared" si="281"/>
        <v>0.87250553958705801</v>
      </c>
      <c r="P1054" s="15">
        <f t="shared" si="282"/>
        <v>2.2742639466116046</v>
      </c>
      <c r="Q1054" s="25" t="s">
        <v>18</v>
      </c>
      <c r="R1054" s="39" t="s">
        <v>19</v>
      </c>
      <c r="S1054" s="1">
        <f>R1052/((AVERAGE(P1058:P1063))*(1+E1064)^3)</f>
        <v>17.711625434800339</v>
      </c>
      <c r="U1054" s="25" t="s">
        <v>48</v>
      </c>
      <c r="V1054" s="39" t="s">
        <v>19</v>
      </c>
      <c r="W1054" s="1">
        <f>V1052/((AVERAGE(P1058:P1063))*(1+E1064)^3)</f>
        <v>17.711625434800339</v>
      </c>
      <c r="Y1054" s="25" t="s">
        <v>39</v>
      </c>
      <c r="Z1054" s="39" t="s">
        <v>19</v>
      </c>
      <c r="AA1054" s="1">
        <f>Z1052/((AVERAGE(P1058:P1063))*(1+E1064)^3)</f>
        <v>17.711625434800339</v>
      </c>
    </row>
    <row r="1055" spans="1:27">
      <c r="B1055" s="13">
        <v>3</v>
      </c>
      <c r="C1055" s="14" t="s">
        <v>20</v>
      </c>
      <c r="D1055" s="15" cm="1">
        <f t="array" ref="D1055">_xlfn.SINGLE(IF(A1061=A1062,_xll.ciqfunctions.udf.CIQ(A1053,"IQ_TOTAL_REV",IQ_FY-8)/I1055, _xll.ciqfunctions.udf.CIQ(A1053, "IQ_TOTAL_REV",IQ_FY-7)/I1055))</f>
        <v>12.69666162586531</v>
      </c>
      <c r="E1055" s="16">
        <f t="shared" si="283"/>
        <v>0.11676845822441782</v>
      </c>
      <c r="F1055" s="15">
        <f>IF(A1061=A1062,_xll.ciqfunctions.udf.CIQ(A1053,"IQ_DILUT_EPS_EXCL",IQ_FY-8), _xll.ciqfunctions.udf.CIQ(A1053, "IQ_DILUT_EPS_EXCL",IQ_FY-7))</f>
        <v>1.59</v>
      </c>
      <c r="G1055" s="15">
        <f>IF(A1061=A1062,_xll.ciqfunctions.udf.CIQ(A1053,"IQ_EBITDA_MARGIN",IQ_FY-8), _xll.ciqfunctions.udf.CIQ(A1053, "IQ_EBITDA_MARGIN",IQ_FY-7))</f>
        <v>22.189</v>
      </c>
      <c r="H1055" s="15">
        <f>IF(A1061=A1062,_xll.ciqfunctions.udf.CIQ(A1053,"IQ_TOTAL_DIV_PAID_CF",IQ_FY-8)/-I1055, _xll.ciqfunctions.udf.CIQ(A1053, "IQ_TOTAL_DIV_PAID_CF",IQ_FY-7)/-I1055)</f>
        <v>0.40851583270672898</v>
      </c>
      <c r="I1055" s="17">
        <f>IF(A1061=A1062,_xll.ciqfunctions.udf.CIQ(A1053,"IQ_TOTAL_OUTSTANDING_FILING_DATE",IQ_FY-8), _xll.ciqfunctions.udf.CIQ(A1053, "IQ_TOTAL_OUTSTANDING_FILING_DATE",IQ_FY-7))</f>
        <v>382.60451</v>
      </c>
      <c r="J1055" s="17">
        <f>IF(A1061=A1062,_xll.ciqfunctions.udf.CIQ(A1053,"IQ_CASH_OPER",IQ_FY-8), _xll.ciqfunctions.udf.CIQ(A1053, "IQ_CASH_OPER",IQ_FY-7))</f>
        <v>899.5</v>
      </c>
      <c r="K1055" s="17">
        <f>IF(A1061=A1062,_xll.ciqfunctions.udf.CIQ(A1053,"IQ_CAPEX",IQ_FY-8), _xll.ciqfunctions.udf.CIQ(A1053, "IQ_CAPEX",IQ_FY-7))</f>
        <v>-210.3</v>
      </c>
      <c r="L1055" s="15">
        <f t="shared" si="280"/>
        <v>1.8013378880452822</v>
      </c>
      <c r="M1055" s="17">
        <f>IF(A1061=A1062,_xll.ciqfunctions.udf.CIQ(A1053,"IQ_TOTAL_DEBT_ISSUED",IQ_FY-8), _xll.ciqfunctions.udf.CIQ(A1053, "IQ_TOTAL_DEBT_ISSUED",IQ_FY-7))</f>
        <v>594.6</v>
      </c>
      <c r="N1055" s="17">
        <f>IF(A1061=A1062,_xll.ciqfunctions.udf.CIQ(A1053,"IQ_TOTAL_DEBT_REPAID",IQ_FY-8), _xll.ciqfunctions.udf.CIQ(A1053, "IQ_TOTAL_DEBT_REPAID",IQ_FY-7))</f>
        <v>-0.4</v>
      </c>
      <c r="O1055" s="15">
        <f t="shared" si="281"/>
        <v>1.5530397171742696</v>
      </c>
      <c r="P1055" s="15">
        <f t="shared" si="282"/>
        <v>3.3543776052195518</v>
      </c>
      <c r="Q1055" s="25" t="s">
        <v>21</v>
      </c>
      <c r="R1055" s="38" t="s">
        <v>49</v>
      </c>
      <c r="S1055" s="2">
        <f>(R1052*I1063)/1000</f>
        <v>8.7067038463999999</v>
      </c>
      <c r="U1055" s="25" t="s">
        <v>59</v>
      </c>
      <c r="V1055" s="38" t="s">
        <v>49</v>
      </c>
      <c r="W1055" s="2">
        <f>(V1052*I1063)/1000</f>
        <v>8.7067038463999999</v>
      </c>
      <c r="Y1055" s="25" t="s">
        <v>46</v>
      </c>
      <c r="Z1055" s="38" t="s">
        <v>49</v>
      </c>
      <c r="AA1055" s="2">
        <f>(Z1052*I1063)/1000</f>
        <v>8.7067038463999999</v>
      </c>
    </row>
    <row r="1056" spans="1:27">
      <c r="A1056" s="18"/>
      <c r="B1056" s="13">
        <v>4</v>
      </c>
      <c r="C1056" s="14" t="s">
        <v>22</v>
      </c>
      <c r="D1056" s="15" cm="1">
        <f t="array" ref="D1056">_xlfn.SINGLE(IF(A1061=A1062,_xll.ciqfunctions.udf.CIQ(A1053,"IQ_TOTAL_REV",IQ_FY-7)/I1056, _xll.ciqfunctions.udf.CIQ(A1053, "IQ_TOTAL_REV",IQ_FY-6)/I1056))</f>
        <v>13.063703204475269</v>
      </c>
      <c r="E1056" s="16">
        <f t="shared" si="283"/>
        <v>2.8908510711369274E-2</v>
      </c>
      <c r="F1056" s="15">
        <f>IF(A1061=A1062,_xll.ciqfunctions.udf.CIQ(A1053,"IQ_DILUT_EPS_EXCL",IQ_FY-7), _xll.ciqfunctions.udf.CIQ(A1053, "IQ_DILUT_EPS_EXCL",IQ_FY-6))</f>
        <v>1.53</v>
      </c>
      <c r="G1056" s="15">
        <f>IF(A1061=A1062,_xll.ciqfunctions.udf.CIQ(A1053,"IQ_EBITDA_MARGIN",IQ_FY-7), _xll.ciqfunctions.udf.CIQ(A1053, "IQ_EBITDA_MARGIN",IQ_FY-6))</f>
        <v>22.155799999999999</v>
      </c>
      <c r="H1056" s="15">
        <f>IF(A1061=A1062,_xll.ciqfunctions.udf.CIQ(A1053,"IQ_TOTAL_DIV_PAID_CF",IQ_FY-7)/-I1056, _xll.ciqfunctions.udf.CIQ(A1053, "IQ_TOTAL_DIV_PAID_CF",IQ_FY-6)/-I1056)</f>
        <v>0.39923342992775263</v>
      </c>
      <c r="I1056" s="17">
        <f>IF(A1061=A1062,_xll.ciqfunctions.udf.CIQ(A1053,"IQ_TOTAL_OUTSTANDING_FILING_DATE",IQ_FY-7), _xll.ciqfunctions.udf.CIQ(A1053, "IQ_TOTAL_OUTSTANDING_FILING_DATE",IQ_FY-6))</f>
        <v>381.98203999999998</v>
      </c>
      <c r="J1056" s="17">
        <f>IF(A1061=A1062,_xll.ciqfunctions.udf.CIQ(A1053,"IQ_CASH_OPER",IQ_FY-7), _xll.ciqfunctions.udf.CIQ(A1053, "IQ_CASH_OPER",IQ_FY-6))</f>
        <v>1126.5999999999999</v>
      </c>
      <c r="K1056" s="17">
        <f>IF(A1061=A1062,_xll.ciqfunctions.udf.CIQ(A1053,"IQ_CAPEX",IQ_FY-7), _xll.ciqfunctions.udf.CIQ(A1053, "IQ_CAPEX",IQ_FY-6))</f>
        <v>-214.7</v>
      </c>
      <c r="L1056" s="15">
        <f t="shared" si="280"/>
        <v>2.3872850147614266</v>
      </c>
      <c r="M1056" s="17">
        <f>IF(A1061=A1062,_xll.ciqfunctions.udf.CIQ(A1053,"IQ_TOTAL_DEBT_ISSUED",IQ_FY-7), _xll.ciqfunctions.udf.CIQ(A1053, "IQ_TOTAL_DEBT_ISSUED",IQ_FY-6))</f>
        <v>494</v>
      </c>
      <c r="N1056" s="17">
        <f>IF(A1061=A1062,_xll.ciqfunctions.udf.CIQ(A1053,"IQ_TOTAL_DEBT_REPAID",IQ_FY-7), _xll.ciqfunctions.udf.CIQ(A1053, "IQ_TOTAL_DEBT_REPAID",IQ_FY-6))</f>
        <v>-300</v>
      </c>
      <c r="O1056" s="15">
        <f t="shared" si="281"/>
        <v>0.50787728135071486</v>
      </c>
      <c r="P1056" s="15">
        <f t="shared" si="282"/>
        <v>2.8951622961121415</v>
      </c>
      <c r="Q1056" s="25" t="s">
        <v>23</v>
      </c>
      <c r="R1056" s="38" t="s">
        <v>24</v>
      </c>
      <c r="S1056" s="1">
        <f>R1052/(AVERAGE(H1058:H1063)*(1+H1064)/(0.5-H1064))</f>
        <v>15.036577923757692</v>
      </c>
      <c r="U1056" s="25" t="s">
        <v>40</v>
      </c>
      <c r="V1056" s="38" t="s">
        <v>24</v>
      </c>
      <c r="W1056" s="1">
        <f>V1052/(AVERAGE(H1058:H1063)*(1+H1064)/(0.5-H1064))</f>
        <v>15.036577923757692</v>
      </c>
      <c r="Y1056" s="25" t="s">
        <v>47</v>
      </c>
      <c r="Z1056" s="38" t="s">
        <v>24</v>
      </c>
      <c r="AA1056" s="1">
        <f>Z1052/(AVERAGE(H1058:H1063)*(1+H1064)/(0.5-H1064))</f>
        <v>15.036577923757692</v>
      </c>
    </row>
    <row r="1057" spans="1:27">
      <c r="B1057" s="13">
        <v>5</v>
      </c>
      <c r="C1057" s="14" t="s">
        <v>25</v>
      </c>
      <c r="D1057" s="15" cm="1">
        <f t="array" ref="D1057">_xlfn.SINGLE(IF(A1061=A1062,_xll.ciqfunctions.udf.CIQ(A1053,"IQ_TOTAL_REV",IQ_FY-6)/I1057, _xll.ciqfunctions.udf.CIQ(A1053, "IQ_TOTAL_REV",IQ_FY-5)/I1057))</f>
        <v>14.624301882454148</v>
      </c>
      <c r="E1057" s="16">
        <f t="shared" si="283"/>
        <v>0.11946066544471558</v>
      </c>
      <c r="F1057" s="15">
        <f>IF(A1061=A1062,_xll.ciqfunctions.udf.CIQ(A1053,"IQ_DILUT_EPS_EXCL",IQ_FY-6), _xll.ciqfunctions.udf.CIQ(A1053, "IQ_DILUT_EPS_EXCL",IQ_FY-5))</f>
        <v>0.8</v>
      </c>
      <c r="G1057" s="15">
        <f>IF(A1061=A1062,_xll.ciqfunctions.udf.CIQ(A1053,"IQ_EBITDA_MARGIN",IQ_FY-6), _xll.ciqfunctions.udf.CIQ(A1053, "IQ_EBITDA_MARGIN",IQ_FY-5))</f>
        <v>22.599</v>
      </c>
      <c r="H1057" s="15">
        <f>IF(A1061=A1062,_xll.ciqfunctions.udf.CIQ(A1053,"IQ_TOTAL_DIV_PAID_CF",IQ_FY-6)/-I1057, _xll.ciqfunctions.udf.CIQ(A1053, "IQ_TOTAL_DIV_PAID_CF",IQ_FY-5)/-I1057)</f>
        <v>0.43751889782007958</v>
      </c>
      <c r="I1057" s="17">
        <f>IF(A1061=A1062,_xll.ciqfunctions.udf.CIQ(A1053,"IQ_TOTAL_OUTSTANDING_FILING_DATE",IQ_FY-6), _xll.ciqfunctions.udf.CIQ(A1053, "IQ_TOTAL_OUTSTANDING_FILING_DATE",IQ_FY-5))</f>
        <v>343.75657999999999</v>
      </c>
      <c r="J1057" s="17">
        <f>IF(A1061=A1062,_xll.ciqfunctions.udf.CIQ(A1053,"IQ_CASH_OPER",IQ_FY-6), _xll.ciqfunctions.udf.CIQ(A1053, "IQ_CASH_OPER",IQ_FY-5))</f>
        <v>1259.3</v>
      </c>
      <c r="K1057" s="17">
        <f>IF(A1061=A1062,_xll.ciqfunctions.udf.CIQ(A1053,"IQ_CAPEX",IQ_FY-6), _xll.ciqfunctions.udf.CIQ(A1053, "IQ_CAPEX",IQ_FY-5))</f>
        <v>-151.19999999999999</v>
      </c>
      <c r="L1057" s="15">
        <f t="shared" si="280"/>
        <v>3.2235019326757324</v>
      </c>
      <c r="M1057" s="17">
        <f>IF(A1061=A1062,_xll.ciqfunctions.udf.CIQ(A1053,"IQ_TOTAL_DEBT_ISSUED",IQ_FY-6), _xll.ciqfunctions.udf.CIQ(A1053, "IQ_TOTAL_DEBT_ISSUED",IQ_FY-5))</f>
        <v>16.899999999999999</v>
      </c>
      <c r="N1057" s="17">
        <f>IF(A1061=A1062,_xll.ciqfunctions.udf.CIQ(A1053,"IQ_TOTAL_DEBT_REPAID",IQ_FY-6), _xll.ciqfunctions.udf.CIQ(A1053, "IQ_TOTAL_DEBT_REPAID",IQ_FY-5))</f>
        <v>0</v>
      </c>
      <c r="O1057" s="15">
        <f t="shared" si="281"/>
        <v>4.9162695300261593E-2</v>
      </c>
      <c r="P1057" s="15">
        <f t="shared" si="282"/>
        <v>3.2726646279759941</v>
      </c>
      <c r="Q1057" s="18"/>
      <c r="R1057" s="38" t="s">
        <v>50</v>
      </c>
      <c r="S1057" s="3">
        <f>I1064</f>
        <v>-1.7288982184369805E-2</v>
      </c>
      <c r="U1057" s="18"/>
      <c r="V1057" s="38" t="s">
        <v>50</v>
      </c>
      <c r="W1057" s="3">
        <f>I1064</f>
        <v>-1.7288982184369805E-2</v>
      </c>
      <c r="Y1057" s="18"/>
      <c r="Z1057" s="38" t="s">
        <v>50</v>
      </c>
      <c r="AA1057" s="3">
        <f>I1064</f>
        <v>-1.7288982184369805E-2</v>
      </c>
    </row>
    <row r="1058" spans="1:27">
      <c r="B1058" s="13">
        <v>6</v>
      </c>
      <c r="C1058" s="14" t="s">
        <v>26</v>
      </c>
      <c r="D1058" s="15" cm="1">
        <f t="array" ref="D1058">_xlfn.SINGLE(IF(A1061=A1062,_xll.ciqfunctions.udf.CIQ(A1053,"IQ_TOTAL_REV",IQ_FY-5)/I1058, _xll.ciqfunctions.udf.CIQ(A1053, "IQ_TOTAL_REV",IQ_FY-4)/I1058))</f>
        <v>13.357861403946155</v>
      </c>
      <c r="E1058" s="16">
        <f t="shared" si="283"/>
        <v>-8.6598354484697521E-2</v>
      </c>
      <c r="F1058" s="15">
        <f>IF(A1061=A1062,_xll.ciqfunctions.udf.CIQ(A1053,"IQ_DILUT_EPS_EXCL",IQ_FY-5), _xll.ciqfunctions.udf.CIQ(A1053, "IQ_DILUT_EPS_EXCL",IQ_FY-4))</f>
        <v>1.6</v>
      </c>
      <c r="G1058" s="15">
        <f>IF(A1061=A1062,_xll.ciqfunctions.udf.CIQ(A1053,"IQ_EBITDA_MARGIN",IQ_FY-5), _xll.ciqfunctions.udf.CIQ(A1053, "IQ_EBITDA_MARGIN",IQ_FY-4))</f>
        <v>17.000499999999999</v>
      </c>
      <c r="H1058" s="15">
        <f>IF(A1061=A1062,_xll.ciqfunctions.udf.CIQ(A1053,"IQ_TOTAL_DIV_PAID_CF",IQ_FY-5)/-I1058, _xll.ciqfunctions.udf.CIQ(A1053, "IQ_TOTAL_DIV_PAID_CF",IQ_FY-4)/-I1058)</f>
        <v>0.71653896675713324</v>
      </c>
      <c r="I1058" s="17">
        <f>IF(A1061=A1062,_xll.ciqfunctions.udf.CIQ(A1053,"IQ_TOTAL_OUTSTANDING_FILING_DATE",IQ_FY-5), _xll.ciqfunctions.udf.CIQ(A1053, "IQ_TOTAL_OUTSTANDING_FILING_DATE",IQ_FY-4))</f>
        <v>347.92246</v>
      </c>
      <c r="J1058" s="17">
        <f>IF(A1061=A1062,_xll.ciqfunctions.udf.CIQ(A1053,"IQ_CASH_OPER",IQ_FY-5), _xll.ciqfunctions.udf.CIQ(A1053, "IQ_CASH_OPER",IQ_FY-4))</f>
        <v>861.1</v>
      </c>
      <c r="K1058" s="17">
        <f>IF(A1061=A1062,_xll.ciqfunctions.udf.CIQ(A1053,"IQ_CAPEX",IQ_FY-5), _xll.ciqfunctions.udf.CIQ(A1053, "IQ_CAPEX",IQ_FY-4))</f>
        <v>-147.4</v>
      </c>
      <c r="L1058" s="15">
        <f t="shared" si="280"/>
        <v>2.0513191358787242</v>
      </c>
      <c r="M1058" s="17">
        <f>IF(A1061=A1062,_xll.ciqfunctions.udf.CIQ(A1053,"IQ_TOTAL_DEBT_ISSUED",IQ_FY-5), _xll.ciqfunctions.udf.CIQ(A1053, "IQ_TOTAL_DEBT_ISSUED",IQ_FY-4))</f>
        <v>0</v>
      </c>
      <c r="N1058" s="17">
        <f>IF(A1061=A1062,_xll.ciqfunctions.udf.CIQ(A1053,"IQ_TOTAL_DEBT_REPAID",IQ_FY-5), _xll.ciqfunctions.udf.CIQ(A1053, "IQ_TOTAL_DEBT_REPAID",IQ_FY-4))</f>
        <v>-16.899999999999999</v>
      </c>
      <c r="O1058" s="15">
        <f t="shared" si="281"/>
        <v>-4.8574041468895109E-2</v>
      </c>
      <c r="P1058" s="15">
        <f t="shared" si="282"/>
        <v>2.0027450944098288</v>
      </c>
      <c r="Q1058" s="25" t="s">
        <v>27</v>
      </c>
      <c r="R1058" s="38" t="s">
        <v>51</v>
      </c>
      <c r="S1058" s="4">
        <f>AVERAGE(F1058:F1063)/AVERAGE(D1058:D1063)</f>
        <v>7.488794802139094E-2</v>
      </c>
      <c r="U1058" s="25" t="s">
        <v>58</v>
      </c>
      <c r="V1058" s="38" t="s">
        <v>51</v>
      </c>
      <c r="W1058" s="4">
        <f>AVERAGE(F1058:F1063)/AVERAGE(D1058:D1063)</f>
        <v>7.488794802139094E-2</v>
      </c>
      <c r="Y1058" s="25" t="s">
        <v>56</v>
      </c>
      <c r="Z1058" s="38" t="s">
        <v>51</v>
      </c>
      <c r="AA1058" s="4">
        <f>AVERAGE(F1058:F1063)/AVERAGE(D1058:D1063)</f>
        <v>7.488794802139094E-2</v>
      </c>
    </row>
    <row r="1059" spans="1:27">
      <c r="A1059" s="18"/>
      <c r="B1059" s="13">
        <v>7</v>
      </c>
      <c r="C1059" s="14" t="s">
        <v>28</v>
      </c>
      <c r="D1059" s="15" cm="1">
        <f t="array" ref="D1059">_xlfn.SINGLE(IF(A1061=A1062,_xll.ciqfunctions.udf.CIQ(A1053,"IQ_TOTAL_REV",IQ_FY-4)/I1059, _xll.ciqfunctions.udf.CIQ(A1053, "IQ_TOTAL_REV",IQ_FY-3)/I1059))</f>
        <v>13.449422619378979</v>
      </c>
      <c r="E1059" s="16">
        <f t="shared" si="283"/>
        <v>6.8544816167785049E-3</v>
      </c>
      <c r="F1059" s="15">
        <f>IF(A1061=A1062,_xll.ciqfunctions.udf.CIQ(A1053,"IQ_DILUT_EPS_EXCL",IQ_FY-4), _xll.ciqfunctions.udf.CIQ(A1053, "IQ_DILUT_EPS_EXCL",IQ_FY-3))</f>
        <v>0.99</v>
      </c>
      <c r="G1059" s="15">
        <f>IF(A1061=A1062,_xll.ciqfunctions.udf.CIQ(A1053,"IQ_EBITDA_MARGIN",IQ_FY-4), _xll.ciqfunctions.udf.CIQ(A1053, "IQ_EBITDA_MARGIN",IQ_FY-3))</f>
        <v>15.472099999999999</v>
      </c>
      <c r="H1059" s="15">
        <f>IF(A1061=A1062,_xll.ciqfunctions.udf.CIQ(A1053,"IQ_TOTAL_DIV_PAID_CF",IQ_FY-4)/-I1059, _xll.ciqfunctions.udf.CIQ(A1053, "IQ_TOTAL_DIV_PAID_CF",IQ_FY-3)/-I1059)</f>
        <v>0.78692464644362103</v>
      </c>
      <c r="I1059" s="17">
        <f>IF(A1061=A1062,_xll.ciqfunctions.udf.CIQ(A1053,"IQ_TOTAL_OUTSTANDING_FILING_DATE",IQ_FY-4), _xll.ciqfunctions.udf.CIQ(A1053, "IQ_TOTAL_OUTSTANDING_FILING_DATE",IQ_FY-3))</f>
        <v>330.52719999999999</v>
      </c>
      <c r="J1059" s="17">
        <f>IF(A1061=A1062,_xll.ciqfunctions.udf.CIQ(A1053,"IQ_CASH_OPER",IQ_FY-4), _xll.ciqfunctions.udf.CIQ(A1053, "IQ_CASH_OPER",IQ_FY-3))</f>
        <v>528.9</v>
      </c>
      <c r="K1059" s="17">
        <f>IF(A1061=A1062,_xll.ciqfunctions.udf.CIQ(A1053,"IQ_CAPEX",IQ_FY-4), _xll.ciqfunctions.udf.CIQ(A1053, "IQ_CAPEX",IQ_FY-3))</f>
        <v>-109.6</v>
      </c>
      <c r="L1059" s="15">
        <f t="shared" si="280"/>
        <v>1.2685794088958486</v>
      </c>
      <c r="M1059" s="17">
        <f>IF(A1061=A1062,_xll.ciqfunctions.udf.CIQ(A1053,"IQ_TOTAL_DEBT_ISSUED",IQ_FY-4), _xll.ciqfunctions.udf.CIQ(A1053, "IQ_TOTAL_DEBT_ISSUED",IQ_FY-3))</f>
        <v>495.2</v>
      </c>
      <c r="N1059" s="17">
        <f>IF(A1061=A1062,_xll.ciqfunctions.udf.CIQ(A1053,"IQ_TOTAL_DEBT_REPAID",IQ_FY-4), _xll.ciqfunctions.udf.CIQ(A1053, "IQ_TOTAL_DEBT_REPAID",IQ_FY-3))</f>
        <v>-950</v>
      </c>
      <c r="O1059" s="15">
        <f t="shared" si="281"/>
        <v>-1.3759835801713143</v>
      </c>
      <c r="P1059" s="15">
        <f t="shared" si="282"/>
        <v>-0.10740417127546564</v>
      </c>
      <c r="Q1059" s="18"/>
      <c r="R1059" s="38" t="s">
        <v>29</v>
      </c>
      <c r="S1059" s="4">
        <f>(AVERAGE(P1058:P1063)/_xlfn.STDEV.P(P1058:P1063))/(IF(A1061=A1062,(_xlfn.SINGLE(_xll.ciqfunctions.udf.CIQ(A1053,"IQ_total_assets",IQ_FY)) - _xlfn.SINGLE(_xll.ciqfunctions.udf.CIQ(A1053,"iq_gw_intan", IQ_FY)))/I1063, (_xlfn.SINGLE(_xll.ciqfunctions.udf.CIQ(A1053, "IQ_total_assets",IQ_LTM))-_xlfn.SINGLE(_xll.ciqfunctions.udf.CIQ(A1053,"iq_gw_intan",IQ_LTM)))/I1063))</f>
        <v>6.1428502207672098E-2</v>
      </c>
      <c r="U1059" s="18"/>
      <c r="V1059" s="38" t="s">
        <v>29</v>
      </c>
      <c r="W1059" s="4">
        <f>(AVERAGE(P1058:P1063)/_xlfn.STDEV.P(P1058:P1063))/(IF(A1061=A1062,(_xlfn.SINGLE(_xll.ciqfunctions.udf.CIQ(A1053,"IQ_total_assets",IQ_FY)) - _xlfn.SINGLE(_xll.ciqfunctions.udf.CIQ(A1053,"iq_gw_intan", IQ_FY)))/I1063, (_xlfn.SINGLE(_xll.ciqfunctions.udf.CIQ(A1053, "IQ_total_assets",IQ_LTM))-_xlfn.SINGLE(_xll.ciqfunctions.udf.CIQ(A1053,"iq_gw_intan",IQ_LTM)))/I1063))</f>
        <v>6.1428502207672098E-2</v>
      </c>
      <c r="Y1059" s="18"/>
      <c r="Z1059" s="38" t="s">
        <v>29</v>
      </c>
      <c r="AA1059" s="4">
        <f>(AVERAGE(P1058:P1063)/_xlfn.STDEV.P(P1058:P1063))/(IF(A1061=A1062,(_xlfn.SINGLE(_xll.ciqfunctions.udf.CIQ(A1053,"IQ_total_assets",IQ_FY)) - _xlfn.SINGLE(_xll.ciqfunctions.udf.CIQ(A1053,"iq_gw_intan", IQ_FY)))/I1063, (_xlfn.SINGLE(_xll.ciqfunctions.udf.CIQ(A1053, "IQ_total_assets",IQ_LTM))-_xlfn.SINGLE(_xll.ciqfunctions.udf.CIQ(A1053,"iq_gw_intan",IQ_LTM)))/I1063))</f>
        <v>6.1428502207672098E-2</v>
      </c>
    </row>
    <row r="1060" spans="1:27">
      <c r="A1060" s="18"/>
      <c r="B1060" s="13">
        <v>8</v>
      </c>
      <c r="C1060" s="14" t="s">
        <v>30</v>
      </c>
      <c r="D1060" s="15" cm="1">
        <f t="array" ref="D1060">_xlfn.SINGLE(IF(A1061=A1062,_xll.ciqfunctions.udf.CIQ(A1053,"IQ_TOTAL_REV",IQ_FY-3)/I1060, _xll.ciqfunctions.udf.CIQ(A1053, "IQ_TOTAL_REV",IQ_FY-2)/I1060))</f>
        <v>13.545027136676154</v>
      </c>
      <c r="E1060" s="16">
        <f t="shared" si="283"/>
        <v>7.1084477009013833E-3</v>
      </c>
      <c r="F1060" s="15">
        <f>IF(A1061=A1062,_xll.ciqfunctions.udf.CIQ(A1053,"IQ_DILUT_EPS_EXCL",IQ_FY-3), _xll.ciqfunctions.udf.CIQ(A1053, "IQ_DILUT_EPS_EXCL",IQ_FY-2))</f>
        <v>0.77</v>
      </c>
      <c r="G1060" s="15">
        <f>IF(A1061=A1062,_xll.ciqfunctions.udf.CIQ(A1053,"IQ_EBITDA_MARGIN",IQ_FY-3), _xll.ciqfunctions.udf.CIQ(A1053, "IQ_EBITDA_MARGIN",IQ_FY-2))</f>
        <v>14.2516</v>
      </c>
      <c r="H1060" s="15">
        <f>IF(A1061=A1062,_xll.ciqfunctions.udf.CIQ(A1053,"IQ_TOTAL_DIV_PAID_CF",IQ_FY-3)/-I1060, _xll.ciqfunctions.udf.CIQ(A1053, "IQ_TOTAL_DIV_PAID_CF",IQ_FY-2)/-I1060)</f>
        <v>0.80476067282989638</v>
      </c>
      <c r="I1060" s="17">
        <f>IF(A1061=A1062,_xll.ciqfunctions.udf.CIQ(A1053,"IQ_TOTAL_OUTSTANDING_FILING_DATE",IQ_FY-3), _xll.ciqfunctions.udf.CIQ(A1053, "IQ_TOTAL_OUTSTANDING_FILING_DATE",IQ_FY-2))</f>
        <v>328.1721</v>
      </c>
      <c r="J1060" s="17">
        <f>IF(A1061=A1062,_xll.ciqfunctions.udf.CIQ(A1053,"IQ_CASH_OPER",IQ_FY-3), _xll.ciqfunctions.udf.CIQ(A1053, "IQ_CASH_OPER",IQ_FY-2))</f>
        <v>612</v>
      </c>
      <c r="K1060" s="17">
        <f>IF(A1061=A1062,_xll.ciqfunctions.udf.CIQ(A1053,"IQ_CAPEX",IQ_FY-3), _xll.ciqfunctions.udf.CIQ(A1053, "IQ_CAPEX",IQ_FY-2))</f>
        <v>-100.4</v>
      </c>
      <c r="L1060" s="15">
        <f t="shared" si="280"/>
        <v>1.5589381303285685</v>
      </c>
      <c r="M1060" s="17">
        <f>IF(A1061=A1062,_xll.ciqfunctions.udf.CIQ(A1053,"IQ_TOTAL_DEBT_ISSUED",IQ_FY-3), _xll.ciqfunctions.udf.CIQ(A1053, "IQ_TOTAL_DEBT_ISSUED",IQ_FY-2))</f>
        <v>792.4</v>
      </c>
      <c r="N1060" s="17">
        <f>IF(A1061=A1062,_xll.ciqfunctions.udf.CIQ(A1053,"IQ_TOTAL_DEBT_REPAID",IQ_FY-3), _xll.ciqfunctions.udf.CIQ(A1053, "IQ_TOTAL_DEBT_REPAID",IQ_FY-2))</f>
        <v>-376.2</v>
      </c>
      <c r="O1060" s="15">
        <f t="shared" si="281"/>
        <v>1.2682370012563529</v>
      </c>
      <c r="P1060" s="15">
        <f t="shared" si="282"/>
        <v>2.8271751315849212</v>
      </c>
      <c r="Q1060" s="18"/>
      <c r="R1060" s="39" t="s">
        <v>31</v>
      </c>
      <c r="S1060" s="5">
        <f>IF(NOT(D1053&gt;0),FALSE,SLOPE(G1053:G1063,B1053:B1063))</f>
        <v>-0.66164818181818197</v>
      </c>
      <c r="U1060" s="18"/>
      <c r="V1060" s="39" t="s">
        <v>31</v>
      </c>
      <c r="W1060" s="5">
        <f>IF(NOT(D1053&gt;0),FALSE,SLOPE(G1053:G1063,B1053:B1063))</f>
        <v>-0.66164818181818197</v>
      </c>
      <c r="Y1060" s="18"/>
      <c r="Z1060" s="39" t="s">
        <v>31</v>
      </c>
      <c r="AA1060" s="5">
        <f>IF(NOT(L1053&gt;0),FALSE,SLOPE(O1053:O1063,J1053:J1063))</f>
        <v>6.2128272982531533E-4</v>
      </c>
    </row>
    <row r="1061" spans="1:27">
      <c r="A1061" s="19">
        <f>_xll.ciqfunctions.udf.CIQ(A1053,"IQ_TOTAL_REV",IQ_FY)</f>
        <v>5301.2</v>
      </c>
      <c r="B1061" s="13">
        <v>9</v>
      </c>
      <c r="C1061" s="14" t="s">
        <v>32</v>
      </c>
      <c r="D1061" s="15" cm="1">
        <f t="array" ref="D1061">_xlfn.SINGLE(IF(A1061=A1062,_xll.ciqfunctions.udf.CIQ(A1053,"IQ_TOTAL_REV",IQ_FY-2)/I1061, _xll.ciqfunctions.udf.CIQ(A1053, "IQ_TOTAL_REV",IQ_FY-1)/I1061))</f>
        <v>14.671650330768969</v>
      </c>
      <c r="E1061" s="16">
        <f t="shared" si="283"/>
        <v>8.3176148908718966E-2</v>
      </c>
      <c r="F1061" s="15">
        <f>IF(A1061=A1062,_xll.ciqfunctions.udf.CIQ(A1053,"IQ_DILUT_EPS_EXCL",IQ_FY-2), _xll.ciqfunctions.udf.CIQ(A1053, "IQ_DILUT_EPS_EXCL",IQ_FY-1))</f>
        <v>0.76</v>
      </c>
      <c r="G1061" s="15">
        <f>IF(A1061=A1062,_xll.ciqfunctions.udf.CIQ(A1053,"IQ_EBITDA_MARGIN",IQ_FY-2), _xll.ciqfunctions.udf.CIQ(A1053, "IQ_EBITDA_MARGIN",IQ_FY-1))</f>
        <v>14.1022</v>
      </c>
      <c r="H1061" s="15">
        <f>IF(A1061=A1062,_xll.ciqfunctions.udf.CIQ(A1053,"IQ_TOTAL_DIV_PAID_CF",IQ_FY-2)/-I1061, _xll.ciqfunctions.udf.CIQ(A1053, "IQ_TOTAL_DIV_PAID_CF",IQ_FY-1)/-I1061)</f>
        <v>0.80276736932513426</v>
      </c>
      <c r="I1061" s="17">
        <f>IF(A1061=A1062,_xll.ciqfunctions.udf.CIQ(A1053,"IQ_TOTAL_OUTSTANDING_FILING_DATE",IQ_FY-2), _xll.ciqfunctions.udf.CIQ(A1053, "IQ_TOTAL_OUTSTANDING_FILING_DATE",IQ_FY-1))</f>
        <v>322.75851</v>
      </c>
      <c r="J1061" s="17">
        <f>IF(A1061=A1062,_xll.ciqfunctions.udf.CIQ(A1053,"IQ_CASH_OPER",IQ_FY-2), _xll.ciqfunctions.udf.CIQ(A1053, "IQ_CASH_OPER",IQ_FY-1))</f>
        <v>689.7</v>
      </c>
      <c r="K1061" s="17">
        <f>IF(A1061=A1062,_xll.ciqfunctions.udf.CIQ(A1053,"IQ_CAPEX",IQ_FY-2), _xll.ciqfunctions.udf.CIQ(A1053, "IQ_CAPEX",IQ_FY-1))</f>
        <v>-100</v>
      </c>
      <c r="L1061" s="15">
        <f t="shared" si="280"/>
        <v>1.8270625924007395</v>
      </c>
      <c r="M1061" s="17">
        <f>IF(A1061=A1062,_xll.ciqfunctions.udf.CIQ(A1053,"IQ_TOTAL_DEBT_ISSUED",IQ_FY-2), _xll.ciqfunctions.udf.CIQ(A1053, "IQ_TOTAL_DEBT_ISSUED",IQ_FY-1))</f>
        <v>0</v>
      </c>
      <c r="N1061" s="17">
        <f>IF(A1061=A1062,_xll.ciqfunctions.udf.CIQ(A1053,"IQ_TOTAL_DEBT_REPAID",IQ_FY-2), _xll.ciqfunctions.udf.CIQ(A1053, "IQ_TOTAL_DEBT_REPAID",IQ_FY-1))</f>
        <v>-423.8</v>
      </c>
      <c r="O1061" s="15">
        <f t="shared" si="281"/>
        <v>-1.3130560058664293</v>
      </c>
      <c r="P1061" s="15">
        <f t="shared" si="282"/>
        <v>0.51400658653431019</v>
      </c>
      <c r="Q1061" s="25" t="s">
        <v>33</v>
      </c>
      <c r="R1061" s="38" t="s">
        <v>52</v>
      </c>
      <c r="S1061" s="4">
        <f>(AVERAGE(O1058:O1063)/AVERAGE(P1058:P1063))</f>
        <v>-0.18816934801220933</v>
      </c>
      <c r="U1061" s="25" t="s">
        <v>54</v>
      </c>
      <c r="V1061" s="38" t="s">
        <v>52</v>
      </c>
      <c r="W1061" s="4">
        <f>(AVERAGE(O1058:O1063)/AVERAGE(P1058:P1063))</f>
        <v>-0.18816934801220933</v>
      </c>
      <c r="Y1061" s="25" t="s">
        <v>60</v>
      </c>
      <c r="Z1061" s="38" t="s">
        <v>52</v>
      </c>
      <c r="AA1061" s="4">
        <f>(AVERAGE(O1058:O1063)/AVERAGE(P1058:P1063))</f>
        <v>-0.18816934801220933</v>
      </c>
    </row>
    <row r="1062" spans="1:27">
      <c r="A1062" s="19">
        <f>_xll.ciqfunctions.udf.CIQ(A1053,"IQ_TOTAL_REV",IQ_LTM)</f>
        <v>5648.5</v>
      </c>
      <c r="B1062" s="13">
        <v>10</v>
      </c>
      <c r="C1062" s="14" t="s">
        <v>34</v>
      </c>
      <c r="D1062" s="15" cm="1">
        <f t="array" ref="D1062">_xlfn.SINGLE(IF(A1061=A1062,_xll.ciqfunctions.udf.CIQ(A1053,"IQ_TOTAL_REV",IQ_FY-1)/I1062, _xll.ciqfunctions.udf.CIQ(A1053, "IQ_TOTAL_REV",IQ_FY)/I1062))</f>
        <v>16.363759218389418</v>
      </c>
      <c r="E1062" s="16">
        <f t="shared" si="283"/>
        <v>0.1153318712941111</v>
      </c>
      <c r="F1062" s="15">
        <f>IF(A1061=A1062,_xll.ciqfunctions.udf.CIQ(A1053,"IQ_DILUT_EPS_EXCL",IQ_FY-1), _xll.ciqfunctions.udf.CIQ(A1053, "IQ_DILUT_EPS_EXCL",IQ_FY))</f>
        <v>1.43</v>
      </c>
      <c r="G1062" s="15">
        <f>IF(A1061=A1062,_xll.ciqfunctions.udf.CIQ(A1053,"IQ_EBITDA_MARGIN",IQ_FY-1), _xll.ciqfunctions.udf.CIQ(A1053, "IQ_EBITDA_MARGIN",IQ_FY))</f>
        <v>14.2797</v>
      </c>
      <c r="H1062" s="15">
        <f>IF(A1061=A1062,_xll.ciqfunctions.udf.CIQ(A1053,"IQ_TOTAL_DIV_PAID_CF",IQ_FY-1)/-I1062, _xll.ciqfunctions.udf.CIQ(A1053, "IQ_TOTAL_DIV_PAID_CF",IQ_FY)/-I1062)</f>
        <v>0.83467148808807412</v>
      </c>
      <c r="I1062" s="17">
        <f>IF(A1061=A1062,_xll.ciqfunctions.udf.CIQ(A1053,"IQ_TOTAL_OUTSTANDING_FILING_DATE",IQ_FY-1), _xll.ciqfunctions.udf.CIQ(A1053, "IQ_TOTAL_OUTSTANDING_FILING_DATE",IQ_FY))</f>
        <v>323.95979</v>
      </c>
      <c r="J1062" s="17">
        <f>IF(A1061=A1062,_xll.ciqfunctions.udf.CIQ(A1053,"IQ_CASH_OPER",IQ_FY-1), _xll.ciqfunctions.udf.CIQ(A1053, "IQ_CASH_OPER",IQ_FY))</f>
        <v>97.6</v>
      </c>
      <c r="K1062" s="17">
        <f>IF(A1061=A1062,_xll.ciqfunctions.udf.CIQ(A1053,"IQ_CAPEX",IQ_FY-1), _xll.ciqfunctions.udf.CIQ(A1053, "IQ_CAPEX",IQ_FY))</f>
        <v>-105.1</v>
      </c>
      <c r="L1062" s="15">
        <f t="shared" si="280"/>
        <v>-2.3151021304218034E-2</v>
      </c>
      <c r="M1062" s="17">
        <f>IF(A1061=A1062,_xll.ciqfunctions.udf.CIQ(A1053,"IQ_TOTAL_DEBT_ISSUED",IQ_FY-1), _xll.ciqfunctions.udf.CIQ(A1053, "IQ_TOTAL_DEBT_ISSUED",IQ_FY))</f>
        <v>0</v>
      </c>
      <c r="N1062" s="17">
        <f>IF(A1061=A1062,_xll.ciqfunctions.udf.CIQ(A1053,"IQ_TOTAL_DEBT_REPAID",IQ_FY-1), _xll.ciqfunctions.udf.CIQ(A1053, "IQ_TOTAL_DEBT_REPAID",IQ_FY))</f>
        <v>0</v>
      </c>
      <c r="O1062" s="15">
        <f t="shared" si="281"/>
        <v>0</v>
      </c>
      <c r="P1062" s="15">
        <f t="shared" si="282"/>
        <v>-2.3151021304218034E-2</v>
      </c>
      <c r="Q1062" s="25" t="s">
        <v>44</v>
      </c>
      <c r="R1062" s="38" t="s">
        <v>35</v>
      </c>
      <c r="S1062" s="1">
        <f>_xll.ciqfunctions.udf.CIQ(A1053,"IQ_TEV_EBITDA")</f>
        <v>10.52402</v>
      </c>
      <c r="U1062" s="25" t="s">
        <v>55</v>
      </c>
      <c r="V1062" s="38" t="s">
        <v>53</v>
      </c>
      <c r="W1062" s="1">
        <f>V1052/(AVERAGE(D1058:D1063)/_xlfn.STDEV.P(E1058:E1063))</f>
        <v>0.12422722614447881</v>
      </c>
      <c r="Y1062" s="25" t="s">
        <v>57</v>
      </c>
      <c r="Z1062" s="38" t="s">
        <v>53</v>
      </c>
      <c r="AA1062" s="1">
        <f>Z1052/(AVERAGE(D1058:D1063)/_xlfn.STDEV.P(E1058:E1063))</f>
        <v>0.12422722614447881</v>
      </c>
    </row>
    <row r="1063" spans="1:27">
      <c r="B1063" s="13">
        <v>11</v>
      </c>
      <c r="C1063" s="20" t="s">
        <v>36</v>
      </c>
      <c r="D1063" s="21" cm="1">
        <f t="array" ref="D1063">_xlfn.SINGLE(IF(A1061=A1062,_xll.ciqfunctions.udf.CIQ(A1053,"IQ_TOTAL_REV",IQ_FY)/I1063, _xll.ciqfunctions.udf.CIQ(A1053, "IQ_TOTAL_REV",IQ_LTM)/I1063))</f>
        <v>17.71419991088489</v>
      </c>
      <c r="E1063" s="22">
        <f t="shared" si="283"/>
        <v>8.2526311617801162E-2</v>
      </c>
      <c r="F1063" s="21">
        <f>IF(A1061=A1062,_xll.ciqfunctions.udf.CIQ(A1053,"IQ_DILUT_EPS_EXCL",IQ_FY), _xll.ciqfunctions.udf.CIQ(A1053, "IQ_DILUT_EPS_EXCL",IQ_LTM))</f>
        <v>1.12266</v>
      </c>
      <c r="G1063" s="21">
        <f>IF(A1061=A1062,_xll.ciqfunctions.udf.CIQ(A1053,"IQ_EBITDA_MARGIN",IQ_FY), _xll.ciqfunctions.udf.CIQ(A1053, "IQ_EBITDA_MARGIN",IQ_LTM))</f>
        <v>14.587899999999999</v>
      </c>
      <c r="H1063" s="21">
        <f>IF(A1061=A1062,_xll.ciqfunctions.udf.CIQ(A1053,"IQ_TOTAL_DIV_PAID_CF",IQ_FY)/-I1063, _xll.ciqfunctions.udf.CIQ(A1053, "IQ_TOTAL_DIV_PAID_CF",IQ_LTM)/-I1063)</f>
        <v>0.87214640970471602</v>
      </c>
      <c r="I1063" s="23">
        <f>IF(A1061=A1062,_xll.ciqfunctions.udf.CIQ(A1053,"IQ_TOTAL_OUTSTANDING_FILING_DATE",IQ_FY),_xll.ciqfunctions.udf.CIQ(A1053,"IQ_sharesoutstanding"))</f>
        <v>318.86847999999998</v>
      </c>
      <c r="J1063" s="23">
        <f>IF(A1061=A1062,_xll.ciqfunctions.udf.CIQ(A1053,"IQ_CASH_OPER",IQ_FY), _xll.ciqfunctions.udf.CIQ(A1053, "IQ_CASH_OPER",IQ_LTM))</f>
        <v>983.3</v>
      </c>
      <c r="K1063" s="23">
        <f>IF(A1061=A1062,_xll.ciqfunctions.udf.CIQ(A1053,"IQ_CAPEX",IQ_FY), _xll.ciqfunctions.udf.CIQ(A1053, "IQ_CAPEX",IQ_LTM))</f>
        <v>-155.69999999999999</v>
      </c>
      <c r="L1063" s="21">
        <f t="shared" si="280"/>
        <v>2.5954274313974213</v>
      </c>
      <c r="M1063" s="23">
        <f>IF(A1061=A1062,_xll.ciqfunctions.udf.CIQ(A1053,"IQ_TOTAL_DEBT_ISSUED",IQ_FY), _xll.ciqfunctions.udf.CIQ(A1053, "IQ_TOTAL_DEBT_ISSUED",IQ_LTM))</f>
        <v>0</v>
      </c>
      <c r="N1063" s="23">
        <f>IF(A1061=A1062,_xll.ciqfunctions.udf.CIQ(A1053,"IQ_TOTAL_DEBT_REPAID",IQ_FY), _xll.ciqfunctions.udf.CIQ(A1053, "IQ_TOTAL_DEBT_REPAID",IQ_LTM))</f>
        <v>0</v>
      </c>
      <c r="O1063" s="21">
        <f t="shared" si="281"/>
        <v>0</v>
      </c>
      <c r="P1063" s="21">
        <f t="shared" si="282"/>
        <v>2.5954274313974213</v>
      </c>
      <c r="Q1063" s="25" t="s">
        <v>45</v>
      </c>
      <c r="S1063" s="45"/>
      <c r="U1063" s="25"/>
      <c r="W1063" s="45"/>
      <c r="Y1063" s="25"/>
      <c r="AA1063" s="45"/>
    </row>
    <row r="1064" spans="1:27">
      <c r="B1064" s="24"/>
      <c r="C1064" s="25" t="s">
        <v>37</v>
      </c>
      <c r="E1064" s="26">
        <f>((D1063/D1058)^(1/5))-1</f>
        <v>5.8076141683667926E-2</v>
      </c>
      <c r="F1064" s="27">
        <f>((F1063/F1058)^(1/5))-1</f>
        <v>-6.8408208279126637E-2</v>
      </c>
      <c r="G1064" s="28"/>
      <c r="H1064" s="27">
        <f>((H1063/H1058)^(1/5))-1</f>
        <v>4.0087595490153838E-2</v>
      </c>
      <c r="I1064" s="27">
        <f>((I1063/I1058)^(1/5))-1</f>
        <v>-1.7288982184369805E-2</v>
      </c>
      <c r="J1064" s="27"/>
      <c r="K1064" s="27"/>
      <c r="L1064" s="26">
        <f>((L1063/L1058)^(1/5))-1</f>
        <v>4.8178221240417374E-2</v>
      </c>
      <c r="M1064" s="26"/>
      <c r="N1064" s="26"/>
      <c r="O1064" s="26"/>
      <c r="P1064" s="26">
        <f>((P1063/P1058)^(1/5))-1</f>
        <v>5.3214046963095285E-2</v>
      </c>
      <c r="Q1064" s="18"/>
      <c r="R1064" s="36"/>
      <c r="S1064" s="45"/>
      <c r="U1064" s="18"/>
      <c r="V1064" s="36"/>
      <c r="W1064" s="45"/>
      <c r="Y1064" s="18"/>
      <c r="Z1064" s="36"/>
      <c r="AA1064" s="45"/>
    </row>
    <row r="1065" spans="1:27">
      <c r="A1065" s="29"/>
      <c r="B1065" s="30"/>
      <c r="C1065" s="31" t="s">
        <v>38</v>
      </c>
      <c r="D1065" s="29"/>
      <c r="E1065" s="32">
        <f>((D1063/D1053)^(1/10))-1</f>
        <v>6.6358020200066425E-2</v>
      </c>
      <c r="F1065" s="33">
        <f>((F1063/F1053)^(1/10))-1</f>
        <v>2.7010727042515281E-2</v>
      </c>
      <c r="G1065" s="34"/>
      <c r="H1065" s="33" t="e">
        <f>((H1063/H1053)^(1/10))-1</f>
        <v>#DIV/0!</v>
      </c>
      <c r="I1065" s="33">
        <f>((I1063/I1053)^(1/10))-1</f>
        <v>-4.4200154274920522E-2</v>
      </c>
      <c r="J1065" s="33"/>
      <c r="K1065" s="33"/>
      <c r="L1065" s="32">
        <f>((L1063/L1053)^(1/10))-1</f>
        <v>7.761610102801475E-2</v>
      </c>
      <c r="M1065" s="32"/>
      <c r="N1065" s="32"/>
      <c r="O1065" s="32"/>
      <c r="P1065" s="32">
        <f>((P1063/P1053)^(1/10))-1</f>
        <v>7.2088880202406447E-2</v>
      </c>
      <c r="Q1065" s="40"/>
      <c r="R1065" s="41"/>
      <c r="S1065" s="46"/>
      <c r="U1065" s="40"/>
      <c r="V1065" s="41"/>
      <c r="W1065" s="46"/>
      <c r="Y1065" s="40"/>
      <c r="Z1065" s="41"/>
      <c r="AA1065" s="46"/>
    </row>
    <row r="1066" spans="1:27">
      <c r="B1066" s="24"/>
      <c r="C1066" s="25"/>
      <c r="E1066" s="26"/>
      <c r="F1066" s="27"/>
      <c r="G1066" s="28"/>
      <c r="H1066" s="27"/>
      <c r="I1066" s="27"/>
      <c r="J1066" s="27"/>
      <c r="K1066" s="27"/>
      <c r="L1066" s="26"/>
      <c r="M1066" s="17"/>
      <c r="N1066" s="17"/>
      <c r="O1066" s="17"/>
      <c r="P1066" s="35"/>
      <c r="Q1066" s="18"/>
      <c r="R1066" s="36"/>
    </row>
    <row r="1067" spans="1:27">
      <c r="A1067" s="9" t="s">
        <v>0</v>
      </c>
      <c r="B1067" s="10"/>
      <c r="C1067" s="9" t="s">
        <v>1</v>
      </c>
      <c r="D1067" s="9" t="s">
        <v>2</v>
      </c>
      <c r="E1067" s="9" t="s">
        <v>3</v>
      </c>
      <c r="F1067" s="11" t="s">
        <v>4</v>
      </c>
      <c r="G1067" s="11" t="s">
        <v>5</v>
      </c>
      <c r="H1067" s="9" t="s">
        <v>6</v>
      </c>
      <c r="I1067" s="11" t="s">
        <v>7</v>
      </c>
      <c r="J1067" s="11" t="s">
        <v>8</v>
      </c>
      <c r="K1067" s="11" t="s">
        <v>9</v>
      </c>
      <c r="L1067" s="11" t="s">
        <v>10</v>
      </c>
      <c r="M1067" s="11" t="s">
        <v>11</v>
      </c>
      <c r="N1067" s="11" t="s">
        <v>12</v>
      </c>
      <c r="O1067" s="11" t="s">
        <v>13</v>
      </c>
      <c r="P1067" s="11" t="s">
        <v>14</v>
      </c>
      <c r="Q1067" s="37" t="s">
        <v>15</v>
      </c>
      <c r="R1067" s="42">
        <f>_xll.ciqfunctions.udf.CIQ(A1068,("IQ_LASTSALEPRICE"))</f>
        <v>168.33</v>
      </c>
      <c r="S1067" s="44"/>
      <c r="U1067" s="37" t="s">
        <v>15</v>
      </c>
      <c r="V1067" s="42">
        <f>_xll.ciqfunctions.udf.CIQ(A1068,("IQ_LASTSALEPRICE"))</f>
        <v>168.33</v>
      </c>
      <c r="W1067" s="44"/>
      <c r="Y1067" s="37" t="s">
        <v>15</v>
      </c>
      <c r="Z1067" s="42">
        <f>_xll.ciqfunctions.udf.CIQ(A1068,("IQ_LASTSALEPRICE"))</f>
        <v>168.33</v>
      </c>
      <c r="AA1067" s="44"/>
    </row>
    <row r="1068" spans="1:27">
      <c r="A1068" s="12" t="str">
        <f>Analysis!B73</f>
        <v>NasdaqGS:FFIV</v>
      </c>
      <c r="B1068" s="13">
        <v>1</v>
      </c>
      <c r="C1068" s="14" t="s">
        <v>16</v>
      </c>
      <c r="D1068" s="15">
        <f>IF(A1076=A1077,_xll.ciqfunctions.udf.CIQ(A1068,"IQ_TOTAL_REV",IQ_FY-10)/I1068,_xll.ciqfunctions.udf.CIQ(A1068, "IQ_TOTAL_REV",IQ_FY-9)/I1068)</f>
        <v>19.086972790658361</v>
      </c>
      <c r="E1068" s="16"/>
      <c r="F1068" s="15">
        <f>IF(A1076=A1077,_xll.ciqfunctions.udf.CIQ(A1068,"IQ_DILUT_EPS_EXCL",IQ_FY-10), _xll.ciqfunctions.udf.CIQ(A1068, "IQ_DILUT_EPS_EXCL",IQ_FY-9))</f>
        <v>3.5</v>
      </c>
      <c r="G1068" s="15">
        <f>IF(A1076=A1077,_xll.ciqfunctions.udf.CIQ(A1068,"IQ_EBITDA_MARGIN",IQ_FY-10), _xll.ciqfunctions.udf.CIQ(A1068, "IQ_EBITDA_MARGIN",IQ_FY-9))</f>
        <v>31.5276</v>
      </c>
      <c r="H1068" s="15">
        <f>IF(A1076=A1077,_xll.ciqfunctions.udf.CIQ(A1068,"IQ_TOTAL_DIV_PAID_CF",IQ_FY-10)/-I1068, _xll.ciqfunctions.udf.CIQ(A1068, "IQ_TOTAL_DIV_PAID_CF",IQ_FY-9)/-I1068)</f>
        <v>0</v>
      </c>
      <c r="I1068" s="17">
        <f>IF(A1076=A1077,_xll.ciqfunctions.udf.CIQ(A1068,"IQ_TOTAL_OUTSTANDING_FILING_DATE",IQ_FY-10), _xll.ciqfunctions.udf.CIQ(A1068, "IQ_TOTAL_OUTSTANDING_FILING_DATE",IQ_FY-9))</f>
        <v>77.608639999999994</v>
      </c>
      <c r="J1068" s="17">
        <f>IF(A1076=A1077,_xll.ciqfunctions.udf.CIQ(A1068,"IQ_CASH_OPER",IQ_FY-10), _xll.ciqfunctions.udf.CIQ(A1068, "IQ_CASH_OPER",IQ_FY-9))</f>
        <v>499.69299999999998</v>
      </c>
      <c r="K1068" s="17">
        <f>IF(A1076=A1077,_xll.ciqfunctions.udf.CIQ(A1068,"IQ_CAPEX",IQ_FY-10), _xll.ciqfunctions.udf.CIQ(A1068, "IQ_CAPEX",IQ_FY-9))</f>
        <v>-26.582999999999998</v>
      </c>
      <c r="L1068" s="15">
        <f t="shared" ref="L1068:L1078" si="284">(J1068+K1068)/I1068</f>
        <v>6.0960996095280118</v>
      </c>
      <c r="M1068" s="17">
        <f>IF(A1076=A1077,_xll.ciqfunctions.udf.CIQ(A1068,"IQ_TOTAL_DEBT_ISSUED",IQ_FY-10), _xll.ciqfunctions.udf.CIQ(A1068, "IQ_TOTAL_DEBT_ISSUED",IQ_FY-9))</f>
        <v>0</v>
      </c>
      <c r="N1068" s="17">
        <f>IF(A1076=A1077,_xll.ciqfunctions.udf.CIQ(A1068,"IQ_TOTAL_DEBT_REPAID",IQ_FY-10), _xll.ciqfunctions.udf.CIQ(A1068, "IQ_TOTAL_DEBT_REPAID",IQ_FY-9))</f>
        <v>0</v>
      </c>
      <c r="O1068" s="15">
        <f t="shared" ref="O1068:O1078" si="285">(M1068+N1068)/I1068</f>
        <v>0</v>
      </c>
      <c r="P1068" s="15">
        <f t="shared" ref="P1068:P1078" si="286">L1068+O1068</f>
        <v>6.0960996095280118</v>
      </c>
      <c r="W1068" s="43"/>
      <c r="AA1068" s="43"/>
    </row>
    <row r="1069" spans="1:27">
      <c r="A1069" s="18" t="str">
        <f>_xll.ciqfunctions.udf.CIQ(A1068,"IQ_COMPANY_NAME")</f>
        <v>F5, Inc.</v>
      </c>
      <c r="B1069" s="13">
        <v>2</v>
      </c>
      <c r="C1069" s="14" t="s">
        <v>17</v>
      </c>
      <c r="D1069" s="15">
        <f>IF(A1076=A1077,_xll.ciqfunctions.udf.CIQ(A1068,"IQ_TOTAL_REV",IQ_FY-9)/I1069, _xll.ciqfunctions.udf.CIQ(A1068, "IQ_TOTAL_REV",IQ_FY-8)/I1069)</f>
        <v>23.474770036037967</v>
      </c>
      <c r="E1069" s="16">
        <f t="shared" ref="E1069:E1078" si="287">(D1069-D1068)/D1068</f>
        <v>0.22988439777768754</v>
      </c>
      <c r="F1069" s="15">
        <f>IF(A1076=A1077,_xll.ciqfunctions.udf.CIQ(A1068,"IQ_DILUT_EPS_EXCL",IQ_FY-9), _xll.ciqfunctions.udf.CIQ(A1068, "IQ_DILUT_EPS_EXCL",IQ_FY-8))</f>
        <v>4.09</v>
      </c>
      <c r="G1069" s="15">
        <f>IF(A1076=A1077,_xll.ciqfunctions.udf.CIQ(A1068,"IQ_EBITDA_MARGIN",IQ_FY-9), _xll.ciqfunctions.udf.CIQ(A1068, "IQ_EBITDA_MARGIN",IQ_FY-8))</f>
        <v>30.702300000000001</v>
      </c>
      <c r="H1069" s="15">
        <f>IF(A1076=A1077,_xll.ciqfunctions.udf.CIQ(A1068,"IQ_TOTAL_DIV_PAID_CF",IQ_FY-9)/-I1069, _xll.ciqfunctions.udf.CIQ(A1068, "IQ_TOTAL_DIV_PAID_CF",IQ_FY-8)/-I1069)</f>
        <v>0</v>
      </c>
      <c r="I1069" s="17">
        <f>IF(A1076=A1077,_xll.ciqfunctions.udf.CIQ(A1068,"IQ_TOTAL_OUTSTANDING_FILING_DATE",IQ_FY-9), _xll.ciqfunctions.udf.CIQ(A1068, "IQ_TOTAL_OUTSTANDING_FILING_DATE",IQ_FY-8))</f>
        <v>73.783299999999997</v>
      </c>
      <c r="J1069" s="17">
        <f>IF(A1076=A1077,_xll.ciqfunctions.udf.CIQ(A1068,"IQ_CASH_OPER",IQ_FY-9), _xll.ciqfunctions.udf.CIQ(A1068, "IQ_CASH_OPER",IQ_FY-8))</f>
        <v>548.99199999999996</v>
      </c>
      <c r="K1069" s="17">
        <f>IF(A1076=A1077,_xll.ciqfunctions.udf.CIQ(A1068,"IQ_CAPEX",IQ_FY-9), _xll.ciqfunctions.udf.CIQ(A1068, "IQ_CAPEX",IQ_FY-8))</f>
        <v>-22.718</v>
      </c>
      <c r="L1069" s="15">
        <f t="shared" si="284"/>
        <v>7.1326980495586403</v>
      </c>
      <c r="M1069" s="17">
        <f>IF(A1076=A1077,_xll.ciqfunctions.udf.CIQ(A1068,"IQ_TOTAL_DEBT_ISSUED",IQ_FY-9), _xll.ciqfunctions.udf.CIQ(A1068, "IQ_TOTAL_DEBT_ISSUED",IQ_FY-8))</f>
        <v>0</v>
      </c>
      <c r="N1069" s="17">
        <f>IF(A1076=A1077,_xll.ciqfunctions.udf.CIQ(A1068,"IQ_TOTAL_DEBT_REPAID",IQ_FY-9), _xll.ciqfunctions.udf.CIQ(A1068, "IQ_TOTAL_DEBT_REPAID",IQ_FY-8))</f>
        <v>0</v>
      </c>
      <c r="O1069" s="15">
        <f t="shared" si="285"/>
        <v>0</v>
      </c>
      <c r="P1069" s="15">
        <f t="shared" si="286"/>
        <v>7.1326980495586403</v>
      </c>
      <c r="Q1069" s="25" t="s">
        <v>18</v>
      </c>
      <c r="R1069" s="39" t="s">
        <v>19</v>
      </c>
      <c r="S1069" s="1">
        <f>R1067/((AVERAGE(P1073:P1078))*(1+E1079)^3)</f>
        <v>14.559113190160149</v>
      </c>
      <c r="U1069" s="25" t="s">
        <v>48</v>
      </c>
      <c r="V1069" s="39" t="s">
        <v>19</v>
      </c>
      <c r="W1069" s="1">
        <f>V1067/((AVERAGE(P1073:P1078))*(1+E1079)^3)</f>
        <v>14.559113190160149</v>
      </c>
      <c r="Y1069" s="25" t="s">
        <v>39</v>
      </c>
      <c r="Z1069" s="39" t="s">
        <v>19</v>
      </c>
      <c r="AA1069" s="1">
        <f>Z1067/((AVERAGE(P1073:P1078))*(1+E1079)^3)</f>
        <v>14.559113190160149</v>
      </c>
    </row>
    <row r="1070" spans="1:27">
      <c r="B1070" s="13">
        <v>3</v>
      </c>
      <c r="C1070" s="14" t="s">
        <v>20</v>
      </c>
      <c r="D1070" s="15" cm="1">
        <f t="array" ref="D1070">_xlfn.SINGLE(IF(A1076=A1077,_xll.ciqfunctions.udf.CIQ(A1068,"IQ_TOTAL_REV",IQ_FY-8)/I1070, _xll.ciqfunctions.udf.CIQ(A1068, "IQ_TOTAL_REV",IQ_FY-7)/I1070))</f>
        <v>27.278567129365189</v>
      </c>
      <c r="E1070" s="16">
        <f t="shared" si="287"/>
        <v>0.1620376722535605</v>
      </c>
      <c r="F1070" s="15">
        <f>IF(A1076=A1077,_xll.ciqfunctions.udf.CIQ(A1068,"IQ_DILUT_EPS_EXCL",IQ_FY-8), _xll.ciqfunctions.udf.CIQ(A1068, "IQ_DILUT_EPS_EXCL",IQ_FY-7))</f>
        <v>5.03</v>
      </c>
      <c r="G1070" s="15">
        <f>IF(A1076=A1077,_xll.ciqfunctions.udf.CIQ(A1068,"IQ_EBITDA_MARGIN",IQ_FY-8), _xll.ciqfunctions.udf.CIQ(A1068, "IQ_EBITDA_MARGIN",IQ_FY-7))</f>
        <v>30.9862</v>
      </c>
      <c r="H1070" s="15">
        <f>IF(A1076=A1077,_xll.ciqfunctions.udf.CIQ(A1068,"IQ_TOTAL_DIV_PAID_CF",IQ_FY-8)/-I1070, _xll.ciqfunctions.udf.CIQ(A1068, "IQ_TOTAL_DIV_PAID_CF",IQ_FY-7)/-I1070)</f>
        <v>0</v>
      </c>
      <c r="I1070" s="17">
        <f>IF(A1076=A1077,_xll.ciqfunctions.udf.CIQ(A1068,"IQ_TOTAL_OUTSTANDING_FILING_DATE",IQ_FY-8), _xll.ciqfunctions.udf.CIQ(A1068, "IQ_TOTAL_OUTSTANDING_FILING_DATE",IQ_FY-7))</f>
        <v>70.378439999999998</v>
      </c>
      <c r="J1070" s="17">
        <f>IF(A1076=A1077,_xll.ciqfunctions.udf.CIQ(A1068,"IQ_CASH_OPER",IQ_FY-8), _xll.ciqfunctions.udf.CIQ(A1068, "IQ_CASH_OPER",IQ_FY-7))</f>
        <v>684.54100000000005</v>
      </c>
      <c r="K1070" s="17">
        <f>IF(A1076=A1077,_xll.ciqfunctions.udf.CIQ(A1068,"IQ_CAPEX",IQ_FY-8), _xll.ciqfunctions.udf.CIQ(A1068, "IQ_CAPEX",IQ_FY-7))</f>
        <v>-60.307000000000002</v>
      </c>
      <c r="L1070" s="15">
        <f t="shared" si="284"/>
        <v>8.8696765657209795</v>
      </c>
      <c r="M1070" s="17">
        <f>IF(A1076=A1077,_xll.ciqfunctions.udf.CIQ(A1068,"IQ_TOTAL_DEBT_ISSUED",IQ_FY-8), _xll.ciqfunctions.udf.CIQ(A1068, "IQ_TOTAL_DEBT_ISSUED",IQ_FY-7))</f>
        <v>0</v>
      </c>
      <c r="N1070" s="17">
        <f>IF(A1076=A1077,_xll.ciqfunctions.udf.CIQ(A1068,"IQ_TOTAL_DEBT_REPAID",IQ_FY-8), _xll.ciqfunctions.udf.CIQ(A1068, "IQ_TOTAL_DEBT_REPAID",IQ_FY-7))</f>
        <v>0</v>
      </c>
      <c r="O1070" s="15">
        <f t="shared" si="285"/>
        <v>0</v>
      </c>
      <c r="P1070" s="15">
        <f t="shared" si="286"/>
        <v>8.8696765657209795</v>
      </c>
      <c r="Q1070" s="25" t="s">
        <v>21</v>
      </c>
      <c r="R1070" s="38" t="s">
        <v>49</v>
      </c>
      <c r="S1070" s="2">
        <f>(R1067*I1078)/1000</f>
        <v>10.050514659300001</v>
      </c>
      <c r="U1070" s="25" t="s">
        <v>59</v>
      </c>
      <c r="V1070" s="38" t="s">
        <v>49</v>
      </c>
      <c r="W1070" s="2">
        <f>(V1067*I1078)/1000</f>
        <v>10.050514659300001</v>
      </c>
      <c r="Y1070" s="25" t="s">
        <v>46</v>
      </c>
      <c r="Z1070" s="38" t="s">
        <v>49</v>
      </c>
      <c r="AA1070" s="2">
        <f>(Z1067*I1078)/1000</f>
        <v>10.050514659300001</v>
      </c>
    </row>
    <row r="1071" spans="1:27">
      <c r="A1071" s="18"/>
      <c r="B1071" s="13">
        <v>4</v>
      </c>
      <c r="C1071" s="14" t="s">
        <v>22</v>
      </c>
      <c r="D1071" s="15" cm="1">
        <f t="array" ref="D1071">_xlfn.SINGLE(IF(A1076=A1077,_xll.ciqfunctions.udf.CIQ(A1068,"IQ_TOTAL_REV",IQ_FY-7)/I1071, _xll.ciqfunctions.udf.CIQ(A1068, "IQ_TOTAL_REV",IQ_FY-6)/I1071))</f>
        <v>30.544333617439275</v>
      </c>
      <c r="E1071" s="16">
        <f t="shared" si="287"/>
        <v>0.11971913600104421</v>
      </c>
      <c r="F1071" s="15">
        <f>IF(A1076=A1077,_xll.ciqfunctions.udf.CIQ(A1068,"IQ_DILUT_EPS_EXCL",IQ_FY-7), _xll.ciqfunctions.udf.CIQ(A1068, "IQ_DILUT_EPS_EXCL",IQ_FY-6))</f>
        <v>5.38</v>
      </c>
      <c r="G1071" s="15">
        <f>IF(A1076=A1077,_xll.ciqfunctions.udf.CIQ(A1068,"IQ_EBITDA_MARGIN",IQ_FY-7), _xll.ciqfunctions.udf.CIQ(A1068, "IQ_EBITDA_MARGIN",IQ_FY-6))</f>
        <v>30.205100000000002</v>
      </c>
      <c r="H1071" s="15">
        <f>IF(A1076=A1077,_xll.ciqfunctions.udf.CIQ(A1068,"IQ_TOTAL_DIV_PAID_CF",IQ_FY-7)/-I1071, _xll.ciqfunctions.udf.CIQ(A1068, "IQ_TOTAL_DIV_PAID_CF",IQ_FY-6)/-I1071)</f>
        <v>0</v>
      </c>
      <c r="I1071" s="17">
        <f>IF(A1076=A1077,_xll.ciqfunctions.udf.CIQ(A1068,"IQ_TOTAL_OUTSTANDING_FILING_DATE",IQ_FY-7), _xll.ciqfunctions.udf.CIQ(A1068, "IQ_TOTAL_OUTSTANDING_FILING_DATE",IQ_FY-6))</f>
        <v>65.316010000000006</v>
      </c>
      <c r="J1071" s="17">
        <f>IF(A1076=A1077,_xll.ciqfunctions.udf.CIQ(A1068,"IQ_CASH_OPER",IQ_FY-7), _xll.ciqfunctions.udf.CIQ(A1068, "IQ_CASH_OPER",IQ_FY-6))</f>
        <v>711.53499999999997</v>
      </c>
      <c r="K1071" s="17">
        <f>IF(A1076=A1077,_xll.ciqfunctions.udf.CIQ(A1068,"IQ_CAPEX",IQ_FY-7), _xll.ciqfunctions.udf.CIQ(A1068, "IQ_CAPEX",IQ_FY-6))</f>
        <v>-63.488</v>
      </c>
      <c r="L1071" s="15">
        <f t="shared" si="284"/>
        <v>9.9217175084638516</v>
      </c>
      <c r="M1071" s="17">
        <f>IF(A1076=A1077,_xll.ciqfunctions.udf.CIQ(A1068,"IQ_TOTAL_DEBT_ISSUED",IQ_FY-7), _xll.ciqfunctions.udf.CIQ(A1068, "IQ_TOTAL_DEBT_ISSUED",IQ_FY-6))</f>
        <v>0</v>
      </c>
      <c r="N1071" s="17">
        <f>IF(A1076=A1077,_xll.ciqfunctions.udf.CIQ(A1068,"IQ_TOTAL_DEBT_REPAID",IQ_FY-7), _xll.ciqfunctions.udf.CIQ(A1068, "IQ_TOTAL_DEBT_REPAID",IQ_FY-6))</f>
        <v>0</v>
      </c>
      <c r="O1071" s="15">
        <f t="shared" si="285"/>
        <v>0</v>
      </c>
      <c r="P1071" s="15">
        <f t="shared" si="286"/>
        <v>9.9217175084638516</v>
      </c>
      <c r="Q1071" s="25" t="s">
        <v>23</v>
      </c>
      <c r="R1071" s="38" t="s">
        <v>24</v>
      </c>
      <c r="S1071" s="1" t="e">
        <f>R1067/(AVERAGE(H1073:H1078)*(1+H1079)/(0.5-H1079))</f>
        <v>#DIV/0!</v>
      </c>
      <c r="U1071" s="25" t="s">
        <v>40</v>
      </c>
      <c r="V1071" s="38" t="s">
        <v>24</v>
      </c>
      <c r="W1071" s="1" t="e">
        <f>V1067/(AVERAGE(H1073:H1078)*(1+H1079)/(0.5-H1079))</f>
        <v>#DIV/0!</v>
      </c>
      <c r="Y1071" s="25" t="s">
        <v>47</v>
      </c>
      <c r="Z1071" s="38" t="s">
        <v>24</v>
      </c>
      <c r="AA1071" s="1" t="e">
        <f>Z1067/(AVERAGE(H1073:H1078)*(1+H1079)/(0.5-H1079))</f>
        <v>#DIV/0!</v>
      </c>
    </row>
    <row r="1072" spans="1:27">
      <c r="B1072" s="13">
        <v>5</v>
      </c>
      <c r="C1072" s="14" t="s">
        <v>25</v>
      </c>
      <c r="D1072" s="15" cm="1">
        <f t="array" ref="D1072">_xlfn.SINGLE(IF(A1076=A1077,_xll.ciqfunctions.udf.CIQ(A1068,"IQ_TOTAL_REV",IQ_FY-6)/I1072, _xll.ciqfunctions.udf.CIQ(A1068, "IQ_TOTAL_REV",IQ_FY-5)/I1072))</f>
        <v>33.390692838491908</v>
      </c>
      <c r="E1072" s="16">
        <f t="shared" si="287"/>
        <v>9.3187798977794889E-2</v>
      </c>
      <c r="F1072" s="15">
        <f>IF(A1076=A1077,_xll.ciqfunctions.udf.CIQ(A1068,"IQ_DILUT_EPS_EXCL",IQ_FY-6), _xll.ciqfunctions.udf.CIQ(A1068, "IQ_DILUT_EPS_EXCL",IQ_FY-5))</f>
        <v>6.5</v>
      </c>
      <c r="G1072" s="15">
        <f>IF(A1076=A1077,_xll.ciqfunctions.udf.CIQ(A1068,"IQ_EBITDA_MARGIN",IQ_FY-6), _xll.ciqfunctions.udf.CIQ(A1068, "IQ_EBITDA_MARGIN",IQ_FY-5))</f>
        <v>30.535900000000002</v>
      </c>
      <c r="H1072" s="15">
        <f>IF(A1076=A1077,_xll.ciqfunctions.udf.CIQ(A1068,"IQ_TOTAL_DIV_PAID_CF",IQ_FY-6)/-I1072, _xll.ciqfunctions.udf.CIQ(A1068, "IQ_TOTAL_DIV_PAID_CF",IQ_FY-5)/-I1072)</f>
        <v>0</v>
      </c>
      <c r="I1072" s="17">
        <f>IF(A1076=A1077,_xll.ciqfunctions.udf.CIQ(A1068,"IQ_TOTAL_OUTSTANDING_FILING_DATE",IQ_FY-6), _xll.ciqfunctions.udf.CIQ(A1068, "IQ_TOTAL_OUTSTANDING_FILING_DATE",IQ_FY-5))</f>
        <v>62.593519999999998</v>
      </c>
      <c r="J1072" s="17">
        <f>IF(A1076=A1077,_xll.ciqfunctions.udf.CIQ(A1068,"IQ_CASH_OPER",IQ_FY-6), _xll.ciqfunctions.udf.CIQ(A1068, "IQ_CASH_OPER",IQ_FY-5))</f>
        <v>740.28099999999995</v>
      </c>
      <c r="K1072" s="17">
        <f>IF(A1076=A1077,_xll.ciqfunctions.udf.CIQ(A1068,"IQ_CAPEX",IQ_FY-6), _xll.ciqfunctions.udf.CIQ(A1068, "IQ_CAPEX",IQ_FY-5))</f>
        <v>-38.680999999999997</v>
      </c>
      <c r="L1072" s="15">
        <f t="shared" si="284"/>
        <v>11.208828006477347</v>
      </c>
      <c r="M1072" s="17">
        <f>IF(A1076=A1077,_xll.ciqfunctions.udf.CIQ(A1068,"IQ_TOTAL_DEBT_ISSUED",IQ_FY-6), _xll.ciqfunctions.udf.CIQ(A1068, "IQ_TOTAL_DEBT_ISSUED",IQ_FY-5))</f>
        <v>0</v>
      </c>
      <c r="N1072" s="17">
        <f>IF(A1076=A1077,_xll.ciqfunctions.udf.CIQ(A1068,"IQ_TOTAL_DEBT_REPAID",IQ_FY-6), _xll.ciqfunctions.udf.CIQ(A1068, "IQ_TOTAL_DEBT_REPAID",IQ_FY-5))</f>
        <v>0</v>
      </c>
      <c r="O1072" s="15">
        <f t="shared" si="285"/>
        <v>0</v>
      </c>
      <c r="P1072" s="15">
        <f t="shared" si="286"/>
        <v>11.208828006477347</v>
      </c>
      <c r="Q1072" s="18"/>
      <c r="R1072" s="38" t="s">
        <v>50</v>
      </c>
      <c r="S1072" s="3">
        <f>I1079</f>
        <v>-3.0535321735730703E-3</v>
      </c>
      <c r="U1072" s="18"/>
      <c r="V1072" s="38" t="s">
        <v>50</v>
      </c>
      <c r="W1072" s="3">
        <f>I1079</f>
        <v>-3.0535321735730703E-3</v>
      </c>
      <c r="Y1072" s="18"/>
      <c r="Z1072" s="38" t="s">
        <v>50</v>
      </c>
      <c r="AA1072" s="3">
        <f>I1079</f>
        <v>-3.0535321735730703E-3</v>
      </c>
    </row>
    <row r="1073" spans="1:27">
      <c r="B1073" s="13">
        <v>6</v>
      </c>
      <c r="C1073" s="14" t="s">
        <v>26</v>
      </c>
      <c r="D1073" s="15" cm="1">
        <f t="array" ref="D1073">_xlfn.SINGLE(IF(A1076=A1077,_xll.ciqfunctions.udf.CIQ(A1068,"IQ_TOTAL_REV",IQ_FY-5)/I1073, _xll.ciqfunctions.udf.CIQ(A1068, "IQ_TOTAL_REV",IQ_FY-4)/I1073))</f>
        <v>35.650774627432142</v>
      </c>
      <c r="E1073" s="16">
        <f t="shared" si="287"/>
        <v>6.7685980637540735E-2</v>
      </c>
      <c r="F1073" s="15">
        <f>IF(A1076=A1077,_xll.ciqfunctions.udf.CIQ(A1068,"IQ_DILUT_EPS_EXCL",IQ_FY-5), _xll.ciqfunctions.udf.CIQ(A1068, "IQ_DILUT_EPS_EXCL",IQ_FY-4))</f>
        <v>7.32</v>
      </c>
      <c r="G1073" s="15">
        <f>IF(A1076=A1077,_xll.ciqfunctions.udf.CIQ(A1068,"IQ_EBITDA_MARGIN",IQ_FY-5), _xll.ciqfunctions.udf.CIQ(A1068, "IQ_EBITDA_MARGIN",IQ_FY-4))</f>
        <v>30.9435</v>
      </c>
      <c r="H1073" s="15">
        <f>IF(A1076=A1077,_xll.ciqfunctions.udf.CIQ(A1068,"IQ_TOTAL_DIV_PAID_CF",IQ_FY-5)/-I1073, _xll.ciqfunctions.udf.CIQ(A1068, "IQ_TOTAL_DIV_PAID_CF",IQ_FY-4)/-I1073)</f>
        <v>0</v>
      </c>
      <c r="I1073" s="17">
        <f>IF(A1076=A1077,_xll.ciqfunctions.udf.CIQ(A1068,"IQ_TOTAL_OUTSTANDING_FILING_DATE",IQ_FY-5), _xll.ciqfunctions.udf.CIQ(A1068, "IQ_TOTAL_OUTSTANDING_FILING_DATE",IQ_FY-4))</f>
        <v>60.627209999999998</v>
      </c>
      <c r="J1073" s="17">
        <f>IF(A1076=A1077,_xll.ciqfunctions.udf.CIQ(A1068,"IQ_CASH_OPER",IQ_FY-5), _xll.ciqfunctions.udf.CIQ(A1068, "IQ_CASH_OPER",IQ_FY-4))</f>
        <v>761.06799999999998</v>
      </c>
      <c r="K1073" s="17">
        <f>IF(A1076=A1077,_xll.ciqfunctions.udf.CIQ(A1068,"IQ_CAPEX",IQ_FY-5), _xll.ciqfunctions.udf.CIQ(A1068, "IQ_CAPEX",IQ_FY-4))</f>
        <v>-53.465000000000003</v>
      </c>
      <c r="L1073" s="15">
        <f t="shared" si="284"/>
        <v>11.671376598065455</v>
      </c>
      <c r="M1073" s="17">
        <f>IF(A1076=A1077,_xll.ciqfunctions.udf.CIQ(A1068,"IQ_TOTAL_DEBT_ISSUED",IQ_FY-5), _xll.ciqfunctions.udf.CIQ(A1068, "IQ_TOTAL_DEBT_ISSUED",IQ_FY-4))</f>
        <v>0</v>
      </c>
      <c r="N1073" s="17">
        <f>IF(A1076=A1077,_xll.ciqfunctions.udf.CIQ(A1068,"IQ_TOTAL_DEBT_REPAID",IQ_FY-5), _xll.ciqfunctions.udf.CIQ(A1068, "IQ_TOTAL_DEBT_REPAID",IQ_FY-4))</f>
        <v>0</v>
      </c>
      <c r="O1073" s="15">
        <f t="shared" si="285"/>
        <v>0</v>
      </c>
      <c r="P1073" s="15">
        <f t="shared" si="286"/>
        <v>11.671376598065455</v>
      </c>
      <c r="Q1073" s="25" t="s">
        <v>27</v>
      </c>
      <c r="R1073" s="38" t="s">
        <v>51</v>
      </c>
      <c r="S1073" s="4">
        <f>AVERAGE(F1073:F1078)/AVERAGE(D1073:D1078)</f>
        <v>0.14927192036202755</v>
      </c>
      <c r="U1073" s="25" t="s">
        <v>58</v>
      </c>
      <c r="V1073" s="38" t="s">
        <v>51</v>
      </c>
      <c r="W1073" s="4">
        <f>AVERAGE(F1073:F1078)/AVERAGE(D1073:D1078)</f>
        <v>0.14927192036202755</v>
      </c>
      <c r="Y1073" s="25" t="s">
        <v>56</v>
      </c>
      <c r="Z1073" s="38" t="s">
        <v>51</v>
      </c>
      <c r="AA1073" s="4">
        <f>AVERAGE(F1073:F1078)/AVERAGE(D1073:D1078)</f>
        <v>0.14927192036202755</v>
      </c>
    </row>
    <row r="1074" spans="1:27">
      <c r="A1074" s="18"/>
      <c r="B1074" s="13">
        <v>7</v>
      </c>
      <c r="C1074" s="14" t="s">
        <v>28</v>
      </c>
      <c r="D1074" s="15" cm="1">
        <f t="array" ref="D1074">_xlfn.SINGLE(IF(A1076=A1077,_xll.ciqfunctions.udf.CIQ(A1068,"IQ_TOTAL_REV",IQ_FY-4)/I1074, _xll.ciqfunctions.udf.CIQ(A1068, "IQ_TOTAL_REV",IQ_FY-3)/I1074))</f>
        <v>36.886064847316867</v>
      </c>
      <c r="E1074" s="16">
        <f t="shared" si="287"/>
        <v>3.4649744158271614E-2</v>
      </c>
      <c r="F1074" s="15">
        <f>IF(A1076=A1077,_xll.ciqfunctions.udf.CIQ(A1068,"IQ_DILUT_EPS_EXCL",IQ_FY-4), _xll.ciqfunctions.udf.CIQ(A1068, "IQ_DILUT_EPS_EXCL",IQ_FY-3))</f>
        <v>7.08</v>
      </c>
      <c r="G1074" s="15">
        <f>IF(A1076=A1077,_xll.ciqfunctions.udf.CIQ(A1068,"IQ_EBITDA_MARGIN",IQ_FY-4), _xll.ciqfunctions.udf.CIQ(A1068, "IQ_EBITDA_MARGIN",IQ_FY-3))</f>
        <v>26.499700000000001</v>
      </c>
      <c r="H1074" s="15">
        <f>IF(A1076=A1077,_xll.ciqfunctions.udf.CIQ(A1068,"IQ_TOTAL_DIV_PAID_CF",IQ_FY-4)/-I1074, _xll.ciqfunctions.udf.CIQ(A1068, "IQ_TOTAL_DIV_PAID_CF",IQ_FY-3)/-I1074)</f>
        <v>0</v>
      </c>
      <c r="I1074" s="17">
        <f>IF(A1076=A1077,_xll.ciqfunctions.udf.CIQ(A1068,"IQ_TOTAL_OUTSTANDING_FILING_DATE",IQ_FY-4), _xll.ciqfunctions.udf.CIQ(A1068, "IQ_TOTAL_OUTSTANDING_FILING_DATE",IQ_FY-3))</f>
        <v>60.793880000000001</v>
      </c>
      <c r="J1074" s="17">
        <f>IF(A1076=A1077,_xll.ciqfunctions.udf.CIQ(A1068,"IQ_CASH_OPER",IQ_FY-4), _xll.ciqfunctions.udf.CIQ(A1068, "IQ_CASH_OPER",IQ_FY-3))</f>
        <v>747.84100000000001</v>
      </c>
      <c r="K1074" s="17">
        <f>IF(A1076=A1077,_xll.ciqfunctions.udf.CIQ(A1068,"IQ_CAPEX",IQ_FY-4), _xll.ciqfunctions.udf.CIQ(A1068, "IQ_CAPEX",IQ_FY-3))</f>
        <v>-103.542</v>
      </c>
      <c r="L1074" s="15">
        <f t="shared" si="284"/>
        <v>10.598089807724067</v>
      </c>
      <c r="M1074" s="17">
        <f>IF(A1076=A1077,_xll.ciqfunctions.udf.CIQ(A1068,"IQ_TOTAL_DEBT_ISSUED",IQ_FY-4), _xll.ciqfunctions.udf.CIQ(A1068, "IQ_TOTAL_DEBT_ISSUED",IQ_FY-3))</f>
        <v>0</v>
      </c>
      <c r="N1074" s="17">
        <f>IF(A1076=A1077,_xll.ciqfunctions.udf.CIQ(A1068,"IQ_TOTAL_DEBT_REPAID",IQ_FY-4), _xll.ciqfunctions.udf.CIQ(A1068, "IQ_TOTAL_DEBT_REPAID",IQ_FY-3))</f>
        <v>0</v>
      </c>
      <c r="O1074" s="15">
        <f t="shared" si="285"/>
        <v>0</v>
      </c>
      <c r="P1074" s="15">
        <f t="shared" si="286"/>
        <v>10.598089807724067</v>
      </c>
      <c r="Q1074" s="18"/>
      <c r="R1074" s="38" t="s">
        <v>29</v>
      </c>
      <c r="S1074" s="4">
        <f>(AVERAGE(P1073:P1078)/_xlfn.STDEV.P(P1073:P1078))/(IF(A1076=A1077,(_xlfn.SINGLE(_xll.ciqfunctions.udf.CIQ(A1068,"IQ_total_assets",IQ_FY)) - _xlfn.SINGLE(_xll.ciqfunctions.udf.CIQ(A1068,"iq_gw_intan", IQ_FY)))/I1078, (_xlfn.SINGLE(_xll.ciqfunctions.udf.CIQ(A1068, "IQ_total_assets",IQ_LTM))-_xlfn.SINGLE(_xll.ciqfunctions.udf.CIQ(A1068,"iq_gw_intan",IQ_LTM)))/I1078))</f>
        <v>5.4735564729350997E-2</v>
      </c>
      <c r="U1074" s="18"/>
      <c r="V1074" s="38" t="s">
        <v>29</v>
      </c>
      <c r="W1074" s="4">
        <f>(AVERAGE(P1073:P1078)/_xlfn.STDEV.P(P1073:P1078))/(IF(A1076=A1077,(_xlfn.SINGLE(_xll.ciqfunctions.udf.CIQ(A1068,"IQ_total_assets",IQ_FY)) - _xlfn.SINGLE(_xll.ciqfunctions.udf.CIQ(A1068,"iq_gw_intan", IQ_FY)))/I1078, (_xlfn.SINGLE(_xll.ciqfunctions.udf.CIQ(A1068, "IQ_total_assets",IQ_LTM))-_xlfn.SINGLE(_xll.ciqfunctions.udf.CIQ(A1068,"iq_gw_intan",IQ_LTM)))/I1078))</f>
        <v>5.4735564729350997E-2</v>
      </c>
      <c r="Y1074" s="18"/>
      <c r="Z1074" s="38" t="s">
        <v>29</v>
      </c>
      <c r="AA1074" s="4">
        <f>(AVERAGE(P1073:P1078)/_xlfn.STDEV.P(P1073:P1078))/(IF(A1076=A1077,(_xlfn.SINGLE(_xll.ciqfunctions.udf.CIQ(A1068,"IQ_total_assets",IQ_FY)) - _xlfn.SINGLE(_xll.ciqfunctions.udf.CIQ(A1068,"iq_gw_intan", IQ_FY)))/I1078, (_xlfn.SINGLE(_xll.ciqfunctions.udf.CIQ(A1068, "IQ_total_assets",IQ_LTM))-_xlfn.SINGLE(_xll.ciqfunctions.udf.CIQ(A1068,"iq_gw_intan",IQ_LTM)))/I1078))</f>
        <v>5.4735564729350997E-2</v>
      </c>
    </row>
    <row r="1075" spans="1:27">
      <c r="A1075" s="18"/>
      <c r="B1075" s="13">
        <v>8</v>
      </c>
      <c r="C1075" s="14" t="s">
        <v>30</v>
      </c>
      <c r="D1075" s="15" cm="1">
        <f t="array" ref="D1075">_xlfn.SINGLE(IF(A1076=A1077,_xll.ciqfunctions.udf.CIQ(A1068,"IQ_TOTAL_REV",IQ_FY-3)/I1075, _xll.ciqfunctions.udf.CIQ(A1068, "IQ_TOTAL_REV",IQ_FY-2)/I1075))</f>
        <v>38.160774376614164</v>
      </c>
      <c r="E1075" s="16">
        <f t="shared" si="287"/>
        <v>3.4558024407692296E-2</v>
      </c>
      <c r="F1075" s="15">
        <f>IF(A1076=A1077,_xll.ciqfunctions.udf.CIQ(A1068,"IQ_DILUT_EPS_EXCL",IQ_FY-3), _xll.ciqfunctions.udf.CIQ(A1068, "IQ_DILUT_EPS_EXCL",IQ_FY-2))</f>
        <v>5.01</v>
      </c>
      <c r="G1075" s="15">
        <f>IF(A1076=A1077,_xll.ciqfunctions.udf.CIQ(A1068,"IQ_EBITDA_MARGIN",IQ_FY-3), _xll.ciqfunctions.udf.CIQ(A1068, "IQ_EBITDA_MARGIN",IQ_FY-2))</f>
        <v>22.158000000000001</v>
      </c>
      <c r="H1075" s="15">
        <f>IF(A1076=A1077,_xll.ciqfunctions.udf.CIQ(A1068,"IQ_TOTAL_DIV_PAID_CF",IQ_FY-3)/-I1075, _xll.ciqfunctions.udf.CIQ(A1068, "IQ_TOTAL_DIV_PAID_CF",IQ_FY-2)/-I1075)</f>
        <v>0</v>
      </c>
      <c r="I1075" s="17">
        <f>IF(A1076=A1077,_xll.ciqfunctions.udf.CIQ(A1068,"IQ_TOTAL_OUTSTANDING_FILING_DATE",IQ_FY-3), _xll.ciqfunctions.udf.CIQ(A1068, "IQ_TOTAL_OUTSTANDING_FILING_DATE",IQ_FY-2))</f>
        <v>61.603099999999998</v>
      </c>
      <c r="J1075" s="17">
        <f>IF(A1076=A1077,_xll.ciqfunctions.udf.CIQ(A1068,"IQ_CASH_OPER",IQ_FY-3), _xll.ciqfunctions.udf.CIQ(A1068, "IQ_CASH_OPER",IQ_FY-2))</f>
        <v>660.89800000000002</v>
      </c>
      <c r="K1075" s="17">
        <f>IF(A1076=A1077,_xll.ciqfunctions.udf.CIQ(A1068,"IQ_CAPEX",IQ_FY-3), _xll.ciqfunctions.udf.CIQ(A1068, "IQ_CAPEX",IQ_FY-2))</f>
        <v>-59.94</v>
      </c>
      <c r="L1075" s="15">
        <f t="shared" si="284"/>
        <v>9.7553207549620087</v>
      </c>
      <c r="M1075" s="17">
        <f>IF(A1076=A1077,_xll.ciqfunctions.udf.CIQ(A1068,"IQ_TOTAL_DEBT_ISSUED",IQ_FY-3), _xll.ciqfunctions.udf.CIQ(A1068, "IQ_TOTAL_DEBT_ISSUED",IQ_FY-2))</f>
        <v>400</v>
      </c>
      <c r="N1075" s="17">
        <f>IF(A1076=A1077,_xll.ciqfunctions.udf.CIQ(A1068,"IQ_TOTAL_DEBT_REPAID",IQ_FY-3), _xll.ciqfunctions.udf.CIQ(A1068, "IQ_TOTAL_DEBT_REPAID",IQ_FY-2))</f>
        <v>-10</v>
      </c>
      <c r="O1075" s="15">
        <f t="shared" si="285"/>
        <v>6.3308502331863172</v>
      </c>
      <c r="P1075" s="15">
        <f t="shared" si="286"/>
        <v>16.086170988148325</v>
      </c>
      <c r="Q1075" s="18"/>
      <c r="R1075" s="39" t="s">
        <v>31</v>
      </c>
      <c r="S1075" s="5">
        <f>IF(NOT(D1068&gt;0),FALSE,SLOPE(G1068:G1078,B1068:B1078))</f>
        <v>-1.220409090909091</v>
      </c>
      <c r="U1075" s="18"/>
      <c r="V1075" s="39" t="s">
        <v>31</v>
      </c>
      <c r="W1075" s="5">
        <f>IF(NOT(D1068&gt;0),FALSE,SLOPE(G1068:G1078,B1068:B1078))</f>
        <v>-1.220409090909091</v>
      </c>
      <c r="Y1075" s="18"/>
      <c r="Z1075" s="39" t="s">
        <v>31</v>
      </c>
      <c r="AA1075" s="5">
        <f>IF(NOT(L1068&gt;0),FALSE,SLOPE(O1068:O1078,J1068:J1078))</f>
        <v>1.068897653303954E-3</v>
      </c>
    </row>
    <row r="1076" spans="1:27">
      <c r="A1076" s="19">
        <f>_xll.ciqfunctions.udf.CIQ(A1068,"IQ_TOTAL_REV",IQ_FY)</f>
        <v>2813.1689999999999</v>
      </c>
      <c r="B1076" s="13">
        <v>9</v>
      </c>
      <c r="C1076" s="14" t="s">
        <v>32</v>
      </c>
      <c r="D1076" s="15" cm="1">
        <f t="array" ref="D1076">_xlfn.SINGLE(IF(A1076=A1077,_xll.ciqfunctions.udf.CIQ(A1068,"IQ_TOTAL_REV",IQ_FY-2)/I1076, _xll.ciqfunctions.udf.CIQ(A1068, "IQ_TOTAL_REV",IQ_FY-1)/I1076))</f>
        <v>42.519058249641226</v>
      </c>
      <c r="E1076" s="16">
        <f t="shared" si="287"/>
        <v>0.11420847569848905</v>
      </c>
      <c r="F1076" s="15">
        <f>IF(A1076=A1077,_xll.ciqfunctions.udf.CIQ(A1068,"IQ_DILUT_EPS_EXCL",IQ_FY-2), _xll.ciqfunctions.udf.CIQ(A1068, "IQ_DILUT_EPS_EXCL",IQ_FY-1))</f>
        <v>5.34</v>
      </c>
      <c r="G1076" s="15">
        <f>IF(A1076=A1077,_xll.ciqfunctions.udf.CIQ(A1068,"IQ_EBITDA_MARGIN",IQ_FY-2), _xll.ciqfunctions.udf.CIQ(A1068, "IQ_EBITDA_MARGIN",IQ_FY-1))</f>
        <v>21.496600000000001</v>
      </c>
      <c r="H1076" s="15">
        <f>IF(A1076=A1077,_xll.ciqfunctions.udf.CIQ(A1068,"IQ_TOTAL_DIV_PAID_CF",IQ_FY-2)/-I1076, _xll.ciqfunctions.udf.CIQ(A1068, "IQ_TOTAL_DIV_PAID_CF",IQ_FY-1)/-I1076)</f>
        <v>0</v>
      </c>
      <c r="I1076" s="17">
        <f>IF(A1076=A1077,_xll.ciqfunctions.udf.CIQ(A1068,"IQ_TOTAL_OUTSTANDING_FILING_DATE",IQ_FY-2), _xll.ciqfunctions.udf.CIQ(A1068, "IQ_TOTAL_OUTSTANDING_FILING_DATE",IQ_FY-1))</f>
        <v>61.229390000000002</v>
      </c>
      <c r="J1076" s="17">
        <f>IF(A1076=A1077,_xll.ciqfunctions.udf.CIQ(A1068,"IQ_CASH_OPER",IQ_FY-2), _xll.ciqfunctions.udf.CIQ(A1068, "IQ_CASH_OPER",IQ_FY-1))</f>
        <v>645.19600000000003</v>
      </c>
      <c r="K1076" s="17">
        <f>IF(A1076=A1077,_xll.ciqfunctions.udf.CIQ(A1068,"IQ_CAPEX",IQ_FY-2), _xll.ciqfunctions.udf.CIQ(A1068, "IQ_CAPEX",IQ_FY-1))</f>
        <v>-30.651</v>
      </c>
      <c r="L1076" s="15">
        <f t="shared" si="284"/>
        <v>10.036765024116688</v>
      </c>
      <c r="M1076" s="17">
        <f>IF(A1076=A1077,_xll.ciqfunctions.udf.CIQ(A1068,"IQ_TOTAL_DEBT_ISSUED",IQ_FY-2), _xll.ciqfunctions.udf.CIQ(A1068, "IQ_TOTAL_DEBT_ISSUED",IQ_FY-1))</f>
        <v>0</v>
      </c>
      <c r="N1076" s="17">
        <f>IF(A1076=A1077,_xll.ciqfunctions.udf.CIQ(A1068,"IQ_TOTAL_DEBT_REPAID",IQ_FY-2), _xll.ciqfunctions.udf.CIQ(A1068, "IQ_TOTAL_DEBT_REPAID",IQ_FY-1))</f>
        <v>-20</v>
      </c>
      <c r="O1076" s="15">
        <f t="shared" si="285"/>
        <v>-0.32664052344797162</v>
      </c>
      <c r="P1076" s="15">
        <f t="shared" si="286"/>
        <v>9.7101245006687158</v>
      </c>
      <c r="Q1076" s="25" t="s">
        <v>33</v>
      </c>
      <c r="R1076" s="38" t="s">
        <v>52</v>
      </c>
      <c r="S1076" s="4">
        <f>(AVERAGE(O1073:O1078)/AVERAGE(P1073:P1078))</f>
        <v>-3.2211120377150871E-3</v>
      </c>
      <c r="U1076" s="25" t="s">
        <v>54</v>
      </c>
      <c r="V1076" s="38" t="s">
        <v>52</v>
      </c>
      <c r="W1076" s="4">
        <f>(AVERAGE(O1073:O1078)/AVERAGE(P1073:P1078))</f>
        <v>-3.2211120377150871E-3</v>
      </c>
      <c r="Y1076" s="25" t="s">
        <v>60</v>
      </c>
      <c r="Z1076" s="38" t="s">
        <v>52</v>
      </c>
      <c r="AA1076" s="4">
        <f>(AVERAGE(O1073:O1078)/AVERAGE(P1073:P1078))</f>
        <v>-3.2211120377150871E-3</v>
      </c>
    </row>
    <row r="1077" spans="1:27">
      <c r="A1077" s="19">
        <f>_xll.ciqfunctions.udf.CIQ(A1068,"IQ_TOTAL_REV",IQ_LTM)</f>
        <v>2813.1689999999999</v>
      </c>
      <c r="B1077" s="13">
        <v>10</v>
      </c>
      <c r="C1077" s="14" t="s">
        <v>34</v>
      </c>
      <c r="D1077" s="15" cm="1">
        <f t="array" ref="D1077">_xlfn.SINGLE(IF(A1076=A1077,_xll.ciqfunctions.udf.CIQ(A1068,"IQ_TOTAL_REV",IQ_FY-1)/I1077, _xll.ciqfunctions.udf.CIQ(A1068, "IQ_TOTAL_REV",IQ_FY)/I1077))</f>
        <v>44.656403385799344</v>
      </c>
      <c r="E1077" s="16">
        <f t="shared" si="287"/>
        <v>5.0267932173125029E-2</v>
      </c>
      <c r="F1077" s="15">
        <f>IF(A1076=A1077,_xll.ciqfunctions.udf.CIQ(A1068,"IQ_DILUT_EPS_EXCL",IQ_FY-1), _xll.ciqfunctions.udf.CIQ(A1068, "IQ_DILUT_EPS_EXCL",IQ_FY))</f>
        <v>5.27</v>
      </c>
      <c r="G1077" s="15">
        <f>IF(A1076=A1077,_xll.ciqfunctions.udf.CIQ(A1068,"IQ_EBITDA_MARGIN",IQ_FY-1), _xll.ciqfunctions.udf.CIQ(A1068, "IQ_EBITDA_MARGIN",IQ_FY))</f>
        <v>19.789100000000001</v>
      </c>
      <c r="H1077" s="15">
        <f>IF(A1076=A1077,_xll.ciqfunctions.udf.CIQ(A1068,"IQ_TOTAL_DIV_PAID_CF",IQ_FY-1)/-I1077, _xll.ciqfunctions.udf.CIQ(A1068, "IQ_TOTAL_DIV_PAID_CF",IQ_FY)/-I1077)</f>
        <v>0</v>
      </c>
      <c r="I1077" s="17">
        <f>IF(A1076=A1077,_xll.ciqfunctions.udf.CIQ(A1068,"IQ_TOTAL_OUTSTANDING_FILING_DATE",IQ_FY-1), _xll.ciqfunctions.udf.CIQ(A1068, "IQ_TOTAL_OUTSTANDING_FILING_DATE",IQ_FY))</f>
        <v>60.368609999999997</v>
      </c>
      <c r="J1077" s="17">
        <f>IF(A1076=A1077,_xll.ciqfunctions.udf.CIQ(A1068,"IQ_CASH_OPER",IQ_FY-1), _xll.ciqfunctions.udf.CIQ(A1068, "IQ_CASH_OPER",IQ_FY))</f>
        <v>442.63099999999997</v>
      </c>
      <c r="K1077" s="17">
        <f>IF(A1076=A1077,_xll.ciqfunctions.udf.CIQ(A1068,"IQ_CAPEX",IQ_FY-1), _xll.ciqfunctions.udf.CIQ(A1068, "IQ_CAPEX",IQ_FY))</f>
        <v>-33.624000000000002</v>
      </c>
      <c r="L1077" s="15">
        <f t="shared" si="284"/>
        <v>6.77516013703148</v>
      </c>
      <c r="M1077" s="17">
        <f>IF(A1076=A1077,_xll.ciqfunctions.udf.CIQ(A1068,"IQ_TOTAL_DEBT_ISSUED",IQ_FY-1), _xll.ciqfunctions.udf.CIQ(A1068, "IQ_TOTAL_DEBT_ISSUED",IQ_FY))</f>
        <v>0</v>
      </c>
      <c r="N1077" s="17">
        <f>IF(A1076=A1077,_xll.ciqfunctions.udf.CIQ(A1068,"IQ_TOTAL_DEBT_REPAID",IQ_FY-1), _xll.ciqfunctions.udf.CIQ(A1068, "IQ_TOTAL_DEBT_REPAID",IQ_FY))</f>
        <v>-20</v>
      </c>
      <c r="O1077" s="15">
        <f t="shared" si="285"/>
        <v>-0.33129800404547993</v>
      </c>
      <c r="P1077" s="15">
        <f t="shared" si="286"/>
        <v>6.4438621329860002</v>
      </c>
      <c r="Q1077" s="25" t="s">
        <v>44</v>
      </c>
      <c r="R1077" s="38" t="s">
        <v>35</v>
      </c>
      <c r="S1077" s="1">
        <f>_xll.ciqfunctions.udf.CIQ(A1068,"IQ_TEV_EBITDA")</f>
        <v>13.14396</v>
      </c>
      <c r="U1077" s="25" t="s">
        <v>55</v>
      </c>
      <c r="V1077" s="38" t="s">
        <v>53</v>
      </c>
      <c r="W1077" s="1">
        <f>V1067/(AVERAGE(D1073:D1078)/_xlfn.STDEV.P(E1073:E1078))</f>
        <v>0.11169478356549989</v>
      </c>
      <c r="Y1077" s="25" t="s">
        <v>57</v>
      </c>
      <c r="Z1077" s="38" t="s">
        <v>53</v>
      </c>
      <c r="AA1077" s="1">
        <f>Z1067/(AVERAGE(D1073:D1078)/_xlfn.STDEV.P(E1073:E1078))</f>
        <v>0.11169478356549989</v>
      </c>
    </row>
    <row r="1078" spans="1:27">
      <c r="B1078" s="13">
        <v>11</v>
      </c>
      <c r="C1078" s="20" t="s">
        <v>36</v>
      </c>
      <c r="D1078" s="21" cm="1">
        <f t="array" ref="D1078">_xlfn.SINGLE(IF(A1076=A1077,_xll.ciqfunctions.udf.CIQ(A1068,"IQ_TOTAL_REV",IQ_FY)/I1078, _xll.ciqfunctions.udf.CIQ(A1068, "IQ_TOTAL_REV",IQ_LTM)/I1078))</f>
        <v>47.116068561903994</v>
      </c>
      <c r="E1078" s="22">
        <f t="shared" si="287"/>
        <v>5.5079786763275684E-2</v>
      </c>
      <c r="F1078" s="21">
        <f>IF(A1076=A1077,_xll.ciqfunctions.udf.CIQ(A1068,"IQ_DILUT_EPS_EXCL",IQ_FY), _xll.ciqfunctions.udf.CIQ(A1068, "IQ_DILUT_EPS_EXCL",IQ_LTM))</f>
        <v>6.55</v>
      </c>
      <c r="G1078" s="21">
        <f>IF(A1076=A1077,_xll.ciqfunctions.udf.CIQ(A1068,"IQ_EBITDA_MARGIN",IQ_FY), _xll.ciqfunctions.udf.CIQ(A1068, "IQ_EBITDA_MARGIN",IQ_LTM))</f>
        <v>23.129000000000001</v>
      </c>
      <c r="H1078" s="21">
        <f>IF(A1076=A1077,_xll.ciqfunctions.udf.CIQ(A1068,"IQ_TOTAL_DIV_PAID_CF",IQ_FY)/-I1078, _xll.ciqfunctions.udf.CIQ(A1068, "IQ_TOTAL_DIV_PAID_CF",IQ_LTM)/-I1078)</f>
        <v>0</v>
      </c>
      <c r="I1078" s="23">
        <f>IF(A1076=A1077,_xll.ciqfunctions.udf.CIQ(A1068,"IQ_TOTAL_OUTSTANDING_FILING_DATE",IQ_FY),_xll.ciqfunctions.udf.CIQ(A1068,"IQ_sharesoutstanding"))</f>
        <v>59.707210000000003</v>
      </c>
      <c r="J1078" s="23">
        <f>IF(A1076=A1077,_xll.ciqfunctions.udf.CIQ(A1068,"IQ_CASH_OPER",IQ_FY), _xll.ciqfunctions.udf.CIQ(A1068, "IQ_CASH_OPER",IQ_LTM))</f>
        <v>653.40899999999999</v>
      </c>
      <c r="K1078" s="23">
        <f>IF(A1076=A1077,_xll.ciqfunctions.udf.CIQ(A1068,"IQ_CAPEX",IQ_FY), _xll.ciqfunctions.udf.CIQ(A1068, "IQ_CAPEX",IQ_LTM))</f>
        <v>-54.183999999999997</v>
      </c>
      <c r="L1078" s="21">
        <f t="shared" si="284"/>
        <v>10.036057621851699</v>
      </c>
      <c r="M1078" s="23">
        <f>IF(A1076=A1077,_xll.ciqfunctions.udf.CIQ(A1068,"IQ_TOTAL_DEBT_ISSUED",IQ_FY), _xll.ciqfunctions.udf.CIQ(A1068, "IQ_TOTAL_DEBT_ISSUED",IQ_LTM))</f>
        <v>0</v>
      </c>
      <c r="N1078" s="23">
        <f>IF(A1076=A1077,_xll.ciqfunctions.udf.CIQ(A1068,"IQ_TOTAL_DEBT_REPAID",IQ_FY), _xll.ciqfunctions.udf.CIQ(A1068, "IQ_TOTAL_DEBT_REPAID",IQ_LTM))</f>
        <v>-350</v>
      </c>
      <c r="O1078" s="21">
        <f t="shared" si="285"/>
        <v>-5.8619386167935161</v>
      </c>
      <c r="P1078" s="21">
        <f t="shared" si="286"/>
        <v>4.1741190050581825</v>
      </c>
      <c r="Q1078" s="25" t="s">
        <v>45</v>
      </c>
      <c r="S1078" s="45"/>
      <c r="U1078" s="25"/>
      <c r="W1078" s="45"/>
      <c r="Y1078" s="25"/>
      <c r="AA1078" s="45"/>
    </row>
    <row r="1079" spans="1:27">
      <c r="B1079" s="24"/>
      <c r="C1079" s="25" t="s">
        <v>37</v>
      </c>
      <c r="E1079" s="26">
        <f>((D1078/D1073)^(1/5))-1</f>
        <v>5.7353031730182691E-2</v>
      </c>
      <c r="F1079" s="27">
        <f>((F1078/F1073)^(1/5))-1</f>
        <v>-2.1983810756106448E-2</v>
      </c>
      <c r="G1079" s="28"/>
      <c r="H1079" s="27" t="e">
        <f>((H1078/H1073)^(1/5))-1</f>
        <v>#DIV/0!</v>
      </c>
      <c r="I1079" s="27">
        <f>((I1078/I1073)^(1/5))-1</f>
        <v>-3.0535321735730703E-3</v>
      </c>
      <c r="J1079" s="27"/>
      <c r="K1079" s="27"/>
      <c r="L1079" s="26">
        <f>((L1078/L1073)^(1/5))-1</f>
        <v>-2.9739809622171043E-2</v>
      </c>
      <c r="M1079" s="26"/>
      <c r="N1079" s="26"/>
      <c r="O1079" s="26"/>
      <c r="P1079" s="26">
        <f>((P1078/P1073)^(1/5))-1</f>
        <v>-0.18587976585713106</v>
      </c>
      <c r="Q1079" s="18"/>
      <c r="R1079" s="36"/>
      <c r="S1079" s="45"/>
      <c r="U1079" s="18"/>
      <c r="V1079" s="36"/>
      <c r="W1079" s="45"/>
      <c r="Y1079" s="18"/>
      <c r="Z1079" s="36"/>
      <c r="AA1079" s="45"/>
    </row>
    <row r="1080" spans="1:27">
      <c r="A1080" s="29"/>
      <c r="B1080" s="30"/>
      <c r="C1080" s="31" t="s">
        <v>38</v>
      </c>
      <c r="D1080" s="29"/>
      <c r="E1080" s="32">
        <f>((D1078/D1068)^(1/10))-1</f>
        <v>9.4569138679262643E-2</v>
      </c>
      <c r="F1080" s="33">
        <f>((F1078/F1068)^(1/10))-1</f>
        <v>6.467565993383495E-2</v>
      </c>
      <c r="G1080" s="34"/>
      <c r="H1080" s="33" t="e">
        <f>((H1078/H1068)^(1/10))-1</f>
        <v>#DIV/0!</v>
      </c>
      <c r="I1080" s="33">
        <f>((I1078/I1068)^(1/10))-1</f>
        <v>-2.5881771059699576E-2</v>
      </c>
      <c r="J1080" s="33"/>
      <c r="K1080" s="33"/>
      <c r="L1080" s="32">
        <f>((L1078/L1068)^(1/10))-1</f>
        <v>5.1117118683537743E-2</v>
      </c>
      <c r="M1080" s="32"/>
      <c r="N1080" s="32"/>
      <c r="O1080" s="32"/>
      <c r="P1080" s="32">
        <f>((P1078/P1068)^(1/10))-1</f>
        <v>-3.7166311845584832E-2</v>
      </c>
      <c r="Q1080" s="40"/>
      <c r="R1080" s="41"/>
      <c r="S1080" s="46"/>
      <c r="U1080" s="40"/>
      <c r="V1080" s="41"/>
      <c r="W1080" s="46"/>
      <c r="Y1080" s="40"/>
      <c r="Z1080" s="41"/>
      <c r="AA1080" s="46"/>
    </row>
    <row r="1081" spans="1:27">
      <c r="B1081" s="24"/>
      <c r="C1081" s="25"/>
      <c r="E1081" s="26"/>
      <c r="F1081" s="27"/>
      <c r="G1081" s="28"/>
      <c r="H1081" s="27"/>
      <c r="I1081" s="27"/>
      <c r="J1081" s="27"/>
      <c r="K1081" s="27"/>
      <c r="L1081" s="26"/>
      <c r="M1081" s="17"/>
      <c r="N1081" s="17"/>
      <c r="O1081" s="17"/>
      <c r="P1081" s="35"/>
      <c r="Q1081" s="18"/>
      <c r="R1081" s="36"/>
    </row>
    <row r="1082" spans="1:27">
      <c r="A1082" s="9" t="s">
        <v>0</v>
      </c>
      <c r="B1082" s="10"/>
      <c r="C1082" s="9" t="s">
        <v>1</v>
      </c>
      <c r="D1082" s="9" t="s">
        <v>2</v>
      </c>
      <c r="E1082" s="9" t="s">
        <v>3</v>
      </c>
      <c r="F1082" s="11" t="s">
        <v>4</v>
      </c>
      <c r="G1082" s="11" t="s">
        <v>5</v>
      </c>
      <c r="H1082" s="9" t="s">
        <v>6</v>
      </c>
      <c r="I1082" s="11" t="s">
        <v>7</v>
      </c>
      <c r="J1082" s="11" t="s">
        <v>8</v>
      </c>
      <c r="K1082" s="11" t="s">
        <v>9</v>
      </c>
      <c r="L1082" s="11" t="s">
        <v>10</v>
      </c>
      <c r="M1082" s="11" t="s">
        <v>11</v>
      </c>
      <c r="N1082" s="11" t="s">
        <v>12</v>
      </c>
      <c r="O1082" s="11" t="s">
        <v>13</v>
      </c>
      <c r="P1082" s="11" t="s">
        <v>14</v>
      </c>
      <c r="Q1082" s="37" t="s">
        <v>15</v>
      </c>
      <c r="R1082" s="42">
        <f>_xll.ciqfunctions.udf.CIQ(A1083,("IQ_LASTSALEPRICE"))</f>
        <v>114.1</v>
      </c>
      <c r="S1082" s="44"/>
      <c r="U1082" s="37" t="s">
        <v>15</v>
      </c>
      <c r="V1082" s="42">
        <f>_xll.ciqfunctions.udf.CIQ(A1083,("IQ_LASTSALEPRICE"))</f>
        <v>114.1</v>
      </c>
      <c r="W1082" s="44"/>
      <c r="Y1082" s="37" t="s">
        <v>15</v>
      </c>
      <c r="Z1082" s="42">
        <f>_xll.ciqfunctions.udf.CIQ(A1083,("IQ_LASTSALEPRICE"))</f>
        <v>114.1</v>
      </c>
      <c r="AA1082" s="44"/>
    </row>
    <row r="1083" spans="1:27">
      <c r="A1083" s="12" t="str">
        <f>Analysis!B74</f>
        <v>NYSE:UI</v>
      </c>
      <c r="B1083" s="13">
        <v>1</v>
      </c>
      <c r="C1083" s="14" t="s">
        <v>16</v>
      </c>
      <c r="D1083" s="15">
        <f>IF(A1091=A1092,_xll.ciqfunctions.udf.CIQ(A1083,"IQ_TOTAL_REV",IQ_FY-10)/I1083,_xll.ciqfunctions.udf.CIQ(A1083, "IQ_TOTAL_REV",IQ_FY-9)/I1083)</f>
        <v>6.4879543128625983</v>
      </c>
      <c r="E1083" s="16"/>
      <c r="F1083" s="15">
        <f>IF(A1091=A1092,_xll.ciqfunctions.udf.CIQ(A1083,"IQ_DILUT_EPS_EXCL",IQ_FY-10), _xll.ciqfunctions.udf.CIQ(A1083, "IQ_DILUT_EPS_EXCL",IQ_FY-9))</f>
        <v>1.97</v>
      </c>
      <c r="G1083" s="15">
        <f>IF(A1091=A1092,_xll.ciqfunctions.udf.CIQ(A1083,"IQ_EBITDA_MARGIN",IQ_FY-10), _xll.ciqfunctions.udf.CIQ(A1083, "IQ_EBITDA_MARGIN",IQ_FY-9))</f>
        <v>34.720700000000001</v>
      </c>
      <c r="H1083" s="15">
        <f>IF(A1091=A1092,_xll.ciqfunctions.udf.CIQ(A1083,"IQ_TOTAL_DIV_PAID_CF",IQ_FY-10)/-I1083, _xll.ciqfunctions.udf.CIQ(A1083, "IQ_TOTAL_DIV_PAID_CF",IQ_FY-9)/-I1083)</f>
        <v>0</v>
      </c>
      <c r="I1083" s="17">
        <f>IF(A1091=A1092,_xll.ciqfunctions.udf.CIQ(A1083,"IQ_TOTAL_OUTSTANDING_FILING_DATE",IQ_FY-10), _xll.ciqfunctions.udf.CIQ(A1083, "IQ_TOTAL_OUTSTANDING_FILING_DATE",IQ_FY-9))</f>
        <v>88.234899999999996</v>
      </c>
      <c r="J1083" s="17">
        <f>IF(A1091=A1092,_xll.ciqfunctions.udf.CIQ(A1083,"IQ_CASH_OPER",IQ_FY-10), _xll.ciqfunctions.udf.CIQ(A1083, "IQ_CASH_OPER",IQ_FY-9))</f>
        <v>121.327</v>
      </c>
      <c r="K1083" s="17">
        <f>IF(A1091=A1092,_xll.ciqfunctions.udf.CIQ(A1083,"IQ_CAPEX",IQ_FY-10), _xll.ciqfunctions.udf.CIQ(A1083, "IQ_CAPEX",IQ_FY-9))</f>
        <v>-3.8260000000000001</v>
      </c>
      <c r="L1083" s="15">
        <f t="shared" ref="L1083:L1093" si="288">(J1083+K1083)/I1083</f>
        <v>1.331683948188302</v>
      </c>
      <c r="M1083" s="17">
        <f>IF(A1091=A1092,_xll.ciqfunctions.udf.CIQ(A1083,"IQ_TOTAL_DEBT_ISSUED",IQ_FY-10), _xll.ciqfunctions.udf.CIQ(A1083, "IQ_TOTAL_DEBT_ISSUED",IQ_FY-9))</f>
        <v>72.254000000000005</v>
      </c>
      <c r="N1083" s="17">
        <f>IF(A1091=A1092,_xll.ciqfunctions.udf.CIQ(A1083,"IQ_TOTAL_DEBT_REPAID",IQ_FY-10), _xll.ciqfunctions.udf.CIQ(A1083, "IQ_TOTAL_DEBT_REPAID",IQ_FY-9))</f>
        <v>-76.25</v>
      </c>
      <c r="O1083" s="15">
        <f t="shared" ref="O1083:O1093" si="289">(M1083+N1083)/I1083</f>
        <v>-4.5288202287303493E-2</v>
      </c>
      <c r="P1083" s="15">
        <f t="shared" ref="P1083:P1093" si="290">L1083+O1083</f>
        <v>1.2863957459009985</v>
      </c>
      <c r="W1083" s="43"/>
      <c r="AA1083" s="43"/>
    </row>
    <row r="1084" spans="1:27">
      <c r="A1084" s="18" t="str">
        <f>_xll.ciqfunctions.udf.CIQ(A1083,"IQ_COMPANY_NAME")</f>
        <v>Ubiquiti Inc.</v>
      </c>
      <c r="B1084" s="13">
        <v>2</v>
      </c>
      <c r="C1084" s="14" t="s">
        <v>17</v>
      </c>
      <c r="D1084" s="15">
        <f>IF(A1091=A1092,_xll.ciqfunctions.udf.CIQ(A1083,"IQ_TOTAL_REV",IQ_FY-9)/I1084, _xll.ciqfunctions.udf.CIQ(A1083, "IQ_TOTAL_REV",IQ_FY-8)/I1084)</f>
        <v>6.8147317872960507</v>
      </c>
      <c r="E1084" s="16">
        <f t="shared" ref="E1084:E1093" si="291">(D1084-D1083)/D1083</f>
        <v>5.0366796477836553E-2</v>
      </c>
      <c r="F1084" s="15">
        <f>IF(A1091=A1092,_xll.ciqfunctions.udf.CIQ(A1083,"IQ_DILUT_EPS_EXCL",IQ_FY-9), _xll.ciqfunctions.udf.CIQ(A1083, "IQ_DILUT_EPS_EXCL",IQ_FY-8))</f>
        <v>1.45</v>
      </c>
      <c r="G1084" s="15">
        <f>IF(A1091=A1092,_xll.ciqfunctions.udf.CIQ(A1083,"IQ_EBITDA_MARGIN",IQ_FY-9), _xll.ciqfunctions.udf.CIQ(A1083, "IQ_EBITDA_MARGIN",IQ_FY-8))</f>
        <v>32.047400000000003</v>
      </c>
      <c r="H1084" s="15">
        <f>IF(A1091=A1092,_xll.ciqfunctions.udf.CIQ(A1083,"IQ_TOTAL_DIV_PAID_CF",IQ_FY-9)/-I1084, _xll.ciqfunctions.udf.CIQ(A1083, "IQ_TOTAL_DIV_PAID_CF",IQ_FY-8)/-I1084)</f>
        <v>0.17175566190481145</v>
      </c>
      <c r="I1084" s="17">
        <f>IF(A1091=A1092,_xll.ciqfunctions.udf.CIQ(A1083,"IQ_TOTAL_OUTSTANDING_FILING_DATE",IQ_FY-9), _xll.ciqfunctions.udf.CIQ(A1083, "IQ_TOTAL_OUTSTANDING_FILING_DATE",IQ_FY-8))</f>
        <v>87.449809999999999</v>
      </c>
      <c r="J1084" s="17">
        <f>IF(A1091=A1092,_xll.ciqfunctions.udf.CIQ(A1083,"IQ_CASH_OPER",IQ_FY-9), _xll.ciqfunctions.udf.CIQ(A1083, "IQ_CASH_OPER",IQ_FY-8))</f>
        <v>134.547</v>
      </c>
      <c r="K1084" s="17">
        <f>IF(A1091=A1092,_xll.ciqfunctions.udf.CIQ(A1083,"IQ_CAPEX",IQ_FY-9), _xll.ciqfunctions.udf.CIQ(A1083, "IQ_CAPEX",IQ_FY-8))</f>
        <v>-12.673999999999999</v>
      </c>
      <c r="L1084" s="15">
        <f t="shared" si="288"/>
        <v>1.3936336739896862</v>
      </c>
      <c r="M1084" s="17">
        <f>IF(A1091=A1092,_xll.ciqfunctions.udf.CIQ(A1083,"IQ_TOTAL_DEBT_ISSUED",IQ_FY-9), _xll.ciqfunctions.udf.CIQ(A1083, "IQ_TOTAL_DEBT_ISSUED",IQ_FY-8))</f>
        <v>100</v>
      </c>
      <c r="N1084" s="17">
        <f>IF(A1091=A1092,_xll.ciqfunctions.udf.CIQ(A1083,"IQ_TOTAL_DEBT_REPAID",IQ_FY-9), _xll.ciqfunctions.udf.CIQ(A1083, "IQ_TOTAL_DEBT_REPAID",IQ_FY-8))</f>
        <v>-74.754000000000005</v>
      </c>
      <c r="O1084" s="15">
        <f t="shared" si="289"/>
        <v>0.28869130761976491</v>
      </c>
      <c r="P1084" s="15">
        <f t="shared" si="290"/>
        <v>1.682324981609451</v>
      </c>
      <c r="Q1084" s="25" t="s">
        <v>18</v>
      </c>
      <c r="R1084" s="39" t="s">
        <v>19</v>
      </c>
      <c r="S1084" s="1">
        <f>R1082/((AVERAGE(P1088:P1093))*(1+E1094)^3)</f>
        <v>13.809758002999223</v>
      </c>
      <c r="U1084" s="25" t="s">
        <v>48</v>
      </c>
      <c r="V1084" s="39" t="s">
        <v>19</v>
      </c>
      <c r="W1084" s="1">
        <f>V1082/((AVERAGE(P1088:P1093))*(1+E1094)^3)</f>
        <v>13.809758002999223</v>
      </c>
      <c r="Y1084" s="25" t="s">
        <v>39</v>
      </c>
      <c r="Z1084" s="39" t="s">
        <v>19</v>
      </c>
      <c r="AA1084" s="1">
        <f>Z1082/((AVERAGE(P1088:P1093))*(1+E1094)^3)</f>
        <v>13.809758002999223</v>
      </c>
    </row>
    <row r="1085" spans="1:27">
      <c r="B1085" s="13">
        <v>3</v>
      </c>
      <c r="C1085" s="14" t="s">
        <v>20</v>
      </c>
      <c r="D1085" s="15" cm="1">
        <f t="array" ref="D1085">_xlfn.SINGLE(IF(A1091=A1092,_xll.ciqfunctions.udf.CIQ(A1083,"IQ_TOTAL_REV",IQ_FY-8)/I1085, _xll.ciqfunctions.udf.CIQ(A1083, "IQ_TOTAL_REV",IQ_FY-7)/I1085))</f>
        <v>8.1442386778467473</v>
      </c>
      <c r="E1085" s="16">
        <f t="shared" si="291"/>
        <v>0.19509306192052181</v>
      </c>
      <c r="F1085" s="15">
        <f>IF(A1091=A1092,_xll.ciqfunctions.udf.CIQ(A1083,"IQ_DILUT_EPS_EXCL",IQ_FY-8), _xll.ciqfunctions.udf.CIQ(A1083, "IQ_DILUT_EPS_EXCL",IQ_FY-7))</f>
        <v>2.4900000000000002</v>
      </c>
      <c r="G1085" s="15">
        <f>IF(A1091=A1092,_xll.ciqfunctions.udf.CIQ(A1083,"IQ_EBITDA_MARGIN",IQ_FY-8), _xll.ciqfunctions.udf.CIQ(A1083, "IQ_EBITDA_MARGIN",IQ_FY-7))</f>
        <v>36.360199999999999</v>
      </c>
      <c r="H1085" s="15">
        <f>IF(A1091=A1092,_xll.ciqfunctions.udf.CIQ(A1083,"IQ_TOTAL_DIV_PAID_CF",IQ_FY-8)/-I1085, _xll.ciqfunctions.udf.CIQ(A1083, "IQ_TOTAL_DIV_PAID_CF",IQ_FY-7)/-I1085)</f>
        <v>0</v>
      </c>
      <c r="I1085" s="17">
        <f>IF(A1091=A1092,_xll.ciqfunctions.udf.CIQ(A1083,"IQ_TOTAL_OUTSTANDING_FILING_DATE",IQ_FY-8), _xll.ciqfunctions.udf.CIQ(A1083, "IQ_TOTAL_OUTSTANDING_FILING_DATE",IQ_FY-7))</f>
        <v>81.824100000000001</v>
      </c>
      <c r="J1085" s="17">
        <f>IF(A1091=A1092,_xll.ciqfunctions.udf.CIQ(A1083,"IQ_CASH_OPER",IQ_FY-8), _xll.ciqfunctions.udf.CIQ(A1083, "IQ_CASH_OPER",IQ_FY-7))</f>
        <v>197.50800000000001</v>
      </c>
      <c r="K1085" s="17">
        <f>IF(A1091=A1092,_xll.ciqfunctions.udf.CIQ(A1083,"IQ_CAPEX",IQ_FY-8), _xll.ciqfunctions.udf.CIQ(A1083, "IQ_CAPEX",IQ_FY-7))</f>
        <v>-6.2480000000000002</v>
      </c>
      <c r="L1085" s="15">
        <f t="shared" si="288"/>
        <v>2.3374531464446298</v>
      </c>
      <c r="M1085" s="17">
        <f>IF(A1091=A1092,_xll.ciqfunctions.udf.CIQ(A1083,"IQ_TOTAL_DEBT_ISSUED",IQ_FY-8), _xll.ciqfunctions.udf.CIQ(A1083, "IQ_TOTAL_DEBT_ISSUED",IQ_FY-7))</f>
        <v>130</v>
      </c>
      <c r="N1085" s="17">
        <f>IF(A1091=A1092,_xll.ciqfunctions.udf.CIQ(A1083,"IQ_TOTAL_DEBT_REPAID",IQ_FY-8), _xll.ciqfunctions.udf.CIQ(A1083, "IQ_TOTAL_DEBT_REPAID",IQ_FY-7))</f>
        <v>-24</v>
      </c>
      <c r="O1085" s="15">
        <f t="shared" si="289"/>
        <v>1.2954618504817039</v>
      </c>
      <c r="P1085" s="15">
        <f t="shared" si="290"/>
        <v>3.6329149969263339</v>
      </c>
      <c r="Q1085" s="25" t="s">
        <v>21</v>
      </c>
      <c r="R1085" s="38" t="s">
        <v>49</v>
      </c>
      <c r="S1085" s="2">
        <f>(R1082*I1093)/1000</f>
        <v>6.8971247870000001</v>
      </c>
      <c r="U1085" s="25" t="s">
        <v>59</v>
      </c>
      <c r="V1085" s="38" t="s">
        <v>49</v>
      </c>
      <c r="W1085" s="2">
        <f>(V1082*I1093)/1000</f>
        <v>6.8971247870000001</v>
      </c>
      <c r="Y1085" s="25" t="s">
        <v>46</v>
      </c>
      <c r="Z1085" s="38" t="s">
        <v>49</v>
      </c>
      <c r="AA1085" s="2">
        <f>(Z1082*I1093)/1000</f>
        <v>6.8971247870000001</v>
      </c>
    </row>
    <row r="1086" spans="1:27">
      <c r="A1086" s="18"/>
      <c r="B1086" s="13">
        <v>4</v>
      </c>
      <c r="C1086" s="14" t="s">
        <v>22</v>
      </c>
      <c r="D1086" s="15" cm="1">
        <f t="array" ref="D1086">_xlfn.SINGLE(IF(A1091=A1092,_xll.ciqfunctions.udf.CIQ(A1083,"IQ_TOTAL_REV",IQ_FY-7)/I1086, _xll.ciqfunctions.udf.CIQ(A1083, "IQ_TOTAL_REV",IQ_FY-6)/I1086))</f>
        <v>10.768309260652876</v>
      </c>
      <c r="E1086" s="16">
        <f t="shared" si="291"/>
        <v>0.32219961700581023</v>
      </c>
      <c r="F1086" s="15">
        <f>IF(A1091=A1092,_xll.ciqfunctions.udf.CIQ(A1083,"IQ_DILUT_EPS_EXCL",IQ_FY-7), _xll.ciqfunctions.udf.CIQ(A1083, "IQ_DILUT_EPS_EXCL",IQ_FY-6))</f>
        <v>3.09</v>
      </c>
      <c r="G1086" s="15">
        <f>IF(A1091=A1092,_xll.ciqfunctions.udf.CIQ(A1083,"IQ_EBITDA_MARGIN",IQ_FY-7), _xll.ciqfunctions.udf.CIQ(A1083, "IQ_EBITDA_MARGIN",IQ_FY-6))</f>
        <v>34.308900000000001</v>
      </c>
      <c r="H1086" s="15">
        <f>IF(A1091=A1092,_xll.ciqfunctions.udf.CIQ(A1083,"IQ_TOTAL_DIV_PAID_CF",IQ_FY-7)/-I1086, _xll.ciqfunctions.udf.CIQ(A1083, "IQ_TOTAL_DIV_PAID_CF",IQ_FY-6)/-I1086)</f>
        <v>0</v>
      </c>
      <c r="I1086" s="17">
        <f>IF(A1091=A1092,_xll.ciqfunctions.udf.CIQ(A1083,"IQ_TOTAL_OUTSTANDING_FILING_DATE",IQ_FY-7), _xll.ciqfunctions.udf.CIQ(A1083, "IQ_TOTAL_OUTSTANDING_FILING_DATE",IQ_FY-6))</f>
        <v>80.353189999999998</v>
      </c>
      <c r="J1086" s="17">
        <f>IF(A1091=A1092,_xll.ciqfunctions.udf.CIQ(A1083,"IQ_CASH_OPER",IQ_FY-7), _xll.ciqfunctions.udf.CIQ(A1083, "IQ_CASH_OPER",IQ_FY-6))</f>
        <v>112.036</v>
      </c>
      <c r="K1086" s="17">
        <f>IF(A1091=A1092,_xll.ciqfunctions.udf.CIQ(A1083,"IQ_CAPEX",IQ_FY-7), _xll.ciqfunctions.udf.CIQ(A1083, "IQ_CAPEX",IQ_FY-6))</f>
        <v>-7.2320000000000002</v>
      </c>
      <c r="L1086" s="15">
        <f t="shared" si="288"/>
        <v>1.304291715114235</v>
      </c>
      <c r="M1086" s="17">
        <f>IF(A1091=A1092,_xll.ciqfunctions.udf.CIQ(A1083,"IQ_TOTAL_DEBT_ISSUED",IQ_FY-7), _xll.ciqfunctions.udf.CIQ(A1083, "IQ_TOTAL_DEBT_ISSUED",IQ_FY-6))</f>
        <v>99</v>
      </c>
      <c r="N1086" s="17">
        <f>IF(A1091=A1092,_xll.ciqfunctions.udf.CIQ(A1083,"IQ_TOTAL_DEBT_REPAID",IQ_FY-7), _xll.ciqfunctions.udf.CIQ(A1083, "IQ_TOTAL_DEBT_REPAID",IQ_FY-6))</f>
        <v>-45.25</v>
      </c>
      <c r="O1086" s="15">
        <f t="shared" si="289"/>
        <v>0.66892179389517703</v>
      </c>
      <c r="P1086" s="15">
        <f t="shared" si="290"/>
        <v>1.9732135090094121</v>
      </c>
      <c r="Q1086" s="25" t="s">
        <v>23</v>
      </c>
      <c r="R1086" s="38" t="s">
        <v>24</v>
      </c>
      <c r="S1086" s="1">
        <f>R1082/(AVERAGE(H1088:H1093)*(1+H1094)/(0.5-H1094))</f>
        <v>16.530250132235683</v>
      </c>
      <c r="U1086" s="25" t="s">
        <v>40</v>
      </c>
      <c r="V1086" s="38" t="s">
        <v>24</v>
      </c>
      <c r="W1086" s="1">
        <f>V1082/(AVERAGE(H1088:H1093)*(1+H1094)/(0.5-H1094))</f>
        <v>16.530250132235683</v>
      </c>
      <c r="Y1086" s="25" t="s">
        <v>47</v>
      </c>
      <c r="Z1086" s="38" t="s">
        <v>24</v>
      </c>
      <c r="AA1086" s="1">
        <f>Z1082/(AVERAGE(H1088:H1093)*(1+H1094)/(0.5-H1094))</f>
        <v>16.530250132235683</v>
      </c>
    </row>
    <row r="1087" spans="1:27">
      <c r="B1087" s="13">
        <v>5</v>
      </c>
      <c r="C1087" s="14" t="s">
        <v>25</v>
      </c>
      <c r="D1087" s="15" cm="1">
        <f t="array" ref="D1087">_xlfn.SINGLE(IF(A1091=A1092,_xll.ciqfunctions.udf.CIQ(A1083,"IQ_TOTAL_REV",IQ_FY-6)/I1087, _xll.ciqfunctions.udf.CIQ(A1083, "IQ_TOTAL_REV",IQ_FY-5)/I1087))</f>
        <v>13.73949517950733</v>
      </c>
      <c r="E1087" s="16">
        <f t="shared" si="291"/>
        <v>0.27591944537765933</v>
      </c>
      <c r="F1087" s="15">
        <f>IF(A1091=A1092,_xll.ciqfunctions.udf.CIQ(A1083,"IQ_DILUT_EPS_EXCL",IQ_FY-6), _xll.ciqfunctions.udf.CIQ(A1083, "IQ_DILUT_EPS_EXCL",IQ_FY-5))</f>
        <v>2.5099999999999998</v>
      </c>
      <c r="G1087" s="15">
        <f>IF(A1091=A1092,_xll.ciqfunctions.udf.CIQ(A1083,"IQ_EBITDA_MARGIN",IQ_FY-6), _xll.ciqfunctions.udf.CIQ(A1083, "IQ_EBITDA_MARGIN",IQ_FY-5))</f>
        <v>32.790799999999997</v>
      </c>
      <c r="H1087" s="15">
        <f>IF(A1091=A1092,_xll.ciqfunctions.udf.CIQ(A1083,"IQ_TOTAL_DIV_PAID_CF",IQ_FY-6)/-I1087, _xll.ciqfunctions.udf.CIQ(A1083, "IQ_TOTAL_DIV_PAID_CF",IQ_FY-5)/-I1087)</f>
        <v>0</v>
      </c>
      <c r="I1087" s="17">
        <f>IF(A1091=A1092,_xll.ciqfunctions.udf.CIQ(A1083,"IQ_TOTAL_OUTSTANDING_FILING_DATE",IQ_FY-6), _xll.ciqfunctions.udf.CIQ(A1083, "IQ_TOTAL_OUTSTANDING_FILING_DATE",IQ_FY-5))</f>
        <v>74.010069999999999</v>
      </c>
      <c r="J1087" s="17">
        <f>IF(A1091=A1092,_xll.ciqfunctions.udf.CIQ(A1083,"IQ_CASH_OPER",IQ_FY-6), _xll.ciqfunctions.udf.CIQ(A1083, "IQ_CASH_OPER",IQ_FY-5))</f>
        <v>332.04700000000003</v>
      </c>
      <c r="K1087" s="17">
        <f>IF(A1091=A1092,_xll.ciqfunctions.udf.CIQ(A1083,"IQ_CAPEX",IQ_FY-6), _xll.ciqfunctions.udf.CIQ(A1083, "IQ_CAPEX",IQ_FY-5))</f>
        <v>-9.1150000000000002</v>
      </c>
      <c r="L1087" s="15">
        <f t="shared" si="288"/>
        <v>4.3633521762646623</v>
      </c>
      <c r="M1087" s="17">
        <f>IF(A1091=A1092,_xll.ciqfunctions.udf.CIQ(A1083,"IQ_TOTAL_DEBT_ISSUED",IQ_FY-6), _xll.ciqfunctions.udf.CIQ(A1083, "IQ_TOTAL_DEBT_ISSUED",IQ_FY-5))</f>
        <v>718.5</v>
      </c>
      <c r="N1087" s="17">
        <f>IF(A1091=A1092,_xll.ciqfunctions.udf.CIQ(A1083,"IQ_TOTAL_DEBT_REPAID",IQ_FY-6), _xll.ciqfunctions.udf.CIQ(A1083, "IQ_TOTAL_DEBT_REPAID",IQ_FY-5))</f>
        <v>-488.25</v>
      </c>
      <c r="O1087" s="15">
        <f t="shared" si="289"/>
        <v>3.111063129652492</v>
      </c>
      <c r="P1087" s="15">
        <f t="shared" si="290"/>
        <v>7.4744153059171543</v>
      </c>
      <c r="Q1087" s="18"/>
      <c r="R1087" s="38" t="s">
        <v>50</v>
      </c>
      <c r="S1087" s="3">
        <f>I1094</f>
        <v>-2.5099799463757733E-2</v>
      </c>
      <c r="U1087" s="18"/>
      <c r="V1087" s="38" t="s">
        <v>50</v>
      </c>
      <c r="W1087" s="3">
        <f>I1094</f>
        <v>-2.5099799463757733E-2</v>
      </c>
      <c r="Y1087" s="18"/>
      <c r="Z1087" s="38" t="s">
        <v>50</v>
      </c>
      <c r="AA1087" s="3">
        <f>I1094</f>
        <v>-2.5099799463757733E-2</v>
      </c>
    </row>
    <row r="1088" spans="1:27">
      <c r="B1088" s="13">
        <v>6</v>
      </c>
      <c r="C1088" s="14" t="s">
        <v>26</v>
      </c>
      <c r="D1088" s="15" cm="1">
        <f t="array" ref="D1088">_xlfn.SINGLE(IF(A1091=A1092,_xll.ciqfunctions.udf.CIQ(A1083,"IQ_TOTAL_REV",IQ_FY-5)/I1088, _xll.ciqfunctions.udf.CIQ(A1083, "IQ_TOTAL_REV",IQ_FY-4)/I1088))</f>
        <v>16.924844432653575</v>
      </c>
      <c r="E1088" s="16">
        <f t="shared" si="291"/>
        <v>0.23183888574721753</v>
      </c>
      <c r="F1088" s="15">
        <f>IF(A1091=A1092,_xll.ciqfunctions.udf.CIQ(A1083,"IQ_DILUT_EPS_EXCL",IQ_FY-5), _xll.ciqfunctions.udf.CIQ(A1083, "IQ_DILUT_EPS_EXCL",IQ_FY-4))</f>
        <v>4.51</v>
      </c>
      <c r="G1088" s="15">
        <f>IF(A1091=A1092,_xll.ciqfunctions.udf.CIQ(A1083,"IQ_EBITDA_MARGIN",IQ_FY-5), _xll.ciqfunctions.udf.CIQ(A1083, "IQ_EBITDA_MARGIN",IQ_FY-4))</f>
        <v>36.1402</v>
      </c>
      <c r="H1088" s="15">
        <f>IF(A1091=A1092,_xll.ciqfunctions.udf.CIQ(A1083,"IQ_TOTAL_DIV_PAID_CF",IQ_FY-5)/-I1088, _xll.ciqfunctions.udf.CIQ(A1083, "IQ_TOTAL_DIV_PAID_CF",IQ_FY-4)/-I1088)</f>
        <v>1.0395874516995676</v>
      </c>
      <c r="I1088" s="17">
        <f>IF(A1091=A1092,_xll.ciqfunctions.udf.CIQ(A1083,"IQ_TOTAL_OUTSTANDING_FILING_DATE",IQ_FY-5), _xll.ciqfunctions.udf.CIQ(A1083, "IQ_TOTAL_OUTSTANDING_FILING_DATE",IQ_FY-4))</f>
        <v>68.640690000000006</v>
      </c>
      <c r="J1088" s="17">
        <f>IF(A1091=A1092,_xll.ciqfunctions.udf.CIQ(A1083,"IQ_CASH_OPER",IQ_FY-5), _xll.ciqfunctions.udf.CIQ(A1083, "IQ_CASH_OPER",IQ_FY-4))</f>
        <v>259.25799999999998</v>
      </c>
      <c r="K1088" s="17">
        <f>IF(A1091=A1092,_xll.ciqfunctions.udf.CIQ(A1083,"IQ_CAPEX",IQ_FY-5), _xll.ciqfunctions.udf.CIQ(A1083, "IQ_CAPEX",IQ_FY-4))</f>
        <v>-51.683999999999997</v>
      </c>
      <c r="L1088" s="15">
        <f t="shared" si="288"/>
        <v>3.0240663373284851</v>
      </c>
      <c r="M1088" s="17">
        <f>IF(A1091=A1092,_xll.ciqfunctions.udf.CIQ(A1083,"IQ_TOTAL_DEBT_ISSUED",IQ_FY-5), _xll.ciqfunctions.udf.CIQ(A1083, "IQ_TOTAL_DEBT_ISSUED",IQ_FY-4))</f>
        <v>35</v>
      </c>
      <c r="N1088" s="17">
        <f>IF(A1091=A1092,_xll.ciqfunctions.udf.CIQ(A1083,"IQ_TOTAL_DEBT_REPAID",IQ_FY-5), _xll.ciqfunctions.udf.CIQ(A1083, "IQ_TOTAL_DEBT_REPAID",IQ_FY-4))</f>
        <v>-25</v>
      </c>
      <c r="O1088" s="15">
        <f t="shared" si="289"/>
        <v>0.14568618118495019</v>
      </c>
      <c r="P1088" s="15">
        <f t="shared" si="290"/>
        <v>3.1697525185134352</v>
      </c>
      <c r="Q1088" s="25" t="s">
        <v>27</v>
      </c>
      <c r="R1088" s="38" t="s">
        <v>51</v>
      </c>
      <c r="S1088" s="4">
        <f>AVERAGE(F1088:F1093)/AVERAGE(D1088:D1093)</f>
        <v>0.24899057413001649</v>
      </c>
      <c r="U1088" s="25" t="s">
        <v>58</v>
      </c>
      <c r="V1088" s="38" t="s">
        <v>51</v>
      </c>
      <c r="W1088" s="4">
        <f>AVERAGE(F1088:F1093)/AVERAGE(D1088:D1093)</f>
        <v>0.24899057413001649</v>
      </c>
      <c r="Y1088" s="25" t="s">
        <v>56</v>
      </c>
      <c r="Z1088" s="38" t="s">
        <v>51</v>
      </c>
      <c r="AA1088" s="4">
        <f>AVERAGE(F1088:F1093)/AVERAGE(D1088:D1093)</f>
        <v>0.24899057413001649</v>
      </c>
    </row>
    <row r="1089" spans="1:27">
      <c r="A1089" s="18"/>
      <c r="B1089" s="13">
        <v>7</v>
      </c>
      <c r="C1089" s="14" t="s">
        <v>28</v>
      </c>
      <c r="D1089" s="15" cm="1">
        <f t="array" ref="D1089">_xlfn.SINGLE(IF(A1091=A1092,_xll.ciqfunctions.udf.CIQ(A1083,"IQ_TOTAL_REV",IQ_FY-4)/I1089, _xll.ciqfunctions.udf.CIQ(A1083, "IQ_TOTAL_REV",IQ_FY-3)/I1089))</f>
        <v>20.166025498522362</v>
      </c>
      <c r="E1089" s="16">
        <f t="shared" si="291"/>
        <v>0.19150433428005315</v>
      </c>
      <c r="F1089" s="15">
        <f>IF(A1091=A1092,_xll.ciqfunctions.udf.CIQ(A1083,"IQ_DILUT_EPS_EXCL",IQ_FY-4), _xll.ciqfunctions.udf.CIQ(A1083, "IQ_DILUT_EPS_EXCL",IQ_FY-3))</f>
        <v>5.8</v>
      </c>
      <c r="G1089" s="15">
        <f>IF(A1091=A1092,_xll.ciqfunctions.udf.CIQ(A1083,"IQ_EBITDA_MARGIN",IQ_FY-4), _xll.ciqfunctions.udf.CIQ(A1083, "IQ_EBITDA_MARGIN",IQ_FY-3))</f>
        <v>37.827399999999997</v>
      </c>
      <c r="H1089" s="15">
        <f>IF(A1091=A1092,_xll.ciqfunctions.udf.CIQ(A1083,"IQ_TOTAL_DIV_PAID_CF",IQ_FY-4)/-I1089, _xll.ciqfunctions.udf.CIQ(A1083, "IQ_TOTAL_DIV_PAID_CF",IQ_FY-3)/-I1089)</f>
        <v>1.2352691461850809</v>
      </c>
      <c r="I1089" s="17">
        <f>IF(A1091=A1092,_xll.ciqfunctions.udf.CIQ(A1083,"IQ_TOTAL_OUTSTANDING_FILING_DATE",IQ_FY-4), _xll.ciqfunctions.udf.CIQ(A1083, "IQ_TOTAL_OUTSTANDING_FILING_DATE",IQ_FY-3))</f>
        <v>63.696240000000003</v>
      </c>
      <c r="J1089" s="17">
        <f>IF(A1091=A1092,_xll.ciqfunctions.udf.CIQ(A1083,"IQ_CASH_OPER",IQ_FY-4), _xll.ciqfunctions.udf.CIQ(A1083, "IQ_CASH_OPER",IQ_FY-3))</f>
        <v>460.28399999999999</v>
      </c>
      <c r="K1089" s="17">
        <f>IF(A1091=A1092,_xll.ciqfunctions.udf.CIQ(A1083,"IQ_CAPEX",IQ_FY-4), _xll.ciqfunctions.udf.CIQ(A1083, "IQ_CAPEX",IQ_FY-3))</f>
        <v>-30.619</v>
      </c>
      <c r="L1089" s="15">
        <f t="shared" si="288"/>
        <v>6.7455316043772751</v>
      </c>
      <c r="M1089" s="17">
        <f>IF(A1091=A1092,_xll.ciqfunctions.udf.CIQ(A1083,"IQ_TOTAL_DEBT_ISSUED",IQ_FY-4), _xll.ciqfunctions.udf.CIQ(A1083, "IQ_TOTAL_DEBT_ISSUED",IQ_FY-3))</f>
        <v>427.5</v>
      </c>
      <c r="N1089" s="17">
        <f>IF(A1091=A1092,_xll.ciqfunctions.udf.CIQ(A1083,"IQ_TOTAL_DEBT_REPAID",IQ_FY-4), _xll.ciqfunctions.udf.CIQ(A1083, "IQ_TOTAL_DEBT_REPAID",IQ_FY-3))</f>
        <v>-270</v>
      </c>
      <c r="O1089" s="15">
        <f t="shared" si="289"/>
        <v>2.4726734262493357</v>
      </c>
      <c r="P1089" s="15">
        <f t="shared" si="290"/>
        <v>9.2182050306266099</v>
      </c>
      <c r="Q1089" s="18"/>
      <c r="R1089" s="38" t="s">
        <v>29</v>
      </c>
      <c r="S1089" s="4">
        <f>(AVERAGE(P1088:P1093)/_xlfn.STDEV.P(P1088:P1093))/(IF(A1091=A1092,(_xlfn.SINGLE(_xll.ciqfunctions.udf.CIQ(A1083,"IQ_total_assets",IQ_FY)) - _xlfn.SINGLE(_xll.ciqfunctions.udf.CIQ(A1083,"iq_gw_intan", IQ_FY)))/I1093, (_xlfn.SINGLE(_xll.ciqfunctions.udf.CIQ(A1083, "IQ_total_assets",IQ_LTM))-_xlfn.SINGLE(_xll.ciqfunctions.udf.CIQ(A1083,"iq_gw_intan",IQ_LTM)))/I1093))</f>
        <v>7.1187724600251093E-2</v>
      </c>
      <c r="U1089" s="18"/>
      <c r="V1089" s="38" t="s">
        <v>29</v>
      </c>
      <c r="W1089" s="4">
        <f>(AVERAGE(P1088:P1093)/_xlfn.STDEV.P(P1088:P1093))/(IF(A1091=A1092,(_xlfn.SINGLE(_xll.ciqfunctions.udf.CIQ(A1083,"IQ_total_assets",IQ_FY)) - _xlfn.SINGLE(_xll.ciqfunctions.udf.CIQ(A1083,"iq_gw_intan", IQ_FY)))/I1093, (_xlfn.SINGLE(_xll.ciqfunctions.udf.CIQ(A1083, "IQ_total_assets",IQ_LTM))-_xlfn.SINGLE(_xll.ciqfunctions.udf.CIQ(A1083,"iq_gw_intan",IQ_LTM)))/I1093))</f>
        <v>7.1187724600251093E-2</v>
      </c>
      <c r="Y1089" s="18"/>
      <c r="Z1089" s="38" t="s">
        <v>29</v>
      </c>
      <c r="AA1089" s="4">
        <f>(AVERAGE(P1088:P1093)/_xlfn.STDEV.P(P1088:P1093))/(IF(A1091=A1092,(_xlfn.SINGLE(_xll.ciqfunctions.udf.CIQ(A1083,"IQ_total_assets",IQ_FY)) - _xlfn.SINGLE(_xll.ciqfunctions.udf.CIQ(A1083,"iq_gw_intan", IQ_FY)))/I1093, (_xlfn.SINGLE(_xll.ciqfunctions.udf.CIQ(A1083, "IQ_total_assets",IQ_LTM))-_xlfn.SINGLE(_xll.ciqfunctions.udf.CIQ(A1083,"iq_gw_intan",IQ_LTM)))/I1093))</f>
        <v>7.1187724600251093E-2</v>
      </c>
    </row>
    <row r="1090" spans="1:27">
      <c r="A1090" s="18"/>
      <c r="B1090" s="13">
        <v>8</v>
      </c>
      <c r="C1090" s="14" t="s">
        <v>30</v>
      </c>
      <c r="D1090" s="15" cm="1">
        <f t="array" ref="D1090">_xlfn.SINGLE(IF(A1091=A1092,_xll.ciqfunctions.udf.CIQ(A1083,"IQ_TOTAL_REV",IQ_FY-3)/I1090, _xll.ciqfunctions.udf.CIQ(A1083, "IQ_TOTAL_REV",IQ_FY-2)/I1090))</f>
        <v>30.36982470534889</v>
      </c>
      <c r="E1090" s="16">
        <f t="shared" si="291"/>
        <v>0.50598960154911021</v>
      </c>
      <c r="F1090" s="15">
        <f>IF(A1091=A1092,_xll.ciqfunctions.udf.CIQ(A1083,"IQ_DILUT_EPS_EXCL",IQ_FY-3), _xll.ciqfunctions.udf.CIQ(A1083, "IQ_DILUT_EPS_EXCL",IQ_FY-2))</f>
        <v>9.7799999999999994</v>
      </c>
      <c r="G1090" s="15">
        <f>IF(A1091=A1092,_xll.ciqfunctions.udf.CIQ(A1083,"IQ_EBITDA_MARGIN",IQ_FY-3), _xll.ciqfunctions.udf.CIQ(A1083, "IQ_EBITDA_MARGIN",IQ_FY-2))</f>
        <v>39.7605</v>
      </c>
      <c r="H1090" s="15">
        <f>IF(A1091=A1092,_xll.ciqfunctions.udf.CIQ(A1083,"IQ_TOTAL_DIV_PAID_CF",IQ_FY-3)/-I1090, _xll.ciqfunctions.udf.CIQ(A1083, "IQ_TOTAL_DIV_PAID_CF",IQ_FY-2)/-I1090)</f>
        <v>1.6130250335443543</v>
      </c>
      <c r="I1090" s="17">
        <f>IF(A1091=A1092,_xll.ciqfunctions.udf.CIQ(A1083,"IQ_TOTAL_OUTSTANDING_FILING_DATE",IQ_FY-3), _xll.ciqfunctions.udf.CIQ(A1083, "IQ_TOTAL_OUTSTANDING_FILING_DATE",IQ_FY-2))</f>
        <v>62.499339999999997</v>
      </c>
      <c r="J1090" s="17">
        <f>IF(A1091=A1092,_xll.ciqfunctions.udf.CIQ(A1083,"IQ_CASH_OPER",IQ_FY-3), _xll.ciqfunctions.udf.CIQ(A1083, "IQ_CASH_OPER",IQ_FY-2))</f>
        <v>612.02200000000005</v>
      </c>
      <c r="K1090" s="17">
        <f>IF(A1091=A1092,_xll.ciqfunctions.udf.CIQ(A1083,"IQ_CAPEX",IQ_FY-3), _xll.ciqfunctions.udf.CIQ(A1083, "IQ_CAPEX",IQ_FY-2))</f>
        <v>-18.324999999999999</v>
      </c>
      <c r="L1090" s="15">
        <f t="shared" si="288"/>
        <v>9.4992523121044172</v>
      </c>
      <c r="M1090" s="17">
        <f>IF(A1091=A1092,_xll.ciqfunctions.udf.CIQ(A1083,"IQ_TOTAL_DEBT_ISSUED",IQ_FY-3), _xll.ciqfunctions.udf.CIQ(A1083, "IQ_TOTAL_DEBT_ISSUED",IQ_FY-2))</f>
        <v>112.5</v>
      </c>
      <c r="N1090" s="17">
        <f>IF(A1091=A1092,_xll.ciqfunctions.udf.CIQ(A1083,"IQ_TOTAL_DEBT_REPAID",IQ_FY-3), _xll.ciqfunctions.udf.CIQ(A1083, "IQ_TOTAL_DEBT_REPAID",IQ_FY-2))</f>
        <v>-273.75</v>
      </c>
      <c r="O1090" s="15">
        <f t="shared" si="289"/>
        <v>-2.5800272450877082</v>
      </c>
      <c r="P1090" s="15">
        <f t="shared" si="290"/>
        <v>6.9192250670167095</v>
      </c>
      <c r="Q1090" s="18"/>
      <c r="R1090" s="39" t="s">
        <v>31</v>
      </c>
      <c r="S1090" s="5">
        <f>IF(NOT(D1083&gt;0),FALSE,SLOPE(G1083:G1093,B1083:B1093))</f>
        <v>-0.4156618181818183</v>
      </c>
      <c r="U1090" s="18"/>
      <c r="V1090" s="39" t="s">
        <v>31</v>
      </c>
      <c r="W1090" s="5">
        <f>IF(NOT(D1083&gt;0),FALSE,SLOPE(G1083:G1093,B1083:B1093))</f>
        <v>-0.4156618181818183</v>
      </c>
      <c r="Y1090" s="18"/>
      <c r="Z1090" s="39" t="s">
        <v>31</v>
      </c>
      <c r="AA1090" s="5">
        <f>IF(NOT(L1083&gt;0),FALSE,SLOPE(O1083:O1093,J1083:J1093))</f>
        <v>-4.7399928983147196E-3</v>
      </c>
    </row>
    <row r="1091" spans="1:27">
      <c r="A1091" s="19">
        <f>_xll.ciqfunctions.udf.CIQ(A1083,"IQ_TOTAL_REV",IQ_FY)</f>
        <v>1940.5119999999999</v>
      </c>
      <c r="B1091" s="13">
        <v>9</v>
      </c>
      <c r="C1091" s="14" t="s">
        <v>32</v>
      </c>
      <c r="D1091" s="15" cm="1">
        <f t="array" ref="D1091">_xlfn.SINGLE(IF(A1091=A1092,_xll.ciqfunctions.udf.CIQ(A1083,"IQ_TOTAL_REV",IQ_FY-2)/I1091, _xll.ciqfunctions.udf.CIQ(A1083, "IQ_TOTAL_REV",IQ_FY-1)/I1091))</f>
        <v>27.995770081768491</v>
      </c>
      <c r="E1091" s="16">
        <f t="shared" si="291"/>
        <v>-7.8171495772982463E-2</v>
      </c>
      <c r="F1091" s="15">
        <f>IF(A1091=A1092,_xll.ciqfunctions.udf.CIQ(A1083,"IQ_DILUT_EPS_EXCL",IQ_FY-2), _xll.ciqfunctions.udf.CIQ(A1083, "IQ_DILUT_EPS_EXCL",IQ_FY-1))</f>
        <v>6.13</v>
      </c>
      <c r="G1091" s="15">
        <f>IF(A1091=A1092,_xll.ciqfunctions.udf.CIQ(A1083,"IQ_EBITDA_MARGIN",IQ_FY-2), _xll.ciqfunctions.udf.CIQ(A1083, "IQ_EBITDA_MARGIN",IQ_FY-1))</f>
        <v>28.134699999999999</v>
      </c>
      <c r="H1091" s="15">
        <f>IF(A1091=A1092,_xll.ciqfunctions.udf.CIQ(A1083,"IQ_TOTAL_DIV_PAID_CF",IQ_FY-2)/-I1091, _xll.ciqfunctions.udf.CIQ(A1083, "IQ_TOTAL_DIV_PAID_CF",IQ_FY-1)/-I1091)</f>
        <v>2.4501586219336819</v>
      </c>
      <c r="I1091" s="17">
        <f>IF(A1091=A1092,_xll.ciqfunctions.udf.CIQ(A1083,"IQ_TOTAL_OUTSTANDING_FILING_DATE",IQ_FY-2), _xll.ciqfunctions.udf.CIQ(A1083, "IQ_TOTAL_OUTSTANDING_FILING_DATE",IQ_FY-1))</f>
        <v>60.426699999999997</v>
      </c>
      <c r="J1091" s="17">
        <f>IF(A1091=A1092,_xll.ciqfunctions.udf.CIQ(A1083,"IQ_CASH_OPER",IQ_FY-2), _xll.ciqfunctions.udf.CIQ(A1083, "IQ_CASH_OPER",IQ_FY-1))</f>
        <v>370.25900000000001</v>
      </c>
      <c r="K1091" s="17">
        <f>IF(A1091=A1092,_xll.ciqfunctions.udf.CIQ(A1083,"IQ_CAPEX",IQ_FY-2), _xll.ciqfunctions.udf.CIQ(A1083, "IQ_CAPEX",IQ_FY-1))</f>
        <v>-13.468</v>
      </c>
      <c r="L1091" s="15">
        <f t="shared" si="288"/>
        <v>5.9045256484302469</v>
      </c>
      <c r="M1091" s="17">
        <f>IF(A1091=A1092,_xll.ciqfunctions.udf.CIQ(A1083,"IQ_TOTAL_DEBT_ISSUED",IQ_FY-2), _xll.ciqfunctions.udf.CIQ(A1083, "IQ_TOTAL_DEBT_ISSUED",IQ_FY-1))</f>
        <v>345</v>
      </c>
      <c r="N1091" s="17">
        <f>IF(A1091=A1092,_xll.ciqfunctions.udf.CIQ(A1083,"IQ_TOTAL_DEBT_REPAID",IQ_FY-2), _xll.ciqfunctions.udf.CIQ(A1083, "IQ_TOTAL_DEBT_REPAID",IQ_FY-1))</f>
        <v>-50</v>
      </c>
      <c r="O1091" s="15">
        <f t="shared" si="289"/>
        <v>4.8819478806554057</v>
      </c>
      <c r="P1091" s="15">
        <f t="shared" si="290"/>
        <v>10.786473529085653</v>
      </c>
      <c r="Q1091" s="25" t="s">
        <v>33</v>
      </c>
      <c r="R1091" s="38" t="s">
        <v>52</v>
      </c>
      <c r="S1091" s="4">
        <f>(AVERAGE(O1088:O1093)/AVERAGE(P1088:P1093))</f>
        <v>0.40858585206605263</v>
      </c>
      <c r="U1091" s="25" t="s">
        <v>54</v>
      </c>
      <c r="V1091" s="38" t="s">
        <v>52</v>
      </c>
      <c r="W1091" s="4">
        <f>(AVERAGE(O1088:O1093)/AVERAGE(P1088:P1093))</f>
        <v>0.40858585206605263</v>
      </c>
      <c r="Y1091" s="25" t="s">
        <v>60</v>
      </c>
      <c r="Z1091" s="38" t="s">
        <v>52</v>
      </c>
      <c r="AA1091" s="4">
        <f>(AVERAGE(O1088:O1093)/AVERAGE(P1088:P1093))</f>
        <v>0.40858585206605263</v>
      </c>
    </row>
    <row r="1092" spans="1:27">
      <c r="A1092" s="19">
        <f>_xll.ciqfunctions.udf.CIQ(A1083,"IQ_TOTAL_REV",IQ_LTM)</f>
        <v>1905.5070000000001</v>
      </c>
      <c r="B1092" s="13">
        <v>10</v>
      </c>
      <c r="C1092" s="14" t="s">
        <v>34</v>
      </c>
      <c r="D1092" s="15" cm="1">
        <f t="array" ref="D1092">_xlfn.SINGLE(IF(A1091=A1092,_xll.ciqfunctions.udf.CIQ(A1083,"IQ_TOTAL_REV",IQ_FY-1)/I1092, _xll.ciqfunctions.udf.CIQ(A1083, "IQ_TOTAL_REV",IQ_FY)/I1092))</f>
        <v>32.102781203652462</v>
      </c>
      <c r="E1092" s="16">
        <f t="shared" si="291"/>
        <v>0.14670113055966816</v>
      </c>
      <c r="F1092" s="15">
        <f>IF(A1091=A1092,_xll.ciqfunctions.udf.CIQ(A1083,"IQ_DILUT_EPS_EXCL",IQ_FY-1), _xll.ciqfunctions.udf.CIQ(A1083, "IQ_DILUT_EPS_EXCL",IQ_FY))</f>
        <v>6.74</v>
      </c>
      <c r="G1092" s="15">
        <f>IF(A1091=A1092,_xll.ciqfunctions.udf.CIQ(A1083,"IQ_EBITDA_MARGIN",IQ_FY-1), _xll.ciqfunctions.udf.CIQ(A1083, "IQ_EBITDA_MARGIN",IQ_FY))</f>
        <v>28.9025</v>
      </c>
      <c r="H1092" s="15">
        <f>IF(A1091=A1092,_xll.ciqfunctions.udf.CIQ(A1083,"IQ_TOTAL_DIV_PAID_CF",IQ_FY-1)/-I1092, _xll.ciqfunctions.udf.CIQ(A1083, "IQ_TOTAL_DIV_PAID_CF",IQ_FY)/-I1092)</f>
        <v>2.3995129605595662</v>
      </c>
      <c r="I1092" s="17">
        <f>IF(A1091=A1092,_xll.ciqfunctions.udf.CIQ(A1083,"IQ_TOTAL_OUTSTANDING_FILING_DATE",IQ_FY-1), _xll.ciqfunctions.udf.CIQ(A1083, "IQ_TOTAL_OUTSTANDING_FILING_DATE",IQ_FY))</f>
        <v>60.446849999999998</v>
      </c>
      <c r="J1092" s="17">
        <f>IF(A1091=A1092,_xll.ciqfunctions.udf.CIQ(A1083,"IQ_CASH_OPER",IQ_FY-1), _xll.ciqfunctions.udf.CIQ(A1083, "IQ_CASH_OPER",IQ_FY))</f>
        <v>-145.428</v>
      </c>
      <c r="K1092" s="17">
        <f>IF(A1091=A1092,_xll.ciqfunctions.udf.CIQ(A1083,"IQ_CAPEX",IQ_FY-1), _xll.ciqfunctions.udf.CIQ(A1083, "IQ_CAPEX",IQ_FY))</f>
        <v>-20.934000000000001</v>
      </c>
      <c r="L1092" s="15">
        <f t="shared" si="288"/>
        <v>-2.7522029683928939</v>
      </c>
      <c r="M1092" s="17">
        <f>IF(A1091=A1092,_xll.ciqfunctions.udf.CIQ(A1083,"IQ_TOTAL_DEBT_ISSUED",IQ_FY-1), _xll.ciqfunctions.udf.CIQ(A1083, "IQ_TOTAL_DEBT_ISSUED",IQ_FY))</f>
        <v>665</v>
      </c>
      <c r="N1092" s="17">
        <f>IF(A1091=A1092,_xll.ciqfunctions.udf.CIQ(A1083,"IQ_TOTAL_DEBT_REPAID",IQ_FY-1), _xll.ciqfunctions.udf.CIQ(A1083, "IQ_TOTAL_DEBT_REPAID",IQ_FY))</f>
        <v>-373.125</v>
      </c>
      <c r="O1092" s="15">
        <f t="shared" si="289"/>
        <v>4.8286221697243121</v>
      </c>
      <c r="P1092" s="15">
        <f t="shared" si="290"/>
        <v>2.0764192013314182</v>
      </c>
      <c r="Q1092" s="25" t="s">
        <v>44</v>
      </c>
      <c r="R1092" s="38" t="s">
        <v>35</v>
      </c>
      <c r="S1092" s="1">
        <f>_xll.ciqfunctions.udf.CIQ(A1083,"IQ_TEV_EBITDA")</f>
        <v>13.696400000000001</v>
      </c>
      <c r="U1092" s="25" t="s">
        <v>55</v>
      </c>
      <c r="V1092" s="38" t="s">
        <v>53</v>
      </c>
      <c r="W1092" s="1">
        <f>V1082/(AVERAGE(D1088:D1093)/_xlfn.STDEV.P(E1088:E1093))</f>
        <v>0.81349738505355373</v>
      </c>
      <c r="Y1092" s="25" t="s">
        <v>57</v>
      </c>
      <c r="Z1092" s="38" t="s">
        <v>53</v>
      </c>
      <c r="AA1092" s="1">
        <f>Z1082/(AVERAGE(D1088:D1093)/_xlfn.STDEV.P(E1088:E1093))</f>
        <v>0.81349738505355373</v>
      </c>
    </row>
    <row r="1093" spans="1:27">
      <c r="B1093" s="13">
        <v>11</v>
      </c>
      <c r="C1093" s="20" t="s">
        <v>36</v>
      </c>
      <c r="D1093" s="21" cm="1">
        <f t="array" ref="D1093">_xlfn.SINGLE(IF(A1091=A1092,_xll.ciqfunctions.udf.CIQ(A1083,"IQ_TOTAL_REV",IQ_FY)/I1093, _xll.ciqfunctions.udf.CIQ(A1083, "IQ_TOTAL_REV",IQ_LTM)/I1093))</f>
        <v>31.52304118229085</v>
      </c>
      <c r="E1093" s="22">
        <f t="shared" si="291"/>
        <v>-1.8058872148300122E-2</v>
      </c>
      <c r="F1093" s="21">
        <f>IF(A1091=A1092,_xll.ciqfunctions.udf.CIQ(A1083,"IQ_DILUT_EPS_EXCL",IQ_FY), _xll.ciqfunctions.udf.CIQ(A1083, "IQ_DILUT_EPS_EXCL",IQ_LTM))</f>
        <v>6.6499899999999998</v>
      </c>
      <c r="G1093" s="21">
        <f>IF(A1091=A1092,_xll.ciqfunctions.udf.CIQ(A1083,"IQ_EBITDA_MARGIN",IQ_FY), _xll.ciqfunctions.udf.CIQ(A1083, "IQ_EBITDA_MARGIN",IQ_LTM))</f>
        <v>29.839400000000001</v>
      </c>
      <c r="H1093" s="21">
        <f>IF(A1091=A1092,_xll.ciqfunctions.udf.CIQ(A1083,"IQ_TOTAL_DIV_PAID_CF",IQ_FY)/-I1093, _xll.ciqfunctions.udf.CIQ(A1083, "IQ_TOTAL_DIV_PAID_CF",IQ_LTM)/-I1093)</f>
        <v>2.3996630496225935</v>
      </c>
      <c r="I1093" s="23">
        <f>IF(A1091=A1092,_xll.ciqfunctions.udf.CIQ(A1083,"IQ_TOTAL_OUTSTANDING_FILING_DATE",IQ_FY),_xll.ciqfunctions.udf.CIQ(A1083,"IQ_sharesoutstanding"))</f>
        <v>60.448070000000001</v>
      </c>
      <c r="J1093" s="23">
        <f>IF(A1091=A1092,_xll.ciqfunctions.udf.CIQ(A1083,"IQ_CASH_OPER",IQ_FY), _xll.ciqfunctions.udf.CIQ(A1083, "IQ_CASH_OPER",IQ_LTM))</f>
        <v>-119.73</v>
      </c>
      <c r="K1093" s="23">
        <f>IF(A1091=A1092,_xll.ciqfunctions.udf.CIQ(A1083,"IQ_CAPEX",IQ_FY), _xll.ciqfunctions.udf.CIQ(A1083, "IQ_CAPEX",IQ_LTM))</f>
        <v>-15.297000000000001</v>
      </c>
      <c r="L1093" s="21">
        <f t="shared" si="288"/>
        <v>-2.2337685884760261</v>
      </c>
      <c r="M1093" s="23">
        <f>IF(A1091=A1092,_xll.ciqfunctions.udf.CIQ(A1083,"IQ_TOTAL_DEBT_ISSUED",IQ_FY), _xll.ciqfunctions.udf.CIQ(A1083, "IQ_TOTAL_DEBT_ISSUED",IQ_LTM))</f>
        <v>615</v>
      </c>
      <c r="N1093" s="23">
        <f>IF(A1091=A1092,_xll.ciqfunctions.udf.CIQ(A1083,"IQ_TOTAL_DEBT_REPAID",IQ_FY), _xll.ciqfunctions.udf.CIQ(A1083, "IQ_TOTAL_DEBT_REPAID",IQ_LTM))</f>
        <v>-361.25</v>
      </c>
      <c r="O1093" s="21">
        <f t="shared" si="289"/>
        <v>4.1978180610232885</v>
      </c>
      <c r="P1093" s="21">
        <f t="shared" si="290"/>
        <v>1.9640494725472624</v>
      </c>
      <c r="Q1093" s="25" t="s">
        <v>45</v>
      </c>
      <c r="S1093" s="45"/>
      <c r="U1093" s="25"/>
      <c r="W1093" s="45"/>
      <c r="Y1093" s="25"/>
      <c r="AA1093" s="45"/>
    </row>
    <row r="1094" spans="1:27">
      <c r="B1094" s="24"/>
      <c r="C1094" s="25" t="s">
        <v>37</v>
      </c>
      <c r="E1094" s="26">
        <f>((D1093/D1088)^(1/5))-1</f>
        <v>0.1324542989945301</v>
      </c>
      <c r="F1094" s="27">
        <f>((F1093/F1088)^(1/5))-1</f>
        <v>8.0759072840226764E-2</v>
      </c>
      <c r="G1094" s="28"/>
      <c r="H1094" s="27">
        <f>((H1093/H1088)^(1/5))-1</f>
        <v>0.18210987985328342</v>
      </c>
      <c r="I1094" s="27">
        <f>((I1093/I1088)^(1/5))-1</f>
        <v>-2.5099799463757733E-2</v>
      </c>
      <c r="J1094" s="27"/>
      <c r="K1094" s="27"/>
      <c r="L1094" s="26">
        <f>((L1093/L1088)^(1/5))-1</f>
        <v>-1.9412161557845651</v>
      </c>
      <c r="M1094" s="26"/>
      <c r="N1094" s="26"/>
      <c r="O1094" s="26"/>
      <c r="P1094" s="26">
        <f>((P1093/P1088)^(1/5))-1</f>
        <v>-9.1289777842587072E-2</v>
      </c>
      <c r="Q1094" s="18"/>
      <c r="R1094" s="36"/>
      <c r="S1094" s="45"/>
      <c r="U1094" s="18"/>
      <c r="V1094" s="36"/>
      <c r="W1094" s="45"/>
      <c r="Y1094" s="18"/>
      <c r="Z1094" s="36"/>
      <c r="AA1094" s="45"/>
    </row>
    <row r="1095" spans="1:27">
      <c r="A1095" s="29"/>
      <c r="B1095" s="30"/>
      <c r="C1095" s="31" t="s">
        <v>38</v>
      </c>
      <c r="D1095" s="29"/>
      <c r="E1095" s="32">
        <f>((D1093/D1083)^(1/10))-1</f>
        <v>0.17125655009836138</v>
      </c>
      <c r="F1095" s="33">
        <f>((F1093/F1083)^(1/10))-1</f>
        <v>0.12936799614774208</v>
      </c>
      <c r="G1095" s="34"/>
      <c r="H1095" s="33" t="e">
        <f>((H1093/H1083)^(1/10))-1</f>
        <v>#DIV/0!</v>
      </c>
      <c r="I1095" s="33">
        <f>((I1093/I1083)^(1/10))-1</f>
        <v>-3.7115481348998114E-2</v>
      </c>
      <c r="J1095" s="33"/>
      <c r="K1095" s="33"/>
      <c r="L1095" s="32" t="e">
        <f>((L1093/L1083)^(1/10))-1</f>
        <v>#NUM!</v>
      </c>
      <c r="M1095" s="32"/>
      <c r="N1095" s="32"/>
      <c r="O1095" s="32"/>
      <c r="P1095" s="32">
        <f>((P1093/P1083)^(1/10))-1</f>
        <v>4.3224511830862067E-2</v>
      </c>
      <c r="Q1095" s="40"/>
      <c r="R1095" s="41"/>
      <c r="S1095" s="46"/>
      <c r="U1095" s="40"/>
      <c r="V1095" s="41"/>
      <c r="W1095" s="46"/>
      <c r="Y1095" s="40"/>
      <c r="Z1095" s="41"/>
      <c r="AA1095" s="46"/>
    </row>
    <row r="1096" spans="1:27">
      <c r="B1096" s="24"/>
      <c r="C1096" s="25"/>
      <c r="E1096" s="26"/>
      <c r="F1096" s="27"/>
      <c r="G1096" s="28"/>
      <c r="H1096" s="27"/>
      <c r="I1096" s="27"/>
      <c r="J1096" s="27"/>
      <c r="K1096" s="27"/>
      <c r="L1096" s="26"/>
      <c r="M1096" s="17"/>
      <c r="N1096" s="17"/>
      <c r="O1096" s="17"/>
      <c r="P1096" s="35"/>
      <c r="Q1096" s="18"/>
      <c r="R1096" s="36"/>
    </row>
    <row r="1097" spans="1:27">
      <c r="A1097" s="9" t="s">
        <v>0</v>
      </c>
      <c r="B1097" s="10"/>
      <c r="C1097" s="9" t="s">
        <v>1</v>
      </c>
      <c r="D1097" s="9" t="s">
        <v>2</v>
      </c>
      <c r="E1097" s="9" t="s">
        <v>3</v>
      </c>
      <c r="F1097" s="11" t="s">
        <v>4</v>
      </c>
      <c r="G1097" s="11" t="s">
        <v>5</v>
      </c>
      <c r="H1097" s="9" t="s">
        <v>6</v>
      </c>
      <c r="I1097" s="11" t="s">
        <v>7</v>
      </c>
      <c r="J1097" s="11" t="s">
        <v>8</v>
      </c>
      <c r="K1097" s="11" t="s">
        <v>9</v>
      </c>
      <c r="L1097" s="11" t="s">
        <v>10</v>
      </c>
      <c r="M1097" s="11" t="s">
        <v>11</v>
      </c>
      <c r="N1097" s="11" t="s">
        <v>12</v>
      </c>
      <c r="O1097" s="11" t="s">
        <v>13</v>
      </c>
      <c r="P1097" s="11" t="s">
        <v>14</v>
      </c>
      <c r="Q1097" s="37" t="s">
        <v>15</v>
      </c>
      <c r="R1097" s="42">
        <f>_xll.ciqfunctions.udf.CIQ(A1098,("IQ_LASTSALEPRICE"))</f>
        <v>45.6</v>
      </c>
      <c r="S1097" s="44"/>
      <c r="U1097" s="37" t="s">
        <v>15</v>
      </c>
      <c r="V1097" s="42">
        <f>_xll.ciqfunctions.udf.CIQ(A1098,("IQ_LASTSALEPRICE"))</f>
        <v>45.6</v>
      </c>
      <c r="W1097" s="44"/>
      <c r="Y1097" s="37" t="s">
        <v>15</v>
      </c>
      <c r="Z1097" s="42">
        <f>_xll.ciqfunctions.udf.CIQ(A1098,("IQ_LASTSALEPRICE"))</f>
        <v>45.6</v>
      </c>
      <c r="AA1097" s="44"/>
    </row>
    <row r="1098" spans="1:27">
      <c r="A1098" s="12" t="str">
        <f>Analysis!B75</f>
        <v>NYSE:CIEN</v>
      </c>
      <c r="B1098" s="13">
        <v>1</v>
      </c>
      <c r="C1098" s="14" t="s">
        <v>16</v>
      </c>
      <c r="D1098" s="15">
        <f>IF(A1106=A1107,_xll.ciqfunctions.udf.CIQ(A1098,"IQ_TOTAL_REV",IQ_FY-10)/I1098,_xll.ciqfunctions.udf.CIQ(A1098, "IQ_TOTAL_REV",IQ_FY-9)/I1098)</f>
        <v>20.080815179198872</v>
      </c>
      <c r="E1098" s="16"/>
      <c r="F1098" s="15">
        <f>IF(A1106=A1107,_xll.ciqfunctions.udf.CIQ(A1098,"IQ_DILUT_EPS_EXCL",IQ_FY-10), _xll.ciqfunctions.udf.CIQ(A1098, "IQ_DILUT_EPS_EXCL",IQ_FY-9))</f>
        <v>-0.83469000000000004</v>
      </c>
      <c r="G1098" s="15">
        <f>IF(A1106=A1107,_xll.ciqfunctions.udf.CIQ(A1098,"IQ_EBITDA_MARGIN",IQ_FY-10), _xll.ciqfunctions.udf.CIQ(A1098, "IQ_EBITDA_MARGIN",IQ_FY-9))</f>
        <v>6.3575999999999997</v>
      </c>
      <c r="H1098" s="15">
        <f>IF(A1106=A1107,_xll.ciqfunctions.udf.CIQ(A1098,"IQ_TOTAL_DIV_PAID_CF",IQ_FY-10)/-I1098, _xll.ciqfunctions.udf.CIQ(A1098, "IQ_TOTAL_DIV_PAID_CF",IQ_FY-9)/-I1098)</f>
        <v>0</v>
      </c>
      <c r="I1098" s="17">
        <f>IF(A1106=A1107,_xll.ciqfunctions.udf.CIQ(A1098,"IQ_TOTAL_OUTSTANDING_FILING_DATE",IQ_FY-10), _xll.ciqfunctions.udf.CIQ(A1098, "IQ_TOTAL_OUTSTANDING_FILING_DATE",IQ_FY-9))</f>
        <v>103.70824</v>
      </c>
      <c r="J1098" s="17">
        <f>IF(A1106=A1107,_xll.ciqfunctions.udf.CIQ(A1098,"IQ_CASH_OPER",IQ_FY-10), _xll.ciqfunctions.udf.CIQ(A1098, "IQ_CASH_OPER",IQ_FY-9))</f>
        <v>44.677999999999997</v>
      </c>
      <c r="K1098" s="17">
        <f>IF(A1106=A1107,_xll.ciqfunctions.udf.CIQ(A1098,"IQ_CAPEX",IQ_FY-10), _xll.ciqfunctions.udf.CIQ(A1098, "IQ_CAPEX",IQ_FY-9))</f>
        <v>-43.814</v>
      </c>
      <c r="L1098" s="15">
        <f t="shared" ref="L1098:L1108" si="292">(J1098+K1098)/I1098</f>
        <v>8.3310641468797193E-3</v>
      </c>
      <c r="M1098" s="17">
        <f>IF(A1106=A1107,_xll.ciqfunctions.udf.CIQ(A1098,"IQ_TOTAL_DEBT_ISSUED",IQ_FY-10), _xll.ciqfunctions.udf.CIQ(A1098, "IQ_TOTAL_DEBT_ISSUED",IQ_FY-9))</f>
        <v>0</v>
      </c>
      <c r="N1098" s="17">
        <f>IF(A1106=A1107,_xll.ciqfunctions.udf.CIQ(A1098,"IQ_TOTAL_DEBT_REPAID",IQ_FY-10), _xll.ciqfunctions.udf.CIQ(A1098, "IQ_TOTAL_DEBT_REPAID",IQ_FY-9))</f>
        <v>-219.54499999999999</v>
      </c>
      <c r="O1098" s="15">
        <f t="shared" ref="O1098:O1108" si="293">(M1098+N1098)/I1098</f>
        <v>-2.1169484700540671</v>
      </c>
      <c r="P1098" s="15">
        <f t="shared" ref="P1098:P1108" si="294">L1098+O1098</f>
        <v>-2.1086174059071872</v>
      </c>
      <c r="W1098" s="43"/>
      <c r="AA1098" s="43"/>
    </row>
    <row r="1099" spans="1:27">
      <c r="A1099" s="18" t="str">
        <f>_xll.ciqfunctions.udf.CIQ(A1098,"IQ_COMPANY_NAME")</f>
        <v>Ciena Corporation</v>
      </c>
      <c r="B1099" s="13">
        <v>2</v>
      </c>
      <c r="C1099" s="14" t="s">
        <v>17</v>
      </c>
      <c r="D1099" s="15">
        <f>IF(A1106=A1107,_xll.ciqfunctions.udf.CIQ(A1098,"IQ_TOTAL_REV",IQ_FY-9)/I1099, _xll.ciqfunctions.udf.CIQ(A1098, "IQ_TOTAL_REV",IQ_FY-8)/I1099)</f>
        <v>21.388822966002706</v>
      </c>
      <c r="E1099" s="16">
        <f t="shared" ref="E1099:E1108" si="295">(D1099-D1098)/D1098</f>
        <v>6.5137185673555795E-2</v>
      </c>
      <c r="F1099" s="15">
        <f>IF(A1106=A1107,_xll.ciqfunctions.udf.CIQ(A1098,"IQ_DILUT_EPS_EXCL",IQ_FY-9), _xll.ciqfunctions.udf.CIQ(A1098, "IQ_DILUT_EPS_EXCL",IQ_FY-8))</f>
        <v>-0.38414999999999999</v>
      </c>
      <c r="G1099" s="15">
        <f>IF(A1106=A1107,_xll.ciqfunctions.udf.CIQ(A1098,"IQ_EBITDA_MARGIN",IQ_FY-9), _xll.ciqfunctions.udf.CIQ(A1098, "IQ_EBITDA_MARGIN",IQ_FY-8))</f>
        <v>6.9405000000000001</v>
      </c>
      <c r="H1099" s="15">
        <f>IF(A1106=A1107,_xll.ciqfunctions.udf.CIQ(A1098,"IQ_TOTAL_DIV_PAID_CF",IQ_FY-9)/-I1099, _xll.ciqfunctions.udf.CIQ(A1098, "IQ_TOTAL_DIV_PAID_CF",IQ_FY-8)/-I1099)</f>
        <v>0</v>
      </c>
      <c r="I1099" s="17">
        <f>IF(A1106=A1107,_xll.ciqfunctions.udf.CIQ(A1098,"IQ_TOTAL_OUTSTANDING_FILING_DATE",IQ_FY-9), _xll.ciqfunctions.udf.CIQ(A1098, "IQ_TOTAL_OUTSTANDING_FILING_DATE",IQ_FY-8))</f>
        <v>106.98527</v>
      </c>
      <c r="J1099" s="17">
        <f>IF(A1106=A1107,_xll.ciqfunctions.udf.CIQ(A1098,"IQ_CASH_OPER",IQ_FY-9), _xll.ciqfunctions.udf.CIQ(A1098, "IQ_CASH_OPER",IQ_FY-8))</f>
        <v>89.816000000000003</v>
      </c>
      <c r="K1099" s="17">
        <f>IF(A1106=A1107,_xll.ciqfunctions.udf.CIQ(A1098,"IQ_CAPEX",IQ_FY-9), _xll.ciqfunctions.udf.CIQ(A1098, "IQ_CAPEX",IQ_FY-8))</f>
        <v>-48.216000000000001</v>
      </c>
      <c r="L1099" s="15">
        <f t="shared" si="292"/>
        <v>0.388838575628215</v>
      </c>
      <c r="M1099" s="17">
        <f>IF(A1106=A1107,_xll.ciqfunctions.udf.CIQ(A1098,"IQ_TOTAL_DEBT_ISSUED",IQ_FY-9), _xll.ciqfunctions.udf.CIQ(A1098, "IQ_TOTAL_DEBT_ISSUED",IQ_FY-8))</f>
        <v>248.75</v>
      </c>
      <c r="N1099" s="17">
        <f>IF(A1106=A1107,_xll.ciqfunctions.udf.CIQ(A1098,"IQ_TOTAL_DEBT_REPAID",IQ_FY-9), _xll.ciqfunctions.udf.CIQ(A1098, "IQ_TOTAL_DEBT_REPAID",IQ_FY-8))</f>
        <v>-3.6589999999999998</v>
      </c>
      <c r="O1099" s="15">
        <f t="shared" si="293"/>
        <v>2.290885464886895</v>
      </c>
      <c r="P1099" s="15">
        <f t="shared" si="294"/>
        <v>2.6797240405151102</v>
      </c>
      <c r="Q1099" s="25" t="s">
        <v>18</v>
      </c>
      <c r="R1099" s="39" t="s">
        <v>19</v>
      </c>
      <c r="S1099" s="1">
        <f>R1097/((AVERAGE(P1103:P1108))*(1+E1109)^3)</f>
        <v>18.277856617240083</v>
      </c>
      <c r="U1099" s="25" t="s">
        <v>48</v>
      </c>
      <c r="V1099" s="39" t="s">
        <v>19</v>
      </c>
      <c r="W1099" s="1">
        <f>V1097/((AVERAGE(P1103:P1108))*(1+E1109)^3)</f>
        <v>18.277856617240083</v>
      </c>
      <c r="Y1099" s="25" t="s">
        <v>39</v>
      </c>
      <c r="Z1099" s="39" t="s">
        <v>19</v>
      </c>
      <c r="AA1099" s="1">
        <f>Z1097/((AVERAGE(P1103:P1108))*(1+E1109)^3)</f>
        <v>18.277856617240083</v>
      </c>
    </row>
    <row r="1100" spans="1:27">
      <c r="B1100" s="13">
        <v>3</v>
      </c>
      <c r="C1100" s="14" t="s">
        <v>20</v>
      </c>
      <c r="D1100" s="15" cm="1">
        <f t="array" ref="D1100">_xlfn.SINGLE(IF(A1106=A1107,_xll.ciqfunctions.udf.CIQ(A1098,"IQ_TOTAL_REV",IQ_FY-8)/I1100, _xll.ciqfunctions.udf.CIQ(A1098, "IQ_TOTAL_REV",IQ_FY-7)/I1100))</f>
        <v>18.010645688027978</v>
      </c>
      <c r="E1100" s="16">
        <f t="shared" si="295"/>
        <v>-0.15794124264548373</v>
      </c>
      <c r="F1100" s="15">
        <f>IF(A1106=A1107,_xll.ciqfunctions.udf.CIQ(A1098,"IQ_DILUT_EPS_EXCL",IQ_FY-8), _xll.ciqfunctions.udf.CIQ(A1098, "IQ_DILUT_EPS_EXCL",IQ_FY-7))</f>
        <v>9.8530000000000006E-2</v>
      </c>
      <c r="G1100" s="15">
        <f>IF(A1106=A1107,_xll.ciqfunctions.udf.CIQ(A1098,"IQ_EBITDA_MARGIN",IQ_FY-8), _xll.ciqfunctions.udf.CIQ(A1098, "IQ_EBITDA_MARGIN",IQ_FY-7))</f>
        <v>11.055400000000001</v>
      </c>
      <c r="H1100" s="15">
        <f>IF(A1106=A1107,_xll.ciqfunctions.udf.CIQ(A1098,"IQ_TOTAL_DIV_PAID_CF",IQ_FY-8)/-I1100, _xll.ciqfunctions.udf.CIQ(A1098, "IQ_TOTAL_DIV_PAID_CF",IQ_FY-7)/-I1100)</f>
        <v>0</v>
      </c>
      <c r="I1100" s="17">
        <f>IF(A1106=A1107,_xll.ciqfunctions.udf.CIQ(A1098,"IQ_TOTAL_OUTSTANDING_FILING_DATE",IQ_FY-8), _xll.ciqfunctions.udf.CIQ(A1098, "IQ_TOTAL_OUTSTANDING_FILING_DATE",IQ_FY-7))</f>
        <v>135.79019</v>
      </c>
      <c r="J1100" s="17">
        <f>IF(A1106=A1107,_xll.ciqfunctions.udf.CIQ(A1098,"IQ_CASH_OPER",IQ_FY-8), _xll.ciqfunctions.udf.CIQ(A1098, "IQ_CASH_OPER",IQ_FY-7))</f>
        <v>262.11200000000002</v>
      </c>
      <c r="K1100" s="17">
        <f>IF(A1106=A1107,_xll.ciqfunctions.udf.CIQ(A1098,"IQ_CAPEX",IQ_FY-8), _xll.ciqfunctions.udf.CIQ(A1098, "IQ_CAPEX",IQ_FY-7))</f>
        <v>-62.109000000000002</v>
      </c>
      <c r="L1100" s="15">
        <f t="shared" si="292"/>
        <v>1.472882540336677</v>
      </c>
      <c r="M1100" s="17">
        <f>IF(A1106=A1107,_xll.ciqfunctions.udf.CIQ(A1098,"IQ_TOTAL_DEBT_ISSUED",IQ_FY-8), _xll.ciqfunctions.udf.CIQ(A1098, "IQ_TOTAL_DEBT_ISSUED",IQ_FY-7))</f>
        <v>0</v>
      </c>
      <c r="N1100" s="17">
        <f>IF(A1106=A1107,_xll.ciqfunctions.udf.CIQ(A1098,"IQ_TOTAL_DEBT_REPAID",IQ_FY-8), _xll.ciqfunctions.udf.CIQ(A1098, "IQ_TOTAL_DEBT_REPAID",IQ_FY-7))</f>
        <v>-37.905000000000001</v>
      </c>
      <c r="O1100" s="15">
        <f t="shared" si="293"/>
        <v>-0.27914387629916421</v>
      </c>
      <c r="P1100" s="15">
        <f t="shared" si="294"/>
        <v>1.1937386640375127</v>
      </c>
      <c r="Q1100" s="25" t="s">
        <v>21</v>
      </c>
      <c r="R1100" s="38" t="s">
        <v>49</v>
      </c>
      <c r="S1100" s="2">
        <f>(R1097*I1108)/1000</f>
        <v>6.741611616000001</v>
      </c>
      <c r="U1100" s="25" t="s">
        <v>59</v>
      </c>
      <c r="V1100" s="38" t="s">
        <v>49</v>
      </c>
      <c r="W1100" s="2">
        <f>(V1097*I1108)/1000</f>
        <v>6.741611616000001</v>
      </c>
      <c r="Y1100" s="25" t="s">
        <v>46</v>
      </c>
      <c r="Z1100" s="38" t="s">
        <v>49</v>
      </c>
      <c r="AA1100" s="2">
        <f>(Z1097*I1108)/1000</f>
        <v>6.741611616000001</v>
      </c>
    </row>
    <row r="1101" spans="1:27">
      <c r="A1101" s="18"/>
      <c r="B1101" s="13">
        <v>4</v>
      </c>
      <c r="C1101" s="14" t="s">
        <v>22</v>
      </c>
      <c r="D1101" s="15" cm="1">
        <f t="array" ref="D1101">_xlfn.SINGLE(IF(A1106=A1107,_xll.ciqfunctions.udf.CIQ(A1098,"IQ_TOTAL_REV",IQ_FY-7)/I1101, _xll.ciqfunctions.udf.CIQ(A1098, "IQ_TOTAL_REV",IQ_FY-6)/I1101))</f>
        <v>18.525272948931235</v>
      </c>
      <c r="E1101" s="16">
        <f t="shared" si="295"/>
        <v>2.8573504238403834E-2</v>
      </c>
      <c r="F1101" s="15">
        <f>IF(A1106=A1107,_xll.ciqfunctions.udf.CIQ(A1098,"IQ_DILUT_EPS_EXCL",IQ_FY-7), _xll.ciqfunctions.udf.CIQ(A1098, "IQ_DILUT_EPS_EXCL",IQ_FY-6))</f>
        <v>0.51349</v>
      </c>
      <c r="G1101" s="15">
        <f>IF(A1106=A1107,_xll.ciqfunctions.udf.CIQ(A1098,"IQ_EBITDA_MARGIN",IQ_FY-7), _xll.ciqfunctions.udf.CIQ(A1098, "IQ_EBITDA_MARGIN",IQ_FY-6))</f>
        <v>11.8207</v>
      </c>
      <c r="H1101" s="15">
        <f>IF(A1106=A1107,_xll.ciqfunctions.udf.CIQ(A1098,"IQ_TOTAL_DIV_PAID_CF",IQ_FY-7)/-I1101, _xll.ciqfunctions.udf.CIQ(A1098, "IQ_TOTAL_DIV_PAID_CF",IQ_FY-6)/-I1101)</f>
        <v>0</v>
      </c>
      <c r="I1101" s="17">
        <f>IF(A1106=A1107,_xll.ciqfunctions.udf.CIQ(A1098,"IQ_TOTAL_OUTSTANDING_FILING_DATE",IQ_FY-7), _xll.ciqfunctions.udf.CIQ(A1098, "IQ_TOTAL_OUTSTANDING_FILING_DATE",IQ_FY-6))</f>
        <v>140.37974</v>
      </c>
      <c r="J1101" s="17">
        <f>IF(A1106=A1107,_xll.ciqfunctions.udf.CIQ(A1098,"IQ_CASH_OPER",IQ_FY-7), _xll.ciqfunctions.udf.CIQ(A1098, "IQ_CASH_OPER",IQ_FY-6))</f>
        <v>289.52</v>
      </c>
      <c r="K1101" s="17">
        <f>IF(A1106=A1107,_xll.ciqfunctions.udf.CIQ(A1098,"IQ_CAPEX",IQ_FY-7), _xll.ciqfunctions.udf.CIQ(A1098, "IQ_CAPEX",IQ_FY-6))</f>
        <v>-107.185</v>
      </c>
      <c r="L1101" s="15">
        <f t="shared" si="292"/>
        <v>1.2988697656798622</v>
      </c>
      <c r="M1101" s="17">
        <f>IF(A1106=A1107,_xll.ciqfunctions.udf.CIQ(A1098,"IQ_TOTAL_DEBT_ISSUED",IQ_FY-7), _xll.ciqfunctions.udf.CIQ(A1098, "IQ_TOTAL_DEBT_ISSUED",IQ_FY-6))</f>
        <v>248.75</v>
      </c>
      <c r="N1101" s="17">
        <f>IF(A1106=A1107,_xll.ciqfunctions.udf.CIQ(A1098,"IQ_TOTAL_DEBT_REPAID",IQ_FY-7), _xll.ciqfunctions.udf.CIQ(A1098, "IQ_TOTAL_DEBT_REPAID",IQ_FY-6))</f>
        <v>-272.08199999999999</v>
      </c>
      <c r="O1101" s="15">
        <f t="shared" si="293"/>
        <v>-0.16620632008579012</v>
      </c>
      <c r="P1101" s="15">
        <f t="shared" si="294"/>
        <v>1.1326634455940721</v>
      </c>
      <c r="Q1101" s="25" t="s">
        <v>23</v>
      </c>
      <c r="R1101" s="38" t="s">
        <v>24</v>
      </c>
      <c r="S1101" s="1" t="e">
        <f>R1097/(AVERAGE(H1103:H1108)*(1+H1109)/(0.5-H1109))</f>
        <v>#DIV/0!</v>
      </c>
      <c r="U1101" s="25" t="s">
        <v>40</v>
      </c>
      <c r="V1101" s="38" t="s">
        <v>24</v>
      </c>
      <c r="W1101" s="1" t="e">
        <f>V1097/(AVERAGE(H1103:H1108)*(1+H1109)/(0.5-H1109))</f>
        <v>#DIV/0!</v>
      </c>
      <c r="Y1101" s="25" t="s">
        <v>47</v>
      </c>
      <c r="Z1101" s="38" t="s">
        <v>24</v>
      </c>
      <c r="AA1101" s="1" t="e">
        <f>Z1097/(AVERAGE(H1103:H1108)*(1+H1109)/(0.5-H1109))</f>
        <v>#DIV/0!</v>
      </c>
    </row>
    <row r="1102" spans="1:27">
      <c r="B1102" s="13">
        <v>5</v>
      </c>
      <c r="C1102" s="14" t="s">
        <v>25</v>
      </c>
      <c r="D1102" s="15" cm="1">
        <f t="array" ref="D1102">_xlfn.SINGLE(IF(A1106=A1107,_xll.ciqfunctions.udf.CIQ(A1098,"IQ_TOTAL_REV",IQ_FY-6)/I1102, _xll.ciqfunctions.udf.CIQ(A1098, "IQ_TOTAL_REV",IQ_FY-5)/I1102))</f>
        <v>19.499547569700052</v>
      </c>
      <c r="E1102" s="16">
        <f t="shared" si="295"/>
        <v>5.2591647283935172E-2</v>
      </c>
      <c r="F1102" s="15">
        <f>IF(A1106=A1107,_xll.ciqfunctions.udf.CIQ(A1098,"IQ_DILUT_EPS_EXCL",IQ_FY-6), _xll.ciqfunctions.udf.CIQ(A1098, "IQ_DILUT_EPS_EXCL",IQ_FY-5))</f>
        <v>7.5254700000000003</v>
      </c>
      <c r="G1102" s="15">
        <f>IF(A1106=A1107,_xll.ciqfunctions.udf.CIQ(A1098,"IQ_EBITDA_MARGIN",IQ_FY-6), _xll.ciqfunctions.udf.CIQ(A1098, "IQ_EBITDA_MARGIN",IQ_FY-5))</f>
        <v>12.415900000000001</v>
      </c>
      <c r="H1102" s="15">
        <f>IF(A1106=A1107,_xll.ciqfunctions.udf.CIQ(A1098,"IQ_TOTAL_DIV_PAID_CF",IQ_FY-6)/-I1102, _xll.ciqfunctions.udf.CIQ(A1098, "IQ_TOTAL_DIV_PAID_CF",IQ_FY-5)/-I1102)</f>
        <v>0</v>
      </c>
      <c r="I1102" s="17">
        <f>IF(A1106=A1107,_xll.ciqfunctions.udf.CIQ(A1098,"IQ_TOTAL_OUTSTANDING_FILING_DATE",IQ_FY-6), _xll.ciqfunctions.udf.CIQ(A1098, "IQ_TOTAL_OUTSTANDING_FILING_DATE",IQ_FY-5))</f>
        <v>143.67958999999999</v>
      </c>
      <c r="J1102" s="17">
        <f>IF(A1106=A1107,_xll.ciqfunctions.udf.CIQ(A1098,"IQ_CASH_OPER",IQ_FY-6), _xll.ciqfunctions.udf.CIQ(A1098, "IQ_CASH_OPER",IQ_FY-5))</f>
        <v>234.88200000000001</v>
      </c>
      <c r="K1102" s="17">
        <f>IF(A1106=A1107,_xll.ciqfunctions.udf.CIQ(A1098,"IQ_CAPEX",IQ_FY-6), _xll.ciqfunctions.udf.CIQ(A1098, "IQ_CAPEX",IQ_FY-5))</f>
        <v>-94.6</v>
      </c>
      <c r="L1102" s="15">
        <f t="shared" si="292"/>
        <v>0.97635300880243336</v>
      </c>
      <c r="M1102" s="17">
        <f>IF(A1106=A1107,_xll.ciqfunctions.udf.CIQ(A1098,"IQ_TOTAL_DEBT_ISSUED",IQ_FY-6), _xll.ciqfunctions.udf.CIQ(A1098, "IQ_TOTAL_DEBT_ISSUED",IQ_FY-5))</f>
        <v>0</v>
      </c>
      <c r="N1102" s="17">
        <f>IF(A1106=A1107,_xll.ciqfunctions.udf.CIQ(A1098,"IQ_TOTAL_DEBT_REPAID",IQ_FY-6), _xll.ciqfunctions.udf.CIQ(A1098, "IQ_TOTAL_DEBT_REPAID",IQ_FY-5))</f>
        <v>-330.74099999999999</v>
      </c>
      <c r="O1102" s="15">
        <f t="shared" si="293"/>
        <v>-2.3019344640390469</v>
      </c>
      <c r="P1102" s="15">
        <f t="shared" si="294"/>
        <v>-1.3255814552366134</v>
      </c>
      <c r="Q1102" s="18"/>
      <c r="R1102" s="38" t="s">
        <v>50</v>
      </c>
      <c r="S1102" s="3">
        <f>I1109</f>
        <v>-1.1294387279218721E-2</v>
      </c>
      <c r="U1102" s="18"/>
      <c r="V1102" s="38" t="s">
        <v>50</v>
      </c>
      <c r="W1102" s="3">
        <f>I1109</f>
        <v>-1.1294387279218721E-2</v>
      </c>
      <c r="Y1102" s="18"/>
      <c r="Z1102" s="38" t="s">
        <v>50</v>
      </c>
      <c r="AA1102" s="3">
        <f>I1109</f>
        <v>-1.1294387279218721E-2</v>
      </c>
    </row>
    <row r="1103" spans="1:27">
      <c r="B1103" s="13">
        <v>6</v>
      </c>
      <c r="C1103" s="14" t="s">
        <v>26</v>
      </c>
      <c r="D1103" s="15" cm="1">
        <f t="array" ref="D1103">_xlfn.SINGLE(IF(A1106=A1107,_xll.ciqfunctions.udf.CIQ(A1098,"IQ_TOTAL_REV",IQ_FY-5)/I1103, _xll.ciqfunctions.udf.CIQ(A1098, "IQ_TOTAL_REV",IQ_FY-4)/I1103))</f>
        <v>19.774092607051735</v>
      </c>
      <c r="E1103" s="16">
        <f t="shared" si="295"/>
        <v>1.407955935235607E-2</v>
      </c>
      <c r="F1103" s="15">
        <f>IF(A1106=A1107,_xll.ciqfunctions.udf.CIQ(A1098,"IQ_DILUT_EPS_EXCL",IQ_FY-5), _xll.ciqfunctions.udf.CIQ(A1098, "IQ_DILUT_EPS_EXCL",IQ_FY-4))</f>
        <v>-2.4877500000000001</v>
      </c>
      <c r="G1103" s="15">
        <f>IF(A1106=A1107,_xll.ciqfunctions.udf.CIQ(A1098,"IQ_EBITDA_MARGIN",IQ_FY-5), _xll.ciqfunctions.udf.CIQ(A1098, "IQ_EBITDA_MARGIN",IQ_FY-4))</f>
        <v>11.738200000000001</v>
      </c>
      <c r="H1103" s="15">
        <f>IF(A1106=A1107,_xll.ciqfunctions.udf.CIQ(A1098,"IQ_TOTAL_DIV_PAID_CF",IQ_FY-5)/-I1103, _xll.ciqfunctions.udf.CIQ(A1098, "IQ_TOTAL_DIV_PAID_CF",IQ_FY-4)/-I1103)</f>
        <v>0</v>
      </c>
      <c r="I1103" s="17">
        <f>IF(A1106=A1107,_xll.ciqfunctions.udf.CIQ(A1098,"IQ_TOTAL_OUTSTANDING_FILING_DATE",IQ_FY-5), _xll.ciqfunctions.udf.CIQ(A1098, "IQ_TOTAL_OUTSTANDING_FILING_DATE",IQ_FY-4))</f>
        <v>156.48182</v>
      </c>
      <c r="J1103" s="17">
        <f>IF(A1106=A1107,_xll.ciqfunctions.udf.CIQ(A1098,"IQ_CASH_OPER",IQ_FY-5), _xll.ciqfunctions.udf.CIQ(A1098, "IQ_CASH_OPER",IQ_FY-4))</f>
        <v>229.261</v>
      </c>
      <c r="K1103" s="17">
        <f>IF(A1106=A1107,_xll.ciqfunctions.udf.CIQ(A1098,"IQ_CAPEX",IQ_FY-5), _xll.ciqfunctions.udf.CIQ(A1098, "IQ_CAPEX",IQ_FY-4))</f>
        <v>-67.616</v>
      </c>
      <c r="L1103" s="15">
        <f t="shared" si="292"/>
        <v>1.0329953984430906</v>
      </c>
      <c r="M1103" s="17">
        <f>IF(A1106=A1107,_xll.ciqfunctions.udf.CIQ(A1098,"IQ_TOTAL_DEBT_ISSUED",IQ_FY-5), _xll.ciqfunctions.udf.CIQ(A1098, "IQ_TOTAL_DEBT_ISSUED",IQ_FY-4))</f>
        <v>305.125</v>
      </c>
      <c r="N1103" s="17">
        <f>IF(A1106=A1107,_xll.ciqfunctions.udf.CIQ(A1098,"IQ_TOTAL_DEBT_REPAID",IQ_FY-5), _xll.ciqfunctions.udf.CIQ(A1098, "IQ_TOTAL_DEBT_REPAID",IQ_FY-4))</f>
        <v>-296.35399999999998</v>
      </c>
      <c r="O1103" s="15">
        <f t="shared" si="293"/>
        <v>5.6051239690336006E-2</v>
      </c>
      <c r="P1103" s="15">
        <f t="shared" si="294"/>
        <v>1.0890466381334267</v>
      </c>
      <c r="Q1103" s="25" t="s">
        <v>27</v>
      </c>
      <c r="R1103" s="38" t="s">
        <v>51</v>
      </c>
      <c r="S1103" s="4">
        <f>AVERAGE(F1103:F1108)/AVERAGE(D1103:D1108)</f>
        <v>4.9946795247767836E-2</v>
      </c>
      <c r="U1103" s="25" t="s">
        <v>58</v>
      </c>
      <c r="V1103" s="38" t="s">
        <v>51</v>
      </c>
      <c r="W1103" s="4">
        <f>AVERAGE(F1103:F1108)/AVERAGE(D1103:D1108)</f>
        <v>4.9946795247767836E-2</v>
      </c>
      <c r="Y1103" s="25" t="s">
        <v>56</v>
      </c>
      <c r="Z1103" s="38" t="s">
        <v>51</v>
      </c>
      <c r="AA1103" s="4">
        <f>AVERAGE(F1103:F1108)/AVERAGE(D1103:D1108)</f>
        <v>4.9946795247767836E-2</v>
      </c>
    </row>
    <row r="1104" spans="1:27">
      <c r="A1104" s="18"/>
      <c r="B1104" s="13">
        <v>7</v>
      </c>
      <c r="C1104" s="14" t="s">
        <v>28</v>
      </c>
      <c r="D1104" s="15" cm="1">
        <f t="array" ref="D1104">_xlfn.SINGLE(IF(A1106=A1107,_xll.ciqfunctions.udf.CIQ(A1098,"IQ_TOTAL_REV",IQ_FY-4)/I1104, _xll.ciqfunctions.udf.CIQ(A1098, "IQ_TOTAL_REV",IQ_FY-3)/I1104))</f>
        <v>23.187514617432697</v>
      </c>
      <c r="E1104" s="16">
        <f t="shared" si="295"/>
        <v>0.17262091759212686</v>
      </c>
      <c r="F1104" s="15">
        <f>IF(A1106=A1107,_xll.ciqfunctions.udf.CIQ(A1098,"IQ_DILUT_EPS_EXCL",IQ_FY-4), _xll.ciqfunctions.udf.CIQ(A1098, "IQ_DILUT_EPS_EXCL",IQ_FY-3))</f>
        <v>1.61</v>
      </c>
      <c r="G1104" s="15">
        <f>IF(A1106=A1107,_xll.ciqfunctions.udf.CIQ(A1098,"IQ_EBITDA_MARGIN",IQ_FY-4), _xll.ciqfunctions.udf.CIQ(A1098, "IQ_EBITDA_MARGIN",IQ_FY-3))</f>
        <v>13.923999999999999</v>
      </c>
      <c r="H1104" s="15">
        <f>IF(A1106=A1107,_xll.ciqfunctions.udf.CIQ(A1098,"IQ_TOTAL_DIV_PAID_CF",IQ_FY-4)/-I1104, _xll.ciqfunctions.udf.CIQ(A1098, "IQ_TOTAL_DIV_PAID_CF",IQ_FY-3)/-I1104)</f>
        <v>0</v>
      </c>
      <c r="I1104" s="17">
        <f>IF(A1106=A1107,_xll.ciqfunctions.udf.CIQ(A1098,"IQ_TOTAL_OUTSTANDING_FILING_DATE",IQ_FY-4), _xll.ciqfunctions.udf.CIQ(A1098, "IQ_TOTAL_OUTSTANDING_FILING_DATE",IQ_FY-3))</f>
        <v>154.05407</v>
      </c>
      <c r="J1104" s="17">
        <f>IF(A1106=A1107,_xll.ciqfunctions.udf.CIQ(A1098,"IQ_CASH_OPER",IQ_FY-4), _xll.ciqfunctions.udf.CIQ(A1098, "IQ_CASH_OPER",IQ_FY-3))</f>
        <v>413.14</v>
      </c>
      <c r="K1104" s="17">
        <f>IF(A1106=A1107,_xll.ciqfunctions.udf.CIQ(A1098,"IQ_CAPEX",IQ_FY-4), _xll.ciqfunctions.udf.CIQ(A1098, "IQ_CAPEX",IQ_FY-3))</f>
        <v>-62.579000000000001</v>
      </c>
      <c r="L1104" s="15">
        <f t="shared" si="292"/>
        <v>2.2755711679671946</v>
      </c>
      <c r="M1104" s="17">
        <f>IF(A1106=A1107,_xll.ciqfunctions.udf.CIQ(A1098,"IQ_TOTAL_DEBT_ISSUED",IQ_FY-4), _xll.ciqfunctions.udf.CIQ(A1098, "IQ_TOTAL_DEBT_ISSUED",IQ_FY-3))</f>
        <v>0</v>
      </c>
      <c r="N1104" s="17">
        <f>IF(A1106=A1107,_xll.ciqfunctions.udf.CIQ(A1098,"IQ_TOTAL_DEBT_REPAID",IQ_FY-4), _xll.ciqfunctions.udf.CIQ(A1098, "IQ_TOTAL_DEBT_REPAID",IQ_FY-3))</f>
        <v>-10.319000000000001</v>
      </c>
      <c r="O1104" s="15">
        <f t="shared" si="293"/>
        <v>-6.6982975522814819E-2</v>
      </c>
      <c r="P1104" s="15">
        <f t="shared" si="294"/>
        <v>2.2085881924443798</v>
      </c>
      <c r="Q1104" s="18"/>
      <c r="R1104" s="38" t="s">
        <v>29</v>
      </c>
      <c r="S1104" s="4">
        <f>(AVERAGE(P1103:P1108)/_xlfn.STDEV.P(P1103:P1108))/(IF(A1106=A1107,(_xlfn.SINGLE(_xll.ciqfunctions.udf.CIQ(A1098,"IQ_total_assets",IQ_FY)) - _xlfn.SINGLE(_xll.ciqfunctions.udf.CIQ(A1098,"iq_gw_intan", IQ_FY)))/I1108, (_xlfn.SINGLE(_xll.ciqfunctions.udf.CIQ(A1098, "IQ_total_assets",IQ_LTM))-_xlfn.SINGLE(_xll.ciqfunctions.udf.CIQ(A1098,"iq_gw_intan",IQ_LTM)))/I1108))</f>
        <v>7.7791519319930405E-2</v>
      </c>
      <c r="U1104" s="18"/>
      <c r="V1104" s="38" t="s">
        <v>29</v>
      </c>
      <c r="W1104" s="4">
        <f>(AVERAGE(P1103:P1108)/_xlfn.STDEV.P(P1103:P1108))/(IF(A1106=A1107,(_xlfn.SINGLE(_xll.ciqfunctions.udf.CIQ(A1098,"IQ_total_assets",IQ_FY)) - _xlfn.SINGLE(_xll.ciqfunctions.udf.CIQ(A1098,"iq_gw_intan", IQ_FY)))/I1108, (_xlfn.SINGLE(_xll.ciqfunctions.udf.CIQ(A1098, "IQ_total_assets",IQ_LTM))-_xlfn.SINGLE(_xll.ciqfunctions.udf.CIQ(A1098,"iq_gw_intan",IQ_LTM)))/I1108))</f>
        <v>7.7791519319930405E-2</v>
      </c>
      <c r="Y1104" s="18"/>
      <c r="Z1104" s="38" t="s">
        <v>29</v>
      </c>
      <c r="AA1104" s="4">
        <f>(AVERAGE(P1103:P1108)/_xlfn.STDEV.P(P1103:P1108))/(IF(A1106=A1107,(_xlfn.SINGLE(_xll.ciqfunctions.udf.CIQ(A1098,"IQ_total_assets",IQ_FY)) - _xlfn.SINGLE(_xll.ciqfunctions.udf.CIQ(A1098,"iq_gw_intan", IQ_FY)))/I1108, (_xlfn.SINGLE(_xll.ciqfunctions.udf.CIQ(A1098, "IQ_total_assets",IQ_LTM))-_xlfn.SINGLE(_xll.ciqfunctions.udf.CIQ(A1098,"iq_gw_intan",IQ_LTM)))/I1108))</f>
        <v>7.7791519319930405E-2</v>
      </c>
    </row>
    <row r="1105" spans="1:27">
      <c r="A1105" s="18"/>
      <c r="B1105" s="13">
        <v>8</v>
      </c>
      <c r="C1105" s="14" t="s">
        <v>30</v>
      </c>
      <c r="D1105" s="15" cm="1">
        <f t="array" ref="D1105">_xlfn.SINGLE(IF(A1106=A1107,_xll.ciqfunctions.udf.CIQ(A1098,"IQ_TOTAL_REV",IQ_FY-3)/I1105, _xll.ciqfunctions.udf.CIQ(A1098, "IQ_TOTAL_REV",IQ_FY-2)/I1105))</f>
        <v>22.852339494844706</v>
      </c>
      <c r="E1105" s="16">
        <f t="shared" si="295"/>
        <v>-1.4454982697283198E-2</v>
      </c>
      <c r="F1105" s="15">
        <f>IF(A1106=A1107,_xll.ciqfunctions.udf.CIQ(A1098,"IQ_DILUT_EPS_EXCL",IQ_FY-3), _xll.ciqfunctions.udf.CIQ(A1098, "IQ_DILUT_EPS_EXCL",IQ_FY-2))</f>
        <v>2.3199999999999998</v>
      </c>
      <c r="G1105" s="15">
        <f>IF(A1106=A1107,_xll.ciqfunctions.udf.CIQ(A1098,"IQ_EBITDA_MARGIN",IQ_FY-3), _xll.ciqfunctions.udf.CIQ(A1098, "IQ_EBITDA_MARGIN",IQ_FY-2))</f>
        <v>18.294</v>
      </c>
      <c r="H1105" s="15">
        <f>IF(A1106=A1107,_xll.ciqfunctions.udf.CIQ(A1098,"IQ_TOTAL_DIV_PAID_CF",IQ_FY-3)/-I1105, _xll.ciqfunctions.udf.CIQ(A1098, "IQ_TOTAL_DIV_PAID_CF",IQ_FY-2)/-I1105)</f>
        <v>0</v>
      </c>
      <c r="I1105" s="17">
        <f>IF(A1106=A1107,_xll.ciqfunctions.udf.CIQ(A1098,"IQ_TOTAL_OUTSTANDING_FILING_DATE",IQ_FY-3), _xll.ciqfunctions.udf.CIQ(A1098, "IQ_TOTAL_OUTSTANDING_FILING_DATE",IQ_FY-2))</f>
        <v>154.56434999999999</v>
      </c>
      <c r="J1105" s="17">
        <f>IF(A1106=A1107,_xll.ciqfunctions.udf.CIQ(A1098,"IQ_CASH_OPER",IQ_FY-3), _xll.ciqfunctions.udf.CIQ(A1098, "IQ_CASH_OPER",IQ_FY-2))</f>
        <v>493.654</v>
      </c>
      <c r="K1105" s="17">
        <f>IF(A1106=A1107,_xll.ciqfunctions.udf.CIQ(A1098,"IQ_CAPEX",IQ_FY-3), _xll.ciqfunctions.udf.CIQ(A1098, "IQ_CAPEX",IQ_FY-2))</f>
        <v>-82.667000000000002</v>
      </c>
      <c r="L1105" s="15">
        <f t="shared" si="292"/>
        <v>2.6590025448947316</v>
      </c>
      <c r="M1105" s="17">
        <f>IF(A1106=A1107,_xll.ciqfunctions.udf.CIQ(A1098,"IQ_TOTAL_DEBT_ISSUED",IQ_FY-3), _xll.ciqfunctions.udf.CIQ(A1098, "IQ_TOTAL_DEBT_ISSUED",IQ_FY-2))</f>
        <v>0</v>
      </c>
      <c r="N1105" s="17">
        <f>IF(A1106=A1107,_xll.ciqfunctions.udf.CIQ(A1098,"IQ_TOTAL_DEBT_REPAID",IQ_FY-3), _xll.ciqfunctions.udf.CIQ(A1098, "IQ_TOTAL_DEBT_REPAID",IQ_FY-2))</f>
        <v>-7.9009999999999998</v>
      </c>
      <c r="O1105" s="15">
        <f t="shared" si="293"/>
        <v>-5.1117867735994749E-2</v>
      </c>
      <c r="P1105" s="15">
        <f t="shared" si="294"/>
        <v>2.607884677158737</v>
      </c>
      <c r="Q1105" s="18"/>
      <c r="R1105" s="39" t="s">
        <v>31</v>
      </c>
      <c r="S1105" s="5">
        <f>IF(NOT(D1098&gt;0),FALSE,SLOPE(G1098:G1108,B1098:B1108))</f>
        <v>0.70924454545454552</v>
      </c>
      <c r="U1105" s="18"/>
      <c r="V1105" s="39" t="s">
        <v>31</v>
      </c>
      <c r="W1105" s="5">
        <f>IF(NOT(D1098&gt;0),FALSE,SLOPE(G1098:G1108,B1098:B1108))</f>
        <v>0.70924454545454552</v>
      </c>
      <c r="Y1105" s="18"/>
      <c r="Z1105" s="39" t="s">
        <v>31</v>
      </c>
      <c r="AA1105" s="5">
        <f>IF(NOT(L1098&gt;0),FALSE,SLOPE(O1098:O1108,J1098:J1108))</f>
        <v>-3.8948570371473428E-3</v>
      </c>
    </row>
    <row r="1106" spans="1:27">
      <c r="A1106" s="19">
        <f>_xll.ciqfunctions.udf.CIQ(A1098,"IQ_TOTAL_REV",IQ_FY)</f>
        <v>3632.6610000000001</v>
      </c>
      <c r="B1106" s="13">
        <v>9</v>
      </c>
      <c r="C1106" s="14" t="s">
        <v>32</v>
      </c>
      <c r="D1106" s="15" cm="1">
        <f t="array" ref="D1106">_xlfn.SINGLE(IF(A1106=A1107,_xll.ciqfunctions.udf.CIQ(A1098,"IQ_TOTAL_REV",IQ_FY-2)/I1106, _xll.ciqfunctions.udf.CIQ(A1098, "IQ_TOTAL_REV",IQ_FY-1)/I1106))</f>
        <v>23.3769502265102</v>
      </c>
      <c r="E1106" s="16">
        <f t="shared" si="295"/>
        <v>2.295654376147533E-2</v>
      </c>
      <c r="F1106" s="15">
        <f>IF(A1106=A1107,_xll.ciqfunctions.udf.CIQ(A1098,"IQ_DILUT_EPS_EXCL",IQ_FY-2), _xll.ciqfunctions.udf.CIQ(A1098, "IQ_DILUT_EPS_EXCL",IQ_FY-1))</f>
        <v>3.19</v>
      </c>
      <c r="G1106" s="15">
        <f>IF(A1106=A1107,_xll.ciqfunctions.udf.CIQ(A1098,"IQ_EBITDA_MARGIN",IQ_FY-2), _xll.ciqfunctions.udf.CIQ(A1098, "IQ_EBITDA_MARGIN",IQ_FY-1))</f>
        <v>17.081800000000001</v>
      </c>
      <c r="H1106" s="15">
        <f>IF(A1106=A1107,_xll.ciqfunctions.udf.CIQ(A1098,"IQ_TOTAL_DIV_PAID_CF",IQ_FY-2)/-I1106, _xll.ciqfunctions.udf.CIQ(A1098, "IQ_TOTAL_DIV_PAID_CF",IQ_FY-1)/-I1106)</f>
        <v>0</v>
      </c>
      <c r="I1106" s="17">
        <f>IF(A1106=A1107,_xll.ciqfunctions.udf.CIQ(A1098,"IQ_TOTAL_OUTSTANDING_FILING_DATE",IQ_FY-2), _xll.ciqfunctions.udf.CIQ(A1098, "IQ_TOTAL_OUTSTANDING_FILING_DATE",IQ_FY-1))</f>
        <v>154.88265000000001</v>
      </c>
      <c r="J1106" s="17">
        <f>IF(A1106=A1107,_xll.ciqfunctions.udf.CIQ(A1098,"IQ_CASH_OPER",IQ_FY-2), _xll.ciqfunctions.udf.CIQ(A1098, "IQ_CASH_OPER",IQ_FY-1))</f>
        <v>541.64599999999996</v>
      </c>
      <c r="K1106" s="17">
        <f>IF(A1106=A1107,_xll.ciqfunctions.udf.CIQ(A1098,"IQ_CAPEX",IQ_FY-2), _xll.ciqfunctions.udf.CIQ(A1098, "IQ_CAPEX",IQ_FY-1))</f>
        <v>-79.55</v>
      </c>
      <c r="L1106" s="15">
        <f t="shared" si="292"/>
        <v>2.983523332019435</v>
      </c>
      <c r="M1106" s="17">
        <f>IF(A1106=A1107,_xll.ciqfunctions.udf.CIQ(A1098,"IQ_TOTAL_DEBT_ISSUED",IQ_FY-2), _xll.ciqfunctions.udf.CIQ(A1098, "IQ_TOTAL_DEBT_ISSUED",IQ_FY-1))</f>
        <v>0</v>
      </c>
      <c r="N1106" s="17">
        <f>IF(A1106=A1107,_xll.ciqfunctions.udf.CIQ(A1098,"IQ_TOTAL_DEBT_REPAID",IQ_FY-2), _xll.ciqfunctions.udf.CIQ(A1098, "IQ_TOTAL_DEBT_REPAID",IQ_FY-1))</f>
        <v>-9.9329999999999998</v>
      </c>
      <c r="O1106" s="15">
        <f t="shared" si="293"/>
        <v>-6.4132425420148728E-2</v>
      </c>
      <c r="P1106" s="15">
        <f t="shared" si="294"/>
        <v>2.9193909065992862</v>
      </c>
      <c r="Q1106" s="25" t="s">
        <v>33</v>
      </c>
      <c r="R1106" s="38" t="s">
        <v>52</v>
      </c>
      <c r="S1106" s="4">
        <f>(AVERAGE(O1103:O1108)/AVERAGE(P1103:P1108))</f>
        <v>0.48307107974337182</v>
      </c>
      <c r="U1106" s="25" t="s">
        <v>54</v>
      </c>
      <c r="V1106" s="38" t="s">
        <v>52</v>
      </c>
      <c r="W1106" s="4">
        <f>(AVERAGE(O1103:O1108)/AVERAGE(P1103:P1108))</f>
        <v>0.48307107974337182</v>
      </c>
      <c r="Y1106" s="25" t="s">
        <v>60</v>
      </c>
      <c r="Z1106" s="38" t="s">
        <v>52</v>
      </c>
      <c r="AA1106" s="4">
        <f>(AVERAGE(O1103:O1108)/AVERAGE(P1103:P1108))</f>
        <v>0.48307107974337182</v>
      </c>
    </row>
    <row r="1107" spans="1:27">
      <c r="A1107" s="19">
        <f>_xll.ciqfunctions.udf.CIQ(A1098,"IQ_TOTAL_REV",IQ_LTM)</f>
        <v>4228.0720000000001</v>
      </c>
      <c r="B1107" s="13">
        <v>10</v>
      </c>
      <c r="C1107" s="14" t="s">
        <v>34</v>
      </c>
      <c r="D1107" s="15" cm="1">
        <f t="array" ref="D1107">_xlfn.SINGLE(IF(A1106=A1107,_xll.ciqfunctions.udf.CIQ(A1098,"IQ_TOTAL_REV",IQ_FY-1)/I1107, _xll.ciqfunctions.udf.CIQ(A1098, "IQ_TOTAL_REV",IQ_FY)/I1107))</f>
        <v>24.476372032720949</v>
      </c>
      <c r="E1107" s="16">
        <f t="shared" si="295"/>
        <v>4.7030164138518384E-2</v>
      </c>
      <c r="F1107" s="15">
        <f>IF(A1106=A1107,_xll.ciqfunctions.udf.CIQ(A1098,"IQ_DILUT_EPS_EXCL",IQ_FY-1), _xll.ciqfunctions.udf.CIQ(A1098, "IQ_DILUT_EPS_EXCL",IQ_FY))</f>
        <v>1</v>
      </c>
      <c r="G1107" s="15">
        <f>IF(A1106=A1107,_xll.ciqfunctions.udf.CIQ(A1098,"IQ_EBITDA_MARGIN",IQ_FY-1), _xll.ciqfunctions.udf.CIQ(A1098, "IQ_EBITDA_MARGIN",IQ_FY))</f>
        <v>10.9405</v>
      </c>
      <c r="H1107" s="15">
        <f>IF(A1106=A1107,_xll.ciqfunctions.udf.CIQ(A1098,"IQ_TOTAL_DIV_PAID_CF",IQ_FY-1)/-I1107, _xll.ciqfunctions.udf.CIQ(A1098, "IQ_TOTAL_DIV_PAID_CF",IQ_FY)/-I1107)</f>
        <v>0</v>
      </c>
      <c r="I1107" s="17">
        <f>IF(A1106=A1107,_xll.ciqfunctions.udf.CIQ(A1098,"IQ_TOTAL_OUTSTANDING_FILING_DATE",IQ_FY-1), _xll.ciqfunctions.udf.CIQ(A1098, "IQ_TOTAL_OUTSTANDING_FILING_DATE",IQ_FY))</f>
        <v>148.41501</v>
      </c>
      <c r="J1107" s="17">
        <f>IF(A1106=A1107,_xll.ciqfunctions.udf.CIQ(A1098,"IQ_CASH_OPER",IQ_FY-1), _xll.ciqfunctions.udf.CIQ(A1098, "IQ_CASH_OPER",IQ_FY))</f>
        <v>-167.756</v>
      </c>
      <c r="K1107" s="17">
        <f>IF(A1106=A1107,_xll.ciqfunctions.udf.CIQ(A1098,"IQ_CAPEX",IQ_FY-1), _xll.ciqfunctions.udf.CIQ(A1098, "IQ_CAPEX",IQ_FY))</f>
        <v>-90.817999999999998</v>
      </c>
      <c r="L1107" s="15">
        <f t="shared" si="292"/>
        <v>-1.7422361794807684</v>
      </c>
      <c r="M1107" s="17">
        <f>IF(A1106=A1107,_xll.ciqfunctions.udf.CIQ(A1098,"IQ_TOTAL_DEBT_ISSUED",IQ_FY-1), _xll.ciqfunctions.udf.CIQ(A1098, "IQ_TOTAL_DEBT_ISSUED",IQ_FY))</f>
        <v>400</v>
      </c>
      <c r="N1107" s="17">
        <f>IF(A1106=A1107,_xll.ciqfunctions.udf.CIQ(A1098,"IQ_TOTAL_DEBT_REPAID",IQ_FY-1), _xll.ciqfunctions.udf.CIQ(A1098, "IQ_TOTAL_DEBT_REPAID",IQ_FY))</f>
        <v>-8.6649999999999991</v>
      </c>
      <c r="O1107" s="15">
        <f t="shared" si="293"/>
        <v>2.636761605177266</v>
      </c>
      <c r="P1107" s="15">
        <f t="shared" si="294"/>
        <v>0.89452542569649762</v>
      </c>
      <c r="Q1107" s="25" t="s">
        <v>44</v>
      </c>
      <c r="R1107" s="38" t="s">
        <v>35</v>
      </c>
      <c r="S1107" s="1">
        <f>_xll.ciqfunctions.udf.CIQ(A1098,"IQ_TEV_EBITDA")</f>
        <v>13.1309</v>
      </c>
      <c r="U1107" s="25" t="s">
        <v>55</v>
      </c>
      <c r="V1107" s="38" t="s">
        <v>53</v>
      </c>
      <c r="W1107" s="1">
        <f>V1097/(AVERAGE(D1103:D1108)/_xlfn.STDEV.P(E1103:E1108))</f>
        <v>0.14306141424759952</v>
      </c>
      <c r="Y1107" s="25" t="s">
        <v>57</v>
      </c>
      <c r="Z1107" s="38" t="s">
        <v>53</v>
      </c>
      <c r="AA1107" s="1">
        <f>Z1097/(AVERAGE(D1103:D1108)/_xlfn.STDEV.P(E1103:E1108))</f>
        <v>0.14306141424759952</v>
      </c>
    </row>
    <row r="1108" spans="1:27">
      <c r="B1108" s="13">
        <v>11</v>
      </c>
      <c r="C1108" s="20" t="s">
        <v>36</v>
      </c>
      <c r="D1108" s="21" cm="1">
        <f t="array" ref="D1108">_xlfn.SINGLE(IF(A1106=A1107,_xll.ciqfunctions.udf.CIQ(A1098,"IQ_TOTAL_REV",IQ_FY)/I1108, _xll.ciqfunctions.udf.CIQ(A1098, "IQ_TOTAL_REV",IQ_LTM)/I1108))</f>
        <v>28.598515337552779</v>
      </c>
      <c r="E1108" s="22">
        <f t="shared" si="295"/>
        <v>0.16841316594310593</v>
      </c>
      <c r="F1108" s="21">
        <f>IF(A1106=A1107,_xll.ciqfunctions.udf.CIQ(A1098,"IQ_DILUT_EPS_EXCL",IQ_FY), _xll.ciqfunctions.udf.CIQ(A1098, "IQ_DILUT_EPS_EXCL",IQ_LTM))</f>
        <v>1.4734700000000001</v>
      </c>
      <c r="G1108" s="21">
        <f>IF(A1106=A1107,_xll.ciqfunctions.udf.CIQ(A1098,"IQ_EBITDA_MARGIN",IQ_FY), _xll.ciqfunctions.udf.CIQ(A1098, "IQ_EBITDA_MARGIN",IQ_LTM))</f>
        <v>12.254200000000001</v>
      </c>
      <c r="H1108" s="21">
        <f>IF(A1106=A1107,_xll.ciqfunctions.udf.CIQ(A1098,"IQ_TOTAL_DIV_PAID_CF",IQ_FY)/-I1108, _xll.ciqfunctions.udf.CIQ(A1098, "IQ_TOTAL_DIV_PAID_CF",IQ_LTM)/-I1108)</f>
        <v>0</v>
      </c>
      <c r="I1108" s="23">
        <f>IF(A1106=A1107,_xll.ciqfunctions.udf.CIQ(A1098,"IQ_TOTAL_OUTSTANDING_FILING_DATE",IQ_FY),_xll.ciqfunctions.udf.CIQ(A1098,"IQ_sharesoutstanding"))</f>
        <v>147.84236000000001</v>
      </c>
      <c r="J1108" s="23">
        <f>IF(A1106=A1107,_xll.ciqfunctions.udf.CIQ(A1098,"IQ_CASH_OPER",IQ_FY), _xll.ciqfunctions.udf.CIQ(A1098, "IQ_CASH_OPER",IQ_LTM))</f>
        <v>-41.646999999999998</v>
      </c>
      <c r="K1108" s="23">
        <f>IF(A1106=A1107,_xll.ciqfunctions.udf.CIQ(A1098,"IQ_CAPEX",IQ_FY), _xll.ciqfunctions.udf.CIQ(A1098, "IQ_CAPEX",IQ_LTM))</f>
        <v>-107.33199999999999</v>
      </c>
      <c r="L1108" s="21">
        <f t="shared" si="292"/>
        <v>-1.007688188960187</v>
      </c>
      <c r="M1108" s="23">
        <f>IF(A1106=A1107,_xll.ciqfunctions.udf.CIQ(A1098,"IQ_TOTAL_DEBT_ISSUED",IQ_FY), _xll.ciqfunctions.udf.CIQ(A1098, "IQ_TOTAL_DEBT_ISSUED",IQ_LTM))</f>
        <v>497.5</v>
      </c>
      <c r="N1108" s="23">
        <f>IF(A1106=A1107,_xll.ciqfunctions.udf.CIQ(A1098,"IQ_TOTAL_DEBT_REPAID",IQ_FY), _xll.ciqfunctions.udf.CIQ(A1098, "IQ_TOTAL_DEBT_REPAID",IQ_LTM))</f>
        <v>-11.923</v>
      </c>
      <c r="O1108" s="21">
        <f t="shared" si="293"/>
        <v>3.2844240311098929</v>
      </c>
      <c r="P1108" s="21">
        <f t="shared" si="294"/>
        <v>2.2767358421497059</v>
      </c>
      <c r="Q1108" s="25" t="s">
        <v>45</v>
      </c>
      <c r="S1108" s="45"/>
      <c r="U1108" s="25"/>
      <c r="W1108" s="45"/>
      <c r="Y1108" s="25"/>
      <c r="AA1108" s="45"/>
    </row>
    <row r="1109" spans="1:27">
      <c r="B1109" s="24"/>
      <c r="C1109" s="25" t="s">
        <v>37</v>
      </c>
      <c r="E1109" s="26">
        <f>((D1108/D1103)^(1/5))-1</f>
        <v>7.6587628374472416E-2</v>
      </c>
      <c r="F1109" s="27">
        <f>((F1108/F1103)^(1/5))-1</f>
        <v>-1.9005480965604029</v>
      </c>
      <c r="G1109" s="28"/>
      <c r="H1109" s="27" t="e">
        <f>((H1108/H1103)^(1/5))-1</f>
        <v>#DIV/0!</v>
      </c>
      <c r="I1109" s="27">
        <f>((I1108/I1103)^(1/5))-1</f>
        <v>-1.1294387279218721E-2</v>
      </c>
      <c r="J1109" s="27"/>
      <c r="K1109" s="27"/>
      <c r="L1109" s="26">
        <f>((L1108/L1103)^(1/5))-1</f>
        <v>-1.9950514943719559</v>
      </c>
      <c r="M1109" s="26"/>
      <c r="N1109" s="26"/>
      <c r="O1109" s="26"/>
      <c r="P1109" s="26">
        <f>((P1108/P1103)^(1/5))-1</f>
        <v>0.15891940075225519</v>
      </c>
      <c r="Q1109" s="18"/>
      <c r="R1109" s="36"/>
      <c r="S1109" s="45"/>
      <c r="U1109" s="18"/>
      <c r="V1109" s="36"/>
      <c r="W1109" s="45"/>
      <c r="Y1109" s="18"/>
      <c r="Z1109" s="36"/>
      <c r="AA1109" s="45"/>
    </row>
    <row r="1110" spans="1:27">
      <c r="A1110" s="29"/>
      <c r="B1110" s="30"/>
      <c r="C1110" s="31" t="s">
        <v>38</v>
      </c>
      <c r="D1110" s="29"/>
      <c r="E1110" s="32">
        <f>((D1108/D1098)^(1/10))-1</f>
        <v>3.5991554174747309E-2</v>
      </c>
      <c r="F1110" s="33" t="e">
        <f>((F1108/F1098)^(1/10))-1</f>
        <v>#NUM!</v>
      </c>
      <c r="G1110" s="34"/>
      <c r="H1110" s="33" t="e">
        <f>((H1108/H1098)^(1/10))-1</f>
        <v>#DIV/0!</v>
      </c>
      <c r="I1110" s="33">
        <f>((I1108/I1098)^(1/10))-1</f>
        <v>3.6092577007739601E-2</v>
      </c>
      <c r="J1110" s="33"/>
      <c r="K1110" s="33"/>
      <c r="L1110" s="32" t="e">
        <f>((L1108/L1098)^(1/10))-1</f>
        <v>#NUM!</v>
      </c>
      <c r="M1110" s="32"/>
      <c r="N1110" s="32"/>
      <c r="O1110" s="32"/>
      <c r="P1110" s="32" t="e">
        <f>((P1108/P1098)^(1/10))-1</f>
        <v>#NUM!</v>
      </c>
      <c r="Q1110" s="40"/>
      <c r="R1110" s="41"/>
      <c r="S1110" s="46"/>
      <c r="U1110" s="40"/>
      <c r="V1110" s="41"/>
      <c r="W1110" s="46"/>
      <c r="Y1110" s="40"/>
      <c r="Z1110" s="41"/>
      <c r="AA1110" s="46"/>
    </row>
    <row r="1111" spans="1:27">
      <c r="B1111" s="24"/>
      <c r="C1111" s="25"/>
      <c r="E1111" s="26"/>
      <c r="F1111" s="27"/>
      <c r="G1111" s="28"/>
      <c r="H1111" s="27"/>
      <c r="I1111" s="27"/>
      <c r="J1111" s="27"/>
      <c r="K1111" s="27"/>
      <c r="L1111" s="26"/>
      <c r="M1111" s="17"/>
      <c r="N1111" s="17"/>
      <c r="O1111" s="17"/>
      <c r="P1111" s="35"/>
      <c r="Q1111" s="18"/>
      <c r="R1111" s="36"/>
    </row>
    <row r="1112" spans="1:27">
      <c r="A1112" s="9" t="s">
        <v>0</v>
      </c>
      <c r="B1112" s="10"/>
      <c r="C1112" s="9" t="s">
        <v>1</v>
      </c>
      <c r="D1112" s="9" t="s">
        <v>2</v>
      </c>
      <c r="E1112" s="9" t="s">
        <v>3</v>
      </c>
      <c r="F1112" s="11" t="s">
        <v>4</v>
      </c>
      <c r="G1112" s="11" t="s">
        <v>5</v>
      </c>
      <c r="H1112" s="9" t="s">
        <v>6</v>
      </c>
      <c r="I1112" s="11" t="s">
        <v>7</v>
      </c>
      <c r="J1112" s="11" t="s">
        <v>8</v>
      </c>
      <c r="K1112" s="11" t="s">
        <v>9</v>
      </c>
      <c r="L1112" s="11" t="s">
        <v>10</v>
      </c>
      <c r="M1112" s="11" t="s">
        <v>11</v>
      </c>
      <c r="N1112" s="11" t="s">
        <v>12</v>
      </c>
      <c r="O1112" s="11" t="s">
        <v>13</v>
      </c>
      <c r="P1112" s="11" t="s">
        <v>14</v>
      </c>
      <c r="Q1112" s="37" t="s">
        <v>15</v>
      </c>
      <c r="R1112" s="42">
        <f>_xll.ciqfunctions.udf.CIQ(A1113,("IQ_LASTSALEPRICE"))</f>
        <v>232.99</v>
      </c>
      <c r="S1112" s="44"/>
      <c r="U1112" s="37" t="s">
        <v>15</v>
      </c>
      <c r="V1112" s="42">
        <f>_xll.ciqfunctions.udf.CIQ(A1113,("IQ_LASTSALEPRICE"))</f>
        <v>232.99</v>
      </c>
      <c r="W1112" s="44"/>
      <c r="Y1112" s="37" t="s">
        <v>15</v>
      </c>
      <c r="Z1112" s="42">
        <f>_xll.ciqfunctions.udf.CIQ(A1113,("IQ_LASTSALEPRICE"))</f>
        <v>232.99</v>
      </c>
      <c r="AA1112" s="44"/>
    </row>
    <row r="1113" spans="1:27">
      <c r="A1113" s="12" t="str">
        <f>Analysis!B76</f>
        <v>NasdaqGS:ZBRA</v>
      </c>
      <c r="B1113" s="13">
        <v>1</v>
      </c>
      <c r="C1113" s="14" t="s">
        <v>16</v>
      </c>
      <c r="D1113" s="15">
        <f>IF(A1121=A1122,_xll.ciqfunctions.udf.CIQ(A1113,"IQ_TOTAL_REV",IQ_FY-10)/I1113,_xll.ciqfunctions.udf.CIQ(A1113, "IQ_TOTAL_REV",IQ_FY-9)/I1113)</f>
        <v>20.607909506261883</v>
      </c>
      <c r="E1113" s="16"/>
      <c r="F1113" s="15">
        <f>IF(A1121=A1122,_xll.ciqfunctions.udf.CIQ(A1113,"IQ_DILUT_EPS_EXCL",IQ_FY-10), _xll.ciqfunctions.udf.CIQ(A1113, "IQ_DILUT_EPS_EXCL",IQ_FY-9))</f>
        <v>2.63</v>
      </c>
      <c r="G1113" s="15">
        <f>IF(A1121=A1122,_xll.ciqfunctions.udf.CIQ(A1113,"IQ_EBITDA_MARGIN",IQ_FY-10), _xll.ciqfunctions.udf.CIQ(A1113, "IQ_EBITDA_MARGIN",IQ_FY-9))</f>
        <v>18.689699999999998</v>
      </c>
      <c r="H1113" s="15">
        <f>IF(A1121=A1122,_xll.ciqfunctions.udf.CIQ(A1113,"IQ_TOTAL_DIV_PAID_CF",IQ_FY-10)/-I1113, _xll.ciqfunctions.udf.CIQ(A1113, "IQ_TOTAL_DIV_PAID_CF",IQ_FY-9)/-I1113)</f>
        <v>0</v>
      </c>
      <c r="I1113" s="17">
        <f>IF(A1121=A1122,_xll.ciqfunctions.udf.CIQ(A1113,"IQ_TOTAL_OUTSTANDING_FILING_DATE",IQ_FY-10), _xll.ciqfunctions.udf.CIQ(A1113, "IQ_TOTAL_OUTSTANDING_FILING_DATE",IQ_FY-9))</f>
        <v>50.369010000000003</v>
      </c>
      <c r="J1113" s="17">
        <f>IF(A1121=A1122,_xll.ciqfunctions.udf.CIQ(A1113,"IQ_CASH_OPER",IQ_FY-10), _xll.ciqfunctions.udf.CIQ(A1113, "IQ_CASH_OPER",IQ_FY-9))</f>
        <v>194</v>
      </c>
      <c r="K1113" s="17">
        <f>IF(A1121=A1122,_xll.ciqfunctions.udf.CIQ(A1113,"IQ_CAPEX",IQ_FY-10), _xll.ciqfunctions.udf.CIQ(A1113, "IQ_CAPEX",IQ_FY-9))</f>
        <v>-20</v>
      </c>
      <c r="L1113" s="15">
        <f t="shared" ref="L1113:L1123" si="296">(J1113+K1113)/I1113</f>
        <v>3.4545050617433217</v>
      </c>
      <c r="M1113" s="17">
        <f>IF(A1121=A1122,_xll.ciqfunctions.udf.CIQ(A1113,"IQ_TOTAL_DEBT_ISSUED",IQ_FY-10), _xll.ciqfunctions.udf.CIQ(A1113, "IQ_TOTAL_DEBT_ISSUED",IQ_FY-9))</f>
        <v>0</v>
      </c>
      <c r="N1113" s="17">
        <f>IF(A1121=A1122,_xll.ciqfunctions.udf.CIQ(A1113,"IQ_TOTAL_DEBT_REPAID",IQ_FY-10), _xll.ciqfunctions.udf.CIQ(A1113, "IQ_TOTAL_DEBT_REPAID",IQ_FY-9))</f>
        <v>0</v>
      </c>
      <c r="O1113" s="15">
        <f t="shared" ref="O1113:O1123" si="297">(M1113+N1113)/I1113</f>
        <v>0</v>
      </c>
      <c r="P1113" s="15">
        <f t="shared" ref="P1113:P1123" si="298">L1113+O1113</f>
        <v>3.4545050617433217</v>
      </c>
      <c r="W1113" s="43"/>
      <c r="AA1113" s="43"/>
    </row>
    <row r="1114" spans="1:27">
      <c r="A1114" s="18" t="str">
        <f>_xll.ciqfunctions.udf.CIQ(A1113,"IQ_COMPANY_NAME")</f>
        <v>Zebra Technologies Corporation</v>
      </c>
      <c r="B1114" s="13">
        <v>2</v>
      </c>
      <c r="C1114" s="14" t="s">
        <v>17</v>
      </c>
      <c r="D1114" s="15">
        <f>IF(A1121=A1122,_xll.ciqfunctions.udf.CIQ(A1113,"IQ_TOTAL_REV",IQ_FY-9)/I1114, _xll.ciqfunctions.udf.CIQ(A1113, "IQ_TOTAL_REV",IQ_FY-8)/I1114)</f>
        <v>32.291508647302713</v>
      </c>
      <c r="E1114" s="16">
        <f t="shared" ref="E1114:E1123" si="299">(D1114-D1113)/D1113</f>
        <v>0.56694732367155787</v>
      </c>
      <c r="F1114" s="15">
        <f>IF(A1121=A1122,_xll.ciqfunctions.udf.CIQ(A1113,"IQ_DILUT_EPS_EXCL",IQ_FY-9), _xll.ciqfunctions.udf.CIQ(A1113, "IQ_DILUT_EPS_EXCL",IQ_FY-8))</f>
        <v>0.63</v>
      </c>
      <c r="G1114" s="15">
        <f>IF(A1121=A1122,_xll.ciqfunctions.udf.CIQ(A1113,"IQ_EBITDA_MARGIN",IQ_FY-9), _xll.ciqfunctions.udf.CIQ(A1113, "IQ_EBITDA_MARGIN",IQ_FY-8))</f>
        <v>18.1328</v>
      </c>
      <c r="H1114" s="15">
        <f>IF(A1121=A1122,_xll.ciqfunctions.udf.CIQ(A1113,"IQ_TOTAL_DIV_PAID_CF",IQ_FY-9)/-I1114, _xll.ciqfunctions.udf.CIQ(A1113, "IQ_TOTAL_DIV_PAID_CF",IQ_FY-8)/-I1114)</f>
        <v>0</v>
      </c>
      <c r="I1114" s="17">
        <f>IF(A1121=A1122,_xll.ciqfunctions.udf.CIQ(A1113,"IQ_TOTAL_OUTSTANDING_FILING_DATE",IQ_FY-9), _xll.ciqfunctions.udf.CIQ(A1113, "IQ_TOTAL_OUTSTANDING_FILING_DATE",IQ_FY-8))</f>
        <v>51.747349999999997</v>
      </c>
      <c r="J1114" s="17">
        <f>IF(A1121=A1122,_xll.ciqfunctions.udf.CIQ(A1113,"IQ_CASH_OPER",IQ_FY-9), _xll.ciqfunctions.udf.CIQ(A1113, "IQ_CASH_OPER",IQ_FY-8))</f>
        <v>248</v>
      </c>
      <c r="K1114" s="17">
        <f>IF(A1121=A1122,_xll.ciqfunctions.udf.CIQ(A1113,"IQ_CAPEX",IQ_FY-9), _xll.ciqfunctions.udf.CIQ(A1113, "IQ_CAPEX",IQ_FY-8))</f>
        <v>-39</v>
      </c>
      <c r="L1114" s="15">
        <f t="shared" si="296"/>
        <v>4.0388541635465396</v>
      </c>
      <c r="M1114" s="17">
        <f>IF(A1121=A1122,_xll.ciqfunctions.udf.CIQ(A1113,"IQ_TOTAL_DEBT_ISSUED",IQ_FY-9), _xll.ciqfunctions.udf.CIQ(A1113, "IQ_TOTAL_DEBT_ISSUED",IQ_FY-8))</f>
        <v>3189</v>
      </c>
      <c r="N1114" s="17">
        <f>IF(A1121=A1122,_xll.ciqfunctions.udf.CIQ(A1113,"IQ_TOTAL_DEBT_REPAID",IQ_FY-9), _xll.ciqfunctions.udf.CIQ(A1113, "IQ_TOTAL_DEBT_REPAID",IQ_FY-8))</f>
        <v>0</v>
      </c>
      <c r="O1114" s="15">
        <f t="shared" si="297"/>
        <v>61.626344150956527</v>
      </c>
      <c r="P1114" s="15">
        <f t="shared" si="298"/>
        <v>65.665198314503073</v>
      </c>
      <c r="Q1114" s="25" t="s">
        <v>18</v>
      </c>
      <c r="R1114" s="39" t="s">
        <v>19</v>
      </c>
      <c r="S1114" s="1">
        <f>R1112/((AVERAGE(P1118:P1123))*(1+E1124)^3)</f>
        <v>17.751333171594357</v>
      </c>
      <c r="U1114" s="25" t="s">
        <v>48</v>
      </c>
      <c r="V1114" s="39" t="s">
        <v>19</v>
      </c>
      <c r="W1114" s="1">
        <f>V1112/((AVERAGE(P1118:P1123))*(1+E1124)^3)</f>
        <v>17.751333171594357</v>
      </c>
      <c r="Y1114" s="25" t="s">
        <v>39</v>
      </c>
      <c r="Z1114" s="39" t="s">
        <v>19</v>
      </c>
      <c r="AA1114" s="1">
        <f>Z1112/((AVERAGE(P1118:P1123))*(1+E1124)^3)</f>
        <v>17.751333171594357</v>
      </c>
    </row>
    <row r="1115" spans="1:27">
      <c r="B1115" s="13">
        <v>3</v>
      </c>
      <c r="C1115" s="14" t="s">
        <v>20</v>
      </c>
      <c r="D1115" s="15" cm="1">
        <f t="array" ref="D1115">_xlfn.SINGLE(IF(A1121=A1122,_xll.ciqfunctions.udf.CIQ(A1113,"IQ_TOTAL_REV",IQ_FY-8)/I1115, _xll.ciqfunctions.udf.CIQ(A1113, "IQ_TOTAL_REV",IQ_FY-7)/I1115))</f>
        <v>69.147476031874518</v>
      </c>
      <c r="E1115" s="16">
        <f t="shared" si="299"/>
        <v>1.1413516719557282</v>
      </c>
      <c r="F1115" s="15">
        <f>IF(A1121=A1122,_xll.ciqfunctions.udf.CIQ(A1113,"IQ_DILUT_EPS_EXCL",IQ_FY-8), _xll.ciqfunctions.udf.CIQ(A1113, "IQ_DILUT_EPS_EXCL",IQ_FY-7))</f>
        <v>-3.1</v>
      </c>
      <c r="G1115" s="15">
        <f>IF(A1121=A1122,_xll.ciqfunctions.udf.CIQ(A1113,"IQ_EBITDA_MARGIN",IQ_FY-8), _xll.ciqfunctions.udf.CIQ(A1113, "IQ_EBITDA_MARGIN",IQ_FY-7))</f>
        <v>14.849299999999999</v>
      </c>
      <c r="H1115" s="15">
        <f>IF(A1121=A1122,_xll.ciqfunctions.udf.CIQ(A1113,"IQ_TOTAL_DIV_PAID_CF",IQ_FY-8)/-I1115, _xll.ciqfunctions.udf.CIQ(A1113, "IQ_TOTAL_DIV_PAID_CF",IQ_FY-7)/-I1115)</f>
        <v>0</v>
      </c>
      <c r="I1115" s="17">
        <f>IF(A1121=A1122,_xll.ciqfunctions.udf.CIQ(A1113,"IQ_TOTAL_OUTSTANDING_FILING_DATE",IQ_FY-8), _xll.ciqfunctions.udf.CIQ(A1113, "IQ_TOTAL_OUTSTANDING_FILING_DATE",IQ_FY-7))</f>
        <v>52.785730000000001</v>
      </c>
      <c r="J1115" s="17">
        <f>IF(A1121=A1122,_xll.ciqfunctions.udf.CIQ(A1113,"IQ_CASH_OPER",IQ_FY-8), _xll.ciqfunctions.udf.CIQ(A1113, "IQ_CASH_OPER",IQ_FY-7))</f>
        <v>122</v>
      </c>
      <c r="K1115" s="17">
        <f>IF(A1121=A1122,_xll.ciqfunctions.udf.CIQ(A1113,"IQ_CAPEX",IQ_FY-8), _xll.ciqfunctions.udf.CIQ(A1113, "IQ_CAPEX",IQ_FY-7))</f>
        <v>-122</v>
      </c>
      <c r="L1115" s="15">
        <f t="shared" si="296"/>
        <v>0</v>
      </c>
      <c r="M1115" s="17">
        <f>IF(A1121=A1122,_xll.ciqfunctions.udf.CIQ(A1113,"IQ_TOTAL_DEBT_ISSUED",IQ_FY-8), _xll.ciqfunctions.udf.CIQ(A1113, "IQ_TOTAL_DEBT_ISSUED",IQ_FY-7))</f>
        <v>0</v>
      </c>
      <c r="N1115" s="17">
        <f>IF(A1121=A1122,_xll.ciqfunctions.udf.CIQ(A1113,"IQ_TOTAL_DEBT_REPAID",IQ_FY-8), _xll.ciqfunctions.udf.CIQ(A1113, "IQ_TOTAL_DEBT_REPAID",IQ_FY-7))</f>
        <v>-165</v>
      </c>
      <c r="O1115" s="15">
        <f t="shared" si="297"/>
        <v>-3.1258448069203553</v>
      </c>
      <c r="P1115" s="15">
        <f t="shared" si="298"/>
        <v>-3.1258448069203553</v>
      </c>
      <c r="Q1115" s="25" t="s">
        <v>21</v>
      </c>
      <c r="R1115" s="38" t="s">
        <v>49</v>
      </c>
      <c r="S1115" s="2">
        <f>(R1112*I1123)/1000</f>
        <v>11.966273204</v>
      </c>
      <c r="U1115" s="25" t="s">
        <v>59</v>
      </c>
      <c r="V1115" s="38" t="s">
        <v>49</v>
      </c>
      <c r="W1115" s="2">
        <f>(V1112*I1123)/1000</f>
        <v>11.966273204</v>
      </c>
      <c r="Y1115" s="25" t="s">
        <v>46</v>
      </c>
      <c r="Z1115" s="38" t="s">
        <v>49</v>
      </c>
      <c r="AA1115" s="2">
        <f>(Z1112*I1123)/1000</f>
        <v>11.966273204</v>
      </c>
    </row>
    <row r="1116" spans="1:27">
      <c r="A1116" s="18"/>
      <c r="B1116" s="13">
        <v>4</v>
      </c>
      <c r="C1116" s="14" t="s">
        <v>22</v>
      </c>
      <c r="D1116" s="15" cm="1">
        <f t="array" ref="D1116">_xlfn.SINGLE(IF(A1121=A1122,_xll.ciqfunctions.udf.CIQ(A1113,"IQ_TOTAL_REV",IQ_FY-7)/I1116, _xll.ciqfunctions.udf.CIQ(A1113, "IQ_TOTAL_REV",IQ_FY-6)/I1116))</f>
        <v>67.590504422979635</v>
      </c>
      <c r="E1116" s="16">
        <f t="shared" si="299"/>
        <v>-2.2516680264326284E-2</v>
      </c>
      <c r="F1116" s="15">
        <f>IF(A1121=A1122,_xll.ciqfunctions.udf.CIQ(A1113,"IQ_DILUT_EPS_EXCL",IQ_FY-7), _xll.ciqfunctions.udf.CIQ(A1113, "IQ_DILUT_EPS_EXCL",IQ_FY-6))</f>
        <v>-2.65611</v>
      </c>
      <c r="G1116" s="15">
        <f>IF(A1121=A1122,_xll.ciqfunctions.udf.CIQ(A1113,"IQ_EBITDA_MARGIN",IQ_FY-7), _xll.ciqfunctions.udf.CIQ(A1113, "IQ_EBITDA_MARGIN",IQ_FY-6))</f>
        <v>16.508099999999999</v>
      </c>
      <c r="H1116" s="15">
        <f>IF(A1121=A1122,_xll.ciqfunctions.udf.CIQ(A1113,"IQ_TOTAL_DIV_PAID_CF",IQ_FY-7)/-I1116, _xll.ciqfunctions.udf.CIQ(A1113, "IQ_TOTAL_DIV_PAID_CF",IQ_FY-6)/-I1116)</f>
        <v>0</v>
      </c>
      <c r="I1116" s="17">
        <f>IF(A1121=A1122,_xll.ciqfunctions.udf.CIQ(A1113,"IQ_TOTAL_OUTSTANDING_FILING_DATE",IQ_FY-7), _xll.ciqfunctions.udf.CIQ(A1113, "IQ_TOTAL_OUTSTANDING_FILING_DATE",IQ_FY-6))</f>
        <v>52.877249999999997</v>
      </c>
      <c r="J1116" s="17">
        <f>IF(A1121=A1122,_xll.ciqfunctions.udf.CIQ(A1113,"IQ_CASH_OPER",IQ_FY-7), _xll.ciqfunctions.udf.CIQ(A1113, "IQ_CASH_OPER",IQ_FY-6))</f>
        <v>380</v>
      </c>
      <c r="K1116" s="17">
        <f>IF(A1121=A1122,_xll.ciqfunctions.udf.CIQ(A1113,"IQ_CAPEX",IQ_FY-7), _xll.ciqfunctions.udf.CIQ(A1113, "IQ_CAPEX",IQ_FY-6))</f>
        <v>-77</v>
      </c>
      <c r="L1116" s="15">
        <f t="shared" si="296"/>
        <v>5.7302526133639704</v>
      </c>
      <c r="M1116" s="17">
        <f>IF(A1121=A1122,_xll.ciqfunctions.udf.CIQ(A1113,"IQ_TOTAL_DEBT_ISSUED",IQ_FY-7), _xll.ciqfunctions.udf.CIQ(A1113, "IQ_TOTAL_DEBT_ISSUED",IQ_FY-6))</f>
        <v>102</v>
      </c>
      <c r="N1116" s="17">
        <f>IF(A1121=A1122,_xll.ciqfunctions.udf.CIQ(A1113,"IQ_TOTAL_DEBT_REPAID",IQ_FY-7), _xll.ciqfunctions.udf.CIQ(A1113, "IQ_TOTAL_DEBT_REPAID",IQ_FY-6))</f>
        <v>-484</v>
      </c>
      <c r="O1116" s="15">
        <f t="shared" si="297"/>
        <v>-7.2242788722938505</v>
      </c>
      <c r="P1116" s="15">
        <f t="shared" si="298"/>
        <v>-1.4940262589298801</v>
      </c>
      <c r="Q1116" s="25" t="s">
        <v>23</v>
      </c>
      <c r="R1116" s="38" t="s">
        <v>24</v>
      </c>
      <c r="S1116" s="1" t="e">
        <f>R1112/(AVERAGE(H1118:H1123)*(1+H1124)/(0.5-H1124))</f>
        <v>#DIV/0!</v>
      </c>
      <c r="U1116" s="25" t="s">
        <v>40</v>
      </c>
      <c r="V1116" s="38" t="s">
        <v>24</v>
      </c>
      <c r="W1116" s="1" t="e">
        <f>V1112/(AVERAGE(H1118:H1123)*(1+H1124)/(0.5-H1124))</f>
        <v>#DIV/0!</v>
      </c>
      <c r="Y1116" s="25" t="s">
        <v>47</v>
      </c>
      <c r="Z1116" s="38" t="s">
        <v>24</v>
      </c>
      <c r="AA1116" s="1" t="e">
        <f>Z1112/(AVERAGE(H1118:H1123)*(1+H1124)/(0.5-H1124))</f>
        <v>#DIV/0!</v>
      </c>
    </row>
    <row r="1117" spans="1:27">
      <c r="B1117" s="13">
        <v>5</v>
      </c>
      <c r="C1117" s="14" t="s">
        <v>25</v>
      </c>
      <c r="D1117" s="15" cm="1">
        <f t="array" ref="D1117">_xlfn.SINGLE(IF(A1121=A1122,_xll.ciqfunctions.udf.CIQ(A1113,"IQ_TOTAL_REV",IQ_FY-6)/I1117, _xll.ciqfunctions.udf.CIQ(A1113, "IQ_TOTAL_REV",IQ_FY-5)/I1117))</f>
        <v>69.896674236615453</v>
      </c>
      <c r="E1117" s="16">
        <f t="shared" si="299"/>
        <v>3.4119730771705263E-2</v>
      </c>
      <c r="F1117" s="15">
        <f>IF(A1121=A1122,_xll.ciqfunctions.udf.CIQ(A1113,"IQ_DILUT_EPS_EXCL",IQ_FY-6), _xll.ciqfunctions.udf.CIQ(A1113, "IQ_DILUT_EPS_EXCL",IQ_FY-5))</f>
        <v>0.32</v>
      </c>
      <c r="G1117" s="15">
        <f>IF(A1121=A1122,_xll.ciqfunctions.udf.CIQ(A1113,"IQ_EBITDA_MARGIN",IQ_FY-6), _xll.ciqfunctions.udf.CIQ(A1113, "IQ_EBITDA_MARGIN",IQ_FY-5))</f>
        <v>17.490500000000001</v>
      </c>
      <c r="H1117" s="15">
        <f>IF(A1121=A1122,_xll.ciqfunctions.udf.CIQ(A1113,"IQ_TOTAL_DIV_PAID_CF",IQ_FY-6)/-I1117, _xll.ciqfunctions.udf.CIQ(A1113, "IQ_TOTAL_DIV_PAID_CF",IQ_FY-5)/-I1117)</f>
        <v>0</v>
      </c>
      <c r="I1117" s="17">
        <f>IF(A1121=A1122,_xll.ciqfunctions.udf.CIQ(A1113,"IQ_TOTAL_OUTSTANDING_FILING_DATE",IQ_FY-6), _xll.ciqfunctions.udf.CIQ(A1113, "IQ_TOTAL_OUTSTANDING_FILING_DATE",IQ_FY-5))</f>
        <v>53.250030000000002</v>
      </c>
      <c r="J1117" s="17">
        <f>IF(A1121=A1122,_xll.ciqfunctions.udf.CIQ(A1113,"IQ_CASH_OPER",IQ_FY-6), _xll.ciqfunctions.udf.CIQ(A1113, "IQ_CASH_OPER",IQ_FY-5))</f>
        <v>478</v>
      </c>
      <c r="K1117" s="17">
        <f>IF(A1121=A1122,_xll.ciqfunctions.udf.CIQ(A1113,"IQ_CAPEX",IQ_FY-6), _xll.ciqfunctions.udf.CIQ(A1113, "IQ_CAPEX",IQ_FY-5))</f>
        <v>-50</v>
      </c>
      <c r="L1117" s="15">
        <f t="shared" si="296"/>
        <v>8.0375541572464844</v>
      </c>
      <c r="M1117" s="17">
        <f>IF(A1121=A1122,_xll.ciqfunctions.udf.CIQ(A1113,"IQ_TOTAL_DEBT_ISSUED",IQ_FY-6), _xll.ciqfunctions.udf.CIQ(A1113, "IQ_TOTAL_DEBT_ISSUED",IQ_FY-5))</f>
        <v>1371</v>
      </c>
      <c r="N1117" s="17">
        <f>IF(A1121=A1122,_xll.ciqfunctions.udf.CIQ(A1113,"IQ_TOTAL_DEBT_REPAID",IQ_FY-6), _xll.ciqfunctions.udf.CIQ(A1113, "IQ_TOTAL_DEBT_REPAID",IQ_FY-5))</f>
        <v>-1825</v>
      </c>
      <c r="O1117" s="15">
        <f t="shared" si="297"/>
        <v>-8.5258167929670652</v>
      </c>
      <c r="P1117" s="15">
        <f t="shared" si="298"/>
        <v>-0.48826263572058082</v>
      </c>
      <c r="Q1117" s="18"/>
      <c r="R1117" s="38" t="s">
        <v>50</v>
      </c>
      <c r="S1117" s="3">
        <f>I1124</f>
        <v>-9.500808811499728E-3</v>
      </c>
      <c r="U1117" s="18"/>
      <c r="V1117" s="38" t="s">
        <v>50</v>
      </c>
      <c r="W1117" s="3">
        <f>I1124</f>
        <v>-9.500808811499728E-3</v>
      </c>
      <c r="Y1117" s="18"/>
      <c r="Z1117" s="38" t="s">
        <v>50</v>
      </c>
      <c r="AA1117" s="3">
        <f>I1124</f>
        <v>-9.500808811499728E-3</v>
      </c>
    </row>
    <row r="1118" spans="1:27">
      <c r="B1118" s="13">
        <v>6</v>
      </c>
      <c r="C1118" s="14" t="s">
        <v>26</v>
      </c>
      <c r="D1118" s="15" cm="1">
        <f t="array" ref="D1118">_xlfn.SINGLE(IF(A1121=A1122,_xll.ciqfunctions.udf.CIQ(A1113,"IQ_TOTAL_REV",IQ_FY-5)/I1118, _xll.ciqfunctions.udf.CIQ(A1113, "IQ_TOTAL_REV",IQ_FY-4)/I1118))</f>
        <v>78.298883433419036</v>
      </c>
      <c r="E1118" s="16">
        <f t="shared" si="299"/>
        <v>0.12020899833317213</v>
      </c>
      <c r="F1118" s="15">
        <f>IF(A1121=A1122,_xll.ciqfunctions.udf.CIQ(A1113,"IQ_DILUT_EPS_EXCL",IQ_FY-5), _xll.ciqfunctions.udf.CIQ(A1113, "IQ_DILUT_EPS_EXCL",IQ_FY-4))</f>
        <v>7.76</v>
      </c>
      <c r="G1118" s="15">
        <f>IF(A1121=A1122,_xll.ciqfunctions.udf.CIQ(A1113,"IQ_EBITDA_MARGIN",IQ_FY-5), _xll.ciqfunctions.udf.CIQ(A1113, "IQ_EBITDA_MARGIN",IQ_FY-4))</f>
        <v>19.369299999999999</v>
      </c>
      <c r="H1118" s="15">
        <f>IF(A1121=A1122,_xll.ciqfunctions.udf.CIQ(A1113,"IQ_TOTAL_DIV_PAID_CF",IQ_FY-5)/-I1118, _xll.ciqfunctions.udf.CIQ(A1113, "IQ_TOTAL_DIV_PAID_CF",IQ_FY-4)/-I1118)</f>
        <v>0</v>
      </c>
      <c r="I1118" s="17">
        <f>IF(A1121=A1122,_xll.ciqfunctions.udf.CIQ(A1113,"IQ_TOTAL_OUTSTANDING_FILING_DATE",IQ_FY-5), _xll.ciqfunctions.udf.CIQ(A1113, "IQ_TOTAL_OUTSTANDING_FILING_DATE",IQ_FY-4))</f>
        <v>53.8705</v>
      </c>
      <c r="J1118" s="17">
        <f>IF(A1121=A1122,_xll.ciqfunctions.udf.CIQ(A1113,"IQ_CASH_OPER",IQ_FY-5), _xll.ciqfunctions.udf.CIQ(A1113, "IQ_CASH_OPER",IQ_FY-4))</f>
        <v>785</v>
      </c>
      <c r="K1118" s="17">
        <f>IF(A1121=A1122,_xll.ciqfunctions.udf.CIQ(A1113,"IQ_CAPEX",IQ_FY-5), _xll.ciqfunctions.udf.CIQ(A1113, "IQ_CAPEX",IQ_FY-4))</f>
        <v>-64</v>
      </c>
      <c r="L1118" s="15">
        <f t="shared" si="296"/>
        <v>13.383948543265795</v>
      </c>
      <c r="M1118" s="17">
        <f>IF(A1121=A1122,_xll.ciqfunctions.udf.CIQ(A1113,"IQ_TOTAL_DEBT_ISSUED",IQ_FY-5), _xll.ciqfunctions.udf.CIQ(A1113, "IQ_TOTAL_DEBT_ISSUED",IQ_FY-4))</f>
        <v>909</v>
      </c>
      <c r="N1118" s="17">
        <f>IF(A1121=A1122,_xll.ciqfunctions.udf.CIQ(A1113,"IQ_TOTAL_DEBT_REPAID",IQ_FY-5), _xll.ciqfunctions.udf.CIQ(A1113, "IQ_TOTAL_DEBT_REPAID",IQ_FY-4))</f>
        <v>-1566</v>
      </c>
      <c r="O1118" s="15">
        <f t="shared" si="297"/>
        <v>-12.195914275902396</v>
      </c>
      <c r="P1118" s="15">
        <f t="shared" si="298"/>
        <v>1.188034267363399</v>
      </c>
      <c r="Q1118" s="25" t="s">
        <v>27</v>
      </c>
      <c r="R1118" s="38" t="s">
        <v>51</v>
      </c>
      <c r="S1118" s="4">
        <f>AVERAGE(F1118:F1123)/AVERAGE(D1118:D1123)</f>
        <v>0.10745626824444328</v>
      </c>
      <c r="U1118" s="25" t="s">
        <v>58</v>
      </c>
      <c r="V1118" s="38" t="s">
        <v>51</v>
      </c>
      <c r="W1118" s="4">
        <f>AVERAGE(F1118:F1123)/AVERAGE(D1118:D1123)</f>
        <v>0.10745626824444328</v>
      </c>
      <c r="Y1118" s="25" t="s">
        <v>56</v>
      </c>
      <c r="Z1118" s="38" t="s">
        <v>51</v>
      </c>
      <c r="AA1118" s="4">
        <f>AVERAGE(F1118:F1123)/AVERAGE(D1118:D1123)</f>
        <v>0.10745626824444328</v>
      </c>
    </row>
    <row r="1119" spans="1:27">
      <c r="A1119" s="18"/>
      <c r="B1119" s="13">
        <v>7</v>
      </c>
      <c r="C1119" s="14" t="s">
        <v>28</v>
      </c>
      <c r="D1119" s="15" cm="1">
        <f t="array" ref="D1119">_xlfn.SINGLE(IF(A1121=A1122,_xll.ciqfunctions.udf.CIQ(A1113,"IQ_TOTAL_REV",IQ_FY-4)/I1119, _xll.ciqfunctions.udf.CIQ(A1113, "IQ_TOTAL_REV",IQ_FY-3)/I1119))</f>
        <v>83.042253416813779</v>
      </c>
      <c r="E1119" s="16">
        <f t="shared" si="299"/>
        <v>6.058030172841785E-2</v>
      </c>
      <c r="F1119" s="15">
        <f>IF(A1121=A1122,_xll.ciqfunctions.udf.CIQ(A1113,"IQ_DILUT_EPS_EXCL",IQ_FY-4), _xll.ciqfunctions.udf.CIQ(A1113, "IQ_DILUT_EPS_EXCL",IQ_FY-3))</f>
        <v>9.9700000000000006</v>
      </c>
      <c r="G1119" s="15">
        <f>IF(A1121=A1122,_xll.ciqfunctions.udf.CIQ(A1113,"IQ_EBITDA_MARGIN",IQ_FY-4), _xll.ciqfunctions.udf.CIQ(A1113, "IQ_EBITDA_MARGIN",IQ_FY-3))</f>
        <v>20.044499999999999</v>
      </c>
      <c r="H1119" s="15">
        <f>IF(A1121=A1122,_xll.ciqfunctions.udf.CIQ(A1113,"IQ_TOTAL_DIV_PAID_CF",IQ_FY-4)/-I1119, _xll.ciqfunctions.udf.CIQ(A1113, "IQ_TOTAL_DIV_PAID_CF",IQ_FY-3)/-I1119)</f>
        <v>0</v>
      </c>
      <c r="I1119" s="17">
        <f>IF(A1121=A1122,_xll.ciqfunctions.udf.CIQ(A1113,"IQ_TOTAL_OUTSTANDING_FILING_DATE",IQ_FY-4), _xll.ciqfunctions.udf.CIQ(A1113, "IQ_TOTAL_OUTSTANDING_FILING_DATE",IQ_FY-3))</f>
        <v>54.008650000000003</v>
      </c>
      <c r="J1119" s="17">
        <f>IF(A1121=A1122,_xll.ciqfunctions.udf.CIQ(A1113,"IQ_CASH_OPER",IQ_FY-4), _xll.ciqfunctions.udf.CIQ(A1113, "IQ_CASH_OPER",IQ_FY-3))</f>
        <v>685</v>
      </c>
      <c r="K1119" s="17">
        <f>IF(A1121=A1122,_xll.ciqfunctions.udf.CIQ(A1113,"IQ_CAPEX",IQ_FY-4), _xll.ciqfunctions.udf.CIQ(A1113, "IQ_CAPEX",IQ_FY-3))</f>
        <v>-61</v>
      </c>
      <c r="L1119" s="15">
        <f t="shared" si="296"/>
        <v>11.553704823208875</v>
      </c>
      <c r="M1119" s="17">
        <f>IF(A1121=A1122,_xll.ciqfunctions.udf.CIQ(A1113,"IQ_TOTAL_DEBT_ISSUED",IQ_FY-4), _xll.ciqfunctions.udf.CIQ(A1113, "IQ_TOTAL_DEBT_ISSUED",IQ_FY-3))</f>
        <v>637</v>
      </c>
      <c r="N1119" s="17">
        <f>IF(A1121=A1122,_xll.ciqfunctions.udf.CIQ(A1113,"IQ_TOTAL_DEBT_REPAID",IQ_FY-4), _xll.ciqfunctions.udf.CIQ(A1113, "IQ_TOTAL_DEBT_REPAID",IQ_FY-3))</f>
        <v>-949</v>
      </c>
      <c r="O1119" s="15">
        <f t="shared" si="297"/>
        <v>-5.7768524116044375</v>
      </c>
      <c r="P1119" s="15">
        <f t="shared" si="298"/>
        <v>5.7768524116044375</v>
      </c>
      <c r="Q1119" s="18"/>
      <c r="R1119" s="38" t="s">
        <v>29</v>
      </c>
      <c r="S1119" s="4">
        <f>(AVERAGE(P1118:P1123)/_xlfn.STDEV.P(P1118:P1123))/(IF(A1121=A1122,(_xlfn.SINGLE(_xll.ciqfunctions.udf.CIQ(A1113,"IQ_total_assets",IQ_FY)) - _xlfn.SINGLE(_xll.ciqfunctions.udf.CIQ(A1113,"iq_gw_intan", IQ_FY)))/I1123, (_xlfn.SINGLE(_xll.ciqfunctions.udf.CIQ(A1113, "IQ_total_assets",IQ_LTM))-_xlfn.SINGLE(_xll.ciqfunctions.udf.CIQ(A1113,"iq_gw_intan",IQ_LTM)))/I1123))</f>
        <v>2.1900122171976476E-2</v>
      </c>
      <c r="U1119" s="18"/>
      <c r="V1119" s="38" t="s">
        <v>29</v>
      </c>
      <c r="W1119" s="4">
        <f>(AVERAGE(P1118:P1123)/_xlfn.STDEV.P(P1118:P1123))/(IF(A1121=A1122,(_xlfn.SINGLE(_xll.ciqfunctions.udf.CIQ(A1113,"IQ_total_assets",IQ_FY)) - _xlfn.SINGLE(_xll.ciqfunctions.udf.CIQ(A1113,"iq_gw_intan", IQ_FY)))/I1123, (_xlfn.SINGLE(_xll.ciqfunctions.udf.CIQ(A1113, "IQ_total_assets",IQ_LTM))-_xlfn.SINGLE(_xll.ciqfunctions.udf.CIQ(A1113,"iq_gw_intan",IQ_LTM)))/I1123))</f>
        <v>2.1900122171976476E-2</v>
      </c>
      <c r="Y1119" s="18"/>
      <c r="Z1119" s="38" t="s">
        <v>29</v>
      </c>
      <c r="AA1119" s="4">
        <f>(AVERAGE(P1118:P1123)/_xlfn.STDEV.P(P1118:P1123))/(IF(A1121=A1122,(_xlfn.SINGLE(_xll.ciqfunctions.udf.CIQ(A1113,"IQ_total_assets",IQ_FY)) - _xlfn.SINGLE(_xll.ciqfunctions.udf.CIQ(A1113,"iq_gw_intan", IQ_FY)))/I1123, (_xlfn.SINGLE(_xll.ciqfunctions.udf.CIQ(A1113, "IQ_total_assets",IQ_LTM))-_xlfn.SINGLE(_xll.ciqfunctions.udf.CIQ(A1113,"iq_gw_intan",IQ_LTM)))/I1123))</f>
        <v>2.1900122171976476E-2</v>
      </c>
    </row>
    <row r="1120" spans="1:27">
      <c r="A1120" s="18"/>
      <c r="B1120" s="13">
        <v>8</v>
      </c>
      <c r="C1120" s="14" t="s">
        <v>30</v>
      </c>
      <c r="D1120" s="15" cm="1">
        <f t="array" ref="D1120">_xlfn.SINGLE(IF(A1121=A1122,_xll.ciqfunctions.udf.CIQ(A1113,"IQ_TOTAL_REV",IQ_FY-3)/I1120, _xll.ciqfunctions.udf.CIQ(A1113, "IQ_TOTAL_REV",IQ_FY-2)/I1120))</f>
        <v>83.190863368919494</v>
      </c>
      <c r="E1120" s="16">
        <f t="shared" si="299"/>
        <v>1.789570321024383E-3</v>
      </c>
      <c r="F1120" s="15">
        <f>IF(A1121=A1122,_xll.ciqfunctions.udf.CIQ(A1113,"IQ_DILUT_EPS_EXCL",IQ_FY-3), _xll.ciqfunctions.udf.CIQ(A1113, "IQ_DILUT_EPS_EXCL",IQ_FY-2))</f>
        <v>9.35</v>
      </c>
      <c r="G1120" s="15">
        <f>IF(A1121=A1122,_xll.ciqfunctions.udf.CIQ(A1113,"IQ_EBITDA_MARGIN",IQ_FY-3), _xll.ciqfunctions.udf.CIQ(A1113, "IQ_EBITDA_MARGIN",IQ_FY-2))</f>
        <v>18.682500000000001</v>
      </c>
      <c r="H1120" s="15">
        <f>IF(A1121=A1122,_xll.ciqfunctions.udf.CIQ(A1113,"IQ_TOTAL_DIV_PAID_CF",IQ_FY-3)/-I1120, _xll.ciqfunctions.udf.CIQ(A1113, "IQ_TOTAL_DIV_PAID_CF",IQ_FY-2)/-I1120)</f>
        <v>0</v>
      </c>
      <c r="I1120" s="17">
        <f>IF(A1121=A1122,_xll.ciqfunctions.udf.CIQ(A1113,"IQ_TOTAL_OUTSTANDING_FILING_DATE",IQ_FY-3), _xll.ciqfunctions.udf.CIQ(A1113, "IQ_TOTAL_OUTSTANDING_FILING_DATE",IQ_FY-2))</f>
        <v>53.467410000000001</v>
      </c>
      <c r="J1120" s="17">
        <f>IF(A1121=A1122,_xll.ciqfunctions.udf.CIQ(A1113,"IQ_CASH_OPER",IQ_FY-3), _xll.ciqfunctions.udf.CIQ(A1113, "IQ_CASH_OPER",IQ_FY-2))</f>
        <v>962</v>
      </c>
      <c r="K1120" s="17">
        <f>IF(A1121=A1122,_xll.ciqfunctions.udf.CIQ(A1113,"IQ_CAPEX",IQ_FY-3), _xll.ciqfunctions.udf.CIQ(A1113, "IQ_CAPEX",IQ_FY-2))</f>
        <v>-67</v>
      </c>
      <c r="L1120" s="15">
        <f t="shared" si="296"/>
        <v>16.739168775895447</v>
      </c>
      <c r="M1120" s="17">
        <f>IF(A1121=A1122,_xll.ciqfunctions.udf.CIQ(A1113,"IQ_TOTAL_DEBT_ISSUED",IQ_FY-3), _xll.ciqfunctions.udf.CIQ(A1113, "IQ_TOTAL_DEBT_ISSUED",IQ_FY-2))</f>
        <v>302</v>
      </c>
      <c r="N1120" s="17">
        <f>IF(A1121=A1122,_xll.ciqfunctions.udf.CIQ(A1113,"IQ_TOTAL_DEBT_REPAID",IQ_FY-3), _xll.ciqfunctions.udf.CIQ(A1113, "IQ_TOTAL_DEBT_REPAID",IQ_FY-2))</f>
        <v>-342</v>
      </c>
      <c r="O1120" s="15">
        <f t="shared" si="297"/>
        <v>-0.74811927490035512</v>
      </c>
      <c r="P1120" s="15">
        <f t="shared" si="298"/>
        <v>15.991049500995091</v>
      </c>
      <c r="Q1120" s="18"/>
      <c r="R1120" s="39" t="s">
        <v>31</v>
      </c>
      <c r="S1120" s="5">
        <f>IF(NOT(D1113&gt;0),FALSE,SLOPE(G1113:G1123,B1113:B1123))</f>
        <v>0.29069181818181822</v>
      </c>
      <c r="U1120" s="18"/>
      <c r="V1120" s="39" t="s">
        <v>31</v>
      </c>
      <c r="W1120" s="5">
        <f>IF(NOT(D1113&gt;0),FALSE,SLOPE(G1113:G1123,B1113:B1123))</f>
        <v>0.29069181818181822</v>
      </c>
      <c r="Y1120" s="18"/>
      <c r="Z1120" s="39" t="s">
        <v>31</v>
      </c>
      <c r="AA1120" s="5">
        <f>IF(NOT(L1113&gt;0),FALSE,SLOPE(O1113:O1123,J1113:J1123))</f>
        <v>-1.991469855148733E-2</v>
      </c>
    </row>
    <row r="1121" spans="1:27">
      <c r="A1121" s="19">
        <f>_xll.ciqfunctions.udf.CIQ(A1113,"IQ_TOTAL_REV",IQ_FY)</f>
        <v>5781</v>
      </c>
      <c r="B1121" s="13">
        <v>9</v>
      </c>
      <c r="C1121" s="14" t="s">
        <v>32</v>
      </c>
      <c r="D1121" s="15" cm="1">
        <f t="array" ref="D1121">_xlfn.SINGLE(IF(A1121=A1122,_xll.ciqfunctions.udf.CIQ(A1113,"IQ_TOTAL_REV",IQ_FY-2)/I1121, _xll.ciqfunctions.udf.CIQ(A1113, "IQ_TOTAL_REV",IQ_FY-1)/I1121))</f>
        <v>106.01031580034115</v>
      </c>
      <c r="E1121" s="16">
        <f t="shared" si="299"/>
        <v>0.27430238739350682</v>
      </c>
      <c r="F1121" s="15">
        <f>IF(A1121=A1122,_xll.ciqfunctions.udf.CIQ(A1113,"IQ_DILUT_EPS_EXCL",IQ_FY-2), _xll.ciqfunctions.udf.CIQ(A1113, "IQ_DILUT_EPS_EXCL",IQ_FY-1))</f>
        <v>15.52</v>
      </c>
      <c r="G1121" s="15">
        <f>IF(A1121=A1122,_xll.ciqfunctions.udf.CIQ(A1113,"IQ_EBITDA_MARGIN",IQ_FY-2), _xll.ciqfunctions.udf.CIQ(A1113, "IQ_EBITDA_MARGIN",IQ_FY-1))</f>
        <v>21.290199999999999</v>
      </c>
      <c r="H1121" s="15">
        <f>IF(A1121=A1122,_xll.ciqfunctions.udf.CIQ(A1113,"IQ_TOTAL_DIV_PAID_CF",IQ_FY-2)/-I1121, _xll.ciqfunctions.udf.CIQ(A1113, "IQ_TOTAL_DIV_PAID_CF",IQ_FY-1)/-I1121)</f>
        <v>0</v>
      </c>
      <c r="I1121" s="17">
        <f>IF(A1121=A1122,_xll.ciqfunctions.udf.CIQ(A1113,"IQ_TOTAL_OUTSTANDING_FILING_DATE",IQ_FY-2), _xll.ciqfunctions.udf.CIQ(A1113, "IQ_TOTAL_OUTSTANDING_FILING_DATE",IQ_FY-1))</f>
        <v>53.079740000000001</v>
      </c>
      <c r="J1121" s="17">
        <f>IF(A1121=A1122,_xll.ciqfunctions.udf.CIQ(A1113,"IQ_CASH_OPER",IQ_FY-2), _xll.ciqfunctions.udf.CIQ(A1113, "IQ_CASH_OPER",IQ_FY-1))</f>
        <v>1069</v>
      </c>
      <c r="K1121" s="17">
        <f>IF(A1121=A1122,_xll.ciqfunctions.udf.CIQ(A1113,"IQ_CAPEX",IQ_FY-2), _xll.ciqfunctions.udf.CIQ(A1113, "IQ_CAPEX",IQ_FY-1))</f>
        <v>-59</v>
      </c>
      <c r="L1121" s="15">
        <f t="shared" si="296"/>
        <v>19.027975645698341</v>
      </c>
      <c r="M1121" s="17">
        <f>IF(A1121=A1122,_xll.ciqfunctions.udf.CIQ(A1113,"IQ_TOTAL_DEBT_ISSUED",IQ_FY-2), _xll.ciqfunctions.udf.CIQ(A1113, "IQ_TOTAL_DEBT_ISSUED",IQ_FY-1))</f>
        <v>46</v>
      </c>
      <c r="N1121" s="17">
        <f>IF(A1121=A1122,_xll.ciqfunctions.udf.CIQ(A1113,"IQ_TOTAL_DEBT_REPAID",IQ_FY-2), _xll.ciqfunctions.udf.CIQ(A1113, "IQ_TOTAL_DEBT_REPAID",IQ_FY-1))</f>
        <v>-303</v>
      </c>
      <c r="O1121" s="15">
        <f t="shared" si="297"/>
        <v>-4.8417720207371024</v>
      </c>
      <c r="P1121" s="15">
        <f t="shared" si="298"/>
        <v>14.186203624961237</v>
      </c>
      <c r="Q1121" s="25" t="s">
        <v>33</v>
      </c>
      <c r="R1121" s="38" t="s">
        <v>52</v>
      </c>
      <c r="S1121" s="4">
        <f>(AVERAGE(O1118:O1123)/AVERAGE(P1118:P1123))</f>
        <v>-1.8223337847174181E-2</v>
      </c>
      <c r="U1121" s="25" t="s">
        <v>54</v>
      </c>
      <c r="V1121" s="38" t="s">
        <v>52</v>
      </c>
      <c r="W1121" s="4">
        <f>(AVERAGE(O1118:O1123)/AVERAGE(P1118:P1123))</f>
        <v>-1.8223337847174181E-2</v>
      </c>
      <c r="Y1121" s="25" t="s">
        <v>60</v>
      </c>
      <c r="Z1121" s="38" t="s">
        <v>52</v>
      </c>
      <c r="AA1121" s="4">
        <f>(AVERAGE(O1118:O1123)/AVERAGE(P1118:P1123))</f>
        <v>-1.8223337847174181E-2</v>
      </c>
    </row>
    <row r="1122" spans="1:27">
      <c r="A1122" s="19">
        <f>_xll.ciqfunctions.udf.CIQ(A1113,"IQ_TOTAL_REV",IQ_LTM)</f>
        <v>5078</v>
      </c>
      <c r="B1122" s="13">
        <v>10</v>
      </c>
      <c r="C1122" s="14" t="s">
        <v>34</v>
      </c>
      <c r="D1122" s="15" cm="1">
        <f t="array" ref="D1122">_xlfn.SINGLE(IF(A1121=A1122,_xll.ciqfunctions.udf.CIQ(A1113,"IQ_TOTAL_REV",IQ_FY-1)/I1122, _xll.ciqfunctions.udf.CIQ(A1113, "IQ_TOTAL_REV",IQ_FY)/I1122))</f>
        <v>112.46044625456719</v>
      </c>
      <c r="E1122" s="16">
        <f t="shared" si="299"/>
        <v>6.0844365999004828E-2</v>
      </c>
      <c r="F1122" s="15">
        <f>IF(A1121=A1122,_xll.ciqfunctions.udf.CIQ(A1113,"IQ_DILUT_EPS_EXCL",IQ_FY-1), _xll.ciqfunctions.udf.CIQ(A1113, "IQ_DILUT_EPS_EXCL",IQ_FY))</f>
        <v>8.8000000000000007</v>
      </c>
      <c r="G1122" s="15">
        <f>IF(A1121=A1122,_xll.ciqfunctions.udf.CIQ(A1113,"IQ_EBITDA_MARGIN",IQ_FY-1), _xll.ciqfunctions.udf.CIQ(A1113, "IQ_EBITDA_MARGIN",IQ_FY))</f>
        <v>19.7197</v>
      </c>
      <c r="H1122" s="15">
        <f>IF(A1121=A1122,_xll.ciqfunctions.udf.CIQ(A1113,"IQ_TOTAL_DIV_PAID_CF",IQ_FY-1)/-I1122, _xll.ciqfunctions.udf.CIQ(A1113, "IQ_TOTAL_DIV_PAID_CF",IQ_FY)/-I1122)</f>
        <v>0</v>
      </c>
      <c r="I1122" s="17">
        <f>IF(A1121=A1122,_xll.ciqfunctions.udf.CIQ(A1113,"IQ_TOTAL_OUTSTANDING_FILING_DATE",IQ_FY-1), _xll.ciqfunctions.udf.CIQ(A1113, "IQ_TOTAL_OUTSTANDING_FILING_DATE",IQ_FY))</f>
        <v>51.404739999999997</v>
      </c>
      <c r="J1122" s="17">
        <f>IF(A1121=A1122,_xll.ciqfunctions.udf.CIQ(A1113,"IQ_CASH_OPER",IQ_FY-1), _xll.ciqfunctions.udf.CIQ(A1113, "IQ_CASH_OPER",IQ_FY))</f>
        <v>488</v>
      </c>
      <c r="K1122" s="17">
        <f>IF(A1121=A1122,_xll.ciqfunctions.udf.CIQ(A1113,"IQ_CAPEX",IQ_FY-1), _xll.ciqfunctions.udf.CIQ(A1113, "IQ_CAPEX",IQ_FY))</f>
        <v>-75</v>
      </c>
      <c r="L1122" s="15">
        <f t="shared" si="296"/>
        <v>8.034278550966313</v>
      </c>
      <c r="M1122" s="17">
        <f>IF(A1121=A1122,_xll.ciqfunctions.udf.CIQ(A1113,"IQ_TOTAL_DEBT_ISSUED",IQ_FY-1), _xll.ciqfunctions.udf.CIQ(A1113, "IQ_TOTAL_DEBT_ISSUED",IQ_FY))</f>
        <v>1284</v>
      </c>
      <c r="N1122" s="17">
        <f>IF(A1121=A1122,_xll.ciqfunctions.udf.CIQ(A1113,"IQ_TOTAL_DEBT_REPAID",IQ_FY-1), _xll.ciqfunctions.udf.CIQ(A1113, "IQ_TOTAL_DEBT_REPAID",IQ_FY))</f>
        <v>-247</v>
      </c>
      <c r="O1122" s="15">
        <f t="shared" si="297"/>
        <v>20.173236942741081</v>
      </c>
      <c r="P1122" s="15">
        <f t="shared" si="298"/>
        <v>28.207515493707394</v>
      </c>
      <c r="Q1122" s="25" t="s">
        <v>44</v>
      </c>
      <c r="R1122" s="38" t="s">
        <v>35</v>
      </c>
      <c r="S1122" s="1">
        <f>_xll.ciqfunctions.udf.CIQ(A1113,"IQ_TEV_EBITDA")</f>
        <v>13.612730000000001</v>
      </c>
      <c r="U1122" s="25" t="s">
        <v>55</v>
      </c>
      <c r="V1122" s="38" t="s">
        <v>53</v>
      </c>
      <c r="W1122" s="1">
        <f>V1112/(AVERAGE(D1118:D1123)/_xlfn.STDEV.P(E1118:E1123))</f>
        <v>0.29685078610907556</v>
      </c>
      <c r="Y1122" s="25" t="s">
        <v>57</v>
      </c>
      <c r="Z1122" s="38" t="s">
        <v>53</v>
      </c>
      <c r="AA1122" s="1">
        <f>Z1112/(AVERAGE(D1118:D1123)/_xlfn.STDEV.P(E1118:E1123))</f>
        <v>0.29685078610907556</v>
      </c>
    </row>
    <row r="1123" spans="1:27">
      <c r="B1123" s="13">
        <v>11</v>
      </c>
      <c r="C1123" s="20" t="s">
        <v>36</v>
      </c>
      <c r="D1123" s="21" cm="1">
        <f t="array" ref="D1123">_xlfn.SINGLE(IF(A1121=A1122,_xll.ciqfunctions.udf.CIQ(A1113,"IQ_TOTAL_REV",IQ_FY)/I1123, _xll.ciqfunctions.udf.CIQ(A1113, "IQ_TOTAL_REV",IQ_LTM)/I1123))</f>
        <v>98.871486538057155</v>
      </c>
      <c r="E1123" s="22">
        <f t="shared" si="299"/>
        <v>-0.12083323665415532</v>
      </c>
      <c r="F1123" s="21">
        <f>IF(A1121=A1122,_xll.ciqfunctions.udf.CIQ(A1113,"IQ_DILUT_EPS_EXCL",IQ_FY), _xll.ciqfunctions.udf.CIQ(A1113, "IQ_DILUT_EPS_EXCL",IQ_LTM))</f>
        <v>8.9769100000000002</v>
      </c>
      <c r="G1123" s="21">
        <f>IF(A1121=A1122,_xll.ciqfunctions.udf.CIQ(A1113,"IQ_EBITDA_MARGIN",IQ_FY), _xll.ciqfunctions.udf.CIQ(A1113, "IQ_EBITDA_MARGIN",IQ_LTM))</f>
        <v>18.5703</v>
      </c>
      <c r="H1123" s="21">
        <f>IF(A1121=A1122,_xll.ciqfunctions.udf.CIQ(A1113,"IQ_TOTAL_DIV_PAID_CF",IQ_FY)/-I1123, _xll.ciqfunctions.udf.CIQ(A1113, "IQ_TOTAL_DIV_PAID_CF",IQ_LTM)/-I1123)</f>
        <v>0</v>
      </c>
      <c r="I1123" s="23">
        <f>IF(A1121=A1122,_xll.ciqfunctions.udf.CIQ(A1113,"IQ_TOTAL_OUTSTANDING_FILING_DATE",IQ_FY),_xll.ciqfunctions.udf.CIQ(A1113,"IQ_sharesoutstanding"))</f>
        <v>51.3596</v>
      </c>
      <c r="J1123" s="23">
        <f>IF(A1121=A1122,_xll.ciqfunctions.udf.CIQ(A1113,"IQ_CASH_OPER",IQ_FY), _xll.ciqfunctions.udf.CIQ(A1113, "IQ_CASH_OPER",IQ_LTM))</f>
        <v>122</v>
      </c>
      <c r="K1123" s="23">
        <f>IF(A1121=A1122,_xll.ciqfunctions.udf.CIQ(A1113,"IQ_CAPEX",IQ_FY), _xll.ciqfunctions.udf.CIQ(A1113, "IQ_CAPEX",IQ_LTM))</f>
        <v>-72</v>
      </c>
      <c r="L1123" s="21">
        <f t="shared" si="296"/>
        <v>0.97352783121363873</v>
      </c>
      <c r="M1123" s="23">
        <f>IF(A1121=A1122,_xll.ciqfunctions.udf.CIQ(A1113,"IQ_TOTAL_DEBT_ISSUED",IQ_FY), _xll.ciqfunctions.udf.CIQ(A1113, "IQ_TOTAL_DEBT_ISSUED",IQ_LTM))</f>
        <v>368</v>
      </c>
      <c r="N1123" s="23">
        <f>IF(A1121=A1122,_xll.ciqfunctions.udf.CIQ(A1113,"IQ_TOTAL_DEBT_REPAID",IQ_FY), _xll.ciqfunctions.udf.CIQ(A1113, "IQ_TOTAL_DEBT_REPAID",IQ_LTM))</f>
        <v>-258</v>
      </c>
      <c r="O1123" s="21">
        <f t="shared" si="297"/>
        <v>2.1417612286700054</v>
      </c>
      <c r="P1123" s="21">
        <f t="shared" si="298"/>
        <v>3.115289059883644</v>
      </c>
      <c r="Q1123" s="25" t="s">
        <v>45</v>
      </c>
      <c r="S1123" s="45"/>
      <c r="U1123" s="25"/>
      <c r="W1123" s="45"/>
      <c r="Y1123" s="25"/>
      <c r="AA1123" s="45"/>
    </row>
    <row r="1124" spans="1:27">
      <c r="B1124" s="24"/>
      <c r="C1124" s="25" t="s">
        <v>37</v>
      </c>
      <c r="E1124" s="26">
        <f>((D1123/D1118)^(1/5))-1</f>
        <v>4.7763098879402666E-2</v>
      </c>
      <c r="F1124" s="27">
        <f>((F1123/F1118)^(1/5))-1</f>
        <v>2.9563244844017289E-2</v>
      </c>
      <c r="G1124" s="28"/>
      <c r="H1124" s="27" t="e">
        <f>((H1123/H1118)^(1/5))-1</f>
        <v>#DIV/0!</v>
      </c>
      <c r="I1124" s="27">
        <f>((I1123/I1118)^(1/5))-1</f>
        <v>-9.500808811499728E-3</v>
      </c>
      <c r="J1124" s="27"/>
      <c r="K1124" s="27"/>
      <c r="L1124" s="26">
        <f>((L1123/L1118)^(1/5))-1</f>
        <v>-0.40795758337389554</v>
      </c>
      <c r="M1124" s="26"/>
      <c r="N1124" s="26"/>
      <c r="O1124" s="26"/>
      <c r="P1124" s="26">
        <f>((P1123/P1118)^(1/5))-1</f>
        <v>0.21264554748419506</v>
      </c>
      <c r="Q1124" s="18"/>
      <c r="R1124" s="36"/>
      <c r="S1124" s="45"/>
      <c r="U1124" s="18"/>
      <c r="V1124" s="36"/>
      <c r="W1124" s="45"/>
      <c r="Y1124" s="18"/>
      <c r="Z1124" s="36"/>
      <c r="AA1124" s="45"/>
    </row>
    <row r="1125" spans="1:27">
      <c r="A1125" s="29"/>
      <c r="B1125" s="30"/>
      <c r="C1125" s="31" t="s">
        <v>38</v>
      </c>
      <c r="D1125" s="29"/>
      <c r="E1125" s="32">
        <f>((D1123/D1113)^(1/10))-1</f>
        <v>0.16977870890840463</v>
      </c>
      <c r="F1125" s="33">
        <f>((F1123/F1113)^(1/10))-1</f>
        <v>0.13062116800624457</v>
      </c>
      <c r="G1125" s="34"/>
      <c r="H1125" s="33" t="e">
        <f>((H1123/H1113)^(1/10))-1</f>
        <v>#DIV/0!</v>
      </c>
      <c r="I1125" s="33">
        <f>((I1123/I1113)^(1/10))-1</f>
        <v>1.9494743772783263E-3</v>
      </c>
      <c r="J1125" s="33"/>
      <c r="K1125" s="33"/>
      <c r="L1125" s="32">
        <f>((L1123/L1113)^(1/10))-1</f>
        <v>-0.1189587267829042</v>
      </c>
      <c r="M1125" s="32"/>
      <c r="N1125" s="32"/>
      <c r="O1125" s="32"/>
      <c r="P1125" s="32">
        <f>((P1123/P1113)^(1/10))-1</f>
        <v>-1.0282494958650745E-2</v>
      </c>
      <c r="Q1125" s="40"/>
      <c r="R1125" s="41"/>
      <c r="S1125" s="46"/>
      <c r="U1125" s="40"/>
      <c r="V1125" s="41"/>
      <c r="W1125" s="46"/>
      <c r="Y1125" s="40"/>
      <c r="Z1125" s="41"/>
      <c r="AA1125" s="46"/>
    </row>
    <row r="1126" spans="1:27">
      <c r="B1126" s="24"/>
      <c r="C1126" s="25"/>
      <c r="E1126" s="26"/>
      <c r="F1126" s="27"/>
      <c r="G1126" s="28"/>
      <c r="H1126" s="27"/>
      <c r="I1126" s="27"/>
      <c r="J1126" s="27"/>
      <c r="K1126" s="27"/>
      <c r="L1126" s="26"/>
      <c r="M1126" s="17"/>
      <c r="N1126" s="17"/>
      <c r="O1126" s="17"/>
      <c r="P1126" s="35"/>
      <c r="Q1126" s="18"/>
      <c r="R1126" s="36"/>
    </row>
    <row r="1127" spans="1:27">
      <c r="A1127" s="9" t="s">
        <v>0</v>
      </c>
      <c r="B1127" s="10"/>
      <c r="C1127" s="9" t="s">
        <v>1</v>
      </c>
      <c r="D1127" s="9" t="s">
        <v>2</v>
      </c>
      <c r="E1127" s="9" t="s">
        <v>3</v>
      </c>
      <c r="F1127" s="11" t="s">
        <v>4</v>
      </c>
      <c r="G1127" s="11" t="s">
        <v>5</v>
      </c>
      <c r="H1127" s="9" t="s">
        <v>6</v>
      </c>
      <c r="I1127" s="11" t="s">
        <v>7</v>
      </c>
      <c r="J1127" s="11" t="s">
        <v>8</v>
      </c>
      <c r="K1127" s="11" t="s">
        <v>9</v>
      </c>
      <c r="L1127" s="11" t="s">
        <v>10</v>
      </c>
      <c r="M1127" s="11" t="s">
        <v>11</v>
      </c>
      <c r="N1127" s="11" t="s">
        <v>12</v>
      </c>
      <c r="O1127" s="11" t="s">
        <v>13</v>
      </c>
      <c r="P1127" s="11" t="s">
        <v>14</v>
      </c>
      <c r="Q1127" s="37" t="s">
        <v>15</v>
      </c>
      <c r="R1127" s="42">
        <f>_xll.ciqfunctions.udf.CIQ(A1128,("IQ_LASTSALEPRICE"))</f>
        <v>98.515000000000001</v>
      </c>
      <c r="S1127" s="44"/>
      <c r="U1127" s="37" t="s">
        <v>15</v>
      </c>
      <c r="V1127" s="42">
        <f>_xll.ciqfunctions.udf.CIQ(A1128,("IQ_LASTSALEPRICE"))</f>
        <v>98.515000000000001</v>
      </c>
      <c r="W1127" s="44"/>
      <c r="Y1127" s="37" t="s">
        <v>15</v>
      </c>
      <c r="Z1127" s="42">
        <f>_xll.ciqfunctions.udf.CIQ(A1128,("IQ_LASTSALEPRICE"))</f>
        <v>98.515000000000001</v>
      </c>
      <c r="AA1127" s="44"/>
    </row>
    <row r="1128" spans="1:27">
      <c r="A1128" s="12" t="str">
        <f>Analysis!B77</f>
        <v>NYSE:SNX</v>
      </c>
      <c r="B1128" s="13">
        <v>1</v>
      </c>
      <c r="C1128" s="14" t="s">
        <v>16</v>
      </c>
      <c r="D1128" s="15">
        <f>IF(A1136=A1137,_xll.ciqfunctions.udf.CIQ(A1128,"IQ_TOTAL_REV",IQ_FY-10)/I1128,_xll.ciqfunctions.udf.CIQ(A1128, "IQ_TOTAL_REV",IQ_FY-9)/I1128)</f>
        <v>287.42966759374252</v>
      </c>
      <c r="E1128" s="16"/>
      <c r="F1128" s="15">
        <f>IF(A1136=A1137,_xll.ciqfunctions.udf.CIQ(A1128,"IQ_DILUT_EPS_EXCL",IQ_FY-10), _xll.ciqfunctions.udf.CIQ(A1128, "IQ_DILUT_EPS_EXCL",IQ_FY-9))</f>
        <v>3.01762</v>
      </c>
      <c r="G1128" s="15">
        <f>IF(A1136=A1137,_xll.ciqfunctions.udf.CIQ(A1128,"IQ_EBITDA_MARGIN",IQ_FY-10), _xll.ciqfunctions.udf.CIQ(A1128, "IQ_EBITDA_MARGIN",IQ_FY-9))</f>
        <v>2.5234999999999999</v>
      </c>
      <c r="H1128" s="15">
        <f>IF(A1136=A1137,_xll.ciqfunctions.udf.CIQ(A1128,"IQ_TOTAL_DIV_PAID_CF",IQ_FY-10)/-I1128, _xll.ciqfunctions.udf.CIQ(A1128, "IQ_TOTAL_DIV_PAID_CF",IQ_FY-9)/-I1128)</f>
        <v>0</v>
      </c>
      <c r="I1128" s="17">
        <f>IF(A1136=A1137,_xll.ciqfunctions.udf.CIQ(A1128,"IQ_TOTAL_OUTSTANDING_FILING_DATE",IQ_FY-10), _xll.ciqfunctions.udf.CIQ(A1128, "IQ_TOTAL_OUTSTANDING_FILING_DATE",IQ_FY-9))</f>
        <v>37.731540000000003</v>
      </c>
      <c r="J1128" s="17">
        <f>IF(A1136=A1137,_xll.ciqfunctions.udf.CIQ(A1128,"IQ_CASH_OPER",IQ_FY-10), _xll.ciqfunctions.udf.CIQ(A1128, "IQ_CASH_OPER",IQ_FY-9))</f>
        <v>35.707000000000001</v>
      </c>
      <c r="K1128" s="17">
        <f>IF(A1136=A1137,_xll.ciqfunctions.udf.CIQ(A1128,"IQ_CAPEX",IQ_FY-10), _xll.ciqfunctions.udf.CIQ(A1128, "IQ_CAPEX",IQ_FY-9))</f>
        <v>-28.965</v>
      </c>
      <c r="L1128" s="15">
        <f t="shared" ref="L1128:L1138" si="300">(J1128+K1128)/I1128</f>
        <v>0.17868340385788653</v>
      </c>
      <c r="M1128" s="17">
        <f>IF(A1136=A1137,_xll.ciqfunctions.udf.CIQ(A1128,"IQ_TOTAL_DEBT_ISSUED",IQ_FY-10), _xll.ciqfunctions.udf.CIQ(A1128, "IQ_TOTAL_DEBT_ISSUED",IQ_FY-9))</f>
        <v>1270.7819999999999</v>
      </c>
      <c r="N1128" s="17">
        <f>IF(A1136=A1137,_xll.ciqfunctions.udf.CIQ(A1128,"IQ_TOTAL_DEBT_REPAID",IQ_FY-10), _xll.ciqfunctions.udf.CIQ(A1128, "IQ_TOTAL_DEBT_REPAID",IQ_FY-9))</f>
        <v>-1275.941</v>
      </c>
      <c r="O1128" s="15">
        <f t="shared" ref="O1128:O1138" si="301">(M1128+N1128)/I1128</f>
        <v>-0.13672911309742738</v>
      </c>
      <c r="P1128" s="15">
        <f t="shared" ref="P1128:P1138" si="302">L1128+O1128</f>
        <v>4.1954290760459145E-2</v>
      </c>
      <c r="W1128" s="43"/>
      <c r="AA1128" s="43"/>
    </row>
    <row r="1129" spans="1:27">
      <c r="A1129" s="18" t="str">
        <f>_xll.ciqfunctions.udf.CIQ(A1128,"IQ_COMPANY_NAME")</f>
        <v>TD SYNNEX Corporation</v>
      </c>
      <c r="B1129" s="13">
        <v>2</v>
      </c>
      <c r="C1129" s="14" t="s">
        <v>17</v>
      </c>
      <c r="D1129" s="15">
        <f>IF(A1136=A1137,_xll.ciqfunctions.udf.CIQ(A1128,"IQ_TOTAL_REV",IQ_FY-9)/I1129, _xll.ciqfunctions.udf.CIQ(A1128, "IQ_TOTAL_REV",IQ_FY-8)/I1129)</f>
        <v>350.73857493533706</v>
      </c>
      <c r="E1129" s="16">
        <f t="shared" ref="E1129:E1138" si="303">(D1129-D1128)/D1128</f>
        <v>0.22025877798765126</v>
      </c>
      <c r="F1129" s="15">
        <f>IF(A1136=A1137,_xll.ciqfunctions.udf.CIQ(A1128,"IQ_DILUT_EPS_EXCL",IQ_FY-9), _xll.ciqfunctions.udf.CIQ(A1128, "IQ_DILUT_EPS_EXCL",IQ_FY-8))</f>
        <v>4.5732499999999998</v>
      </c>
      <c r="G1129" s="15">
        <f>IF(A1136=A1137,_xll.ciqfunctions.udf.CIQ(A1128,"IQ_EBITDA_MARGIN",IQ_FY-9), _xll.ciqfunctions.udf.CIQ(A1128, "IQ_EBITDA_MARGIN",IQ_FY-8))</f>
        <v>3.2035999999999998</v>
      </c>
      <c r="H1129" s="15">
        <f>IF(A1136=A1137,_xll.ciqfunctions.udf.CIQ(A1128,"IQ_TOTAL_DIV_PAID_CF",IQ_FY-9)/-I1129, _xll.ciqfunctions.udf.CIQ(A1128, "IQ_TOTAL_DIV_PAID_CF",IQ_FY-8)/-I1129)</f>
        <v>0.12486561803539016</v>
      </c>
      <c r="I1129" s="17">
        <f>IF(A1136=A1137,_xll.ciqfunctions.udf.CIQ(A1128,"IQ_TOTAL_OUTSTANDING_FILING_DATE",IQ_FY-9), _xll.ciqfunctions.udf.CIQ(A1128, "IQ_TOTAL_OUTSTANDING_FILING_DATE",IQ_FY-8))</f>
        <v>39.458419999999997</v>
      </c>
      <c r="J1129" s="17">
        <f>IF(A1136=A1137,_xll.ciqfunctions.udf.CIQ(A1128,"IQ_CASH_OPER",IQ_FY-9), _xll.ciqfunctions.udf.CIQ(A1128, "IQ_CASH_OPER",IQ_FY-8))</f>
        <v>-234.77199999999999</v>
      </c>
      <c r="K1129" s="17">
        <f>IF(A1136=A1137,_xll.ciqfunctions.udf.CIQ(A1128,"IQ_CAPEX",IQ_FY-9), _xll.ciqfunctions.udf.CIQ(A1128, "IQ_CAPEX",IQ_FY-8))</f>
        <v>-57.377000000000002</v>
      </c>
      <c r="L1129" s="15">
        <f t="shared" si="300"/>
        <v>-7.403971066251513</v>
      </c>
      <c r="M1129" s="17">
        <f>IF(A1136=A1137,_xll.ciqfunctions.udf.CIQ(A1128,"IQ_TOTAL_DEBT_ISSUED",IQ_FY-9), _xll.ciqfunctions.udf.CIQ(A1128, "IQ_TOTAL_DEBT_ISSUED",IQ_FY-8))</f>
        <v>4339.1210000000001</v>
      </c>
      <c r="N1129" s="17">
        <f>IF(A1136=A1137,_xll.ciqfunctions.udf.CIQ(A1128,"IQ_TOTAL_DEBT_REPAID",IQ_FY-9), _xll.ciqfunctions.udf.CIQ(A1128, "IQ_TOTAL_DEBT_REPAID",IQ_FY-8))</f>
        <v>-3632.6030000000001</v>
      </c>
      <c r="O1129" s="15">
        <f t="shared" si="301"/>
        <v>17.905379891034666</v>
      </c>
      <c r="P1129" s="15">
        <f t="shared" si="302"/>
        <v>10.501408824783153</v>
      </c>
      <c r="Q1129" s="25" t="s">
        <v>18</v>
      </c>
      <c r="R1129" s="39" t="s">
        <v>19</v>
      </c>
      <c r="S1129" s="1">
        <f>R1127/((AVERAGE(P1133:P1138))*(1+E1139)^3)</f>
        <v>6.5846822317979727</v>
      </c>
      <c r="U1129" s="25" t="s">
        <v>48</v>
      </c>
      <c r="V1129" s="39" t="s">
        <v>19</v>
      </c>
      <c r="W1129" s="1">
        <f>V1127/((AVERAGE(P1133:P1138))*(1+E1139)^3)</f>
        <v>6.5846822317979727</v>
      </c>
      <c r="Y1129" s="25" t="s">
        <v>39</v>
      </c>
      <c r="Z1129" s="39" t="s">
        <v>19</v>
      </c>
      <c r="AA1129" s="1">
        <f>Z1127/((AVERAGE(P1133:P1138))*(1+E1139)^3)</f>
        <v>6.5846822317979727</v>
      </c>
    </row>
    <row r="1130" spans="1:27">
      <c r="B1130" s="13">
        <v>3</v>
      </c>
      <c r="C1130" s="14" t="s">
        <v>20</v>
      </c>
      <c r="D1130" s="15" cm="1">
        <f t="array" ref="D1130">_xlfn.SINGLE(IF(A1136=A1137,_xll.ciqfunctions.udf.CIQ(A1128,"IQ_TOTAL_REV",IQ_FY-8)/I1130, _xll.ciqfunctions.udf.CIQ(A1128, "IQ_TOTAL_REV",IQ_FY-7)/I1130))</f>
        <v>336.12523001137521</v>
      </c>
      <c r="E1130" s="16">
        <f t="shared" si="303"/>
        <v>-4.1664493067681524E-2</v>
      </c>
      <c r="F1130" s="15">
        <f>IF(A1136=A1137,_xll.ciqfunctions.udf.CIQ(A1128,"IQ_DILUT_EPS_EXCL",IQ_FY-8), _xll.ciqfunctions.udf.CIQ(A1128, "IQ_DILUT_EPS_EXCL",IQ_FY-7))</f>
        <v>5.2376500000000004</v>
      </c>
      <c r="G1130" s="15">
        <f>IF(A1136=A1137,_xll.ciqfunctions.udf.CIQ(A1128,"IQ_EBITDA_MARGIN",IQ_FY-8), _xll.ciqfunctions.udf.CIQ(A1128, "IQ_EBITDA_MARGIN",IQ_FY-7))</f>
        <v>3.5099</v>
      </c>
      <c r="H1130" s="15">
        <f>IF(A1136=A1137,_xll.ciqfunctions.udf.CIQ(A1128,"IQ_TOTAL_DIV_PAID_CF",IQ_FY-8)/-I1130, _xll.ciqfunctions.udf.CIQ(A1128, "IQ_TOTAL_DIV_PAID_CF",IQ_FY-7)/-I1130)</f>
        <v>0.56928917854124284</v>
      </c>
      <c r="I1130" s="17">
        <f>IF(A1136=A1137,_xll.ciqfunctions.udf.CIQ(A1128,"IQ_TOTAL_OUTSTANDING_FILING_DATE",IQ_FY-8), _xll.ciqfunctions.udf.CIQ(A1128, "IQ_TOTAL_OUTSTANDING_FILING_DATE",IQ_FY-7))</f>
        <v>39.68282</v>
      </c>
      <c r="J1130" s="17">
        <f>IF(A1136=A1137,_xll.ciqfunctions.udf.CIQ(A1128,"IQ_CASH_OPER",IQ_FY-8), _xll.ciqfunctions.udf.CIQ(A1128, "IQ_CASH_OPER",IQ_FY-7))</f>
        <v>641.34400000000005</v>
      </c>
      <c r="K1130" s="17">
        <f>IF(A1136=A1137,_xll.ciqfunctions.udf.CIQ(A1128,"IQ_CAPEX",IQ_FY-8), _xll.ciqfunctions.udf.CIQ(A1128, "IQ_CAPEX",IQ_FY-7))</f>
        <v>-100.10599999999999</v>
      </c>
      <c r="L1130" s="15">
        <f t="shared" si="300"/>
        <v>13.639101253388748</v>
      </c>
      <c r="M1130" s="17">
        <f>IF(A1136=A1137,_xll.ciqfunctions.udf.CIQ(A1128,"IQ_TOTAL_DEBT_ISSUED",IQ_FY-8), _xll.ciqfunctions.udf.CIQ(A1128, "IQ_TOTAL_DEBT_ISSUED",IQ_FY-7))</f>
        <v>2847.261</v>
      </c>
      <c r="N1130" s="17">
        <f>IF(A1136=A1137,_xll.ciqfunctions.udf.CIQ(A1128,"IQ_TOTAL_DEBT_REPAID",IQ_FY-8), _xll.ciqfunctions.udf.CIQ(A1128, "IQ_TOTAL_DEBT_REPAID",IQ_FY-7))</f>
        <v>-3174.7420000000002</v>
      </c>
      <c r="O1130" s="15">
        <f t="shared" si="301"/>
        <v>-8.2524629046020479</v>
      </c>
      <c r="P1130" s="15">
        <f t="shared" si="302"/>
        <v>5.3866383487867004</v>
      </c>
      <c r="Q1130" s="25" t="s">
        <v>21</v>
      </c>
      <c r="R1130" s="38" t="s">
        <v>49</v>
      </c>
      <c r="S1130" s="2">
        <f>(R1127*I1138)/1000</f>
        <v>8.8270346338000003</v>
      </c>
      <c r="U1130" s="25" t="s">
        <v>59</v>
      </c>
      <c r="V1130" s="38" t="s">
        <v>49</v>
      </c>
      <c r="W1130" s="2">
        <f>(V1127*I1138)/1000</f>
        <v>8.8270346338000003</v>
      </c>
      <c r="Y1130" s="25" t="s">
        <v>46</v>
      </c>
      <c r="Z1130" s="38" t="s">
        <v>49</v>
      </c>
      <c r="AA1130" s="2">
        <f>(Z1127*I1138)/1000</f>
        <v>8.8270346338000003</v>
      </c>
    </row>
    <row r="1131" spans="1:27">
      <c r="A1131" s="18"/>
      <c r="B1131" s="13">
        <v>4</v>
      </c>
      <c r="C1131" s="14" t="s">
        <v>22</v>
      </c>
      <c r="D1131" s="15" cm="1">
        <f t="array" ref="D1131">_xlfn.SINGLE(IF(A1136=A1137,_xll.ciqfunctions.udf.CIQ(A1128,"IQ_TOTAL_REV",IQ_FY-7)/I1131, _xll.ciqfunctions.udf.CIQ(A1128, "IQ_TOTAL_REV",IQ_FY-6)/I1131))</f>
        <v>352.44730899274896</v>
      </c>
      <c r="E1131" s="16">
        <f t="shared" si="303"/>
        <v>4.8559517477522809E-2</v>
      </c>
      <c r="F1131" s="15">
        <f>IF(A1136=A1137,_xll.ciqfunctions.udf.CIQ(A1128,"IQ_DILUT_EPS_EXCL",IQ_FY-7), _xll.ciqfunctions.udf.CIQ(A1128, "IQ_DILUT_EPS_EXCL",IQ_FY-6))</f>
        <v>5.8825700000000003</v>
      </c>
      <c r="G1131" s="15">
        <f>IF(A1136=A1137,_xll.ciqfunctions.udf.CIQ(A1128,"IQ_EBITDA_MARGIN",IQ_FY-7), _xll.ciqfunctions.udf.CIQ(A1128, "IQ_EBITDA_MARGIN",IQ_FY-6))</f>
        <v>3.6358999999999999</v>
      </c>
      <c r="H1131" s="15">
        <f>IF(A1136=A1137,_xll.ciqfunctions.udf.CIQ(A1128,"IQ_TOTAL_DIV_PAID_CF",IQ_FY-7)/-I1131, _xll.ciqfunctions.udf.CIQ(A1128, "IQ_TOTAL_DIV_PAID_CF",IQ_FY-6)/-I1131)</f>
        <v>0.84526175694338257</v>
      </c>
      <c r="I1131" s="17">
        <f>IF(A1136=A1137,_xll.ciqfunctions.udf.CIQ(A1128,"IQ_TOTAL_OUTSTANDING_FILING_DATE",IQ_FY-7), _xll.ciqfunctions.udf.CIQ(A1128, "IQ_TOTAL_OUTSTANDING_FILING_DATE",IQ_FY-6))</f>
        <v>39.8977</v>
      </c>
      <c r="J1131" s="17">
        <f>IF(A1136=A1137,_xll.ciqfunctions.udf.CIQ(A1128,"IQ_CASH_OPER",IQ_FY-7), _xll.ciqfunctions.udf.CIQ(A1128, "IQ_CASH_OPER",IQ_FY-6))</f>
        <v>324.70400000000001</v>
      </c>
      <c r="K1131" s="17">
        <f>IF(A1136=A1137,_xll.ciqfunctions.udf.CIQ(A1128,"IQ_CAPEX",IQ_FY-7), _xll.ciqfunctions.udf.CIQ(A1128, "IQ_CAPEX",IQ_FY-6))</f>
        <v>-123.233</v>
      </c>
      <c r="L1131" s="15">
        <f t="shared" si="300"/>
        <v>5.0496895811036726</v>
      </c>
      <c r="M1131" s="17">
        <f>IF(A1136=A1137,_xll.ciqfunctions.udf.CIQ(A1128,"IQ_TOTAL_DEBT_ISSUED",IQ_FY-7), _xll.ciqfunctions.udf.CIQ(A1128, "IQ_TOTAL_DEBT_ISSUED",IQ_FY-6))</f>
        <v>3503.5160000000001</v>
      </c>
      <c r="N1131" s="17">
        <f>IF(A1136=A1137,_xll.ciqfunctions.udf.CIQ(A1128,"IQ_TOTAL_DEBT_REPAID",IQ_FY-7), _xll.ciqfunctions.udf.CIQ(A1128, "IQ_TOTAL_DEBT_REPAID",IQ_FY-6))</f>
        <v>-3288.1860000000001</v>
      </c>
      <c r="O1131" s="15">
        <f t="shared" si="301"/>
        <v>5.3970529629527499</v>
      </c>
      <c r="P1131" s="15">
        <f t="shared" si="302"/>
        <v>10.446742544056423</v>
      </c>
      <c r="Q1131" s="25" t="s">
        <v>23</v>
      </c>
      <c r="R1131" s="38" t="s">
        <v>24</v>
      </c>
      <c r="S1131" s="1">
        <f>R1127/(AVERAGE(H1133:H1138)*(1+H1139)/(0.5-H1139))</f>
        <v>41.969295646193942</v>
      </c>
      <c r="U1131" s="25" t="s">
        <v>40</v>
      </c>
      <c r="V1131" s="38" t="s">
        <v>24</v>
      </c>
      <c r="W1131" s="1">
        <f>V1127/(AVERAGE(H1133:H1138)*(1+H1139)/(0.5-H1139))</f>
        <v>41.969295646193942</v>
      </c>
      <c r="Y1131" s="25" t="s">
        <v>47</v>
      </c>
      <c r="Z1131" s="38" t="s">
        <v>24</v>
      </c>
      <c r="AA1131" s="1">
        <f>Z1127/(AVERAGE(H1133:H1138)*(1+H1139)/(0.5-H1139))</f>
        <v>41.969295646193942</v>
      </c>
    </row>
    <row r="1132" spans="1:27">
      <c r="B1132" s="13">
        <v>5</v>
      </c>
      <c r="C1132" s="14" t="s">
        <v>25</v>
      </c>
      <c r="D1132" s="15" cm="1">
        <f t="array" ref="D1132">_xlfn.SINGLE(IF(A1136=A1137,_xll.ciqfunctions.udf.CIQ(A1128,"IQ_TOTAL_REV",IQ_FY-6)/I1132, _xll.ciqfunctions.udf.CIQ(A1128, "IQ_TOTAL_REV",IQ_FY-5)/I1132))</f>
        <v>418.40415372287293</v>
      </c>
      <c r="E1132" s="16">
        <f t="shared" si="303"/>
        <v>0.18713958951373616</v>
      </c>
      <c r="F1132" s="15">
        <f>IF(A1136=A1137,_xll.ciqfunctions.udf.CIQ(A1128,"IQ_DILUT_EPS_EXCL",IQ_FY-6), _xll.ciqfunctions.udf.CIQ(A1128, "IQ_DILUT_EPS_EXCL",IQ_FY-5))</f>
        <v>7.4820200000000003</v>
      </c>
      <c r="G1132" s="15">
        <f>IF(A1136=A1137,_xll.ciqfunctions.udf.CIQ(A1128,"IQ_EBITDA_MARGIN",IQ_FY-6), _xll.ciqfunctions.udf.CIQ(A1128, "IQ_EBITDA_MARGIN",IQ_FY-5))</f>
        <v>3.9784000000000002</v>
      </c>
      <c r="H1132" s="15">
        <f>IF(A1136=A1137,_xll.ciqfunctions.udf.CIQ(A1128,"IQ_TOTAL_DIV_PAID_CF",IQ_FY-6)/-I1132, _xll.ciqfunctions.udf.CIQ(A1128, "IQ_TOTAL_DIV_PAID_CF",IQ_FY-5)/-I1132)</f>
        <v>1.0431957640489018</v>
      </c>
      <c r="I1132" s="17">
        <f>IF(A1136=A1137,_xll.ciqfunctions.udf.CIQ(A1128,"IQ_TOTAL_OUTSTANDING_FILING_DATE",IQ_FY-6), _xll.ciqfunctions.udf.CIQ(A1128, "IQ_TOTAL_OUTSTANDING_FILING_DATE",IQ_FY-5))</f>
        <v>40.083559999999999</v>
      </c>
      <c r="J1132" s="17">
        <f>IF(A1136=A1137,_xll.ciqfunctions.udf.CIQ(A1128,"IQ_CASH_OPER",IQ_FY-6), _xll.ciqfunctions.udf.CIQ(A1128, "IQ_CASH_OPER",IQ_FY-5))</f>
        <v>176.76400000000001</v>
      </c>
      <c r="K1132" s="17">
        <f>IF(A1136=A1137,_xll.ciqfunctions.udf.CIQ(A1128,"IQ_CAPEX",IQ_FY-6), _xll.ciqfunctions.udf.CIQ(A1128, "IQ_CAPEX",IQ_FY-5))</f>
        <v>-97.546000000000006</v>
      </c>
      <c r="L1132" s="15">
        <f t="shared" si="300"/>
        <v>1.9763214644607416</v>
      </c>
      <c r="M1132" s="17">
        <f>IF(A1136=A1137,_xll.ciqfunctions.udf.CIQ(A1128,"IQ_TOTAL_DEBT_ISSUED",IQ_FY-6), _xll.ciqfunctions.udf.CIQ(A1128, "IQ_TOTAL_DEBT_ISSUED",IQ_FY-5))</f>
        <v>9067.3369999999995</v>
      </c>
      <c r="N1132" s="17">
        <f>IF(A1136=A1137,_xll.ciqfunctions.udf.CIQ(A1128,"IQ_TOTAL_DEBT_REPAID",IQ_FY-6), _xll.ciqfunctions.udf.CIQ(A1128, "IQ_TOTAL_DEBT_REPAID",IQ_FY-5))</f>
        <v>-8382.3790000000008</v>
      </c>
      <c r="O1132" s="15">
        <f t="shared" si="301"/>
        <v>17.088252640234519</v>
      </c>
      <c r="P1132" s="15">
        <f t="shared" si="302"/>
        <v>19.064574104695261</v>
      </c>
      <c r="Q1132" s="18"/>
      <c r="R1132" s="38" t="s">
        <v>50</v>
      </c>
      <c r="S1132" s="3">
        <f>I1139</f>
        <v>0.1183130795680345</v>
      </c>
      <c r="U1132" s="18"/>
      <c r="V1132" s="38" t="s">
        <v>50</v>
      </c>
      <c r="W1132" s="3">
        <f>I1139</f>
        <v>0.1183130795680345</v>
      </c>
      <c r="Y1132" s="18"/>
      <c r="Z1132" s="38" t="s">
        <v>50</v>
      </c>
      <c r="AA1132" s="3">
        <f>I1139</f>
        <v>0.1183130795680345</v>
      </c>
    </row>
    <row r="1133" spans="1:27">
      <c r="B1133" s="13">
        <v>6</v>
      </c>
      <c r="C1133" s="14" t="s">
        <v>26</v>
      </c>
      <c r="D1133" s="15" cm="1">
        <f t="array" ref="D1133">_xlfn.SINGLE(IF(A1136=A1137,_xll.ciqfunctions.udf.CIQ(A1128,"IQ_TOTAL_REV",IQ_FY-5)/I1133, _xll.ciqfunctions.udf.CIQ(A1128, "IQ_TOTAL_REV",IQ_FY-4)/I1133))</f>
        <v>385.89226805844385</v>
      </c>
      <c r="E1133" s="16">
        <f t="shared" si="303"/>
        <v>-7.7704500242516975E-2</v>
      </c>
      <c r="F1133" s="15">
        <f>IF(A1136=A1137,_xll.ciqfunctions.udf.CIQ(A1128,"IQ_DILUT_EPS_EXCL",IQ_FY-5), _xll.ciqfunctions.udf.CIQ(A1128, "IQ_DILUT_EPS_EXCL",IQ_FY-4))</f>
        <v>7.1714799999999999</v>
      </c>
      <c r="G1133" s="15">
        <f>IF(A1136=A1137,_xll.ciqfunctions.udf.CIQ(A1128,"IQ_EBITDA_MARGIN",IQ_FY-5), _xll.ciqfunctions.udf.CIQ(A1128, "IQ_EBITDA_MARGIN",IQ_FY-4))</f>
        <v>3.9253</v>
      </c>
      <c r="H1133" s="15">
        <f>IF(A1136=A1137,_xll.ciqfunctions.udf.CIQ(A1128,"IQ_TOTAL_DIV_PAID_CF",IQ_FY-5)/-I1133, _xll.ciqfunctions.udf.CIQ(A1128, "IQ_TOTAL_DIV_PAID_CF",IQ_FY-4)/-I1133)</f>
        <v>1.1658008077445716</v>
      </c>
      <c r="I1133" s="17">
        <f>IF(A1136=A1137,_xll.ciqfunctions.udf.CIQ(A1128,"IQ_TOTAL_OUTSTANDING_FILING_DATE",IQ_FY-5), _xll.ciqfunctions.udf.CIQ(A1128, "IQ_TOTAL_OUTSTANDING_FILING_DATE",IQ_FY-4))</f>
        <v>51.226590000000002</v>
      </c>
      <c r="J1133" s="17">
        <f>IF(A1136=A1137,_xll.ciqfunctions.udf.CIQ(A1128,"IQ_CASH_OPER",IQ_FY-5), _xll.ciqfunctions.udf.CIQ(A1128, "IQ_CASH_OPER",IQ_FY-4))</f>
        <v>100.706</v>
      </c>
      <c r="K1133" s="17">
        <f>IF(A1136=A1137,_xll.ciqfunctions.udf.CIQ(A1128,"IQ_CAPEX",IQ_FY-5), _xll.ciqfunctions.udf.CIQ(A1128, "IQ_CAPEX",IQ_FY-4))</f>
        <v>-125.30500000000001</v>
      </c>
      <c r="L1133" s="15">
        <f t="shared" si="300"/>
        <v>-0.48019983371916819</v>
      </c>
      <c r="M1133" s="17">
        <f>IF(A1136=A1137,_xll.ciqfunctions.udf.CIQ(A1128,"IQ_TOTAL_DEBT_ISSUED",IQ_FY-5), _xll.ciqfunctions.udf.CIQ(A1128, "IQ_TOTAL_DEBT_ISSUED",IQ_FY-4))</f>
        <v>10069.636</v>
      </c>
      <c r="N1133" s="17">
        <f>IF(A1136=A1137,_xll.ciqfunctions.udf.CIQ(A1128,"IQ_TOTAL_DEBT_REPAID",IQ_FY-5), _xll.ciqfunctions.udf.CIQ(A1128, "IQ_TOTAL_DEBT_REPAID",IQ_FY-4))</f>
        <v>-8931.1929999999993</v>
      </c>
      <c r="O1133" s="15">
        <f t="shared" si="301"/>
        <v>22.223673291546461</v>
      </c>
      <c r="P1133" s="15">
        <f t="shared" si="302"/>
        <v>21.743473457827292</v>
      </c>
      <c r="Q1133" s="25" t="s">
        <v>27</v>
      </c>
      <c r="R1133" s="38" t="s">
        <v>51</v>
      </c>
      <c r="S1133" s="4">
        <f>AVERAGE(F1133:F1138)/AVERAGE(D1133:D1138)</f>
        <v>1.455635078133634E-2</v>
      </c>
      <c r="U1133" s="25" t="s">
        <v>58</v>
      </c>
      <c r="V1133" s="38" t="s">
        <v>51</v>
      </c>
      <c r="W1133" s="4">
        <f>AVERAGE(F1133:F1138)/AVERAGE(D1133:D1138)</f>
        <v>1.455635078133634E-2</v>
      </c>
      <c r="Y1133" s="25" t="s">
        <v>56</v>
      </c>
      <c r="Z1133" s="38" t="s">
        <v>51</v>
      </c>
      <c r="AA1133" s="4">
        <f>AVERAGE(F1133:F1138)/AVERAGE(D1133:D1138)</f>
        <v>1.455635078133634E-2</v>
      </c>
    </row>
    <row r="1134" spans="1:27">
      <c r="A1134" s="18"/>
      <c r="B1134" s="13">
        <v>7</v>
      </c>
      <c r="C1134" s="14" t="s">
        <v>28</v>
      </c>
      <c r="D1134" s="15" cm="1">
        <f t="array" ref="D1134">_xlfn.SINGLE(IF(A1136=A1137,_xll.ciqfunctions.udf.CIQ(A1128,"IQ_TOTAL_REV",IQ_FY-4)/I1134, _xll.ciqfunctions.udf.CIQ(A1128, "IQ_TOTAL_REV",IQ_FY-3)/I1134))</f>
        <v>370.7122838536954</v>
      </c>
      <c r="E1134" s="16">
        <f t="shared" si="303"/>
        <v>-3.9337362941020172E-2</v>
      </c>
      <c r="F1134" s="15">
        <f>IF(A1136=A1137,_xll.ciqfunctions.udf.CIQ(A1128,"IQ_DILUT_EPS_EXCL",IQ_FY-4), _xll.ciqfunctions.udf.CIQ(A1128, "IQ_DILUT_EPS_EXCL",IQ_FY-3))</f>
        <v>7.0205900000000003</v>
      </c>
      <c r="G1134" s="15">
        <f>IF(A1136=A1137,_xll.ciqfunctions.udf.CIQ(A1128,"IQ_EBITDA_MARGIN",IQ_FY-4), _xll.ciqfunctions.udf.CIQ(A1128, "IQ_EBITDA_MARGIN",IQ_FY-3))</f>
        <v>3.0767000000000002</v>
      </c>
      <c r="H1134" s="15">
        <f>IF(A1136=A1137,_xll.ciqfunctions.udf.CIQ(A1128,"IQ_TOTAL_DIV_PAID_CF",IQ_FY-4)/-I1134, _xll.ciqfunctions.udf.CIQ(A1128, "IQ_TOTAL_DIV_PAID_CF",IQ_FY-3)/-I1134)</f>
        <v>1.4892082121356269</v>
      </c>
      <c r="I1134" s="17">
        <f>IF(A1136=A1137,_xll.ciqfunctions.udf.CIQ(A1128,"IQ_TOTAL_OUTSTANDING_FILING_DATE",IQ_FY-4), _xll.ciqfunctions.udf.CIQ(A1128, "IQ_TOTAL_OUTSTANDING_FILING_DATE",IQ_FY-3))</f>
        <v>51.441429999999997</v>
      </c>
      <c r="J1134" s="17">
        <f>IF(A1136=A1137,_xll.ciqfunctions.udf.CIQ(A1128,"IQ_CASH_OPER",IQ_FY-4), _xll.ciqfunctions.udf.CIQ(A1128, "IQ_CASH_OPER",IQ_FY-3))</f>
        <v>549.91899999999998</v>
      </c>
      <c r="K1134" s="17">
        <f>IF(A1136=A1137,_xll.ciqfunctions.udf.CIQ(A1128,"IQ_CAPEX",IQ_FY-4), _xll.ciqfunctions.udf.CIQ(A1128, "IQ_CAPEX",IQ_FY-3))</f>
        <v>-137.423</v>
      </c>
      <c r="L1134" s="15">
        <f t="shared" si="300"/>
        <v>8.0187506451511936</v>
      </c>
      <c r="M1134" s="17">
        <f>IF(A1136=A1137,_xll.ciqfunctions.udf.CIQ(A1128,"IQ_TOTAL_DEBT_ISSUED",IQ_FY-4), _xll.ciqfunctions.udf.CIQ(A1128, "IQ_TOTAL_DEBT_ISSUED",IQ_FY-3))</f>
        <v>7503.598</v>
      </c>
      <c r="N1134" s="17">
        <f>IF(A1136=A1137,_xll.ciqfunctions.udf.CIQ(A1128,"IQ_TOTAL_DEBT_REPAID",IQ_FY-4), _xll.ciqfunctions.udf.CIQ(A1128, "IQ_TOTAL_DEBT_REPAID",IQ_FY-3))</f>
        <v>-8026.8689999999997</v>
      </c>
      <c r="O1134" s="15">
        <f t="shared" si="301"/>
        <v>-10.172170563687668</v>
      </c>
      <c r="P1134" s="15">
        <f t="shared" si="302"/>
        <v>-2.1534199185364749</v>
      </c>
      <c r="Q1134" s="18"/>
      <c r="R1134" s="38" t="s">
        <v>29</v>
      </c>
      <c r="S1134" s="4">
        <f>(AVERAGE(P1133:P1138)/_xlfn.STDEV.P(P1133:P1138))/(IF(A1136=A1137,(_xlfn.SINGLE(_xll.ciqfunctions.udf.CIQ(A1128,"IQ_total_assets",IQ_FY)) - _xlfn.SINGLE(_xll.ciqfunctions.udf.CIQ(A1128,"iq_gw_intan", IQ_FY)))/I1138, (_xlfn.SINGLE(_xll.ciqfunctions.udf.CIQ(A1128, "IQ_total_assets",IQ_LTM))-_xlfn.SINGLE(_xll.ciqfunctions.udf.CIQ(A1128,"iq_gw_intan",IQ_LTM)))/I1138))</f>
        <v>4.2905864851338254E-3</v>
      </c>
      <c r="U1134" s="18"/>
      <c r="V1134" s="38" t="s">
        <v>29</v>
      </c>
      <c r="W1134" s="4">
        <f>(AVERAGE(P1133:P1138)/_xlfn.STDEV.P(P1133:P1138))/(IF(A1136=A1137,(_xlfn.SINGLE(_xll.ciqfunctions.udf.CIQ(A1128,"IQ_total_assets",IQ_FY)) - _xlfn.SINGLE(_xll.ciqfunctions.udf.CIQ(A1128,"iq_gw_intan", IQ_FY)))/I1138, (_xlfn.SINGLE(_xll.ciqfunctions.udf.CIQ(A1128, "IQ_total_assets",IQ_LTM))-_xlfn.SINGLE(_xll.ciqfunctions.udf.CIQ(A1128,"iq_gw_intan",IQ_LTM)))/I1138))</f>
        <v>4.2905864851338254E-3</v>
      </c>
      <c r="Y1134" s="18"/>
      <c r="Z1134" s="38" t="s">
        <v>29</v>
      </c>
      <c r="AA1134" s="4">
        <f>(AVERAGE(P1133:P1138)/_xlfn.STDEV.P(P1133:P1138))/(IF(A1136=A1137,(_xlfn.SINGLE(_xll.ciqfunctions.udf.CIQ(A1128,"IQ_total_assets",IQ_FY)) - _xlfn.SINGLE(_xll.ciqfunctions.udf.CIQ(A1128,"iq_gw_intan", IQ_FY)))/I1138, (_xlfn.SINGLE(_xll.ciqfunctions.udf.CIQ(A1128, "IQ_total_assets",IQ_LTM))-_xlfn.SINGLE(_xll.ciqfunctions.udf.CIQ(A1128,"iq_gw_intan",IQ_LTM)))/I1138))</f>
        <v>4.2905864851338254E-3</v>
      </c>
    </row>
    <row r="1135" spans="1:27">
      <c r="A1135" s="18"/>
      <c r="B1135" s="13">
        <v>8</v>
      </c>
      <c r="C1135" s="14" t="s">
        <v>30</v>
      </c>
      <c r="D1135" s="15" cm="1">
        <f t="array" ref="D1135">_xlfn.SINGLE(IF(A1136=A1137,_xll.ciqfunctions.udf.CIQ(A1128,"IQ_TOTAL_REV",IQ_FY-3)/I1135, _xll.ciqfunctions.udf.CIQ(A1128, "IQ_TOTAL_REV",IQ_FY-2)/I1135))</f>
        <v>387.17778065478433</v>
      </c>
      <c r="E1135" s="16">
        <f t="shared" si="303"/>
        <v>4.441583815330806E-2</v>
      </c>
      <c r="F1135" s="15">
        <f>IF(A1136=A1137,_xll.ciqfunctions.udf.CIQ(A1128,"IQ_DILUT_EPS_EXCL",IQ_FY-3), _xll.ciqfunctions.udf.CIQ(A1128, "IQ_DILUT_EPS_EXCL",IQ_FY-2))</f>
        <v>6.4151100000000003</v>
      </c>
      <c r="G1135" s="15">
        <f>IF(A1136=A1137,_xll.ciqfunctions.udf.CIQ(A1128,"IQ_EBITDA_MARGIN",IQ_FY-3), _xll.ciqfunctions.udf.CIQ(A1128, "IQ_EBITDA_MARGIN",IQ_FY-2))</f>
        <v>2.9725000000000001</v>
      </c>
      <c r="H1135" s="15">
        <f>IF(A1136=A1137,_xll.ciqfunctions.udf.CIQ(A1128,"IQ_TOTAL_DIV_PAID_CF",IQ_FY-3)/-I1135, _xll.ciqfunctions.udf.CIQ(A1128, "IQ_TOTAL_DIV_PAID_CF",IQ_FY-2)/-I1135)</f>
        <v>0.40277660414862615</v>
      </c>
      <c r="I1135" s="17">
        <f>IF(A1136=A1137,_xll.ciqfunctions.udf.CIQ(A1128,"IQ_TOTAL_OUTSTANDING_FILING_DATE",IQ_FY-3), _xll.ciqfunctions.udf.CIQ(A1128, "IQ_TOTAL_OUTSTANDING_FILING_DATE",IQ_FY-2))</f>
        <v>51.59684</v>
      </c>
      <c r="J1135" s="17">
        <f>IF(A1136=A1137,_xll.ciqfunctions.udf.CIQ(A1128,"IQ_CASH_OPER",IQ_FY-3), _xll.ciqfunctions.udf.CIQ(A1128, "IQ_CASH_OPER",IQ_FY-2))</f>
        <v>1834.366</v>
      </c>
      <c r="K1135" s="17">
        <f>IF(A1136=A1137,_xll.ciqfunctions.udf.CIQ(A1128,"IQ_CAPEX",IQ_FY-3), _xll.ciqfunctions.udf.CIQ(A1128, "IQ_CAPEX",IQ_FY-2))</f>
        <v>-197.965</v>
      </c>
      <c r="L1135" s="15">
        <f t="shared" si="300"/>
        <v>31.715139919421421</v>
      </c>
      <c r="M1135" s="17">
        <f>IF(A1136=A1137,_xll.ciqfunctions.udf.CIQ(A1128,"IQ_TOTAL_DEBT_ISSUED",IQ_FY-3), _xll.ciqfunctions.udf.CIQ(A1128, "IQ_TOTAL_DEBT_ISSUED",IQ_FY-2))</f>
        <v>1050.0999999999999</v>
      </c>
      <c r="N1135" s="17">
        <f>IF(A1136=A1137,_xll.ciqfunctions.udf.CIQ(A1128,"IQ_TOTAL_DEBT_REPAID",IQ_FY-3), _xll.ciqfunctions.udf.CIQ(A1128, "IQ_TOTAL_DEBT_REPAID",IQ_FY-2))</f>
        <v>-1304.19</v>
      </c>
      <c r="O1135" s="15">
        <f t="shared" si="301"/>
        <v>-4.9245263857244002</v>
      </c>
      <c r="P1135" s="15">
        <f t="shared" si="302"/>
        <v>26.790613533697019</v>
      </c>
      <c r="Q1135" s="18"/>
      <c r="R1135" s="39" t="s">
        <v>31</v>
      </c>
      <c r="S1135" s="5">
        <f>IF(NOT(D1128&gt;0),FALSE,SLOPE(G1128:G1138,B1128:B1138))</f>
        <v>-2.4797272727272716E-2</v>
      </c>
      <c r="U1135" s="18"/>
      <c r="V1135" s="39" t="s">
        <v>31</v>
      </c>
      <c r="W1135" s="5">
        <f>IF(NOT(D1128&gt;0),FALSE,SLOPE(G1128:G1138,B1128:B1138))</f>
        <v>-2.4797272727272716E-2</v>
      </c>
      <c r="Y1135" s="18"/>
      <c r="Z1135" s="39" t="s">
        <v>31</v>
      </c>
      <c r="AA1135" s="5">
        <f>IF(NOT(L1128&gt;0),FALSE,SLOPE(O1128:O1138,J1128:J1138))</f>
        <v>-9.0423841984306197E-3</v>
      </c>
    </row>
    <row r="1136" spans="1:27">
      <c r="A1136" s="19">
        <f>_xll.ciqfunctions.udf.CIQ(A1128,"IQ_TOTAL_REV",IQ_FY)</f>
        <v>62343.81</v>
      </c>
      <c r="B1136" s="13">
        <v>9</v>
      </c>
      <c r="C1136" s="14" t="s">
        <v>32</v>
      </c>
      <c r="D1136" s="15" cm="1">
        <f t="array" ref="D1136">_xlfn.SINGLE(IF(A1136=A1137,_xll.ciqfunctions.udf.CIQ(A1128,"IQ_TOTAL_REV",IQ_FY-2)/I1136, _xll.ciqfunctions.udf.CIQ(A1128, "IQ_TOTAL_REV",IQ_FY-1)/I1136))</f>
        <v>327.96774783197407</v>
      </c>
      <c r="E1136" s="16">
        <f t="shared" si="303"/>
        <v>-0.15292724887950929</v>
      </c>
      <c r="F1136" s="15">
        <f>IF(A1136=A1137,_xll.ciqfunctions.udf.CIQ(A1128,"IQ_DILUT_EPS_EXCL",IQ_FY-2), _xll.ciqfunctions.udf.CIQ(A1128, "IQ_DILUT_EPS_EXCL",IQ_FY-1))</f>
        <v>6.2370599999999996</v>
      </c>
      <c r="G1136" s="15">
        <f>IF(A1136=A1137,_xll.ciqfunctions.udf.CIQ(A1128,"IQ_EBITDA_MARGIN",IQ_FY-2), _xll.ciqfunctions.udf.CIQ(A1128, "IQ_EBITDA_MARGIN",IQ_FY-1))</f>
        <v>2.88</v>
      </c>
      <c r="H1136" s="15">
        <f>IF(A1136=A1137,_xll.ciqfunctions.udf.CIQ(A1128,"IQ_TOTAL_DIV_PAID_CF",IQ_FY-2)/-I1136, _xll.ciqfunctions.udf.CIQ(A1128, "IQ_TOTAL_DIV_PAID_CF",IQ_FY-1)/-I1136)</f>
        <v>0.52152547862349308</v>
      </c>
      <c r="I1136" s="17">
        <f>IF(A1136=A1137,_xll.ciqfunctions.udf.CIQ(A1128,"IQ_TOTAL_OUTSTANDING_FILING_DATE",IQ_FY-2), _xll.ciqfunctions.udf.CIQ(A1128, "IQ_TOTAL_OUTSTANDING_FILING_DATE",IQ_FY-1))</f>
        <v>96.394139999999993</v>
      </c>
      <c r="J1136" s="17">
        <f>IF(A1136=A1137,_xll.ciqfunctions.udf.CIQ(A1128,"IQ_CASH_OPER",IQ_FY-2), _xll.ciqfunctions.udf.CIQ(A1128, "IQ_CASH_OPER",IQ_FY-1))</f>
        <v>809.78700000000003</v>
      </c>
      <c r="K1136" s="17">
        <f>IF(A1136=A1137,_xll.ciqfunctions.udf.CIQ(A1128,"IQ_CAPEX",IQ_FY-2), _xll.ciqfunctions.udf.CIQ(A1128, "IQ_CAPEX",IQ_FY-1))</f>
        <v>-54.892000000000003</v>
      </c>
      <c r="L1136" s="15">
        <f t="shared" si="300"/>
        <v>7.8313370501567841</v>
      </c>
      <c r="M1136" s="17">
        <f>IF(A1136=A1137,_xll.ciqfunctions.udf.CIQ(A1128,"IQ_TOTAL_DEBT_ISSUED",IQ_FY-2), _xll.ciqfunctions.udf.CIQ(A1128, "IQ_TOTAL_DEBT_ISSUED",IQ_FY-1))</f>
        <v>2545.5349999999999</v>
      </c>
      <c r="N1136" s="17">
        <f>IF(A1136=A1137,_xll.ciqfunctions.udf.CIQ(A1128,"IQ_TOTAL_DEBT_REPAID",IQ_FY-2), _xll.ciqfunctions.udf.CIQ(A1128, "IQ_TOTAL_DEBT_REPAID",IQ_FY-1))</f>
        <v>-2694.9850000000001</v>
      </c>
      <c r="O1136" s="15">
        <f t="shared" si="301"/>
        <v>-1.550405449957853</v>
      </c>
      <c r="P1136" s="15">
        <f t="shared" si="302"/>
        <v>6.2809316001989313</v>
      </c>
      <c r="Q1136" s="25" t="s">
        <v>33</v>
      </c>
      <c r="R1136" s="38" t="s">
        <v>52</v>
      </c>
      <c r="S1136" s="4">
        <f>(AVERAGE(O1133:O1138)/AVERAGE(P1133:P1138))</f>
        <v>6.8526241372677127E-2</v>
      </c>
      <c r="U1136" s="25" t="s">
        <v>54</v>
      </c>
      <c r="V1136" s="38" t="s">
        <v>52</v>
      </c>
      <c r="W1136" s="4">
        <f>(AVERAGE(O1133:O1138)/AVERAGE(P1133:P1138))</f>
        <v>6.8526241372677127E-2</v>
      </c>
      <c r="Y1136" s="25" t="s">
        <v>60</v>
      </c>
      <c r="Z1136" s="38" t="s">
        <v>52</v>
      </c>
      <c r="AA1136" s="4">
        <f>(AVERAGE(O1133:O1138)/AVERAGE(P1133:P1138))</f>
        <v>6.8526241372677127E-2</v>
      </c>
    </row>
    <row r="1137" spans="1:27">
      <c r="A1137" s="19">
        <f>_xll.ciqfunctions.udf.CIQ(A1128,"IQ_TOTAL_REV",IQ_LTM)</f>
        <v>59396.067000000003</v>
      </c>
      <c r="B1137" s="13">
        <v>10</v>
      </c>
      <c r="C1137" s="14" t="s">
        <v>34</v>
      </c>
      <c r="D1137" s="15" cm="1">
        <f t="array" ref="D1137">_xlfn.SINGLE(IF(A1136=A1137,_xll.ciqfunctions.udf.CIQ(A1128,"IQ_TOTAL_REV",IQ_FY-1)/I1137, _xll.ciqfunctions.udf.CIQ(A1128, "IQ_TOTAL_REV",IQ_FY)/I1137))</f>
        <v>653.87657779774736</v>
      </c>
      <c r="E1137" s="16">
        <f t="shared" si="303"/>
        <v>0.99372219408825646</v>
      </c>
      <c r="F1137" s="15">
        <f>IF(A1136=A1137,_xll.ciqfunctions.udf.CIQ(A1128,"IQ_DILUT_EPS_EXCL",IQ_FY-1), _xll.ciqfunctions.udf.CIQ(A1128, "IQ_DILUT_EPS_EXCL",IQ_FY))</f>
        <v>6.7739599999999998</v>
      </c>
      <c r="G1137" s="15">
        <f>IF(A1136=A1137,_xll.ciqfunctions.udf.CIQ(A1128,"IQ_EBITDA_MARGIN",IQ_FY-1), _xll.ciqfunctions.udf.CIQ(A1128, "IQ_EBITDA_MARGIN",IQ_FY))</f>
        <v>2.9396</v>
      </c>
      <c r="H1137" s="15">
        <f>IF(A1136=A1137,_xll.ciqfunctions.udf.CIQ(A1128,"IQ_TOTAL_DIV_PAID_CF",IQ_FY-1)/-I1137, _xll.ciqfunctions.udf.CIQ(A1128, "IQ_TOTAL_DIV_PAID_CF",IQ_FY)/-I1137)</f>
        <v>1.2055807482978642</v>
      </c>
      <c r="I1137" s="17">
        <f>IF(A1136=A1137,_xll.ciqfunctions.udf.CIQ(A1128,"IQ_TOTAL_OUTSTANDING_FILING_DATE",IQ_FY-1), _xll.ciqfunctions.udf.CIQ(A1128, "IQ_TOTAL_OUTSTANDING_FILING_DATE",IQ_FY))</f>
        <v>95.344920000000002</v>
      </c>
      <c r="J1137" s="17">
        <f>IF(A1136=A1137,_xll.ciqfunctions.udf.CIQ(A1128,"IQ_CASH_OPER",IQ_FY-1), _xll.ciqfunctions.udf.CIQ(A1128, "IQ_CASH_OPER",IQ_FY))</f>
        <v>-49.603999999999999</v>
      </c>
      <c r="K1137" s="17">
        <f>IF(A1136=A1137,_xll.ciqfunctions.udf.CIQ(A1128,"IQ_CAPEX",IQ_FY-1), _xll.ciqfunctions.udf.CIQ(A1128, "IQ_CAPEX",IQ_FY))</f>
        <v>-117.04900000000001</v>
      </c>
      <c r="L1137" s="15">
        <f t="shared" si="300"/>
        <v>-1.747895955023089</v>
      </c>
      <c r="M1137" s="17">
        <f>IF(A1136=A1137,_xll.ciqfunctions.udf.CIQ(A1128,"IQ_TOTAL_DEBT_ISSUED",IQ_FY-1), _xll.ciqfunctions.udf.CIQ(A1128, "IQ_TOTAL_DEBT_ISSUED",IQ_FY))</f>
        <v>96.591999999999999</v>
      </c>
      <c r="N1137" s="17">
        <f>IF(A1136=A1137,_xll.ciqfunctions.udf.CIQ(A1128,"IQ_TOTAL_DEBT_REPAID",IQ_FY-1), _xll.ciqfunctions.udf.CIQ(A1128, "IQ_TOTAL_DEBT_REPAID",IQ_FY))</f>
        <v>-128.72800000000001</v>
      </c>
      <c r="O1137" s="15">
        <f t="shared" si="301"/>
        <v>-0.33704994455918585</v>
      </c>
      <c r="P1137" s="15">
        <f t="shared" si="302"/>
        <v>-2.0849458995822747</v>
      </c>
      <c r="Q1137" s="25" t="s">
        <v>44</v>
      </c>
      <c r="R1137" s="38" t="s">
        <v>35</v>
      </c>
      <c r="S1137" s="1">
        <f>_xll.ciqfunctions.udf.CIQ(A1128,"IQ_TEV_EBITDA")</f>
        <v>6.0934499999999998</v>
      </c>
      <c r="U1137" s="25" t="s">
        <v>55</v>
      </c>
      <c r="V1137" s="38" t="s">
        <v>53</v>
      </c>
      <c r="W1137" s="1">
        <f>V1127/(AVERAGE(D1133:D1138)/_xlfn.STDEV.P(E1133:E1138))</f>
        <v>8.2945463138435246E-2</v>
      </c>
      <c r="Y1137" s="25" t="s">
        <v>57</v>
      </c>
      <c r="Z1137" s="38" t="s">
        <v>53</v>
      </c>
      <c r="AA1137" s="1">
        <f>Z1127/(AVERAGE(D1133:D1138)/_xlfn.STDEV.P(E1133:E1138))</f>
        <v>8.2945463138435246E-2</v>
      </c>
    </row>
    <row r="1138" spans="1:27">
      <c r="B1138" s="13">
        <v>11</v>
      </c>
      <c r="C1138" s="20" t="s">
        <v>36</v>
      </c>
      <c r="D1138" s="21" cm="1">
        <f t="array" ref="D1138">_xlfn.SINGLE(IF(A1136=A1137,_xll.ciqfunctions.udf.CIQ(A1128,"IQ_TOTAL_REV",IQ_FY)/I1138, _xll.ciqfunctions.udf.CIQ(A1128, "IQ_TOTAL_REV",IQ_LTM)/I1138))</f>
        <v>662.89572696351775</v>
      </c>
      <c r="E1138" s="22">
        <f t="shared" si="303"/>
        <v>1.3793351026805135E-2</v>
      </c>
      <c r="F1138" s="21">
        <f>IF(A1136=A1137,_xll.ciqfunctions.udf.CIQ(A1128,"IQ_DILUT_EPS_EXCL",IQ_FY), _xll.ciqfunctions.udf.CIQ(A1128, "IQ_DILUT_EPS_EXCL",IQ_LTM))</f>
        <v>6.9725099999999998</v>
      </c>
      <c r="G1138" s="21">
        <f>IF(A1136=A1137,_xll.ciqfunctions.udf.CIQ(A1128,"IQ_EBITDA_MARGIN",IQ_FY), _xll.ciqfunctions.udf.CIQ(A1128, "IQ_EBITDA_MARGIN",IQ_LTM))</f>
        <v>3.0127999999999999</v>
      </c>
      <c r="H1138" s="21">
        <f>IF(A1136=A1137,_xll.ciqfunctions.udf.CIQ(A1128,"IQ_TOTAL_DIV_PAID_CF",IQ_FY)/-I1138, _xll.ciqfunctions.udf.CIQ(A1128, "IQ_TOTAL_DIV_PAID_CF",IQ_LTM)/-I1138)</f>
        <v>1.4251527774491599</v>
      </c>
      <c r="I1138" s="23">
        <f>IF(A1136=A1137,_xll.ciqfunctions.udf.CIQ(A1128,"IQ_TOTAL_OUTSTANDING_FILING_DATE",IQ_FY),_xll.ciqfunctions.udf.CIQ(A1128,"IQ_sharesoutstanding"))</f>
        <v>89.600920000000002</v>
      </c>
      <c r="J1138" s="23">
        <f>IF(A1136=A1137,_xll.ciqfunctions.udf.CIQ(A1128,"IQ_CASH_OPER",IQ_FY), _xll.ciqfunctions.udf.CIQ(A1128, "IQ_CASH_OPER",IQ_LTM))</f>
        <v>1498.894</v>
      </c>
      <c r="K1138" s="23">
        <f>IF(A1136=A1137,_xll.ciqfunctions.udf.CIQ(A1128,"IQ_CAPEX",IQ_FY), _xll.ciqfunctions.udf.CIQ(A1128, "IQ_CAPEX",IQ_LTM))</f>
        <v>-145.94399999999999</v>
      </c>
      <c r="L1138" s="21">
        <f t="shared" si="300"/>
        <v>15.099733350952199</v>
      </c>
      <c r="M1138" s="23">
        <f>IF(A1136=A1137,_xll.ciqfunctions.udf.CIQ(A1128,"IQ_TOTAL_DEBT_ISSUED",IQ_FY), _xll.ciqfunctions.udf.CIQ(A1128, "IQ_TOTAL_DEBT_ISSUED",IQ_LTM))</f>
        <v>66.436999999999998</v>
      </c>
      <c r="N1138" s="23">
        <f>IF(A1136=A1137,_xll.ciqfunctions.udf.CIQ(A1128,"IQ_TOTAL_DEBT_REPAID",IQ_FY), _xll.ciqfunctions.udf.CIQ(A1128, "IQ_TOTAL_DEBT_REPAID",IQ_LTM))</f>
        <v>-137.52000000000001</v>
      </c>
      <c r="O1138" s="21">
        <f t="shared" si="301"/>
        <v>-0.79332890778353626</v>
      </c>
      <c r="P1138" s="21">
        <f t="shared" si="302"/>
        <v>14.306404443168663</v>
      </c>
      <c r="Q1138" s="25" t="s">
        <v>45</v>
      </c>
      <c r="S1138" s="45"/>
      <c r="U1138" s="25"/>
      <c r="W1138" s="45"/>
      <c r="Y1138" s="25"/>
      <c r="AA1138" s="45"/>
    </row>
    <row r="1139" spans="1:27">
      <c r="B1139" s="24"/>
      <c r="C1139" s="25" t="s">
        <v>37</v>
      </c>
      <c r="E1139" s="26">
        <f>((D1138/D1133)^(1/5))-1</f>
        <v>0.11428383066206615</v>
      </c>
      <c r="F1139" s="27">
        <f>((F1138/F1133)^(1/5))-1</f>
        <v>-5.6115509387857365E-3</v>
      </c>
      <c r="G1139" s="28"/>
      <c r="H1139" s="27">
        <f>((H1138/H1133)^(1/5))-1</f>
        <v>4.0992053568987163E-2</v>
      </c>
      <c r="I1139" s="27">
        <f>((I1138/I1133)^(1/5))-1</f>
        <v>0.1183130795680345</v>
      </c>
      <c r="J1139" s="27"/>
      <c r="K1139" s="27"/>
      <c r="L1139" s="26">
        <f>((L1138/L1133)^(1/5))-1</f>
        <v>-2.9930098933178089</v>
      </c>
      <c r="M1139" s="26"/>
      <c r="N1139" s="26"/>
      <c r="O1139" s="26"/>
      <c r="P1139" s="26">
        <f>((P1138/P1133)^(1/5))-1</f>
        <v>-8.0312433536840588E-2</v>
      </c>
      <c r="Q1139" s="18"/>
      <c r="R1139" s="36"/>
      <c r="S1139" s="45"/>
      <c r="U1139" s="18"/>
      <c r="V1139" s="36"/>
      <c r="W1139" s="45"/>
      <c r="Y1139" s="18"/>
      <c r="Z1139" s="36"/>
      <c r="AA1139" s="45"/>
    </row>
    <row r="1140" spans="1:27">
      <c r="A1140" s="29"/>
      <c r="B1140" s="30"/>
      <c r="C1140" s="31" t="s">
        <v>38</v>
      </c>
      <c r="D1140" s="29"/>
      <c r="E1140" s="32">
        <f>((D1138/D1128)^(1/10))-1</f>
        <v>8.7154737419715245E-2</v>
      </c>
      <c r="F1140" s="33">
        <f>((F1138/F1128)^(1/10))-1</f>
        <v>8.7357763617225359E-2</v>
      </c>
      <c r="G1140" s="34"/>
      <c r="H1140" s="33" t="e">
        <f>((H1138/H1128)^(1/10))-1</f>
        <v>#DIV/0!</v>
      </c>
      <c r="I1140" s="33">
        <f>((I1138/I1128)^(1/10))-1</f>
        <v>9.0337110192845627E-2</v>
      </c>
      <c r="J1140" s="33"/>
      <c r="K1140" s="33"/>
      <c r="L1140" s="32">
        <f>((L1138/L1128)^(1/10))-1</f>
        <v>0.55843432856148478</v>
      </c>
      <c r="M1140" s="32"/>
      <c r="N1140" s="32"/>
      <c r="O1140" s="32"/>
      <c r="P1140" s="32">
        <f>((P1138/P1128)^(1/10))-1</f>
        <v>0.79174174181027746</v>
      </c>
      <c r="Q1140" s="40"/>
      <c r="R1140" s="41"/>
      <c r="S1140" s="46"/>
      <c r="U1140" s="40"/>
      <c r="V1140" s="41"/>
      <c r="W1140" s="46"/>
      <c r="Y1140" s="40"/>
      <c r="Z1140" s="41"/>
      <c r="AA1140" s="46"/>
    </row>
    <row r="1141" spans="1:27">
      <c r="B1141" s="24"/>
      <c r="C1141" s="25"/>
      <c r="E1141" s="26"/>
      <c r="F1141" s="27"/>
      <c r="G1141" s="28"/>
      <c r="H1141" s="27"/>
      <c r="I1141" s="27"/>
      <c r="J1141" s="27"/>
      <c r="K1141" s="27"/>
      <c r="L1141" s="26"/>
      <c r="M1141" s="17"/>
      <c r="N1141" s="17"/>
      <c r="O1141" s="17"/>
      <c r="P1141" s="35"/>
      <c r="Q1141" s="18"/>
      <c r="R1141" s="36"/>
    </row>
    <row r="1142" spans="1:27">
      <c r="A1142" s="9" t="s">
        <v>0</v>
      </c>
      <c r="B1142" s="10"/>
      <c r="C1142" s="9" t="s">
        <v>1</v>
      </c>
      <c r="D1142" s="9" t="s">
        <v>2</v>
      </c>
      <c r="E1142" s="9" t="s">
        <v>3</v>
      </c>
      <c r="F1142" s="11" t="s">
        <v>4</v>
      </c>
      <c r="G1142" s="11" t="s">
        <v>5</v>
      </c>
      <c r="H1142" s="9" t="s">
        <v>6</v>
      </c>
      <c r="I1142" s="11" t="s">
        <v>7</v>
      </c>
      <c r="J1142" s="11" t="s">
        <v>8</v>
      </c>
      <c r="K1142" s="11" t="s">
        <v>9</v>
      </c>
      <c r="L1142" s="11" t="s">
        <v>10</v>
      </c>
      <c r="M1142" s="11" t="s">
        <v>11</v>
      </c>
      <c r="N1142" s="11" t="s">
        <v>12</v>
      </c>
      <c r="O1142" s="11" t="s">
        <v>13</v>
      </c>
      <c r="P1142" s="11" t="s">
        <v>14</v>
      </c>
      <c r="Q1142" s="37" t="s">
        <v>15</v>
      </c>
      <c r="R1142" s="42">
        <f>_xll.ciqfunctions.udf.CIQ(A1143,("IQ_LASTSALEPRICE"))</f>
        <v>149.93</v>
      </c>
      <c r="S1142" s="44"/>
      <c r="U1142" s="37" t="s">
        <v>15</v>
      </c>
      <c r="V1142" s="42">
        <f>_xll.ciqfunctions.udf.CIQ(A1143,("IQ_LASTSALEPRICE"))</f>
        <v>149.93</v>
      </c>
      <c r="W1142" s="44"/>
      <c r="Y1142" s="37" t="s">
        <v>15</v>
      </c>
      <c r="Z1142" s="42">
        <f>_xll.ciqfunctions.udf.CIQ(A1143,("IQ_LASTSALEPRICE"))</f>
        <v>149.93</v>
      </c>
      <c r="AA1142" s="44"/>
    </row>
    <row r="1143" spans="1:27">
      <c r="A1143" s="12" t="str">
        <f>Analysis!B78</f>
        <v>NasdaqGS:NSIT</v>
      </c>
      <c r="B1143" s="13">
        <v>1</v>
      </c>
      <c r="C1143" s="14" t="s">
        <v>16</v>
      </c>
      <c r="D1143" s="15">
        <f>IF(A1151=A1152,_xll.ciqfunctions.udf.CIQ(A1143,"IQ_TOTAL_REV",IQ_FY-10)/I1143,_xll.ciqfunctions.udf.CIQ(A1143, "IQ_TOTAL_REV",IQ_FY-9)/I1143)</f>
        <v>123.92878333703922</v>
      </c>
      <c r="E1143" s="16"/>
      <c r="F1143" s="15">
        <f>IF(A1151=A1152,_xll.ciqfunctions.udf.CIQ(A1143,"IQ_DILUT_EPS_EXCL",IQ_FY-10), _xll.ciqfunctions.udf.CIQ(A1143, "IQ_DILUT_EPS_EXCL",IQ_FY-9))</f>
        <v>1.64</v>
      </c>
      <c r="G1143" s="15">
        <f>IF(A1151=A1152,_xll.ciqfunctions.udf.CIQ(A1143,"IQ_EBITDA_MARGIN",IQ_FY-10), _xll.ciqfunctions.udf.CIQ(A1143, "IQ_EBITDA_MARGIN",IQ_FY-9))</f>
        <v>3.4119000000000002</v>
      </c>
      <c r="H1143" s="15">
        <f>IF(A1151=A1152,_xll.ciqfunctions.udf.CIQ(A1143,"IQ_TOTAL_DIV_PAID_CF",IQ_FY-10)/-I1143, _xll.ciqfunctions.udf.CIQ(A1143, "IQ_TOTAL_DIV_PAID_CF",IQ_FY-9)/-I1143)</f>
        <v>0</v>
      </c>
      <c r="I1143" s="17">
        <f>IF(A1151=A1152,_xll.ciqfunctions.udf.CIQ(A1143,"IQ_TOTAL_OUTSTANDING_FILING_DATE",IQ_FY-10), _xll.ciqfunctions.udf.CIQ(A1143, "IQ_TOTAL_OUTSTANDING_FILING_DATE",IQ_FY-9))</f>
        <v>41.510509999999996</v>
      </c>
      <c r="J1143" s="17">
        <f>IF(A1151=A1152,_xll.ciqfunctions.udf.CIQ(A1143,"IQ_CASH_OPER",IQ_FY-10), _xll.ciqfunctions.udf.CIQ(A1143, "IQ_CASH_OPER",IQ_FY-9))</f>
        <v>76.066000000000003</v>
      </c>
      <c r="K1143" s="17">
        <f>IF(A1151=A1152,_xll.ciqfunctions.udf.CIQ(A1143,"IQ_CAPEX",IQ_FY-10), _xll.ciqfunctions.udf.CIQ(A1143, "IQ_CAPEX",IQ_FY-9))</f>
        <v>-19.024000000000001</v>
      </c>
      <c r="L1143" s="15">
        <f t="shared" ref="L1143:L1153" si="304">(J1143+K1143)/I1143</f>
        <v>1.3741580144401986</v>
      </c>
      <c r="M1143" s="17">
        <f>IF(A1151=A1152,_xll.ciqfunctions.udf.CIQ(A1143,"IQ_TOTAL_DEBT_ISSUED",IQ_FY-10), _xll.ciqfunctions.udf.CIQ(A1143, "IQ_TOTAL_DEBT_ISSUED",IQ_FY-9))</f>
        <v>1710.328</v>
      </c>
      <c r="N1143" s="17">
        <f>IF(A1151=A1152,_xll.ciqfunctions.udf.CIQ(A1143,"IQ_TOTAL_DEBT_REPAID",IQ_FY-10), _xll.ciqfunctions.udf.CIQ(A1143, "IQ_TOTAL_DEBT_REPAID",IQ_FY-9))</f>
        <v>-1726.08</v>
      </c>
      <c r="O1143" s="15">
        <f t="shared" ref="O1143:O1153" si="305">(M1143+N1143)/I1143</f>
        <v>-0.37947016309845277</v>
      </c>
      <c r="P1143" s="15">
        <f t="shared" ref="P1143:P1153" si="306">L1143+O1143</f>
        <v>0.99468785134174587</v>
      </c>
      <c r="W1143" s="43"/>
      <c r="AA1143" s="43"/>
    </row>
    <row r="1144" spans="1:27">
      <c r="A1144" s="18" t="str">
        <f>_xll.ciqfunctions.udf.CIQ(A1143,"IQ_COMPANY_NAME")</f>
        <v>Insight Enterprises, Inc.</v>
      </c>
      <c r="B1144" s="13">
        <v>2</v>
      </c>
      <c r="C1144" s="14" t="s">
        <v>17</v>
      </c>
      <c r="D1144" s="15">
        <f>IF(A1151=A1152,_xll.ciqfunctions.udf.CIQ(A1143,"IQ_TOTAL_REV",IQ_FY-9)/I1144, _xll.ciqfunctions.udf.CIQ(A1143, "IQ_TOTAL_REV",IQ_FY-8)/I1144)</f>
        <v>133.72828769762813</v>
      </c>
      <c r="E1144" s="16">
        <f t="shared" ref="E1144:E1153" si="307">(D1144-D1143)/D1143</f>
        <v>7.9073675192452925E-2</v>
      </c>
      <c r="F1144" s="15">
        <f>IF(A1151=A1152,_xll.ciqfunctions.udf.CIQ(A1143,"IQ_DILUT_EPS_EXCL",IQ_FY-9), _xll.ciqfunctions.udf.CIQ(A1143, "IQ_DILUT_EPS_EXCL",IQ_FY-8))</f>
        <v>1.83</v>
      </c>
      <c r="G1144" s="15">
        <f>IF(A1151=A1152,_xll.ciqfunctions.udf.CIQ(A1143,"IQ_EBITDA_MARGIN",IQ_FY-9), _xll.ciqfunctions.udf.CIQ(A1143, "IQ_EBITDA_MARGIN",IQ_FY-8))</f>
        <v>3.3912</v>
      </c>
      <c r="H1144" s="15">
        <f>IF(A1151=A1152,_xll.ciqfunctions.udf.CIQ(A1143,"IQ_TOTAL_DIV_PAID_CF",IQ_FY-9)/-I1144, _xll.ciqfunctions.udf.CIQ(A1143, "IQ_TOTAL_DIV_PAID_CF",IQ_FY-8)/-I1144)</f>
        <v>0</v>
      </c>
      <c r="I1144" s="17">
        <f>IF(A1151=A1152,_xll.ciqfunctions.udf.CIQ(A1143,"IQ_TOTAL_OUTSTANDING_FILING_DATE",IQ_FY-9), _xll.ciqfunctions.udf.CIQ(A1143, "IQ_TOTAL_OUTSTANDING_FILING_DATE",IQ_FY-8))</f>
        <v>39.753959999999999</v>
      </c>
      <c r="J1144" s="17">
        <f>IF(A1151=A1152,_xll.ciqfunctions.udf.CIQ(A1143,"IQ_CASH_OPER",IQ_FY-9), _xll.ciqfunctions.udf.CIQ(A1143, "IQ_CASH_OPER",IQ_FY-8))</f>
        <v>110.319</v>
      </c>
      <c r="K1144" s="17">
        <f>IF(A1151=A1152,_xll.ciqfunctions.udf.CIQ(A1143,"IQ_CAPEX",IQ_FY-9), _xll.ciqfunctions.udf.CIQ(A1143, "IQ_CAPEX",IQ_FY-8))</f>
        <v>-9.9830000000000005</v>
      </c>
      <c r="L1144" s="15">
        <f t="shared" si="304"/>
        <v>2.5239246605872725</v>
      </c>
      <c r="M1144" s="17">
        <f>IF(A1151=A1152,_xll.ciqfunctions.udf.CIQ(A1143,"IQ_TOTAL_DEBT_ISSUED",IQ_FY-9), _xll.ciqfunctions.udf.CIQ(A1143, "IQ_TOTAL_DEBT_ISSUED",IQ_FY-8))</f>
        <v>1544.5930000000001</v>
      </c>
      <c r="N1144" s="17">
        <f>IF(A1151=A1152,_xll.ciqfunctions.udf.CIQ(A1143,"IQ_TOTAL_DEBT_REPAID",IQ_FY-9), _xll.ciqfunctions.udf.CIQ(A1143, "IQ_TOTAL_DEBT_REPAID",IQ_FY-8))</f>
        <v>-1540.9290000000001</v>
      </c>
      <c r="O1144" s="15">
        <f t="shared" si="305"/>
        <v>9.2166918717028118E-2</v>
      </c>
      <c r="P1144" s="15">
        <f t="shared" si="306"/>
        <v>2.6160915793043005</v>
      </c>
      <c r="Q1144" s="25" t="s">
        <v>18</v>
      </c>
      <c r="R1144" s="39" t="s">
        <v>19</v>
      </c>
      <c r="S1144" s="1">
        <f>R1142/((AVERAGE(P1148:P1153))*(1+E1154)^3)</f>
        <v>15.091190880506018</v>
      </c>
      <c r="U1144" s="25" t="s">
        <v>48</v>
      </c>
      <c r="V1144" s="39" t="s">
        <v>19</v>
      </c>
      <c r="W1144" s="1">
        <f>V1142/((AVERAGE(P1148:P1153))*(1+E1154)^3)</f>
        <v>15.091190880506018</v>
      </c>
      <c r="Y1144" s="25" t="s">
        <v>39</v>
      </c>
      <c r="Z1144" s="39" t="s">
        <v>19</v>
      </c>
      <c r="AA1144" s="1">
        <f>Z1142/((AVERAGE(P1148:P1153))*(1+E1154)^3)</f>
        <v>15.091190880506018</v>
      </c>
    </row>
    <row r="1145" spans="1:27">
      <c r="B1145" s="13">
        <v>3</v>
      </c>
      <c r="C1145" s="14" t="s">
        <v>20</v>
      </c>
      <c r="D1145" s="15" cm="1">
        <f t="array" ref="D1145">_xlfn.SINGLE(IF(A1151=A1152,_xll.ciqfunctions.udf.CIQ(A1143,"IQ_TOTAL_REV",IQ_FY-8)/I1145, _xll.ciqfunctions.udf.CIQ(A1143, "IQ_TOTAL_REV",IQ_FY-7)/I1145))</f>
        <v>144.77411386281204</v>
      </c>
      <c r="E1145" s="16">
        <f t="shared" si="307"/>
        <v>8.2599024898602852E-2</v>
      </c>
      <c r="F1145" s="15">
        <f>IF(A1151=A1152,_xll.ciqfunctions.udf.CIQ(A1143,"IQ_DILUT_EPS_EXCL",IQ_FY-8), _xll.ciqfunctions.udf.CIQ(A1143, "IQ_DILUT_EPS_EXCL",IQ_FY-7))</f>
        <v>1.98</v>
      </c>
      <c r="G1145" s="15">
        <f>IF(A1151=A1152,_xll.ciqfunctions.udf.CIQ(A1143,"IQ_EBITDA_MARGIN",IQ_FY-8), _xll.ciqfunctions.udf.CIQ(A1143, "IQ_EBITDA_MARGIN",IQ_FY-7))</f>
        <v>3.1673</v>
      </c>
      <c r="H1145" s="15">
        <f>IF(A1151=A1152,_xll.ciqfunctions.udf.CIQ(A1143,"IQ_TOTAL_DIV_PAID_CF",IQ_FY-8)/-I1145, _xll.ciqfunctions.udf.CIQ(A1143, "IQ_TOTAL_DIV_PAID_CF",IQ_FY-7)/-I1145)</f>
        <v>0</v>
      </c>
      <c r="I1145" s="17">
        <f>IF(A1151=A1152,_xll.ciqfunctions.udf.CIQ(A1143,"IQ_TOTAL_OUTSTANDING_FILING_DATE",IQ_FY-8), _xll.ciqfunctions.udf.CIQ(A1143, "IQ_TOTAL_OUTSTANDING_FILING_DATE",IQ_FY-7))</f>
        <v>37.113610000000001</v>
      </c>
      <c r="J1145" s="17">
        <f>IF(A1151=A1152,_xll.ciqfunctions.udf.CIQ(A1143,"IQ_CASH_OPER",IQ_FY-8), _xll.ciqfunctions.udf.CIQ(A1143, "IQ_CASH_OPER",IQ_FY-7))</f>
        <v>181.102</v>
      </c>
      <c r="K1145" s="17">
        <f>IF(A1151=A1152,_xll.ciqfunctions.udf.CIQ(A1143,"IQ_CAPEX",IQ_FY-8), _xll.ciqfunctions.udf.CIQ(A1143, "IQ_CAPEX",IQ_FY-7))</f>
        <v>-13.416</v>
      </c>
      <c r="L1145" s="15">
        <f t="shared" si="304"/>
        <v>4.5181807967481475</v>
      </c>
      <c r="M1145" s="17">
        <f>IF(A1151=A1152,_xll.ciqfunctions.udf.CIQ(A1143,"IQ_TOTAL_DEBT_ISSUED",IQ_FY-8), _xll.ciqfunctions.udf.CIQ(A1143, "IQ_TOTAL_DEBT_ISSUED",IQ_FY-7))</f>
        <v>2583.5100000000002</v>
      </c>
      <c r="N1145" s="17">
        <f>IF(A1151=A1152,_xll.ciqfunctions.udf.CIQ(A1143,"IQ_TOTAL_DEBT_REPAID",IQ_FY-8), _xll.ciqfunctions.udf.CIQ(A1143, "IQ_TOTAL_DEBT_REPAID",IQ_FY-7))</f>
        <v>-2572.73</v>
      </c>
      <c r="O1145" s="15">
        <f t="shared" si="305"/>
        <v>0.29045948373117569</v>
      </c>
      <c r="P1145" s="15">
        <f t="shared" si="306"/>
        <v>4.8086402804793229</v>
      </c>
      <c r="Q1145" s="25" t="s">
        <v>21</v>
      </c>
      <c r="R1145" s="38" t="s">
        <v>49</v>
      </c>
      <c r="S1145" s="2">
        <f>(R1142*I1153)/1000</f>
        <v>4.8842441219000001</v>
      </c>
      <c r="U1145" s="25" t="s">
        <v>59</v>
      </c>
      <c r="V1145" s="38" t="s">
        <v>49</v>
      </c>
      <c r="W1145" s="2">
        <f>(V1142*I1153)/1000</f>
        <v>4.8842441219000001</v>
      </c>
      <c r="Y1145" s="25" t="s">
        <v>46</v>
      </c>
      <c r="Z1145" s="38" t="s">
        <v>49</v>
      </c>
      <c r="AA1145" s="2">
        <f>(Z1142*I1153)/1000</f>
        <v>4.8842441219000001</v>
      </c>
    </row>
    <row r="1146" spans="1:27">
      <c r="A1146" s="18"/>
      <c r="B1146" s="13">
        <v>4</v>
      </c>
      <c r="C1146" s="14" t="s">
        <v>22</v>
      </c>
      <c r="D1146" s="15" cm="1">
        <f t="array" ref="D1146">_xlfn.SINGLE(IF(A1151=A1152,_xll.ciqfunctions.udf.CIQ(A1143,"IQ_TOTAL_REV",IQ_FY-7)/I1146, _xll.ciqfunctions.udf.CIQ(A1143, "IQ_TOTAL_REV",IQ_FY-6)/I1146))</f>
        <v>154.58673699867239</v>
      </c>
      <c r="E1146" s="16">
        <f t="shared" si="307"/>
        <v>6.7778851301820375E-2</v>
      </c>
      <c r="F1146" s="15">
        <f>IF(A1151=A1152,_xll.ciqfunctions.udf.CIQ(A1143,"IQ_DILUT_EPS_EXCL",IQ_FY-7), _xll.ciqfunctions.udf.CIQ(A1143, "IQ_DILUT_EPS_EXCL",IQ_FY-6))</f>
        <v>2.3199999999999998</v>
      </c>
      <c r="G1146" s="15">
        <f>IF(A1151=A1152,_xll.ciqfunctions.udf.CIQ(A1143,"IQ_EBITDA_MARGIN",IQ_FY-7), _xll.ciqfunctions.udf.CIQ(A1143, "IQ_EBITDA_MARGIN",IQ_FY-6))</f>
        <v>3.5327000000000002</v>
      </c>
      <c r="H1146" s="15">
        <f>IF(A1151=A1152,_xll.ciqfunctions.udf.CIQ(A1143,"IQ_TOTAL_DIV_PAID_CF",IQ_FY-7)/-I1146, _xll.ciqfunctions.udf.CIQ(A1143, "IQ_TOTAL_DIV_PAID_CF",IQ_FY-6)/-I1146)</f>
        <v>0</v>
      </c>
      <c r="I1146" s="17">
        <f>IF(A1151=A1152,_xll.ciqfunctions.udf.CIQ(A1143,"IQ_TOTAL_OUTSTANDING_FILING_DATE",IQ_FY-7), _xll.ciqfunctions.udf.CIQ(A1143, "IQ_TOTAL_OUTSTANDING_FILING_DATE",IQ_FY-6))</f>
        <v>35.485030000000002</v>
      </c>
      <c r="J1146" s="17">
        <f>IF(A1151=A1152,_xll.ciqfunctions.udf.CIQ(A1143,"IQ_CASH_OPER",IQ_FY-7), _xll.ciqfunctions.udf.CIQ(A1143, "IQ_CASH_OPER",IQ_FY-6))</f>
        <v>96.076999999999998</v>
      </c>
      <c r="K1146" s="17">
        <f>IF(A1151=A1152,_xll.ciqfunctions.udf.CIQ(A1143,"IQ_CAPEX",IQ_FY-7), _xll.ciqfunctions.udf.CIQ(A1143, "IQ_CAPEX",IQ_FY-6))</f>
        <v>-12.266</v>
      </c>
      <c r="L1146" s="15">
        <f t="shared" si="304"/>
        <v>2.3618692163991404</v>
      </c>
      <c r="M1146" s="17">
        <f>IF(A1151=A1152,_xll.ciqfunctions.udf.CIQ(A1143,"IQ_TOTAL_DEBT_ISSUED",IQ_FY-7), _xll.ciqfunctions.udf.CIQ(A1143, "IQ_TOTAL_DEBT_ISSUED",IQ_FY-6))</f>
        <v>3622.8209999999999</v>
      </c>
      <c r="N1146" s="17">
        <f>IF(A1151=A1152,_xll.ciqfunctions.udf.CIQ(A1143,"IQ_TOTAL_DEBT_REPAID",IQ_FY-7), _xll.ciqfunctions.udf.CIQ(A1143, "IQ_TOTAL_DEBT_REPAID",IQ_FY-6))</f>
        <v>-3625.4720000000002</v>
      </c>
      <c r="O1146" s="15">
        <f t="shared" si="305"/>
        <v>-7.4707559779442045E-2</v>
      </c>
      <c r="P1146" s="15">
        <f t="shared" si="306"/>
        <v>2.2871616566196984</v>
      </c>
      <c r="Q1146" s="25" t="s">
        <v>23</v>
      </c>
      <c r="R1146" s="38" t="s">
        <v>24</v>
      </c>
      <c r="S1146" s="1" t="e">
        <f>R1142/(AVERAGE(H1148:H1153)*(1+H1154)/(0.5-H1154))</f>
        <v>#DIV/0!</v>
      </c>
      <c r="U1146" s="25" t="s">
        <v>40</v>
      </c>
      <c r="V1146" s="38" t="s">
        <v>24</v>
      </c>
      <c r="W1146" s="1" t="e">
        <f>V1142/(AVERAGE(H1148:H1153)*(1+H1154)/(0.5-H1154))</f>
        <v>#DIV/0!</v>
      </c>
      <c r="Y1146" s="25" t="s">
        <v>47</v>
      </c>
      <c r="Z1146" s="38" t="s">
        <v>24</v>
      </c>
      <c r="AA1146" s="1" t="e">
        <f>Z1142/(AVERAGE(H1148:H1153)*(1+H1154)/(0.5-H1154))</f>
        <v>#DIV/0!</v>
      </c>
    </row>
    <row r="1147" spans="1:27">
      <c r="B1147" s="13">
        <v>5</v>
      </c>
      <c r="C1147" s="14" t="s">
        <v>25</v>
      </c>
      <c r="D1147" s="15" cm="1">
        <f t="array" ref="D1147">_xlfn.SINGLE(IF(A1151=A1152,_xll.ciqfunctions.udf.CIQ(A1143,"IQ_TOTAL_REV",IQ_FY-6)/I1147, _xll.ciqfunctions.udf.CIQ(A1143, "IQ_TOTAL_REV",IQ_FY-5)/I1147))</f>
        <v>187.06225974095554</v>
      </c>
      <c r="E1147" s="16">
        <f t="shared" si="307"/>
        <v>0.21007961855461152</v>
      </c>
      <c r="F1147" s="15">
        <f>IF(A1151=A1152,_xll.ciqfunctions.udf.CIQ(A1143,"IQ_DILUT_EPS_EXCL",IQ_FY-6), _xll.ciqfunctions.udf.CIQ(A1143, "IQ_DILUT_EPS_EXCL",IQ_FY-5))</f>
        <v>2.5</v>
      </c>
      <c r="G1147" s="15">
        <f>IF(A1151=A1152,_xll.ciqfunctions.udf.CIQ(A1143,"IQ_EBITDA_MARGIN",IQ_FY-6), _xll.ciqfunctions.udf.CIQ(A1143, "IQ_EBITDA_MARGIN",IQ_FY-5))</f>
        <v>3.5478999999999998</v>
      </c>
      <c r="H1147" s="15">
        <f>IF(A1151=A1152,_xll.ciqfunctions.udf.CIQ(A1143,"IQ_TOTAL_DIV_PAID_CF",IQ_FY-6)/-I1147, _xll.ciqfunctions.udf.CIQ(A1143, "IQ_TOTAL_DIV_PAID_CF",IQ_FY-5)/-I1147)</f>
        <v>0</v>
      </c>
      <c r="I1147" s="17">
        <f>IF(A1151=A1152,_xll.ciqfunctions.udf.CIQ(A1143,"IQ_TOTAL_OUTSTANDING_FILING_DATE",IQ_FY-6), _xll.ciqfunctions.udf.CIQ(A1143, "IQ_TOTAL_OUTSTANDING_FILING_DATE",IQ_FY-5))</f>
        <v>35.836320000000001</v>
      </c>
      <c r="J1147" s="17">
        <f>IF(A1151=A1152,_xll.ciqfunctions.udf.CIQ(A1143,"IQ_CASH_OPER",IQ_FY-6), _xll.ciqfunctions.udf.CIQ(A1143, "IQ_CASH_OPER",IQ_FY-5))</f>
        <v>-307.06599999999997</v>
      </c>
      <c r="K1147" s="17">
        <f>IF(A1151=A1152,_xll.ciqfunctions.udf.CIQ(A1143,"IQ_CAPEX",IQ_FY-6), _xll.ciqfunctions.udf.CIQ(A1143, "IQ_CAPEX",IQ_FY-5))</f>
        <v>-19.23</v>
      </c>
      <c r="L1147" s="15">
        <f t="shared" si="304"/>
        <v>-9.1051759778905872</v>
      </c>
      <c r="M1147" s="17">
        <f>IF(A1151=A1152,_xll.ciqfunctions.udf.CIQ(A1143,"IQ_TOTAL_DEBT_ISSUED",IQ_FY-6), _xll.ciqfunctions.udf.CIQ(A1143, "IQ_TOTAL_DEBT_ISSUED",IQ_FY-5))</f>
        <v>5428.6419999999998</v>
      </c>
      <c r="N1147" s="17">
        <f>IF(A1151=A1152,_xll.ciqfunctions.udf.CIQ(A1143,"IQ_TOTAL_DEBT_REPAID",IQ_FY-6), _xll.ciqfunctions.udf.CIQ(A1143, "IQ_TOTAL_DEBT_REPAID",IQ_FY-5))</f>
        <v>-5018.3549999999996</v>
      </c>
      <c r="O1147" s="15">
        <f t="shared" si="305"/>
        <v>11.448915513646497</v>
      </c>
      <c r="P1147" s="15">
        <f t="shared" si="306"/>
        <v>2.3437395357559101</v>
      </c>
      <c r="Q1147" s="18"/>
      <c r="R1147" s="38" t="s">
        <v>50</v>
      </c>
      <c r="S1147" s="3">
        <f>I1154</f>
        <v>-1.7054222998616031E-2</v>
      </c>
      <c r="U1147" s="18"/>
      <c r="V1147" s="38" t="s">
        <v>50</v>
      </c>
      <c r="W1147" s="3">
        <f>I1154</f>
        <v>-1.7054222998616031E-2</v>
      </c>
      <c r="Y1147" s="18"/>
      <c r="Z1147" s="38" t="s">
        <v>50</v>
      </c>
      <c r="AA1147" s="3">
        <f>I1154</f>
        <v>-1.7054222998616031E-2</v>
      </c>
    </row>
    <row r="1148" spans="1:27">
      <c r="B1148" s="13">
        <v>6</v>
      </c>
      <c r="C1148" s="14" t="s">
        <v>26</v>
      </c>
      <c r="D1148" s="15" cm="1">
        <f t="array" ref="D1148">_xlfn.SINGLE(IF(A1151=A1152,_xll.ciqfunctions.udf.CIQ(A1143,"IQ_TOTAL_REV",IQ_FY-5)/I1148, _xll.ciqfunctions.udf.CIQ(A1143, "IQ_TOTAL_REV",IQ_FY-4)/I1148))</f>
        <v>199.42545166321293</v>
      </c>
      <c r="E1148" s="16">
        <f t="shared" si="307"/>
        <v>6.6091321356739605E-2</v>
      </c>
      <c r="F1148" s="15">
        <f>IF(A1151=A1152,_xll.ciqfunctions.udf.CIQ(A1143,"IQ_DILUT_EPS_EXCL",IQ_FY-5), _xll.ciqfunctions.udf.CIQ(A1143, "IQ_DILUT_EPS_EXCL",IQ_FY-4))</f>
        <v>4.55</v>
      </c>
      <c r="G1148" s="15">
        <f>IF(A1151=A1152,_xll.ciqfunctions.udf.CIQ(A1143,"IQ_EBITDA_MARGIN",IQ_FY-5), _xll.ciqfunctions.udf.CIQ(A1143, "IQ_EBITDA_MARGIN",IQ_FY-4))</f>
        <v>3.8791000000000002</v>
      </c>
      <c r="H1148" s="15">
        <f>IF(A1151=A1152,_xll.ciqfunctions.udf.CIQ(A1143,"IQ_TOTAL_DIV_PAID_CF",IQ_FY-5)/-I1148, _xll.ciqfunctions.udf.CIQ(A1143, "IQ_TOTAL_DIV_PAID_CF",IQ_FY-4)/-I1148)</f>
        <v>0</v>
      </c>
      <c r="I1148" s="17">
        <f>IF(A1151=A1152,_xll.ciqfunctions.udf.CIQ(A1143,"IQ_TOTAL_OUTSTANDING_FILING_DATE",IQ_FY-5), _xll.ciqfunctions.udf.CIQ(A1143, "IQ_TOTAL_OUTSTANDING_FILING_DATE",IQ_FY-4))</f>
        <v>35.502670000000002</v>
      </c>
      <c r="J1148" s="17">
        <f>IF(A1151=A1152,_xll.ciqfunctions.udf.CIQ(A1143,"IQ_CASH_OPER",IQ_FY-5), _xll.ciqfunctions.udf.CIQ(A1143, "IQ_CASH_OPER",IQ_FY-4))</f>
        <v>292.64699999999999</v>
      </c>
      <c r="K1148" s="17">
        <f>IF(A1151=A1152,_xll.ciqfunctions.udf.CIQ(A1143,"IQ_CAPEX",IQ_FY-5), _xll.ciqfunctions.udf.CIQ(A1143, "IQ_CAPEX",IQ_FY-4))</f>
        <v>-17.251000000000001</v>
      </c>
      <c r="L1148" s="15">
        <f t="shared" si="304"/>
        <v>7.7570503852245478</v>
      </c>
      <c r="M1148" s="17">
        <f>IF(A1151=A1152,_xll.ciqfunctions.udf.CIQ(A1143,"IQ_TOTAL_DEBT_ISSUED",IQ_FY-5), _xll.ciqfunctions.udf.CIQ(A1143, "IQ_TOTAL_DEBT_ISSUED",IQ_FY-4))</f>
        <v>3926.232</v>
      </c>
      <c r="N1148" s="17">
        <f>IF(A1151=A1152,_xll.ciqfunctions.udf.CIQ(A1143,"IQ_TOTAL_DEBT_REPAID",IQ_FY-5), _xll.ciqfunctions.udf.CIQ(A1143, "IQ_TOTAL_DEBT_REPAID",IQ_FY-4))</f>
        <v>-4056.32</v>
      </c>
      <c r="O1148" s="15">
        <f t="shared" si="305"/>
        <v>-3.6641751169700809</v>
      </c>
      <c r="P1148" s="15">
        <f t="shared" si="306"/>
        <v>4.0928752682544669</v>
      </c>
      <c r="Q1148" s="25" t="s">
        <v>27</v>
      </c>
      <c r="R1148" s="38" t="s">
        <v>51</v>
      </c>
      <c r="S1148" s="4">
        <f>AVERAGE(F1148:F1153)/AVERAGE(D1148:D1153)</f>
        <v>2.2763176136087849E-2</v>
      </c>
      <c r="U1148" s="25" t="s">
        <v>58</v>
      </c>
      <c r="V1148" s="38" t="s">
        <v>51</v>
      </c>
      <c r="W1148" s="4">
        <f>AVERAGE(F1148:F1153)/AVERAGE(D1148:D1153)</f>
        <v>2.2763176136087849E-2</v>
      </c>
      <c r="Y1148" s="25" t="s">
        <v>56</v>
      </c>
      <c r="Z1148" s="38" t="s">
        <v>51</v>
      </c>
      <c r="AA1148" s="4">
        <f>AVERAGE(F1148:F1153)/AVERAGE(D1148:D1153)</f>
        <v>2.2763176136087849E-2</v>
      </c>
    </row>
    <row r="1149" spans="1:27">
      <c r="A1149" s="18"/>
      <c r="B1149" s="13">
        <v>7</v>
      </c>
      <c r="C1149" s="14" t="s">
        <v>28</v>
      </c>
      <c r="D1149" s="15" cm="1">
        <f t="array" ref="D1149">_xlfn.SINGLE(IF(A1151=A1152,_xll.ciqfunctions.udf.CIQ(A1143,"IQ_TOTAL_REV",IQ_FY-4)/I1149, _xll.ciqfunctions.udf.CIQ(A1143, "IQ_TOTAL_REV",IQ_FY-3)/I1149))</f>
        <v>219.23441966692272</v>
      </c>
      <c r="E1149" s="16">
        <f t="shared" si="307"/>
        <v>9.9330189995823187E-2</v>
      </c>
      <c r="F1149" s="15">
        <f>IF(A1151=A1152,_xll.ciqfunctions.udf.CIQ(A1143,"IQ_DILUT_EPS_EXCL",IQ_FY-4), _xll.ciqfunctions.udf.CIQ(A1143, "IQ_DILUT_EPS_EXCL",IQ_FY-3))</f>
        <v>4.43</v>
      </c>
      <c r="G1149" s="15">
        <f>IF(A1151=A1152,_xll.ciqfunctions.udf.CIQ(A1143,"IQ_EBITDA_MARGIN",IQ_FY-4), _xll.ciqfunctions.udf.CIQ(A1143, "IQ_EBITDA_MARGIN",IQ_FY-3))</f>
        <v>3.9264999999999999</v>
      </c>
      <c r="H1149" s="15">
        <f>IF(A1151=A1152,_xll.ciqfunctions.udf.CIQ(A1143,"IQ_TOTAL_DIV_PAID_CF",IQ_FY-4)/-I1149, _xll.ciqfunctions.udf.CIQ(A1143, "IQ_TOTAL_DIV_PAID_CF",IQ_FY-3)/-I1149)</f>
        <v>0</v>
      </c>
      <c r="I1149" s="17">
        <f>IF(A1151=A1152,_xll.ciqfunctions.udf.CIQ(A1143,"IQ_TOTAL_OUTSTANDING_FILING_DATE",IQ_FY-4), _xll.ciqfunctions.udf.CIQ(A1143, "IQ_TOTAL_OUTSTANDING_FILING_DATE",IQ_FY-3))</f>
        <v>35.264490000000002</v>
      </c>
      <c r="J1149" s="17">
        <f>IF(A1151=A1152,_xll.ciqfunctions.udf.CIQ(A1143,"IQ_CASH_OPER",IQ_FY-4), _xll.ciqfunctions.udf.CIQ(A1143, "IQ_CASH_OPER",IQ_FY-3))</f>
        <v>127.876</v>
      </c>
      <c r="K1149" s="17">
        <f>IF(A1151=A1152,_xll.ciqfunctions.udf.CIQ(A1143,"IQ_CAPEX",IQ_FY-4), _xll.ciqfunctions.udf.CIQ(A1143, "IQ_CAPEX",IQ_FY-3))</f>
        <v>-69.085999999999999</v>
      </c>
      <c r="L1149" s="15">
        <f t="shared" si="304"/>
        <v>1.6671161272997286</v>
      </c>
      <c r="M1149" s="17">
        <f>IF(A1151=A1152,_xll.ciqfunctions.udf.CIQ(A1143,"IQ_TOTAL_DEBT_ISSUED",IQ_FY-4), _xll.ciqfunctions.udf.CIQ(A1143, "IQ_TOTAL_DEBT_ISSUED",IQ_FY-3))</f>
        <v>4629.201</v>
      </c>
      <c r="N1149" s="17">
        <f>IF(A1151=A1152,_xll.ciqfunctions.udf.CIQ(A1143,"IQ_TOTAL_DEBT_REPAID",IQ_FY-4), _xll.ciqfunctions.udf.CIQ(A1143, "IQ_TOTAL_DEBT_REPAID",IQ_FY-3))</f>
        <v>-3982.4340000000002</v>
      </c>
      <c r="O1149" s="15">
        <f t="shared" si="305"/>
        <v>18.340460899902418</v>
      </c>
      <c r="P1149" s="15">
        <f t="shared" si="306"/>
        <v>20.007577027202146</v>
      </c>
      <c r="Q1149" s="18"/>
      <c r="R1149" s="38" t="s">
        <v>29</v>
      </c>
      <c r="S1149" s="4">
        <f>(AVERAGE(P1148:P1153)/_xlfn.STDEV.P(P1148:P1153))/(IF(A1151=A1152,(_xlfn.SINGLE(_xll.ciqfunctions.udf.CIQ(A1143,"IQ_total_assets",IQ_FY)) - _xlfn.SINGLE(_xll.ciqfunctions.udf.CIQ(A1143,"iq_gw_intan", IQ_FY)))/I1153, (_xlfn.SINGLE(_xll.ciqfunctions.udf.CIQ(A1143, "IQ_total_assets",IQ_LTM))-_xlfn.SINGLE(_xll.ciqfunctions.udf.CIQ(A1143,"iq_gw_intan",IQ_LTM)))/I1153))</f>
        <v>8.0468406073856049E-3</v>
      </c>
      <c r="U1149" s="18"/>
      <c r="V1149" s="38" t="s">
        <v>29</v>
      </c>
      <c r="W1149" s="4">
        <f>(AVERAGE(P1148:P1153)/_xlfn.STDEV.P(P1148:P1153))/(IF(A1151=A1152,(_xlfn.SINGLE(_xll.ciqfunctions.udf.CIQ(A1143,"IQ_total_assets",IQ_FY)) - _xlfn.SINGLE(_xll.ciqfunctions.udf.CIQ(A1143,"iq_gw_intan", IQ_FY)))/I1153, (_xlfn.SINGLE(_xll.ciqfunctions.udf.CIQ(A1143, "IQ_total_assets",IQ_LTM))-_xlfn.SINGLE(_xll.ciqfunctions.udf.CIQ(A1143,"iq_gw_intan",IQ_LTM)))/I1153))</f>
        <v>8.0468406073856049E-3</v>
      </c>
      <c r="Y1149" s="18"/>
      <c r="Z1149" s="38" t="s">
        <v>29</v>
      </c>
      <c r="AA1149" s="4">
        <f>(AVERAGE(P1148:P1153)/_xlfn.STDEV.P(P1148:P1153))/(IF(A1151=A1152,(_xlfn.SINGLE(_xll.ciqfunctions.udf.CIQ(A1143,"IQ_total_assets",IQ_FY)) - _xlfn.SINGLE(_xll.ciqfunctions.udf.CIQ(A1143,"iq_gw_intan", IQ_FY)))/I1153, (_xlfn.SINGLE(_xll.ciqfunctions.udf.CIQ(A1143, "IQ_total_assets",IQ_LTM))-_xlfn.SINGLE(_xll.ciqfunctions.udf.CIQ(A1143,"iq_gw_intan",IQ_LTM)))/I1153))</f>
        <v>8.0468406073856049E-3</v>
      </c>
    </row>
    <row r="1150" spans="1:27">
      <c r="A1150" s="18"/>
      <c r="B1150" s="13">
        <v>8</v>
      </c>
      <c r="C1150" s="14" t="s">
        <v>30</v>
      </c>
      <c r="D1150" s="15" cm="1">
        <f t="array" ref="D1150">_xlfn.SINGLE(IF(A1151=A1152,_xll.ciqfunctions.udf.CIQ(A1143,"IQ_TOTAL_REV",IQ_FY-3)/I1150, _xll.ciqfunctions.udf.CIQ(A1143, "IQ_TOTAL_REV",IQ_FY-2)/I1150))</f>
        <v>237.6025515717001</v>
      </c>
      <c r="E1150" s="16">
        <f t="shared" si="307"/>
        <v>8.3783066238794168E-2</v>
      </c>
      <c r="F1150" s="15">
        <f>IF(A1151=A1152,_xll.ciqfunctions.udf.CIQ(A1143,"IQ_DILUT_EPS_EXCL",IQ_FY-3), _xll.ciqfunctions.udf.CIQ(A1143, "IQ_DILUT_EPS_EXCL",IQ_FY-2))</f>
        <v>4.87</v>
      </c>
      <c r="G1150" s="15">
        <f>IF(A1151=A1152,_xll.ciqfunctions.udf.CIQ(A1143,"IQ_EBITDA_MARGIN",IQ_FY-3), _xll.ciqfunctions.udf.CIQ(A1143, "IQ_EBITDA_MARGIN",IQ_FY-2))</f>
        <v>4.2171000000000003</v>
      </c>
      <c r="H1150" s="15">
        <f>IF(A1151=A1152,_xll.ciqfunctions.udf.CIQ(A1143,"IQ_TOTAL_DIV_PAID_CF",IQ_FY-3)/-I1150, _xll.ciqfunctions.udf.CIQ(A1143, "IQ_TOTAL_DIV_PAID_CF",IQ_FY-2)/-I1150)</f>
        <v>0</v>
      </c>
      <c r="I1150" s="17">
        <f>IF(A1151=A1152,_xll.ciqfunctions.udf.CIQ(A1143,"IQ_TOTAL_OUTSTANDING_FILING_DATE",IQ_FY-3), _xll.ciqfunctions.udf.CIQ(A1143, "IQ_TOTAL_OUTSTANDING_FILING_DATE",IQ_FY-2))</f>
        <v>35.103070000000002</v>
      </c>
      <c r="J1150" s="17">
        <f>IF(A1151=A1152,_xll.ciqfunctions.udf.CIQ(A1143,"IQ_CASH_OPER",IQ_FY-3), _xll.ciqfunctions.udf.CIQ(A1143, "IQ_CASH_OPER",IQ_FY-2))</f>
        <v>355.58199999999999</v>
      </c>
      <c r="K1150" s="17">
        <f>IF(A1151=A1152,_xll.ciqfunctions.udf.CIQ(A1143,"IQ_CAPEX",IQ_FY-3), _xll.ciqfunctions.udf.CIQ(A1143, "IQ_CAPEX",IQ_FY-2))</f>
        <v>-24.184000000000001</v>
      </c>
      <c r="L1150" s="15">
        <f t="shared" si="304"/>
        <v>9.4407127353818332</v>
      </c>
      <c r="M1150" s="17">
        <f>IF(A1151=A1152,_xll.ciqfunctions.udf.CIQ(A1143,"IQ_TOTAL_DEBT_ISSUED",IQ_FY-3), _xll.ciqfunctions.udf.CIQ(A1143, "IQ_TOTAL_DEBT_ISSUED",IQ_FY-2))</f>
        <v>3133.933</v>
      </c>
      <c r="N1150" s="17">
        <f>IF(A1151=A1152,_xll.ciqfunctions.udf.CIQ(A1143,"IQ_TOTAL_DEBT_REPAID",IQ_FY-3), _xll.ciqfunctions.udf.CIQ(A1143, "IQ_TOTAL_DEBT_REPAID",IQ_FY-2))</f>
        <v>-3462.0630000000001</v>
      </c>
      <c r="O1150" s="15">
        <f t="shared" si="305"/>
        <v>-9.3476154649721543</v>
      </c>
      <c r="P1150" s="15">
        <f t="shared" si="306"/>
        <v>9.3097270409678856E-2</v>
      </c>
      <c r="Q1150" s="18"/>
      <c r="R1150" s="39" t="s">
        <v>31</v>
      </c>
      <c r="S1150" s="5">
        <f>IF(NOT(D1143&gt;0),FALSE,SLOPE(G1143:G1153,B1143:B1153))</f>
        <v>0.15510000000000004</v>
      </c>
      <c r="U1150" s="18"/>
      <c r="V1150" s="39" t="s">
        <v>31</v>
      </c>
      <c r="W1150" s="5">
        <f>IF(NOT(D1143&gt;0),FALSE,SLOPE(G1143:G1153,B1143:B1153))</f>
        <v>0.15510000000000004</v>
      </c>
      <c r="Y1150" s="18"/>
      <c r="Z1150" s="39" t="s">
        <v>31</v>
      </c>
      <c r="AA1150" s="5">
        <f>IF(NOT(L1143&gt;0),FALSE,SLOPE(O1143:O1153,J1143:J1153))</f>
        <v>-1.9771794414842541E-2</v>
      </c>
    </row>
    <row r="1151" spans="1:27">
      <c r="A1151" s="19">
        <f>_xll.ciqfunctions.udf.CIQ(A1143,"IQ_TOTAL_REV",IQ_FY)</f>
        <v>10431.191000000001</v>
      </c>
      <c r="B1151" s="13">
        <v>9</v>
      </c>
      <c r="C1151" s="14" t="s">
        <v>32</v>
      </c>
      <c r="D1151" s="15" cm="1">
        <f t="array" ref="D1151">_xlfn.SINGLE(IF(A1151=A1152,_xll.ciqfunctions.udf.CIQ(A1143,"IQ_TOTAL_REV",IQ_FY-2)/I1151, _xll.ciqfunctions.udf.CIQ(A1143, "IQ_TOTAL_REV",IQ_FY-1)/I1151))</f>
        <v>270.40284842319426</v>
      </c>
      <c r="E1151" s="16">
        <f t="shared" si="307"/>
        <v>0.13804690494494196</v>
      </c>
      <c r="F1151" s="15">
        <f>IF(A1151=A1152,_xll.ciqfunctions.udf.CIQ(A1143,"IQ_DILUT_EPS_EXCL",IQ_FY-2), _xll.ciqfunctions.udf.CIQ(A1143, "IQ_DILUT_EPS_EXCL",IQ_FY-1))</f>
        <v>5.95</v>
      </c>
      <c r="G1151" s="15">
        <f>IF(A1151=A1152,_xll.ciqfunctions.udf.CIQ(A1143,"IQ_EBITDA_MARGIN",IQ_FY-2), _xll.ciqfunctions.udf.CIQ(A1143, "IQ_EBITDA_MARGIN",IQ_FY-1))</f>
        <v>4.0890000000000004</v>
      </c>
      <c r="H1151" s="15">
        <f>IF(A1151=A1152,_xll.ciqfunctions.udf.CIQ(A1143,"IQ_TOTAL_DIV_PAID_CF",IQ_FY-2)/-I1151, _xll.ciqfunctions.udf.CIQ(A1143, "IQ_TOTAL_DIV_PAID_CF",IQ_FY-1)/-I1151)</f>
        <v>0</v>
      </c>
      <c r="I1151" s="17">
        <f>IF(A1151=A1152,_xll.ciqfunctions.udf.CIQ(A1143,"IQ_TOTAL_OUTSTANDING_FILING_DATE",IQ_FY-2), _xll.ciqfunctions.udf.CIQ(A1143, "IQ_TOTAL_OUTSTANDING_FILING_DATE",IQ_FY-1))</f>
        <v>34.896500000000003</v>
      </c>
      <c r="J1151" s="17">
        <f>IF(A1151=A1152,_xll.ciqfunctions.udf.CIQ(A1143,"IQ_CASH_OPER",IQ_FY-2), _xll.ciqfunctions.udf.CIQ(A1143, "IQ_CASH_OPER",IQ_FY-1))</f>
        <v>163.71100000000001</v>
      </c>
      <c r="K1151" s="17">
        <f>IF(A1151=A1152,_xll.ciqfunctions.udf.CIQ(A1143,"IQ_CAPEX",IQ_FY-2), _xll.ciqfunctions.udf.CIQ(A1143, "IQ_CAPEX",IQ_FY-1))</f>
        <v>-52.079000000000001</v>
      </c>
      <c r="L1151" s="15">
        <f t="shared" si="304"/>
        <v>3.1989454529823904</v>
      </c>
      <c r="M1151" s="17">
        <f>IF(A1151=A1152,_xll.ciqfunctions.udf.CIQ(A1143,"IQ_TOTAL_DEBT_ISSUED",IQ_FY-2), _xll.ciqfunctions.udf.CIQ(A1143, "IQ_TOTAL_DEBT_ISSUED",IQ_FY-1))</f>
        <v>3953.4960000000001</v>
      </c>
      <c r="N1151" s="17">
        <f>IF(A1151=A1152,_xll.ciqfunctions.udf.CIQ(A1143,"IQ_TOTAL_DEBT_REPAID",IQ_FY-2), _xll.ciqfunctions.udf.CIQ(A1143, "IQ_TOTAL_DEBT_REPAID",IQ_FY-1))</f>
        <v>-4054.8510000000001</v>
      </c>
      <c r="O1151" s="15">
        <f t="shared" si="305"/>
        <v>-2.9044460046136433</v>
      </c>
      <c r="P1151" s="15">
        <f t="shared" si="306"/>
        <v>0.29449944836874709</v>
      </c>
      <c r="Q1151" s="25" t="s">
        <v>33</v>
      </c>
      <c r="R1151" s="38" t="s">
        <v>52</v>
      </c>
      <c r="S1151" s="4">
        <f>(AVERAGE(O1148:O1153)/AVERAGE(P1148:P1153))</f>
        <v>8.3582256283561793E-2</v>
      </c>
      <c r="U1151" s="25" t="s">
        <v>54</v>
      </c>
      <c r="V1151" s="38" t="s">
        <v>52</v>
      </c>
      <c r="W1151" s="4">
        <f>(AVERAGE(O1148:O1153)/AVERAGE(P1148:P1153))</f>
        <v>8.3582256283561793E-2</v>
      </c>
      <c r="Y1151" s="25" t="s">
        <v>60</v>
      </c>
      <c r="Z1151" s="38" t="s">
        <v>52</v>
      </c>
      <c r="AA1151" s="4">
        <f>(AVERAGE(O1148:O1153)/AVERAGE(P1148:P1153))</f>
        <v>8.3582256283561793E-2</v>
      </c>
    </row>
    <row r="1152" spans="1:27">
      <c r="A1152" s="19">
        <f>_xll.ciqfunctions.udf.CIQ(A1143,"IQ_TOTAL_REV",IQ_LTM)</f>
        <v>9442.4390000000003</v>
      </c>
      <c r="B1152" s="13">
        <v>10</v>
      </c>
      <c r="C1152" s="14" t="s">
        <v>34</v>
      </c>
      <c r="D1152" s="15" cm="1">
        <f t="array" ref="D1152">_xlfn.SINGLE(IF(A1151=A1152,_xll.ciqfunctions.udf.CIQ(A1143,"IQ_TOTAL_REV",IQ_FY-1)/I1152, _xll.ciqfunctions.udf.CIQ(A1143, "IQ_TOTAL_REV",IQ_FY)/I1152))</f>
        <v>308.54601499013393</v>
      </c>
      <c r="E1152" s="16">
        <f t="shared" si="307"/>
        <v>0.14106052058757779</v>
      </c>
      <c r="F1152" s="15">
        <f>IF(A1151=A1152,_xll.ciqfunctions.udf.CIQ(A1143,"IQ_DILUT_EPS_EXCL",IQ_FY-1), _xll.ciqfunctions.udf.CIQ(A1143, "IQ_DILUT_EPS_EXCL",IQ_FY))</f>
        <v>7.66</v>
      </c>
      <c r="G1152" s="15">
        <f>IF(A1151=A1152,_xll.ciqfunctions.udf.CIQ(A1143,"IQ_EBITDA_MARGIN",IQ_FY-1), _xll.ciqfunctions.udf.CIQ(A1143, "IQ_EBITDA_MARGIN",IQ_FY))</f>
        <v>4.5682</v>
      </c>
      <c r="H1152" s="15">
        <f>IF(A1151=A1152,_xll.ciqfunctions.udf.CIQ(A1143,"IQ_TOTAL_DIV_PAID_CF",IQ_FY-1)/-I1152, _xll.ciqfunctions.udf.CIQ(A1143, "IQ_TOTAL_DIV_PAID_CF",IQ_FY)/-I1152)</f>
        <v>0</v>
      </c>
      <c r="I1152" s="17">
        <f>IF(A1151=A1152,_xll.ciqfunctions.udf.CIQ(A1143,"IQ_TOTAL_OUTSTANDING_FILING_DATE",IQ_FY-1), _xll.ciqfunctions.udf.CIQ(A1143, "IQ_TOTAL_OUTSTANDING_FILING_DATE",IQ_FY))</f>
        <v>33.807569999999998</v>
      </c>
      <c r="J1152" s="17">
        <f>IF(A1151=A1152,_xll.ciqfunctions.udf.CIQ(A1143,"IQ_CASH_OPER",IQ_FY-1), _xll.ciqfunctions.udf.CIQ(A1143, "IQ_CASH_OPER",IQ_FY))</f>
        <v>98.105999999999995</v>
      </c>
      <c r="K1152" s="17">
        <f>IF(A1151=A1152,_xll.ciqfunctions.udf.CIQ(A1143,"IQ_CAPEX",IQ_FY-1), _xll.ciqfunctions.udf.CIQ(A1143, "IQ_CAPEX",IQ_FY))</f>
        <v>-70.938999999999993</v>
      </c>
      <c r="L1152" s="15">
        <f t="shared" si="304"/>
        <v>0.80357742363618567</v>
      </c>
      <c r="M1152" s="17">
        <f>IF(A1151=A1152,_xll.ciqfunctions.udf.CIQ(A1143,"IQ_TOTAL_DEBT_ISSUED",IQ_FY-1), _xll.ciqfunctions.udf.CIQ(A1143, "IQ_TOTAL_DEBT_ISSUED",IQ_FY))</f>
        <v>4678.2120000000004</v>
      </c>
      <c r="N1152" s="17">
        <f>IF(A1151=A1152,_xll.ciqfunctions.udf.CIQ(A1143,"IQ_TOTAL_DEBT_REPAID",IQ_FY-1), _xll.ciqfunctions.udf.CIQ(A1143, "IQ_TOTAL_DEBT_REPAID",IQ_FY))</f>
        <v>-4441.817</v>
      </c>
      <c r="O1152" s="15">
        <f t="shared" si="305"/>
        <v>6.992368868865773</v>
      </c>
      <c r="P1152" s="15">
        <f t="shared" si="306"/>
        <v>7.7959462925019585</v>
      </c>
      <c r="Q1152" s="25" t="s">
        <v>44</v>
      </c>
      <c r="R1152" s="38" t="s">
        <v>35</v>
      </c>
      <c r="S1152" s="1">
        <f>_xll.ciqfunctions.udf.CIQ(A1143,"IQ_TEV_EBITDA")</f>
        <v>11.30125</v>
      </c>
      <c r="U1152" s="25" t="s">
        <v>55</v>
      </c>
      <c r="V1152" s="38" t="s">
        <v>53</v>
      </c>
      <c r="W1152" s="1">
        <f>V1142/(AVERAGE(D1148:D1153)/_xlfn.STDEV.P(E1148:E1153))</f>
        <v>3.987552783326722E-2</v>
      </c>
      <c r="Y1152" s="25" t="s">
        <v>57</v>
      </c>
      <c r="Z1152" s="38" t="s">
        <v>53</v>
      </c>
      <c r="AA1152" s="1">
        <f>Z1142/(AVERAGE(D1148:D1153)/_xlfn.STDEV.P(E1148:E1153))</f>
        <v>3.987552783326722E-2</v>
      </c>
    </row>
    <row r="1153" spans="1:27">
      <c r="B1153" s="13">
        <v>11</v>
      </c>
      <c r="C1153" s="20" t="s">
        <v>36</v>
      </c>
      <c r="D1153" s="21" cm="1">
        <f t="array" ref="D1153">_xlfn.SINGLE(IF(A1151=A1152,_xll.ciqfunctions.udf.CIQ(A1143,"IQ_TOTAL_REV",IQ_FY)/I1153, _xll.ciqfunctions.udf.CIQ(A1143, "IQ_TOTAL_REV",IQ_LTM)/I1153))</f>
        <v>289.85137596260898</v>
      </c>
      <c r="E1153" s="22">
        <f t="shared" si="307"/>
        <v>-6.0589468407565475E-2</v>
      </c>
      <c r="F1153" s="21">
        <f>IF(A1151=A1152,_xll.ciqfunctions.udf.CIQ(A1143,"IQ_DILUT_EPS_EXCL",IQ_FY), _xll.ciqfunctions.udf.CIQ(A1143, "IQ_DILUT_EPS_EXCL",IQ_LTM))</f>
        <v>7.2552700000000003</v>
      </c>
      <c r="G1153" s="21">
        <f>IF(A1151=A1152,_xll.ciqfunctions.udf.CIQ(A1143,"IQ_EBITDA_MARGIN",IQ_FY), _xll.ciqfunctions.udf.CIQ(A1143, "IQ_EBITDA_MARGIN",IQ_LTM))</f>
        <v>4.9800000000000004</v>
      </c>
      <c r="H1153" s="21">
        <f>IF(A1151=A1152,_xll.ciqfunctions.udf.CIQ(A1143,"IQ_TOTAL_DIV_PAID_CF",IQ_FY)/-I1153, _xll.ciqfunctions.udf.CIQ(A1143, "IQ_TOTAL_DIV_PAID_CF",IQ_LTM)/-I1153)</f>
        <v>0</v>
      </c>
      <c r="I1153" s="23">
        <f>IF(A1151=A1152,_xll.ciqfunctions.udf.CIQ(A1143,"IQ_TOTAL_OUTSTANDING_FILING_DATE",IQ_FY),_xll.ciqfunctions.udf.CIQ(A1143,"IQ_sharesoutstanding"))</f>
        <v>32.576830000000001</v>
      </c>
      <c r="J1153" s="23">
        <f>IF(A1151=A1152,_xll.ciqfunctions.udf.CIQ(A1143,"IQ_CASH_OPER",IQ_FY), _xll.ciqfunctions.udf.CIQ(A1143, "IQ_CASH_OPER",IQ_LTM))</f>
        <v>717.73299999999995</v>
      </c>
      <c r="K1153" s="23">
        <f>IF(A1151=A1152,_xll.ciqfunctions.udf.CIQ(A1143,"IQ_CAPEX",IQ_FY), _xll.ciqfunctions.udf.CIQ(A1143, "IQ_CAPEX",IQ_LTM))</f>
        <v>-40.738999999999997</v>
      </c>
      <c r="L1153" s="21">
        <f t="shared" si="304"/>
        <v>20.781457250444561</v>
      </c>
      <c r="M1153" s="23">
        <f>IF(A1151=A1152,_xll.ciqfunctions.udf.CIQ(A1143,"IQ_TOTAL_DEBT_ISSUED",IQ_FY), _xll.ciqfunctions.udf.CIQ(A1143, "IQ_TOTAL_DEBT_ISSUED",IQ_LTM))</f>
        <v>4246.009</v>
      </c>
      <c r="N1153" s="23">
        <f>IF(A1151=A1152,_xll.ciqfunctions.udf.CIQ(A1143,"IQ_TOTAL_DEBT_REPAID",IQ_FY), _xll.ciqfunctions.udf.CIQ(A1143, "IQ_TOTAL_DEBT_REPAID",IQ_LTM))</f>
        <v>-4423.0829999999996</v>
      </c>
      <c r="O1153" s="21">
        <f t="shared" si="305"/>
        <v>-5.435581055615283</v>
      </c>
      <c r="P1153" s="21">
        <f t="shared" si="306"/>
        <v>15.345876194829277</v>
      </c>
      <c r="Q1153" s="25" t="s">
        <v>45</v>
      </c>
      <c r="S1153" s="45"/>
      <c r="U1153" s="25"/>
      <c r="W1153" s="45"/>
      <c r="Y1153" s="25"/>
      <c r="AA1153" s="45"/>
    </row>
    <row r="1154" spans="1:27">
      <c r="B1154" s="24"/>
      <c r="C1154" s="25" t="s">
        <v>37</v>
      </c>
      <c r="E1154" s="26">
        <f>((D1153/D1148)^(1/5))-1</f>
        <v>7.7653035116711511E-2</v>
      </c>
      <c r="F1154" s="27">
        <f>((F1153/F1148)^(1/5))-1</f>
        <v>9.7813169886283413E-2</v>
      </c>
      <c r="G1154" s="28"/>
      <c r="H1154" s="27" t="e">
        <f>((H1153/H1148)^(1/5))-1</f>
        <v>#DIV/0!</v>
      </c>
      <c r="I1154" s="27">
        <f>((I1153/I1148)^(1/5))-1</f>
        <v>-1.7054222998616031E-2</v>
      </c>
      <c r="J1154" s="27"/>
      <c r="K1154" s="27"/>
      <c r="L1154" s="26">
        <f>((L1153/L1148)^(1/5))-1</f>
        <v>0.21785582349200761</v>
      </c>
      <c r="M1154" s="26"/>
      <c r="N1154" s="26"/>
      <c r="O1154" s="26"/>
      <c r="P1154" s="26">
        <f>((P1153/P1148)^(1/5))-1</f>
        <v>0.30254470003254563</v>
      </c>
      <c r="Q1154" s="18"/>
      <c r="R1154" s="36"/>
      <c r="S1154" s="45"/>
      <c r="U1154" s="18"/>
      <c r="V1154" s="36"/>
      <c r="W1154" s="45"/>
      <c r="Y1154" s="18"/>
      <c r="Z1154" s="36"/>
      <c r="AA1154" s="45"/>
    </row>
    <row r="1155" spans="1:27">
      <c r="A1155" s="29"/>
      <c r="B1155" s="30"/>
      <c r="C1155" s="31" t="s">
        <v>38</v>
      </c>
      <c r="D1155" s="29"/>
      <c r="E1155" s="32">
        <f>((D1153/D1143)^(1/10))-1</f>
        <v>8.868018401024913E-2</v>
      </c>
      <c r="F1155" s="33">
        <f>((F1153/F1143)^(1/10))-1</f>
        <v>0.16032853628261634</v>
      </c>
      <c r="G1155" s="34"/>
      <c r="H1155" s="33" t="e">
        <f>((H1153/H1143)^(1/10))-1</f>
        <v>#DIV/0!</v>
      </c>
      <c r="I1155" s="33">
        <f>((I1153/I1143)^(1/10))-1</f>
        <v>-2.3943236435318371E-2</v>
      </c>
      <c r="J1155" s="33"/>
      <c r="K1155" s="33"/>
      <c r="L1155" s="32">
        <f>((L1153/L1143)^(1/10))-1</f>
        <v>0.31209092673461991</v>
      </c>
      <c r="M1155" s="32"/>
      <c r="N1155" s="32"/>
      <c r="O1155" s="32"/>
      <c r="P1155" s="32">
        <f>((P1153/P1143)^(1/10))-1</f>
        <v>0.31471157824846863</v>
      </c>
      <c r="Q1155" s="40"/>
      <c r="R1155" s="41"/>
      <c r="S1155" s="46"/>
      <c r="U1155" s="40"/>
      <c r="V1155" s="41"/>
      <c r="W1155" s="46"/>
      <c r="Y1155" s="40"/>
      <c r="Z1155" s="41"/>
      <c r="AA1155" s="46"/>
    </row>
    <row r="1156" spans="1:27">
      <c r="B1156" s="24"/>
      <c r="C1156" s="25"/>
      <c r="E1156" s="26"/>
      <c r="F1156" s="27"/>
      <c r="G1156" s="28"/>
      <c r="H1156" s="27"/>
      <c r="I1156" s="27"/>
      <c r="J1156" s="27"/>
      <c r="K1156" s="27"/>
      <c r="L1156" s="26"/>
      <c r="M1156" s="17"/>
      <c r="N1156" s="17"/>
      <c r="O1156" s="17"/>
      <c r="P1156" s="35"/>
      <c r="Q1156" s="18"/>
      <c r="R1156" s="36"/>
    </row>
    <row r="1157" spans="1:27">
      <c r="A1157" s="9" t="s">
        <v>0</v>
      </c>
      <c r="B1157" s="10"/>
      <c r="C1157" s="9" t="s">
        <v>1</v>
      </c>
      <c r="D1157" s="9" t="s">
        <v>2</v>
      </c>
      <c r="E1157" s="9" t="s">
        <v>3</v>
      </c>
      <c r="F1157" s="11" t="s">
        <v>4</v>
      </c>
      <c r="G1157" s="11" t="s">
        <v>5</v>
      </c>
      <c r="H1157" s="9" t="s">
        <v>6</v>
      </c>
      <c r="I1157" s="11" t="s">
        <v>7</v>
      </c>
      <c r="J1157" s="11" t="s">
        <v>8</v>
      </c>
      <c r="K1157" s="11" t="s">
        <v>9</v>
      </c>
      <c r="L1157" s="11" t="s">
        <v>10</v>
      </c>
      <c r="M1157" s="11" t="s">
        <v>11</v>
      </c>
      <c r="N1157" s="11" t="s">
        <v>12</v>
      </c>
      <c r="O1157" s="11" t="s">
        <v>13</v>
      </c>
      <c r="P1157" s="11" t="s">
        <v>14</v>
      </c>
      <c r="Q1157" s="37" t="s">
        <v>15</v>
      </c>
      <c r="R1157" s="42">
        <f>_xll.ciqfunctions.udf.CIQ(A1158,("IQ_LASTSALEPRICE"))</f>
        <v>235.58500000000001</v>
      </c>
      <c r="S1157" s="44"/>
      <c r="U1157" s="37" t="s">
        <v>15</v>
      </c>
      <c r="V1157" s="42">
        <f>_xll.ciqfunctions.udf.CIQ(A1158,("IQ_LASTSALEPRICE"))</f>
        <v>235.58500000000001</v>
      </c>
      <c r="W1157" s="44"/>
      <c r="Y1157" s="37" t="s">
        <v>15</v>
      </c>
      <c r="Z1157" s="42">
        <f>_xll.ciqfunctions.udf.CIQ(A1158,("IQ_LASTSALEPRICE"))</f>
        <v>235.58500000000001</v>
      </c>
      <c r="AA1157" s="44"/>
    </row>
    <row r="1158" spans="1:27">
      <c r="A1158" s="12" t="str">
        <f>Analysis!B79</f>
        <v>NasdaqGS:LFUS</v>
      </c>
      <c r="B1158" s="13">
        <v>1</v>
      </c>
      <c r="C1158" s="14" t="s">
        <v>16</v>
      </c>
      <c r="D1158" s="15">
        <f>IF(A1166=A1167,_xll.ciqfunctions.udf.CIQ(A1158,"IQ_TOTAL_REV",IQ_FY-10)/I1158,_xll.ciqfunctions.udf.CIQ(A1158, "IQ_TOTAL_REV",IQ_FY-9)/I1158)</f>
        <v>33.741966362796497</v>
      </c>
      <c r="E1158" s="16"/>
      <c r="F1158" s="15">
        <f>IF(A1166=A1167,_xll.ciqfunctions.udf.CIQ(A1158,"IQ_DILUT_EPS_EXCL",IQ_FY-10), _xll.ciqfunctions.udf.CIQ(A1158, "IQ_DILUT_EPS_EXCL",IQ_FY-9))</f>
        <v>3.94</v>
      </c>
      <c r="G1158" s="15">
        <f>IF(A1166=A1167,_xll.ciqfunctions.udf.CIQ(A1158,"IQ_EBITDA_MARGIN",IQ_FY-10), _xll.ciqfunctions.udf.CIQ(A1158, "IQ_EBITDA_MARGIN",IQ_FY-9))</f>
        <v>22.113199999999999</v>
      </c>
      <c r="H1158" s="15">
        <f>IF(A1166=A1167,_xll.ciqfunctions.udf.CIQ(A1158,"IQ_TOTAL_DIV_PAID_CF",IQ_FY-10)/-I1158, _xll.ciqfunctions.udf.CIQ(A1158, "IQ_TOTAL_DIV_PAID_CF",IQ_FY-9)/-I1158)</f>
        <v>0.83356151423069658</v>
      </c>
      <c r="I1158" s="17">
        <f>IF(A1166=A1167,_xll.ciqfunctions.udf.CIQ(A1158,"IQ_TOTAL_OUTSTANDING_FILING_DATE",IQ_FY-10), _xll.ciqfunctions.udf.CIQ(A1158, "IQ_TOTAL_OUTSTANDING_FILING_DATE",IQ_FY-9))</f>
        <v>22.460249999999998</v>
      </c>
      <c r="J1158" s="17">
        <f>IF(A1166=A1167,_xll.ciqfunctions.udf.CIQ(A1158,"IQ_CASH_OPER",IQ_FY-10), _xll.ciqfunctions.udf.CIQ(A1158, "IQ_CASH_OPER",IQ_FY-9))</f>
        <v>117.367</v>
      </c>
      <c r="K1158" s="17">
        <f>IF(A1166=A1167,_xll.ciqfunctions.udf.CIQ(A1158,"IQ_CAPEX",IQ_FY-10), _xll.ciqfunctions.udf.CIQ(A1158, "IQ_CAPEX",IQ_FY-9))</f>
        <v>-34.953000000000003</v>
      </c>
      <c r="L1158" s="15">
        <f t="shared" ref="L1158:L1168" si="308">(J1158+K1158)/I1158</f>
        <v>3.6693269220066567</v>
      </c>
      <c r="M1158" s="17">
        <f>IF(A1166=A1167,_xll.ciqfunctions.udf.CIQ(A1158,"IQ_TOTAL_DEBT_ISSUED",IQ_FY-10), _xll.ciqfunctions.udf.CIQ(A1158, "IQ_TOTAL_DEBT_ISSUED",IQ_FY-9))</f>
        <v>260.5</v>
      </c>
      <c r="N1158" s="17">
        <f>IF(A1166=A1167,_xll.ciqfunctions.udf.CIQ(A1158,"IQ_TOTAL_DEBT_REPAID",IQ_FY-10), _xll.ciqfunctions.udf.CIQ(A1158, "IQ_TOTAL_DEBT_REPAID",IQ_FY-9))</f>
        <v>-124.75</v>
      </c>
      <c r="O1158" s="15">
        <f t="shared" ref="O1158:O1168" si="309">(M1158+N1158)/I1158</f>
        <v>6.0440110862523797</v>
      </c>
      <c r="P1158" s="15">
        <f t="shared" ref="P1158:P1168" si="310">L1158+O1158</f>
        <v>9.7133380082590364</v>
      </c>
      <c r="W1158" s="43"/>
      <c r="AA1158" s="43"/>
    </row>
    <row r="1159" spans="1:27">
      <c r="A1159" s="18" t="str">
        <f>_xll.ciqfunctions.udf.CIQ(A1158,"IQ_COMPANY_NAME")</f>
        <v>Littelfuse, Inc.</v>
      </c>
      <c r="B1159" s="13">
        <v>2</v>
      </c>
      <c r="C1159" s="14" t="s">
        <v>17</v>
      </c>
      <c r="D1159" s="15">
        <f>IF(A1166=A1167,_xll.ciqfunctions.udf.CIQ(A1158,"IQ_TOTAL_REV",IQ_FY-9)/I1159, _xll.ciqfunctions.udf.CIQ(A1158, "IQ_TOTAL_REV",IQ_FY-8)/I1159)</f>
        <v>37.710156794617859</v>
      </c>
      <c r="E1159" s="16">
        <f t="shared" ref="E1159:E1168" si="311">(D1159-D1158)/D1158</f>
        <v>0.11760400651091407</v>
      </c>
      <c r="F1159" s="15">
        <f>IF(A1166=A1167,_xll.ciqfunctions.udf.CIQ(A1158,"IQ_DILUT_EPS_EXCL",IQ_FY-9), _xll.ciqfunctions.udf.CIQ(A1158, "IQ_DILUT_EPS_EXCL",IQ_FY-8))</f>
        <v>4.32</v>
      </c>
      <c r="G1159" s="15">
        <f>IF(A1166=A1167,_xll.ciqfunctions.udf.CIQ(A1158,"IQ_EBITDA_MARGIN",IQ_FY-9), _xll.ciqfunctions.udf.CIQ(A1158, "IQ_EBITDA_MARGIN",IQ_FY-8))</f>
        <v>21.663699999999999</v>
      </c>
      <c r="H1159" s="15">
        <f>IF(A1166=A1167,_xll.ciqfunctions.udf.CIQ(A1158,"IQ_TOTAL_DIV_PAID_CF",IQ_FY-9)/-I1159, _xll.ciqfunctions.udf.CIQ(A1158, "IQ_TOTAL_DIV_PAID_CF",IQ_FY-8)/-I1159)</f>
        <v>0.93722682659643919</v>
      </c>
      <c r="I1159" s="17">
        <f>IF(A1166=A1167,_xll.ciqfunctions.udf.CIQ(A1158,"IQ_TOTAL_OUTSTANDING_FILING_DATE",IQ_FY-9), _xll.ciqfunctions.udf.CIQ(A1158, "IQ_TOTAL_OUTSTANDING_FILING_DATE",IQ_FY-8))</f>
        <v>22.593250000000001</v>
      </c>
      <c r="J1159" s="17">
        <f>IF(A1166=A1167,_xll.ciqfunctions.udf.CIQ(A1158,"IQ_CASH_OPER",IQ_FY-9), _xll.ciqfunctions.udf.CIQ(A1158, "IQ_CASH_OPER",IQ_FY-8))</f>
        <v>153.14099999999999</v>
      </c>
      <c r="K1159" s="17">
        <f>IF(A1166=A1167,_xll.ciqfunctions.udf.CIQ(A1158,"IQ_CAPEX",IQ_FY-9), _xll.ciqfunctions.udf.CIQ(A1158, "IQ_CAPEX",IQ_FY-8))</f>
        <v>-32.280999999999999</v>
      </c>
      <c r="L1159" s="15">
        <f t="shared" si="308"/>
        <v>5.3493853252630759</v>
      </c>
      <c r="M1159" s="17">
        <f>IF(A1166=A1167,_xll.ciqfunctions.udf.CIQ(A1158,"IQ_TOTAL_DEBT_ISSUED",IQ_FY-9), _xll.ciqfunctions.udf.CIQ(A1158, "IQ_TOTAL_DEBT_ISSUED",IQ_FY-8))</f>
        <v>115.408</v>
      </c>
      <c r="N1159" s="17">
        <f>IF(A1166=A1167,_xll.ciqfunctions.udf.CIQ(A1158,"IQ_TOTAL_DEBT_REPAID",IQ_FY-9), _xll.ciqfunctions.udf.CIQ(A1158, "IQ_TOTAL_DEBT_REPAID",IQ_FY-8))</f>
        <v>-140</v>
      </c>
      <c r="O1159" s="15">
        <f t="shared" si="309"/>
        <v>-1.0884666880594867</v>
      </c>
      <c r="P1159" s="15">
        <f t="shared" si="310"/>
        <v>4.2609186372035897</v>
      </c>
      <c r="Q1159" s="25" t="s">
        <v>18</v>
      </c>
      <c r="R1159" s="39" t="s">
        <v>19</v>
      </c>
      <c r="S1159" s="1">
        <f>R1157/((AVERAGE(P1163:P1168))*(1+E1169)^3)</f>
        <v>13.638487314099999</v>
      </c>
      <c r="U1159" s="25" t="s">
        <v>48</v>
      </c>
      <c r="V1159" s="39" t="s">
        <v>19</v>
      </c>
      <c r="W1159" s="1">
        <f>V1157/((AVERAGE(P1163:P1168))*(1+E1169)^3)</f>
        <v>13.638487314099999</v>
      </c>
      <c r="Y1159" s="25" t="s">
        <v>39</v>
      </c>
      <c r="Z1159" s="39" t="s">
        <v>19</v>
      </c>
      <c r="AA1159" s="1">
        <f>Z1157/((AVERAGE(P1163:P1168))*(1+E1169)^3)</f>
        <v>13.638487314099999</v>
      </c>
    </row>
    <row r="1160" spans="1:27">
      <c r="B1160" s="13">
        <v>3</v>
      </c>
      <c r="C1160" s="14" t="s">
        <v>20</v>
      </c>
      <c r="D1160" s="15" cm="1">
        <f t="array" ref="D1160">_xlfn.SINGLE(IF(A1166=A1167,_xll.ciqfunctions.udf.CIQ(A1158,"IQ_TOTAL_REV",IQ_FY-8)/I1160, _xll.ciqfunctions.udf.CIQ(A1158, "IQ_TOTAL_REV",IQ_FY-7)/I1160))</f>
        <v>38.843099860760574</v>
      </c>
      <c r="E1160" s="16">
        <f t="shared" si="311"/>
        <v>3.0043446181173487E-2</v>
      </c>
      <c r="F1160" s="15">
        <f>IF(A1166=A1167,_xll.ciqfunctions.udf.CIQ(A1158,"IQ_DILUT_EPS_EXCL",IQ_FY-8), _xll.ciqfunctions.udf.CIQ(A1158, "IQ_DILUT_EPS_EXCL",IQ_FY-7))</f>
        <v>3.56</v>
      </c>
      <c r="G1160" s="15">
        <f>IF(A1166=A1167,_xll.ciqfunctions.udf.CIQ(A1158,"IQ_EBITDA_MARGIN",IQ_FY-8), _xll.ciqfunctions.udf.CIQ(A1158, "IQ_EBITDA_MARGIN",IQ_FY-7))</f>
        <v>22.014500000000002</v>
      </c>
      <c r="H1160" s="15">
        <f>IF(A1166=A1167,_xll.ciqfunctions.udf.CIQ(A1158,"IQ_TOTAL_DIV_PAID_CF",IQ_FY-8)/-I1160, _xll.ciqfunctions.udf.CIQ(A1158, "IQ_TOTAL_DIV_PAID_CF",IQ_FY-7)/-I1160)</f>
        <v>1.0894332449678443</v>
      </c>
      <c r="I1160" s="17">
        <f>IF(A1166=A1167,_xll.ciqfunctions.udf.CIQ(A1158,"IQ_TOTAL_OUTSTANDING_FILING_DATE",IQ_FY-8), _xll.ciqfunctions.udf.CIQ(A1158, "IQ_TOTAL_OUTSTANDING_FILING_DATE",IQ_FY-7))</f>
        <v>22.34281</v>
      </c>
      <c r="J1160" s="17">
        <f>IF(A1166=A1167,_xll.ciqfunctions.udf.CIQ(A1158,"IQ_CASH_OPER",IQ_FY-8), _xll.ciqfunctions.udf.CIQ(A1158, "IQ_CASH_OPER",IQ_FY-7))</f>
        <v>165.82599999999999</v>
      </c>
      <c r="K1160" s="17">
        <f>IF(A1166=A1167,_xll.ciqfunctions.udf.CIQ(A1158,"IQ_CAPEX",IQ_FY-8), _xll.ciqfunctions.udf.CIQ(A1158, "IQ_CAPEX",IQ_FY-7))</f>
        <v>-44.018999999999998</v>
      </c>
      <c r="L1160" s="15">
        <f t="shared" si="308"/>
        <v>5.4517314518630373</v>
      </c>
      <c r="M1160" s="17">
        <f>IF(A1166=A1167,_xll.ciqfunctions.udf.CIQ(A1158,"IQ_TOTAL_DEBT_ISSUED",IQ_FY-8), _xll.ciqfunctions.udf.CIQ(A1158, "IQ_TOTAL_DEBT_ISSUED",IQ_FY-7))</f>
        <v>49</v>
      </c>
      <c r="N1160" s="17">
        <f>IF(A1166=A1167,_xll.ciqfunctions.udf.CIQ(A1158,"IQ_TOTAL_DEBT_REPAID",IQ_FY-8), _xll.ciqfunctions.udf.CIQ(A1158, "IQ_TOTAL_DEBT_REPAID",IQ_FY-7))</f>
        <v>-72.061000000000007</v>
      </c>
      <c r="O1160" s="15">
        <f t="shared" si="309"/>
        <v>-1.0321441215317146</v>
      </c>
      <c r="P1160" s="15">
        <f t="shared" si="310"/>
        <v>4.4195873303313231</v>
      </c>
      <c r="Q1160" s="25" t="s">
        <v>21</v>
      </c>
      <c r="R1160" s="38" t="s">
        <v>49</v>
      </c>
      <c r="S1160" s="2">
        <f>(R1157*I1168)/1000</f>
        <v>5.8667544082000003</v>
      </c>
      <c r="U1160" s="25" t="s">
        <v>59</v>
      </c>
      <c r="V1160" s="38" t="s">
        <v>49</v>
      </c>
      <c r="W1160" s="2">
        <f>(V1157*I1168)/1000</f>
        <v>5.8667544082000003</v>
      </c>
      <c r="Y1160" s="25" t="s">
        <v>46</v>
      </c>
      <c r="Z1160" s="38" t="s">
        <v>49</v>
      </c>
      <c r="AA1160" s="2">
        <f>(Z1157*I1168)/1000</f>
        <v>5.8667544082000003</v>
      </c>
    </row>
    <row r="1161" spans="1:27">
      <c r="A1161" s="18"/>
      <c r="B1161" s="13">
        <v>4</v>
      </c>
      <c r="C1161" s="14" t="s">
        <v>22</v>
      </c>
      <c r="D1161" s="15" cm="1">
        <f t="array" ref="D1161">_xlfn.SINGLE(IF(A1166=A1167,_xll.ciqfunctions.udf.CIQ(A1158,"IQ_TOTAL_REV",IQ_FY-7)/I1161, _xll.ciqfunctions.udf.CIQ(A1158, "IQ_TOTAL_REV",IQ_FY-6)/I1161))</f>
        <v>46.664849250161055</v>
      </c>
      <c r="E1161" s="16">
        <f t="shared" si="311"/>
        <v>0.20136779550135844</v>
      </c>
      <c r="F1161" s="15">
        <f>IF(A1166=A1167,_xll.ciqfunctions.udf.CIQ(A1158,"IQ_DILUT_EPS_EXCL",IQ_FY-7), _xll.ciqfunctions.udf.CIQ(A1158, "IQ_DILUT_EPS_EXCL",IQ_FY-6))</f>
        <v>4.5999999999999996</v>
      </c>
      <c r="G1161" s="15">
        <f>IF(A1166=A1167,_xll.ciqfunctions.udf.CIQ(A1158,"IQ_EBITDA_MARGIN",IQ_FY-7), _xll.ciqfunctions.udf.CIQ(A1158, "IQ_EBITDA_MARGIN",IQ_FY-6))</f>
        <v>19.8506</v>
      </c>
      <c r="H1161" s="15">
        <f>IF(A1166=A1167,_xll.ciqfunctions.udf.CIQ(A1158,"IQ_TOTAL_DIV_PAID_CF",IQ_FY-7)/-I1161, _xll.ciqfunctions.udf.CIQ(A1158, "IQ_TOTAL_DIV_PAID_CF",IQ_FY-6)/-I1161)</f>
        <v>1.2312186793891713</v>
      </c>
      <c r="I1161" s="17">
        <f>IF(A1166=A1167,_xll.ciqfunctions.udf.CIQ(A1158,"IQ_TOTAL_OUTSTANDING_FILING_DATE",IQ_FY-7), _xll.ciqfunctions.udf.CIQ(A1158, "IQ_TOTAL_OUTSTANDING_FILING_DATE",IQ_FY-6))</f>
        <v>22.632860000000001</v>
      </c>
      <c r="J1161" s="17">
        <f>IF(A1166=A1167,_xll.ciqfunctions.udf.CIQ(A1158,"IQ_CASH_OPER",IQ_FY-7), _xll.ciqfunctions.udf.CIQ(A1158, "IQ_CASH_OPER",IQ_FY-6))</f>
        <v>180.13300000000001</v>
      </c>
      <c r="K1161" s="17">
        <f>IF(A1166=A1167,_xll.ciqfunctions.udf.CIQ(A1158,"IQ_CAPEX",IQ_FY-7), _xll.ciqfunctions.udf.CIQ(A1158, "IQ_CAPEX",IQ_FY-6))</f>
        <v>-46.228000000000002</v>
      </c>
      <c r="L1161" s="15">
        <f t="shared" si="308"/>
        <v>5.9163976625137078</v>
      </c>
      <c r="M1161" s="17">
        <f>IF(A1166=A1167,_xll.ciqfunctions.udf.CIQ(A1158,"IQ_TOTAL_DEBT_ISSUED",IQ_FY-7), _xll.ciqfunctions.udf.CIQ(A1158, "IQ_TOTAL_DEBT_ISSUED",IQ_FY-6))</f>
        <v>718.428</v>
      </c>
      <c r="N1161" s="17">
        <f>IF(A1166=A1167,_xll.ciqfunctions.udf.CIQ(A1158,"IQ_TOTAL_DEBT_REPAID",IQ_FY-7), _xll.ciqfunctions.udf.CIQ(A1158, "IQ_TOTAL_DEBT_REPAID",IQ_FY-6))</f>
        <v>-426.69799999999998</v>
      </c>
      <c r="O1161" s="15">
        <f t="shared" si="309"/>
        <v>12.889665733804742</v>
      </c>
      <c r="P1161" s="15">
        <f t="shared" si="310"/>
        <v>18.80606339631845</v>
      </c>
      <c r="Q1161" s="25" t="s">
        <v>23</v>
      </c>
      <c r="R1161" s="38" t="s">
        <v>24</v>
      </c>
      <c r="S1161" s="1">
        <f>R1157/(AVERAGE(H1163:H1168)*(1+H1169)/(0.5-H1169))</f>
        <v>44.675171834586436</v>
      </c>
      <c r="U1161" s="25" t="s">
        <v>40</v>
      </c>
      <c r="V1161" s="38" t="s">
        <v>24</v>
      </c>
      <c r="W1161" s="1">
        <f>V1157/(AVERAGE(H1163:H1168)*(1+H1169)/(0.5-H1169))</f>
        <v>44.675171834586436</v>
      </c>
      <c r="Y1161" s="25" t="s">
        <v>47</v>
      </c>
      <c r="Z1161" s="38" t="s">
        <v>24</v>
      </c>
      <c r="AA1161" s="1">
        <f>Z1157/(AVERAGE(H1163:H1168)*(1+H1169)/(0.5-H1169))</f>
        <v>44.675171834586436</v>
      </c>
    </row>
    <row r="1162" spans="1:27">
      <c r="B1162" s="13">
        <v>5</v>
      </c>
      <c r="C1162" s="14" t="s">
        <v>25</v>
      </c>
      <c r="D1162" s="15" cm="1">
        <f t="array" ref="D1162">_xlfn.SINGLE(IF(A1166=A1167,_xll.ciqfunctions.udf.CIQ(A1158,"IQ_TOTAL_REV",IQ_FY-6)/I1162, _xll.ciqfunctions.udf.CIQ(A1158, "IQ_TOTAL_REV",IQ_FY-5)/I1162))</f>
        <v>49.195495807524708</v>
      </c>
      <c r="E1162" s="16">
        <f t="shared" si="311"/>
        <v>5.4230252492563635E-2</v>
      </c>
      <c r="F1162" s="15">
        <f>IF(A1166=A1167,_xll.ciqfunctions.udf.CIQ(A1158,"IQ_DILUT_EPS_EXCL",IQ_FY-6), _xll.ciqfunctions.udf.CIQ(A1158, "IQ_DILUT_EPS_EXCL",IQ_FY-5))</f>
        <v>5.21</v>
      </c>
      <c r="G1162" s="15">
        <f>IF(A1166=A1167,_xll.ciqfunctions.udf.CIQ(A1158,"IQ_EBITDA_MARGIN",IQ_FY-6), _xll.ciqfunctions.udf.CIQ(A1158, "IQ_EBITDA_MARGIN",IQ_FY-5))</f>
        <v>23.203299999999999</v>
      </c>
      <c r="H1162" s="15">
        <f>IF(A1166=A1167,_xll.ciqfunctions.udf.CIQ(A1158,"IQ_TOTAL_DIV_PAID_CF",IQ_FY-6)/-I1162, _xll.ciqfunctions.udf.CIQ(A1158, "IQ_TOTAL_DIV_PAID_CF",IQ_FY-5)/-I1162)</f>
        <v>1.2794902981047271</v>
      </c>
      <c r="I1162" s="17">
        <f>IF(A1166=A1167,_xll.ciqfunctions.udf.CIQ(A1158,"IQ_TOTAL_OUTSTANDING_FILING_DATE",IQ_FY-6), _xll.ciqfunctions.udf.CIQ(A1158, "IQ_TOTAL_OUTSTANDING_FILING_DATE",IQ_FY-5))</f>
        <v>24.830200000000001</v>
      </c>
      <c r="J1162" s="17">
        <f>IF(A1166=A1167,_xll.ciqfunctions.udf.CIQ(A1158,"IQ_CASH_OPER",IQ_FY-6), _xll.ciqfunctions.udf.CIQ(A1158, "IQ_CASH_OPER",IQ_FY-5))</f>
        <v>269.17</v>
      </c>
      <c r="K1162" s="17">
        <f>IF(A1166=A1167,_xll.ciqfunctions.udf.CIQ(A1158,"IQ_CAPEX",IQ_FY-6), _xll.ciqfunctions.udf.CIQ(A1158, "IQ_CAPEX",IQ_FY-5))</f>
        <v>-65.924999999999997</v>
      </c>
      <c r="L1162" s="15">
        <f t="shared" si="308"/>
        <v>8.1853952042271096</v>
      </c>
      <c r="M1162" s="17">
        <f>IF(A1166=A1167,_xll.ciqfunctions.udf.CIQ(A1158,"IQ_TOTAL_DEBT_ISSUED",IQ_FY-6), _xll.ciqfunctions.udf.CIQ(A1158, "IQ_TOTAL_DEBT_ISSUED",IQ_FY-5))</f>
        <v>149.375</v>
      </c>
      <c r="N1162" s="17">
        <f>IF(A1166=A1167,_xll.ciqfunctions.udf.CIQ(A1158,"IQ_TOTAL_DEBT_REPAID",IQ_FY-6), _xll.ciqfunctions.udf.CIQ(A1158, "IQ_TOTAL_DEBT_REPAID",IQ_FY-5))</f>
        <v>-138.28700000000001</v>
      </c>
      <c r="O1162" s="15">
        <f t="shared" si="309"/>
        <v>0.44655298789377423</v>
      </c>
      <c r="P1162" s="15">
        <f t="shared" si="310"/>
        <v>8.631948192120884</v>
      </c>
      <c r="Q1162" s="18"/>
      <c r="R1162" s="38" t="s">
        <v>50</v>
      </c>
      <c r="S1162" s="3">
        <f>I1169</f>
        <v>1.5862917943350041E-3</v>
      </c>
      <c r="U1162" s="18"/>
      <c r="V1162" s="38" t="s">
        <v>50</v>
      </c>
      <c r="W1162" s="3">
        <f>I1169</f>
        <v>1.5862917943350041E-3</v>
      </c>
      <c r="Y1162" s="18"/>
      <c r="Z1162" s="38" t="s">
        <v>50</v>
      </c>
      <c r="AA1162" s="3">
        <f>I1169</f>
        <v>1.5862917943350041E-3</v>
      </c>
    </row>
    <row r="1163" spans="1:27">
      <c r="B1163" s="13">
        <v>6</v>
      </c>
      <c r="C1163" s="14" t="s">
        <v>26</v>
      </c>
      <c r="D1163" s="15" cm="1">
        <f t="array" ref="D1163">_xlfn.SINGLE(IF(A1166=A1167,_xll.ciqfunctions.udf.CIQ(A1158,"IQ_TOTAL_REV",IQ_FY-5)/I1163, _xll.ciqfunctions.udf.CIQ(A1158, "IQ_TOTAL_REV",IQ_FY-4)/I1163))</f>
        <v>69.555749657780154</v>
      </c>
      <c r="E1163" s="16">
        <f t="shared" si="311"/>
        <v>0.41386418646768147</v>
      </c>
      <c r="F1163" s="15">
        <f>IF(A1166=A1167,_xll.ciqfunctions.udf.CIQ(A1158,"IQ_DILUT_EPS_EXCL",IQ_FY-5), _xll.ciqfunctions.udf.CIQ(A1158, "IQ_DILUT_EPS_EXCL",IQ_FY-4))</f>
        <v>6.52</v>
      </c>
      <c r="G1163" s="15">
        <f>IF(A1166=A1167,_xll.ciqfunctions.udf.CIQ(A1158,"IQ_EBITDA_MARGIN",IQ_FY-5), _xll.ciqfunctions.udf.CIQ(A1158, "IQ_EBITDA_MARGIN",IQ_FY-4))</f>
        <v>21.9511</v>
      </c>
      <c r="H1163" s="15">
        <f>IF(A1166=A1167,_xll.ciqfunctions.udf.CIQ(A1158,"IQ_TOTAL_DIV_PAID_CF",IQ_FY-5)/-I1163, _xll.ciqfunctions.udf.CIQ(A1158, "IQ_TOTAL_DIV_PAID_CF",IQ_FY-4)/-I1163)</f>
        <v>1.618734300588432</v>
      </c>
      <c r="I1163" s="17">
        <f>IF(A1166=A1167,_xll.ciqfunctions.udf.CIQ(A1158,"IQ_TOTAL_OUTSTANDING_FILING_DATE",IQ_FY-5), _xll.ciqfunctions.udf.CIQ(A1158, "IQ_TOTAL_OUTSTANDING_FILING_DATE",IQ_FY-4))</f>
        <v>24.706340000000001</v>
      </c>
      <c r="J1163" s="17">
        <f>IF(A1166=A1167,_xll.ciqfunctions.udf.CIQ(A1158,"IQ_CASH_OPER",IQ_FY-5), _xll.ciqfunctions.udf.CIQ(A1158, "IQ_CASH_OPER",IQ_FY-4))</f>
        <v>331.82799999999997</v>
      </c>
      <c r="K1163" s="17">
        <f>IF(A1166=A1167,_xll.ciqfunctions.udf.CIQ(A1158,"IQ_CAPEX",IQ_FY-5), _xll.ciqfunctions.udf.CIQ(A1158, "IQ_CAPEX",IQ_FY-4))</f>
        <v>-74.753</v>
      </c>
      <c r="L1163" s="15">
        <f t="shared" si="308"/>
        <v>10.405223922280676</v>
      </c>
      <c r="M1163" s="17">
        <f>IF(A1166=A1167,_xll.ciqfunctions.udf.CIQ(A1158,"IQ_TOTAL_DEBT_ISSUED",IQ_FY-5), _xll.ciqfunctions.udf.CIQ(A1158, "IQ_TOTAL_DEBT_ISSUED",IQ_FY-4))</f>
        <v>310</v>
      </c>
      <c r="N1163" s="17">
        <f>IF(A1166=A1167,_xll.ciqfunctions.udf.CIQ(A1158,"IQ_TOTAL_DEBT_REPAID",IQ_FY-5), _xll.ciqfunctions.udf.CIQ(A1158, "IQ_TOTAL_DEBT_REPAID",IQ_FY-4))</f>
        <v>-102.5</v>
      </c>
      <c r="O1163" s="15">
        <f t="shared" si="309"/>
        <v>8.3986539487435206</v>
      </c>
      <c r="P1163" s="15">
        <f t="shared" si="310"/>
        <v>18.803877871024198</v>
      </c>
      <c r="Q1163" s="25" t="s">
        <v>27</v>
      </c>
      <c r="R1163" s="38" t="s">
        <v>51</v>
      </c>
      <c r="S1163" s="4">
        <f>AVERAGE(F1163:F1168)/AVERAGE(D1163:D1168)</f>
        <v>0.11837109532624422</v>
      </c>
      <c r="U1163" s="25" t="s">
        <v>58</v>
      </c>
      <c r="V1163" s="38" t="s">
        <v>51</v>
      </c>
      <c r="W1163" s="4">
        <f>AVERAGE(F1163:F1168)/AVERAGE(D1163:D1168)</f>
        <v>0.11837109532624422</v>
      </c>
      <c r="Y1163" s="25" t="s">
        <v>56</v>
      </c>
      <c r="Z1163" s="38" t="s">
        <v>51</v>
      </c>
      <c r="AA1163" s="4">
        <f>AVERAGE(F1163:F1168)/AVERAGE(D1163:D1168)</f>
        <v>0.11837109532624422</v>
      </c>
    </row>
    <row r="1164" spans="1:27">
      <c r="A1164" s="18"/>
      <c r="B1164" s="13">
        <v>7</v>
      </c>
      <c r="C1164" s="14" t="s">
        <v>28</v>
      </c>
      <c r="D1164" s="15" cm="1">
        <f t="array" ref="D1164">_xlfn.SINGLE(IF(A1166=A1167,_xll.ciqfunctions.udf.CIQ(A1158,"IQ_TOTAL_REV",IQ_FY-4)/I1164, _xll.ciqfunctions.udf.CIQ(A1158, "IQ_TOTAL_REV",IQ_FY-3)/I1164))</f>
        <v>61.568634354596504</v>
      </c>
      <c r="E1164" s="16">
        <f t="shared" si="311"/>
        <v>-0.11483041074937579</v>
      </c>
      <c r="F1164" s="15">
        <f>IF(A1166=A1167,_xll.ciqfunctions.udf.CIQ(A1158,"IQ_DILUT_EPS_EXCL",IQ_FY-4), _xll.ciqfunctions.udf.CIQ(A1158, "IQ_DILUT_EPS_EXCL",IQ_FY-3))</f>
        <v>5.6</v>
      </c>
      <c r="G1164" s="15">
        <f>IF(A1166=A1167,_xll.ciqfunctions.udf.CIQ(A1158,"IQ_EBITDA_MARGIN",IQ_FY-4), _xll.ciqfunctions.udf.CIQ(A1158, "IQ_EBITDA_MARGIN",IQ_FY-3))</f>
        <v>19.795200000000001</v>
      </c>
      <c r="H1164" s="15">
        <f>IF(A1166=A1167,_xll.ciqfunctions.udf.CIQ(A1158,"IQ_TOTAL_DIV_PAID_CF",IQ_FY-4)/-I1164, _xll.ciqfunctions.udf.CIQ(A1158, "IQ_TOTAL_DIV_PAID_CF",IQ_FY-3)/-I1164)</f>
        <v>1.8295698510928537</v>
      </c>
      <c r="I1164" s="17">
        <f>IF(A1166=A1167,_xll.ciqfunctions.udf.CIQ(A1158,"IQ_TOTAL_OUTSTANDING_FILING_DATE",IQ_FY-4), _xll.ciqfunctions.udf.CIQ(A1158, "IQ_TOTAL_OUTSTANDING_FILING_DATE",IQ_FY-3))</f>
        <v>24.42596</v>
      </c>
      <c r="J1164" s="17">
        <f>IF(A1166=A1167,_xll.ciqfunctions.udf.CIQ(A1158,"IQ_CASH_OPER",IQ_FY-4), _xll.ciqfunctions.udf.CIQ(A1158, "IQ_CASH_OPER",IQ_FY-3))</f>
        <v>245.328</v>
      </c>
      <c r="K1164" s="17">
        <f>IF(A1166=A1167,_xll.ciqfunctions.udf.CIQ(A1158,"IQ_CAPEX",IQ_FY-4), _xll.ciqfunctions.udf.CIQ(A1158, "IQ_CAPEX",IQ_FY-3))</f>
        <v>-61.895000000000003</v>
      </c>
      <c r="L1164" s="15">
        <f t="shared" si="308"/>
        <v>7.509756013683802</v>
      </c>
      <c r="M1164" s="17">
        <f>IF(A1166=A1167,_xll.ciqfunctions.udf.CIQ(A1158,"IQ_TOTAL_DEBT_ISSUED",IQ_FY-4), _xll.ciqfunctions.udf.CIQ(A1158, "IQ_TOTAL_DEBT_ISSUED",IQ_FY-3))</f>
        <v>0</v>
      </c>
      <c r="N1164" s="17">
        <f>IF(A1166=A1167,_xll.ciqfunctions.udf.CIQ(A1158,"IQ_TOTAL_DEBT_REPAID",IQ_FY-4), _xll.ciqfunctions.udf.CIQ(A1158, "IQ_TOTAL_DEBT_REPAID",IQ_FY-3))</f>
        <v>-10</v>
      </c>
      <c r="O1164" s="15">
        <f t="shared" si="309"/>
        <v>-0.40940049029802716</v>
      </c>
      <c r="P1164" s="15">
        <f t="shared" si="310"/>
        <v>7.1003555233857751</v>
      </c>
      <c r="Q1164" s="18"/>
      <c r="R1164" s="38" t="s">
        <v>29</v>
      </c>
      <c r="S1164" s="4">
        <f>(AVERAGE(P1163:P1168)/_xlfn.STDEV.P(P1163:P1168))/(IF(A1166=A1167,(_xlfn.SINGLE(_xll.ciqfunctions.udf.CIQ(A1158,"IQ_total_assets",IQ_FY)) - _xlfn.SINGLE(_xll.ciqfunctions.udf.CIQ(A1158,"iq_gw_intan", IQ_FY)))/I1168, (_xlfn.SINGLE(_xll.ciqfunctions.udf.CIQ(A1158, "IQ_total_assets",IQ_LTM))-_xlfn.SINGLE(_xll.ciqfunctions.udf.CIQ(A1158,"iq_gw_intan",IQ_LTM)))/I1168))</f>
        <v>2.2983275372908996E-2</v>
      </c>
      <c r="U1164" s="18"/>
      <c r="V1164" s="38" t="s">
        <v>29</v>
      </c>
      <c r="W1164" s="4">
        <f>(AVERAGE(P1163:P1168)/_xlfn.STDEV.P(P1163:P1168))/(IF(A1166=A1167,(_xlfn.SINGLE(_xll.ciqfunctions.udf.CIQ(A1158,"IQ_total_assets",IQ_FY)) - _xlfn.SINGLE(_xll.ciqfunctions.udf.CIQ(A1158,"iq_gw_intan", IQ_FY)))/I1168, (_xlfn.SINGLE(_xll.ciqfunctions.udf.CIQ(A1158, "IQ_total_assets",IQ_LTM))-_xlfn.SINGLE(_xll.ciqfunctions.udf.CIQ(A1158,"iq_gw_intan",IQ_LTM)))/I1168))</f>
        <v>2.2983275372908996E-2</v>
      </c>
      <c r="Y1164" s="18"/>
      <c r="Z1164" s="38" t="s">
        <v>29</v>
      </c>
      <c r="AA1164" s="4">
        <f>(AVERAGE(P1163:P1168)/_xlfn.STDEV.P(P1163:P1168))/(IF(A1166=A1167,(_xlfn.SINGLE(_xll.ciqfunctions.udf.CIQ(A1158,"IQ_total_assets",IQ_FY)) - _xlfn.SINGLE(_xll.ciqfunctions.udf.CIQ(A1158,"iq_gw_intan", IQ_FY)))/I1168, (_xlfn.SINGLE(_xll.ciqfunctions.udf.CIQ(A1158, "IQ_total_assets",IQ_LTM))-_xlfn.SINGLE(_xll.ciqfunctions.udf.CIQ(A1158,"iq_gw_intan",IQ_LTM)))/I1168))</f>
        <v>2.2983275372908996E-2</v>
      </c>
    </row>
    <row r="1165" spans="1:27">
      <c r="A1165" s="18"/>
      <c r="B1165" s="13">
        <v>8</v>
      </c>
      <c r="C1165" s="14" t="s">
        <v>30</v>
      </c>
      <c r="D1165" s="15" cm="1">
        <f t="array" ref="D1165">_xlfn.SINGLE(IF(A1166=A1167,_xll.ciqfunctions.udf.CIQ(A1158,"IQ_TOTAL_REV",IQ_FY-3)/I1165, _xll.ciqfunctions.udf.CIQ(A1158, "IQ_TOTAL_REV",IQ_FY-2)/I1165))</f>
        <v>58.917971001026181</v>
      </c>
      <c r="E1165" s="16">
        <f t="shared" si="311"/>
        <v>-4.3052170660537535E-2</v>
      </c>
      <c r="F1165" s="15">
        <f>IF(A1166=A1167,_xll.ciqfunctions.udf.CIQ(A1158,"IQ_DILUT_EPS_EXCL",IQ_FY-3), _xll.ciqfunctions.udf.CIQ(A1158, "IQ_DILUT_EPS_EXCL",IQ_FY-2))</f>
        <v>5.29</v>
      </c>
      <c r="G1165" s="15">
        <f>IF(A1166=A1167,_xll.ciqfunctions.udf.CIQ(A1158,"IQ_EBITDA_MARGIN",IQ_FY-3), _xll.ciqfunctions.udf.CIQ(A1158, "IQ_EBITDA_MARGIN",IQ_FY-2))</f>
        <v>20.636099999999999</v>
      </c>
      <c r="H1165" s="15">
        <f>IF(A1166=A1167,_xll.ciqfunctions.udf.CIQ(A1158,"IQ_TOTAL_DIV_PAID_CF",IQ_FY-3)/-I1165, _xll.ciqfunctions.udf.CIQ(A1158, "IQ_TOTAL_DIV_PAID_CF",IQ_FY-2)/-I1165)</f>
        <v>1.908880395738427</v>
      </c>
      <c r="I1165" s="17">
        <f>IF(A1166=A1167,_xll.ciqfunctions.udf.CIQ(A1158,"IQ_TOTAL_OUTSTANDING_FILING_DATE",IQ_FY-3), _xll.ciqfunctions.udf.CIQ(A1158, "IQ_TOTAL_OUTSTANDING_FILING_DATE",IQ_FY-2))</f>
        <v>24.537420000000001</v>
      </c>
      <c r="J1165" s="17">
        <f>IF(A1166=A1167,_xll.ciqfunctions.udf.CIQ(A1158,"IQ_CASH_OPER",IQ_FY-3), _xll.ciqfunctions.udf.CIQ(A1158, "IQ_CASH_OPER",IQ_FY-2))</f>
        <v>258.03100000000001</v>
      </c>
      <c r="K1165" s="17">
        <f>IF(A1166=A1167,_xll.ciqfunctions.udf.CIQ(A1158,"IQ_CAPEX",IQ_FY-3), _xll.ciqfunctions.udf.CIQ(A1158, "IQ_CAPEX",IQ_FY-2))</f>
        <v>-56.191000000000003</v>
      </c>
      <c r="L1165" s="15">
        <f t="shared" si="308"/>
        <v>8.2258036908525831</v>
      </c>
      <c r="M1165" s="17">
        <f>IF(A1166=A1167,_xll.ciqfunctions.udf.CIQ(A1158,"IQ_TOTAL_DEBT_ISSUED",IQ_FY-3), _xll.ciqfunctions.udf.CIQ(A1158, "IQ_TOTAL_DEBT_ISSUED",IQ_FY-2))</f>
        <v>240</v>
      </c>
      <c r="N1165" s="17">
        <f>IF(A1166=A1167,_xll.ciqfunctions.udf.CIQ(A1158,"IQ_TOTAL_DEBT_REPAID",IQ_FY-3), _xll.ciqfunctions.udf.CIQ(A1158, "IQ_TOTAL_DEBT_REPAID",IQ_FY-2))</f>
        <v>-255</v>
      </c>
      <c r="O1165" s="15">
        <f t="shared" si="309"/>
        <v>-0.6113112136483787</v>
      </c>
      <c r="P1165" s="15">
        <f t="shared" si="310"/>
        <v>7.6144924772042044</v>
      </c>
      <c r="Q1165" s="18"/>
      <c r="R1165" s="39" t="s">
        <v>31</v>
      </c>
      <c r="S1165" s="5">
        <f>IF(NOT(D1158&gt;0),FALSE,SLOPE(G1158:G1168,B1158:B1168))</f>
        <v>0.22892454545454555</v>
      </c>
      <c r="U1165" s="18"/>
      <c r="V1165" s="39" t="s">
        <v>31</v>
      </c>
      <c r="W1165" s="5">
        <f>IF(NOT(D1158&gt;0),FALSE,SLOPE(G1158:G1168,B1158:B1168))</f>
        <v>0.22892454545454555</v>
      </c>
      <c r="Y1165" s="18"/>
      <c r="Z1165" s="39" t="s">
        <v>31</v>
      </c>
      <c r="AA1165" s="5">
        <f>IF(NOT(L1158&gt;0),FALSE,SLOPE(O1158:O1168,J1158:J1168))</f>
        <v>7.6380055279828361E-3</v>
      </c>
    </row>
    <row r="1166" spans="1:27">
      <c r="A1166" s="19">
        <f>_xll.ciqfunctions.udf.CIQ(A1158,"IQ_TOTAL_REV",IQ_FY)</f>
        <v>2513.8969999999999</v>
      </c>
      <c r="B1166" s="13">
        <v>9</v>
      </c>
      <c r="C1166" s="14" t="s">
        <v>32</v>
      </c>
      <c r="D1166" s="15" cm="1">
        <f t="array" ref="D1166">_xlfn.SINGLE(IF(A1166=A1167,_xll.ciqfunctions.udf.CIQ(A1158,"IQ_TOTAL_REV",IQ_FY-2)/I1166, _xll.ciqfunctions.udf.CIQ(A1158, "IQ_TOTAL_REV",IQ_FY-1)/I1166))</f>
        <v>84.243150349256652</v>
      </c>
      <c r="E1166" s="16">
        <f t="shared" si="311"/>
        <v>0.42983794108913526</v>
      </c>
      <c r="F1166" s="15">
        <f>IF(A1166=A1167,_xll.ciqfunctions.udf.CIQ(A1158,"IQ_DILUT_EPS_EXCL",IQ_FY-2), _xll.ciqfunctions.udf.CIQ(A1158, "IQ_DILUT_EPS_EXCL",IQ_FY-1))</f>
        <v>11.38</v>
      </c>
      <c r="G1166" s="15">
        <f>IF(A1166=A1167,_xll.ciqfunctions.udf.CIQ(A1158,"IQ_EBITDA_MARGIN",IQ_FY-2), _xll.ciqfunctions.udf.CIQ(A1158, "IQ_EBITDA_MARGIN",IQ_FY-1))</f>
        <v>23.949100000000001</v>
      </c>
      <c r="H1166" s="15">
        <f>IF(A1166=A1167,_xll.ciqfunctions.udf.CIQ(A1158,"IQ_TOTAL_DIV_PAID_CF",IQ_FY-2)/-I1166, _xll.ciqfunctions.udf.CIQ(A1158, "IQ_TOTAL_DIV_PAID_CF",IQ_FY-1)/-I1166)</f>
        <v>2.0142100432652152</v>
      </c>
      <c r="I1166" s="17">
        <f>IF(A1166=A1167,_xll.ciqfunctions.udf.CIQ(A1158,"IQ_TOTAL_OUTSTANDING_FILING_DATE",IQ_FY-2), _xll.ciqfunctions.udf.CIQ(A1158, "IQ_TOTAL_OUTSTANDING_FILING_DATE",IQ_FY-1))</f>
        <v>24.689579999999999</v>
      </c>
      <c r="J1166" s="17">
        <f>IF(A1166=A1167,_xll.ciqfunctions.udf.CIQ(A1158,"IQ_CASH_OPER",IQ_FY-2), _xll.ciqfunctions.udf.CIQ(A1158, "IQ_CASH_OPER",IQ_FY-1))</f>
        <v>373.34399999999999</v>
      </c>
      <c r="K1166" s="17">
        <f>IF(A1166=A1167,_xll.ciqfunctions.udf.CIQ(A1158,"IQ_CAPEX",IQ_FY-2), _xll.ciqfunctions.udf.CIQ(A1158, "IQ_CAPEX",IQ_FY-1))</f>
        <v>-90.561999999999998</v>
      </c>
      <c r="L1166" s="15">
        <f t="shared" si="308"/>
        <v>11.453495766230127</v>
      </c>
      <c r="M1166" s="17">
        <f>IF(A1166=A1167,_xll.ciqfunctions.udf.CIQ(A1158,"IQ_TOTAL_DEBT_ISSUED",IQ_FY-2), _xll.ciqfunctions.udf.CIQ(A1158, "IQ_TOTAL_DEBT_ISSUED",IQ_FY-1))</f>
        <v>0</v>
      </c>
      <c r="N1166" s="17">
        <f>IF(A1166=A1167,_xll.ciqfunctions.udf.CIQ(A1158,"IQ_TOTAL_DEBT_REPAID",IQ_FY-2), _xll.ciqfunctions.udf.CIQ(A1158, "IQ_TOTAL_DEBT_REPAID",IQ_FY-1))</f>
        <v>-32.619</v>
      </c>
      <c r="O1166" s="15">
        <f t="shared" si="309"/>
        <v>-1.321164637065515</v>
      </c>
      <c r="P1166" s="15">
        <f t="shared" si="310"/>
        <v>10.132331129164612</v>
      </c>
      <c r="Q1166" s="25" t="s">
        <v>33</v>
      </c>
      <c r="R1166" s="38" t="s">
        <v>52</v>
      </c>
      <c r="S1166" s="4">
        <f>(AVERAGE(O1163:O1168)/AVERAGE(P1163:P1168))</f>
        <v>0.24632839088276567</v>
      </c>
      <c r="U1166" s="25" t="s">
        <v>54</v>
      </c>
      <c r="V1166" s="38" t="s">
        <v>52</v>
      </c>
      <c r="W1166" s="4">
        <f>(AVERAGE(O1163:O1168)/AVERAGE(P1163:P1168))</f>
        <v>0.24632839088276567</v>
      </c>
      <c r="Y1166" s="25" t="s">
        <v>60</v>
      </c>
      <c r="Z1166" s="38" t="s">
        <v>52</v>
      </c>
      <c r="AA1166" s="4">
        <f>(AVERAGE(O1163:O1168)/AVERAGE(P1163:P1168))</f>
        <v>0.24632839088276567</v>
      </c>
    </row>
    <row r="1167" spans="1:27">
      <c r="A1167" s="19">
        <f>_xll.ciqfunctions.udf.CIQ(A1158,"IQ_TOTAL_REV",IQ_LTM)</f>
        <v>2442.1010000000001</v>
      </c>
      <c r="B1167" s="13">
        <v>10</v>
      </c>
      <c r="C1167" s="14" t="s">
        <v>34</v>
      </c>
      <c r="D1167" s="15" cm="1">
        <f t="array" ref="D1167">_xlfn.SINGLE(IF(A1166=A1167,_xll.ciqfunctions.udf.CIQ(A1158,"IQ_TOTAL_REV",IQ_FY-1)/I1167, _xll.ciqfunctions.udf.CIQ(A1158, "IQ_TOTAL_REV",IQ_FY)/I1167))</f>
        <v>101.47385306436144</v>
      </c>
      <c r="E1167" s="16">
        <f t="shared" si="311"/>
        <v>0.20453535561846214</v>
      </c>
      <c r="F1167" s="15">
        <f>IF(A1166=A1167,_xll.ciqfunctions.udf.CIQ(A1158,"IQ_DILUT_EPS_EXCL",IQ_FY-1), _xll.ciqfunctions.udf.CIQ(A1158, "IQ_DILUT_EPS_EXCL",IQ_FY))</f>
        <v>14.94</v>
      </c>
      <c r="G1167" s="15">
        <f>IF(A1166=A1167,_xll.ciqfunctions.udf.CIQ(A1158,"IQ_EBITDA_MARGIN",IQ_FY-1), _xll.ciqfunctions.udf.CIQ(A1158, "IQ_EBITDA_MARGIN",IQ_FY))</f>
        <v>26.052700000000002</v>
      </c>
      <c r="H1167" s="15">
        <f>IF(A1166=A1167,_xll.ciqfunctions.udf.CIQ(A1158,"IQ_TOTAL_DIV_PAID_CF",IQ_FY-1)/-I1167, _xll.ciqfunctions.udf.CIQ(A1158, "IQ_TOTAL_DIV_PAID_CF",IQ_FY)/-I1167)</f>
        <v>2.2568564259719124</v>
      </c>
      <c r="I1167" s="17">
        <f>IF(A1166=A1167,_xll.ciqfunctions.udf.CIQ(A1158,"IQ_TOTAL_OUTSTANDING_FILING_DATE",IQ_FY-1), _xll.ciqfunctions.udf.CIQ(A1158, "IQ_TOTAL_OUTSTANDING_FILING_DATE",IQ_FY))</f>
        <v>24.77384</v>
      </c>
      <c r="J1167" s="17">
        <f>IF(A1166=A1167,_xll.ciqfunctions.udf.CIQ(A1158,"IQ_CASH_OPER",IQ_FY-1), _xll.ciqfunctions.udf.CIQ(A1158, "IQ_CASH_OPER",IQ_FY))</f>
        <v>419.71800000000002</v>
      </c>
      <c r="K1167" s="17">
        <f>IF(A1166=A1167,_xll.ciqfunctions.udf.CIQ(A1158,"IQ_CAPEX",IQ_FY-1), _xll.ciqfunctions.udf.CIQ(A1158, "IQ_CAPEX",IQ_FY))</f>
        <v>-104.34099999999999</v>
      </c>
      <c r="L1167" s="15">
        <f t="shared" si="308"/>
        <v>12.730242869090945</v>
      </c>
      <c r="M1167" s="17">
        <f>IF(A1166=A1167,_xll.ciqfunctions.udf.CIQ(A1158,"IQ_TOTAL_DEBT_ISSUED",IQ_FY-1), _xll.ciqfunctions.udf.CIQ(A1158, "IQ_TOTAL_DEBT_ISSUED",IQ_FY))</f>
        <v>400</v>
      </c>
      <c r="N1167" s="17">
        <f>IF(A1166=A1167,_xll.ciqfunctions.udf.CIQ(A1158,"IQ_TOTAL_DEBT_REPAID",IQ_FY-1), _xll.ciqfunctions.udf.CIQ(A1158, "IQ_TOTAL_DEBT_REPAID",IQ_FY))</f>
        <v>-30.302</v>
      </c>
      <c r="O1167" s="15">
        <f t="shared" si="309"/>
        <v>14.922918691652161</v>
      </c>
      <c r="P1167" s="15">
        <f t="shared" si="310"/>
        <v>27.653161560743108</v>
      </c>
      <c r="Q1167" s="25" t="s">
        <v>44</v>
      </c>
      <c r="R1167" s="38" t="s">
        <v>35</v>
      </c>
      <c r="S1167" s="1">
        <f>_xll.ciqfunctions.udf.CIQ(A1158,"IQ_TEV_EBITDA")</f>
        <v>10.96604</v>
      </c>
      <c r="U1167" s="25" t="s">
        <v>55</v>
      </c>
      <c r="V1167" s="38" t="s">
        <v>53</v>
      </c>
      <c r="W1167" s="1">
        <f>V1157/(AVERAGE(D1163:D1168)/_xlfn.STDEV.P(E1163:E1168))</f>
        <v>0.65777866806044638</v>
      </c>
      <c r="Y1167" s="25" t="s">
        <v>57</v>
      </c>
      <c r="Z1167" s="38" t="s">
        <v>53</v>
      </c>
      <c r="AA1167" s="1">
        <f>Z1157/(AVERAGE(D1163:D1168)/_xlfn.STDEV.P(E1163:E1168))</f>
        <v>0.65777866806044638</v>
      </c>
    </row>
    <row r="1168" spans="1:27">
      <c r="B1168" s="13">
        <v>11</v>
      </c>
      <c r="C1168" s="20" t="s">
        <v>36</v>
      </c>
      <c r="D1168" s="21" cm="1">
        <f t="array" ref="D1168">_xlfn.SINGLE(IF(A1166=A1167,_xll.ciqfunctions.udf.CIQ(A1158,"IQ_TOTAL_REV",IQ_FY)/I1168, _xll.ciqfunctions.udf.CIQ(A1158, "IQ_TOTAL_REV",IQ_LTM)/I1168))</f>
        <v>98.06484540768713</v>
      </c>
      <c r="E1168" s="22">
        <f t="shared" si="311"/>
        <v>-3.359493656471374E-2</v>
      </c>
      <c r="F1168" s="21">
        <f>IF(A1166=A1167,_xll.ciqfunctions.udf.CIQ(A1158,"IQ_DILUT_EPS_EXCL",IQ_FY), _xll.ciqfunctions.udf.CIQ(A1158, "IQ_DILUT_EPS_EXCL",IQ_LTM))</f>
        <v>12.357089999999999</v>
      </c>
      <c r="G1168" s="21">
        <f>IF(A1166=A1167,_xll.ciqfunctions.udf.CIQ(A1158,"IQ_EBITDA_MARGIN",IQ_FY), _xll.ciqfunctions.udf.CIQ(A1158, "IQ_EBITDA_MARGIN",IQ_LTM))</f>
        <v>22.844999999999999</v>
      </c>
      <c r="H1168" s="21">
        <f>IF(A1166=A1167,_xll.ciqfunctions.udf.CIQ(A1158,"IQ_TOTAL_DIV_PAID_CF",IQ_FY)/-I1168, _xll.ciqfunctions.udf.CIQ(A1158, "IQ_TOTAL_DIV_PAID_CF",IQ_LTM)/-I1168)</f>
        <v>2.4426452801518859</v>
      </c>
      <c r="I1168" s="23">
        <f>IF(A1166=A1167,_xll.ciqfunctions.udf.CIQ(A1158,"IQ_TOTAL_OUTSTANDING_FILING_DATE",IQ_FY),_xll.ciqfunctions.udf.CIQ(A1158,"IQ_sharesoutstanding"))</f>
        <v>24.902920000000002</v>
      </c>
      <c r="J1168" s="23">
        <f>IF(A1166=A1167,_xll.ciqfunctions.udf.CIQ(A1158,"IQ_CASH_OPER",IQ_FY), _xll.ciqfunctions.udf.CIQ(A1158, "IQ_CASH_OPER",IQ_LTM))</f>
        <v>419.41899999999998</v>
      </c>
      <c r="K1168" s="23">
        <f>IF(A1166=A1167,_xll.ciqfunctions.udf.CIQ(A1158,"IQ_CAPEX",IQ_FY), _xll.ciqfunctions.udf.CIQ(A1158, "IQ_CAPEX",IQ_LTM))</f>
        <v>-89.733999999999995</v>
      </c>
      <c r="L1168" s="21">
        <f t="shared" si="308"/>
        <v>13.238808942887019</v>
      </c>
      <c r="M1168" s="23">
        <f>IF(A1166=A1167,_xll.ciqfunctions.udf.CIQ(A1158,"IQ_TOTAL_DEBT_ISSUED",IQ_FY), _xll.ciqfunctions.udf.CIQ(A1158, "IQ_TOTAL_DEBT_ISSUED",IQ_LTM))</f>
        <v>0</v>
      </c>
      <c r="N1168" s="23">
        <f>IF(A1166=A1167,_xll.ciqfunctions.udf.CIQ(A1158,"IQ_TOTAL_DEBT_REPAID",IQ_FY), _xll.ciqfunctions.udf.CIQ(A1158, "IQ_TOTAL_DEBT_REPAID",IQ_LTM))</f>
        <v>-5.0999999999999996</v>
      </c>
      <c r="O1168" s="21">
        <f t="shared" si="309"/>
        <v>-0.20479526095734954</v>
      </c>
      <c r="P1168" s="21">
        <f t="shared" si="310"/>
        <v>13.03401368192967</v>
      </c>
      <c r="Q1168" s="25" t="s">
        <v>45</v>
      </c>
      <c r="S1168" s="45"/>
      <c r="U1168" s="25"/>
      <c r="W1168" s="45"/>
      <c r="Y1168" s="25"/>
      <c r="AA1168" s="45"/>
    </row>
    <row r="1169" spans="1:27">
      <c r="B1169" s="24"/>
      <c r="C1169" s="25" t="s">
        <v>37</v>
      </c>
      <c r="E1169" s="26">
        <f>((D1168/D1163)^(1/5))-1</f>
        <v>7.1114904326513351E-2</v>
      </c>
      <c r="F1169" s="27">
        <f>((F1168/F1163)^(1/5))-1</f>
        <v>0.13640653579354267</v>
      </c>
      <c r="G1169" s="28"/>
      <c r="H1169" s="27">
        <f>((H1168/H1163)^(1/5))-1</f>
        <v>8.5767822333964627E-2</v>
      </c>
      <c r="I1169" s="27">
        <f>((I1168/I1163)^(1/5))-1</f>
        <v>1.5862917943350041E-3</v>
      </c>
      <c r="J1169" s="27"/>
      <c r="K1169" s="27"/>
      <c r="L1169" s="26">
        <f>((L1168/L1163)^(1/5))-1</f>
        <v>4.9347897714021149E-2</v>
      </c>
      <c r="M1169" s="26"/>
      <c r="N1169" s="26"/>
      <c r="O1169" s="26"/>
      <c r="P1169" s="26">
        <f>((P1168/P1163)^(1/5))-1</f>
        <v>-7.0678146061427749E-2</v>
      </c>
      <c r="Q1169" s="18"/>
      <c r="R1169" s="36"/>
      <c r="S1169" s="45"/>
      <c r="U1169" s="18"/>
      <c r="V1169" s="36"/>
      <c r="W1169" s="45"/>
      <c r="Y1169" s="18"/>
      <c r="Z1169" s="36"/>
      <c r="AA1169" s="45"/>
    </row>
    <row r="1170" spans="1:27">
      <c r="A1170" s="29"/>
      <c r="B1170" s="30"/>
      <c r="C1170" s="31" t="s">
        <v>38</v>
      </c>
      <c r="D1170" s="29"/>
      <c r="E1170" s="32">
        <f>((D1168/D1158)^(1/10))-1</f>
        <v>0.11258780661674517</v>
      </c>
      <c r="F1170" s="33">
        <f>((F1168/F1158)^(1/10))-1</f>
        <v>0.12109392391599272</v>
      </c>
      <c r="G1170" s="34"/>
      <c r="H1170" s="33">
        <f>((H1168/H1158)^(1/10))-1</f>
        <v>0.1135052650095032</v>
      </c>
      <c r="I1170" s="33">
        <f>((I1168/I1158)^(1/10))-1</f>
        <v>1.0377272821421313E-2</v>
      </c>
      <c r="J1170" s="33"/>
      <c r="K1170" s="33"/>
      <c r="L1170" s="32">
        <f>((L1168/L1158)^(1/10))-1</f>
        <v>0.13691043004668035</v>
      </c>
      <c r="M1170" s="32"/>
      <c r="N1170" s="32"/>
      <c r="O1170" s="32"/>
      <c r="P1170" s="32">
        <f>((P1168/P1158)^(1/10))-1</f>
        <v>2.984287125349061E-2</v>
      </c>
      <c r="Q1170" s="40"/>
      <c r="R1170" s="41"/>
      <c r="S1170" s="46"/>
      <c r="U1170" s="40"/>
      <c r="V1170" s="41"/>
      <c r="W1170" s="46"/>
      <c r="Y1170" s="40"/>
      <c r="Z1170" s="41"/>
      <c r="AA1170" s="46"/>
    </row>
    <row r="1171" spans="1:27">
      <c r="B1171" s="24"/>
      <c r="C1171" s="25"/>
      <c r="E1171" s="26"/>
      <c r="F1171" s="27"/>
      <c r="G1171" s="28"/>
      <c r="H1171" s="27"/>
      <c r="I1171" s="27"/>
      <c r="J1171" s="27"/>
      <c r="K1171" s="27"/>
      <c r="L1171" s="26"/>
      <c r="M1171" s="17"/>
      <c r="N1171" s="17"/>
      <c r="O1171" s="17"/>
      <c r="P1171" s="35"/>
      <c r="Q1171" s="18"/>
      <c r="R1171" s="36"/>
    </row>
    <row r="1172" spans="1:27">
      <c r="A1172" s="9" t="s">
        <v>0</v>
      </c>
      <c r="B1172" s="10"/>
      <c r="C1172" s="9" t="s">
        <v>1</v>
      </c>
      <c r="D1172" s="9" t="s">
        <v>2</v>
      </c>
      <c r="E1172" s="9" t="s">
        <v>3</v>
      </c>
      <c r="F1172" s="11" t="s">
        <v>4</v>
      </c>
      <c r="G1172" s="11" t="s">
        <v>5</v>
      </c>
      <c r="H1172" s="9" t="s">
        <v>6</v>
      </c>
      <c r="I1172" s="11" t="s">
        <v>7</v>
      </c>
      <c r="J1172" s="11" t="s">
        <v>8</v>
      </c>
      <c r="K1172" s="11" t="s">
        <v>9</v>
      </c>
      <c r="L1172" s="11" t="s">
        <v>10</v>
      </c>
      <c r="M1172" s="11" t="s">
        <v>11</v>
      </c>
      <c r="N1172" s="11" t="s">
        <v>12</v>
      </c>
      <c r="O1172" s="11" t="s">
        <v>13</v>
      </c>
      <c r="P1172" s="11" t="s">
        <v>14</v>
      </c>
      <c r="Q1172" s="37" t="s">
        <v>15</v>
      </c>
      <c r="R1172" s="42">
        <f>_xll.ciqfunctions.udf.CIQ(A1173,("IQ_LASTSALEPRICE"))</f>
        <v>119.24</v>
      </c>
      <c r="S1172" s="44"/>
      <c r="U1172" s="37" t="s">
        <v>15</v>
      </c>
      <c r="V1172" s="42">
        <f>_xll.ciqfunctions.udf.CIQ(A1173,("IQ_LASTSALEPRICE"))</f>
        <v>119.24</v>
      </c>
      <c r="W1172" s="44"/>
      <c r="Y1172" s="37" t="s">
        <v>15</v>
      </c>
      <c r="Z1172" s="42">
        <f>_xll.ciqfunctions.udf.CIQ(A1173,("IQ_LASTSALEPRICE"))</f>
        <v>119.24</v>
      </c>
      <c r="AA1172" s="44"/>
    </row>
    <row r="1173" spans="1:27">
      <c r="A1173" s="12" t="str">
        <f>Analysis!B80</f>
        <v>NYSE:ARW</v>
      </c>
      <c r="B1173" s="13">
        <v>1</v>
      </c>
      <c r="C1173" s="14" t="s">
        <v>16</v>
      </c>
      <c r="D1173" s="15">
        <f>IF(A1181=A1182,_xll.ciqfunctions.udf.CIQ(A1173,"IQ_TOTAL_REV",IQ_FY-10)/I1173,_xll.ciqfunctions.udf.CIQ(A1173, "IQ_TOTAL_REV",IQ_FY-9)/I1173)</f>
        <v>213.6544446324051</v>
      </c>
      <c r="E1173" s="16"/>
      <c r="F1173" s="15">
        <f>IF(A1181=A1182,_xll.ciqfunctions.udf.CIQ(A1173,"IQ_DILUT_EPS_EXCL",IQ_FY-10), _xll.ciqfunctions.udf.CIQ(A1173, "IQ_DILUT_EPS_EXCL",IQ_FY-9))</f>
        <v>3.85</v>
      </c>
      <c r="G1173" s="15">
        <f>IF(A1181=A1182,_xll.ciqfunctions.udf.CIQ(A1173,"IQ_EBITDA_MARGIN",IQ_FY-10), _xll.ciqfunctions.udf.CIQ(A1173, "IQ_EBITDA_MARGIN",IQ_FY-9))</f>
        <v>4.2949000000000002</v>
      </c>
      <c r="H1173" s="15">
        <f>IF(A1181=A1182,_xll.ciqfunctions.udf.CIQ(A1173,"IQ_TOTAL_DIV_PAID_CF",IQ_FY-10)/-I1173, _xll.ciqfunctions.udf.CIQ(A1173, "IQ_TOTAL_DIV_PAID_CF",IQ_FY-9)/-I1173)</f>
        <v>0</v>
      </c>
      <c r="I1173" s="17">
        <f>IF(A1181=A1182,_xll.ciqfunctions.udf.CIQ(A1173,"IQ_TOTAL_OUTSTANDING_FILING_DATE",IQ_FY-10), _xll.ciqfunctions.udf.CIQ(A1173, "IQ_TOTAL_OUTSTANDING_FILING_DATE",IQ_FY-9))</f>
        <v>99.96181</v>
      </c>
      <c r="J1173" s="17">
        <f>IF(A1181=A1182,_xll.ciqfunctions.udf.CIQ(A1173,"IQ_CASH_OPER",IQ_FY-10), _xll.ciqfunctions.udf.CIQ(A1173, "IQ_CASH_OPER",IQ_FY-9))</f>
        <v>450.69099999999997</v>
      </c>
      <c r="K1173" s="17">
        <f>IF(A1181=A1182,_xll.ciqfunctions.udf.CIQ(A1173,"IQ_CAPEX",IQ_FY-10), _xll.ciqfunctions.udf.CIQ(A1173, "IQ_CAPEX",IQ_FY-9))</f>
        <v>-116.16200000000001</v>
      </c>
      <c r="L1173" s="15">
        <f t="shared" ref="L1173:L1183" si="312">(J1173+K1173)/I1173</f>
        <v>3.3465680543399525</v>
      </c>
      <c r="M1173" s="17">
        <f>IF(A1181=A1182,_xll.ciqfunctions.udf.CIQ(A1173,"IQ_TOTAL_DEBT_ISSUED",IQ_FY-10), _xll.ciqfunctions.udf.CIQ(A1173, "IQ_TOTAL_DEBT_ISSUED",IQ_FY-9))</f>
        <v>662.55600000000004</v>
      </c>
      <c r="N1173" s="17">
        <f>IF(A1181=A1182,_xll.ciqfunctions.udf.CIQ(A1173,"IQ_TOTAL_DEBT_REPAID",IQ_FY-10), _xll.ciqfunctions.udf.CIQ(A1173, "IQ_TOTAL_DEBT_REPAID",IQ_FY-9))</f>
        <v>-369.524</v>
      </c>
      <c r="O1173" s="15">
        <f t="shared" ref="O1173:O1183" si="313">(M1173+N1173)/I1173</f>
        <v>2.931439516751448</v>
      </c>
      <c r="P1173" s="15">
        <f t="shared" ref="P1173:P1183" si="314">L1173+O1173</f>
        <v>6.2780075710914005</v>
      </c>
      <c r="W1173" s="43"/>
      <c r="AA1173" s="43"/>
    </row>
    <row r="1174" spans="1:27">
      <c r="A1174" s="18" t="str">
        <f>_xll.ciqfunctions.udf.CIQ(A1173,"IQ_COMPANY_NAME")</f>
        <v>Arrow Electronics, Inc.</v>
      </c>
      <c r="B1174" s="13">
        <v>2</v>
      </c>
      <c r="C1174" s="14" t="s">
        <v>17</v>
      </c>
      <c r="D1174" s="15">
        <f>IF(A1181=A1182,_xll.ciqfunctions.udf.CIQ(A1173,"IQ_TOTAL_REV",IQ_FY-9)/I1174, _xll.ciqfunctions.udf.CIQ(A1173, "IQ_TOTAL_REV",IQ_FY-8)/I1174)</f>
        <v>238.05862082737977</v>
      </c>
      <c r="E1174" s="16">
        <f t="shared" ref="E1174:E1183" si="315">(D1174-D1173)/D1173</f>
        <v>0.11422264693328674</v>
      </c>
      <c r="F1174" s="15">
        <f>IF(A1181=A1182,_xll.ciqfunctions.udf.CIQ(A1173,"IQ_DILUT_EPS_EXCL",IQ_FY-9), _xll.ciqfunctions.udf.CIQ(A1173, "IQ_DILUT_EPS_EXCL",IQ_FY-8))</f>
        <v>4.9800000000000004</v>
      </c>
      <c r="G1174" s="15">
        <f>IF(A1181=A1182,_xll.ciqfunctions.udf.CIQ(A1173,"IQ_EBITDA_MARGIN",IQ_FY-9), _xll.ciqfunctions.udf.CIQ(A1173, "IQ_EBITDA_MARGIN",IQ_FY-8))</f>
        <v>4.5507</v>
      </c>
      <c r="H1174" s="15">
        <f>IF(A1181=A1182,_xll.ciqfunctions.udf.CIQ(A1173,"IQ_TOTAL_DIV_PAID_CF",IQ_FY-9)/-I1174, _xll.ciqfunctions.udf.CIQ(A1173, "IQ_TOTAL_DIV_PAID_CF",IQ_FY-8)/-I1174)</f>
        <v>0</v>
      </c>
      <c r="I1174" s="17">
        <f>IF(A1181=A1182,_xll.ciqfunctions.udf.CIQ(A1173,"IQ_TOTAL_OUTSTANDING_FILING_DATE",IQ_FY-9), _xll.ciqfunctions.udf.CIQ(A1173, "IQ_TOTAL_OUTSTANDING_FILING_DATE",IQ_FY-8))</f>
        <v>95.643140000000002</v>
      </c>
      <c r="J1174" s="17">
        <f>IF(A1181=A1182,_xll.ciqfunctions.udf.CIQ(A1173,"IQ_CASH_OPER",IQ_FY-9), _xll.ciqfunctions.udf.CIQ(A1173, "IQ_CASH_OPER",IQ_FY-8))</f>
        <v>673.30100000000004</v>
      </c>
      <c r="K1174" s="17">
        <f>IF(A1181=A1182,_xll.ciqfunctions.udf.CIQ(A1173,"IQ_CAPEX",IQ_FY-9), _xll.ciqfunctions.udf.CIQ(A1173, "IQ_CAPEX",IQ_FY-8))</f>
        <v>-122.505</v>
      </c>
      <c r="L1174" s="15">
        <f t="shared" si="312"/>
        <v>5.7588657168721147</v>
      </c>
      <c r="M1174" s="17">
        <f>IF(A1181=A1182,_xll.ciqfunctions.udf.CIQ(A1173,"IQ_TOTAL_DEBT_ISSUED",IQ_FY-9), _xll.ciqfunctions.udf.CIQ(A1173, "IQ_TOTAL_DEBT_ISSUED",IQ_FY-8))</f>
        <v>0</v>
      </c>
      <c r="N1174" s="17">
        <f>IF(A1181=A1182,_xll.ciqfunctions.udf.CIQ(A1173,"IQ_TOTAL_DEBT_REPAID",IQ_FY-9), _xll.ciqfunctions.udf.CIQ(A1173, "IQ_TOTAL_DEBT_REPAID",IQ_FY-8))</f>
        <v>-157.541</v>
      </c>
      <c r="O1174" s="15">
        <f t="shared" si="313"/>
        <v>-1.6471751136568706</v>
      </c>
      <c r="P1174" s="15">
        <f t="shared" si="314"/>
        <v>4.1116906032152443</v>
      </c>
      <c r="Q1174" s="25" t="s">
        <v>18</v>
      </c>
      <c r="R1174" s="39" t="s">
        <v>19</v>
      </c>
      <c r="S1174" s="1">
        <f>R1172/((AVERAGE(P1178:P1183))*(1+E1184)^3)</f>
        <v>8.691232333872934</v>
      </c>
      <c r="U1174" s="25" t="s">
        <v>48</v>
      </c>
      <c r="V1174" s="39" t="s">
        <v>19</v>
      </c>
      <c r="W1174" s="1">
        <f>V1172/((AVERAGE(P1178:P1183))*(1+E1184)^3)</f>
        <v>8.691232333872934</v>
      </c>
      <c r="Y1174" s="25" t="s">
        <v>39</v>
      </c>
      <c r="Z1174" s="39" t="s">
        <v>19</v>
      </c>
      <c r="AA1174" s="1">
        <f>Z1172/((AVERAGE(P1178:P1183))*(1+E1184)^3)</f>
        <v>8.691232333872934</v>
      </c>
    </row>
    <row r="1175" spans="1:27">
      <c r="B1175" s="13">
        <v>3</v>
      </c>
      <c r="C1175" s="14" t="s">
        <v>20</v>
      </c>
      <c r="D1175" s="15" cm="1">
        <f t="array" ref="D1175">_xlfn.SINGLE(IF(A1181=A1182,_xll.ciqfunctions.udf.CIQ(A1173,"IQ_TOTAL_REV",IQ_FY-8)/I1175, _xll.ciqfunctions.udf.CIQ(A1173, "IQ_TOTAL_REV",IQ_FY-7)/I1175))</f>
        <v>256.00577238531156</v>
      </c>
      <c r="E1175" s="16">
        <f t="shared" si="315"/>
        <v>7.5389630905009594E-2</v>
      </c>
      <c r="F1175" s="15">
        <f>IF(A1181=A1182,_xll.ciqfunctions.udf.CIQ(A1173,"IQ_DILUT_EPS_EXCL",IQ_FY-8), _xll.ciqfunctions.udf.CIQ(A1173, "IQ_DILUT_EPS_EXCL",IQ_FY-7))</f>
        <v>5.2</v>
      </c>
      <c r="G1175" s="15">
        <f>IF(A1181=A1182,_xll.ciqfunctions.udf.CIQ(A1173,"IQ_EBITDA_MARGIN",IQ_FY-8), _xll.ciqfunctions.udf.CIQ(A1173, "IQ_EBITDA_MARGIN",IQ_FY-7))</f>
        <v>4.4798</v>
      </c>
      <c r="H1175" s="15">
        <f>IF(A1181=A1182,_xll.ciqfunctions.udf.CIQ(A1173,"IQ_TOTAL_DIV_PAID_CF",IQ_FY-8)/-I1175, _xll.ciqfunctions.udf.CIQ(A1173, "IQ_TOTAL_DIV_PAID_CF",IQ_FY-7)/-I1175)</f>
        <v>0</v>
      </c>
      <c r="I1175" s="17">
        <f>IF(A1181=A1182,_xll.ciqfunctions.udf.CIQ(A1173,"IQ_TOTAL_OUTSTANDING_FILING_DATE",IQ_FY-8), _xll.ciqfunctions.udf.CIQ(A1173, "IQ_TOTAL_OUTSTANDING_FILING_DATE",IQ_FY-7))</f>
        <v>90.943340000000006</v>
      </c>
      <c r="J1175" s="17">
        <f>IF(A1181=A1182,_xll.ciqfunctions.udf.CIQ(A1173,"IQ_CASH_OPER",IQ_FY-8), _xll.ciqfunctions.udf.CIQ(A1173, "IQ_CASH_OPER",IQ_FY-7))</f>
        <v>660.00800000000004</v>
      </c>
      <c r="K1175" s="17">
        <f>IF(A1181=A1182,_xll.ciqfunctions.udf.CIQ(A1173,"IQ_CAPEX",IQ_FY-8), _xll.ciqfunctions.udf.CIQ(A1173, "IQ_CAPEX",IQ_FY-7))</f>
        <v>-154.80000000000001</v>
      </c>
      <c r="L1175" s="15">
        <f t="shared" si="312"/>
        <v>5.5551951357845448</v>
      </c>
      <c r="M1175" s="17">
        <f>IF(A1181=A1182,_xll.ciqfunctions.udf.CIQ(A1173,"IQ_TOTAL_DEBT_ISSUED",IQ_FY-8), _xll.ciqfunctions.udf.CIQ(A1173, "IQ_TOTAL_DEBT_ISSUED",IQ_FY-7))</f>
        <v>688.16200000000003</v>
      </c>
      <c r="N1175" s="17">
        <f>IF(A1181=A1182,_xll.ciqfunctions.udf.CIQ(A1173,"IQ_TOTAL_DEBT_REPAID",IQ_FY-8), _xll.ciqfunctions.udf.CIQ(A1173, "IQ_TOTAL_DEBT_REPAID",IQ_FY-7))</f>
        <v>-428.95800000000003</v>
      </c>
      <c r="O1175" s="15">
        <f t="shared" si="313"/>
        <v>2.8501702268687295</v>
      </c>
      <c r="P1175" s="15">
        <f t="shared" si="314"/>
        <v>8.4053653626532743</v>
      </c>
      <c r="Q1175" s="25" t="s">
        <v>21</v>
      </c>
      <c r="R1175" s="38" t="s">
        <v>49</v>
      </c>
      <c r="S1175" s="2">
        <f>(R1172*I1183)/1000</f>
        <v>6.4579668559999988</v>
      </c>
      <c r="U1175" s="25" t="s">
        <v>59</v>
      </c>
      <c r="V1175" s="38" t="s">
        <v>49</v>
      </c>
      <c r="W1175" s="2">
        <f>(V1172*I1183)/1000</f>
        <v>6.4579668559999988</v>
      </c>
      <c r="Y1175" s="25" t="s">
        <v>46</v>
      </c>
      <c r="Z1175" s="38" t="s">
        <v>49</v>
      </c>
      <c r="AA1175" s="2">
        <f>(Z1172*I1183)/1000</f>
        <v>6.4579668559999988</v>
      </c>
    </row>
    <row r="1176" spans="1:27">
      <c r="A1176" s="18"/>
      <c r="B1176" s="13">
        <v>4</v>
      </c>
      <c r="C1176" s="14" t="s">
        <v>22</v>
      </c>
      <c r="D1176" s="15" cm="1">
        <f t="array" ref="D1176">_xlfn.SINGLE(IF(A1181=A1182,_xll.ciqfunctions.udf.CIQ(A1173,"IQ_TOTAL_REV",IQ_FY-7)/I1176, _xll.ciqfunctions.udf.CIQ(A1173, "IQ_TOTAL_REV",IQ_FY-6)/I1176))</f>
        <v>264.11756444225944</v>
      </c>
      <c r="E1176" s="16">
        <f t="shared" si="315"/>
        <v>3.1685973255083114E-2</v>
      </c>
      <c r="F1176" s="15">
        <f>IF(A1181=A1182,_xll.ciqfunctions.udf.CIQ(A1173,"IQ_DILUT_EPS_EXCL",IQ_FY-7), _xll.ciqfunctions.udf.CIQ(A1173, "IQ_DILUT_EPS_EXCL",IQ_FY-6))</f>
        <v>5.68</v>
      </c>
      <c r="G1176" s="15">
        <f>IF(A1181=A1182,_xll.ciqfunctions.udf.CIQ(A1173,"IQ_EBITDA_MARGIN",IQ_FY-7), _xll.ciqfunctions.udf.CIQ(A1173, "IQ_EBITDA_MARGIN",IQ_FY-6))</f>
        <v>4.5244999999999997</v>
      </c>
      <c r="H1176" s="15">
        <f>IF(A1181=A1182,_xll.ciqfunctions.udf.CIQ(A1173,"IQ_TOTAL_DIV_PAID_CF",IQ_FY-7)/-I1176, _xll.ciqfunctions.udf.CIQ(A1173, "IQ_TOTAL_DIV_PAID_CF",IQ_FY-6)/-I1176)</f>
        <v>0</v>
      </c>
      <c r="I1176" s="17">
        <f>IF(A1181=A1182,_xll.ciqfunctions.udf.CIQ(A1173,"IQ_TOTAL_OUTSTANDING_FILING_DATE",IQ_FY-7), _xll.ciqfunctions.udf.CIQ(A1173, "IQ_TOTAL_OUTSTANDING_FILING_DATE",IQ_FY-6))</f>
        <v>88.929609999999997</v>
      </c>
      <c r="J1176" s="17">
        <f>IF(A1181=A1182,_xll.ciqfunctions.udf.CIQ(A1173,"IQ_CASH_OPER",IQ_FY-7), _xll.ciqfunctions.udf.CIQ(A1173, "IQ_CASH_OPER",IQ_FY-6))</f>
        <v>359.67200000000003</v>
      </c>
      <c r="K1176" s="17">
        <f>IF(A1181=A1182,_xll.ciqfunctions.udf.CIQ(A1173,"IQ_CAPEX",IQ_FY-7), _xll.ciqfunctions.udf.CIQ(A1173, "IQ_CAPEX",IQ_FY-6))</f>
        <v>-164.69499999999999</v>
      </c>
      <c r="L1176" s="15">
        <f t="shared" si="312"/>
        <v>2.1924868443705088</v>
      </c>
      <c r="M1176" s="17">
        <f>IF(A1181=A1182,_xll.ciqfunctions.udf.CIQ(A1173,"IQ_TOTAL_DEBT_ISSUED",IQ_FY-7), _xll.ciqfunctions.udf.CIQ(A1173, "IQ_TOTAL_DEBT_ISSUED",IQ_FY-6))</f>
        <v>361.68400000000003</v>
      </c>
      <c r="N1176" s="17">
        <f>IF(A1181=A1182,_xll.ciqfunctions.udf.CIQ(A1173,"IQ_TOTAL_DEBT_REPAID",IQ_FY-7), _xll.ciqfunctions.udf.CIQ(A1173, "IQ_TOTAL_DEBT_REPAID",IQ_FY-6))</f>
        <v>0</v>
      </c>
      <c r="O1176" s="15">
        <f t="shared" si="313"/>
        <v>4.0670818189802027</v>
      </c>
      <c r="P1176" s="15">
        <f t="shared" si="314"/>
        <v>6.259568663350711</v>
      </c>
      <c r="Q1176" s="25" t="s">
        <v>23</v>
      </c>
      <c r="R1176" s="38" t="s">
        <v>24</v>
      </c>
      <c r="S1176" s="1" t="e">
        <f>R1172/(AVERAGE(H1178:H1183)*(1+H1184)/(0.5-H1184))</f>
        <v>#DIV/0!</v>
      </c>
      <c r="U1176" s="25" t="s">
        <v>40</v>
      </c>
      <c r="V1176" s="38" t="s">
        <v>24</v>
      </c>
      <c r="W1176" s="1" t="e">
        <f>V1172/(AVERAGE(H1178:H1183)*(1+H1184)/(0.5-H1184))</f>
        <v>#DIV/0!</v>
      </c>
      <c r="Y1176" s="25" t="s">
        <v>47</v>
      </c>
      <c r="Z1176" s="38" t="s">
        <v>24</v>
      </c>
      <c r="AA1176" s="1" t="e">
        <f>Z1172/(AVERAGE(H1178:H1183)*(1+H1184)/(0.5-H1184))</f>
        <v>#DIV/0!</v>
      </c>
    </row>
    <row r="1177" spans="1:27">
      <c r="B1177" s="13">
        <v>5</v>
      </c>
      <c r="C1177" s="14" t="s">
        <v>25</v>
      </c>
      <c r="D1177" s="15" cm="1">
        <f t="array" ref="D1177">_xlfn.SINGLE(IF(A1181=A1182,_xll.ciqfunctions.udf.CIQ(A1173,"IQ_TOTAL_REV",IQ_FY-6)/I1177, _xll.ciqfunctions.udf.CIQ(A1173, "IQ_TOTAL_REV",IQ_FY-5)/I1177))</f>
        <v>302.75559440093025</v>
      </c>
      <c r="E1177" s="16">
        <f t="shared" si="315"/>
        <v>0.14629102778629377</v>
      </c>
      <c r="F1177" s="15">
        <f>IF(A1181=A1182,_xll.ciqfunctions.udf.CIQ(A1173,"IQ_DILUT_EPS_EXCL",IQ_FY-6), _xll.ciqfunctions.udf.CIQ(A1173, "IQ_DILUT_EPS_EXCL",IQ_FY-5))</f>
        <v>4.4800000000000004</v>
      </c>
      <c r="G1177" s="15">
        <f>IF(A1181=A1182,_xll.ciqfunctions.udf.CIQ(A1173,"IQ_EBITDA_MARGIN",IQ_FY-6), _xll.ciqfunctions.udf.CIQ(A1173, "IQ_EBITDA_MARGIN",IQ_FY-5))</f>
        <v>4.3574999999999999</v>
      </c>
      <c r="H1177" s="15">
        <f>IF(A1181=A1182,_xll.ciqfunctions.udf.CIQ(A1173,"IQ_TOTAL_DIV_PAID_CF",IQ_FY-6)/-I1177, _xll.ciqfunctions.udf.CIQ(A1173, "IQ_TOTAL_DIV_PAID_CF",IQ_FY-5)/-I1177)</f>
        <v>0</v>
      </c>
      <c r="I1177" s="17">
        <f>IF(A1181=A1182,_xll.ciqfunctions.udf.CIQ(A1173,"IQ_TOTAL_OUTSTANDING_FILING_DATE",IQ_FY-6), _xll.ciqfunctions.udf.CIQ(A1173, "IQ_TOTAL_OUTSTANDING_FILING_DATE",IQ_FY-5))</f>
        <v>87.709569999999999</v>
      </c>
      <c r="J1177" s="17">
        <f>IF(A1181=A1182,_xll.ciqfunctions.udf.CIQ(A1173,"IQ_CASH_OPER",IQ_FY-6), _xll.ciqfunctions.udf.CIQ(A1173, "IQ_CASH_OPER",IQ_FY-5))</f>
        <v>124.557</v>
      </c>
      <c r="K1177" s="17">
        <f>IF(A1181=A1182,_xll.ciqfunctions.udf.CIQ(A1173,"IQ_CAPEX",IQ_FY-6), _xll.ciqfunctions.udf.CIQ(A1173, "IQ_CAPEX",IQ_FY-5))</f>
        <v>-203.94900000000001</v>
      </c>
      <c r="L1177" s="15">
        <f t="shared" si="312"/>
        <v>-0.90516918507296307</v>
      </c>
      <c r="M1177" s="17">
        <f>IF(A1181=A1182,_xll.ciqfunctions.udf.CIQ(A1173,"IQ_TOTAL_DEBT_ISSUED",IQ_FY-6), _xll.ciqfunctions.udf.CIQ(A1173, "IQ_TOTAL_DEBT_ISSUED",IQ_FY-5))</f>
        <v>1033.963</v>
      </c>
      <c r="N1177" s="17">
        <f>IF(A1181=A1182,_xll.ciqfunctions.udf.CIQ(A1173,"IQ_TOTAL_DEBT_REPAID",IQ_FY-6), _xll.ciqfunctions.udf.CIQ(A1173, "IQ_TOTAL_DEBT_REPAID",IQ_FY-5))</f>
        <v>-600.20299999999997</v>
      </c>
      <c r="O1177" s="15">
        <f t="shared" si="313"/>
        <v>4.9454124561322095</v>
      </c>
      <c r="P1177" s="15">
        <f t="shared" si="314"/>
        <v>4.0402432710592464</v>
      </c>
      <c r="Q1177" s="18"/>
      <c r="R1177" s="38" t="s">
        <v>50</v>
      </c>
      <c r="S1177" s="3">
        <f>I1184</f>
        <v>-8.602254675125065E-2</v>
      </c>
      <c r="U1177" s="18"/>
      <c r="V1177" s="38" t="s">
        <v>50</v>
      </c>
      <c r="W1177" s="3">
        <f>I1184</f>
        <v>-8.602254675125065E-2</v>
      </c>
      <c r="Y1177" s="18"/>
      <c r="Z1177" s="38" t="s">
        <v>50</v>
      </c>
      <c r="AA1177" s="3">
        <f>I1184</f>
        <v>-8.602254675125065E-2</v>
      </c>
    </row>
    <row r="1178" spans="1:27">
      <c r="B1178" s="13">
        <v>6</v>
      </c>
      <c r="C1178" s="14" t="s">
        <v>26</v>
      </c>
      <c r="D1178" s="15" cm="1">
        <f t="array" ref="D1178">_xlfn.SINGLE(IF(A1181=A1182,_xll.ciqfunctions.udf.CIQ(A1173,"IQ_TOTAL_REV",IQ_FY-5)/I1178, _xll.ciqfunctions.udf.CIQ(A1173, "IQ_TOTAL_REV",IQ_FY-4)/I1178))</f>
        <v>349.47826327599722</v>
      </c>
      <c r="E1178" s="16">
        <f t="shared" si="315"/>
        <v>0.15432470857398436</v>
      </c>
      <c r="F1178" s="15">
        <f>IF(A1181=A1182,_xll.ciqfunctions.udf.CIQ(A1173,"IQ_DILUT_EPS_EXCL",IQ_FY-5), _xll.ciqfunctions.udf.CIQ(A1173, "IQ_DILUT_EPS_EXCL",IQ_FY-4))</f>
        <v>8.1</v>
      </c>
      <c r="G1178" s="15">
        <f>IF(A1181=A1182,_xll.ciqfunctions.udf.CIQ(A1173,"IQ_EBITDA_MARGIN",IQ_FY-5), _xll.ciqfunctions.udf.CIQ(A1173, "IQ_EBITDA_MARGIN",IQ_FY-4))</f>
        <v>4.6611000000000002</v>
      </c>
      <c r="H1178" s="15">
        <f>IF(A1181=A1182,_xll.ciqfunctions.udf.CIQ(A1173,"IQ_TOTAL_DIV_PAID_CF",IQ_FY-5)/-I1178, _xll.ciqfunctions.udf.CIQ(A1173, "IQ_TOTAL_DIV_PAID_CF",IQ_FY-4)/-I1178)</f>
        <v>0</v>
      </c>
      <c r="I1178" s="17">
        <f>IF(A1181=A1182,_xll.ciqfunctions.udf.CIQ(A1173,"IQ_TOTAL_OUTSTANDING_FILING_DATE",IQ_FY-5), _xll.ciqfunctions.udf.CIQ(A1173, "IQ_TOTAL_OUTSTANDING_FILING_DATE",IQ_FY-4))</f>
        <v>84.917349999999999</v>
      </c>
      <c r="J1178" s="17">
        <f>IF(A1181=A1182,_xll.ciqfunctions.udf.CIQ(A1173,"IQ_CASH_OPER",IQ_FY-5), _xll.ciqfunctions.udf.CIQ(A1173, "IQ_CASH_OPER",IQ_FY-4))</f>
        <v>272.69</v>
      </c>
      <c r="K1178" s="17">
        <f>IF(A1181=A1182,_xll.ciqfunctions.udf.CIQ(A1173,"IQ_CAPEX",IQ_FY-5), _xll.ciqfunctions.udf.CIQ(A1173, "IQ_CAPEX",IQ_FY-4))</f>
        <v>-135.33600000000001</v>
      </c>
      <c r="L1178" s="15">
        <f t="shared" si="312"/>
        <v>1.6175021947811605</v>
      </c>
      <c r="M1178" s="17">
        <f>IF(A1181=A1182,_xll.ciqfunctions.udf.CIQ(A1173,"IQ_TOTAL_DEBT_ISSUED",IQ_FY-5), _xll.ciqfunctions.udf.CIQ(A1173, "IQ_TOTAL_DEBT_ISSUED",IQ_FY-4))</f>
        <v>498.827</v>
      </c>
      <c r="N1178" s="17">
        <f>IF(A1181=A1182,_xll.ciqfunctions.udf.CIQ(A1173,"IQ_TOTAL_DEBT_REPAID",IQ_FY-5), _xll.ciqfunctions.udf.CIQ(A1173, "IQ_TOTAL_DEBT_REPAID",IQ_FY-4))</f>
        <v>-300</v>
      </c>
      <c r="O1178" s="15">
        <f t="shared" si="313"/>
        <v>2.3414178610142686</v>
      </c>
      <c r="P1178" s="15">
        <f t="shared" si="314"/>
        <v>3.9589200557954292</v>
      </c>
      <c r="Q1178" s="25" t="s">
        <v>27</v>
      </c>
      <c r="R1178" s="38" t="s">
        <v>51</v>
      </c>
      <c r="S1178" s="4">
        <f>AVERAGE(F1178:F1183)/AVERAGE(D1178:D1183)</f>
        <v>2.3648860925481636E-2</v>
      </c>
      <c r="U1178" s="25" t="s">
        <v>58</v>
      </c>
      <c r="V1178" s="38" t="s">
        <v>51</v>
      </c>
      <c r="W1178" s="4">
        <f>AVERAGE(F1178:F1183)/AVERAGE(D1178:D1183)</f>
        <v>2.3648860925481636E-2</v>
      </c>
      <c r="Y1178" s="25" t="s">
        <v>56</v>
      </c>
      <c r="Z1178" s="38" t="s">
        <v>51</v>
      </c>
      <c r="AA1178" s="4">
        <f>AVERAGE(F1178:F1183)/AVERAGE(D1178:D1183)</f>
        <v>2.3648860925481636E-2</v>
      </c>
    </row>
    <row r="1179" spans="1:27">
      <c r="A1179" s="18"/>
      <c r="B1179" s="13">
        <v>7</v>
      </c>
      <c r="C1179" s="14" t="s">
        <v>28</v>
      </c>
      <c r="D1179" s="15" cm="1">
        <f t="array" ref="D1179">_xlfn.SINGLE(IF(A1181=A1182,_xll.ciqfunctions.udf.CIQ(A1173,"IQ_TOTAL_REV",IQ_FY-4)/I1179, _xll.ciqfunctions.udf.CIQ(A1173, "IQ_TOTAL_REV",IQ_FY-3)/I1179))</f>
        <v>358.58411537251061</v>
      </c>
      <c r="E1179" s="16">
        <f t="shared" si="315"/>
        <v>2.6055560683961983E-2</v>
      </c>
      <c r="F1179" s="15">
        <f>IF(A1181=A1182,_xll.ciqfunctions.udf.CIQ(A1173,"IQ_DILUT_EPS_EXCL",IQ_FY-4), _xll.ciqfunctions.udf.CIQ(A1173, "IQ_DILUT_EPS_EXCL",IQ_FY-3))</f>
        <v>-2.44217</v>
      </c>
      <c r="G1179" s="15">
        <f>IF(A1181=A1182,_xll.ciqfunctions.udf.CIQ(A1173,"IQ_EBITDA_MARGIN",IQ_FY-4), _xll.ciqfunctions.udf.CIQ(A1173, "IQ_EBITDA_MARGIN",IQ_FY-3))</f>
        <v>3.7</v>
      </c>
      <c r="H1179" s="15">
        <f>IF(A1181=A1182,_xll.ciqfunctions.udf.CIQ(A1173,"IQ_TOTAL_DIV_PAID_CF",IQ_FY-4)/-I1179, _xll.ciqfunctions.udf.CIQ(A1173, "IQ_TOTAL_DIV_PAID_CF",IQ_FY-3)/-I1179)</f>
        <v>0</v>
      </c>
      <c r="I1179" s="17">
        <f>IF(A1181=A1182,_xll.ciqfunctions.udf.CIQ(A1173,"IQ_TOTAL_OUTSTANDING_FILING_DATE",IQ_FY-4), _xll.ciqfunctions.udf.CIQ(A1173, "IQ_TOTAL_OUTSTANDING_FILING_DATE",IQ_FY-3))</f>
        <v>80.641739999999999</v>
      </c>
      <c r="J1179" s="17">
        <f>IF(A1181=A1182,_xll.ciqfunctions.udf.CIQ(A1173,"IQ_CASH_OPER",IQ_FY-4), _xll.ciqfunctions.udf.CIQ(A1173, "IQ_CASH_OPER",IQ_FY-3))</f>
        <v>857.995</v>
      </c>
      <c r="K1179" s="17">
        <f>IF(A1181=A1182,_xll.ciqfunctions.udf.CIQ(A1173,"IQ_CAPEX",IQ_FY-4), _xll.ciqfunctions.udf.CIQ(A1173, "IQ_CAPEX",IQ_FY-3))</f>
        <v>-143.191</v>
      </c>
      <c r="L1179" s="15">
        <f t="shared" si="312"/>
        <v>8.863945644030002</v>
      </c>
      <c r="M1179" s="17">
        <f>IF(A1181=A1182,_xll.ciqfunctions.udf.CIQ(A1173,"IQ_TOTAL_DEBT_ISSUED",IQ_FY-4), _xll.ciqfunctions.udf.CIQ(A1173, "IQ_TOTAL_DEBT_ISSUED",IQ_FY-3))</f>
        <v>0</v>
      </c>
      <c r="N1179" s="17">
        <f>IF(A1181=A1182,_xll.ciqfunctions.udf.CIQ(A1173,"IQ_TOTAL_DEBT_REPAID",IQ_FY-4), _xll.ciqfunctions.udf.CIQ(A1173, "IQ_TOTAL_DEBT_REPAID",IQ_FY-3))</f>
        <v>-518.92999999999995</v>
      </c>
      <c r="O1179" s="15">
        <f t="shared" si="313"/>
        <v>-6.4350049986520625</v>
      </c>
      <c r="P1179" s="15">
        <f t="shared" si="314"/>
        <v>2.4289406453779394</v>
      </c>
      <c r="Q1179" s="18"/>
      <c r="R1179" s="38" t="s">
        <v>29</v>
      </c>
      <c r="S1179" s="4">
        <f>(AVERAGE(P1178:P1183)/_xlfn.STDEV.P(P1178:P1183))/(IF(A1181=A1182,(_xlfn.SINGLE(_xll.ciqfunctions.udf.CIQ(A1173,"IQ_total_assets",IQ_FY)) - _xlfn.SINGLE(_xll.ciqfunctions.udf.CIQ(A1173,"iq_gw_intan", IQ_FY)))/I1183, (_xlfn.SINGLE(_xll.ciqfunctions.udf.CIQ(A1173, "IQ_total_assets",IQ_LTM))-_xlfn.SINGLE(_xll.ciqfunctions.udf.CIQ(A1173,"iq_gw_intan",IQ_LTM)))/I1183))</f>
        <v>4.920926476224983E-3</v>
      </c>
      <c r="U1179" s="18"/>
      <c r="V1179" s="38" t="s">
        <v>29</v>
      </c>
      <c r="W1179" s="4">
        <f>(AVERAGE(P1178:P1183)/_xlfn.STDEV.P(P1178:P1183))/(IF(A1181=A1182,(_xlfn.SINGLE(_xll.ciqfunctions.udf.CIQ(A1173,"IQ_total_assets",IQ_FY)) - _xlfn.SINGLE(_xll.ciqfunctions.udf.CIQ(A1173,"iq_gw_intan", IQ_FY)))/I1183, (_xlfn.SINGLE(_xll.ciqfunctions.udf.CIQ(A1173, "IQ_total_assets",IQ_LTM))-_xlfn.SINGLE(_xll.ciqfunctions.udf.CIQ(A1173,"iq_gw_intan",IQ_LTM)))/I1183))</f>
        <v>4.920926476224983E-3</v>
      </c>
      <c r="Y1179" s="18"/>
      <c r="Z1179" s="38" t="s">
        <v>29</v>
      </c>
      <c r="AA1179" s="4">
        <f>(AVERAGE(P1178:P1183)/_xlfn.STDEV.P(P1178:P1183))/(IF(A1181=A1182,(_xlfn.SINGLE(_xll.ciqfunctions.udf.CIQ(A1173,"IQ_total_assets",IQ_FY)) - _xlfn.SINGLE(_xll.ciqfunctions.udf.CIQ(A1173,"iq_gw_intan", IQ_FY)))/I1183, (_xlfn.SINGLE(_xll.ciqfunctions.udf.CIQ(A1173, "IQ_total_assets",IQ_LTM))-_xlfn.SINGLE(_xll.ciqfunctions.udf.CIQ(A1173,"iq_gw_intan",IQ_LTM)))/I1183))</f>
        <v>4.920926476224983E-3</v>
      </c>
    </row>
    <row r="1180" spans="1:27">
      <c r="A1180" s="18"/>
      <c r="B1180" s="13">
        <v>8</v>
      </c>
      <c r="C1180" s="14" t="s">
        <v>30</v>
      </c>
      <c r="D1180" s="15" cm="1">
        <f t="array" ref="D1180">_xlfn.SINGLE(IF(A1181=A1182,_xll.ciqfunctions.udf.CIQ(A1173,"IQ_TOTAL_REV",IQ_FY-3)/I1180, _xll.ciqfunctions.udf.CIQ(A1173, "IQ_TOTAL_REV",IQ_FY-2)/I1180))</f>
        <v>384.34479311418556</v>
      </c>
      <c r="E1180" s="16">
        <f t="shared" si="315"/>
        <v>7.1839985758749517E-2</v>
      </c>
      <c r="F1180" s="15">
        <f>IF(A1181=A1182,_xll.ciqfunctions.udf.CIQ(A1173,"IQ_DILUT_EPS_EXCL",IQ_FY-3), _xll.ciqfunctions.udf.CIQ(A1173, "IQ_DILUT_EPS_EXCL",IQ_FY-2))</f>
        <v>7.43</v>
      </c>
      <c r="G1180" s="15">
        <f>IF(A1181=A1182,_xll.ciqfunctions.udf.CIQ(A1173,"IQ_EBITDA_MARGIN",IQ_FY-3), _xll.ciqfunctions.udf.CIQ(A1173, "IQ_EBITDA_MARGIN",IQ_FY-2))</f>
        <v>3.847</v>
      </c>
      <c r="H1180" s="15">
        <f>IF(A1181=A1182,_xll.ciqfunctions.udf.CIQ(A1173,"IQ_TOTAL_DIV_PAID_CF",IQ_FY-3)/-I1180, _xll.ciqfunctions.udf.CIQ(A1173, "IQ_TOTAL_DIV_PAID_CF",IQ_FY-2)/-I1180)</f>
        <v>0</v>
      </c>
      <c r="I1180" s="17">
        <f>IF(A1181=A1182,_xll.ciqfunctions.udf.CIQ(A1173,"IQ_TOTAL_OUTSTANDING_FILING_DATE",IQ_FY-3), _xll.ciqfunctions.udf.CIQ(A1173, "IQ_TOTAL_OUTSTANDING_FILING_DATE",IQ_FY-2))</f>
        <v>74.603229999999996</v>
      </c>
      <c r="J1180" s="17">
        <f>IF(A1181=A1182,_xll.ciqfunctions.udf.CIQ(A1173,"IQ_CASH_OPER",IQ_FY-3), _xll.ciqfunctions.udf.CIQ(A1173, "IQ_CASH_OPER",IQ_FY-2))</f>
        <v>1359.8430000000001</v>
      </c>
      <c r="K1180" s="17">
        <f>IF(A1181=A1182,_xll.ciqfunctions.udf.CIQ(A1173,"IQ_CAPEX",IQ_FY-3), _xll.ciqfunctions.udf.CIQ(A1173, "IQ_CAPEX",IQ_FY-2))</f>
        <v>-123.58499999999999</v>
      </c>
      <c r="L1180" s="15">
        <f t="shared" si="312"/>
        <v>16.571105567413102</v>
      </c>
      <c r="M1180" s="17">
        <f>IF(A1181=A1182,_xll.ciqfunctions.udf.CIQ(A1173,"IQ_TOTAL_DEBT_ISSUED",IQ_FY-3), _xll.ciqfunctions.udf.CIQ(A1173, "IQ_TOTAL_DEBT_ISSUED",IQ_FY-2))</f>
        <v>0</v>
      </c>
      <c r="N1180" s="17">
        <f>IF(A1181=A1182,_xll.ciqfunctions.udf.CIQ(A1173,"IQ_TOTAL_DEBT_REPAID",IQ_FY-3), _xll.ciqfunctions.udf.CIQ(A1173, "IQ_TOTAL_DEBT_REPAID",IQ_FY-2))</f>
        <v>-715.88</v>
      </c>
      <c r="O1180" s="15">
        <f t="shared" si="313"/>
        <v>-9.5958311724572791</v>
      </c>
      <c r="P1180" s="15">
        <f t="shared" si="314"/>
        <v>6.9752743949558234</v>
      </c>
      <c r="Q1180" s="18"/>
      <c r="R1180" s="39" t="s">
        <v>31</v>
      </c>
      <c r="S1180" s="5">
        <f>IF(NOT(D1173&gt;0),FALSE,SLOPE(G1173:G1183,B1173:B1183))</f>
        <v>9.8422727272727301E-2</v>
      </c>
      <c r="U1180" s="18"/>
      <c r="V1180" s="39" t="s">
        <v>31</v>
      </c>
      <c r="W1180" s="5">
        <f>IF(NOT(D1173&gt;0),FALSE,SLOPE(G1173:G1183,B1173:B1183))</f>
        <v>9.8422727272727301E-2</v>
      </c>
      <c r="Y1180" s="18"/>
      <c r="Z1180" s="39" t="s">
        <v>31</v>
      </c>
      <c r="AA1180" s="5">
        <f>IF(NOT(L1173&gt;0),FALSE,SLOPE(O1173:O1183,J1173:J1183))</f>
        <v>-1.7299485884998224E-2</v>
      </c>
    </row>
    <row r="1181" spans="1:27">
      <c r="A1181" s="19">
        <f>_xll.ciqfunctions.udf.CIQ(A1173,"IQ_TOTAL_REV",IQ_FY)</f>
        <v>37124.421999999999</v>
      </c>
      <c r="B1181" s="13">
        <v>9</v>
      </c>
      <c r="C1181" s="14" t="s">
        <v>32</v>
      </c>
      <c r="D1181" s="15" cm="1">
        <f t="array" ref="D1181">_xlfn.SINGLE(IF(A1181=A1182,_xll.ciqfunctions.udf.CIQ(A1173,"IQ_TOTAL_REV",IQ_FY-2)/I1181, _xll.ciqfunctions.udf.CIQ(A1173, "IQ_TOTAL_REV",IQ_FY-1)/I1181))</f>
        <v>509.31384852245577</v>
      </c>
      <c r="E1181" s="16">
        <f t="shared" si="315"/>
        <v>0.32514829821342983</v>
      </c>
      <c r="F1181" s="15">
        <f>IF(A1181=A1182,_xll.ciqfunctions.udf.CIQ(A1173,"IQ_DILUT_EPS_EXCL",IQ_FY-2), _xll.ciqfunctions.udf.CIQ(A1173, "IQ_DILUT_EPS_EXCL",IQ_FY-1))</f>
        <v>15.1</v>
      </c>
      <c r="G1181" s="15">
        <f>IF(A1181=A1182,_xll.ciqfunctions.udf.CIQ(A1173,"IQ_EBITDA_MARGIN",IQ_FY-2), _xll.ciqfunctions.udf.CIQ(A1173, "IQ_EBITDA_MARGIN",IQ_FY-1))</f>
        <v>5.1641000000000004</v>
      </c>
      <c r="H1181" s="15">
        <f>IF(A1181=A1182,_xll.ciqfunctions.udf.CIQ(A1173,"IQ_TOTAL_DIV_PAID_CF",IQ_FY-2)/-I1181, _xll.ciqfunctions.udf.CIQ(A1173, "IQ_TOTAL_DIV_PAID_CF",IQ_FY-1)/-I1181)</f>
        <v>0</v>
      </c>
      <c r="I1181" s="17">
        <f>IF(A1181=A1182,_xll.ciqfunctions.udf.CIQ(A1173,"IQ_TOTAL_OUTSTANDING_FILING_DATE",IQ_FY-2), _xll.ciqfunctions.udf.CIQ(A1173, "IQ_TOTAL_OUTSTANDING_FILING_DATE",IQ_FY-1))</f>
        <v>67.693070000000006</v>
      </c>
      <c r="J1181" s="17">
        <f>IF(A1181=A1182,_xll.ciqfunctions.udf.CIQ(A1173,"IQ_CASH_OPER",IQ_FY-2), _xll.ciqfunctions.udf.CIQ(A1173, "IQ_CASH_OPER",IQ_FY-1))</f>
        <v>418.983</v>
      </c>
      <c r="K1181" s="17">
        <f>IF(A1181=A1182,_xll.ciqfunctions.udf.CIQ(A1173,"IQ_CAPEX",IQ_FY-2), _xll.ciqfunctions.udf.CIQ(A1173, "IQ_CAPEX",IQ_FY-1))</f>
        <v>-83.051000000000002</v>
      </c>
      <c r="L1181" s="15">
        <f t="shared" si="312"/>
        <v>4.9625759328096652</v>
      </c>
      <c r="M1181" s="17">
        <f>IF(A1181=A1182,_xll.ciqfunctions.udf.CIQ(A1173,"IQ_TOTAL_DEBT_ISSUED",IQ_FY-2), _xll.ciqfunctions.udf.CIQ(A1173, "IQ_TOTAL_DEBT_ISSUED",IQ_FY-1))</f>
        <v>508.072</v>
      </c>
      <c r="N1181" s="17">
        <f>IF(A1181=A1182,_xll.ciqfunctions.udf.CIQ(A1173,"IQ_TOTAL_DEBT_REPAID",IQ_FY-2), _xll.ciqfunctions.udf.CIQ(A1173, "IQ_TOTAL_DEBT_REPAID",IQ_FY-1))</f>
        <v>-131.547</v>
      </c>
      <c r="O1181" s="15">
        <f t="shared" si="313"/>
        <v>5.5622384979732775</v>
      </c>
      <c r="P1181" s="15">
        <f t="shared" si="314"/>
        <v>10.524814430782943</v>
      </c>
      <c r="Q1181" s="25" t="s">
        <v>33</v>
      </c>
      <c r="R1181" s="38" t="s">
        <v>52</v>
      </c>
      <c r="S1181" s="4">
        <f>(AVERAGE(O1178:O1183)/AVERAGE(P1178:P1183))</f>
        <v>0.33165445557235534</v>
      </c>
      <c r="U1181" s="25" t="s">
        <v>54</v>
      </c>
      <c r="V1181" s="38" t="s">
        <v>52</v>
      </c>
      <c r="W1181" s="4">
        <f>(AVERAGE(O1178:O1183)/AVERAGE(P1178:P1183))</f>
        <v>0.33165445557235534</v>
      </c>
      <c r="Y1181" s="25" t="s">
        <v>60</v>
      </c>
      <c r="Z1181" s="38" t="s">
        <v>52</v>
      </c>
      <c r="AA1181" s="4">
        <f>(AVERAGE(O1178:O1183)/AVERAGE(P1178:P1183))</f>
        <v>0.33165445557235534</v>
      </c>
    </row>
    <row r="1182" spans="1:27">
      <c r="A1182" s="19">
        <f>_xll.ciqfunctions.udf.CIQ(A1173,"IQ_TOTAL_REV",IQ_LTM)</f>
        <v>34580.985999999997</v>
      </c>
      <c r="B1182" s="13">
        <v>10</v>
      </c>
      <c r="C1182" s="14" t="s">
        <v>34</v>
      </c>
      <c r="D1182" s="15" cm="1">
        <f t="array" ref="D1182">_xlfn.SINGLE(IF(A1181=A1182,_xll.ciqfunctions.udf.CIQ(A1173,"IQ_TOTAL_REV",IQ_FY-1)/I1182, _xll.ciqfunctions.udf.CIQ(A1173, "IQ_TOTAL_REV",IQ_FY)/I1182))</f>
        <v>636.95428681627357</v>
      </c>
      <c r="E1182" s="16">
        <f t="shared" si="315"/>
        <v>0.2506125420781487</v>
      </c>
      <c r="F1182" s="15">
        <f>IF(A1181=A1182,_xll.ciqfunctions.udf.CIQ(A1173,"IQ_DILUT_EPS_EXCL",IQ_FY-1), _xll.ciqfunctions.udf.CIQ(A1173, "IQ_DILUT_EPS_EXCL",IQ_FY))</f>
        <v>21.8</v>
      </c>
      <c r="G1182" s="15">
        <f>IF(A1181=A1182,_xll.ciqfunctions.udf.CIQ(A1173,"IQ_EBITDA_MARGIN",IQ_FY-1), _xll.ciqfunctions.udf.CIQ(A1173, "IQ_EBITDA_MARGIN",IQ_FY))</f>
        <v>6.0891000000000002</v>
      </c>
      <c r="H1182" s="15">
        <f>IF(A1181=A1182,_xll.ciqfunctions.udf.CIQ(A1173,"IQ_TOTAL_DIV_PAID_CF",IQ_FY-1)/-I1182, _xll.ciqfunctions.udf.CIQ(A1173, "IQ_TOTAL_DIV_PAID_CF",IQ_FY)/-I1182)</f>
        <v>0</v>
      </c>
      <c r="I1182" s="17">
        <f>IF(A1181=A1182,_xll.ciqfunctions.udf.CIQ(A1173,"IQ_TOTAL_OUTSTANDING_FILING_DATE",IQ_FY-1), _xll.ciqfunctions.udf.CIQ(A1173, "IQ_TOTAL_OUTSTANDING_FILING_DATE",IQ_FY))</f>
        <v>58.284280000000003</v>
      </c>
      <c r="J1182" s="17">
        <f>IF(A1181=A1182,_xll.ciqfunctions.udf.CIQ(A1173,"IQ_CASH_OPER",IQ_FY-1), _xll.ciqfunctions.udf.CIQ(A1173, "IQ_CASH_OPER",IQ_FY))</f>
        <v>-33.076999999999998</v>
      </c>
      <c r="K1182" s="17">
        <f>IF(A1181=A1182,_xll.ciqfunctions.udf.CIQ(A1173,"IQ_CAPEX",IQ_FY-1), _xll.ciqfunctions.udf.CIQ(A1173, "IQ_CAPEX",IQ_FY))</f>
        <v>-78.835999999999999</v>
      </c>
      <c r="L1182" s="15">
        <f t="shared" si="312"/>
        <v>-1.9201232304834166</v>
      </c>
      <c r="M1182" s="17">
        <f>IF(A1181=A1182,_xll.ciqfunctions.udf.CIQ(A1173,"IQ_TOTAL_DEBT_ISSUED",IQ_FY-1), _xll.ciqfunctions.udf.CIQ(A1173, "IQ_TOTAL_DEBT_ISSUED",IQ_FY))</f>
        <v>1492.066</v>
      </c>
      <c r="N1182" s="17">
        <f>IF(A1181=A1182,_xll.ciqfunctions.udf.CIQ(A1173,"IQ_TOTAL_DEBT_REPAID",IQ_FY-1), _xll.ciqfunctions.udf.CIQ(A1173, "IQ_TOTAL_DEBT_REPAID",IQ_FY))</f>
        <v>-350</v>
      </c>
      <c r="O1182" s="15">
        <f t="shared" si="313"/>
        <v>19.594751792421558</v>
      </c>
      <c r="P1182" s="15">
        <f t="shared" si="314"/>
        <v>17.674628561938142</v>
      </c>
      <c r="Q1182" s="25" t="s">
        <v>44</v>
      </c>
      <c r="R1182" s="38" t="s">
        <v>35</v>
      </c>
      <c r="S1182" s="1">
        <f>_xll.ciqfunctions.udf.CIQ(A1173,"IQ_TEV_EBITDA")</f>
        <v>5.4770399999999997</v>
      </c>
      <c r="U1182" s="25" t="s">
        <v>55</v>
      </c>
      <c r="V1182" s="38" t="s">
        <v>53</v>
      </c>
      <c r="W1182" s="1">
        <f>V1172/(AVERAGE(D1178:D1183)/_xlfn.STDEV.P(E1178:E1183))</f>
        <v>2.9291774300636085E-2</v>
      </c>
      <c r="Y1182" s="25" t="s">
        <v>57</v>
      </c>
      <c r="Z1182" s="38" t="s">
        <v>53</v>
      </c>
      <c r="AA1182" s="1">
        <f>Z1172/(AVERAGE(D1178:D1183)/_xlfn.STDEV.P(E1178:E1183))</f>
        <v>2.9291774300636085E-2</v>
      </c>
    </row>
    <row r="1183" spans="1:27">
      <c r="B1183" s="13">
        <v>11</v>
      </c>
      <c r="C1183" s="20" t="s">
        <v>36</v>
      </c>
      <c r="D1183" s="21" cm="1">
        <f t="array" ref="D1183">_xlfn.SINGLE(IF(A1181=A1182,_xll.ciqfunctions.udf.CIQ(A1173,"IQ_TOTAL_REV",IQ_FY)/I1183, _xll.ciqfunctions.udf.CIQ(A1173, "IQ_TOTAL_REV",IQ_LTM)/I1183))</f>
        <v>638.50386082563693</v>
      </c>
      <c r="E1183" s="22">
        <f t="shared" si="315"/>
        <v>2.432786844262712E-3</v>
      </c>
      <c r="F1183" s="21">
        <f>IF(A1181=A1182,_xll.ciqfunctions.udf.CIQ(A1173,"IQ_DILUT_EPS_EXCL",IQ_FY), _xll.ciqfunctions.udf.CIQ(A1173, "IQ_DILUT_EPS_EXCL",IQ_LTM))</f>
        <v>18.054179999999999</v>
      </c>
      <c r="G1183" s="21">
        <f>IF(A1181=A1182,_xll.ciqfunctions.udf.CIQ(A1173,"IQ_EBITDA_MARGIN",IQ_FY), _xll.ciqfunctions.udf.CIQ(A1173, "IQ_EBITDA_MARGIN",IQ_LTM))</f>
        <v>5.2214</v>
      </c>
      <c r="H1183" s="21">
        <f>IF(A1181=A1182,_xll.ciqfunctions.udf.CIQ(A1173,"IQ_TOTAL_DIV_PAID_CF",IQ_FY)/-I1183, _xll.ciqfunctions.udf.CIQ(A1173, "IQ_TOTAL_DIV_PAID_CF",IQ_LTM)/-I1183)</f>
        <v>0</v>
      </c>
      <c r="I1183" s="23">
        <f>IF(A1181=A1182,_xll.ciqfunctions.udf.CIQ(A1173,"IQ_TOTAL_OUTSTANDING_FILING_DATE",IQ_FY),_xll.ciqfunctions.udf.CIQ(A1173,"IQ_sharesoutstanding"))</f>
        <v>54.159399999999998</v>
      </c>
      <c r="J1183" s="23">
        <f>IF(A1181=A1182,_xll.ciqfunctions.udf.CIQ(A1173,"IQ_CASH_OPER",IQ_FY), _xll.ciqfunctions.udf.CIQ(A1173, "IQ_CASH_OPER",IQ_LTM))</f>
        <v>527.39400000000001</v>
      </c>
      <c r="K1183" s="23">
        <f>IF(A1181=A1182,_xll.ciqfunctions.udf.CIQ(A1173,"IQ_CAPEX",IQ_FY), _xll.ciqfunctions.udf.CIQ(A1173, "IQ_CAPEX",IQ_LTM))</f>
        <v>-81.831000000000003</v>
      </c>
      <c r="L1183" s="21">
        <f t="shared" si="312"/>
        <v>8.2268821294179766</v>
      </c>
      <c r="M1183" s="23">
        <f>IF(A1181=A1182,_xll.ciqfunctions.udf.CIQ(A1173,"IQ_TOTAL_DEBT_ISSUED",IQ_FY), _xll.ciqfunctions.udf.CIQ(A1173, "IQ_TOTAL_DEBT_ISSUED",IQ_LTM))</f>
        <v>1275.5820000000001</v>
      </c>
      <c r="N1183" s="23">
        <f>IF(A1181=A1182,_xll.ciqfunctions.udf.CIQ(A1173,"IQ_TOTAL_DEBT_REPAID",IQ_FY), _xll.ciqfunctions.udf.CIQ(A1173, "IQ_TOTAL_DEBT_REPAID",IQ_LTM))</f>
        <v>-866.73400000000004</v>
      </c>
      <c r="O1183" s="21">
        <f t="shared" si="313"/>
        <v>7.5489758010613128</v>
      </c>
      <c r="P1183" s="21">
        <f t="shared" si="314"/>
        <v>15.77585793047929</v>
      </c>
      <c r="Q1183" s="25" t="s">
        <v>45</v>
      </c>
      <c r="S1183" s="45"/>
      <c r="U1183" s="25"/>
      <c r="W1183" s="45"/>
      <c r="Y1183" s="25"/>
      <c r="AA1183" s="45"/>
    </row>
    <row r="1184" spans="1:27">
      <c r="B1184" s="24"/>
      <c r="C1184" s="25" t="s">
        <v>37</v>
      </c>
      <c r="E1184" s="26">
        <f>((D1183/D1178)^(1/5))-1</f>
        <v>0.12810278597203406</v>
      </c>
      <c r="F1184" s="27">
        <f>((F1183/F1178)^(1/5))-1</f>
        <v>0.17386607025517997</v>
      </c>
      <c r="G1184" s="28"/>
      <c r="H1184" s="27" t="e">
        <f>((H1183/H1178)^(1/5))-1</f>
        <v>#DIV/0!</v>
      </c>
      <c r="I1184" s="27">
        <f>((I1183/I1178)^(1/5))-1</f>
        <v>-8.602254675125065E-2</v>
      </c>
      <c r="J1184" s="27"/>
      <c r="K1184" s="27"/>
      <c r="L1184" s="26">
        <f>((L1183/L1178)^(1/5))-1</f>
        <v>0.38445256185187682</v>
      </c>
      <c r="M1184" s="26"/>
      <c r="N1184" s="26"/>
      <c r="O1184" s="26"/>
      <c r="P1184" s="26">
        <f>((P1183/P1178)^(1/5))-1</f>
        <v>0.31850946250034129</v>
      </c>
      <c r="Q1184" s="18"/>
      <c r="R1184" s="36"/>
      <c r="S1184" s="45"/>
      <c r="U1184" s="18"/>
      <c r="V1184" s="36"/>
      <c r="W1184" s="45"/>
      <c r="Y1184" s="18"/>
      <c r="Z1184" s="36"/>
      <c r="AA1184" s="45"/>
    </row>
    <row r="1185" spans="1:27">
      <c r="A1185" s="29"/>
      <c r="B1185" s="30"/>
      <c r="C1185" s="31" t="s">
        <v>38</v>
      </c>
      <c r="D1185" s="29"/>
      <c r="E1185" s="32">
        <f>((D1183/D1173)^(1/10))-1</f>
        <v>0.1156941594137364</v>
      </c>
      <c r="F1185" s="33">
        <f>((F1183/F1173)^(1/10))-1</f>
        <v>0.16710976799732946</v>
      </c>
      <c r="G1185" s="34"/>
      <c r="H1185" s="33" t="e">
        <f>((H1183/H1173)^(1/10))-1</f>
        <v>#DIV/0!</v>
      </c>
      <c r="I1185" s="33">
        <f>((I1183/I1173)^(1/10))-1</f>
        <v>-5.9445483313667946E-2</v>
      </c>
      <c r="J1185" s="33"/>
      <c r="K1185" s="33"/>
      <c r="L1185" s="32">
        <f>((L1183/L1173)^(1/10))-1</f>
        <v>9.4116484542162704E-2</v>
      </c>
      <c r="M1185" s="32"/>
      <c r="N1185" s="32"/>
      <c r="O1185" s="32"/>
      <c r="P1185" s="32">
        <f>((P1183/P1173)^(1/10))-1</f>
        <v>9.6521408192729252E-2</v>
      </c>
      <c r="Q1185" s="40"/>
      <c r="R1185" s="41"/>
      <c r="S1185" s="46"/>
      <c r="U1185" s="40"/>
      <c r="V1185" s="41"/>
      <c r="W1185" s="46"/>
      <c r="Y1185" s="40"/>
      <c r="Z1185" s="41"/>
      <c r="AA1185" s="46"/>
    </row>
    <row r="1186" spans="1:27">
      <c r="B1186" s="24"/>
      <c r="C1186" s="25"/>
      <c r="E1186" s="26"/>
      <c r="F1186" s="27"/>
      <c r="G1186" s="28"/>
      <c r="H1186" s="27"/>
      <c r="I1186" s="27"/>
      <c r="J1186" s="27"/>
      <c r="K1186" s="27"/>
      <c r="L1186" s="26"/>
      <c r="M1186" s="17"/>
      <c r="N1186" s="17"/>
      <c r="O1186" s="17"/>
      <c r="P1186" s="35"/>
      <c r="Q1186" s="18"/>
      <c r="R1186" s="36"/>
    </row>
    <row r="1187" spans="1:27">
      <c r="A1187" s="9" t="s">
        <v>0</v>
      </c>
      <c r="B1187" s="10"/>
      <c r="C1187" s="9" t="s">
        <v>1</v>
      </c>
      <c r="D1187" s="9" t="s">
        <v>2</v>
      </c>
      <c r="E1187" s="9" t="s">
        <v>3</v>
      </c>
      <c r="F1187" s="11" t="s">
        <v>4</v>
      </c>
      <c r="G1187" s="11" t="s">
        <v>5</v>
      </c>
      <c r="H1187" s="9" t="s">
        <v>6</v>
      </c>
      <c r="I1187" s="11" t="s">
        <v>7</v>
      </c>
      <c r="J1187" s="11" t="s">
        <v>8</v>
      </c>
      <c r="K1187" s="11" t="s">
        <v>9</v>
      </c>
      <c r="L1187" s="11" t="s">
        <v>10</v>
      </c>
      <c r="M1187" s="11" t="s">
        <v>11</v>
      </c>
      <c r="N1187" s="11" t="s">
        <v>12</v>
      </c>
      <c r="O1187" s="11" t="s">
        <v>13</v>
      </c>
      <c r="P1187" s="11" t="s">
        <v>14</v>
      </c>
      <c r="Q1187" s="37" t="s">
        <v>15</v>
      </c>
      <c r="R1187" s="42">
        <f>_xll.ciqfunctions.udf.CIQ(A1188,("IQ_LASTSALEPRICE"))</f>
        <v>44.207700000000003</v>
      </c>
      <c r="S1187" s="44"/>
      <c r="U1187" s="37" t="s">
        <v>15</v>
      </c>
      <c r="V1187" s="42">
        <f>_xll.ciqfunctions.udf.CIQ(A1188,("IQ_LASTSALEPRICE"))</f>
        <v>44.207700000000003</v>
      </c>
      <c r="W1187" s="44"/>
      <c r="Y1187" s="37" t="s">
        <v>15</v>
      </c>
      <c r="Z1187" s="42">
        <f>_xll.ciqfunctions.udf.CIQ(A1188,("IQ_LASTSALEPRICE"))</f>
        <v>44.207700000000003</v>
      </c>
      <c r="AA1187" s="44"/>
    </row>
    <row r="1188" spans="1:27">
      <c r="A1188" s="12" t="str">
        <f>Analysis!B81</f>
        <v>NasdaqGS:TRMB</v>
      </c>
      <c r="B1188" s="13">
        <v>1</v>
      </c>
      <c r="C1188" s="14" t="s">
        <v>16</v>
      </c>
      <c r="D1188" s="15">
        <f>IF(A1196=A1197,_xll.ciqfunctions.udf.CIQ(A1188,"IQ_TOTAL_REV",IQ_FY-10)/I1188,_xll.ciqfunctions.udf.CIQ(A1188, "IQ_TOTAL_REV",IQ_FY-9)/I1188)</f>
        <v>8.8056632718367247</v>
      </c>
      <c r="E1188" s="16"/>
      <c r="F1188" s="15">
        <f>IF(A1196=A1197,_xll.ciqfunctions.udf.CIQ(A1188,"IQ_DILUT_EPS_EXCL",IQ_FY-10), _xll.ciqfunctions.udf.CIQ(A1188, "IQ_DILUT_EPS_EXCL",IQ_FY-9))</f>
        <v>0.84</v>
      </c>
      <c r="G1188" s="15">
        <f>IF(A1196=A1197,_xll.ciqfunctions.udf.CIQ(A1188,"IQ_EBITDA_MARGIN",IQ_FY-10), _xll.ciqfunctions.udf.CIQ(A1188, "IQ_EBITDA_MARGIN",IQ_FY-9))</f>
        <v>20.235099999999999</v>
      </c>
      <c r="H1188" s="15">
        <f>IF(A1196=A1197,_xll.ciqfunctions.udf.CIQ(A1188,"IQ_TOTAL_DIV_PAID_CF",IQ_FY-10)/-I1188, _xll.ciqfunctions.udf.CIQ(A1188, "IQ_TOTAL_DIV_PAID_CF",IQ_FY-9)/-I1188)</f>
        <v>0</v>
      </c>
      <c r="I1188" s="17">
        <f>IF(A1196=A1197,_xll.ciqfunctions.udf.CIQ(A1188,"IQ_TOTAL_OUTSTANDING_FILING_DATE",IQ_FY-10), _xll.ciqfunctions.udf.CIQ(A1188, "IQ_TOTAL_OUTSTANDING_FILING_DATE",IQ_FY-9))</f>
        <v>259.84413999999998</v>
      </c>
      <c r="J1188" s="17">
        <f>IF(A1196=A1197,_xll.ciqfunctions.udf.CIQ(A1188,"IQ_CASH_OPER",IQ_FY-10), _xll.ciqfunctions.udf.CIQ(A1188, "IQ_CASH_OPER",IQ_FY-9))</f>
        <v>414.6</v>
      </c>
      <c r="K1188" s="17">
        <f>IF(A1196=A1197,_xll.ciqfunctions.udf.CIQ(A1188,"IQ_CAPEX",IQ_FY-10), _xll.ciqfunctions.udf.CIQ(A1188, "IQ_CAPEX",IQ_FY-9))</f>
        <v>-70.900000000000006</v>
      </c>
      <c r="L1188" s="15">
        <f t="shared" ref="L1188:L1198" si="316">(J1188+K1188)/I1188</f>
        <v>1.3227159942879607</v>
      </c>
      <c r="M1188" s="17">
        <f>IF(A1196=A1197,_xll.ciqfunctions.udf.CIQ(A1188,"IQ_TOTAL_DEBT_ISSUED",IQ_FY-10), _xll.ciqfunctions.udf.CIQ(A1188, "IQ_TOTAL_DEBT_ISSUED",IQ_FY-9))</f>
        <v>407.7</v>
      </c>
      <c r="N1188" s="17">
        <f>IF(A1196=A1197,_xll.ciqfunctions.udf.CIQ(A1188,"IQ_TOTAL_DEBT_REPAID",IQ_FY-10), _xll.ciqfunctions.udf.CIQ(A1188, "IQ_TOTAL_DEBT_REPAID",IQ_FY-9))</f>
        <v>-567.29999999999995</v>
      </c>
      <c r="O1188" s="15">
        <f t="shared" ref="O1188:O1198" si="317">(M1188+N1188)/I1188</f>
        <v>-0.61421435172638483</v>
      </c>
      <c r="P1188" s="15">
        <f t="shared" ref="P1188:P1198" si="318">L1188+O1188</f>
        <v>0.70850164256157588</v>
      </c>
      <c r="W1188" s="43"/>
      <c r="AA1188" s="43"/>
    </row>
    <row r="1189" spans="1:27">
      <c r="A1189" s="18" t="str">
        <f>_xll.ciqfunctions.udf.CIQ(A1188,"IQ_COMPANY_NAME")</f>
        <v>Trimble Inc.</v>
      </c>
      <c r="B1189" s="13">
        <v>2</v>
      </c>
      <c r="C1189" s="14" t="s">
        <v>17</v>
      </c>
      <c r="D1189" s="15">
        <f>IF(A1196=A1197,_xll.ciqfunctions.udf.CIQ(A1188,"IQ_TOTAL_REV",IQ_FY-9)/I1189, _xll.ciqfunctions.udf.CIQ(A1188, "IQ_TOTAL_REV",IQ_FY-8)/I1189)</f>
        <v>9.2427232894171194</v>
      </c>
      <c r="E1189" s="16">
        <f t="shared" ref="E1189:E1198" si="319">(D1189-D1188)/D1188</f>
        <v>4.9633968968385359E-2</v>
      </c>
      <c r="F1189" s="15">
        <f>IF(A1196=A1197,_xll.ciqfunctions.udf.CIQ(A1188,"IQ_DILUT_EPS_EXCL",IQ_FY-9), _xll.ciqfunctions.udf.CIQ(A1188, "IQ_DILUT_EPS_EXCL",IQ_FY-8))</f>
        <v>0.81</v>
      </c>
      <c r="G1189" s="15">
        <f>IF(A1196=A1197,_xll.ciqfunctions.udf.CIQ(A1188,"IQ_EBITDA_MARGIN",IQ_FY-9), _xll.ciqfunctions.udf.CIQ(A1188, "IQ_EBITDA_MARGIN",IQ_FY-8))</f>
        <v>19.565799999999999</v>
      </c>
      <c r="H1189" s="15">
        <f>IF(A1196=A1197,_xll.ciqfunctions.udf.CIQ(A1188,"IQ_TOTAL_DIV_PAID_CF",IQ_FY-9)/-I1189, _xll.ciqfunctions.udf.CIQ(A1188, "IQ_TOTAL_DIV_PAID_CF",IQ_FY-8)/-I1189)</f>
        <v>0</v>
      </c>
      <c r="I1189" s="17">
        <f>IF(A1196=A1197,_xll.ciqfunctions.udf.CIQ(A1188,"IQ_TOTAL_OUTSTANDING_FILING_DATE",IQ_FY-9), _xll.ciqfunctions.udf.CIQ(A1188, "IQ_TOTAL_OUTSTANDING_FILING_DATE",IQ_FY-8))</f>
        <v>259.17685999999998</v>
      </c>
      <c r="J1189" s="17">
        <f>IF(A1196=A1197,_xll.ciqfunctions.udf.CIQ(A1188,"IQ_CASH_OPER",IQ_FY-9), _xll.ciqfunctions.udf.CIQ(A1188, "IQ_CASH_OPER",IQ_FY-8))</f>
        <v>407.1</v>
      </c>
      <c r="K1189" s="17">
        <f>IF(A1196=A1197,_xll.ciqfunctions.udf.CIQ(A1188,"IQ_CAPEX",IQ_FY-9), _xll.ciqfunctions.udf.CIQ(A1188, "IQ_CAPEX",IQ_FY-8))</f>
        <v>-47.3</v>
      </c>
      <c r="L1189" s="15">
        <f t="shared" si="316"/>
        <v>1.3882412187569524</v>
      </c>
      <c r="M1189" s="17">
        <f>IF(A1196=A1197,_xll.ciqfunctions.udf.CIQ(A1188,"IQ_TOTAL_DEBT_ISSUED",IQ_FY-9), _xll.ciqfunctions.udf.CIQ(A1188, "IQ_TOTAL_DEBT_ISSUED",IQ_FY-8))</f>
        <v>876.2</v>
      </c>
      <c r="N1189" s="17">
        <f>IF(A1196=A1197,_xll.ciqfunctions.udf.CIQ(A1188,"IQ_TOTAL_DEBT_REPAID",IQ_FY-9), _xll.ciqfunctions.udf.CIQ(A1188, "IQ_TOTAL_DEBT_REPAID",IQ_FY-8))</f>
        <v>-900.1</v>
      </c>
      <c r="O1189" s="15">
        <f t="shared" si="317"/>
        <v>-9.2215022591137105E-2</v>
      </c>
      <c r="P1189" s="15">
        <f t="shared" si="318"/>
        <v>1.2960261961658153</v>
      </c>
      <c r="Q1189" s="25" t="s">
        <v>18</v>
      </c>
      <c r="R1189" s="39" t="s">
        <v>19</v>
      </c>
      <c r="S1189" s="1">
        <f>R1187/((AVERAGE(P1193:P1198))*(1+E1199)^3)</f>
        <v>11.301072988217332</v>
      </c>
      <c r="U1189" s="25" t="s">
        <v>48</v>
      </c>
      <c r="V1189" s="39" t="s">
        <v>19</v>
      </c>
      <c r="W1189" s="1">
        <f>V1187/((AVERAGE(P1193:P1198))*(1+E1199)^3)</f>
        <v>11.301072988217332</v>
      </c>
      <c r="Y1189" s="25" t="s">
        <v>39</v>
      </c>
      <c r="Z1189" s="39" t="s">
        <v>19</v>
      </c>
      <c r="AA1189" s="1">
        <f>Z1187/((AVERAGE(P1193:P1198))*(1+E1199)^3)</f>
        <v>11.301072988217332</v>
      </c>
    </row>
    <row r="1190" spans="1:27">
      <c r="B1190" s="13">
        <v>3</v>
      </c>
      <c r="C1190" s="14" t="s">
        <v>20</v>
      </c>
      <c r="D1190" s="15" cm="1">
        <f t="array" ref="D1190">_xlfn.SINGLE(IF(A1196=A1197,_xll.ciqfunctions.udf.CIQ(A1188,"IQ_TOTAL_REV",IQ_FY-8)/I1190, _xll.ciqfunctions.udf.CIQ(A1188, "IQ_TOTAL_REV",IQ_FY-7)/I1190))</f>
        <v>9.1287234502174481</v>
      </c>
      <c r="E1190" s="16">
        <f t="shared" si="319"/>
        <v>-1.2334009753402509E-2</v>
      </c>
      <c r="F1190" s="15">
        <f>IF(A1196=A1197,_xll.ciqfunctions.udf.CIQ(A1188,"IQ_DILUT_EPS_EXCL",IQ_FY-8), _xll.ciqfunctions.udf.CIQ(A1188, "IQ_DILUT_EPS_EXCL",IQ_FY-7))</f>
        <v>0.47</v>
      </c>
      <c r="G1190" s="15">
        <f>IF(A1196=A1197,_xll.ciqfunctions.udf.CIQ(A1188,"IQ_EBITDA_MARGIN",IQ_FY-8), _xll.ciqfunctions.udf.CIQ(A1188, "IQ_EBITDA_MARGIN",IQ_FY-7))</f>
        <v>16.425000000000001</v>
      </c>
      <c r="H1190" s="15">
        <f>IF(A1196=A1197,_xll.ciqfunctions.udf.CIQ(A1188,"IQ_TOTAL_DIV_PAID_CF",IQ_FY-8)/-I1190, _xll.ciqfunctions.udf.CIQ(A1188, "IQ_TOTAL_DIV_PAID_CF",IQ_FY-7)/-I1190)</f>
        <v>0</v>
      </c>
      <c r="I1190" s="17">
        <f>IF(A1196=A1197,_xll.ciqfunctions.udf.CIQ(A1188,"IQ_TOTAL_OUTSTANDING_FILING_DATE",IQ_FY-8), _xll.ciqfunctions.udf.CIQ(A1188, "IQ_TOTAL_OUTSTANDING_FILING_DATE",IQ_FY-7))</f>
        <v>250.90036000000001</v>
      </c>
      <c r="J1190" s="17">
        <f>IF(A1196=A1197,_xll.ciqfunctions.udf.CIQ(A1188,"IQ_CASH_OPER",IQ_FY-8), _xll.ciqfunctions.udf.CIQ(A1188, "IQ_CASH_OPER",IQ_FY-7))</f>
        <v>357</v>
      </c>
      <c r="K1190" s="17">
        <f>IF(A1196=A1197,_xll.ciqfunctions.udf.CIQ(A1188,"IQ_CAPEX",IQ_FY-8), _xll.ciqfunctions.udf.CIQ(A1188, "IQ_CAPEX",IQ_FY-7))</f>
        <v>-43.9</v>
      </c>
      <c r="L1190" s="15">
        <f t="shared" si="316"/>
        <v>1.2479057423432953</v>
      </c>
      <c r="M1190" s="17">
        <f>IF(A1196=A1197,_xll.ciqfunctions.udf.CIQ(A1188,"IQ_TOTAL_DEBT_ISSUED",IQ_FY-8), _xll.ciqfunctions.udf.CIQ(A1188, "IQ_TOTAL_DEBT_ISSUED",IQ_FY-7))</f>
        <v>555</v>
      </c>
      <c r="N1190" s="17">
        <f>IF(A1196=A1197,_xll.ciqfunctions.udf.CIQ(A1188,"IQ_TOTAL_DEBT_REPAID",IQ_FY-8), _xll.ciqfunctions.udf.CIQ(A1188, "IQ_TOTAL_DEBT_REPAID",IQ_FY-7))</f>
        <v>-555.20000000000005</v>
      </c>
      <c r="O1190" s="15">
        <f t="shared" si="317"/>
        <v>-7.9712918706073392E-4</v>
      </c>
      <c r="P1190" s="15">
        <f t="shared" si="318"/>
        <v>1.2471086131562346</v>
      </c>
      <c r="Q1190" s="25" t="s">
        <v>21</v>
      </c>
      <c r="R1190" s="38" t="s">
        <v>49</v>
      </c>
      <c r="S1190" s="2">
        <f>(R1187*I1198)/1000</f>
        <v>10.997442104289</v>
      </c>
      <c r="U1190" s="25" t="s">
        <v>59</v>
      </c>
      <c r="V1190" s="38" t="s">
        <v>49</v>
      </c>
      <c r="W1190" s="2">
        <f>(V1187*I1198)/1000</f>
        <v>10.997442104289</v>
      </c>
      <c r="Y1190" s="25" t="s">
        <v>46</v>
      </c>
      <c r="Z1190" s="38" t="s">
        <v>49</v>
      </c>
      <c r="AA1190" s="2">
        <f>(Z1187*I1198)/1000</f>
        <v>10.997442104289</v>
      </c>
    </row>
    <row r="1191" spans="1:27">
      <c r="A1191" s="18"/>
      <c r="B1191" s="13">
        <v>4</v>
      </c>
      <c r="C1191" s="14" t="s">
        <v>22</v>
      </c>
      <c r="D1191" s="15" cm="1">
        <f t="array" ref="D1191">_xlfn.SINGLE(IF(A1196=A1197,_xll.ciqfunctions.udf.CIQ(A1188,"IQ_TOTAL_REV",IQ_FY-7)/I1191, _xll.ciqfunctions.udf.CIQ(A1188, "IQ_TOTAL_REV",IQ_FY-6)/I1191))</f>
        <v>9.3628724076455345</v>
      </c>
      <c r="E1191" s="16">
        <f t="shared" si="319"/>
        <v>2.5649693377720727E-2</v>
      </c>
      <c r="F1191" s="15">
        <f>IF(A1196=A1197,_xll.ciqfunctions.udf.CIQ(A1188,"IQ_DILUT_EPS_EXCL",IQ_FY-7), _xll.ciqfunctions.udf.CIQ(A1188, "IQ_DILUT_EPS_EXCL",IQ_FY-6))</f>
        <v>0.52</v>
      </c>
      <c r="G1191" s="15">
        <f>IF(A1196=A1197,_xll.ciqfunctions.udf.CIQ(A1188,"IQ_EBITDA_MARGIN",IQ_FY-7), _xll.ciqfunctions.udf.CIQ(A1188, "IQ_EBITDA_MARGIN",IQ_FY-6))</f>
        <v>16.438700000000001</v>
      </c>
      <c r="H1191" s="15">
        <f>IF(A1196=A1197,_xll.ciqfunctions.udf.CIQ(A1188,"IQ_TOTAL_DIV_PAID_CF",IQ_FY-7)/-I1191, _xll.ciqfunctions.udf.CIQ(A1188, "IQ_TOTAL_DIV_PAID_CF",IQ_FY-6)/-I1191)</f>
        <v>0</v>
      </c>
      <c r="I1191" s="17">
        <f>IF(A1196=A1197,_xll.ciqfunctions.udf.CIQ(A1188,"IQ_TOTAL_OUTSTANDING_FILING_DATE",IQ_FY-7), _xll.ciqfunctions.udf.CIQ(A1188, "IQ_TOTAL_OUTSTANDING_FILING_DATE",IQ_FY-6))</f>
        <v>252.28369000000001</v>
      </c>
      <c r="J1191" s="17">
        <f>IF(A1196=A1197,_xll.ciqfunctions.udf.CIQ(A1188,"IQ_CASH_OPER",IQ_FY-7), _xll.ciqfunctions.udf.CIQ(A1188, "IQ_CASH_OPER",IQ_FY-6))</f>
        <v>431.1</v>
      </c>
      <c r="K1191" s="17">
        <f>IF(A1196=A1197,_xll.ciqfunctions.udf.CIQ(A1188,"IQ_CAPEX",IQ_FY-7), _xll.ciqfunctions.udf.CIQ(A1188, "IQ_CAPEX",IQ_FY-6))</f>
        <v>-26</v>
      </c>
      <c r="L1191" s="15">
        <f t="shared" si="316"/>
        <v>1.6057320233424524</v>
      </c>
      <c r="M1191" s="17">
        <f>IF(A1196=A1197,_xll.ciqfunctions.udf.CIQ(A1188,"IQ_TOTAL_DEBT_ISSUED",IQ_FY-7), _xll.ciqfunctions.udf.CIQ(A1188, "IQ_TOTAL_DEBT_ISSUED",IQ_FY-6))</f>
        <v>355</v>
      </c>
      <c r="N1191" s="17">
        <f>IF(A1196=A1197,_xll.ciqfunctions.udf.CIQ(A1188,"IQ_TOTAL_DEBT_REPAID",IQ_FY-7), _xll.ciqfunctions.udf.CIQ(A1188, "IQ_TOTAL_DEBT_REPAID",IQ_FY-6))</f>
        <v>-465.3</v>
      </c>
      <c r="O1191" s="15">
        <f t="shared" si="317"/>
        <v>-0.43720622605448656</v>
      </c>
      <c r="P1191" s="15">
        <f t="shared" si="318"/>
        <v>1.1685257972879657</v>
      </c>
      <c r="Q1191" s="25" t="s">
        <v>23</v>
      </c>
      <c r="R1191" s="38" t="s">
        <v>24</v>
      </c>
      <c r="S1191" s="1" t="e">
        <f>R1187/(AVERAGE(H1193:H1198)*(1+H1199)/(0.5-H1199))</f>
        <v>#DIV/0!</v>
      </c>
      <c r="U1191" s="25" t="s">
        <v>40</v>
      </c>
      <c r="V1191" s="38" t="s">
        <v>24</v>
      </c>
      <c r="W1191" s="1" t="e">
        <f>V1187/(AVERAGE(H1193:H1198)*(1+H1199)/(0.5-H1199))</f>
        <v>#DIV/0!</v>
      </c>
      <c r="Y1191" s="25" t="s">
        <v>47</v>
      </c>
      <c r="Z1191" s="38" t="s">
        <v>24</v>
      </c>
      <c r="AA1191" s="1" t="e">
        <f>Z1187/(AVERAGE(H1193:H1198)*(1+H1199)/(0.5-H1199))</f>
        <v>#DIV/0!</v>
      </c>
    </row>
    <row r="1192" spans="1:27">
      <c r="B1192" s="13">
        <v>5</v>
      </c>
      <c r="C1192" s="14" t="s">
        <v>25</v>
      </c>
      <c r="D1192" s="15" cm="1">
        <f t="array" ref="D1192">_xlfn.SINGLE(IF(A1196=A1197,_xll.ciqfunctions.udf.CIQ(A1188,"IQ_TOTAL_REV",IQ_FY-6)/I1192, _xll.ciqfunctions.udf.CIQ(A1188, "IQ_TOTAL_REV",IQ_FY-5)/I1192))</f>
        <v>10.65991800341931</v>
      </c>
      <c r="E1192" s="16">
        <f t="shared" si="319"/>
        <v>0.13853073493927295</v>
      </c>
      <c r="F1192" s="15">
        <f>IF(A1196=A1197,_xll.ciqfunctions.udf.CIQ(A1188,"IQ_DILUT_EPS_EXCL",IQ_FY-6), _xll.ciqfunctions.udf.CIQ(A1188, "IQ_DILUT_EPS_EXCL",IQ_FY-5))</f>
        <v>0.46</v>
      </c>
      <c r="G1192" s="15">
        <f>IF(A1196=A1197,_xll.ciqfunctions.udf.CIQ(A1188,"IQ_EBITDA_MARGIN",IQ_FY-6), _xll.ciqfunctions.udf.CIQ(A1188, "IQ_EBITDA_MARGIN",IQ_FY-5))</f>
        <v>16.618099999999998</v>
      </c>
      <c r="H1192" s="15">
        <f>IF(A1196=A1197,_xll.ciqfunctions.udf.CIQ(A1188,"IQ_TOTAL_DIV_PAID_CF",IQ_FY-6)/-I1192, _xll.ciqfunctions.udf.CIQ(A1188, "IQ_TOTAL_DIV_PAID_CF",IQ_FY-5)/-I1192)</f>
        <v>0</v>
      </c>
      <c r="I1192" s="17">
        <f>IF(A1196=A1197,_xll.ciqfunctions.udf.CIQ(A1188,"IQ_TOTAL_OUTSTANDING_FILING_DATE",IQ_FY-6), _xll.ciqfunctions.udf.CIQ(A1188, "IQ_TOTAL_OUTSTANDING_FILING_DATE",IQ_FY-5))</f>
        <v>248.26644999999999</v>
      </c>
      <c r="J1192" s="17">
        <f>IF(A1196=A1197,_xll.ciqfunctions.udf.CIQ(A1188,"IQ_CASH_OPER",IQ_FY-6), _xll.ciqfunctions.udf.CIQ(A1188, "IQ_CASH_OPER",IQ_FY-5))</f>
        <v>429.7</v>
      </c>
      <c r="K1192" s="17">
        <f>IF(A1196=A1197,_xll.ciqfunctions.udf.CIQ(A1188,"IQ_CAPEX",IQ_FY-6), _xll.ciqfunctions.udf.CIQ(A1188, "IQ_CAPEX",IQ_FY-5))</f>
        <v>-43.7</v>
      </c>
      <c r="L1192" s="15">
        <f t="shared" si="316"/>
        <v>1.5547811635442486</v>
      </c>
      <c r="M1192" s="17">
        <f>IF(A1196=A1197,_xll.ciqfunctions.udf.CIQ(A1188,"IQ_TOTAL_DEBT_ISSUED",IQ_FY-6), _xll.ciqfunctions.udf.CIQ(A1188, "IQ_TOTAL_DEBT_ISSUED",IQ_FY-5))</f>
        <v>786</v>
      </c>
      <c r="N1192" s="17">
        <f>IF(A1196=A1197,_xll.ciqfunctions.udf.CIQ(A1188,"IQ_TOTAL_DEBT_REPAID",IQ_FY-6), _xll.ciqfunctions.udf.CIQ(A1188, "IQ_TOTAL_DEBT_REPAID",IQ_FY-5))</f>
        <v>-495.4</v>
      </c>
      <c r="O1192" s="15">
        <f t="shared" si="317"/>
        <v>1.17051659618124</v>
      </c>
      <c r="P1192" s="15">
        <f t="shared" si="318"/>
        <v>2.7252977597254886</v>
      </c>
      <c r="Q1192" s="18"/>
      <c r="R1192" s="38" t="s">
        <v>50</v>
      </c>
      <c r="S1192" s="3">
        <f>I1199</f>
        <v>-2.1936947243784699E-3</v>
      </c>
      <c r="U1192" s="18"/>
      <c r="V1192" s="38" t="s">
        <v>50</v>
      </c>
      <c r="W1192" s="3">
        <f>I1199</f>
        <v>-2.1936947243784699E-3</v>
      </c>
      <c r="Y1192" s="18"/>
      <c r="Z1192" s="38" t="s">
        <v>50</v>
      </c>
      <c r="AA1192" s="3">
        <f>I1199</f>
        <v>-2.1936947243784699E-3</v>
      </c>
    </row>
    <row r="1193" spans="1:27">
      <c r="B1193" s="13">
        <v>6</v>
      </c>
      <c r="C1193" s="14" t="s">
        <v>26</v>
      </c>
      <c r="D1193" s="15" cm="1">
        <f t="array" ref="D1193">_xlfn.SINGLE(IF(A1196=A1197,_xll.ciqfunctions.udf.CIQ(A1188,"IQ_TOTAL_REV",IQ_FY-5)/I1193, _xll.ciqfunctions.udf.CIQ(A1188, "IQ_TOTAL_REV",IQ_FY-4)/I1193))</f>
        <v>12.358744567205783</v>
      </c>
      <c r="E1193" s="16">
        <f t="shared" si="319"/>
        <v>0.15936581906554542</v>
      </c>
      <c r="F1193" s="15">
        <f>IF(A1196=A1197,_xll.ciqfunctions.udf.CIQ(A1188,"IQ_DILUT_EPS_EXCL",IQ_FY-5), _xll.ciqfunctions.udf.CIQ(A1188, "IQ_DILUT_EPS_EXCL",IQ_FY-4))</f>
        <v>1.1200000000000001</v>
      </c>
      <c r="G1193" s="15">
        <f>IF(A1196=A1197,_xll.ciqfunctions.udf.CIQ(A1188,"IQ_EBITDA_MARGIN",IQ_FY-5), _xll.ciqfunctions.udf.CIQ(A1188, "IQ_EBITDA_MARGIN",IQ_FY-4))</f>
        <v>18.778099999999998</v>
      </c>
      <c r="H1193" s="15">
        <f>IF(A1196=A1197,_xll.ciqfunctions.udf.CIQ(A1188,"IQ_TOTAL_DIV_PAID_CF",IQ_FY-5)/-I1193, _xll.ciqfunctions.udf.CIQ(A1188, "IQ_TOTAL_DIV_PAID_CF",IQ_FY-4)/-I1193)</f>
        <v>0</v>
      </c>
      <c r="I1193" s="17">
        <f>IF(A1196=A1197,_xll.ciqfunctions.udf.CIQ(A1188,"IQ_TOTAL_OUTSTANDING_FILING_DATE",IQ_FY-5), _xll.ciqfunctions.udf.CIQ(A1188, "IQ_TOTAL_OUTSTANDING_FILING_DATE",IQ_FY-4))</f>
        <v>251.51421999999999</v>
      </c>
      <c r="J1193" s="17">
        <f>IF(A1196=A1197,_xll.ciqfunctions.udf.CIQ(A1188,"IQ_CASH_OPER",IQ_FY-5), _xll.ciqfunctions.udf.CIQ(A1188, "IQ_CASH_OPER",IQ_FY-4))</f>
        <v>486.7</v>
      </c>
      <c r="K1193" s="17">
        <f>IF(A1196=A1197,_xll.ciqfunctions.udf.CIQ(A1188,"IQ_CAPEX",IQ_FY-5), _xll.ciqfunctions.udf.CIQ(A1188, "IQ_CAPEX",IQ_FY-4))</f>
        <v>-67.599999999999994</v>
      </c>
      <c r="L1193" s="15">
        <f t="shared" si="316"/>
        <v>1.6663073761793668</v>
      </c>
      <c r="M1193" s="17">
        <f>IF(A1196=A1197,_xll.ciqfunctions.udf.CIQ(A1188,"IQ_TOTAL_DEBT_ISSUED",IQ_FY-5), _xll.ciqfunctions.udf.CIQ(A1188, "IQ_TOTAL_DEBT_ISSUED",IQ_FY-4))</f>
        <v>2976.4</v>
      </c>
      <c r="N1193" s="17">
        <f>IF(A1196=A1197,_xll.ciqfunctions.udf.CIQ(A1188,"IQ_TOTAL_DEBT_REPAID",IQ_FY-5), _xll.ciqfunctions.udf.CIQ(A1188, "IQ_TOTAL_DEBT_REPAID",IQ_FY-4))</f>
        <v>-1925.1</v>
      </c>
      <c r="O1193" s="15">
        <f t="shared" si="317"/>
        <v>4.1798829505544468</v>
      </c>
      <c r="P1193" s="15">
        <f t="shared" si="318"/>
        <v>5.8461903267338133</v>
      </c>
      <c r="Q1193" s="25" t="s">
        <v>27</v>
      </c>
      <c r="R1193" s="38" t="s">
        <v>51</v>
      </c>
      <c r="S1193" s="4">
        <f>AVERAGE(F1193:F1198)/AVERAGE(D1193:D1198)</f>
        <v>0.11882982114786329</v>
      </c>
      <c r="U1193" s="25" t="s">
        <v>58</v>
      </c>
      <c r="V1193" s="38" t="s">
        <v>51</v>
      </c>
      <c r="W1193" s="4">
        <f>AVERAGE(F1193:F1198)/AVERAGE(D1193:D1198)</f>
        <v>0.11882982114786329</v>
      </c>
      <c r="Y1193" s="25" t="s">
        <v>56</v>
      </c>
      <c r="Z1193" s="38" t="s">
        <v>51</v>
      </c>
      <c r="AA1193" s="4">
        <f>AVERAGE(F1193:F1198)/AVERAGE(D1193:D1198)</f>
        <v>0.11882982114786329</v>
      </c>
    </row>
    <row r="1194" spans="1:27">
      <c r="A1194" s="18"/>
      <c r="B1194" s="13">
        <v>7</v>
      </c>
      <c r="C1194" s="14" t="s">
        <v>28</v>
      </c>
      <c r="D1194" s="15" cm="1">
        <f t="array" ref="D1194">_xlfn.SINGLE(IF(A1196=A1197,_xll.ciqfunctions.udf.CIQ(A1188,"IQ_TOTAL_REV",IQ_FY-4)/I1194, _xll.ciqfunctions.udf.CIQ(A1188, "IQ_TOTAL_REV",IQ_FY-3)/I1194))</f>
        <v>13.048526905136695</v>
      </c>
      <c r="E1194" s="16">
        <f t="shared" si="319"/>
        <v>5.5813301600331336E-2</v>
      </c>
      <c r="F1194" s="15">
        <f>IF(A1196=A1197,_xll.ciqfunctions.udf.CIQ(A1188,"IQ_DILUT_EPS_EXCL",IQ_FY-4), _xll.ciqfunctions.udf.CIQ(A1188, "IQ_DILUT_EPS_EXCL",IQ_FY-3))</f>
        <v>2.0299999999999998</v>
      </c>
      <c r="G1194" s="15">
        <f>IF(A1196=A1197,_xll.ciqfunctions.udf.CIQ(A1188,"IQ_EBITDA_MARGIN",IQ_FY-4), _xll.ciqfunctions.udf.CIQ(A1188, "IQ_EBITDA_MARGIN",IQ_FY-3))</f>
        <v>19.345600000000001</v>
      </c>
      <c r="H1194" s="15">
        <f>IF(A1196=A1197,_xll.ciqfunctions.udf.CIQ(A1188,"IQ_TOTAL_DIV_PAID_CF",IQ_FY-4)/-I1194, _xll.ciqfunctions.udf.CIQ(A1188, "IQ_TOTAL_DIV_PAID_CF",IQ_FY-3)/-I1194)</f>
        <v>0</v>
      </c>
      <c r="I1194" s="17">
        <f>IF(A1196=A1197,_xll.ciqfunctions.udf.CIQ(A1188,"IQ_TOTAL_OUTSTANDING_FILING_DATE",IQ_FY-4), _xll.ciqfunctions.udf.CIQ(A1188, "IQ_TOTAL_OUTSTANDING_FILING_DATE",IQ_FY-3))</f>
        <v>250.16616999999999</v>
      </c>
      <c r="J1194" s="17">
        <f>IF(A1196=A1197,_xll.ciqfunctions.udf.CIQ(A1188,"IQ_CASH_OPER",IQ_FY-4), _xll.ciqfunctions.udf.CIQ(A1188, "IQ_CASH_OPER",IQ_FY-3))</f>
        <v>585</v>
      </c>
      <c r="K1194" s="17">
        <f>IF(A1196=A1197,_xll.ciqfunctions.udf.CIQ(A1188,"IQ_CAPEX",IQ_FY-4), _xll.ciqfunctions.udf.CIQ(A1188, "IQ_CAPEX",IQ_FY-3))</f>
        <v>-69</v>
      </c>
      <c r="L1194" s="15">
        <f t="shared" si="316"/>
        <v>2.0626290117484709</v>
      </c>
      <c r="M1194" s="17">
        <f>IF(A1196=A1197,_xll.ciqfunctions.udf.CIQ(A1188,"IQ_TOTAL_DEBT_ISSUED",IQ_FY-4), _xll.ciqfunctions.udf.CIQ(A1188, "IQ_TOTAL_DEBT_ISSUED",IQ_FY-3))</f>
        <v>1195.4000000000001</v>
      </c>
      <c r="N1194" s="17">
        <f>IF(A1196=A1197,_xll.ciqfunctions.udf.CIQ(A1188,"IQ_TOTAL_DEBT_REPAID",IQ_FY-4), _xll.ciqfunctions.udf.CIQ(A1188, "IQ_TOTAL_DEBT_REPAID",IQ_FY-3))</f>
        <v>-1322.9</v>
      </c>
      <c r="O1194" s="15">
        <f t="shared" si="317"/>
        <v>-0.50966123836808153</v>
      </c>
      <c r="P1194" s="15">
        <f t="shared" si="318"/>
        <v>1.5529677733803893</v>
      </c>
      <c r="Q1194" s="18"/>
      <c r="R1194" s="38" t="s">
        <v>29</v>
      </c>
      <c r="S1194" s="4">
        <f>(AVERAGE(P1193:P1198)/_xlfn.STDEV.P(P1193:P1198))/(IF(A1196=A1197,(_xlfn.SINGLE(_xll.ciqfunctions.udf.CIQ(A1188,"IQ_total_assets",IQ_FY)) - _xlfn.SINGLE(_xll.ciqfunctions.udf.CIQ(A1188,"iq_gw_intan", IQ_FY)))/I1198, (_xlfn.SINGLE(_xll.ciqfunctions.udf.CIQ(A1188, "IQ_total_assets",IQ_LTM))-_xlfn.SINGLE(_xll.ciqfunctions.udf.CIQ(A1188,"iq_gw_intan",IQ_LTM)))/I1198))</f>
        <v>0.11909346643060141</v>
      </c>
      <c r="U1194" s="18"/>
      <c r="V1194" s="38" t="s">
        <v>29</v>
      </c>
      <c r="W1194" s="4">
        <f>(AVERAGE(P1193:P1198)/_xlfn.STDEV.P(P1193:P1198))/(IF(A1196=A1197,(_xlfn.SINGLE(_xll.ciqfunctions.udf.CIQ(A1188,"IQ_total_assets",IQ_FY)) - _xlfn.SINGLE(_xll.ciqfunctions.udf.CIQ(A1188,"iq_gw_intan", IQ_FY)))/I1198, (_xlfn.SINGLE(_xll.ciqfunctions.udf.CIQ(A1188, "IQ_total_assets",IQ_LTM))-_xlfn.SINGLE(_xll.ciqfunctions.udf.CIQ(A1188,"iq_gw_intan",IQ_LTM)))/I1198))</f>
        <v>0.11909346643060141</v>
      </c>
      <c r="Y1194" s="18"/>
      <c r="Z1194" s="38" t="s">
        <v>29</v>
      </c>
      <c r="AA1194" s="4">
        <f>(AVERAGE(P1193:P1198)/_xlfn.STDEV.P(P1193:P1198))/(IF(A1196=A1197,(_xlfn.SINGLE(_xll.ciqfunctions.udf.CIQ(A1188,"IQ_total_assets",IQ_FY)) - _xlfn.SINGLE(_xll.ciqfunctions.udf.CIQ(A1188,"iq_gw_intan", IQ_FY)))/I1198, (_xlfn.SINGLE(_xll.ciqfunctions.udf.CIQ(A1188, "IQ_total_assets",IQ_LTM))-_xlfn.SINGLE(_xll.ciqfunctions.udf.CIQ(A1188,"iq_gw_intan",IQ_LTM)))/I1198))</f>
        <v>0.11909346643060141</v>
      </c>
    </row>
    <row r="1195" spans="1:27">
      <c r="A1195" s="18"/>
      <c r="B1195" s="13">
        <v>8</v>
      </c>
      <c r="C1195" s="14" t="s">
        <v>30</v>
      </c>
      <c r="D1195" s="15" cm="1">
        <f t="array" ref="D1195">_xlfn.SINGLE(IF(A1196=A1197,_xll.ciqfunctions.udf.CIQ(A1188,"IQ_TOTAL_REV",IQ_FY-3)/I1195, _xll.ciqfunctions.udf.CIQ(A1188, "IQ_TOTAL_REV",IQ_FY-2)/I1195))</f>
        <v>12.541905631732803</v>
      </c>
      <c r="E1195" s="16">
        <f t="shared" si="319"/>
        <v>-3.8825936221540486E-2</v>
      </c>
      <c r="F1195" s="15">
        <f>IF(A1196=A1197,_xll.ciqfunctions.udf.CIQ(A1188,"IQ_DILUT_EPS_EXCL",IQ_FY-3), _xll.ciqfunctions.udf.CIQ(A1188, "IQ_DILUT_EPS_EXCL",IQ_FY-2))</f>
        <v>1.55</v>
      </c>
      <c r="G1195" s="15">
        <f>IF(A1196=A1197,_xll.ciqfunctions.udf.CIQ(A1188,"IQ_EBITDA_MARGIN",IQ_FY-3), _xll.ciqfunctions.udf.CIQ(A1188, "IQ_EBITDA_MARGIN",IQ_FY-2))</f>
        <v>21.148700000000002</v>
      </c>
      <c r="H1195" s="15">
        <f>IF(A1196=A1197,_xll.ciqfunctions.udf.CIQ(A1188,"IQ_TOTAL_DIV_PAID_CF",IQ_FY-3)/-I1195, _xll.ciqfunctions.udf.CIQ(A1188, "IQ_TOTAL_DIV_PAID_CF",IQ_FY-2)/-I1195)</f>
        <v>0</v>
      </c>
      <c r="I1195" s="17">
        <f>IF(A1196=A1197,_xll.ciqfunctions.udf.CIQ(A1188,"IQ_TOTAL_OUTSTANDING_FILING_DATE",IQ_FY-3), _xll.ciqfunctions.udf.CIQ(A1188, "IQ_TOTAL_OUTSTANDING_FILING_DATE",IQ_FY-2))</f>
        <v>250.97461999999999</v>
      </c>
      <c r="J1195" s="17">
        <f>IF(A1196=A1197,_xll.ciqfunctions.udf.CIQ(A1188,"IQ_CASH_OPER",IQ_FY-3), _xll.ciqfunctions.udf.CIQ(A1188, "IQ_CASH_OPER",IQ_FY-2))</f>
        <v>672</v>
      </c>
      <c r="K1195" s="17">
        <f>IF(A1196=A1197,_xll.ciqfunctions.udf.CIQ(A1188,"IQ_CAPEX",IQ_FY-3), _xll.ciqfunctions.udf.CIQ(A1188, "IQ_CAPEX",IQ_FY-2))</f>
        <v>-56.8</v>
      </c>
      <c r="L1195" s="15">
        <f t="shared" si="316"/>
        <v>2.4512438747790517</v>
      </c>
      <c r="M1195" s="17">
        <f>IF(A1196=A1197,_xll.ciqfunctions.udf.CIQ(A1188,"IQ_TOTAL_DEBT_ISSUED",IQ_FY-3), _xll.ciqfunctions.udf.CIQ(A1188, "IQ_TOTAL_DEBT_ISSUED",IQ_FY-2))</f>
        <v>1173.8</v>
      </c>
      <c r="N1195" s="17">
        <f>IF(A1196=A1197,_xll.ciqfunctions.udf.CIQ(A1188,"IQ_TOTAL_DEBT_REPAID",IQ_FY-3), _xll.ciqfunctions.udf.CIQ(A1188, "IQ_TOTAL_DEBT_REPAID",IQ_FY-2))</f>
        <v>-1486</v>
      </c>
      <c r="O1195" s="15">
        <f t="shared" si="317"/>
        <v>-1.2439504839174578</v>
      </c>
      <c r="P1195" s="15">
        <f t="shared" si="318"/>
        <v>1.2072933908615939</v>
      </c>
      <c r="Q1195" s="18"/>
      <c r="R1195" s="39" t="s">
        <v>31</v>
      </c>
      <c r="S1195" s="5">
        <f>IF(NOT(D1188&gt;0),FALSE,SLOPE(G1188:G1198,B1188:B1198))</f>
        <v>0.25849090909090927</v>
      </c>
      <c r="U1195" s="18"/>
      <c r="V1195" s="39" t="s">
        <v>31</v>
      </c>
      <c r="W1195" s="5">
        <f>IF(NOT(D1188&gt;0),FALSE,SLOPE(G1188:G1198,B1188:B1198))</f>
        <v>0.25849090909090927</v>
      </c>
      <c r="Y1195" s="18"/>
      <c r="Z1195" s="39" t="s">
        <v>31</v>
      </c>
      <c r="AA1195" s="5">
        <f>IF(NOT(L1188&gt;0),FALSE,SLOPE(O1188:O1198,J1188:J1198))</f>
        <v>-3.4118476675920199E-4</v>
      </c>
    </row>
    <row r="1196" spans="1:27">
      <c r="A1196" s="19">
        <f>_xll.ciqfunctions.udf.CIQ(A1188,"IQ_TOTAL_REV",IQ_FY)</f>
        <v>3676.3</v>
      </c>
      <c r="B1196" s="13">
        <v>9</v>
      </c>
      <c r="C1196" s="14" t="s">
        <v>32</v>
      </c>
      <c r="D1196" s="15" cm="1">
        <f t="array" ref="D1196">_xlfn.SINGLE(IF(A1196=A1197,_xll.ciqfunctions.udf.CIQ(A1188,"IQ_TOTAL_REV",IQ_FY-2)/I1196, _xll.ciqfunctions.udf.CIQ(A1188, "IQ_TOTAL_REV",IQ_FY-1)/I1196))</f>
        <v>14.565578660812251</v>
      </c>
      <c r="E1196" s="16">
        <f t="shared" si="319"/>
        <v>0.16135291466069307</v>
      </c>
      <c r="F1196" s="15">
        <f>IF(A1196=A1197,_xll.ciqfunctions.udf.CIQ(A1188,"IQ_DILUT_EPS_EXCL",IQ_FY-2), _xll.ciqfunctions.udf.CIQ(A1188, "IQ_DILUT_EPS_EXCL",IQ_FY-1))</f>
        <v>1.94</v>
      </c>
      <c r="G1196" s="15">
        <f>IF(A1196=A1197,_xll.ciqfunctions.udf.CIQ(A1188,"IQ_EBITDA_MARGIN",IQ_FY-2), _xll.ciqfunctions.udf.CIQ(A1188, "IQ_EBITDA_MARGIN",IQ_FY-1))</f>
        <v>21.130800000000001</v>
      </c>
      <c r="H1196" s="15">
        <f>IF(A1196=A1197,_xll.ciqfunctions.udf.CIQ(A1188,"IQ_TOTAL_DIV_PAID_CF",IQ_FY-2)/-I1196, _xll.ciqfunctions.udf.CIQ(A1188, "IQ_TOTAL_DIV_PAID_CF",IQ_FY-1)/-I1196)</f>
        <v>0</v>
      </c>
      <c r="I1196" s="17">
        <f>IF(A1196=A1197,_xll.ciqfunctions.udf.CIQ(A1188,"IQ_TOTAL_OUTSTANDING_FILING_DATE",IQ_FY-2), _xll.ciqfunctions.udf.CIQ(A1188, "IQ_TOTAL_OUTSTANDING_FILING_DATE",IQ_FY-1))</f>
        <v>251.21556000000001</v>
      </c>
      <c r="J1196" s="17">
        <f>IF(A1196=A1197,_xll.ciqfunctions.udf.CIQ(A1188,"IQ_CASH_OPER",IQ_FY-2), _xll.ciqfunctions.udf.CIQ(A1188, "IQ_CASH_OPER",IQ_FY-1))</f>
        <v>750.5</v>
      </c>
      <c r="K1196" s="17">
        <f>IF(A1196=A1197,_xll.ciqfunctions.udf.CIQ(A1188,"IQ_CAPEX",IQ_FY-2), _xll.ciqfunctions.udf.CIQ(A1188, "IQ_CAPEX",IQ_FY-1))</f>
        <v>-46.1</v>
      </c>
      <c r="L1196" s="15">
        <f t="shared" si="316"/>
        <v>2.8039664422060477</v>
      </c>
      <c r="M1196" s="17">
        <f>IF(A1196=A1197,_xll.ciqfunctions.udf.CIQ(A1188,"IQ_TOTAL_DEBT_ISSUED",IQ_FY-2), _xll.ciqfunctions.udf.CIQ(A1188, "IQ_TOTAL_DEBT_ISSUED",IQ_FY-1))</f>
        <v>198.9</v>
      </c>
      <c r="N1196" s="17">
        <f>IF(A1196=A1197,_xll.ciqfunctions.udf.CIQ(A1188,"IQ_TOTAL_DEBT_REPAID",IQ_FY-2), _xll.ciqfunctions.udf.CIQ(A1188, "IQ_TOTAL_DEBT_REPAID",IQ_FY-1))</f>
        <v>-449.9</v>
      </c>
      <c r="O1196" s="15">
        <f t="shared" si="317"/>
        <v>-0.99914193213191083</v>
      </c>
      <c r="P1196" s="15">
        <f t="shared" si="318"/>
        <v>1.8048245100741369</v>
      </c>
      <c r="Q1196" s="25" t="s">
        <v>33</v>
      </c>
      <c r="R1196" s="38" t="s">
        <v>52</v>
      </c>
      <c r="S1196" s="4">
        <f>(AVERAGE(O1193:O1198)/AVERAGE(P1193:P1198))</f>
        <v>0.39467403653966071</v>
      </c>
      <c r="U1196" s="25" t="s">
        <v>54</v>
      </c>
      <c r="V1196" s="38" t="s">
        <v>52</v>
      </c>
      <c r="W1196" s="4">
        <f>(AVERAGE(O1193:O1198)/AVERAGE(P1193:P1198))</f>
        <v>0.39467403653966071</v>
      </c>
      <c r="Y1196" s="25" t="s">
        <v>60</v>
      </c>
      <c r="Z1196" s="38" t="s">
        <v>52</v>
      </c>
      <c r="AA1196" s="4">
        <f>(AVERAGE(O1193:O1198)/AVERAGE(P1193:P1198))</f>
        <v>0.39467403653966071</v>
      </c>
    </row>
    <row r="1197" spans="1:27">
      <c r="A1197" s="19">
        <f>_xll.ciqfunctions.udf.CIQ(A1188,"IQ_TOTAL_REV",IQ_LTM)</f>
        <v>3722.8</v>
      </c>
      <c r="B1197" s="13">
        <v>10</v>
      </c>
      <c r="C1197" s="14" t="s">
        <v>34</v>
      </c>
      <c r="D1197" s="15" cm="1">
        <f t="array" ref="D1197">_xlfn.SINGLE(IF(A1196=A1197,_xll.ciqfunctions.udf.CIQ(A1188,"IQ_TOTAL_REV",IQ_FY-1)/I1197, _xll.ciqfunctions.udf.CIQ(A1188, "IQ_TOTAL_REV",IQ_FY)/I1197))</f>
        <v>14.886716714240073</v>
      </c>
      <c r="E1197" s="16">
        <f t="shared" si="319"/>
        <v>2.2047737402415932E-2</v>
      </c>
      <c r="F1197" s="15">
        <f>IF(A1196=A1197,_xll.ciqfunctions.udf.CIQ(A1188,"IQ_DILUT_EPS_EXCL",IQ_FY-1), _xll.ciqfunctions.udf.CIQ(A1188, "IQ_DILUT_EPS_EXCL",IQ_FY))</f>
        <v>1.8</v>
      </c>
      <c r="G1197" s="15">
        <f>IF(A1196=A1197,_xll.ciqfunctions.udf.CIQ(A1188,"IQ_EBITDA_MARGIN",IQ_FY-1), _xll.ciqfunctions.udf.CIQ(A1188, "IQ_EBITDA_MARGIN",IQ_FY))</f>
        <v>20.330200000000001</v>
      </c>
      <c r="H1197" s="15">
        <f>IF(A1196=A1197,_xll.ciqfunctions.udf.CIQ(A1188,"IQ_TOTAL_DIV_PAID_CF",IQ_FY-1)/-I1197, _xll.ciqfunctions.udf.CIQ(A1188, "IQ_TOTAL_DIV_PAID_CF",IQ_FY)/-I1197)</f>
        <v>0</v>
      </c>
      <c r="I1197" s="17">
        <f>IF(A1196=A1197,_xll.ciqfunctions.udf.CIQ(A1188,"IQ_TOTAL_OUTSTANDING_FILING_DATE",IQ_FY-1), _xll.ciqfunctions.udf.CIQ(A1188, "IQ_TOTAL_OUTSTANDING_FILING_DATE",IQ_FY))</f>
        <v>246.95169999999999</v>
      </c>
      <c r="J1197" s="17">
        <f>IF(A1196=A1197,_xll.ciqfunctions.udf.CIQ(A1188,"IQ_CASH_OPER",IQ_FY-1), _xll.ciqfunctions.udf.CIQ(A1188, "IQ_CASH_OPER",IQ_FY))</f>
        <v>391.2</v>
      </c>
      <c r="K1197" s="17">
        <f>IF(A1196=A1197,_xll.ciqfunctions.udf.CIQ(A1188,"IQ_CAPEX",IQ_FY-1), _xll.ciqfunctions.udf.CIQ(A1188, "IQ_CAPEX",IQ_FY))</f>
        <v>-43.2</v>
      </c>
      <c r="L1197" s="15">
        <f t="shared" si="316"/>
        <v>1.4091824433684805</v>
      </c>
      <c r="M1197" s="17">
        <f>IF(A1196=A1197,_xll.ciqfunctions.udf.CIQ(A1188,"IQ_TOTAL_DEBT_ISSUED",IQ_FY-1), _xll.ciqfunctions.udf.CIQ(A1188, "IQ_TOTAL_DEBT_ISSUED",IQ_FY))</f>
        <v>814.8</v>
      </c>
      <c r="N1197" s="17">
        <f>IF(A1196=A1197,_xll.ciqfunctions.udf.CIQ(A1188,"IQ_TOTAL_DEBT_REPAID",IQ_FY-1), _xll.ciqfunctions.udf.CIQ(A1188, "IQ_TOTAL_DEBT_REPAID",IQ_FY))</f>
        <v>-590.20000000000005</v>
      </c>
      <c r="O1197" s="15">
        <f t="shared" si="317"/>
        <v>0.90948958844988681</v>
      </c>
      <c r="P1197" s="15">
        <f t="shared" si="318"/>
        <v>2.3186720318183673</v>
      </c>
      <c r="Q1197" s="25" t="s">
        <v>44</v>
      </c>
      <c r="R1197" s="38" t="s">
        <v>35</v>
      </c>
      <c r="S1197" s="1">
        <f>_xll.ciqfunctions.udf.CIQ(A1188,"IQ_TEV_EBITDA")</f>
        <v>16.782109999999999</v>
      </c>
      <c r="U1197" s="25" t="s">
        <v>55</v>
      </c>
      <c r="V1197" s="38" t="s">
        <v>53</v>
      </c>
      <c r="W1197" s="1">
        <f>V1187/(AVERAGE(D1193:D1198)/_xlfn.STDEV.P(E1193:E1198))</f>
        <v>0.2437077125277862</v>
      </c>
      <c r="Y1197" s="25" t="s">
        <v>57</v>
      </c>
      <c r="Z1197" s="38" t="s">
        <v>53</v>
      </c>
      <c r="AA1197" s="1">
        <f>Z1187/(AVERAGE(D1193:D1198)/_xlfn.STDEV.P(E1193:E1198))</f>
        <v>0.2437077125277862</v>
      </c>
    </row>
    <row r="1198" spans="1:27">
      <c r="B1198" s="13">
        <v>11</v>
      </c>
      <c r="C1198" s="20" t="s">
        <v>36</v>
      </c>
      <c r="D1198" s="21" cm="1">
        <f t="array" ref="D1198">_xlfn.SINGLE(IF(A1196=A1197,_xll.ciqfunctions.udf.CIQ(A1188,"IQ_TOTAL_REV",IQ_FY)/I1198, _xll.ciqfunctions.udf.CIQ(A1188, "IQ_TOTAL_REV",IQ_LTM)/I1198))</f>
        <v>14.964973127325239</v>
      </c>
      <c r="E1198" s="22">
        <f t="shared" si="319"/>
        <v>5.2567946705339395E-3</v>
      </c>
      <c r="F1198" s="21">
        <f>IF(A1196=A1197,_xll.ciqfunctions.udf.CIQ(A1188,"IQ_DILUT_EPS_EXCL",IQ_FY), _xll.ciqfunctions.udf.CIQ(A1188, "IQ_DILUT_EPS_EXCL",IQ_LTM))</f>
        <v>1.3475900000000001</v>
      </c>
      <c r="G1198" s="21">
        <f>IF(A1196=A1197,_xll.ciqfunctions.udf.CIQ(A1188,"IQ_EBITDA_MARGIN",IQ_FY), _xll.ciqfunctions.udf.CIQ(A1188, "IQ_EBITDA_MARGIN",IQ_LTM))</f>
        <v>20.057400000000001</v>
      </c>
      <c r="H1198" s="21">
        <f>IF(A1196=A1197,_xll.ciqfunctions.udf.CIQ(A1188,"IQ_TOTAL_DIV_PAID_CF",IQ_FY)/-I1198, _xll.ciqfunctions.udf.CIQ(A1188, "IQ_TOTAL_DIV_PAID_CF",IQ_LTM)/-I1198)</f>
        <v>0</v>
      </c>
      <c r="I1198" s="23">
        <f>IF(A1196=A1197,_xll.ciqfunctions.udf.CIQ(A1188,"IQ_TOTAL_OUTSTANDING_FILING_DATE",IQ_FY),_xll.ciqfunctions.udf.CIQ(A1188,"IQ_sharesoutstanding"))</f>
        <v>248.76757000000001</v>
      </c>
      <c r="J1198" s="23">
        <f>IF(A1196=A1197,_xll.ciqfunctions.udf.CIQ(A1188,"IQ_CASH_OPER",IQ_FY), _xll.ciqfunctions.udf.CIQ(A1188, "IQ_CASH_OPER",IQ_LTM))</f>
        <v>604.29999999999995</v>
      </c>
      <c r="K1198" s="23">
        <f>IF(A1196=A1197,_xll.ciqfunctions.udf.CIQ(A1188,"IQ_CAPEX",IQ_FY), _xll.ciqfunctions.udf.CIQ(A1188, "IQ_CAPEX",IQ_LTM))</f>
        <v>-38.799999999999997</v>
      </c>
      <c r="L1198" s="21">
        <f t="shared" si="316"/>
        <v>2.2732062704153919</v>
      </c>
      <c r="M1198" s="23">
        <f>IF(A1196=A1197,_xll.ciqfunctions.udf.CIQ(A1188,"IQ_TOTAL_DEBT_ISSUED",IQ_FY), _xll.ciqfunctions.udf.CIQ(A1188, "IQ_TOTAL_DEBT_ISSUED",IQ_LTM))</f>
        <v>3684.3</v>
      </c>
      <c r="N1198" s="23">
        <f>IF(A1196=A1197,_xll.ciqfunctions.udf.CIQ(A1188,"IQ_TOTAL_DEBT_REPAID",IQ_FY), _xll.ciqfunctions.udf.CIQ(A1188, "IQ_TOTAL_DEBT_REPAID",IQ_LTM))</f>
        <v>-2211.1</v>
      </c>
      <c r="O1198" s="21">
        <f t="shared" si="317"/>
        <v>5.9219937711334332</v>
      </c>
      <c r="P1198" s="21">
        <f t="shared" si="318"/>
        <v>8.1952000415488246</v>
      </c>
      <c r="Q1198" s="25" t="s">
        <v>45</v>
      </c>
      <c r="S1198" s="45"/>
      <c r="U1198" s="25"/>
      <c r="W1198" s="45"/>
      <c r="Y1198" s="25"/>
      <c r="AA1198" s="45"/>
    </row>
    <row r="1199" spans="1:27">
      <c r="B1199" s="24"/>
      <c r="C1199" s="25" t="s">
        <v>37</v>
      </c>
      <c r="E1199" s="26">
        <f>((D1198/D1193)^(1/5))-1</f>
        <v>3.9011410439158345E-2</v>
      </c>
      <c r="F1199" s="27">
        <f>((F1198/F1193)^(1/5))-1</f>
        <v>3.7690764193702098E-2</v>
      </c>
      <c r="G1199" s="28"/>
      <c r="H1199" s="27" t="e">
        <f>((H1198/H1193)^(1/5))-1</f>
        <v>#DIV/0!</v>
      </c>
      <c r="I1199" s="27">
        <f>((I1198/I1193)^(1/5))-1</f>
        <v>-2.1936947243784699E-3</v>
      </c>
      <c r="J1199" s="27"/>
      <c r="K1199" s="27"/>
      <c r="L1199" s="26">
        <f>((L1198/L1193)^(1/5))-1</f>
        <v>6.4086040224146323E-2</v>
      </c>
      <c r="M1199" s="26"/>
      <c r="N1199" s="26"/>
      <c r="O1199" s="26"/>
      <c r="P1199" s="26">
        <f>((P1198/P1193)^(1/5))-1</f>
        <v>6.9885549680750003E-2</v>
      </c>
      <c r="Q1199" s="18"/>
      <c r="R1199" s="36"/>
      <c r="S1199" s="45"/>
      <c r="U1199" s="18"/>
      <c r="V1199" s="36"/>
      <c r="W1199" s="45"/>
      <c r="Y1199" s="18"/>
      <c r="Z1199" s="36"/>
      <c r="AA1199" s="45"/>
    </row>
    <row r="1200" spans="1:27">
      <c r="A1200" s="29"/>
      <c r="B1200" s="30"/>
      <c r="C1200" s="31" t="s">
        <v>38</v>
      </c>
      <c r="D1200" s="29"/>
      <c r="E1200" s="32">
        <f>((D1198/D1188)^(1/10))-1</f>
        <v>5.4463100329336545E-2</v>
      </c>
      <c r="F1200" s="33">
        <f>((F1198/F1188)^(1/10))-1</f>
        <v>4.8402020729705786E-2</v>
      </c>
      <c r="G1200" s="34"/>
      <c r="H1200" s="33" t="e">
        <f>((H1198/H1188)^(1/10))-1</f>
        <v>#DIV/0!</v>
      </c>
      <c r="I1200" s="33">
        <f>((I1198/I1188)^(1/10))-1</f>
        <v>-4.3468233978519732E-3</v>
      </c>
      <c r="J1200" s="33"/>
      <c r="K1200" s="33"/>
      <c r="L1200" s="32">
        <f>((L1198/L1188)^(1/10))-1</f>
        <v>5.5643368976345142E-2</v>
      </c>
      <c r="M1200" s="32"/>
      <c r="N1200" s="32"/>
      <c r="O1200" s="32"/>
      <c r="P1200" s="32">
        <f>((P1198/P1188)^(1/10))-1</f>
        <v>0.27738516974399263</v>
      </c>
      <c r="Q1200" s="40"/>
      <c r="R1200" s="41"/>
      <c r="S1200" s="46"/>
      <c r="U1200" s="40"/>
      <c r="V1200" s="41"/>
      <c r="W1200" s="46"/>
      <c r="Y1200" s="40"/>
      <c r="Z1200" s="41"/>
      <c r="AA1200" s="46"/>
    </row>
    <row r="1201" spans="1:27">
      <c r="B1201" s="24"/>
      <c r="C1201" s="25"/>
      <c r="E1201" s="26"/>
      <c r="F1201" s="27"/>
      <c r="G1201" s="28"/>
      <c r="H1201" s="27"/>
      <c r="I1201" s="27"/>
      <c r="J1201" s="27"/>
      <c r="K1201" s="27"/>
      <c r="L1201" s="26"/>
      <c r="M1201" s="17"/>
      <c r="N1201" s="17"/>
      <c r="O1201" s="17"/>
      <c r="P1201" s="35"/>
      <c r="Q1201" s="18"/>
      <c r="R1201" s="36"/>
    </row>
    <row r="1202" spans="1:27">
      <c r="A1202" s="9" t="s">
        <v>0</v>
      </c>
      <c r="B1202" s="10"/>
      <c r="C1202" s="9" t="s">
        <v>1</v>
      </c>
      <c r="D1202" s="9" t="s">
        <v>2</v>
      </c>
      <c r="E1202" s="9" t="s">
        <v>3</v>
      </c>
      <c r="F1202" s="11" t="s">
        <v>4</v>
      </c>
      <c r="G1202" s="11" t="s">
        <v>5</v>
      </c>
      <c r="H1202" s="9" t="s">
        <v>6</v>
      </c>
      <c r="I1202" s="11" t="s">
        <v>7</v>
      </c>
      <c r="J1202" s="11" t="s">
        <v>8</v>
      </c>
      <c r="K1202" s="11" t="s">
        <v>9</v>
      </c>
      <c r="L1202" s="11" t="s">
        <v>10</v>
      </c>
      <c r="M1202" s="11" t="s">
        <v>11</v>
      </c>
      <c r="N1202" s="11" t="s">
        <v>12</v>
      </c>
      <c r="O1202" s="11" t="s">
        <v>13</v>
      </c>
      <c r="P1202" s="11" t="s">
        <v>14</v>
      </c>
      <c r="Q1202" s="37" t="s">
        <v>15</v>
      </c>
      <c r="R1202" s="42">
        <f>_xll.ciqfunctions.udf.CIQ(A1203,("IQ_LASTSALEPRICE"))</f>
        <v>36.75</v>
      </c>
      <c r="S1202" s="44"/>
      <c r="U1202" s="37" t="s">
        <v>15</v>
      </c>
      <c r="V1202" s="42">
        <f>_xll.ciqfunctions.udf.CIQ(A1203,("IQ_LASTSALEPRICE"))</f>
        <v>36.75</v>
      </c>
      <c r="W1202" s="44"/>
      <c r="Y1202" s="37" t="s">
        <v>15</v>
      </c>
      <c r="Z1202" s="42">
        <f>_xll.ciqfunctions.udf.CIQ(A1203,("IQ_LASTSALEPRICE"))</f>
        <v>36.75</v>
      </c>
      <c r="AA1202" s="44"/>
    </row>
    <row r="1203" spans="1:27">
      <c r="A1203" s="12" t="str">
        <f>Analysis!B82</f>
        <v>NasdaqGS:CGNX</v>
      </c>
      <c r="B1203" s="13">
        <v>1</v>
      </c>
      <c r="C1203" s="14" t="s">
        <v>16</v>
      </c>
      <c r="D1203" s="15">
        <f>IF(A1211=A1212,_xll.ciqfunctions.udf.CIQ(A1203,"IQ_TOTAL_REV",IQ_FY-10)/I1203,_xll.ciqfunctions.udf.CIQ(A1203, "IQ_TOTAL_REV",IQ_FY-9)/I1203)</f>
        <v>1.7711890284623655</v>
      </c>
      <c r="E1203" s="16"/>
      <c r="F1203" s="15">
        <f>IF(A1211=A1212,_xll.ciqfunctions.udf.CIQ(A1203,"IQ_DILUT_EPS_EXCL",IQ_FY-10), _xll.ciqfunctions.udf.CIQ(A1203, "IQ_DILUT_EPS_EXCL",IQ_FY-9))</f>
        <v>0.38</v>
      </c>
      <c r="G1203" s="15">
        <f>IF(A1211=A1212,_xll.ciqfunctions.udf.CIQ(A1203,"IQ_EBITDA_MARGIN",IQ_FY-10), _xll.ciqfunctions.udf.CIQ(A1203, "IQ_EBITDA_MARGIN",IQ_FY-9))</f>
        <v>28.616800000000001</v>
      </c>
      <c r="H1203" s="15">
        <f>IF(A1211=A1212,_xll.ciqfunctions.udf.CIQ(A1203,"IQ_TOTAL_DIV_PAID_CF",IQ_FY-10)/-I1203, _xll.ciqfunctions.udf.CIQ(A1203, "IQ_TOTAL_DIV_PAID_CF",IQ_FY-9)/-I1203)</f>
        <v>0</v>
      </c>
      <c r="I1203" s="17">
        <f>IF(A1211=A1212,_xll.ciqfunctions.udf.CIQ(A1203,"IQ_TOTAL_OUTSTANDING_FILING_DATE",IQ_FY-10), _xll.ciqfunctions.udf.CIQ(A1203, "IQ_TOTAL_OUTSTANDING_FILING_DATE",IQ_FY-9))</f>
        <v>173.69744</v>
      </c>
      <c r="J1203" s="17">
        <f>IF(A1211=A1212,_xll.ciqfunctions.udf.CIQ(A1203,"IQ_CASH_OPER",IQ_FY-10), _xll.ciqfunctions.udf.CIQ(A1203, "IQ_CASH_OPER",IQ_FY-9))</f>
        <v>95.454999999999998</v>
      </c>
      <c r="K1203" s="17">
        <f>IF(A1211=A1212,_xll.ciqfunctions.udf.CIQ(A1203,"IQ_CAPEX",IQ_FY-10), _xll.ciqfunctions.udf.CIQ(A1203, "IQ_CAPEX",IQ_FY-9))</f>
        <v>-9.6300000000000008</v>
      </c>
      <c r="L1203" s="15">
        <f t="shared" ref="L1203:L1213" si="320">(J1203+K1203)/I1203</f>
        <v>0.49410630346653356</v>
      </c>
      <c r="M1203" s="17">
        <f>IF(A1211=A1212,_xll.ciqfunctions.udf.CIQ(A1203,"IQ_TOTAL_DEBT_ISSUED",IQ_FY-10), _xll.ciqfunctions.udf.CIQ(A1203, "IQ_TOTAL_DEBT_ISSUED",IQ_FY-9))</f>
        <v>0</v>
      </c>
      <c r="N1203" s="17">
        <f>IF(A1211=A1212,_xll.ciqfunctions.udf.CIQ(A1203,"IQ_TOTAL_DEBT_REPAID",IQ_FY-10), _xll.ciqfunctions.udf.CIQ(A1203, "IQ_TOTAL_DEBT_REPAID",IQ_FY-9))</f>
        <v>0</v>
      </c>
      <c r="O1203" s="15">
        <f t="shared" ref="O1203:O1213" si="321">(M1203+N1203)/I1203</f>
        <v>0</v>
      </c>
      <c r="P1203" s="15">
        <f t="shared" ref="P1203:P1213" si="322">L1203+O1203</f>
        <v>0.49410630346653356</v>
      </c>
      <c r="W1203" s="43"/>
      <c r="AA1203" s="43"/>
    </row>
    <row r="1204" spans="1:27">
      <c r="A1204" s="18" t="str">
        <f>_xll.ciqfunctions.udf.CIQ(A1203,"IQ_COMPANY_NAME")</f>
        <v>Cognex Corporation</v>
      </c>
      <c r="B1204" s="13">
        <v>2</v>
      </c>
      <c r="C1204" s="14" t="s">
        <v>17</v>
      </c>
      <c r="D1204" s="15">
        <f>IF(A1211=A1212,_xll.ciqfunctions.udf.CIQ(A1203,"IQ_TOTAL_REV",IQ_FY-9)/I1204, _xll.ciqfunctions.udf.CIQ(A1203, "IQ_TOTAL_REV",IQ_FY-8)/I1204)</f>
        <v>2.4637694472575604</v>
      </c>
      <c r="E1204" s="16">
        <f t="shared" ref="E1204:E1213" si="323">(D1204-D1203)/D1203</f>
        <v>0.39102569385067248</v>
      </c>
      <c r="F1204" s="15">
        <f>IF(A1211=A1212,_xll.ciqfunctions.udf.CIQ(A1203,"IQ_DILUT_EPS_EXCL",IQ_FY-9), _xll.ciqfunctions.udf.CIQ(A1203, "IQ_DILUT_EPS_EXCL",IQ_FY-8))</f>
        <v>0.62</v>
      </c>
      <c r="G1204" s="15">
        <f>IF(A1211=A1212,_xll.ciqfunctions.udf.CIQ(A1203,"IQ_EBITDA_MARGIN",IQ_FY-9), _xll.ciqfunctions.udf.CIQ(A1203, "IQ_EBITDA_MARGIN",IQ_FY-8))</f>
        <v>32.904000000000003</v>
      </c>
      <c r="H1204" s="15">
        <f>IF(A1211=A1212,_xll.ciqfunctions.udf.CIQ(A1203,"IQ_TOTAL_DIV_PAID_CF",IQ_FY-9)/-I1204, _xll.ciqfunctions.udf.CIQ(A1203, "IQ_TOTAL_DIV_PAID_CF",IQ_FY-8)/-I1204)</f>
        <v>0</v>
      </c>
      <c r="I1204" s="17">
        <f>IF(A1211=A1212,_xll.ciqfunctions.udf.CIQ(A1203,"IQ_TOTAL_OUTSTANDING_FILING_DATE",IQ_FY-9), _xll.ciqfunctions.udf.CIQ(A1203, "IQ_TOTAL_OUTSTANDING_FILING_DATE",IQ_FY-8))</f>
        <v>173.08803</v>
      </c>
      <c r="J1204" s="17">
        <f>IF(A1211=A1212,_xll.ciqfunctions.udf.CIQ(A1203,"IQ_CASH_OPER",IQ_FY-9), _xll.ciqfunctions.udf.CIQ(A1203, "IQ_CASH_OPER",IQ_FY-8))</f>
        <v>163.84100000000001</v>
      </c>
      <c r="K1204" s="17">
        <f>IF(A1211=A1212,_xll.ciqfunctions.udf.CIQ(A1203,"IQ_CAPEX",IQ_FY-9), _xll.ciqfunctions.udf.CIQ(A1203, "IQ_CAPEX",IQ_FY-8))</f>
        <v>-20.934000000000001</v>
      </c>
      <c r="L1204" s="15">
        <f t="shared" si="320"/>
        <v>0.82563190533741704</v>
      </c>
      <c r="M1204" s="17">
        <f>IF(A1211=A1212,_xll.ciqfunctions.udf.CIQ(A1203,"IQ_TOTAL_DEBT_ISSUED",IQ_FY-9), _xll.ciqfunctions.udf.CIQ(A1203, "IQ_TOTAL_DEBT_ISSUED",IQ_FY-8))</f>
        <v>0</v>
      </c>
      <c r="N1204" s="17">
        <f>IF(A1211=A1212,_xll.ciqfunctions.udf.CIQ(A1203,"IQ_TOTAL_DEBT_REPAID",IQ_FY-9), _xll.ciqfunctions.udf.CIQ(A1203, "IQ_TOTAL_DEBT_REPAID",IQ_FY-8))</f>
        <v>0</v>
      </c>
      <c r="O1204" s="15">
        <f t="shared" si="321"/>
        <v>0</v>
      </c>
      <c r="P1204" s="15">
        <f t="shared" si="322"/>
        <v>0.82563190533741704</v>
      </c>
      <c r="Q1204" s="25" t="s">
        <v>18</v>
      </c>
      <c r="R1204" s="39" t="s">
        <v>19</v>
      </c>
      <c r="S1204" s="1">
        <f>R1202/((AVERAGE(P1208:P1213))*(1+E1214)^3)</f>
        <v>27.697128605533425</v>
      </c>
      <c r="U1204" s="25" t="s">
        <v>48</v>
      </c>
      <c r="V1204" s="39" t="s">
        <v>19</v>
      </c>
      <c r="W1204" s="1">
        <f>V1202/((AVERAGE(P1208:P1213))*(1+E1214)^3)</f>
        <v>27.697128605533425</v>
      </c>
      <c r="Y1204" s="25" t="s">
        <v>39</v>
      </c>
      <c r="Z1204" s="39" t="s">
        <v>19</v>
      </c>
      <c r="AA1204" s="1">
        <f>Z1202/((AVERAGE(P1208:P1213))*(1+E1214)^3)</f>
        <v>27.697128605533425</v>
      </c>
    </row>
    <row r="1205" spans="1:27">
      <c r="B1205" s="13">
        <v>3</v>
      </c>
      <c r="C1205" s="14" t="s">
        <v>20</v>
      </c>
      <c r="D1205" s="15" cm="1">
        <f t="array" ref="D1205">_xlfn.SINGLE(IF(A1211=A1212,_xll.ciqfunctions.udf.CIQ(A1203,"IQ_TOTAL_REV",IQ_FY-8)/I1205, _xll.ciqfunctions.udf.CIQ(A1203, "IQ_TOTAL_REV",IQ_FY-7)/I1205))</f>
        <v>2.6539154260273583</v>
      </c>
      <c r="E1205" s="16">
        <f t="shared" si="323"/>
        <v>7.7176855562297336E-2</v>
      </c>
      <c r="F1205" s="15">
        <f>IF(A1211=A1212,_xll.ciqfunctions.udf.CIQ(A1203,"IQ_DILUT_EPS_EXCL",IQ_FY-8), _xll.ciqfunctions.udf.CIQ(A1203, "IQ_DILUT_EPS_EXCL",IQ_FY-7))</f>
        <v>0.61</v>
      </c>
      <c r="G1205" s="15">
        <f>IF(A1211=A1212,_xll.ciqfunctions.udf.CIQ(A1203,"IQ_EBITDA_MARGIN",IQ_FY-8), _xll.ciqfunctions.udf.CIQ(A1203, "IQ_EBITDA_MARGIN",IQ_FY-7))</f>
        <v>31.2195</v>
      </c>
      <c r="H1205" s="15">
        <f>IF(A1211=A1212,_xll.ciqfunctions.udf.CIQ(A1203,"IQ_TOTAL_DIV_PAID_CF",IQ_FY-8)/-I1205, _xll.ciqfunctions.udf.CIQ(A1203, "IQ_TOTAL_DIV_PAID_CF",IQ_FY-7)/-I1205)</f>
        <v>0.10639057971556572</v>
      </c>
      <c r="I1205" s="17">
        <f>IF(A1211=A1212,_xll.ciqfunctions.udf.CIQ(A1203,"IQ_TOTAL_OUTSTANDING_FILING_DATE",IQ_FY-8), _xll.ciqfunctions.udf.CIQ(A1203, "IQ_TOTAL_OUTSTANDING_FILING_DATE",IQ_FY-7))</f>
        <v>169.77067</v>
      </c>
      <c r="J1205" s="17">
        <f>IF(A1211=A1212,_xll.ciqfunctions.udf.CIQ(A1203,"IQ_CASH_OPER",IQ_FY-8), _xll.ciqfunctions.udf.CIQ(A1203, "IQ_CASH_OPER",IQ_FY-7))</f>
        <v>128.327</v>
      </c>
      <c r="K1205" s="17">
        <f>IF(A1211=A1212,_xll.ciqfunctions.udf.CIQ(A1203,"IQ_CAPEX",IQ_FY-8), _xll.ciqfunctions.udf.CIQ(A1203, "IQ_CAPEX",IQ_FY-7))</f>
        <v>-18.228000000000002</v>
      </c>
      <c r="L1205" s="15">
        <f t="shared" si="320"/>
        <v>0.64851602458775703</v>
      </c>
      <c r="M1205" s="17">
        <f>IF(A1211=A1212,_xll.ciqfunctions.udf.CIQ(A1203,"IQ_TOTAL_DEBT_ISSUED",IQ_FY-8), _xll.ciqfunctions.udf.CIQ(A1203, "IQ_TOTAL_DEBT_ISSUED",IQ_FY-7))</f>
        <v>0</v>
      </c>
      <c r="N1205" s="17">
        <f>IF(A1211=A1212,_xll.ciqfunctions.udf.CIQ(A1203,"IQ_TOTAL_DEBT_REPAID",IQ_FY-8), _xll.ciqfunctions.udf.CIQ(A1203, "IQ_TOTAL_DEBT_REPAID",IQ_FY-7))</f>
        <v>0</v>
      </c>
      <c r="O1205" s="15">
        <f t="shared" si="321"/>
        <v>0</v>
      </c>
      <c r="P1205" s="15">
        <f t="shared" si="322"/>
        <v>0.64851602458775703</v>
      </c>
      <c r="Q1205" s="25" t="s">
        <v>21</v>
      </c>
      <c r="R1205" s="38" t="s">
        <v>49</v>
      </c>
      <c r="S1205" s="2">
        <f>(R1202*I1213)/1000</f>
        <v>6.3262218074999996</v>
      </c>
      <c r="U1205" s="25" t="s">
        <v>59</v>
      </c>
      <c r="V1205" s="38" t="s">
        <v>49</v>
      </c>
      <c r="W1205" s="2">
        <f>(V1202*I1213)/1000</f>
        <v>6.3262218074999996</v>
      </c>
      <c r="Y1205" s="25" t="s">
        <v>46</v>
      </c>
      <c r="Z1205" s="38" t="s">
        <v>49</v>
      </c>
      <c r="AA1205" s="2">
        <f>(Z1202*I1213)/1000</f>
        <v>6.3262218074999996</v>
      </c>
    </row>
    <row r="1206" spans="1:27">
      <c r="A1206" s="18"/>
      <c r="B1206" s="13">
        <v>4</v>
      </c>
      <c r="C1206" s="14" t="s">
        <v>22</v>
      </c>
      <c r="D1206" s="15" cm="1">
        <f t="array" ref="D1206">_xlfn.SINGLE(IF(A1211=A1212,_xll.ciqfunctions.udf.CIQ(A1203,"IQ_TOTAL_REV",IQ_FY-7)/I1206, _xll.ciqfunctions.udf.CIQ(A1203, "IQ_TOTAL_REV",IQ_FY-6)/I1206))</f>
        <v>3.0766778793243166</v>
      </c>
      <c r="E1206" s="16">
        <f t="shared" si="323"/>
        <v>0.15929763591969121</v>
      </c>
      <c r="F1206" s="15">
        <f>IF(A1211=A1212,_xll.ciqfunctions.udf.CIQ(A1203,"IQ_DILUT_EPS_EXCL",IQ_FY-7), _xll.ciqfunctions.udf.CIQ(A1203, "IQ_DILUT_EPS_EXCL",IQ_FY-6))</f>
        <v>0.83</v>
      </c>
      <c r="G1206" s="15">
        <f>IF(A1211=A1212,_xll.ciqfunctions.udf.CIQ(A1203,"IQ_EBITDA_MARGIN",IQ_FY-7), _xll.ciqfunctions.udf.CIQ(A1203, "IQ_EBITDA_MARGIN",IQ_FY-6))</f>
        <v>31.941400000000002</v>
      </c>
      <c r="H1206" s="15">
        <f>IF(A1211=A1212,_xll.ciqfunctions.udf.CIQ(A1203,"IQ_TOTAL_DIV_PAID_CF",IQ_FY-7)/-I1206, _xll.ciqfunctions.udf.CIQ(A1203, "IQ_TOTAL_DIV_PAID_CF",IQ_FY-6)/-I1206)</f>
        <v>0.14649684970473736</v>
      </c>
      <c r="I1206" s="17">
        <f>IF(A1211=A1212,_xll.ciqfunctions.udf.CIQ(A1203,"IQ_TOTAL_OUTSTANDING_FILING_DATE",IQ_FY-7), _xll.ciqfunctions.udf.CIQ(A1203, "IQ_TOTAL_OUTSTANDING_FILING_DATE",IQ_FY-6))</f>
        <v>172.10608999999999</v>
      </c>
      <c r="J1206" s="17">
        <f>IF(A1211=A1212,_xll.ciqfunctions.udf.CIQ(A1203,"IQ_CASH_OPER",IQ_FY-7), _xll.ciqfunctions.udf.CIQ(A1203, "IQ_CASH_OPER",IQ_FY-6))</f>
        <v>182.08099999999999</v>
      </c>
      <c r="K1206" s="17">
        <f>IF(A1211=A1212,_xll.ciqfunctions.udf.CIQ(A1203,"IQ_CAPEX",IQ_FY-7), _xll.ciqfunctions.udf.CIQ(A1203, "IQ_CAPEX",IQ_FY-6))</f>
        <v>-12.816000000000001</v>
      </c>
      <c r="L1206" s="15">
        <f t="shared" si="320"/>
        <v>0.98349221692271316</v>
      </c>
      <c r="M1206" s="17">
        <f>IF(A1211=A1212,_xll.ciqfunctions.udf.CIQ(A1203,"IQ_TOTAL_DEBT_ISSUED",IQ_FY-7), _xll.ciqfunctions.udf.CIQ(A1203, "IQ_TOTAL_DEBT_ISSUED",IQ_FY-6))</f>
        <v>0</v>
      </c>
      <c r="N1206" s="17">
        <f>IF(A1211=A1212,_xll.ciqfunctions.udf.CIQ(A1203,"IQ_TOTAL_DEBT_REPAID",IQ_FY-7), _xll.ciqfunctions.udf.CIQ(A1203, "IQ_TOTAL_DEBT_REPAID",IQ_FY-6))</f>
        <v>0</v>
      </c>
      <c r="O1206" s="15">
        <f t="shared" si="321"/>
        <v>0</v>
      </c>
      <c r="P1206" s="15">
        <f t="shared" si="322"/>
        <v>0.98349221692271316</v>
      </c>
      <c r="Q1206" s="25" t="s">
        <v>23</v>
      </c>
      <c r="R1206" s="38" t="s">
        <v>24</v>
      </c>
      <c r="S1206" s="1">
        <f>R1202/(AVERAGE(H1208:H1213)*(1+H1214)/(0.5-H1214))</f>
        <v>59.911695177716553</v>
      </c>
      <c r="U1206" s="25" t="s">
        <v>40</v>
      </c>
      <c r="V1206" s="38" t="s">
        <v>24</v>
      </c>
      <c r="W1206" s="1">
        <f>V1202/(AVERAGE(H1208:H1213)*(1+H1214)/(0.5-H1214))</f>
        <v>59.911695177716553</v>
      </c>
      <c r="Y1206" s="25" t="s">
        <v>47</v>
      </c>
      <c r="Z1206" s="38" t="s">
        <v>24</v>
      </c>
      <c r="AA1206" s="1">
        <f>Z1202/(AVERAGE(H1208:H1213)*(1+H1214)/(0.5-H1214))</f>
        <v>59.911695177716553</v>
      </c>
    </row>
    <row r="1207" spans="1:27">
      <c r="B1207" s="13">
        <v>5</v>
      </c>
      <c r="C1207" s="14" t="s">
        <v>25</v>
      </c>
      <c r="D1207" s="15" cm="1">
        <f t="array" ref="D1207">_xlfn.SINGLE(IF(A1211=A1212,_xll.ciqfunctions.udf.CIQ(A1203,"IQ_TOTAL_REV",IQ_FY-6)/I1207, _xll.ciqfunctions.udf.CIQ(A1203, "IQ_TOTAL_REV",IQ_FY-5)/I1207))</f>
        <v>4.4141649149247488</v>
      </c>
      <c r="E1207" s="16">
        <f t="shared" si="323"/>
        <v>0.43471792890263961</v>
      </c>
      <c r="F1207" s="15">
        <f>IF(A1211=A1212,_xll.ciqfunctions.udf.CIQ(A1203,"IQ_DILUT_EPS_EXCL",IQ_FY-6), _xll.ciqfunctions.udf.CIQ(A1203, "IQ_DILUT_EPS_EXCL",IQ_FY-5))</f>
        <v>0.98</v>
      </c>
      <c r="G1207" s="15">
        <f>IF(A1211=A1212,_xll.ciqfunctions.udf.CIQ(A1203,"IQ_EBITDA_MARGIN",IQ_FY-6), _xll.ciqfunctions.udf.CIQ(A1203, "IQ_EBITDA_MARGIN",IQ_FY-5))</f>
        <v>36.008099999999999</v>
      </c>
      <c r="H1207" s="15">
        <f>IF(A1211=A1212,_xll.ciqfunctions.udf.CIQ(A1203,"IQ_TOTAL_DIV_PAID_CF",IQ_FY-6)/-I1207, _xll.ciqfunctions.udf.CIQ(A1203, "IQ_TOTAL_DIV_PAID_CF",IQ_FY-5)/-I1207)</f>
        <v>0.1673109919351688</v>
      </c>
      <c r="I1207" s="17">
        <f>IF(A1211=A1212,_xll.ciqfunctions.udf.CIQ(A1203,"IQ_TOTAL_OUTSTANDING_FILING_DATE",IQ_FY-6), _xll.ciqfunctions.udf.CIQ(A1203, "IQ_TOTAL_OUTSTANDING_FILING_DATE",IQ_FY-5))</f>
        <v>173.55106000000001</v>
      </c>
      <c r="J1207" s="17">
        <f>IF(A1211=A1212,_xll.ciqfunctions.udf.CIQ(A1203,"IQ_CASH_OPER",IQ_FY-6), _xll.ciqfunctions.udf.CIQ(A1203, "IQ_CASH_OPER",IQ_FY-5))</f>
        <v>224.32300000000001</v>
      </c>
      <c r="K1207" s="17">
        <f>IF(A1211=A1212,_xll.ciqfunctions.udf.CIQ(A1203,"IQ_CAPEX",IQ_FY-6), _xll.ciqfunctions.udf.CIQ(A1203, "IQ_CAPEX",IQ_FY-5))</f>
        <v>-28.754000000000001</v>
      </c>
      <c r="L1207" s="15">
        <f t="shared" si="320"/>
        <v>1.1268672170599248</v>
      </c>
      <c r="M1207" s="17">
        <f>IF(A1211=A1212,_xll.ciqfunctions.udf.CIQ(A1203,"IQ_TOTAL_DEBT_ISSUED",IQ_FY-6), _xll.ciqfunctions.udf.CIQ(A1203, "IQ_TOTAL_DEBT_ISSUED",IQ_FY-5))</f>
        <v>0</v>
      </c>
      <c r="N1207" s="17">
        <f>IF(A1211=A1212,_xll.ciqfunctions.udf.CIQ(A1203,"IQ_TOTAL_DEBT_REPAID",IQ_FY-6), _xll.ciqfunctions.udf.CIQ(A1203, "IQ_TOTAL_DEBT_REPAID",IQ_FY-5))</f>
        <v>0</v>
      </c>
      <c r="O1207" s="15">
        <f t="shared" si="321"/>
        <v>0</v>
      </c>
      <c r="P1207" s="15">
        <f t="shared" si="322"/>
        <v>1.1268672170599248</v>
      </c>
      <c r="Q1207" s="18"/>
      <c r="R1207" s="38" t="s">
        <v>50</v>
      </c>
      <c r="S1207" s="3">
        <f>I1214</f>
        <v>1.5297725393006445E-3</v>
      </c>
      <c r="U1207" s="18"/>
      <c r="V1207" s="38" t="s">
        <v>50</v>
      </c>
      <c r="W1207" s="3">
        <f>I1214</f>
        <v>1.5297725393006445E-3</v>
      </c>
      <c r="Y1207" s="18"/>
      <c r="Z1207" s="38" t="s">
        <v>50</v>
      </c>
      <c r="AA1207" s="3">
        <f>I1214</f>
        <v>1.5297725393006445E-3</v>
      </c>
    </row>
    <row r="1208" spans="1:27">
      <c r="B1208" s="13">
        <v>6</v>
      </c>
      <c r="C1208" s="14" t="s">
        <v>26</v>
      </c>
      <c r="D1208" s="15" cm="1">
        <f t="array" ref="D1208">_xlfn.SINGLE(IF(A1211=A1212,_xll.ciqfunctions.udf.CIQ(A1203,"IQ_TOTAL_REV",IQ_FY-5)/I1208, _xll.ciqfunctions.udf.CIQ(A1203, "IQ_TOTAL_REV",IQ_FY-4)/I1208))</f>
        <v>4.7200801819712082</v>
      </c>
      <c r="E1208" s="16">
        <f t="shared" si="323"/>
        <v>6.9303089699283352E-2</v>
      </c>
      <c r="F1208" s="15">
        <f>IF(A1211=A1212,_xll.ciqfunctions.udf.CIQ(A1203,"IQ_DILUT_EPS_EXCL",IQ_FY-5), _xll.ciqfunctions.udf.CIQ(A1203, "IQ_DILUT_EPS_EXCL",IQ_FY-4))</f>
        <v>1.24</v>
      </c>
      <c r="G1208" s="15">
        <f>IF(A1211=A1212,_xll.ciqfunctions.udf.CIQ(A1203,"IQ_EBITDA_MARGIN",IQ_FY-5), _xll.ciqfunctions.udf.CIQ(A1203, "IQ_EBITDA_MARGIN",IQ_FY-4))</f>
        <v>30.097899999999999</v>
      </c>
      <c r="H1208" s="15">
        <f>IF(A1211=A1212,_xll.ciqfunctions.udf.CIQ(A1203,"IQ_TOTAL_DIV_PAID_CF",IQ_FY-5)/-I1208, _xll.ciqfunctions.udf.CIQ(A1203, "IQ_TOTAL_DIV_PAID_CF",IQ_FY-4)/-I1208)</f>
        <v>0.18652891839217867</v>
      </c>
      <c r="I1208" s="17">
        <f>IF(A1211=A1212,_xll.ciqfunctions.udf.CIQ(A1203,"IQ_TOTAL_OUTSTANDING_FILING_DATE",IQ_FY-5), _xll.ciqfunctions.udf.CIQ(A1203, "IQ_TOTAL_OUTSTANDING_FILING_DATE",IQ_FY-4))</f>
        <v>170.83142000000001</v>
      </c>
      <c r="J1208" s="17">
        <f>IF(A1211=A1212,_xll.ciqfunctions.udf.CIQ(A1203,"IQ_CASH_OPER",IQ_FY-5), _xll.ciqfunctions.udf.CIQ(A1203, "IQ_CASH_OPER",IQ_FY-4))</f>
        <v>223.45400000000001</v>
      </c>
      <c r="K1208" s="17">
        <f>IF(A1211=A1212,_xll.ciqfunctions.udf.CIQ(A1203,"IQ_CAPEX",IQ_FY-5), _xll.ciqfunctions.udf.CIQ(A1203, "IQ_CAPEX",IQ_FY-4))</f>
        <v>-37.094999999999999</v>
      </c>
      <c r="L1208" s="15">
        <f t="shared" si="320"/>
        <v>1.0908941692342076</v>
      </c>
      <c r="M1208" s="17">
        <f>IF(A1211=A1212,_xll.ciqfunctions.udf.CIQ(A1203,"IQ_TOTAL_DEBT_ISSUED",IQ_FY-5), _xll.ciqfunctions.udf.CIQ(A1203, "IQ_TOTAL_DEBT_ISSUED",IQ_FY-4))</f>
        <v>0</v>
      </c>
      <c r="N1208" s="17">
        <f>IF(A1211=A1212,_xll.ciqfunctions.udf.CIQ(A1203,"IQ_TOTAL_DEBT_REPAID",IQ_FY-5), _xll.ciqfunctions.udf.CIQ(A1203, "IQ_TOTAL_DEBT_REPAID",IQ_FY-4))</f>
        <v>0</v>
      </c>
      <c r="O1208" s="15">
        <f t="shared" si="321"/>
        <v>0</v>
      </c>
      <c r="P1208" s="15">
        <f t="shared" si="322"/>
        <v>1.0908941692342076</v>
      </c>
      <c r="Q1208" s="25" t="s">
        <v>27</v>
      </c>
      <c r="R1208" s="38" t="s">
        <v>51</v>
      </c>
      <c r="S1208" s="4">
        <f>AVERAGE(F1208:F1213)/AVERAGE(D1208:D1213)</f>
        <v>0.23325535130378841</v>
      </c>
      <c r="U1208" s="25" t="s">
        <v>58</v>
      </c>
      <c r="V1208" s="38" t="s">
        <v>51</v>
      </c>
      <c r="W1208" s="4">
        <f>AVERAGE(F1208:F1213)/AVERAGE(D1208:D1213)</f>
        <v>0.23325535130378841</v>
      </c>
      <c r="Y1208" s="25" t="s">
        <v>56</v>
      </c>
      <c r="Z1208" s="38" t="s">
        <v>51</v>
      </c>
      <c r="AA1208" s="4">
        <f>AVERAGE(F1208:F1213)/AVERAGE(D1208:D1213)</f>
        <v>0.23325535130378841</v>
      </c>
    </row>
    <row r="1209" spans="1:27">
      <c r="A1209" s="18"/>
      <c r="B1209" s="13">
        <v>7</v>
      </c>
      <c r="C1209" s="14" t="s">
        <v>28</v>
      </c>
      <c r="D1209" s="15" cm="1">
        <f t="array" ref="D1209">_xlfn.SINGLE(IF(A1211=A1212,_xll.ciqfunctions.udf.CIQ(A1203,"IQ_TOTAL_REV",IQ_FY-4)/I1209, _xll.ciqfunctions.udf.CIQ(A1203, "IQ_TOTAL_REV",IQ_FY-3)/I1209))</f>
        <v>4.2038110730107192</v>
      </c>
      <c r="E1209" s="16">
        <f t="shared" si="323"/>
        <v>-0.10937719044104961</v>
      </c>
      <c r="F1209" s="15">
        <f>IF(A1211=A1212,_xll.ciqfunctions.udf.CIQ(A1203,"IQ_DILUT_EPS_EXCL",IQ_FY-4), _xll.ciqfunctions.udf.CIQ(A1203, "IQ_DILUT_EPS_EXCL",IQ_FY-3))</f>
        <v>1.1599999999999999</v>
      </c>
      <c r="G1209" s="15">
        <f>IF(A1211=A1212,_xll.ciqfunctions.udf.CIQ(A1203,"IQ_EBITDA_MARGIN",IQ_FY-4), _xll.ciqfunctions.udf.CIQ(A1203, "IQ_EBITDA_MARGIN",IQ_FY-3))</f>
        <v>23.0838</v>
      </c>
      <c r="H1209" s="15">
        <f>IF(A1211=A1212,_xll.ciqfunctions.udf.CIQ(A1203,"IQ_TOTAL_DIV_PAID_CF",IQ_FY-4)/-I1209, _xll.ciqfunctions.udf.CIQ(A1203, "IQ_TOTAL_DIV_PAID_CF",IQ_FY-3)/-I1209)</f>
        <v>0.20348618105554314</v>
      </c>
      <c r="I1209" s="17">
        <f>IF(A1211=A1212,_xll.ciqfunctions.udf.CIQ(A1203,"IQ_TOTAL_OUTSTANDING_FILING_DATE",IQ_FY-4), _xll.ciqfunctions.udf.CIQ(A1203, "IQ_TOTAL_OUTSTANDING_FILING_DATE",IQ_FY-3))</f>
        <v>172.61123000000001</v>
      </c>
      <c r="J1209" s="17">
        <f>IF(A1211=A1212,_xll.ciqfunctions.udf.CIQ(A1203,"IQ_CASH_OPER",IQ_FY-4), _xll.ciqfunctions.udf.CIQ(A1203, "IQ_CASH_OPER",IQ_FY-3))</f>
        <v>253.31100000000001</v>
      </c>
      <c r="K1209" s="17">
        <f>IF(A1211=A1212,_xll.ciqfunctions.udf.CIQ(A1203,"IQ_CAPEX",IQ_FY-4), _xll.ciqfunctions.udf.CIQ(A1203, "IQ_CAPEX",IQ_FY-3))</f>
        <v>-21.745000000000001</v>
      </c>
      <c r="L1209" s="15">
        <f t="shared" si="320"/>
        <v>1.3415465494336607</v>
      </c>
      <c r="M1209" s="17">
        <f>IF(A1211=A1212,_xll.ciqfunctions.udf.CIQ(A1203,"IQ_TOTAL_DEBT_ISSUED",IQ_FY-4), _xll.ciqfunctions.udf.CIQ(A1203, "IQ_TOTAL_DEBT_ISSUED",IQ_FY-3))</f>
        <v>0</v>
      </c>
      <c r="N1209" s="17">
        <f>IF(A1211=A1212,_xll.ciqfunctions.udf.CIQ(A1203,"IQ_TOTAL_DEBT_REPAID",IQ_FY-4), _xll.ciqfunctions.udf.CIQ(A1203, "IQ_TOTAL_DEBT_REPAID",IQ_FY-3))</f>
        <v>0</v>
      </c>
      <c r="O1209" s="15">
        <f t="shared" si="321"/>
        <v>0</v>
      </c>
      <c r="P1209" s="15">
        <f t="shared" si="322"/>
        <v>1.3415465494336607</v>
      </c>
      <c r="Q1209" s="18"/>
      <c r="R1209" s="38" t="s">
        <v>29</v>
      </c>
      <c r="S1209" s="4">
        <f>(AVERAGE(P1208:P1213)/_xlfn.STDEV.P(P1208:P1213))/(IF(A1211=A1212,(_xlfn.SINGLE(_xll.ciqfunctions.udf.CIQ(A1203,"IQ_total_assets",IQ_FY)) - _xlfn.SINGLE(_xll.ciqfunctions.udf.CIQ(A1203,"iq_gw_intan", IQ_FY)))/I1213, (_xlfn.SINGLE(_xll.ciqfunctions.udf.CIQ(A1203, "IQ_total_assets",IQ_LTM))-_xlfn.SINGLE(_xll.ciqfunctions.udf.CIQ(A1203,"iq_gw_intan",IQ_LTM)))/I1213))</f>
        <v>0.471137465083865</v>
      </c>
      <c r="U1209" s="18"/>
      <c r="V1209" s="38" t="s">
        <v>29</v>
      </c>
      <c r="W1209" s="4">
        <f>(AVERAGE(P1208:P1213)/_xlfn.STDEV.P(P1208:P1213))/(IF(A1211=A1212,(_xlfn.SINGLE(_xll.ciqfunctions.udf.CIQ(A1203,"IQ_total_assets",IQ_FY)) - _xlfn.SINGLE(_xll.ciqfunctions.udf.CIQ(A1203,"iq_gw_intan", IQ_FY)))/I1213, (_xlfn.SINGLE(_xll.ciqfunctions.udf.CIQ(A1203, "IQ_total_assets",IQ_LTM))-_xlfn.SINGLE(_xll.ciqfunctions.udf.CIQ(A1203,"iq_gw_intan",IQ_LTM)))/I1213))</f>
        <v>0.471137465083865</v>
      </c>
      <c r="Y1209" s="18"/>
      <c r="Z1209" s="38" t="s">
        <v>29</v>
      </c>
      <c r="AA1209" s="4">
        <f>(AVERAGE(P1208:P1213)/_xlfn.STDEV.P(P1208:P1213))/(IF(A1211=A1212,(_xlfn.SINGLE(_xll.ciqfunctions.udf.CIQ(A1203,"IQ_total_assets",IQ_FY)) - _xlfn.SINGLE(_xll.ciqfunctions.udf.CIQ(A1203,"iq_gw_intan", IQ_FY)))/I1213, (_xlfn.SINGLE(_xll.ciqfunctions.udf.CIQ(A1203, "IQ_total_assets",IQ_LTM))-_xlfn.SINGLE(_xll.ciqfunctions.udf.CIQ(A1203,"iq_gw_intan",IQ_LTM)))/I1213))</f>
        <v>0.471137465083865</v>
      </c>
    </row>
    <row r="1210" spans="1:27">
      <c r="A1210" s="18"/>
      <c r="B1210" s="13">
        <v>8</v>
      </c>
      <c r="C1210" s="14" t="s">
        <v>30</v>
      </c>
      <c r="D1210" s="15" cm="1">
        <f t="array" ref="D1210">_xlfn.SINGLE(IF(A1211=A1212,_xll.ciqfunctions.udf.CIQ(A1203,"IQ_TOTAL_REV",IQ_FY-3)/I1210, _xll.ciqfunctions.udf.CIQ(A1203, "IQ_TOTAL_REV",IQ_FY-2)/I1210))</f>
        <v>4.6073304853802384</v>
      </c>
      <c r="E1210" s="16">
        <f t="shared" si="323"/>
        <v>9.5988950350359911E-2</v>
      </c>
      <c r="F1210" s="15">
        <f>IF(A1211=A1212,_xll.ciqfunctions.udf.CIQ(A1203,"IQ_DILUT_EPS_EXCL",IQ_FY-3), _xll.ciqfunctions.udf.CIQ(A1203, "IQ_DILUT_EPS_EXCL",IQ_FY-2))</f>
        <v>1</v>
      </c>
      <c r="G1210" s="15">
        <f>IF(A1211=A1212,_xll.ciqfunctions.udf.CIQ(A1203,"IQ_EBITDA_MARGIN",IQ_FY-3), _xll.ciqfunctions.udf.CIQ(A1203, "IQ_EBITDA_MARGIN",IQ_FY-2))</f>
        <v>28.6709</v>
      </c>
      <c r="H1210" s="15">
        <f>IF(A1211=A1212,_xll.ciqfunctions.udf.CIQ(A1203,"IQ_TOTAL_DIV_PAID_CF",IQ_FY-3)/-I1210, _xll.ciqfunctions.udf.CIQ(A1203, "IQ_TOTAL_DIV_PAID_CF",IQ_FY-2)/-I1210)</f>
        <v>0.22200990773181886</v>
      </c>
      <c r="I1210" s="17">
        <f>IF(A1211=A1212,_xll.ciqfunctions.udf.CIQ(A1203,"IQ_TOTAL_OUTSTANDING_FILING_DATE",IQ_FY-3), _xll.ciqfunctions.udf.CIQ(A1203, "IQ_TOTAL_OUTSTANDING_FILING_DATE",IQ_FY-2))</f>
        <v>176.02817999999999</v>
      </c>
      <c r="J1210" s="17">
        <f>IF(A1211=A1212,_xll.ciqfunctions.udf.CIQ(A1203,"IQ_CASH_OPER",IQ_FY-3), _xll.ciqfunctions.udf.CIQ(A1203, "IQ_CASH_OPER",IQ_FY-2))</f>
        <v>242.4</v>
      </c>
      <c r="K1210" s="17">
        <f>IF(A1211=A1212,_xll.ciqfunctions.udf.CIQ(A1203,"IQ_CAPEX",IQ_FY-3), _xll.ciqfunctions.udf.CIQ(A1203, "IQ_CAPEX",IQ_FY-2))</f>
        <v>-13.303000000000001</v>
      </c>
      <c r="L1210" s="15">
        <f t="shared" si="320"/>
        <v>1.3014791154461747</v>
      </c>
      <c r="M1210" s="17">
        <f>IF(A1211=A1212,_xll.ciqfunctions.udf.CIQ(A1203,"IQ_TOTAL_DEBT_ISSUED",IQ_FY-3), _xll.ciqfunctions.udf.CIQ(A1203, "IQ_TOTAL_DEBT_ISSUED",IQ_FY-2))</f>
        <v>0</v>
      </c>
      <c r="N1210" s="17">
        <f>IF(A1211=A1212,_xll.ciqfunctions.udf.CIQ(A1203,"IQ_TOTAL_DEBT_REPAID",IQ_FY-3), _xll.ciqfunctions.udf.CIQ(A1203, "IQ_TOTAL_DEBT_REPAID",IQ_FY-2))</f>
        <v>0</v>
      </c>
      <c r="O1210" s="15">
        <f t="shared" si="321"/>
        <v>0</v>
      </c>
      <c r="P1210" s="15">
        <f t="shared" si="322"/>
        <v>1.3014791154461747</v>
      </c>
      <c r="Q1210" s="18"/>
      <c r="R1210" s="39" t="s">
        <v>31</v>
      </c>
      <c r="S1210" s="5">
        <f>IF(NOT(D1203&gt;0),FALSE,SLOPE(G1203:G1213,B1203:B1213))</f>
        <v>-0.62500454545454576</v>
      </c>
      <c r="U1210" s="18"/>
      <c r="V1210" s="39" t="s">
        <v>31</v>
      </c>
      <c r="W1210" s="5">
        <f>IF(NOT(D1203&gt;0),FALSE,SLOPE(G1203:G1213,B1203:B1213))</f>
        <v>-0.62500454545454576</v>
      </c>
      <c r="Y1210" s="18"/>
      <c r="Z1210" s="39" t="s">
        <v>31</v>
      </c>
      <c r="AA1210" s="5">
        <f>IF(NOT(L1203&gt;0),FALSE,SLOPE(O1203:O1213,J1203:J1213))</f>
        <v>0</v>
      </c>
    </row>
    <row r="1211" spans="1:27">
      <c r="A1211" s="19">
        <f>_xll.ciqfunctions.udf.CIQ(A1203,"IQ_TOTAL_REV",IQ_FY)</f>
        <v>1006.09</v>
      </c>
      <c r="B1211" s="13">
        <v>9</v>
      </c>
      <c r="C1211" s="14" t="s">
        <v>32</v>
      </c>
      <c r="D1211" s="15" cm="1">
        <f t="array" ref="D1211">_xlfn.SINGLE(IF(A1211=A1212,_xll.ciqfunctions.udf.CIQ(A1203,"IQ_TOTAL_REV",IQ_FY-2)/I1211, _xll.ciqfunctions.udf.CIQ(A1203, "IQ_TOTAL_REV",IQ_FY-1)/I1211))</f>
        <v>5.9632138397887022</v>
      </c>
      <c r="E1211" s="16">
        <f t="shared" si="323"/>
        <v>0.2942882779325009</v>
      </c>
      <c r="F1211" s="15">
        <f>IF(A1211=A1212,_xll.ciqfunctions.udf.CIQ(A1203,"IQ_DILUT_EPS_EXCL",IQ_FY-2), _xll.ciqfunctions.udf.CIQ(A1203, "IQ_DILUT_EPS_EXCL",IQ_FY-1))</f>
        <v>1.56</v>
      </c>
      <c r="G1211" s="15">
        <f>IF(A1211=A1212,_xll.ciqfunctions.udf.CIQ(A1203,"IQ_EBITDA_MARGIN",IQ_FY-2), _xll.ciqfunctions.udf.CIQ(A1203, "IQ_EBITDA_MARGIN",IQ_FY-1))</f>
        <v>32.3386</v>
      </c>
      <c r="H1211" s="15">
        <f>IF(A1211=A1212,_xll.ciqfunctions.udf.CIQ(A1203,"IQ_TOTAL_DIV_PAID_CF",IQ_FY-2)/-I1211, _xll.ciqfunctions.udf.CIQ(A1203, "IQ_TOTAL_DIV_PAID_CF",IQ_FY-1)/-I1211)</f>
        <v>0.2487580926303769</v>
      </c>
      <c r="I1211" s="17">
        <f>IF(A1211=A1212,_xll.ciqfunctions.udf.CIQ(A1203,"IQ_TOTAL_OUTSTANDING_FILING_DATE",IQ_FY-2), _xll.ciqfunctions.udf.CIQ(A1203, "IQ_TOTAL_OUTSTANDING_FILING_DATE",IQ_FY-1))</f>
        <v>173.91595000000001</v>
      </c>
      <c r="J1211" s="17">
        <f>IF(A1211=A1212,_xll.ciqfunctions.udf.CIQ(A1203,"IQ_CASH_OPER",IQ_FY-2), _xll.ciqfunctions.udf.CIQ(A1203, "IQ_CASH_OPER",IQ_FY-1))</f>
        <v>314.065</v>
      </c>
      <c r="K1211" s="17">
        <f>IF(A1211=A1212,_xll.ciqfunctions.udf.CIQ(A1203,"IQ_CAPEX",IQ_FY-2), _xll.ciqfunctions.udf.CIQ(A1203, "IQ_CAPEX",IQ_FY-1))</f>
        <v>-15.455</v>
      </c>
      <c r="L1211" s="15">
        <f t="shared" si="320"/>
        <v>1.7169788049917216</v>
      </c>
      <c r="M1211" s="17">
        <f>IF(A1211=A1212,_xll.ciqfunctions.udf.CIQ(A1203,"IQ_TOTAL_DEBT_ISSUED",IQ_FY-2), _xll.ciqfunctions.udf.CIQ(A1203, "IQ_TOTAL_DEBT_ISSUED",IQ_FY-1))</f>
        <v>0</v>
      </c>
      <c r="N1211" s="17">
        <f>IF(A1211=A1212,_xll.ciqfunctions.udf.CIQ(A1203,"IQ_TOTAL_DEBT_REPAID",IQ_FY-2), _xll.ciqfunctions.udf.CIQ(A1203, "IQ_TOTAL_DEBT_REPAID",IQ_FY-1))</f>
        <v>0</v>
      </c>
      <c r="O1211" s="15">
        <f t="shared" si="321"/>
        <v>0</v>
      </c>
      <c r="P1211" s="15">
        <f t="shared" si="322"/>
        <v>1.7169788049917216</v>
      </c>
      <c r="Q1211" s="25" t="s">
        <v>33</v>
      </c>
      <c r="R1211" s="38" t="s">
        <v>52</v>
      </c>
      <c r="S1211" s="4">
        <f>(AVERAGE(O1208:O1213)/AVERAGE(P1208:P1213))</f>
        <v>0</v>
      </c>
      <c r="U1211" s="25" t="s">
        <v>54</v>
      </c>
      <c r="V1211" s="38" t="s">
        <v>52</v>
      </c>
      <c r="W1211" s="4">
        <f>(AVERAGE(O1208:O1213)/AVERAGE(P1208:P1213))</f>
        <v>0</v>
      </c>
      <c r="Y1211" s="25" t="s">
        <v>60</v>
      </c>
      <c r="Z1211" s="38" t="s">
        <v>52</v>
      </c>
      <c r="AA1211" s="4">
        <f>(AVERAGE(O1208:O1213)/AVERAGE(P1208:P1213))</f>
        <v>0</v>
      </c>
    </row>
    <row r="1212" spans="1:27">
      <c r="A1212" s="19">
        <f>_xll.ciqfunctions.udf.CIQ(A1203,"IQ_TOTAL_REV",IQ_LTM)</f>
        <v>880.31</v>
      </c>
      <c r="B1212" s="13">
        <v>10</v>
      </c>
      <c r="C1212" s="14" t="s">
        <v>34</v>
      </c>
      <c r="D1212" s="15" cm="1">
        <f t="array" ref="D1212">_xlfn.SINGLE(IF(A1211=A1212,_xll.ciqfunctions.udf.CIQ(A1203,"IQ_TOTAL_REV",IQ_FY-1)/I1212, _xll.ciqfunctions.udf.CIQ(A1203, "IQ_TOTAL_REV",IQ_FY)/I1212))</f>
        <v>5.831180742086417</v>
      </c>
      <c r="E1212" s="16">
        <f t="shared" si="323"/>
        <v>-2.214126497046157E-2</v>
      </c>
      <c r="F1212" s="15">
        <f>IF(A1211=A1212,_xll.ciqfunctions.udf.CIQ(A1203,"IQ_DILUT_EPS_EXCL",IQ_FY-1), _xll.ciqfunctions.udf.CIQ(A1203, "IQ_DILUT_EPS_EXCL",IQ_FY))</f>
        <v>1.23</v>
      </c>
      <c r="G1212" s="15">
        <f>IF(A1211=A1212,_xll.ciqfunctions.udf.CIQ(A1203,"IQ_EBITDA_MARGIN",IQ_FY-1), _xll.ciqfunctions.udf.CIQ(A1203, "IQ_EBITDA_MARGIN",IQ_FY))</f>
        <v>28.654</v>
      </c>
      <c r="H1212" s="15">
        <f>IF(A1211=A1212,_xll.ciqfunctions.udf.CIQ(A1203,"IQ_TOTAL_DIV_PAID_CF",IQ_FY-1)/-I1212, _xll.ciqfunctions.udf.CIQ(A1203, "IQ_TOTAL_DIV_PAID_CF",IQ_FY)/-I1212)</f>
        <v>0.26615278042456475</v>
      </c>
      <c r="I1212" s="17">
        <f>IF(A1211=A1212,_xll.ciqfunctions.udf.CIQ(A1203,"IQ_TOTAL_OUTSTANDING_FILING_DATE",IQ_FY-1), _xll.ciqfunctions.udf.CIQ(A1203, "IQ_TOTAL_OUTSTANDING_FILING_DATE",IQ_FY))</f>
        <v>172.53623999999999</v>
      </c>
      <c r="J1212" s="17">
        <f>IF(A1211=A1212,_xll.ciqfunctions.udf.CIQ(A1203,"IQ_CASH_OPER",IQ_FY-1), _xll.ciqfunctions.udf.CIQ(A1203, "IQ_CASH_OPER",IQ_FY))</f>
        <v>243.40600000000001</v>
      </c>
      <c r="K1212" s="17">
        <f>IF(A1211=A1212,_xll.ciqfunctions.udf.CIQ(A1203,"IQ_CAPEX",IQ_FY-1), _xll.ciqfunctions.udf.CIQ(A1203, "IQ_CAPEX",IQ_FY))</f>
        <v>-19.667000000000002</v>
      </c>
      <c r="L1212" s="15">
        <f t="shared" si="320"/>
        <v>1.296765247695209</v>
      </c>
      <c r="M1212" s="17">
        <f>IF(A1211=A1212,_xll.ciqfunctions.udf.CIQ(A1203,"IQ_TOTAL_DEBT_ISSUED",IQ_FY-1), _xll.ciqfunctions.udf.CIQ(A1203, "IQ_TOTAL_DEBT_ISSUED",IQ_FY))</f>
        <v>0</v>
      </c>
      <c r="N1212" s="17">
        <f>IF(A1211=A1212,_xll.ciqfunctions.udf.CIQ(A1203,"IQ_TOTAL_DEBT_REPAID",IQ_FY-1), _xll.ciqfunctions.udf.CIQ(A1203, "IQ_TOTAL_DEBT_REPAID",IQ_FY))</f>
        <v>0</v>
      </c>
      <c r="O1212" s="15">
        <f t="shared" si="321"/>
        <v>0</v>
      </c>
      <c r="P1212" s="15">
        <f t="shared" si="322"/>
        <v>1.296765247695209</v>
      </c>
      <c r="Q1212" s="25" t="s">
        <v>44</v>
      </c>
      <c r="R1212" s="38" t="s">
        <v>35</v>
      </c>
      <c r="S1212" s="1">
        <f>_xll.ciqfunctions.udf.CIQ(A1203,"IQ_TEV_EBITDA")</f>
        <v>29.72578</v>
      </c>
      <c r="U1212" s="25" t="s">
        <v>55</v>
      </c>
      <c r="V1212" s="38" t="s">
        <v>53</v>
      </c>
      <c r="W1212" s="1">
        <f>V1202/(AVERAGE(D1208:D1213)/_xlfn.STDEV.P(E1208:E1213))</f>
        <v>1.0295551602701023</v>
      </c>
      <c r="Y1212" s="25" t="s">
        <v>57</v>
      </c>
      <c r="Z1212" s="38" t="s">
        <v>53</v>
      </c>
      <c r="AA1212" s="1">
        <f>Z1202/(AVERAGE(D1208:D1213)/_xlfn.STDEV.P(E1208:E1213))</f>
        <v>1.0295551602701023</v>
      </c>
    </row>
    <row r="1213" spans="1:27">
      <c r="B1213" s="13">
        <v>11</v>
      </c>
      <c r="C1213" s="20" t="s">
        <v>36</v>
      </c>
      <c r="D1213" s="21" cm="1">
        <f t="array" ref="D1213">_xlfn.SINGLE(IF(A1211=A1212,_xll.ciqfunctions.udf.CIQ(A1203,"IQ_TOTAL_REV",IQ_FY)/I1213, _xll.ciqfunctions.udf.CIQ(A1203, "IQ_TOTAL_REV",IQ_LTM)/I1213))</f>
        <v>5.1138568144490399</v>
      </c>
      <c r="E1213" s="22">
        <f t="shared" si="323"/>
        <v>-0.12301521070340139</v>
      </c>
      <c r="F1213" s="21">
        <f>IF(A1211=A1212,_xll.ciqfunctions.udf.CIQ(A1203,"IQ_DILUT_EPS_EXCL",IQ_FY), _xll.ciqfunctions.udf.CIQ(A1203, "IQ_DILUT_EPS_EXCL",IQ_LTM))</f>
        <v>0.91017000000000003</v>
      </c>
      <c r="G1213" s="21">
        <f>IF(A1211=A1212,_xll.ciqfunctions.udf.CIQ(A1203,"IQ_EBITDA_MARGIN",IQ_FY), _xll.ciqfunctions.udf.CIQ(A1203, "IQ_EBITDA_MARGIN",IQ_LTM))</f>
        <v>21.488299999999999</v>
      </c>
      <c r="H1213" s="21">
        <f>IF(A1211=A1212,_xll.ciqfunctions.udf.CIQ(A1203,"IQ_TOTAL_DIV_PAID_CF",IQ_FY)/-I1213, _xll.ciqfunctions.udf.CIQ(A1203, "IQ_TOTAL_DIV_PAID_CF",IQ_LTM)/-I1213)</f>
        <v>0.28054149917663951</v>
      </c>
      <c r="I1213" s="23">
        <f>IF(A1211=A1212,_xll.ciqfunctions.udf.CIQ(A1203,"IQ_TOTAL_OUTSTANDING_FILING_DATE",IQ_FY),_xll.ciqfunctions.udf.CIQ(A1203,"IQ_sharesoutstanding"))</f>
        <v>172.14209</v>
      </c>
      <c r="J1213" s="23">
        <f>IF(A1211=A1212,_xll.ciqfunctions.udf.CIQ(A1203,"IQ_CASH_OPER",IQ_FY), _xll.ciqfunctions.udf.CIQ(A1203, "IQ_CASH_OPER",IQ_LTM))</f>
        <v>164.68199999999999</v>
      </c>
      <c r="K1213" s="23">
        <f>IF(A1211=A1212,_xll.ciqfunctions.udf.CIQ(A1203,"IQ_CAPEX",IQ_FY), _xll.ciqfunctions.udf.CIQ(A1203, "IQ_CAPEX",IQ_LTM))</f>
        <v>-20.123999999999999</v>
      </c>
      <c r="L1213" s="21">
        <f t="shared" si="320"/>
        <v>0.83975975892938204</v>
      </c>
      <c r="M1213" s="23">
        <f>IF(A1211=A1212,_xll.ciqfunctions.udf.CIQ(A1203,"IQ_TOTAL_DEBT_ISSUED",IQ_FY), _xll.ciqfunctions.udf.CIQ(A1203, "IQ_TOTAL_DEBT_ISSUED",IQ_LTM))</f>
        <v>0</v>
      </c>
      <c r="N1213" s="23">
        <f>IF(A1211=A1212,_xll.ciqfunctions.udf.CIQ(A1203,"IQ_TOTAL_DEBT_REPAID",IQ_FY), _xll.ciqfunctions.udf.CIQ(A1203, "IQ_TOTAL_DEBT_REPAID",IQ_LTM))</f>
        <v>0</v>
      </c>
      <c r="O1213" s="21">
        <f t="shared" si="321"/>
        <v>0</v>
      </c>
      <c r="P1213" s="21">
        <f t="shared" si="322"/>
        <v>0.83975975892938204</v>
      </c>
      <c r="Q1213" s="25" t="s">
        <v>45</v>
      </c>
      <c r="S1213" s="45"/>
      <c r="U1213" s="25"/>
      <c r="W1213" s="45"/>
      <c r="Y1213" s="25"/>
      <c r="AA1213" s="45"/>
    </row>
    <row r="1214" spans="1:27">
      <c r="B1214" s="24"/>
      <c r="C1214" s="25" t="s">
        <v>37</v>
      </c>
      <c r="E1214" s="26">
        <f>((D1213/D1208)^(1/5))-1</f>
        <v>1.6154717041892974E-2</v>
      </c>
      <c r="F1214" s="27">
        <f>((F1213/F1208)^(1/5))-1</f>
        <v>-5.9973349636788131E-2</v>
      </c>
      <c r="G1214" s="28"/>
      <c r="H1214" s="27">
        <f>((H1213/H1208)^(1/5))-1</f>
        <v>8.5051091844493998E-2</v>
      </c>
      <c r="I1214" s="27">
        <f>((I1213/I1208)^(1/5))-1</f>
        <v>1.5297725393006445E-3</v>
      </c>
      <c r="J1214" s="27"/>
      <c r="K1214" s="27"/>
      <c r="L1214" s="26">
        <f>((L1213/L1208)^(1/5))-1</f>
        <v>-5.0981916852607667E-2</v>
      </c>
      <c r="M1214" s="26"/>
      <c r="N1214" s="26"/>
      <c r="O1214" s="26"/>
      <c r="P1214" s="26">
        <f>((P1213/P1208)^(1/5))-1</f>
        <v>-5.0981916852607667E-2</v>
      </c>
      <c r="Q1214" s="18"/>
      <c r="R1214" s="36"/>
      <c r="S1214" s="45"/>
      <c r="U1214" s="18"/>
      <c r="V1214" s="36"/>
      <c r="W1214" s="45"/>
      <c r="Y1214" s="18"/>
      <c r="Z1214" s="36"/>
      <c r="AA1214" s="45"/>
    </row>
    <row r="1215" spans="1:27">
      <c r="A1215" s="29"/>
      <c r="B1215" s="30"/>
      <c r="C1215" s="31" t="s">
        <v>38</v>
      </c>
      <c r="D1215" s="29"/>
      <c r="E1215" s="32">
        <f>((D1213/D1203)^(1/10))-1</f>
        <v>0.11185554178121748</v>
      </c>
      <c r="F1215" s="33">
        <f>((F1213/F1203)^(1/10))-1</f>
        <v>9.1274210829802138E-2</v>
      </c>
      <c r="G1215" s="34"/>
      <c r="H1215" s="33" t="e">
        <f>((H1213/H1203)^(1/10))-1</f>
        <v>#DIV/0!</v>
      </c>
      <c r="I1215" s="33">
        <f>((I1213/I1203)^(1/10))-1</f>
        <v>-8.9906506423420574E-4</v>
      </c>
      <c r="J1215" s="33"/>
      <c r="K1215" s="33"/>
      <c r="L1215" s="32">
        <f>((L1213/L1203)^(1/10))-1</f>
        <v>5.4468150051734776E-2</v>
      </c>
      <c r="M1215" s="32"/>
      <c r="N1215" s="32"/>
      <c r="O1215" s="32"/>
      <c r="P1215" s="32">
        <f>((P1213/P1203)^(1/10))-1</f>
        <v>5.4468150051734776E-2</v>
      </c>
      <c r="Q1215" s="40"/>
      <c r="R1215" s="41"/>
      <c r="S1215" s="46"/>
      <c r="U1215" s="40"/>
      <c r="V1215" s="41"/>
      <c r="W1215" s="46"/>
      <c r="Y1215" s="40"/>
      <c r="Z1215" s="41"/>
      <c r="AA1215" s="46"/>
    </row>
    <row r="1216" spans="1:27">
      <c r="B1216" s="24"/>
      <c r="C1216" s="25"/>
      <c r="E1216" s="26"/>
      <c r="F1216" s="27"/>
      <c r="G1216" s="28"/>
      <c r="H1216" s="27"/>
      <c r="I1216" s="27"/>
      <c r="J1216" s="27"/>
      <c r="K1216" s="27"/>
      <c r="L1216" s="26"/>
      <c r="M1216" s="17"/>
      <c r="N1216" s="17"/>
      <c r="O1216" s="17"/>
      <c r="P1216" s="35"/>
      <c r="Q1216" s="18"/>
      <c r="R1216" s="36"/>
    </row>
    <row r="1217" spans="1:27">
      <c r="A1217" s="9" t="s">
        <v>0</v>
      </c>
      <c r="B1217" s="10"/>
      <c r="C1217" s="9" t="s">
        <v>1</v>
      </c>
      <c r="D1217" s="9" t="s">
        <v>2</v>
      </c>
      <c r="E1217" s="9" t="s">
        <v>3</v>
      </c>
      <c r="F1217" s="11" t="s">
        <v>4</v>
      </c>
      <c r="G1217" s="11" t="s">
        <v>5</v>
      </c>
      <c r="H1217" s="9" t="s">
        <v>6</v>
      </c>
      <c r="I1217" s="11" t="s">
        <v>7</v>
      </c>
      <c r="J1217" s="11" t="s">
        <v>8</v>
      </c>
      <c r="K1217" s="11" t="s">
        <v>9</v>
      </c>
      <c r="L1217" s="11" t="s">
        <v>10</v>
      </c>
      <c r="M1217" s="11" t="s">
        <v>11</v>
      </c>
      <c r="N1217" s="11" t="s">
        <v>12</v>
      </c>
      <c r="O1217" s="11" t="s">
        <v>13</v>
      </c>
      <c r="P1217" s="11" t="s">
        <v>14</v>
      </c>
      <c r="Q1217" s="37" t="s">
        <v>15</v>
      </c>
      <c r="R1217" s="42">
        <f>_xll.ciqfunctions.udf.CIQ(A1218,("IQ_LASTSALEPRICE"))</f>
        <v>131.89500000000001</v>
      </c>
      <c r="S1217" s="44"/>
      <c r="U1217" s="37" t="s">
        <v>15</v>
      </c>
      <c r="V1217" s="42">
        <f>_xll.ciqfunctions.udf.CIQ(A1218,("IQ_LASTSALEPRICE"))</f>
        <v>131.89500000000001</v>
      </c>
      <c r="W1217" s="44"/>
      <c r="Y1217" s="37" t="s">
        <v>15</v>
      </c>
      <c r="Z1217" s="42">
        <f>_xll.ciqfunctions.udf.CIQ(A1218,("IQ_LASTSALEPRICE"))</f>
        <v>131.89500000000001</v>
      </c>
      <c r="AA1217" s="44"/>
    </row>
    <row r="1218" spans="1:27">
      <c r="A1218" s="12" t="str">
        <f>Analysis!B83</f>
        <v>NYSE:JBL</v>
      </c>
      <c r="B1218" s="13">
        <v>1</v>
      </c>
      <c r="C1218" s="14" t="s">
        <v>16</v>
      </c>
      <c r="D1218" s="15">
        <f>IF(A1226=A1227,_xll.ciqfunctions.udf.CIQ(A1218,"IQ_TOTAL_REV",IQ_FY-10)/I1218,_xll.ciqfunctions.udf.CIQ(A1218, "IQ_TOTAL_REV",IQ_FY-9)/I1218)</f>
        <v>84.903681694272493</v>
      </c>
      <c r="E1218" s="16"/>
      <c r="F1218" s="15">
        <f>IF(A1226=A1227,_xll.ciqfunctions.udf.CIQ(A1218,"IQ_DILUT_EPS_EXCL",IQ_FY-10), _xll.ciqfunctions.udf.CIQ(A1218, "IQ_DILUT_EPS_EXCL",IQ_FY-9))</f>
        <v>1.54</v>
      </c>
      <c r="G1218" s="15">
        <f>IF(A1226=A1227,_xll.ciqfunctions.udf.CIQ(A1218,"IQ_EBITDA_MARGIN",IQ_FY-10), _xll.ciqfunctions.udf.CIQ(A1218, "IQ_EBITDA_MARGIN",IQ_FY-9))</f>
        <v>5.6618000000000004</v>
      </c>
      <c r="H1218" s="15">
        <f>IF(A1226=A1227,_xll.ciqfunctions.udf.CIQ(A1218,"IQ_TOTAL_DIV_PAID_CF",IQ_FY-10)/-I1218, _xll.ciqfunctions.udf.CIQ(A1218, "IQ_TOTAL_DIV_PAID_CF",IQ_FY-9)/-I1218)</f>
        <v>0.33067141393100197</v>
      </c>
      <c r="I1218" s="17">
        <f>IF(A1226=A1227,_xll.ciqfunctions.udf.CIQ(A1218,"IQ_TOTAL_OUTSTANDING_FILING_DATE",IQ_FY-10), _xll.ciqfunctions.udf.CIQ(A1218, "IQ_TOTAL_OUTSTANDING_FILING_DATE",IQ_FY-9))</f>
        <v>203.16542999999999</v>
      </c>
      <c r="J1218" s="17">
        <f>IF(A1226=A1227,_xll.ciqfunctions.udf.CIQ(A1218,"IQ_CASH_OPER",IQ_FY-10), _xll.ciqfunctions.udf.CIQ(A1218, "IQ_CASH_OPER",IQ_FY-9))</f>
        <v>1213.8889999999999</v>
      </c>
      <c r="K1218" s="17">
        <f>IF(A1226=A1227,_xll.ciqfunctions.udf.CIQ(A1218,"IQ_CAPEX",IQ_FY-10), _xll.ciqfunctions.udf.CIQ(A1218, "IQ_CAPEX",IQ_FY-9))</f>
        <v>-736.85799999999995</v>
      </c>
      <c r="L1218" s="15">
        <f t="shared" ref="L1218:L1228" si="324">(J1218+K1218)/I1218</f>
        <v>2.3479929631729175</v>
      </c>
      <c r="M1218" s="17">
        <f>IF(A1226=A1227,_xll.ciqfunctions.udf.CIQ(A1218,"IQ_TOTAL_DEBT_ISSUED",IQ_FY-10), _xll.ciqfunctions.udf.CIQ(A1218, "IQ_TOTAL_DEBT_ISSUED",IQ_FY-9))</f>
        <v>5764.4</v>
      </c>
      <c r="N1218" s="17">
        <f>IF(A1226=A1227,_xll.ciqfunctions.udf.CIQ(A1218,"IQ_TOTAL_DEBT_REPAID",IQ_FY-10), _xll.ciqfunctions.udf.CIQ(A1218, "IQ_TOTAL_DEBT_REPAID",IQ_FY-9))</f>
        <v>-5586.7380000000003</v>
      </c>
      <c r="O1218" s="15">
        <f t="shared" ref="O1218:O1228" si="325">(M1218+N1218)/I1218</f>
        <v>0.87446963787096732</v>
      </c>
      <c r="P1218" s="15">
        <f t="shared" ref="P1218:P1228" si="326">L1218+O1218</f>
        <v>3.222462601043885</v>
      </c>
      <c r="W1218" s="43"/>
      <c r="AA1218" s="43"/>
    </row>
    <row r="1219" spans="1:27">
      <c r="A1219" s="18" t="str">
        <f>_xll.ciqfunctions.udf.CIQ(A1218,"IQ_COMPANY_NAME")</f>
        <v>Jabil Inc.</v>
      </c>
      <c r="B1219" s="13">
        <v>2</v>
      </c>
      <c r="C1219" s="14" t="s">
        <v>17</v>
      </c>
      <c r="D1219" s="15">
        <f>IF(A1226=A1227,_xll.ciqfunctions.udf.CIQ(A1218,"IQ_TOTAL_REV",IQ_FY-9)/I1219, _xll.ciqfunctions.udf.CIQ(A1218, "IQ_TOTAL_REV",IQ_FY-8)/I1219)</f>
        <v>81.502829588427971</v>
      </c>
      <c r="E1219" s="16">
        <f t="shared" ref="E1219:E1228" si="327">(D1219-D1218)/D1218</f>
        <v>-4.0055413828702542E-2</v>
      </c>
      <c r="F1219" s="15">
        <f>IF(A1226=A1227,_xll.ciqfunctions.udf.CIQ(A1218,"IQ_DILUT_EPS_EXCL",IQ_FY-9), _xll.ciqfunctions.udf.CIQ(A1218, "IQ_DILUT_EPS_EXCL",IQ_FY-8))</f>
        <v>-1.2540000000000001E-2</v>
      </c>
      <c r="G1219" s="15">
        <f>IF(A1226=A1227,_xll.ciqfunctions.udf.CIQ(A1218,"IQ_EBITDA_MARGIN",IQ_FY-9), _xll.ciqfunctions.udf.CIQ(A1218, "IQ_EBITDA_MARGIN",IQ_FY-8))</f>
        <v>4.9782000000000002</v>
      </c>
      <c r="H1219" s="15">
        <f>IF(A1226=A1227,_xll.ciqfunctions.udf.CIQ(A1218,"IQ_TOTAL_DIV_PAID_CF",IQ_FY-9)/-I1219, _xll.ciqfunctions.udf.CIQ(A1218, "IQ_TOTAL_DIV_PAID_CF",IQ_FY-8)/-I1219)</f>
        <v>0.35270511445943087</v>
      </c>
      <c r="I1219" s="17">
        <f>IF(A1226=A1227,_xll.ciqfunctions.udf.CIQ(A1218,"IQ_TOTAL_OUTSTANDING_FILING_DATE",IQ_FY-9), _xll.ciqfunctions.udf.CIQ(A1218, "IQ_TOTAL_OUTSTANDING_FILING_DATE",IQ_FY-8))</f>
        <v>193.39384999999999</v>
      </c>
      <c r="J1219" s="17">
        <f>IF(A1226=A1227,_xll.ciqfunctions.udf.CIQ(A1218,"IQ_CASH_OPER",IQ_FY-9), _xll.ciqfunctions.udf.CIQ(A1218, "IQ_CASH_OPER",IQ_FY-8))</f>
        <v>499.63900000000001</v>
      </c>
      <c r="K1219" s="17">
        <f>IF(A1226=A1227,_xll.ciqfunctions.udf.CIQ(A1218,"IQ_CAPEX",IQ_FY-9), _xll.ciqfunctions.udf.CIQ(A1218, "IQ_CAPEX",IQ_FY-8))</f>
        <v>-624.05999999999995</v>
      </c>
      <c r="L1219" s="15">
        <f t="shared" si="324"/>
        <v>-0.64335551518313505</v>
      </c>
      <c r="M1219" s="17">
        <f>IF(A1226=A1227,_xll.ciqfunctions.udf.CIQ(A1218,"IQ_TOTAL_DEBT_ISSUED",IQ_FY-9), _xll.ciqfunctions.udf.CIQ(A1218, "IQ_TOTAL_DEBT_ISSUED",IQ_FY-8))</f>
        <v>6175.9530000000004</v>
      </c>
      <c r="N1219" s="17">
        <f>IF(A1226=A1227,_xll.ciqfunctions.udf.CIQ(A1218,"IQ_TOTAL_DEBT_REPAID",IQ_FY-9), _xll.ciqfunctions.udf.CIQ(A1218, "IQ_TOTAL_DEBT_REPAID",IQ_FY-8))</f>
        <v>-6400.0889999999999</v>
      </c>
      <c r="O1219" s="15">
        <f t="shared" si="325"/>
        <v>-1.1589613630423072</v>
      </c>
      <c r="P1219" s="15">
        <f t="shared" si="326"/>
        <v>-1.8023168782254424</v>
      </c>
      <c r="Q1219" s="25" t="s">
        <v>18</v>
      </c>
      <c r="R1219" s="39" t="s">
        <v>19</v>
      </c>
      <c r="S1219" s="1">
        <f>R1217/((AVERAGE(P1223:P1228))*(1+E1229)^3)</f>
        <v>244.06022632021802</v>
      </c>
      <c r="U1219" s="25" t="s">
        <v>48</v>
      </c>
      <c r="V1219" s="39" t="s">
        <v>19</v>
      </c>
      <c r="W1219" s="1">
        <f>V1217/((AVERAGE(P1223:P1228))*(1+E1229)^3)</f>
        <v>244.06022632021802</v>
      </c>
      <c r="Y1219" s="25" t="s">
        <v>39</v>
      </c>
      <c r="Z1219" s="39" t="s">
        <v>19</v>
      </c>
      <c r="AA1219" s="1">
        <f>Z1217/((AVERAGE(P1223:P1228))*(1+E1229)^3)</f>
        <v>244.06022632021802</v>
      </c>
    </row>
    <row r="1220" spans="1:27">
      <c r="B1220" s="13">
        <v>3</v>
      </c>
      <c r="C1220" s="14" t="s">
        <v>20</v>
      </c>
      <c r="D1220" s="15" cm="1">
        <f t="array" ref="D1220">_xlfn.SINGLE(IF(A1226=A1227,_xll.ciqfunctions.udf.CIQ(A1218,"IQ_TOTAL_REV",IQ_FY-8)/I1220, _xll.ciqfunctions.udf.CIQ(A1218, "IQ_TOTAL_REV",IQ_FY-7)/I1220))</f>
        <v>94.568022399785633</v>
      </c>
      <c r="E1220" s="16">
        <f t="shared" si="327"/>
        <v>0.16030354869069108</v>
      </c>
      <c r="F1220" s="15">
        <f>IF(A1226=A1227,_xll.ciqfunctions.udf.CIQ(A1218,"IQ_DILUT_EPS_EXCL",IQ_FY-8), _xll.ciqfunctions.udf.CIQ(A1218, "IQ_DILUT_EPS_EXCL",IQ_FY-7))</f>
        <v>1.49</v>
      </c>
      <c r="G1220" s="15">
        <f>IF(A1226=A1227,_xll.ciqfunctions.udf.CIQ(A1218,"IQ_EBITDA_MARGIN",IQ_FY-8), _xll.ciqfunctions.udf.CIQ(A1218, "IQ_EBITDA_MARGIN",IQ_FY-7))</f>
        <v>6.2441000000000004</v>
      </c>
      <c r="H1220" s="15">
        <f>IF(A1226=A1227,_xll.ciqfunctions.udf.CIQ(A1218,"IQ_TOTAL_DIV_PAID_CF",IQ_FY-8)/-I1220, _xll.ciqfunctions.udf.CIQ(A1218, "IQ_TOTAL_DIV_PAID_CF",IQ_FY-7)/-I1220)</f>
        <v>0.33358122891540293</v>
      </c>
      <c r="I1220" s="17">
        <f>IF(A1226=A1227,_xll.ciqfunctions.udf.CIQ(A1218,"IQ_TOTAL_OUTSTANDING_FILING_DATE",IQ_FY-8), _xll.ciqfunctions.udf.CIQ(A1218, "IQ_TOTAL_OUTSTANDING_FILING_DATE",IQ_FY-7))</f>
        <v>189.27323999999999</v>
      </c>
      <c r="J1220" s="17">
        <f>IF(A1226=A1227,_xll.ciqfunctions.udf.CIQ(A1218,"IQ_CASH_OPER",IQ_FY-8), _xll.ciqfunctions.udf.CIQ(A1218, "IQ_CASH_OPER",IQ_FY-7))</f>
        <v>1240.528</v>
      </c>
      <c r="K1220" s="17">
        <f>IF(A1226=A1227,_xll.ciqfunctions.udf.CIQ(A1218,"IQ_CAPEX",IQ_FY-8), _xll.ciqfunctions.udf.CIQ(A1218, "IQ_CAPEX",IQ_FY-7))</f>
        <v>-963.14499999999998</v>
      </c>
      <c r="L1220" s="15">
        <f t="shared" si="324"/>
        <v>1.4655162029244073</v>
      </c>
      <c r="M1220" s="17">
        <f>IF(A1226=A1227,_xll.ciqfunctions.udf.CIQ(A1218,"IQ_TOTAL_DEBT_ISSUED",IQ_FY-8), _xll.ciqfunctions.udf.CIQ(A1218, "IQ_TOTAL_DEBT_ISSUED",IQ_FY-7))</f>
        <v>5966.9369999999999</v>
      </c>
      <c r="N1220" s="17">
        <f>IF(A1226=A1227,_xll.ciqfunctions.udf.CIQ(A1218,"IQ_TOTAL_DEBT_REPAID",IQ_FY-8), _xll.ciqfunctions.udf.CIQ(A1218, "IQ_TOTAL_DEBT_REPAID",IQ_FY-7))</f>
        <v>-5988.232</v>
      </c>
      <c r="O1220" s="15">
        <f t="shared" si="325"/>
        <v>-0.11250930136769506</v>
      </c>
      <c r="P1220" s="15">
        <f t="shared" si="326"/>
        <v>1.3530069015567123</v>
      </c>
      <c r="Q1220" s="25" t="s">
        <v>21</v>
      </c>
      <c r="R1220" s="38" t="s">
        <v>49</v>
      </c>
      <c r="S1220" s="2">
        <f>(R1217*I1228)/1000</f>
        <v>16.8753136887</v>
      </c>
      <c r="U1220" s="25" t="s">
        <v>59</v>
      </c>
      <c r="V1220" s="38" t="s">
        <v>49</v>
      </c>
      <c r="W1220" s="2">
        <f>(V1217*I1228)/1000</f>
        <v>16.8753136887</v>
      </c>
      <c r="Y1220" s="25" t="s">
        <v>46</v>
      </c>
      <c r="Z1220" s="38" t="s">
        <v>49</v>
      </c>
      <c r="AA1220" s="2">
        <f>(Z1217*I1228)/1000</f>
        <v>16.8753136887</v>
      </c>
    </row>
    <row r="1221" spans="1:27">
      <c r="A1221" s="18"/>
      <c r="B1221" s="13">
        <v>4</v>
      </c>
      <c r="C1221" s="14" t="s">
        <v>22</v>
      </c>
      <c r="D1221" s="15" cm="1">
        <f t="array" ref="D1221">_xlfn.SINGLE(IF(A1226=A1227,_xll.ciqfunctions.udf.CIQ(A1218,"IQ_TOTAL_REV",IQ_FY-7)/I1221, _xll.ciqfunctions.udf.CIQ(A1218, "IQ_TOTAL_REV",IQ_FY-6)/I1221))</f>
        <v>98.895978385566949</v>
      </c>
      <c r="E1221" s="16">
        <f t="shared" si="327"/>
        <v>4.5765533379612325E-2</v>
      </c>
      <c r="F1221" s="15">
        <f>IF(A1226=A1227,_xll.ciqfunctions.udf.CIQ(A1218,"IQ_DILUT_EPS_EXCL",IQ_FY-7), _xll.ciqfunctions.udf.CIQ(A1218, "IQ_DILUT_EPS_EXCL",IQ_FY-6))</f>
        <v>1.32</v>
      </c>
      <c r="G1221" s="15">
        <f>IF(A1226=A1227,_xll.ciqfunctions.udf.CIQ(A1218,"IQ_EBITDA_MARGIN",IQ_FY-7), _xll.ciqfunctions.udf.CIQ(A1218, "IQ_EBITDA_MARGIN",IQ_FY-6))</f>
        <v>6.7069999999999999</v>
      </c>
      <c r="H1221" s="15">
        <f>IF(A1226=A1227,_xll.ciqfunctions.udf.CIQ(A1218,"IQ_TOTAL_DIV_PAID_CF",IQ_FY-7)/-I1221, _xll.ciqfunctions.udf.CIQ(A1218, "IQ_TOTAL_DIV_PAID_CF",IQ_FY-6)/-I1221)</f>
        <v>0.33643765993802122</v>
      </c>
      <c r="I1221" s="17">
        <f>IF(A1226=A1227,_xll.ciqfunctions.udf.CIQ(A1218,"IQ_TOTAL_OUTSTANDING_FILING_DATE",IQ_FY-7), _xll.ciqfunctions.udf.CIQ(A1218, "IQ_TOTAL_OUTSTANDING_FILING_DATE",IQ_FY-6))</f>
        <v>185.5797</v>
      </c>
      <c r="J1221" s="17">
        <f>IF(A1226=A1227,_xll.ciqfunctions.udf.CIQ(A1218,"IQ_CASH_OPER",IQ_FY-7), _xll.ciqfunctions.udf.CIQ(A1218, "IQ_CASH_OPER",IQ_FY-6))</f>
        <v>916.20699999999999</v>
      </c>
      <c r="K1221" s="17">
        <f>IF(A1226=A1227,_xll.ciqfunctions.udf.CIQ(A1218,"IQ_CAPEX",IQ_FY-7), _xll.ciqfunctions.udf.CIQ(A1218, "IQ_CAPEX",IQ_FY-6))</f>
        <v>-924.23900000000003</v>
      </c>
      <c r="L1221" s="15">
        <f t="shared" si="324"/>
        <v>-4.3280595884140557E-2</v>
      </c>
      <c r="M1221" s="17">
        <f>IF(A1226=A1227,_xll.ciqfunctions.udf.CIQ(A1218,"IQ_TOTAL_DEBT_ISSUED",IQ_FY-7), _xll.ciqfunctions.udf.CIQ(A1218, "IQ_TOTAL_DEBT_ISSUED",IQ_FY-6))</f>
        <v>6904.2150000000001</v>
      </c>
      <c r="N1221" s="17">
        <f>IF(A1226=A1227,_xll.ciqfunctions.udf.CIQ(A1218,"IQ_TOTAL_DEBT_REPAID",IQ_FY-7), _xll.ciqfunctions.udf.CIQ(A1218, "IQ_TOTAL_DEBT_REPAID",IQ_FY-6))</f>
        <v>-6445.9219999999996</v>
      </c>
      <c r="O1221" s="15">
        <f t="shared" si="325"/>
        <v>2.4695211814654328</v>
      </c>
      <c r="P1221" s="15">
        <f t="shared" si="326"/>
        <v>2.4262405855812923</v>
      </c>
      <c r="Q1221" s="25" t="s">
        <v>23</v>
      </c>
      <c r="R1221" s="38" t="s">
        <v>24</v>
      </c>
      <c r="S1221" s="1">
        <f>R1217/(AVERAGE(H1223:H1228)*(1+H1229)/(0.5-H1229))</f>
        <v>191.16861094839538</v>
      </c>
      <c r="U1221" s="25" t="s">
        <v>40</v>
      </c>
      <c r="V1221" s="38" t="s">
        <v>24</v>
      </c>
      <c r="W1221" s="1">
        <f>V1217/(AVERAGE(H1223:H1228)*(1+H1229)/(0.5-H1229))</f>
        <v>191.16861094839538</v>
      </c>
      <c r="Y1221" s="25" t="s">
        <v>47</v>
      </c>
      <c r="Z1221" s="38" t="s">
        <v>24</v>
      </c>
      <c r="AA1221" s="1">
        <f>Z1217/(AVERAGE(H1223:H1228)*(1+H1229)/(0.5-H1229))</f>
        <v>191.16861094839538</v>
      </c>
    </row>
    <row r="1222" spans="1:27">
      <c r="B1222" s="13">
        <v>5</v>
      </c>
      <c r="C1222" s="14" t="s">
        <v>25</v>
      </c>
      <c r="D1222" s="15" cm="1">
        <f t="array" ref="D1222">_xlfn.SINGLE(IF(A1226=A1227,_xll.ciqfunctions.udf.CIQ(A1218,"IQ_TOTAL_REV",IQ_FY-6)/I1222, _xll.ciqfunctions.udf.CIQ(A1218, "IQ_TOTAL_REV",IQ_FY-5)/I1222))</f>
        <v>107.91885445850984</v>
      </c>
      <c r="E1222" s="16">
        <f t="shared" si="327"/>
        <v>9.1236026178590363E-2</v>
      </c>
      <c r="F1222" s="15">
        <f>IF(A1226=A1227,_xll.ciqfunctions.udf.CIQ(A1218,"IQ_DILUT_EPS_EXCL",IQ_FY-6), _xll.ciqfunctions.udf.CIQ(A1218, "IQ_DILUT_EPS_EXCL",IQ_FY-5))</f>
        <v>0.69</v>
      </c>
      <c r="G1222" s="15">
        <f>IF(A1226=A1227,_xll.ciqfunctions.udf.CIQ(A1218,"IQ_EBITDA_MARGIN",IQ_FY-6), _xll.ciqfunctions.udf.CIQ(A1218, "IQ_EBITDA_MARGIN",IQ_FY-5))</f>
        <v>6.9828000000000001</v>
      </c>
      <c r="H1222" s="15">
        <f>IF(A1226=A1227,_xll.ciqfunctions.udf.CIQ(A1218,"IQ_TOTAL_DIV_PAID_CF",IQ_FY-6)/-I1222, _xll.ciqfunctions.udf.CIQ(A1218, "IQ_TOTAL_DIV_PAID_CF",IQ_FY-5)/-I1222)</f>
        <v>0.33943584549863537</v>
      </c>
      <c r="I1222" s="17">
        <f>IF(A1226=A1227,_xll.ciqfunctions.udf.CIQ(A1218,"IQ_TOTAL_OUTSTANDING_FILING_DATE",IQ_FY-6), _xll.ciqfunctions.udf.CIQ(A1218, "IQ_TOTAL_OUTSTANDING_FILING_DATE",IQ_FY-5))</f>
        <v>176.6431</v>
      </c>
      <c r="J1222" s="17">
        <f>IF(A1226=A1227,_xll.ciqfunctions.udf.CIQ(A1218,"IQ_CASH_OPER",IQ_FY-6), _xll.ciqfunctions.udf.CIQ(A1218, "IQ_CASH_OPER",IQ_FY-5))</f>
        <v>-1464.085</v>
      </c>
      <c r="K1222" s="17">
        <f>IF(A1226=A1227,_xll.ciqfunctions.udf.CIQ(A1218,"IQ_CAPEX",IQ_FY-6), _xll.ciqfunctions.udf.CIQ(A1218, "IQ_CAPEX",IQ_FY-5))</f>
        <v>-716.48500000000001</v>
      </c>
      <c r="L1222" s="15">
        <f t="shared" si="324"/>
        <v>-12.344495765755923</v>
      </c>
      <c r="M1222" s="17">
        <f>IF(A1226=A1227,_xll.ciqfunctions.udf.CIQ(A1218,"IQ_TOTAL_DEBT_ISSUED",IQ_FY-6), _xll.ciqfunctions.udf.CIQ(A1218, "IQ_TOTAL_DEBT_ISSUED",IQ_FY-5))</f>
        <v>7434.107</v>
      </c>
      <c r="N1222" s="17">
        <f>IF(A1226=A1227,_xll.ciqfunctions.udf.CIQ(A1218,"IQ_TOTAL_DEBT_REPAID",IQ_FY-6), _xll.ciqfunctions.udf.CIQ(A1218, "IQ_TOTAL_DEBT_REPAID",IQ_FY-5))</f>
        <v>-7479.15</v>
      </c>
      <c r="O1222" s="15">
        <f t="shared" si="325"/>
        <v>-0.25499439264822493</v>
      </c>
      <c r="P1222" s="15">
        <f t="shared" si="326"/>
        <v>-12.599490158404148</v>
      </c>
      <c r="Q1222" s="18"/>
      <c r="R1222" s="38" t="s">
        <v>50</v>
      </c>
      <c r="S1222" s="3">
        <f>I1229</f>
        <v>-4.5959877627988477E-2</v>
      </c>
      <c r="U1222" s="18"/>
      <c r="V1222" s="38" t="s">
        <v>50</v>
      </c>
      <c r="W1222" s="3">
        <f>I1229</f>
        <v>-4.5959877627988477E-2</v>
      </c>
      <c r="Y1222" s="18"/>
      <c r="Z1222" s="38" t="s">
        <v>50</v>
      </c>
      <c r="AA1222" s="3">
        <f>I1229</f>
        <v>-4.5959877627988477E-2</v>
      </c>
    </row>
    <row r="1223" spans="1:27">
      <c r="B1223" s="13">
        <v>6</v>
      </c>
      <c r="C1223" s="14" t="s">
        <v>26</v>
      </c>
      <c r="D1223" s="15" cm="1">
        <f t="array" ref="D1223">_xlfn.SINGLE(IF(A1226=A1227,_xll.ciqfunctions.udf.CIQ(A1218,"IQ_TOTAL_REV",IQ_FY-5)/I1223, _xll.ciqfunctions.udf.CIQ(A1218, "IQ_TOTAL_REV",IQ_FY-4)/I1223))</f>
        <v>136.49346459109904</v>
      </c>
      <c r="E1223" s="16">
        <f t="shared" si="327"/>
        <v>0.26477866426551916</v>
      </c>
      <c r="F1223" s="15">
        <f>IF(A1226=A1227,_xll.ciqfunctions.udf.CIQ(A1218,"IQ_DILUT_EPS_EXCL",IQ_FY-5), _xll.ciqfunctions.udf.CIQ(A1218, "IQ_DILUT_EPS_EXCL",IQ_FY-4))</f>
        <v>0.49</v>
      </c>
      <c r="G1223" s="15">
        <f>IF(A1226=A1227,_xll.ciqfunctions.udf.CIQ(A1218,"IQ_EBITDA_MARGIN",IQ_FY-5), _xll.ciqfunctions.udf.CIQ(A1218, "IQ_EBITDA_MARGIN",IQ_FY-4))</f>
        <v>6.1974999999999998</v>
      </c>
      <c r="H1223" s="15">
        <f>IF(A1226=A1227,_xll.ciqfunctions.udf.CIQ(A1218,"IQ_TOTAL_DIV_PAID_CF",IQ_FY-5)/-I1223, _xll.ciqfunctions.udf.CIQ(A1218, "IQ_TOTAL_DIV_PAID_CF",IQ_FY-4)/-I1223)</f>
        <v>0.35726082449395979</v>
      </c>
      <c r="I1223" s="17">
        <f>IF(A1226=A1227,_xll.ciqfunctions.udf.CIQ(A1218,"IQ_TOTAL_OUTSTANDING_FILING_DATE",IQ_FY-5), _xll.ciqfunctions.udf.CIQ(A1218, "IQ_TOTAL_OUTSTANDING_FILING_DATE",IQ_FY-4))</f>
        <v>161.87893</v>
      </c>
      <c r="J1223" s="17">
        <f>IF(A1226=A1227,_xll.ciqfunctions.udf.CIQ(A1218,"IQ_CASH_OPER",IQ_FY-5), _xll.ciqfunctions.udf.CIQ(A1218, "IQ_CASH_OPER",IQ_FY-4))</f>
        <v>-1105.4480000000001</v>
      </c>
      <c r="K1223" s="17">
        <f>IF(A1226=A1227,_xll.ciqfunctions.udf.CIQ(A1218,"IQ_CAPEX",IQ_FY-5), _xll.ciqfunctions.udf.CIQ(A1218, "IQ_CAPEX",IQ_FY-4))</f>
        <v>-1036.6510000000001</v>
      </c>
      <c r="L1223" s="15">
        <f t="shared" si="324"/>
        <v>-13.232722751503239</v>
      </c>
      <c r="M1223" s="17">
        <f>IF(A1226=A1227,_xll.ciqfunctions.udf.CIQ(A1218,"IQ_TOTAL_DEBT_ISSUED",IQ_FY-5), _xll.ciqfunctions.udf.CIQ(A1218, "IQ_TOTAL_DEBT_ISSUED",IQ_FY-4))</f>
        <v>9677.4240000000009</v>
      </c>
      <c r="N1223" s="17">
        <f>IF(A1226=A1227,_xll.ciqfunctions.udf.CIQ(A1218,"IQ_TOTAL_DEBT_REPAID",IQ_FY-5), _xll.ciqfunctions.udf.CIQ(A1218, "IQ_TOTAL_DEBT_REPAID",IQ_FY-4))</f>
        <v>-9206.0159999999996</v>
      </c>
      <c r="O1223" s="15">
        <f t="shared" si="325"/>
        <v>2.9121022729764849</v>
      </c>
      <c r="P1223" s="15">
        <f t="shared" si="326"/>
        <v>-10.320620478526754</v>
      </c>
      <c r="Q1223" s="25" t="s">
        <v>27</v>
      </c>
      <c r="R1223" s="38" t="s">
        <v>51</v>
      </c>
      <c r="S1223" s="4">
        <f>AVERAGE(F1223:F1228)/AVERAGE(D1223:D1228)</f>
        <v>1.6671971380277126E-2</v>
      </c>
      <c r="U1223" s="25" t="s">
        <v>58</v>
      </c>
      <c r="V1223" s="38" t="s">
        <v>51</v>
      </c>
      <c r="W1223" s="4">
        <f>AVERAGE(F1223:F1228)/AVERAGE(D1223:D1228)</f>
        <v>1.6671971380277126E-2</v>
      </c>
      <c r="Y1223" s="25" t="s">
        <v>56</v>
      </c>
      <c r="Z1223" s="38" t="s">
        <v>51</v>
      </c>
      <c r="AA1223" s="4">
        <f>AVERAGE(F1223:F1228)/AVERAGE(D1223:D1228)</f>
        <v>1.6671971380277126E-2</v>
      </c>
    </row>
    <row r="1224" spans="1:27">
      <c r="A1224" s="18"/>
      <c r="B1224" s="13">
        <v>7</v>
      </c>
      <c r="C1224" s="14" t="s">
        <v>28</v>
      </c>
      <c r="D1224" s="15" cm="1">
        <f t="array" ref="D1224">_xlfn.SINGLE(IF(A1226=A1227,_xll.ciqfunctions.udf.CIQ(A1218,"IQ_TOTAL_REV",IQ_FY-4)/I1224, _xll.ciqfunctions.udf.CIQ(A1218, "IQ_TOTAL_REV",IQ_FY-3)/I1224))</f>
        <v>165.61371403656472</v>
      </c>
      <c r="E1224" s="16">
        <f t="shared" si="327"/>
        <v>0.21334537541927595</v>
      </c>
      <c r="F1224" s="15">
        <f>IF(A1226=A1227,_xll.ciqfunctions.udf.CIQ(A1218,"IQ_DILUT_EPS_EXCL",IQ_FY-4), _xll.ciqfunctions.udf.CIQ(A1218, "IQ_DILUT_EPS_EXCL",IQ_FY-3))</f>
        <v>1.81</v>
      </c>
      <c r="G1224" s="15">
        <f>IF(A1226=A1227,_xll.ciqfunctions.udf.CIQ(A1218,"IQ_EBITDA_MARGIN",IQ_FY-4), _xll.ciqfunctions.udf.CIQ(A1218, "IQ_EBITDA_MARGIN",IQ_FY-3))</f>
        <v>6.1426999999999996</v>
      </c>
      <c r="H1224" s="15">
        <f>IF(A1226=A1227,_xll.ciqfunctions.udf.CIQ(A1218,"IQ_TOTAL_DIV_PAID_CF",IQ_FY-4)/-I1224, _xll.ciqfunctions.udf.CIQ(A1218, "IQ_TOTAL_DIV_PAID_CF",IQ_FY-3)/-I1224)</f>
        <v>0.34063417173884047</v>
      </c>
      <c r="I1224" s="17">
        <f>IF(A1226=A1227,_xll.ciqfunctions.udf.CIQ(A1218,"IQ_TOTAL_OUTSTANDING_FILING_DATE",IQ_FY-4), _xll.ciqfunctions.udf.CIQ(A1218, "IQ_TOTAL_OUTSTANDING_FILING_DATE",IQ_FY-3))</f>
        <v>152.65644</v>
      </c>
      <c r="J1224" s="17">
        <f>IF(A1226=A1227,_xll.ciqfunctions.udf.CIQ(A1218,"IQ_CASH_OPER",IQ_FY-4), _xll.ciqfunctions.udf.CIQ(A1218, "IQ_CASH_OPER",IQ_FY-3))</f>
        <v>1193</v>
      </c>
      <c r="K1224" s="17">
        <f>IF(A1226=A1227,_xll.ciqfunctions.udf.CIQ(A1218,"IQ_CAPEX",IQ_FY-4), _xll.ciqfunctions.udf.CIQ(A1218, "IQ_CAPEX",IQ_FY-3))</f>
        <v>-1005</v>
      </c>
      <c r="L1224" s="15">
        <f t="shared" si="324"/>
        <v>1.2315235439788847</v>
      </c>
      <c r="M1224" s="17">
        <f>IF(A1226=A1227,_xll.ciqfunctions.udf.CIQ(A1218,"IQ_TOTAL_DEBT_ISSUED",IQ_FY-4), _xll.ciqfunctions.udf.CIQ(A1218, "IQ_TOTAL_DEBT_ISSUED",IQ_FY-3))</f>
        <v>11986</v>
      </c>
      <c r="N1224" s="17">
        <f>IF(A1226=A1227,_xll.ciqfunctions.udf.CIQ(A1218,"IQ_TOTAL_DEBT_REPAID",IQ_FY-4), _xll.ciqfunctions.udf.CIQ(A1218, "IQ_TOTAL_DEBT_REPAID",IQ_FY-3))</f>
        <v>-12013</v>
      </c>
      <c r="O1224" s="15">
        <f t="shared" si="325"/>
        <v>-0.17686774301824409</v>
      </c>
      <c r="P1224" s="15">
        <f t="shared" si="326"/>
        <v>1.0546558009606406</v>
      </c>
      <c r="Q1224" s="18"/>
      <c r="R1224" s="38" t="s">
        <v>29</v>
      </c>
      <c r="S1224" s="4">
        <f>(AVERAGE(P1223:P1228)/_xlfn.STDEV.P(P1223:P1228))/(IF(A1226=A1227,(_xlfn.SINGLE(_xll.ciqfunctions.udf.CIQ(A1218,"IQ_total_assets",IQ_FY)) - _xlfn.SINGLE(_xll.ciqfunctions.udf.CIQ(A1218,"iq_gw_intan", IQ_FY)))/I1228, (_xlfn.SINGLE(_xll.ciqfunctions.udf.CIQ(A1218, "IQ_total_assets",IQ_LTM))-_xlfn.SINGLE(_xll.ciqfunctions.udf.CIQ(A1218,"iq_gw_intan",IQ_LTM)))/I1228))</f>
        <v>4.9925330203916078E-4</v>
      </c>
      <c r="U1224" s="18"/>
      <c r="V1224" s="38" t="s">
        <v>29</v>
      </c>
      <c r="W1224" s="4">
        <f>(AVERAGE(P1223:P1228)/_xlfn.STDEV.P(P1223:P1228))/(IF(A1226=A1227,(_xlfn.SINGLE(_xll.ciqfunctions.udf.CIQ(A1218,"IQ_total_assets",IQ_FY)) - _xlfn.SINGLE(_xll.ciqfunctions.udf.CIQ(A1218,"iq_gw_intan", IQ_FY)))/I1228, (_xlfn.SINGLE(_xll.ciqfunctions.udf.CIQ(A1218, "IQ_total_assets",IQ_LTM))-_xlfn.SINGLE(_xll.ciqfunctions.udf.CIQ(A1218,"iq_gw_intan",IQ_LTM)))/I1228))</f>
        <v>4.9925330203916078E-4</v>
      </c>
      <c r="Y1224" s="18"/>
      <c r="Z1224" s="38" t="s">
        <v>29</v>
      </c>
      <c r="AA1224" s="4">
        <f>(AVERAGE(P1223:P1228)/_xlfn.STDEV.P(P1223:P1228))/(IF(A1226=A1227,(_xlfn.SINGLE(_xll.ciqfunctions.udf.CIQ(A1218,"IQ_total_assets",IQ_FY)) - _xlfn.SINGLE(_xll.ciqfunctions.udf.CIQ(A1218,"iq_gw_intan", IQ_FY)))/I1228, (_xlfn.SINGLE(_xll.ciqfunctions.udf.CIQ(A1218, "IQ_total_assets",IQ_LTM))-_xlfn.SINGLE(_xll.ciqfunctions.udf.CIQ(A1218,"iq_gw_intan",IQ_LTM)))/I1228))</f>
        <v>4.9925330203916078E-4</v>
      </c>
    </row>
    <row r="1225" spans="1:27">
      <c r="A1225" s="18"/>
      <c r="B1225" s="13">
        <v>8</v>
      </c>
      <c r="C1225" s="14" t="s">
        <v>30</v>
      </c>
      <c r="D1225" s="15" cm="1">
        <f t="array" ref="D1225">_xlfn.SINGLE(IF(A1226=A1227,_xll.ciqfunctions.udf.CIQ(A1218,"IQ_TOTAL_REV",IQ_FY-3)/I1225, _xll.ciqfunctions.udf.CIQ(A1218, "IQ_TOTAL_REV",IQ_FY-2)/I1225))</f>
        <v>182.31985533167554</v>
      </c>
      <c r="E1225" s="16">
        <f t="shared" si="327"/>
        <v>0.10087414192898536</v>
      </c>
      <c r="F1225" s="15">
        <f>IF(A1226=A1227,_xll.ciqfunctions.udf.CIQ(A1218,"IQ_DILUT_EPS_EXCL",IQ_FY-3), _xll.ciqfunctions.udf.CIQ(A1218, "IQ_DILUT_EPS_EXCL",IQ_FY-2))</f>
        <v>0.35</v>
      </c>
      <c r="G1225" s="15">
        <f>IF(A1226=A1227,_xll.ciqfunctions.udf.CIQ(A1218,"IQ_EBITDA_MARGIN",IQ_FY-3), _xll.ciqfunctions.udf.CIQ(A1218, "IQ_EBITDA_MARGIN",IQ_FY-2))</f>
        <v>5.3803000000000001</v>
      </c>
      <c r="H1225" s="15">
        <f>IF(A1226=A1227,_xll.ciqfunctions.udf.CIQ(A1218,"IQ_TOTAL_DIV_PAID_CF",IQ_FY-3)/-I1225, _xll.ciqfunctions.udf.CIQ(A1218, "IQ_TOTAL_DIV_PAID_CF",IQ_FY-2)/-I1225)</f>
        <v>0.3343355375406652</v>
      </c>
      <c r="I1225" s="17">
        <f>IF(A1226=A1227,_xll.ciqfunctions.udf.CIQ(A1218,"IQ_TOTAL_OUTSTANDING_FILING_DATE",IQ_FY-3), _xll.ciqfunctions.udf.CIQ(A1218, "IQ_TOTAL_OUTSTANDING_FILING_DATE",IQ_FY-2))</f>
        <v>149.55036000000001</v>
      </c>
      <c r="J1225" s="17">
        <f>IF(A1226=A1227,_xll.ciqfunctions.udf.CIQ(A1218,"IQ_CASH_OPER",IQ_FY-3), _xll.ciqfunctions.udf.CIQ(A1218, "IQ_CASH_OPER",IQ_FY-2))</f>
        <v>1257</v>
      </c>
      <c r="K1225" s="17">
        <f>IF(A1226=A1227,_xll.ciqfunctions.udf.CIQ(A1218,"IQ_CAPEX",IQ_FY-3), _xll.ciqfunctions.udf.CIQ(A1218, "IQ_CAPEX",IQ_FY-2))</f>
        <v>-983</v>
      </c>
      <c r="L1225" s="15">
        <f t="shared" si="324"/>
        <v>1.8321587457228454</v>
      </c>
      <c r="M1225" s="17">
        <f>IF(A1226=A1227,_xll.ciqfunctions.udf.CIQ(A1218,"IQ_TOTAL_DEBT_ISSUED",IQ_FY-3), _xll.ciqfunctions.udf.CIQ(A1218, "IQ_TOTAL_DEBT_ISSUED",IQ_FY-2))</f>
        <v>12777</v>
      </c>
      <c r="N1225" s="17">
        <f>IF(A1226=A1227,_xll.ciqfunctions.udf.CIQ(A1218,"IQ_TOTAL_DEBT_REPAID",IQ_FY-3), _xll.ciqfunctions.udf.CIQ(A1218, "IQ_TOTAL_DEBT_REPAID",IQ_FY-2))</f>
        <v>-12544</v>
      </c>
      <c r="O1225" s="15">
        <f t="shared" si="325"/>
        <v>1.5580036049394999</v>
      </c>
      <c r="P1225" s="15">
        <f t="shared" si="326"/>
        <v>3.3901623506623455</v>
      </c>
      <c r="Q1225" s="18"/>
      <c r="R1225" s="39" t="s">
        <v>31</v>
      </c>
      <c r="S1225" s="5">
        <f>IF(NOT(D1218&gt;0),FALSE,SLOPE(G1218:G1228,B1218:B1228))</f>
        <v>0.13056272727272722</v>
      </c>
      <c r="U1225" s="18"/>
      <c r="V1225" s="39" t="s">
        <v>31</v>
      </c>
      <c r="W1225" s="5">
        <f>IF(NOT(D1218&gt;0),FALSE,SLOPE(G1218:G1228,B1218:B1228))</f>
        <v>0.13056272727272722</v>
      </c>
      <c r="Y1225" s="18"/>
      <c r="Z1225" s="39" t="s">
        <v>31</v>
      </c>
      <c r="AA1225" s="5">
        <f>IF(NOT(L1218&gt;0),FALSE,SLOPE(O1218:O1228,J1218:J1228))</f>
        <v>-4.071260667029593E-4</v>
      </c>
    </row>
    <row r="1226" spans="1:27">
      <c r="A1226" s="19">
        <f>_xll.ciqfunctions.udf.CIQ(A1218,"IQ_TOTAL_REV",IQ_FY)</f>
        <v>34702</v>
      </c>
      <c r="B1226" s="13">
        <v>9</v>
      </c>
      <c r="C1226" s="14" t="s">
        <v>32</v>
      </c>
      <c r="D1226" s="15" cm="1">
        <f t="array" ref="D1226">_xlfn.SINGLE(IF(A1226=A1227,_xll.ciqfunctions.udf.CIQ(A1218,"IQ_TOTAL_REV",IQ_FY-2)/I1226, _xll.ciqfunctions.udf.CIQ(A1218, "IQ_TOTAL_REV",IQ_FY-1)/I1226))</f>
        <v>204.31160628061622</v>
      </c>
      <c r="E1226" s="16">
        <f t="shared" si="327"/>
        <v>0.12062180999942861</v>
      </c>
      <c r="F1226" s="15">
        <f>IF(A1226=A1227,_xll.ciqfunctions.udf.CIQ(A1218,"IQ_DILUT_EPS_EXCL",IQ_FY-2), _xll.ciqfunctions.udf.CIQ(A1218, "IQ_DILUT_EPS_EXCL",IQ_FY-1))</f>
        <v>4.58</v>
      </c>
      <c r="G1226" s="15">
        <f>IF(A1226=A1227,_xll.ciqfunctions.udf.CIQ(A1218,"IQ_EBITDA_MARGIN",IQ_FY-2), _xll.ciqfunctions.udf.CIQ(A1218, "IQ_EBITDA_MARGIN",IQ_FY-1))</f>
        <v>6.7133000000000003</v>
      </c>
      <c r="H1226" s="15">
        <f>IF(A1226=A1227,_xll.ciqfunctions.udf.CIQ(A1218,"IQ_TOTAL_DIV_PAID_CF",IQ_FY-2)/-I1226, _xll.ciqfunctions.udf.CIQ(A1218, "IQ_TOTAL_DIV_PAID_CF",IQ_FY-1)/-I1226)</f>
        <v>0.34883320177670518</v>
      </c>
      <c r="I1226" s="17">
        <f>IF(A1226=A1227,_xll.ciqfunctions.udf.CIQ(A1218,"IQ_TOTAL_OUTSTANDING_FILING_DATE",IQ_FY-2), _xll.ciqfunctions.udf.CIQ(A1218, "IQ_TOTAL_OUTSTANDING_FILING_DATE",IQ_FY-1))</f>
        <v>143.33498</v>
      </c>
      <c r="J1226" s="17">
        <f>IF(A1226=A1227,_xll.ciqfunctions.udf.CIQ(A1218,"IQ_CASH_OPER",IQ_FY-2), _xll.ciqfunctions.udf.CIQ(A1218, "IQ_CASH_OPER",IQ_FY-1))</f>
        <v>1433</v>
      </c>
      <c r="K1226" s="17">
        <f>IF(A1226=A1227,_xll.ciqfunctions.udf.CIQ(A1218,"IQ_CAPEX",IQ_FY-2), _xll.ciqfunctions.udf.CIQ(A1218, "IQ_CAPEX",IQ_FY-1))</f>
        <v>-1159</v>
      </c>
      <c r="L1226" s="15">
        <f t="shared" si="324"/>
        <v>1.9116059457363443</v>
      </c>
      <c r="M1226" s="17">
        <f>IF(A1226=A1227,_xll.ciqfunctions.udf.CIQ(A1218,"IQ_TOTAL_DEBT_ISSUED",IQ_FY-2), _xll.ciqfunctions.udf.CIQ(A1218, "IQ_TOTAL_DEBT_ISSUED",IQ_FY-1))</f>
        <v>1724</v>
      </c>
      <c r="N1226" s="17">
        <f>IF(A1226=A1227,_xll.ciqfunctions.udf.CIQ(A1218,"IQ_TOTAL_DEBT_REPAID",IQ_FY-2), _xll.ciqfunctions.udf.CIQ(A1218, "IQ_TOTAL_DEBT_REPAID",IQ_FY-1))</f>
        <v>-1613</v>
      </c>
      <c r="O1226" s="15">
        <f t="shared" si="325"/>
        <v>0.77440970794428543</v>
      </c>
      <c r="P1226" s="15">
        <f t="shared" si="326"/>
        <v>2.6860156536806299</v>
      </c>
      <c r="Q1226" s="25" t="s">
        <v>33</v>
      </c>
      <c r="R1226" s="38" t="s">
        <v>52</v>
      </c>
      <c r="S1226" s="4">
        <f>(AVERAGE(O1223:O1228)/AVERAGE(P1223:P1228))</f>
        <v>1.3629247528665265</v>
      </c>
      <c r="U1226" s="25" t="s">
        <v>54</v>
      </c>
      <c r="V1226" s="38" t="s">
        <v>52</v>
      </c>
      <c r="W1226" s="4">
        <f>(AVERAGE(O1223:O1228)/AVERAGE(P1223:P1228))</f>
        <v>1.3629247528665265</v>
      </c>
      <c r="Y1226" s="25" t="s">
        <v>60</v>
      </c>
      <c r="Z1226" s="38" t="s">
        <v>52</v>
      </c>
      <c r="AA1226" s="4">
        <f>(AVERAGE(O1223:O1228)/AVERAGE(P1223:P1228))</f>
        <v>1.3629247528665265</v>
      </c>
    </row>
    <row r="1227" spans="1:27">
      <c r="A1227" s="19">
        <f>_xll.ciqfunctions.udf.CIQ(A1218,"IQ_TOTAL_REV",IQ_LTM)</f>
        <v>34702</v>
      </c>
      <c r="B1227" s="13">
        <v>10</v>
      </c>
      <c r="C1227" s="14" t="s">
        <v>34</v>
      </c>
      <c r="D1227" s="15" cm="1">
        <f t="array" ref="D1227">_xlfn.SINGLE(IF(A1226=A1227,_xll.ciqfunctions.udf.CIQ(A1218,"IQ_TOTAL_REV",IQ_FY-1)/I1227, _xll.ciqfunctions.udf.CIQ(A1218, "IQ_TOTAL_REV",IQ_FY)/I1227))</f>
        <v>248.65088807761404</v>
      </c>
      <c r="E1227" s="16">
        <f t="shared" si="327"/>
        <v>0.21701792964271974</v>
      </c>
      <c r="F1227" s="15">
        <f>IF(A1226=A1227,_xll.ciqfunctions.udf.CIQ(A1218,"IQ_DILUT_EPS_EXCL",IQ_FY-1), _xll.ciqfunctions.udf.CIQ(A1218, "IQ_DILUT_EPS_EXCL",IQ_FY))</f>
        <v>6.9</v>
      </c>
      <c r="G1227" s="15">
        <f>IF(A1226=A1227,_xll.ciqfunctions.udf.CIQ(A1218,"IQ_EBITDA_MARGIN",IQ_FY-1), _xll.ciqfunctions.udf.CIQ(A1218, "IQ_EBITDA_MARGIN",IQ_FY))</f>
        <v>7.0434000000000001</v>
      </c>
      <c r="H1227" s="15">
        <f>IF(A1226=A1227,_xll.ciqfunctions.udf.CIQ(A1218,"IQ_TOTAL_DIV_PAID_CF",IQ_FY-1)/-I1227, _xll.ciqfunctions.udf.CIQ(A1218, "IQ_TOTAL_DIV_PAID_CF",IQ_FY)/-I1227)</f>
        <v>0.35651002532186732</v>
      </c>
      <c r="I1227" s="17">
        <f>IF(A1226=A1227,_xll.ciqfunctions.udf.CIQ(A1218,"IQ_TOTAL_OUTSTANDING_FILING_DATE",IQ_FY-1), _xll.ciqfunctions.udf.CIQ(A1218, "IQ_TOTAL_OUTSTANDING_FILING_DATE",IQ_FY))</f>
        <v>134.63856999999999</v>
      </c>
      <c r="J1227" s="17">
        <f>IF(A1226=A1227,_xll.ciqfunctions.udf.CIQ(A1218,"IQ_CASH_OPER",IQ_FY-1), _xll.ciqfunctions.udf.CIQ(A1218, "IQ_CASH_OPER",IQ_FY))</f>
        <v>1651</v>
      </c>
      <c r="K1227" s="17">
        <f>IF(A1226=A1227,_xll.ciqfunctions.udf.CIQ(A1218,"IQ_CAPEX",IQ_FY-1), _xll.ciqfunctions.udf.CIQ(A1218, "IQ_CAPEX",IQ_FY))</f>
        <v>-1385</v>
      </c>
      <c r="L1227" s="15">
        <f t="shared" si="324"/>
        <v>1.9756597236586813</v>
      </c>
      <c r="M1227" s="17">
        <f>IF(A1226=A1227,_xll.ciqfunctions.udf.CIQ(A1218,"IQ_TOTAL_DEBT_ISSUED",IQ_FY-1), _xll.ciqfunctions.udf.CIQ(A1218, "IQ_TOTAL_DEBT_ISSUED",IQ_FY))</f>
        <v>3767</v>
      </c>
      <c r="N1227" s="17">
        <f>IF(A1226=A1227,_xll.ciqfunctions.udf.CIQ(A1218,"IQ_TOTAL_DEBT_REPAID",IQ_FY-1), _xll.ciqfunctions.udf.CIQ(A1218, "IQ_TOTAL_DEBT_REPAID",IQ_FY))</f>
        <v>-3890</v>
      </c>
      <c r="O1227" s="15">
        <f t="shared" si="325"/>
        <v>-0.91355693988728504</v>
      </c>
      <c r="P1227" s="15">
        <f t="shared" si="326"/>
        <v>1.0621027837713961</v>
      </c>
      <c r="Q1227" s="25" t="s">
        <v>44</v>
      </c>
      <c r="R1227" s="38" t="s">
        <v>35</v>
      </c>
      <c r="S1227" s="1">
        <f>_xll.ciqfunctions.udf.CIQ(A1218,"IQ_TEV_EBITDA")</f>
        <v>6.8987100000000003</v>
      </c>
      <c r="U1227" s="25" t="s">
        <v>55</v>
      </c>
      <c r="V1227" s="38" t="s">
        <v>53</v>
      </c>
      <c r="W1227" s="1">
        <f>V1217/(AVERAGE(D1223:D1228)/_xlfn.STDEV.P(E1223:E1228))</f>
        <v>4.3545384321832623E-2</v>
      </c>
      <c r="Y1227" s="25" t="s">
        <v>57</v>
      </c>
      <c r="Z1227" s="38" t="s">
        <v>53</v>
      </c>
      <c r="AA1227" s="1">
        <f>Z1217/(AVERAGE(D1223:D1228)/_xlfn.STDEV.P(E1223:E1228))</f>
        <v>4.3545384321832623E-2</v>
      </c>
    </row>
    <row r="1228" spans="1:27">
      <c r="B1228" s="13">
        <v>11</v>
      </c>
      <c r="C1228" s="20" t="s">
        <v>36</v>
      </c>
      <c r="D1228" s="21" cm="1">
        <f t="array" ref="D1228">_xlfn.SINGLE(IF(A1226=A1227,_xll.ciqfunctions.udf.CIQ(A1218,"IQ_TOTAL_REV",IQ_FY)/I1228, _xll.ciqfunctions.udf.CIQ(A1218, "IQ_TOTAL_REV",IQ_LTM)/I1228))</f>
        <v>271.22579019463512</v>
      </c>
      <c r="E1228" s="22">
        <f t="shared" si="327"/>
        <v>9.0789549522841601E-2</v>
      </c>
      <c r="F1228" s="21">
        <f>IF(A1226=A1227,_xll.ciqfunctions.udf.CIQ(A1218,"IQ_DILUT_EPS_EXCL",IQ_FY), _xll.ciqfunctions.udf.CIQ(A1218, "IQ_DILUT_EPS_EXCL",IQ_LTM))</f>
        <v>6.02</v>
      </c>
      <c r="G1228" s="21">
        <f>IF(A1226=A1227,_xll.ciqfunctions.udf.CIQ(A1218,"IQ_EBITDA_MARGIN",IQ_FY), _xll.ciqfunctions.udf.CIQ(A1218, "IQ_EBITDA_MARGIN",IQ_LTM))</f>
        <v>7.2991999999999999</v>
      </c>
      <c r="H1228" s="21">
        <f>IF(A1226=A1227,_xll.ciqfunctions.udf.CIQ(A1218,"IQ_TOTAL_DIV_PAID_CF",IQ_FY)/-I1228, _xll.ciqfunctions.udf.CIQ(A1218, "IQ_TOTAL_DIV_PAID_CF",IQ_LTM)/-I1228)</f>
        <v>0.35171346201252318</v>
      </c>
      <c r="I1228" s="23">
        <f>IF(A1226=A1227,_xll.ciqfunctions.udf.CIQ(A1218,"IQ_TOTAL_OUTSTANDING_FILING_DATE",IQ_FY),_xll.ciqfunctions.udf.CIQ(A1218,"IQ_sharesoutstanding"))</f>
        <v>127.94506</v>
      </c>
      <c r="J1228" s="23">
        <f>IF(A1226=A1227,_xll.ciqfunctions.udf.CIQ(A1218,"IQ_CASH_OPER",IQ_FY), _xll.ciqfunctions.udf.CIQ(A1218, "IQ_CASH_OPER",IQ_LTM))</f>
        <v>1734</v>
      </c>
      <c r="K1228" s="23">
        <f>IF(A1226=A1227,_xll.ciqfunctions.udf.CIQ(A1218,"IQ_CAPEX",IQ_FY), _xll.ciqfunctions.udf.CIQ(A1218, "IQ_CAPEX",IQ_LTM))</f>
        <v>-1030</v>
      </c>
      <c r="L1228" s="21">
        <f t="shared" si="324"/>
        <v>5.5023617168181405</v>
      </c>
      <c r="M1228" s="23">
        <f>IF(A1226=A1227,_xll.ciqfunctions.udf.CIQ(A1218,"IQ_TOTAL_DEBT_ISSUED",IQ_FY), _xll.ciqfunctions.udf.CIQ(A1218, "IQ_TOTAL_DEBT_ISSUED",IQ_LTM))</f>
        <v>4047</v>
      </c>
      <c r="N1228" s="23">
        <f>IF(A1226=A1227,_xll.ciqfunctions.udf.CIQ(A1218,"IQ_TOTAL_DEBT_REPAID",IQ_FY), _xll.ciqfunctions.udf.CIQ(A1218, "IQ_TOTAL_DEBT_REPAID",IQ_LTM))</f>
        <v>-4204</v>
      </c>
      <c r="O1228" s="21">
        <f t="shared" si="325"/>
        <v>-1.2270891896881364</v>
      </c>
      <c r="P1228" s="21">
        <f t="shared" si="326"/>
        <v>4.2752725271300038</v>
      </c>
      <c r="Q1228" s="25" t="s">
        <v>45</v>
      </c>
      <c r="S1228" s="45"/>
      <c r="U1228" s="25"/>
      <c r="W1228" s="45"/>
      <c r="Y1228" s="25"/>
      <c r="AA1228" s="45"/>
    </row>
    <row r="1229" spans="1:27">
      <c r="B1229" s="24"/>
      <c r="C1229" s="25" t="s">
        <v>37</v>
      </c>
      <c r="E1229" s="26">
        <f>((D1228/D1223)^(1/5))-1</f>
        <v>0.14721238037188389</v>
      </c>
      <c r="F1229" s="27">
        <f>((F1228/F1223)^(1/5))-1</f>
        <v>0.65150572013032959</v>
      </c>
      <c r="G1229" s="28"/>
      <c r="H1229" s="27">
        <f>((H1228/H1223)^(1/5))-1</f>
        <v>-3.1249671182737027E-3</v>
      </c>
      <c r="I1229" s="27">
        <f>((I1228/I1223)^(1/5))-1</f>
        <v>-4.5959877627988477E-2</v>
      </c>
      <c r="J1229" s="27"/>
      <c r="K1229" s="27"/>
      <c r="L1229" s="26">
        <f>((L1228/L1223)^(1/5))-1</f>
        <v>-1.8390348204689877</v>
      </c>
      <c r="M1229" s="26"/>
      <c r="N1229" s="26"/>
      <c r="O1229" s="26"/>
      <c r="P1229" s="26">
        <f>((P1228/P1223)^(1/5))-1</f>
        <v>-1.8384006362344341</v>
      </c>
      <c r="Q1229" s="18"/>
      <c r="R1229" s="36"/>
      <c r="S1229" s="45"/>
      <c r="U1229" s="18"/>
      <c r="V1229" s="36"/>
      <c r="W1229" s="45"/>
      <c r="Y1229" s="18"/>
      <c r="Z1229" s="36"/>
      <c r="AA1229" s="45"/>
    </row>
    <row r="1230" spans="1:27">
      <c r="A1230" s="29"/>
      <c r="B1230" s="30"/>
      <c r="C1230" s="31" t="s">
        <v>38</v>
      </c>
      <c r="D1230" s="29"/>
      <c r="E1230" s="32">
        <f>((D1228/D1218)^(1/10))-1</f>
        <v>0.12315694270548594</v>
      </c>
      <c r="F1230" s="33">
        <f>((F1228/F1218)^(1/10))-1</f>
        <v>0.14606058603398564</v>
      </c>
      <c r="G1230" s="34"/>
      <c r="H1230" s="33">
        <f>((H1228/H1218)^(1/10))-1</f>
        <v>6.1882325409823302E-3</v>
      </c>
      <c r="I1230" s="33">
        <f>((I1228/I1218)^(1/10))-1</f>
        <v>-4.518909374184088E-2</v>
      </c>
      <c r="J1230" s="33"/>
      <c r="K1230" s="33"/>
      <c r="L1230" s="32">
        <f>((L1228/L1218)^(1/10))-1</f>
        <v>8.8893071831993131E-2</v>
      </c>
      <c r="M1230" s="32"/>
      <c r="N1230" s="32"/>
      <c r="O1230" s="32"/>
      <c r="P1230" s="32">
        <f>((P1228/P1218)^(1/10))-1</f>
        <v>2.8673594397158109E-2</v>
      </c>
      <c r="Q1230" s="40"/>
      <c r="R1230" s="41"/>
      <c r="S1230" s="46"/>
      <c r="U1230" s="40"/>
      <c r="V1230" s="41"/>
      <c r="W1230" s="46"/>
      <c r="Y1230" s="40"/>
      <c r="Z1230" s="41"/>
      <c r="AA1230" s="46"/>
    </row>
    <row r="1231" spans="1:27">
      <c r="B1231" s="24"/>
      <c r="C1231" s="25"/>
      <c r="E1231" s="26"/>
      <c r="F1231" s="27"/>
      <c r="G1231" s="28"/>
      <c r="H1231" s="27"/>
      <c r="I1231" s="27"/>
      <c r="J1231" s="27"/>
      <c r="K1231" s="27"/>
      <c r="L1231" s="26"/>
      <c r="M1231" s="17"/>
      <c r="N1231" s="17"/>
      <c r="O1231" s="17"/>
      <c r="P1231" s="35"/>
      <c r="Q1231" s="18"/>
      <c r="R1231" s="36"/>
    </row>
    <row r="1232" spans="1:27">
      <c r="A1232" s="9" t="s">
        <v>0</v>
      </c>
      <c r="B1232" s="10"/>
      <c r="C1232" s="9" t="s">
        <v>1</v>
      </c>
      <c r="D1232" s="9" t="s">
        <v>2</v>
      </c>
      <c r="E1232" s="9" t="s">
        <v>3</v>
      </c>
      <c r="F1232" s="11" t="s">
        <v>4</v>
      </c>
      <c r="G1232" s="11" t="s">
        <v>5</v>
      </c>
      <c r="H1232" s="9" t="s">
        <v>6</v>
      </c>
      <c r="I1232" s="11" t="s">
        <v>7</v>
      </c>
      <c r="J1232" s="11" t="s">
        <v>8</v>
      </c>
      <c r="K1232" s="11" t="s">
        <v>9</v>
      </c>
      <c r="L1232" s="11" t="s">
        <v>10</v>
      </c>
      <c r="M1232" s="11" t="s">
        <v>11</v>
      </c>
      <c r="N1232" s="11" t="s">
        <v>12</v>
      </c>
      <c r="O1232" s="11" t="s">
        <v>13</v>
      </c>
      <c r="P1232" s="11" t="s">
        <v>14</v>
      </c>
      <c r="Q1232" s="37" t="s">
        <v>15</v>
      </c>
      <c r="R1232" s="42">
        <f>_xll.ciqfunctions.udf.CIQ(A1233,("IQ_LASTSALEPRICE"))</f>
        <v>82.87</v>
      </c>
      <c r="S1232" s="44"/>
      <c r="U1232" s="37" t="s">
        <v>15</v>
      </c>
      <c r="V1232" s="42">
        <f>_xll.ciqfunctions.udf.CIQ(A1233,("IQ_LASTSALEPRICE"))</f>
        <v>82.87</v>
      </c>
      <c r="W1232" s="44"/>
      <c r="Y1232" s="37" t="s">
        <v>15</v>
      </c>
      <c r="Z1232" s="42">
        <f>_xll.ciqfunctions.udf.CIQ(A1233,("IQ_LASTSALEPRICE"))</f>
        <v>82.87</v>
      </c>
      <c r="AA1232" s="44"/>
    </row>
    <row r="1233" spans="1:27">
      <c r="A1233" s="12" t="str">
        <f>Analysis!B84</f>
        <v>NasdaqGS:DOX</v>
      </c>
      <c r="B1233" s="13">
        <v>1</v>
      </c>
      <c r="C1233" s="14" t="s">
        <v>16</v>
      </c>
      <c r="D1233" s="15">
        <f>IF(A1241=A1242,_xll.ciqfunctions.udf.CIQ(A1233,"IQ_TOTAL_REV",IQ_FY-10)/I1233,_xll.ciqfunctions.udf.CIQ(A1233, "IQ_TOTAL_REV",IQ_FY-9)/I1233)</f>
        <v>20.91558368370757</v>
      </c>
      <c r="E1233" s="16"/>
      <c r="F1233" s="15">
        <f>IF(A1241=A1242,_xll.ciqfunctions.udf.CIQ(A1233,"IQ_DILUT_EPS_EXCL",IQ_FY-10), _xll.ciqfunctions.udf.CIQ(A1233, "IQ_DILUT_EPS_EXCL",IQ_FY-9))</f>
        <v>2.5299999999999998</v>
      </c>
      <c r="G1233" s="15">
        <f>IF(A1241=A1242,_xll.ciqfunctions.udf.CIQ(A1233,"IQ_EBITDA_MARGIN",IQ_FY-10), _xll.ciqfunctions.udf.CIQ(A1233, "IQ_EBITDA_MARGIN",IQ_FY-9))</f>
        <v>18.599900000000002</v>
      </c>
      <c r="H1233" s="15">
        <f>IF(A1241=A1242,_xll.ciqfunctions.udf.CIQ(A1233,"IQ_TOTAL_DIV_PAID_CF",IQ_FY-10)/-I1233, _xll.ciqfunctions.udf.CIQ(A1233, "IQ_TOTAL_DIV_PAID_CF",IQ_FY-9)/-I1233)</f>
        <v>0.52515033653617449</v>
      </c>
      <c r="I1233" s="17">
        <f>IF(A1241=A1242,_xll.ciqfunctions.udf.CIQ(A1233,"IQ_TOTAL_OUTSTANDING_FILING_DATE",IQ_FY-10), _xll.ciqfunctions.udf.CIQ(A1233, "IQ_TOTAL_OUTSTANDING_FILING_DATE",IQ_FY-9))</f>
        <v>159.96942999999999</v>
      </c>
      <c r="J1233" s="17">
        <f>IF(A1241=A1242,_xll.ciqfunctions.udf.CIQ(A1233,"IQ_CASH_OPER",IQ_FY-10), _xll.ciqfunctions.udf.CIQ(A1233, "IQ_CASH_OPER",IQ_FY-9))</f>
        <v>670.54700000000003</v>
      </c>
      <c r="K1233" s="17">
        <f>IF(A1241=A1242,_xll.ciqfunctions.udf.CIQ(A1233,"IQ_CAPEX",IQ_FY-10), _xll.ciqfunctions.udf.CIQ(A1233, "IQ_CAPEX",IQ_FY-9))</f>
        <v>-106.724</v>
      </c>
      <c r="L1233" s="15">
        <f t="shared" ref="L1233:L1243" si="328">(J1233+K1233)/I1233</f>
        <v>3.5245671626135069</v>
      </c>
      <c r="M1233" s="17">
        <f>IF(A1241=A1242,_xll.ciqfunctions.udf.CIQ(A1233,"IQ_TOTAL_DEBT_ISSUED",IQ_FY-10), _xll.ciqfunctions.udf.CIQ(A1233, "IQ_TOTAL_DEBT_ISSUED",IQ_FY-9))</f>
        <v>200</v>
      </c>
      <c r="N1233" s="17">
        <f>IF(A1241=A1242,_xll.ciqfunctions.udf.CIQ(A1233,"IQ_TOTAL_DEBT_REPAID",IQ_FY-10), _xll.ciqfunctions.udf.CIQ(A1233, "IQ_TOTAL_DEBT_REPAID",IQ_FY-9))</f>
        <v>-200</v>
      </c>
      <c r="O1233" s="15">
        <f t="shared" ref="O1233:O1243" si="329">(M1233+N1233)/I1233</f>
        <v>0</v>
      </c>
      <c r="P1233" s="15">
        <f t="shared" ref="P1233:P1243" si="330">L1233+O1233</f>
        <v>3.5245671626135069</v>
      </c>
      <c r="W1233" s="43"/>
      <c r="AA1233" s="43"/>
    </row>
    <row r="1234" spans="1:27">
      <c r="A1234" s="18" t="str">
        <f>_xll.ciqfunctions.udf.CIQ(A1233,"IQ_COMPANY_NAME")</f>
        <v>Amdocs Limited</v>
      </c>
      <c r="B1234" s="13">
        <v>2</v>
      </c>
      <c r="C1234" s="14" t="s">
        <v>17</v>
      </c>
      <c r="D1234" s="15">
        <f>IF(A1241=A1242,_xll.ciqfunctions.udf.CIQ(A1233,"IQ_TOTAL_REV",IQ_FY-9)/I1234, _xll.ciqfunctions.udf.CIQ(A1233, "IQ_TOTAL_REV",IQ_FY-8)/I1234)</f>
        <v>22.862632904194015</v>
      </c>
      <c r="E1234" s="16">
        <f t="shared" ref="E1234:E1243" si="331">(D1234-D1233)/D1233</f>
        <v>9.3090838387796027E-2</v>
      </c>
      <c r="F1234" s="15">
        <f>IF(A1241=A1242,_xll.ciqfunctions.udf.CIQ(A1233,"IQ_DILUT_EPS_EXCL",IQ_FY-9), _xll.ciqfunctions.udf.CIQ(A1233, "IQ_DILUT_EPS_EXCL",IQ_FY-8))</f>
        <v>2.62</v>
      </c>
      <c r="G1234" s="15">
        <f>IF(A1241=A1242,_xll.ciqfunctions.udf.CIQ(A1233,"IQ_EBITDA_MARGIN",IQ_FY-9), _xll.ciqfunctions.udf.CIQ(A1233, "IQ_EBITDA_MARGIN",IQ_FY-8))</f>
        <v>18.475999999999999</v>
      </c>
      <c r="H1234" s="15">
        <f>IF(A1241=A1242,_xll.ciqfunctions.udf.CIQ(A1233,"IQ_TOTAL_DIV_PAID_CF",IQ_FY-9)/-I1234, _xll.ciqfunctions.udf.CIQ(A1233, "IQ_TOTAL_DIV_PAID_CF",IQ_FY-8)/-I1234)</f>
        <v>0.58342220985877613</v>
      </c>
      <c r="I1234" s="17">
        <f>IF(A1241=A1242,_xll.ciqfunctions.udf.CIQ(A1233,"IQ_TOTAL_OUTSTANDING_FILING_DATE",IQ_FY-9), _xll.ciqfunctions.udf.CIQ(A1233, "IQ_TOTAL_OUTSTANDING_FILING_DATE",IQ_FY-8))</f>
        <v>155.87168</v>
      </c>
      <c r="J1234" s="17">
        <f>IF(A1241=A1242,_xll.ciqfunctions.udf.CIQ(A1233,"IQ_CASH_OPER",IQ_FY-9), _xll.ciqfunctions.udf.CIQ(A1233, "IQ_CASH_OPER",IQ_FY-8))</f>
        <v>709.25800000000004</v>
      </c>
      <c r="K1234" s="17">
        <f>IF(A1241=A1242,_xll.ciqfunctions.udf.CIQ(A1233,"IQ_CAPEX",IQ_FY-9), _xll.ciqfunctions.udf.CIQ(A1233, "IQ_CAPEX",IQ_FY-8))</f>
        <v>-111.569</v>
      </c>
      <c r="L1234" s="15">
        <f t="shared" si="328"/>
        <v>3.8344938605909689</v>
      </c>
      <c r="M1234" s="17">
        <f>IF(A1241=A1242,_xll.ciqfunctions.udf.CIQ(A1233,"IQ_TOTAL_DEBT_ISSUED",IQ_FY-9), _xll.ciqfunctions.udf.CIQ(A1233, "IQ_TOTAL_DEBT_ISSUED",IQ_FY-8))</f>
        <v>210</v>
      </c>
      <c r="N1234" s="17">
        <f>IF(A1241=A1242,_xll.ciqfunctions.udf.CIQ(A1233,"IQ_TOTAL_DEBT_REPAID",IQ_FY-9), _xll.ciqfunctions.udf.CIQ(A1233, "IQ_TOTAL_DEBT_REPAID",IQ_FY-8))</f>
        <v>-200</v>
      </c>
      <c r="O1234" s="15">
        <f t="shared" si="329"/>
        <v>6.4155335978928307E-2</v>
      </c>
      <c r="P1234" s="15">
        <f t="shared" si="330"/>
        <v>3.8986491965698971</v>
      </c>
      <c r="Q1234" s="25" t="s">
        <v>18</v>
      </c>
      <c r="R1234" s="39" t="s">
        <v>19</v>
      </c>
      <c r="S1234" s="1">
        <f>R1232/((AVERAGE(P1238:P1243))*(1+E1244)^3)</f>
        <v>13.01713675128784</v>
      </c>
      <c r="U1234" s="25" t="s">
        <v>48</v>
      </c>
      <c r="V1234" s="39" t="s">
        <v>19</v>
      </c>
      <c r="W1234" s="1">
        <f>V1232/((AVERAGE(P1238:P1243))*(1+E1244)^3)</f>
        <v>13.01713675128784</v>
      </c>
      <c r="Y1234" s="25" t="s">
        <v>39</v>
      </c>
      <c r="Z1234" s="39" t="s">
        <v>19</v>
      </c>
      <c r="AA1234" s="1">
        <f>Z1232/((AVERAGE(P1238:P1243))*(1+E1244)^3)</f>
        <v>13.01713675128784</v>
      </c>
    </row>
    <row r="1235" spans="1:27">
      <c r="B1235" s="13">
        <v>3</v>
      </c>
      <c r="C1235" s="14" t="s">
        <v>20</v>
      </c>
      <c r="D1235" s="15" cm="1">
        <f t="array" ref="D1235">_xlfn.SINGLE(IF(A1241=A1242,_xll.ciqfunctions.udf.CIQ(A1233,"IQ_TOTAL_REV",IQ_FY-8)/I1235, _xll.ciqfunctions.udf.CIQ(A1233, "IQ_TOTAL_REV",IQ_FY-7)/I1235))</f>
        <v>24.23338404321964</v>
      </c>
      <c r="E1235" s="16">
        <f t="shared" si="331"/>
        <v>5.9955961536440928E-2</v>
      </c>
      <c r="F1235" s="15">
        <f>IF(A1241=A1242,_xll.ciqfunctions.udf.CIQ(A1233,"IQ_DILUT_EPS_EXCL",IQ_FY-8), _xll.ciqfunctions.udf.CIQ(A1233, "IQ_DILUT_EPS_EXCL",IQ_FY-7))</f>
        <v>2.85</v>
      </c>
      <c r="G1235" s="15">
        <f>IF(A1241=A1242,_xll.ciqfunctions.udf.CIQ(A1233,"IQ_EBITDA_MARGIN",IQ_FY-8), _xll.ciqfunctions.udf.CIQ(A1233, "IQ_EBITDA_MARGIN",IQ_FY-7))</f>
        <v>19.314800000000002</v>
      </c>
      <c r="H1235" s="15">
        <f>IF(A1241=A1242,_xll.ciqfunctions.udf.CIQ(A1233,"IQ_TOTAL_DIV_PAID_CF",IQ_FY-8)/-I1235, _xll.ciqfunctions.udf.CIQ(A1233, "IQ_TOTAL_DIV_PAID_CF",IQ_FY-7)/-I1235)</f>
        <v>0.67036017676118864</v>
      </c>
      <c r="I1235" s="17">
        <f>IF(A1241=A1242,_xll.ciqfunctions.udf.CIQ(A1233,"IQ_TOTAL_OUTSTANDING_FILING_DATE",IQ_FY-8), _xll.ciqfunctions.udf.CIQ(A1233, "IQ_TOTAL_OUTSTANDING_FILING_DATE",IQ_FY-7))</f>
        <v>150.35201000000001</v>
      </c>
      <c r="J1235" s="17">
        <f>IF(A1241=A1242,_xll.ciqfunctions.udf.CIQ(A1233,"IQ_CASH_OPER",IQ_FY-8), _xll.ciqfunctions.udf.CIQ(A1233, "IQ_CASH_OPER",IQ_FY-7))</f>
        <v>772.62199999999996</v>
      </c>
      <c r="K1235" s="17">
        <f>IF(A1241=A1242,_xll.ciqfunctions.udf.CIQ(A1233,"IQ_CAPEX",IQ_FY-8), _xll.ciqfunctions.udf.CIQ(A1233, "IQ_CAPEX",IQ_FY-7))</f>
        <v>-120.503</v>
      </c>
      <c r="L1235" s="15">
        <f t="shared" si="328"/>
        <v>4.3372815567946175</v>
      </c>
      <c r="M1235" s="17">
        <f>IF(A1241=A1242,_xll.ciqfunctions.udf.CIQ(A1233,"IQ_TOTAL_DEBT_ISSUED",IQ_FY-8), _xll.ciqfunctions.udf.CIQ(A1233, "IQ_TOTAL_DEBT_ISSUED",IQ_FY-7))</f>
        <v>220</v>
      </c>
      <c r="N1235" s="17">
        <f>IF(A1241=A1242,_xll.ciqfunctions.udf.CIQ(A1233,"IQ_TOTAL_DEBT_REPAID",IQ_FY-8), _xll.ciqfunctions.udf.CIQ(A1233, "IQ_TOTAL_DEBT_REPAID",IQ_FY-7))</f>
        <v>-210</v>
      </c>
      <c r="O1235" s="15">
        <f t="shared" si="329"/>
        <v>6.6510584062028838E-2</v>
      </c>
      <c r="P1235" s="15">
        <f t="shared" si="330"/>
        <v>4.4037921408566465</v>
      </c>
      <c r="Q1235" s="25" t="s">
        <v>21</v>
      </c>
      <c r="R1235" s="38" t="s">
        <v>49</v>
      </c>
      <c r="S1235" s="2">
        <f>(R1232*I1243)/1000</f>
        <v>9.7849581199999989</v>
      </c>
      <c r="U1235" s="25" t="s">
        <v>59</v>
      </c>
      <c r="V1235" s="38" t="s">
        <v>49</v>
      </c>
      <c r="W1235" s="2">
        <f>(V1232*I1243)/1000</f>
        <v>9.7849581199999989</v>
      </c>
      <c r="Y1235" s="25" t="s">
        <v>46</v>
      </c>
      <c r="Z1235" s="38" t="s">
        <v>49</v>
      </c>
      <c r="AA1235" s="2">
        <f>(Z1232*I1243)/1000</f>
        <v>9.7849581199999989</v>
      </c>
    </row>
    <row r="1236" spans="1:27">
      <c r="A1236" s="18"/>
      <c r="B1236" s="13">
        <v>4</v>
      </c>
      <c r="C1236" s="14" t="s">
        <v>22</v>
      </c>
      <c r="D1236" s="15" cm="1">
        <f t="array" ref="D1236">_xlfn.SINGLE(IF(A1241=A1242,_xll.ciqfunctions.udf.CIQ(A1233,"IQ_TOTAL_REV",IQ_FY-7)/I1236, _xll.ciqfunctions.udf.CIQ(A1233, "IQ_TOTAL_REV",IQ_FY-6)/I1236))</f>
        <v>25.330820027637373</v>
      </c>
      <c r="E1236" s="16">
        <f t="shared" si="331"/>
        <v>4.5286121924221656E-2</v>
      </c>
      <c r="F1236" s="15">
        <f>IF(A1241=A1242,_xll.ciqfunctions.udf.CIQ(A1233,"IQ_DILUT_EPS_EXCL",IQ_FY-7), _xll.ciqfunctions.udf.CIQ(A1233, "IQ_DILUT_EPS_EXCL",IQ_FY-6))</f>
        <v>2.71</v>
      </c>
      <c r="G1236" s="15">
        <f>IF(A1241=A1242,_xll.ciqfunctions.udf.CIQ(A1233,"IQ_EBITDA_MARGIN",IQ_FY-7), _xll.ciqfunctions.udf.CIQ(A1233, "IQ_EBITDA_MARGIN",IQ_FY-6))</f>
        <v>18.689800000000002</v>
      </c>
      <c r="H1236" s="15">
        <f>IF(A1241=A1242,_xll.ciqfunctions.udf.CIQ(A1233,"IQ_TOTAL_DIV_PAID_CF",IQ_FY-7)/-I1236, _xll.ciqfunctions.udf.CIQ(A1233, "IQ_TOTAL_DIV_PAID_CF",IQ_FY-6)/-I1236)</f>
        <v>0.74464481673960248</v>
      </c>
      <c r="I1236" s="17">
        <f>IF(A1241=A1242,_xll.ciqfunctions.udf.CIQ(A1233,"IQ_TOTAL_OUTSTANDING_FILING_DATE",IQ_FY-7), _xll.ciqfunctions.udf.CIQ(A1233, "IQ_TOTAL_OUTSTANDING_FILING_DATE",IQ_FY-6))</f>
        <v>146.78675999999999</v>
      </c>
      <c r="J1236" s="17">
        <f>IF(A1241=A1242,_xll.ciqfunctions.udf.CIQ(A1233,"IQ_CASH_OPER",IQ_FY-7), _xll.ciqfunctions.udf.CIQ(A1233, "IQ_CASH_OPER",IQ_FY-6))</f>
        <v>620.23400000000004</v>
      </c>
      <c r="K1236" s="17">
        <f>IF(A1241=A1242,_xll.ciqfunctions.udf.CIQ(A1233,"IQ_CAPEX",IQ_FY-7), _xll.ciqfunctions.udf.CIQ(A1233, "IQ_CAPEX",IQ_FY-6))</f>
        <v>-130.08600000000001</v>
      </c>
      <c r="L1236" s="15">
        <f t="shared" si="328"/>
        <v>3.3391839972487984</v>
      </c>
      <c r="M1236" s="17">
        <f>IF(A1241=A1242,_xll.ciqfunctions.udf.CIQ(A1233,"IQ_TOTAL_DEBT_ISSUED",IQ_FY-7), _xll.ciqfunctions.udf.CIQ(A1233, "IQ_TOTAL_DEBT_ISSUED",IQ_FY-6))</f>
        <v>200</v>
      </c>
      <c r="N1236" s="17">
        <f>IF(A1241=A1242,_xll.ciqfunctions.udf.CIQ(A1233,"IQ_TOTAL_DEBT_REPAID",IQ_FY-7), _xll.ciqfunctions.udf.CIQ(A1233, "IQ_TOTAL_DEBT_REPAID",IQ_FY-6))</f>
        <v>-220</v>
      </c>
      <c r="O1236" s="15">
        <f t="shared" si="329"/>
        <v>-0.13625207069084433</v>
      </c>
      <c r="P1236" s="15">
        <f t="shared" si="330"/>
        <v>3.2029319265579543</v>
      </c>
      <c r="Q1236" s="25" t="s">
        <v>23</v>
      </c>
      <c r="R1236" s="38" t="s">
        <v>24</v>
      </c>
      <c r="S1236" s="1">
        <f>R1232/(AVERAGE(H1238:H1243)*(1+H1244)/(0.5-H1244))</f>
        <v>21.257230859793381</v>
      </c>
      <c r="U1236" s="25" t="s">
        <v>40</v>
      </c>
      <c r="V1236" s="38" t="s">
        <v>24</v>
      </c>
      <c r="W1236" s="1">
        <f>V1232/(AVERAGE(H1238:H1243)*(1+H1244)/(0.5-H1244))</f>
        <v>21.257230859793381</v>
      </c>
      <c r="Y1236" s="25" t="s">
        <v>47</v>
      </c>
      <c r="Z1236" s="38" t="s">
        <v>24</v>
      </c>
      <c r="AA1236" s="1">
        <f>Z1232/(AVERAGE(H1238:H1243)*(1+H1244)/(0.5-H1244))</f>
        <v>21.257230859793381</v>
      </c>
    </row>
    <row r="1237" spans="1:27">
      <c r="B1237" s="13">
        <v>5</v>
      </c>
      <c r="C1237" s="14" t="s">
        <v>25</v>
      </c>
      <c r="D1237" s="15" cm="1">
        <f t="array" ref="D1237">_xlfn.SINGLE(IF(A1241=A1242,_xll.ciqfunctions.udf.CIQ(A1233,"IQ_TOTAL_REV",IQ_FY-6)/I1237, _xll.ciqfunctions.udf.CIQ(A1233, "IQ_TOTAL_REV",IQ_FY-5)/I1237))</f>
        <v>26.871229571092748</v>
      </c>
      <c r="E1237" s="16">
        <f t="shared" si="331"/>
        <v>6.0811672964977068E-2</v>
      </c>
      <c r="F1237" s="15">
        <f>IF(A1241=A1242,_xll.ciqfunctions.udf.CIQ(A1233,"IQ_DILUT_EPS_EXCL",IQ_FY-6), _xll.ciqfunctions.udf.CIQ(A1233, "IQ_DILUT_EPS_EXCL",IQ_FY-5))</f>
        <v>2.96</v>
      </c>
      <c r="G1237" s="15">
        <f>IF(A1241=A1242,_xll.ciqfunctions.udf.CIQ(A1233,"IQ_EBITDA_MARGIN",IQ_FY-6), _xll.ciqfunctions.udf.CIQ(A1233, "IQ_EBITDA_MARGIN",IQ_FY-5))</f>
        <v>18.934200000000001</v>
      </c>
      <c r="H1237" s="15">
        <f>IF(A1241=A1242,_xll.ciqfunctions.udf.CIQ(A1233,"IQ_TOTAL_DIV_PAID_CF",IQ_FY-6)/-I1237, _xll.ciqfunctions.udf.CIQ(A1233, "IQ_TOTAL_DIV_PAID_CF",IQ_FY-5)/-I1237)</f>
        <v>0.84427311720799447</v>
      </c>
      <c r="I1237" s="17">
        <f>IF(A1241=A1242,_xll.ciqfunctions.udf.CIQ(A1233,"IQ_TOTAL_OUTSTANDING_FILING_DATE",IQ_FY-6), _xll.ciqfunctions.udf.CIQ(A1233, "IQ_TOTAL_OUTSTANDING_FILING_DATE",IQ_FY-5))</f>
        <v>143.91433000000001</v>
      </c>
      <c r="J1237" s="17">
        <f>IF(A1241=A1242,_xll.ciqfunctions.udf.CIQ(A1233,"IQ_CASH_OPER",IQ_FY-6), _xll.ciqfunctions.udf.CIQ(A1233, "IQ_CASH_OPER",IQ_FY-5))</f>
        <v>636.11199999999997</v>
      </c>
      <c r="K1237" s="17">
        <f>IF(A1241=A1242,_xll.ciqfunctions.udf.CIQ(A1233,"IQ_CAPEX",IQ_FY-6), _xll.ciqfunctions.udf.CIQ(A1233, "IQ_CAPEX",IQ_FY-5))</f>
        <v>-133.44900000000001</v>
      </c>
      <c r="L1237" s="15">
        <f t="shared" si="328"/>
        <v>3.4927932472047774</v>
      </c>
      <c r="M1237" s="17">
        <f>IF(A1241=A1242,_xll.ciqfunctions.udf.CIQ(A1233,"IQ_TOTAL_DEBT_ISSUED",IQ_FY-6), _xll.ciqfunctions.udf.CIQ(A1233, "IQ_TOTAL_DEBT_ISSUED",IQ_FY-5))</f>
        <v>200</v>
      </c>
      <c r="N1237" s="17">
        <f>IF(A1241=A1242,_xll.ciqfunctions.udf.CIQ(A1233,"IQ_TOTAL_DEBT_REPAID",IQ_FY-6), _xll.ciqfunctions.udf.CIQ(A1233, "IQ_TOTAL_DEBT_REPAID",IQ_FY-5))</f>
        <v>-400</v>
      </c>
      <c r="O1237" s="15">
        <f t="shared" si="329"/>
        <v>-1.3897156732064138</v>
      </c>
      <c r="P1237" s="15">
        <f t="shared" si="330"/>
        <v>2.1030775739983634</v>
      </c>
      <c r="Q1237" s="18"/>
      <c r="R1237" s="38" t="s">
        <v>50</v>
      </c>
      <c r="S1237" s="3">
        <f>I1244</f>
        <v>-3.290211834702117E-2</v>
      </c>
      <c r="U1237" s="18"/>
      <c r="V1237" s="38" t="s">
        <v>50</v>
      </c>
      <c r="W1237" s="3">
        <f>I1244</f>
        <v>-3.290211834702117E-2</v>
      </c>
      <c r="Y1237" s="18"/>
      <c r="Z1237" s="38" t="s">
        <v>50</v>
      </c>
      <c r="AA1237" s="3">
        <f>I1244</f>
        <v>-3.290211834702117E-2</v>
      </c>
    </row>
    <row r="1238" spans="1:27">
      <c r="B1238" s="13">
        <v>6</v>
      </c>
      <c r="C1238" s="14" t="s">
        <v>26</v>
      </c>
      <c r="D1238" s="15" cm="1">
        <f t="array" ref="D1238">_xlfn.SINGLE(IF(A1241=A1242,_xll.ciqfunctions.udf.CIQ(A1233,"IQ_TOTAL_REV",IQ_FY-5)/I1238, _xll.ciqfunctions.udf.CIQ(A1233, "IQ_TOTAL_REV",IQ_FY-4)/I1238))</f>
        <v>28.478023986859018</v>
      </c>
      <c r="E1238" s="16">
        <f t="shared" si="331"/>
        <v>5.9796088285249543E-2</v>
      </c>
      <c r="F1238" s="15">
        <f>IF(A1241=A1242,_xll.ciqfunctions.udf.CIQ(A1233,"IQ_DILUT_EPS_EXCL",IQ_FY-5), _xll.ciqfunctions.udf.CIQ(A1233, "IQ_DILUT_EPS_EXCL",IQ_FY-4))</f>
        <v>2.4662500000000001</v>
      </c>
      <c r="G1238" s="15">
        <f>IF(A1241=A1242,_xll.ciqfunctions.udf.CIQ(A1233,"IQ_EBITDA_MARGIN",IQ_FY-5), _xll.ciqfunctions.udf.CIQ(A1233, "IQ_EBITDA_MARGIN",IQ_FY-4))</f>
        <v>18.229299999999999</v>
      </c>
      <c r="H1238" s="15">
        <f>IF(A1241=A1242,_xll.ciqfunctions.udf.CIQ(A1233,"IQ_TOTAL_DIV_PAID_CF",IQ_FY-5)/-I1238, _xll.ciqfunctions.udf.CIQ(A1233, "IQ_TOTAL_DIV_PAID_CF",IQ_FY-4)/-I1238)</f>
        <v>0.96214531495084488</v>
      </c>
      <c r="I1238" s="17">
        <f>IF(A1241=A1242,_xll.ciqfunctions.udf.CIQ(A1233,"IQ_TOTAL_OUTSTANDING_FILING_DATE",IQ_FY-5), _xll.ciqfunctions.udf.CIQ(A1233, "IQ_TOTAL_OUTSTANDING_FILING_DATE",IQ_FY-4))</f>
        <v>139.57559000000001</v>
      </c>
      <c r="J1238" s="17">
        <f>IF(A1241=A1242,_xll.ciqfunctions.udf.CIQ(A1233,"IQ_CASH_OPER",IQ_FY-5), _xll.ciqfunctions.udf.CIQ(A1233, "IQ_CASH_OPER",IQ_FY-4))</f>
        <v>557.24900000000002</v>
      </c>
      <c r="K1238" s="17">
        <f>IF(A1241=A1242,_xll.ciqfunctions.udf.CIQ(A1233,"IQ_CAPEX",IQ_FY-5), _xll.ciqfunctions.udf.CIQ(A1233, "IQ_CAPEX",IQ_FY-4))</f>
        <v>-231.60499999999999</v>
      </c>
      <c r="L1238" s="15">
        <f t="shared" si="328"/>
        <v>2.3331013682263495</v>
      </c>
      <c r="M1238" s="17">
        <f>IF(A1241=A1242,_xll.ciqfunctions.udf.CIQ(A1233,"IQ_TOTAL_DEBT_ISSUED",IQ_FY-5), _xll.ciqfunctions.udf.CIQ(A1233, "IQ_TOTAL_DEBT_ISSUED",IQ_FY-4))</f>
        <v>120</v>
      </c>
      <c r="N1238" s="17">
        <f>IF(A1241=A1242,_xll.ciqfunctions.udf.CIQ(A1233,"IQ_TOTAL_DEBT_REPAID",IQ_FY-5), _xll.ciqfunctions.udf.CIQ(A1233, "IQ_TOTAL_DEBT_REPAID",IQ_FY-4))</f>
        <v>-120</v>
      </c>
      <c r="O1238" s="15">
        <f t="shared" si="329"/>
        <v>0</v>
      </c>
      <c r="P1238" s="15">
        <f t="shared" si="330"/>
        <v>2.3331013682263495</v>
      </c>
      <c r="Q1238" s="25" t="s">
        <v>27</v>
      </c>
      <c r="R1238" s="38" t="s">
        <v>51</v>
      </c>
      <c r="S1238" s="4">
        <f>AVERAGE(F1238:F1243)/AVERAGE(D1238:D1243)</f>
        <v>0.11705482984271057</v>
      </c>
      <c r="U1238" s="25" t="s">
        <v>58</v>
      </c>
      <c r="V1238" s="38" t="s">
        <v>51</v>
      </c>
      <c r="W1238" s="4">
        <f>AVERAGE(F1238:F1243)/AVERAGE(D1238:D1243)</f>
        <v>0.11705482984271057</v>
      </c>
      <c r="Y1238" s="25" t="s">
        <v>56</v>
      </c>
      <c r="Z1238" s="38" t="s">
        <v>51</v>
      </c>
      <c r="AA1238" s="4">
        <f>AVERAGE(F1238:F1243)/AVERAGE(D1238:D1243)</f>
        <v>0.11705482984271057</v>
      </c>
    </row>
    <row r="1239" spans="1:27">
      <c r="A1239" s="18"/>
      <c r="B1239" s="13">
        <v>7</v>
      </c>
      <c r="C1239" s="14" t="s">
        <v>28</v>
      </c>
      <c r="D1239" s="15" cm="1">
        <f t="array" ref="D1239">_xlfn.SINGLE(IF(A1241=A1242,_xll.ciqfunctions.udf.CIQ(A1233,"IQ_TOTAL_REV",IQ_FY-4)/I1239, _xll.ciqfunctions.udf.CIQ(A1233, "IQ_TOTAL_REV",IQ_FY-3)/I1239))</f>
        <v>30.330618645556566</v>
      </c>
      <c r="E1239" s="16">
        <f t="shared" si="331"/>
        <v>6.5053483329897271E-2</v>
      </c>
      <c r="F1239" s="15">
        <f>IF(A1241=A1242,_xll.ciqfunctions.udf.CIQ(A1233,"IQ_DILUT_EPS_EXCL",IQ_FY-4), _xll.ciqfunctions.udf.CIQ(A1233, "IQ_DILUT_EPS_EXCL",IQ_FY-3))</f>
        <v>3.47159</v>
      </c>
      <c r="G1239" s="15">
        <f>IF(A1241=A1242,_xll.ciqfunctions.udf.CIQ(A1233,"IQ_EBITDA_MARGIN",IQ_FY-4), _xll.ciqfunctions.udf.CIQ(A1233, "IQ_EBITDA_MARGIN",IQ_FY-3))</f>
        <v>18.976700000000001</v>
      </c>
      <c r="H1239" s="15">
        <f>IF(A1241=A1242,_xll.ciqfunctions.udf.CIQ(A1233,"IQ_TOTAL_DIV_PAID_CF",IQ_FY-4)/-I1239, _xll.ciqfunctions.udf.CIQ(A1233, "IQ_TOTAL_DIV_PAID_CF",IQ_FY-3)/-I1239)</f>
        <v>1.0955828822893361</v>
      </c>
      <c r="I1239" s="17">
        <f>IF(A1241=A1242,_xll.ciqfunctions.udf.CIQ(A1233,"IQ_TOTAL_OUTSTANDING_FILING_DATE",IQ_FY-4), _xll.ciqfunctions.udf.CIQ(A1233, "IQ_TOTAL_OUTSTANDING_FILING_DATE",IQ_FY-3))</f>
        <v>134.73741000000001</v>
      </c>
      <c r="J1239" s="17">
        <f>IF(A1241=A1242,_xll.ciqfunctions.udf.CIQ(A1233,"IQ_CASH_OPER",IQ_FY-4), _xll.ciqfunctions.udf.CIQ(A1233, "IQ_CASH_OPER",IQ_FY-3))</f>
        <v>656.37699999999995</v>
      </c>
      <c r="K1239" s="17">
        <f>IF(A1241=A1242,_xll.ciqfunctions.udf.CIQ(A1233,"IQ_CAPEX",IQ_FY-4), _xll.ciqfunctions.udf.CIQ(A1233, "IQ_CAPEX",IQ_FY-3))</f>
        <v>-137.91300000000001</v>
      </c>
      <c r="L1239" s="15">
        <f t="shared" si="328"/>
        <v>3.8479587814549792</v>
      </c>
      <c r="M1239" s="17">
        <f>IF(A1241=A1242,_xll.ciqfunctions.udf.CIQ(A1233,"IQ_TOTAL_DEBT_ISSUED",IQ_FY-4), _xll.ciqfunctions.udf.CIQ(A1233, "IQ_TOTAL_DEBT_ISSUED",IQ_FY-3))</f>
        <v>0</v>
      </c>
      <c r="N1239" s="17">
        <f>IF(A1241=A1242,_xll.ciqfunctions.udf.CIQ(A1233,"IQ_TOTAL_DEBT_REPAID",IQ_FY-4), _xll.ciqfunctions.udf.CIQ(A1233, "IQ_TOTAL_DEBT_REPAID",IQ_FY-3))</f>
        <v>0</v>
      </c>
      <c r="O1239" s="15">
        <f t="shared" si="329"/>
        <v>0</v>
      </c>
      <c r="P1239" s="15">
        <f t="shared" si="330"/>
        <v>3.8479587814549792</v>
      </c>
      <c r="Q1239" s="18"/>
      <c r="R1239" s="38" t="s">
        <v>29</v>
      </c>
      <c r="S1239" s="4">
        <f>(AVERAGE(P1238:P1243)/_xlfn.STDEV.P(P1238:P1243))/(IF(A1241=A1242,(_xlfn.SINGLE(_xll.ciqfunctions.udf.CIQ(A1233,"IQ_total_assets",IQ_FY)) - _xlfn.SINGLE(_xll.ciqfunctions.udf.CIQ(A1233,"iq_gw_intan", IQ_FY)))/I1243, (_xlfn.SINGLE(_xll.ciqfunctions.udf.CIQ(A1233, "IQ_total_assets",IQ_LTM))-_xlfn.SINGLE(_xll.ciqfunctions.udf.CIQ(A1233,"iq_gw_intan",IQ_LTM)))/I1243))</f>
        <v>8.1571641709007547E-2</v>
      </c>
      <c r="U1239" s="18"/>
      <c r="V1239" s="38" t="s">
        <v>29</v>
      </c>
      <c r="W1239" s="4">
        <f>(AVERAGE(P1238:P1243)/_xlfn.STDEV.P(P1238:P1243))/(IF(A1241=A1242,(_xlfn.SINGLE(_xll.ciqfunctions.udf.CIQ(A1233,"IQ_total_assets",IQ_FY)) - _xlfn.SINGLE(_xll.ciqfunctions.udf.CIQ(A1233,"iq_gw_intan", IQ_FY)))/I1243, (_xlfn.SINGLE(_xll.ciqfunctions.udf.CIQ(A1233, "IQ_total_assets",IQ_LTM))-_xlfn.SINGLE(_xll.ciqfunctions.udf.CIQ(A1233,"iq_gw_intan",IQ_LTM)))/I1243))</f>
        <v>8.1571641709007547E-2</v>
      </c>
      <c r="Y1239" s="18"/>
      <c r="Z1239" s="38" t="s">
        <v>29</v>
      </c>
      <c r="AA1239" s="4">
        <f>(AVERAGE(P1238:P1243)/_xlfn.STDEV.P(P1238:P1243))/(IF(A1241=A1242,(_xlfn.SINGLE(_xll.ciqfunctions.udf.CIQ(A1233,"IQ_total_assets",IQ_FY)) - _xlfn.SINGLE(_xll.ciqfunctions.udf.CIQ(A1233,"iq_gw_intan", IQ_FY)))/I1243, (_xlfn.SINGLE(_xll.ciqfunctions.udf.CIQ(A1233, "IQ_total_assets",IQ_LTM))-_xlfn.SINGLE(_xll.ciqfunctions.udf.CIQ(A1233,"iq_gw_intan",IQ_LTM)))/I1243))</f>
        <v>8.1571641709007547E-2</v>
      </c>
    </row>
    <row r="1240" spans="1:27">
      <c r="A1240" s="18"/>
      <c r="B1240" s="13">
        <v>8</v>
      </c>
      <c r="C1240" s="14" t="s">
        <v>30</v>
      </c>
      <c r="D1240" s="15" cm="1">
        <f t="array" ref="D1240">_xlfn.SINGLE(IF(A1241=A1242,_xll.ciqfunctions.udf.CIQ(A1233,"IQ_TOTAL_REV",IQ_FY-3)/I1240, _xll.ciqfunctions.udf.CIQ(A1233, "IQ_TOTAL_REV",IQ_FY-2)/I1240))</f>
        <v>31.79798090430506</v>
      </c>
      <c r="E1240" s="16">
        <f t="shared" si="331"/>
        <v>4.8378909639004763E-2</v>
      </c>
      <c r="F1240" s="15">
        <f>IF(A1241=A1242,_xll.ciqfunctions.udf.CIQ(A1233,"IQ_DILUT_EPS_EXCL",IQ_FY-3), _xll.ciqfunctions.udf.CIQ(A1233, "IQ_DILUT_EPS_EXCL",IQ_FY-2))</f>
        <v>3.7088800000000002</v>
      </c>
      <c r="G1240" s="15">
        <f>IF(A1241=A1242,_xll.ciqfunctions.udf.CIQ(A1233,"IQ_EBITDA_MARGIN",IQ_FY-3), _xll.ciqfunctions.udf.CIQ(A1233, "IQ_EBITDA_MARGIN",IQ_FY-2))</f>
        <v>19.025099999999998</v>
      </c>
      <c r="H1240" s="15">
        <f>IF(A1241=A1242,_xll.ciqfunctions.udf.CIQ(A1233,"IQ_TOTAL_DIV_PAID_CF",IQ_FY-3)/-I1240, _xll.ciqfunctions.udf.CIQ(A1233, "IQ_TOTAL_DIV_PAID_CF",IQ_FY-2)/-I1240)</f>
        <v>1.2513215983686392</v>
      </c>
      <c r="I1240" s="17">
        <f>IF(A1241=A1242,_xll.ciqfunctions.udf.CIQ(A1233,"IQ_TOTAL_OUTSTANDING_FILING_DATE",IQ_FY-3), _xll.ciqfunctions.udf.CIQ(A1233, "IQ_TOTAL_OUTSTANDING_FILING_DATE",IQ_FY-2))</f>
        <v>131.11018000000001</v>
      </c>
      <c r="J1240" s="17">
        <f>IF(A1241=A1242,_xll.ciqfunctions.udf.CIQ(A1233,"IQ_CASH_OPER",IQ_FY-3), _xll.ciqfunctions.udf.CIQ(A1233, "IQ_CASH_OPER",IQ_FY-2))</f>
        <v>658.13599999999997</v>
      </c>
      <c r="K1240" s="17">
        <f>IF(A1241=A1242,_xll.ciqfunctions.udf.CIQ(A1233,"IQ_CAPEX",IQ_FY-3), _xll.ciqfunctions.udf.CIQ(A1233, "IQ_CAPEX",IQ_FY-2))</f>
        <v>-205.70400000000001</v>
      </c>
      <c r="L1240" s="15">
        <f t="shared" si="328"/>
        <v>3.4507770487387015</v>
      </c>
      <c r="M1240" s="17">
        <f>IF(A1241=A1242,_xll.ciqfunctions.udf.CIQ(A1233,"IQ_TOTAL_DEBT_ISSUED",IQ_FY-3), _xll.ciqfunctions.udf.CIQ(A1233, "IQ_TOTAL_DEBT_ISSUED",IQ_FY-2))</f>
        <v>1093.9190000000001</v>
      </c>
      <c r="N1240" s="17">
        <f>IF(A1241=A1242,_xll.ciqfunctions.udf.CIQ(A1233,"IQ_TOTAL_DEBT_REPAID",IQ_FY-3), _xll.ciqfunctions.udf.CIQ(A1233, "IQ_TOTAL_DEBT_REPAID",IQ_FY-2))</f>
        <v>-350</v>
      </c>
      <c r="O1240" s="15">
        <f t="shared" si="329"/>
        <v>5.6739987695844825</v>
      </c>
      <c r="P1240" s="15">
        <f t="shared" si="330"/>
        <v>9.1247758183231831</v>
      </c>
      <c r="Q1240" s="18"/>
      <c r="R1240" s="39" t="s">
        <v>31</v>
      </c>
      <c r="S1240" s="5">
        <f>IF(NOT(D1233&gt;0),FALSE,SLOPE(G1233:G1243,B1233:B1243))</f>
        <v>3.5776363636363488E-2</v>
      </c>
      <c r="U1240" s="18"/>
      <c r="V1240" s="39" t="s">
        <v>31</v>
      </c>
      <c r="W1240" s="5">
        <f>IF(NOT(D1233&gt;0),FALSE,SLOPE(G1233:G1243,B1233:B1243))</f>
        <v>3.5776363636363488E-2</v>
      </c>
      <c r="Y1240" s="18"/>
      <c r="Z1240" s="39" t="s">
        <v>31</v>
      </c>
      <c r="AA1240" s="5">
        <f>IF(NOT(L1233&gt;0),FALSE,SLOPE(O1233:O1243,J1233:J1243))</f>
        <v>-3.1148026578553356E-3</v>
      </c>
    </row>
    <row r="1241" spans="1:27">
      <c r="A1241" s="19">
        <f>_xll.ciqfunctions.udf.CIQ(A1233,"IQ_TOTAL_REV",IQ_FY)</f>
        <v>4887.55</v>
      </c>
      <c r="B1241" s="13">
        <v>9</v>
      </c>
      <c r="C1241" s="14" t="s">
        <v>32</v>
      </c>
      <c r="D1241" s="15" cm="1">
        <f t="array" ref="D1241">_xlfn.SINGLE(IF(A1241=A1242,_xll.ciqfunctions.udf.CIQ(A1233,"IQ_TOTAL_REV",IQ_FY-2)/I1241, _xll.ciqfunctions.udf.CIQ(A1233, "IQ_TOTAL_REV",IQ_FY-1)/I1241))</f>
        <v>34.345875582213061</v>
      </c>
      <c r="E1241" s="16">
        <f t="shared" si="331"/>
        <v>8.0127561733425889E-2</v>
      </c>
      <c r="F1241" s="15">
        <f>IF(A1241=A1242,_xll.ciqfunctions.udf.CIQ(A1233,"IQ_DILUT_EPS_EXCL",IQ_FY-2), _xll.ciqfunctions.udf.CIQ(A1233, "IQ_DILUT_EPS_EXCL",IQ_FY-1))</f>
        <v>5.3247600000000004</v>
      </c>
      <c r="G1241" s="15">
        <f>IF(A1241=A1242,_xll.ciqfunctions.udf.CIQ(A1233,"IQ_EBITDA_MARGIN",IQ_FY-2), _xll.ciqfunctions.udf.CIQ(A1233, "IQ_EBITDA_MARGIN",IQ_FY-1))</f>
        <v>18.8293</v>
      </c>
      <c r="H1241" s="15">
        <f>IF(A1241=A1242,_xll.ciqfunctions.udf.CIQ(A1233,"IQ_TOTAL_DIV_PAID_CF",IQ_FY-2)/-I1241, _xll.ciqfunctions.udf.CIQ(A1233, "IQ_TOTAL_DIV_PAID_CF",IQ_FY-1)/-I1241)</f>
        <v>1.4212970152138011</v>
      </c>
      <c r="I1241" s="17">
        <f>IF(A1241=A1242,_xll.ciqfunctions.udf.CIQ(A1233,"IQ_TOTAL_OUTSTANDING_FILING_DATE",IQ_FY-2), _xll.ciqfunctions.udf.CIQ(A1233, "IQ_TOTAL_OUTSTANDING_FILING_DATE",IQ_FY-1))</f>
        <v>124.86623</v>
      </c>
      <c r="J1241" s="17">
        <f>IF(A1241=A1242,_xll.ciqfunctions.udf.CIQ(A1233,"IQ_CASH_OPER",IQ_FY-2), _xll.ciqfunctions.udf.CIQ(A1233, "IQ_CASH_OPER",IQ_FY-1))</f>
        <v>925.80700000000002</v>
      </c>
      <c r="K1241" s="17">
        <f>IF(A1241=A1242,_xll.ciqfunctions.udf.CIQ(A1233,"IQ_CAPEX",IQ_FY-2), _xll.ciqfunctions.udf.CIQ(A1233, "IQ_CAPEX",IQ_FY-1))</f>
        <v>-210.76599999999999</v>
      </c>
      <c r="L1241" s="15">
        <f t="shared" si="328"/>
        <v>5.7264562243930968</v>
      </c>
      <c r="M1241" s="17">
        <f>IF(A1241=A1242,_xll.ciqfunctions.udf.CIQ(A1233,"IQ_TOTAL_DEBT_ISSUED",IQ_FY-2), _xll.ciqfunctions.udf.CIQ(A1233, "IQ_TOTAL_DEBT_ISSUED",IQ_FY-1))</f>
        <v>0</v>
      </c>
      <c r="N1241" s="17">
        <f>IF(A1241=A1242,_xll.ciqfunctions.udf.CIQ(A1233,"IQ_TOTAL_DEBT_REPAID",IQ_FY-2), _xll.ciqfunctions.udf.CIQ(A1233, "IQ_TOTAL_DEBT_REPAID",IQ_FY-1))</f>
        <v>-100</v>
      </c>
      <c r="O1241" s="15">
        <f t="shared" si="329"/>
        <v>-0.80085704517546497</v>
      </c>
      <c r="P1241" s="15">
        <f t="shared" si="330"/>
        <v>4.9255991792176319</v>
      </c>
      <c r="Q1241" s="25" t="s">
        <v>33</v>
      </c>
      <c r="R1241" s="38" t="s">
        <v>52</v>
      </c>
      <c r="S1241" s="4">
        <f>(AVERAGE(O1238:O1243)/AVERAGE(P1238:P1243))</f>
        <v>0.15967162964871151</v>
      </c>
      <c r="U1241" s="25" t="s">
        <v>54</v>
      </c>
      <c r="V1241" s="38" t="s">
        <v>52</v>
      </c>
      <c r="W1241" s="4">
        <f>(AVERAGE(O1238:O1243)/AVERAGE(P1238:P1243))</f>
        <v>0.15967162964871151</v>
      </c>
      <c r="Y1241" s="25" t="s">
        <v>60</v>
      </c>
      <c r="Z1241" s="38" t="s">
        <v>52</v>
      </c>
      <c r="AA1241" s="4">
        <f>(AVERAGE(O1238:O1243)/AVERAGE(P1238:P1243))</f>
        <v>0.15967162964871151</v>
      </c>
    </row>
    <row r="1242" spans="1:27">
      <c r="A1242" s="19">
        <f>_xll.ciqfunctions.udf.CIQ(A1233,"IQ_TOTAL_REV",IQ_LTM)</f>
        <v>4887.55</v>
      </c>
      <c r="B1242" s="13">
        <v>10</v>
      </c>
      <c r="C1242" s="14" t="s">
        <v>34</v>
      </c>
      <c r="D1242" s="15" cm="1">
        <f t="array" ref="D1242">_xlfn.SINGLE(IF(A1241=A1242,_xll.ciqfunctions.udf.CIQ(A1233,"IQ_TOTAL_REV",IQ_FY-1)/I1242, _xll.ciqfunctions.udf.CIQ(A1233, "IQ_TOTAL_REV",IQ_FY)/I1242))</f>
        <v>37.881359018545467</v>
      </c>
      <c r="E1242" s="16">
        <f t="shared" si="331"/>
        <v>0.10293764175176107</v>
      </c>
      <c r="F1242" s="15">
        <f>IF(A1241=A1242,_xll.ciqfunctions.udf.CIQ(A1233,"IQ_DILUT_EPS_EXCL",IQ_FY-1), _xll.ciqfunctions.udf.CIQ(A1233, "IQ_DILUT_EPS_EXCL",IQ_FY))</f>
        <v>4.4442899999999996</v>
      </c>
      <c r="G1242" s="15">
        <f>IF(A1241=A1242,_xll.ciqfunctions.udf.CIQ(A1233,"IQ_EBITDA_MARGIN",IQ_FY-1), _xll.ciqfunctions.udf.CIQ(A1233, "IQ_EBITDA_MARGIN",IQ_FY))</f>
        <v>19.431699999999999</v>
      </c>
      <c r="H1242" s="15">
        <f>IF(A1241=A1242,_xll.ciqfunctions.udf.CIQ(A1233,"IQ_TOTAL_DIV_PAID_CF",IQ_FY-1)/-I1242, _xll.ciqfunctions.udf.CIQ(A1233, "IQ_TOTAL_DIV_PAID_CF",IQ_FY)/-I1242)</f>
        <v>1.540127763899994</v>
      </c>
      <c r="I1242" s="17">
        <f>IF(A1241=A1242,_xll.ciqfunctions.udf.CIQ(A1233,"IQ_TOTAL_OUTSTANDING_FILING_DATE",IQ_FY-1), _xll.ciqfunctions.udf.CIQ(A1233, "IQ_TOTAL_OUTSTANDING_FILING_DATE",IQ_FY))</f>
        <v>120.81659999999999</v>
      </c>
      <c r="J1242" s="17">
        <f>IF(A1241=A1242,_xll.ciqfunctions.udf.CIQ(A1233,"IQ_CASH_OPER",IQ_FY-1), _xll.ciqfunctions.udf.CIQ(A1233, "IQ_CASH_OPER",IQ_FY))</f>
        <v>756.71900000000005</v>
      </c>
      <c r="K1242" s="17">
        <f>IF(A1241=A1242,_xll.ciqfunctions.udf.CIQ(A1233,"IQ_CAPEX",IQ_FY-1), _xll.ciqfunctions.udf.CIQ(A1233, "IQ_CAPEX",IQ_FY))</f>
        <v>-227.74</v>
      </c>
      <c r="L1242" s="15">
        <f t="shared" si="328"/>
        <v>4.3783635692446241</v>
      </c>
      <c r="M1242" s="17">
        <f>IF(A1241=A1242,_xll.ciqfunctions.udf.CIQ(A1233,"IQ_TOTAL_DEBT_ISSUED",IQ_FY-1), _xll.ciqfunctions.udf.CIQ(A1233, "IQ_TOTAL_DEBT_ISSUED",IQ_FY))</f>
        <v>0</v>
      </c>
      <c r="N1242" s="17">
        <f>IF(A1241=A1242,_xll.ciqfunctions.udf.CIQ(A1233,"IQ_TOTAL_DEBT_REPAID",IQ_FY-1), _xll.ciqfunctions.udf.CIQ(A1233, "IQ_TOTAL_DEBT_REPAID",IQ_FY))</f>
        <v>0</v>
      </c>
      <c r="O1242" s="15">
        <f t="shared" si="329"/>
        <v>0</v>
      </c>
      <c r="P1242" s="15">
        <f t="shared" si="330"/>
        <v>4.3783635692446241</v>
      </c>
      <c r="Q1242" s="25" t="s">
        <v>44</v>
      </c>
      <c r="R1242" s="38" t="s">
        <v>35</v>
      </c>
      <c r="S1242" s="1">
        <f>_xll.ciqfunctions.udf.CIQ(A1233,"IQ_TEV_EBITDA")</f>
        <v>9.7519799999999996</v>
      </c>
      <c r="U1242" s="25" t="s">
        <v>55</v>
      </c>
      <c r="V1242" s="38" t="s">
        <v>53</v>
      </c>
      <c r="W1242" s="1">
        <f>V1232/(AVERAGE(D1238:D1243)/_xlfn.STDEV.P(E1238:E1243))</f>
        <v>4.6183153289184313E-2</v>
      </c>
      <c r="Y1242" s="25" t="s">
        <v>57</v>
      </c>
      <c r="Z1242" s="38" t="s">
        <v>53</v>
      </c>
      <c r="AA1242" s="1">
        <f>Z1232/(AVERAGE(D1238:D1243)/_xlfn.STDEV.P(E1238:E1243))</f>
        <v>4.6183153289184313E-2</v>
      </c>
    </row>
    <row r="1243" spans="1:27">
      <c r="B1243" s="13">
        <v>11</v>
      </c>
      <c r="C1243" s="20" t="s">
        <v>36</v>
      </c>
      <c r="D1243" s="21" cm="1">
        <f t="array" ref="D1243">_xlfn.SINGLE(IF(A1241=A1242,_xll.ciqfunctions.udf.CIQ(A1233,"IQ_TOTAL_REV",IQ_FY)/I1243, _xll.ciqfunctions.udf.CIQ(A1233, "IQ_TOTAL_REV",IQ_LTM)/I1243))</f>
        <v>41.393255191571534</v>
      </c>
      <c r="E1243" s="22">
        <f t="shared" si="331"/>
        <v>9.2707766141831335E-2</v>
      </c>
      <c r="F1243" s="21">
        <f>IF(A1241=A1242,_xll.ciqfunctions.udf.CIQ(A1233,"IQ_DILUT_EPS_EXCL",IQ_FY), _xll.ciqfunctions.udf.CIQ(A1233, "IQ_DILUT_EPS_EXCL",IQ_LTM))</f>
        <v>4.49</v>
      </c>
      <c r="G1243" s="21">
        <f>IF(A1241=A1242,_xll.ciqfunctions.udf.CIQ(A1233,"IQ_EBITDA_MARGIN",IQ_FY), _xll.ciqfunctions.udf.CIQ(A1233, "IQ_EBITDA_MARGIN",IQ_LTM))</f>
        <v>18.771100000000001</v>
      </c>
      <c r="H1243" s="21">
        <f>IF(A1241=A1242,_xll.ciqfunctions.udf.CIQ(A1233,"IQ_TOTAL_DIV_PAID_CF",IQ_FY)/-I1243, _xll.ciqfunctions.udf.CIQ(A1233, "IQ_TOTAL_DIV_PAID_CF",IQ_LTM)/-I1243)</f>
        <v>1.6892509908872253</v>
      </c>
      <c r="I1243" s="23">
        <f>IF(A1241=A1242,_xll.ciqfunctions.udf.CIQ(A1233,"IQ_TOTAL_OUTSTANDING_FILING_DATE",IQ_FY),_xll.ciqfunctions.udf.CIQ(A1233,"IQ_sharesoutstanding"))</f>
        <v>118.07599999999999</v>
      </c>
      <c r="J1243" s="23">
        <f>IF(A1241=A1242,_xll.ciqfunctions.udf.CIQ(A1233,"IQ_CASH_OPER",IQ_FY), _xll.ciqfunctions.udf.CIQ(A1233, "IQ_CASH_OPER",IQ_LTM))</f>
        <v>822.63</v>
      </c>
      <c r="K1243" s="23">
        <f>IF(A1241=A1242,_xll.ciqfunctions.udf.CIQ(A1233,"IQ_CAPEX",IQ_FY), _xll.ciqfunctions.udf.CIQ(A1233, "IQ_CAPEX",IQ_LTM))</f>
        <v>-124.804</v>
      </c>
      <c r="L1243" s="21">
        <f t="shared" si="328"/>
        <v>5.909973237575799</v>
      </c>
      <c r="M1243" s="23">
        <f>IF(A1241=A1242,_xll.ciqfunctions.udf.CIQ(A1233,"IQ_TOTAL_DEBT_ISSUED",IQ_FY), _xll.ciqfunctions.udf.CIQ(A1233, "IQ_TOTAL_DEBT_ISSUED",IQ_LTM))</f>
        <v>0</v>
      </c>
      <c r="N1243" s="23">
        <f>IF(A1241=A1242,_xll.ciqfunctions.udf.CIQ(A1233,"IQ_TOTAL_DEBT_REPAID",IQ_FY), _xll.ciqfunctions.udf.CIQ(A1233, "IQ_TOTAL_DEBT_REPAID",IQ_LTM))</f>
        <v>0</v>
      </c>
      <c r="O1243" s="21">
        <f t="shared" si="329"/>
        <v>0</v>
      </c>
      <c r="P1243" s="21">
        <f t="shared" si="330"/>
        <v>5.909973237575799</v>
      </c>
      <c r="Q1243" s="25" t="s">
        <v>45</v>
      </c>
      <c r="S1243" s="45"/>
      <c r="U1243" s="25"/>
      <c r="W1243" s="45"/>
      <c r="Y1243" s="25"/>
      <c r="AA1243" s="45"/>
    </row>
    <row r="1244" spans="1:27">
      <c r="B1244" s="24"/>
      <c r="C1244" s="25" t="s">
        <v>37</v>
      </c>
      <c r="E1244" s="26">
        <f>((D1243/D1238)^(1/5))-1</f>
        <v>7.766541602486865E-2</v>
      </c>
      <c r="F1244" s="27">
        <f>((F1243/F1238)^(1/5))-1</f>
        <v>0.12730607798008142</v>
      </c>
      <c r="G1244" s="28"/>
      <c r="H1244" s="27">
        <f>((H1243/H1238)^(1/5))-1</f>
        <v>0.11915619377335895</v>
      </c>
      <c r="I1244" s="27">
        <f>((I1243/I1238)^(1/5))-1</f>
        <v>-3.290211834702117E-2</v>
      </c>
      <c r="J1244" s="27"/>
      <c r="K1244" s="27"/>
      <c r="L1244" s="26">
        <f>((L1243/L1238)^(1/5))-1</f>
        <v>0.20428806179214187</v>
      </c>
      <c r="M1244" s="26"/>
      <c r="N1244" s="26"/>
      <c r="O1244" s="26"/>
      <c r="P1244" s="26">
        <f>((P1243/P1238)^(1/5))-1</f>
        <v>0.20428806179214187</v>
      </c>
      <c r="Q1244" s="18"/>
      <c r="R1244" s="36"/>
      <c r="S1244" s="45"/>
      <c r="U1244" s="18"/>
      <c r="V1244" s="36"/>
      <c r="W1244" s="45"/>
      <c r="Y1244" s="18"/>
      <c r="Z1244" s="36"/>
      <c r="AA1244" s="45"/>
    </row>
    <row r="1245" spans="1:27">
      <c r="A1245" s="29"/>
      <c r="B1245" s="30"/>
      <c r="C1245" s="31" t="s">
        <v>38</v>
      </c>
      <c r="D1245" s="29"/>
      <c r="E1245" s="32">
        <f>((D1243/D1233)^(1/10))-1</f>
        <v>7.0646148970328282E-2</v>
      </c>
      <c r="F1245" s="33">
        <f>((F1243/F1233)^(1/10))-1</f>
        <v>5.904053218149885E-2</v>
      </c>
      <c r="G1245" s="34"/>
      <c r="H1245" s="33">
        <f>((H1243/H1233)^(1/10))-1</f>
        <v>0.1239346320160013</v>
      </c>
      <c r="I1245" s="33">
        <f>((I1243/I1233)^(1/10))-1</f>
        <v>-2.9909026679370565E-2</v>
      </c>
      <c r="J1245" s="33"/>
      <c r="K1245" s="33"/>
      <c r="L1245" s="32">
        <f>((L1243/L1233)^(1/10))-1</f>
        <v>5.3047526498851028E-2</v>
      </c>
      <c r="M1245" s="32"/>
      <c r="N1245" s="32"/>
      <c r="O1245" s="32"/>
      <c r="P1245" s="32">
        <f>((P1243/P1233)^(1/10))-1</f>
        <v>5.3047526498851028E-2</v>
      </c>
      <c r="Q1245" s="40"/>
      <c r="R1245" s="41"/>
      <c r="S1245" s="46"/>
      <c r="U1245" s="40"/>
      <c r="V1245" s="41"/>
      <c r="W1245" s="46"/>
      <c r="Y1245" s="40"/>
      <c r="Z1245" s="41"/>
      <c r="AA1245" s="46"/>
    </row>
    <row r="1246" spans="1:27">
      <c r="B1246" s="24"/>
      <c r="C1246" s="25"/>
      <c r="E1246" s="26"/>
      <c r="F1246" s="27"/>
      <c r="G1246" s="28"/>
      <c r="H1246" s="27"/>
      <c r="I1246" s="27"/>
      <c r="J1246" s="27"/>
      <c r="K1246" s="27"/>
      <c r="L1246" s="26"/>
      <c r="M1246" s="17"/>
      <c r="N1246" s="17"/>
      <c r="O1246" s="17"/>
      <c r="P1246" s="35"/>
      <c r="Q1246" s="18"/>
      <c r="R1246" s="36"/>
    </row>
    <row r="1247" spans="1:27">
      <c r="A1247" s="9" t="s">
        <v>0</v>
      </c>
      <c r="B1247" s="10"/>
      <c r="C1247" s="9" t="s">
        <v>1</v>
      </c>
      <c r="D1247" s="9" t="s">
        <v>2</v>
      </c>
      <c r="E1247" s="9" t="s">
        <v>3</v>
      </c>
      <c r="F1247" s="11" t="s">
        <v>4</v>
      </c>
      <c r="G1247" s="11" t="s">
        <v>5</v>
      </c>
      <c r="H1247" s="9" t="s">
        <v>6</v>
      </c>
      <c r="I1247" s="11" t="s">
        <v>7</v>
      </c>
      <c r="J1247" s="11" t="s">
        <v>8</v>
      </c>
      <c r="K1247" s="11" t="s">
        <v>9</v>
      </c>
      <c r="L1247" s="11" t="s">
        <v>10</v>
      </c>
      <c r="M1247" s="11" t="s">
        <v>11</v>
      </c>
      <c r="N1247" s="11" t="s">
        <v>12</v>
      </c>
      <c r="O1247" s="11" t="s">
        <v>13</v>
      </c>
      <c r="P1247" s="11" t="s">
        <v>14</v>
      </c>
      <c r="Q1247" s="37" t="s">
        <v>15</v>
      </c>
      <c r="R1247" s="42">
        <f>_xll.ciqfunctions.udf.CIQ(A1248,("IQ_LASTSALEPRICE"))</f>
        <v>96.31</v>
      </c>
      <c r="S1247" s="44"/>
      <c r="U1247" s="37" t="s">
        <v>15</v>
      </c>
      <c r="V1247" s="42">
        <f>_xll.ciqfunctions.udf.CIQ(A1248,("IQ_LASTSALEPRICE"))</f>
        <v>96.31</v>
      </c>
      <c r="W1247" s="44"/>
      <c r="Y1247" s="37" t="s">
        <v>15</v>
      </c>
      <c r="Z1247" s="42">
        <f>_xll.ciqfunctions.udf.CIQ(A1248,("IQ_LASTSALEPRICE"))</f>
        <v>96.31</v>
      </c>
      <c r="AA1247" s="44"/>
    </row>
    <row r="1248" spans="1:27">
      <c r="A1248" s="12" t="str">
        <f>Analysis!B85</f>
        <v>NYSE:GDDY</v>
      </c>
      <c r="B1248" s="13">
        <v>1</v>
      </c>
      <c r="C1248" s="14" t="s">
        <v>16</v>
      </c>
      <c r="D1248" s="15">
        <f>IF(A1256=A1257,_xll.ciqfunctions.udf.CIQ(A1248,"IQ_TOTAL_REV",IQ_FY-10)/I1248,_xll.ciqfunctions.udf.CIQ(A1248, "IQ_TOTAL_REV",IQ_FY-9)/I1248)</f>
        <v>8.8649174107667825</v>
      </c>
      <c r="E1248" s="16"/>
      <c r="F1248" s="15">
        <f>IF(A1256=A1257,_xll.ciqfunctions.udf.CIQ(A1248,"IQ_DILUT_EPS_EXCL",IQ_FY-10), _xll.ciqfunctions.udf.CIQ(A1248, "IQ_DILUT_EPS_EXCL",IQ_FY-9))</f>
        <v>-1.58</v>
      </c>
      <c r="G1248" s="15">
        <f>IF(A1256=A1257,_xll.ciqfunctions.udf.CIQ(A1248,"IQ_EBITDA_MARGIN",IQ_FY-10), _xll.ciqfunctions.udf.CIQ(A1248, "IQ_EBITDA_MARGIN",IQ_FY-9))</f>
        <v>0.76929999999999998</v>
      </c>
      <c r="H1248" s="15">
        <f>IF(A1256=A1257,_xll.ciqfunctions.udf.CIQ(A1248,"IQ_TOTAL_DIV_PAID_CF",IQ_FY-10)/-I1248, _xll.ciqfunctions.udf.CIQ(A1248, "IQ_TOTAL_DIV_PAID_CF",IQ_FY-9)/-I1248)</f>
        <v>0</v>
      </c>
      <c r="I1248" s="17">
        <f>IF(A1256=A1257,_xll.ciqfunctions.udf.CIQ(A1248,"IQ_TOTAL_OUTSTANDING_FILING_DATE",IQ_FY-10), _xll.ciqfunctions.udf.CIQ(A1248, "IQ_TOTAL_OUTSTANDING_FILING_DATE",IQ_FY-9))</f>
        <v>127.559</v>
      </c>
      <c r="J1248" s="17">
        <f>IF(A1256=A1257,_xll.ciqfunctions.udf.CIQ(A1248,"IQ_CASH_OPER",IQ_FY-10), _xll.ciqfunctions.udf.CIQ(A1248, "IQ_CASH_OPER",IQ_FY-9))</f>
        <v>153.30000000000001</v>
      </c>
      <c r="K1248" s="17">
        <f>IF(A1256=A1257,_xll.ciqfunctions.udf.CIQ(A1248,"IQ_CAPEX",IQ_FY-10), _xll.ciqfunctions.udf.CIQ(A1248, "IQ_CAPEX",IQ_FY-9))</f>
        <v>-52.1</v>
      </c>
      <c r="L1248" s="15">
        <f t="shared" ref="L1248:L1258" si="332">(J1248+K1248)/I1248</f>
        <v>0.79335836750052935</v>
      </c>
      <c r="M1248" s="17">
        <f>IF(A1256=A1257,_xll.ciqfunctions.udf.CIQ(A1248,"IQ_TOTAL_DEBT_ISSUED",IQ_FY-10), _xll.ciqfunctions.udf.CIQ(A1248, "IQ_TOTAL_DEBT_ISSUED",IQ_FY-9))</f>
        <v>100</v>
      </c>
      <c r="N1248" s="17">
        <f>IF(A1256=A1257,_xll.ciqfunctions.udf.CIQ(A1248,"IQ_TOTAL_DEBT_REPAID",IQ_FY-10), _xll.ciqfunctions.udf.CIQ(A1248, "IQ_TOTAL_DEBT_REPAID",IQ_FY-9))</f>
        <v>-7.8</v>
      </c>
      <c r="O1248" s="15">
        <f t="shared" ref="O1248:O1258" si="333">(M1248+N1248)/I1248</f>
        <v>0.72280278145799204</v>
      </c>
      <c r="P1248" s="15">
        <f t="shared" ref="P1248:P1258" si="334">L1248+O1248</f>
        <v>1.5161611489585214</v>
      </c>
      <c r="W1248" s="43"/>
      <c r="AA1248" s="43"/>
    </row>
    <row r="1249" spans="1:27">
      <c r="A1249" s="18" t="str">
        <f>_xll.ciqfunctions.udf.CIQ(A1248,"IQ_COMPANY_NAME")</f>
        <v>GoDaddy Inc.</v>
      </c>
      <c r="B1249" s="13">
        <v>2</v>
      </c>
      <c r="C1249" s="14" t="s">
        <v>17</v>
      </c>
      <c r="D1249" s="15">
        <f>IF(A1256=A1257,_xll.ciqfunctions.udf.CIQ(A1248,"IQ_TOTAL_REV",IQ_FY-9)/I1249, _xll.ciqfunctions.udf.CIQ(A1248, "IQ_TOTAL_REV",IQ_FY-8)/I1249)</f>
        <v>22.438812465518097</v>
      </c>
      <c r="E1249" s="16">
        <f t="shared" ref="E1249:E1258" si="335">(D1249-D1248)/D1248</f>
        <v>1.5311925002555915</v>
      </c>
      <c r="F1249" s="15">
        <f>IF(A1256=A1257,_xll.ciqfunctions.udf.CIQ(A1248,"IQ_DILUT_EPS_EXCL",IQ_FY-9), _xll.ciqfunctions.udf.CIQ(A1248, "IQ_DILUT_EPS_EXCL",IQ_FY-8))</f>
        <v>-1.11266</v>
      </c>
      <c r="G1249" s="15">
        <f>IF(A1256=A1257,_xll.ciqfunctions.udf.CIQ(A1248,"IQ_EBITDA_MARGIN",IQ_FY-9), _xll.ciqfunctions.udf.CIQ(A1248, "IQ_EBITDA_MARGIN",IQ_FY-8))</f>
        <v>6.5522</v>
      </c>
      <c r="H1249" s="15">
        <f>IF(A1256=A1257,_xll.ciqfunctions.udf.CIQ(A1248,"IQ_TOTAL_DIV_PAID_CF",IQ_FY-9)/-I1249, _xll.ciqfunctions.udf.CIQ(A1248, "IQ_TOTAL_DIV_PAID_CF",IQ_FY-8)/-I1249)</f>
        <v>0</v>
      </c>
      <c r="I1249" s="17">
        <f>IF(A1256=A1257,_xll.ciqfunctions.udf.CIQ(A1248,"IQ_TOTAL_OUTSTANDING_FILING_DATE",IQ_FY-9), _xll.ciqfunctions.udf.CIQ(A1248, "IQ_TOTAL_OUTSTANDING_FILING_DATE",IQ_FY-8))</f>
        <v>61.82591</v>
      </c>
      <c r="J1249" s="17">
        <f>IF(A1256=A1257,_xll.ciqfunctions.udf.CIQ(A1248,"IQ_CASH_OPER",IQ_FY-9), _xll.ciqfunctions.udf.CIQ(A1248, "IQ_CASH_OPER",IQ_FY-8))</f>
        <v>180.6</v>
      </c>
      <c r="K1249" s="17">
        <f>IF(A1256=A1257,_xll.ciqfunctions.udf.CIQ(A1248,"IQ_CAPEX",IQ_FY-9), _xll.ciqfunctions.udf.CIQ(A1248, "IQ_CAPEX",IQ_FY-8))</f>
        <v>-67.900000000000006</v>
      </c>
      <c r="L1249" s="15">
        <f t="shared" si="332"/>
        <v>1.8228603509434798</v>
      </c>
      <c r="M1249" s="17">
        <f>IF(A1256=A1257,_xll.ciqfunctions.udf.CIQ(A1248,"IQ_TOTAL_DEBT_ISSUED",IQ_FY-9), _xll.ciqfunctions.udf.CIQ(A1248, "IQ_TOTAL_DEBT_ISSUED",IQ_FY-8))</f>
        <v>338.8</v>
      </c>
      <c r="N1249" s="17">
        <f>IF(A1256=A1257,_xll.ciqfunctions.udf.CIQ(A1248,"IQ_TOTAL_DEBT_REPAID",IQ_FY-9), _xll.ciqfunctions.udf.CIQ(A1248, "IQ_TOTAL_DEBT_REPAID",IQ_FY-8))</f>
        <v>-11.7</v>
      </c>
      <c r="O1249" s="15">
        <f t="shared" si="333"/>
        <v>5.2906621188430547</v>
      </c>
      <c r="P1249" s="15">
        <f t="shared" si="334"/>
        <v>7.1135224697865347</v>
      </c>
      <c r="Q1249" s="25" t="s">
        <v>18</v>
      </c>
      <c r="R1249" s="39" t="s">
        <v>19</v>
      </c>
      <c r="S1249" s="1">
        <f>R1247/((AVERAGE(P1253:P1258))*(1+E1259)^3)</f>
        <v>11.223820273363993</v>
      </c>
      <c r="U1249" s="25" t="s">
        <v>48</v>
      </c>
      <c r="V1249" s="39" t="s">
        <v>19</v>
      </c>
      <c r="W1249" s="1">
        <f>V1247/((AVERAGE(P1253:P1258))*(1+E1259)^3)</f>
        <v>11.223820273363993</v>
      </c>
      <c r="Y1249" s="25" t="s">
        <v>39</v>
      </c>
      <c r="Z1249" s="39" t="s">
        <v>19</v>
      </c>
      <c r="AA1249" s="1">
        <f>Z1247/((AVERAGE(P1253:P1258))*(1+E1259)^3)</f>
        <v>11.223820273363993</v>
      </c>
    </row>
    <row r="1250" spans="1:27">
      <c r="B1250" s="13">
        <v>3</v>
      </c>
      <c r="C1250" s="14" t="s">
        <v>20</v>
      </c>
      <c r="D1250" s="15" cm="1">
        <f t="array" ref="D1250">_xlfn.SINGLE(IF(A1256=A1257,_xll.ciqfunctions.udf.CIQ(A1248,"IQ_TOTAL_REV",IQ_FY-8)/I1250, _xll.ciqfunctions.udf.CIQ(A1248, "IQ_TOTAL_REV",IQ_FY-7)/I1250))</f>
        <v>23.669372747632327</v>
      </c>
      <c r="E1250" s="16">
        <f t="shared" si="335"/>
        <v>5.4840704426994132E-2</v>
      </c>
      <c r="F1250" s="15">
        <f>IF(A1256=A1257,_xll.ciqfunctions.udf.CIQ(A1248,"IQ_DILUT_EPS_EXCL",IQ_FY-8), _xll.ciqfunctions.udf.CIQ(A1248, "IQ_DILUT_EPS_EXCL",IQ_FY-7))</f>
        <v>-0.81</v>
      </c>
      <c r="G1250" s="15">
        <f>IF(A1256=A1257,_xll.ciqfunctions.udf.CIQ(A1248,"IQ_EBITDA_MARGIN",IQ_FY-8), _xll.ciqfunctions.udf.CIQ(A1248, "IQ_EBITDA_MARGIN",IQ_FY-7))</f>
        <v>8.1378000000000004</v>
      </c>
      <c r="H1250" s="15">
        <f>IF(A1256=A1257,_xll.ciqfunctions.udf.CIQ(A1248,"IQ_TOTAL_DIV_PAID_CF",IQ_FY-8)/-I1250, _xll.ciqfunctions.udf.CIQ(A1248, "IQ_TOTAL_DIV_PAID_CF",IQ_FY-7)/-I1250)</f>
        <v>0</v>
      </c>
      <c r="I1250" s="17">
        <f>IF(A1256=A1257,_xll.ciqfunctions.udf.CIQ(A1248,"IQ_TOTAL_OUTSTANDING_FILING_DATE",IQ_FY-8), _xll.ciqfunctions.udf.CIQ(A1248, "IQ_TOTAL_OUTSTANDING_FILING_DATE",IQ_FY-7))</f>
        <v>67.906319999999994</v>
      </c>
      <c r="J1250" s="17">
        <f>IF(A1256=A1257,_xll.ciqfunctions.udf.CIQ(A1248,"IQ_CASH_OPER",IQ_FY-8), _xll.ciqfunctions.udf.CIQ(A1248, "IQ_CASH_OPER",IQ_FY-7))</f>
        <v>259.2</v>
      </c>
      <c r="K1250" s="17">
        <f>IF(A1256=A1257,_xll.ciqfunctions.udf.CIQ(A1248,"IQ_CAPEX",IQ_FY-8), _xll.ciqfunctions.udf.CIQ(A1248, "IQ_CAPEX",IQ_FY-7))</f>
        <v>-55.8</v>
      </c>
      <c r="L1250" s="15">
        <f t="shared" si="332"/>
        <v>2.9953029408750171</v>
      </c>
      <c r="M1250" s="17">
        <f>IF(A1256=A1257,_xll.ciqfunctions.udf.CIQ(A1248,"IQ_TOTAL_DEBT_ISSUED",IQ_FY-8), _xll.ciqfunctions.udf.CIQ(A1248, "IQ_TOTAL_DEBT_ISSUED",IQ_FY-7))</f>
        <v>0</v>
      </c>
      <c r="N1250" s="17">
        <f>IF(A1256=A1257,_xll.ciqfunctions.udf.CIQ(A1248,"IQ_TOTAL_DEBT_REPAID",IQ_FY-8), _xll.ciqfunctions.udf.CIQ(A1248, "IQ_TOTAL_DEBT_REPAID",IQ_FY-7))</f>
        <v>-397.9</v>
      </c>
      <c r="O1250" s="15">
        <f t="shared" si="333"/>
        <v>-5.8595429703744806</v>
      </c>
      <c r="P1250" s="15">
        <f t="shared" si="334"/>
        <v>-2.8642400294994634</v>
      </c>
      <c r="Q1250" s="25" t="s">
        <v>21</v>
      </c>
      <c r="R1250" s="38" t="s">
        <v>49</v>
      </c>
      <c r="S1250" s="2">
        <f>(R1247*I1258)/1000</f>
        <v>13.562833598700001</v>
      </c>
      <c r="U1250" s="25" t="s">
        <v>59</v>
      </c>
      <c r="V1250" s="38" t="s">
        <v>49</v>
      </c>
      <c r="W1250" s="2">
        <f>(V1247*I1258)/1000</f>
        <v>13.562833598700001</v>
      </c>
      <c r="Y1250" s="25" t="s">
        <v>46</v>
      </c>
      <c r="Z1250" s="38" t="s">
        <v>49</v>
      </c>
      <c r="AA1250" s="2">
        <f>(Z1247*I1258)/1000</f>
        <v>13.562833598700001</v>
      </c>
    </row>
    <row r="1251" spans="1:27">
      <c r="A1251" s="18"/>
      <c r="B1251" s="13">
        <v>4</v>
      </c>
      <c r="C1251" s="14" t="s">
        <v>22</v>
      </c>
      <c r="D1251" s="15" cm="1">
        <f t="array" ref="D1251">_xlfn.SINGLE(IF(A1256=A1257,_xll.ciqfunctions.udf.CIQ(A1248,"IQ_TOTAL_REV",IQ_FY-7)/I1251, _xll.ciqfunctions.udf.CIQ(A1248, "IQ_TOTAL_REV",IQ_FY-6)/I1251))</f>
        <v>20.607216462310003</v>
      </c>
      <c r="E1251" s="16">
        <f t="shared" si="335"/>
        <v>-0.12937209270273689</v>
      </c>
      <c r="F1251" s="15">
        <f>IF(A1256=A1257,_xll.ciqfunctions.udf.CIQ(A1248,"IQ_DILUT_EPS_EXCL",IQ_FY-7), _xll.ciqfunctions.udf.CIQ(A1248, "IQ_DILUT_EPS_EXCL",IQ_FY-6))</f>
        <v>-0.21</v>
      </c>
      <c r="G1251" s="15">
        <f>IF(A1256=A1257,_xll.ciqfunctions.udf.CIQ(A1248,"IQ_EBITDA_MARGIN",IQ_FY-7), _xll.ciqfunctions.udf.CIQ(A1248, "IQ_EBITDA_MARGIN",IQ_FY-6))</f>
        <v>11.375</v>
      </c>
      <c r="H1251" s="15">
        <f>IF(A1256=A1257,_xll.ciqfunctions.udf.CIQ(A1248,"IQ_TOTAL_DIV_PAID_CF",IQ_FY-7)/-I1251, _xll.ciqfunctions.udf.CIQ(A1248, "IQ_TOTAL_DIV_PAID_CF",IQ_FY-6)/-I1251)</f>
        <v>0</v>
      </c>
      <c r="I1251" s="17">
        <f>IF(A1256=A1257,_xll.ciqfunctions.udf.CIQ(A1248,"IQ_TOTAL_OUTSTANDING_FILING_DATE",IQ_FY-7), _xll.ciqfunctions.udf.CIQ(A1248, "IQ_TOTAL_OUTSTANDING_FILING_DATE",IQ_FY-6))</f>
        <v>89.672470000000004</v>
      </c>
      <c r="J1251" s="17">
        <f>IF(A1256=A1257,_xll.ciqfunctions.udf.CIQ(A1248,"IQ_CASH_OPER",IQ_FY-7), _xll.ciqfunctions.udf.CIQ(A1248, "IQ_CASH_OPER",IQ_FY-6))</f>
        <v>386.5</v>
      </c>
      <c r="K1251" s="17">
        <f>IF(A1256=A1257,_xll.ciqfunctions.udf.CIQ(A1248,"IQ_CAPEX",IQ_FY-7), _xll.ciqfunctions.udf.CIQ(A1248, "IQ_CAPEX",IQ_FY-6))</f>
        <v>-61.5</v>
      </c>
      <c r="L1251" s="15">
        <f t="shared" si="332"/>
        <v>3.6243007469293529</v>
      </c>
      <c r="M1251" s="17">
        <f>IF(A1256=A1257,_xll.ciqfunctions.udf.CIQ(A1248,"IQ_TOTAL_DEBT_ISSUED",IQ_FY-7), _xll.ciqfunctions.udf.CIQ(A1248, "IQ_TOTAL_DEBT_ISSUED",IQ_FY-6))</f>
        <v>0</v>
      </c>
      <c r="N1251" s="17">
        <f>IF(A1256=A1257,_xll.ciqfunctions.udf.CIQ(A1248,"IQ_TOTAL_DEBT_REPAID",IQ_FY-7), _xll.ciqfunctions.udf.CIQ(A1248, "IQ_TOTAL_DEBT_REPAID",IQ_FY-6))</f>
        <v>-26.1</v>
      </c>
      <c r="O1251" s="15">
        <f t="shared" si="333"/>
        <v>-0.29105922921494187</v>
      </c>
      <c r="P1251" s="15">
        <f t="shared" si="334"/>
        <v>3.333241517714411</v>
      </c>
      <c r="Q1251" s="25" t="s">
        <v>23</v>
      </c>
      <c r="R1251" s="38" t="s">
        <v>24</v>
      </c>
      <c r="S1251" s="1" t="e">
        <f>R1247/(AVERAGE(H1253:H1258)*(1+H1259)/(0.5-H1259))</f>
        <v>#DIV/0!</v>
      </c>
      <c r="U1251" s="25" t="s">
        <v>40</v>
      </c>
      <c r="V1251" s="38" t="s">
        <v>24</v>
      </c>
      <c r="W1251" s="1" t="e">
        <f>V1247/(AVERAGE(H1253:H1258)*(1+H1259)/(0.5-H1259))</f>
        <v>#DIV/0!</v>
      </c>
      <c r="Y1251" s="25" t="s">
        <v>47</v>
      </c>
      <c r="Z1251" s="38" t="s">
        <v>24</v>
      </c>
      <c r="AA1251" s="1" t="e">
        <f>Z1247/(AVERAGE(H1253:H1258)*(1+H1259)/(0.5-H1259))</f>
        <v>#DIV/0!</v>
      </c>
    </row>
    <row r="1252" spans="1:27">
      <c r="B1252" s="13">
        <v>5</v>
      </c>
      <c r="C1252" s="14" t="s">
        <v>25</v>
      </c>
      <c r="D1252" s="15" cm="1">
        <f t="array" ref="D1252">_xlfn.SINGLE(IF(A1256=A1257,_xll.ciqfunctions.udf.CIQ(A1248,"IQ_TOTAL_REV",IQ_FY-6)/I1252, _xll.ciqfunctions.udf.CIQ(A1248, "IQ_TOTAL_REV",IQ_FY-5)/I1252))</f>
        <v>16.664055947146892</v>
      </c>
      <c r="E1252" s="16">
        <f t="shared" si="335"/>
        <v>-0.1913485269771896</v>
      </c>
      <c r="F1252" s="15">
        <f>IF(A1256=A1257,_xll.ciqfunctions.udf.CIQ(A1248,"IQ_DILUT_EPS_EXCL",IQ_FY-6), _xll.ciqfunctions.udf.CIQ(A1248, "IQ_DILUT_EPS_EXCL",IQ_FY-5))</f>
        <v>0.70994999999999997</v>
      </c>
      <c r="G1252" s="15">
        <f>IF(A1256=A1257,_xll.ciqfunctions.udf.CIQ(A1248,"IQ_EBITDA_MARGIN",IQ_FY-6), _xll.ciqfunctions.udf.CIQ(A1248, "IQ_EBITDA_MARGIN",IQ_FY-5))</f>
        <v>13.051600000000001</v>
      </c>
      <c r="H1252" s="15">
        <f>IF(A1256=A1257,_xll.ciqfunctions.udf.CIQ(A1248,"IQ_TOTAL_DIV_PAID_CF",IQ_FY-6)/-I1252, _xll.ciqfunctions.udf.CIQ(A1248, "IQ_TOTAL_DIV_PAID_CF",IQ_FY-5)/-I1252)</f>
        <v>0</v>
      </c>
      <c r="I1252" s="17">
        <f>IF(A1256=A1257,_xll.ciqfunctions.udf.CIQ(A1248,"IQ_TOTAL_OUTSTANDING_FILING_DATE",IQ_FY-6), _xll.ciqfunctions.udf.CIQ(A1248, "IQ_TOTAL_OUTSTANDING_FILING_DATE",IQ_FY-5))</f>
        <v>133.93498</v>
      </c>
      <c r="J1252" s="17">
        <f>IF(A1256=A1257,_xll.ciqfunctions.udf.CIQ(A1248,"IQ_CASH_OPER",IQ_FY-6), _xll.ciqfunctions.udf.CIQ(A1248, "IQ_CASH_OPER",IQ_FY-5))</f>
        <v>475.6</v>
      </c>
      <c r="K1252" s="17">
        <f>IF(A1256=A1257,_xll.ciqfunctions.udf.CIQ(A1248,"IQ_CAPEX",IQ_FY-6), _xll.ciqfunctions.udf.CIQ(A1248, "IQ_CAPEX",IQ_FY-5))</f>
        <v>-83.2</v>
      </c>
      <c r="L1252" s="15">
        <f t="shared" si="332"/>
        <v>2.9297798080829969</v>
      </c>
      <c r="M1252" s="17">
        <f>IF(A1256=A1257,_xll.ciqfunctions.udf.CIQ(A1248,"IQ_TOTAL_DEBT_ISSUED",IQ_FY-6), _xll.ciqfunctions.udf.CIQ(A1248, "IQ_TOTAL_DEBT_ISSUED",IQ_FY-5))</f>
        <v>1953.1</v>
      </c>
      <c r="N1252" s="17">
        <f>IF(A1256=A1257,_xll.ciqfunctions.udf.CIQ(A1248,"IQ_TOTAL_DEBT_REPAID",IQ_FY-6), _xll.ciqfunctions.udf.CIQ(A1248, "IQ_TOTAL_DEBT_REPAID",IQ_FY-5))</f>
        <v>-621.1</v>
      </c>
      <c r="O1252" s="15">
        <f t="shared" si="333"/>
        <v>9.9451241191808144</v>
      </c>
      <c r="P1252" s="15">
        <f t="shared" si="334"/>
        <v>12.874903927263812</v>
      </c>
      <c r="Q1252" s="18"/>
      <c r="R1252" s="38" t="s">
        <v>50</v>
      </c>
      <c r="S1252" s="3">
        <f>I1259</f>
        <v>-3.6017572208852378E-2</v>
      </c>
      <c r="U1252" s="18"/>
      <c r="V1252" s="38" t="s">
        <v>50</v>
      </c>
      <c r="W1252" s="3">
        <f>I1259</f>
        <v>-3.6017572208852378E-2</v>
      </c>
      <c r="Y1252" s="18"/>
      <c r="Z1252" s="38" t="s">
        <v>50</v>
      </c>
      <c r="AA1252" s="3">
        <f>I1259</f>
        <v>-3.6017572208852378E-2</v>
      </c>
    </row>
    <row r="1253" spans="1:27">
      <c r="B1253" s="13">
        <v>6</v>
      </c>
      <c r="C1253" s="14" t="s">
        <v>26</v>
      </c>
      <c r="D1253" s="15" cm="1">
        <f t="array" ref="D1253">_xlfn.SINGLE(IF(A1256=A1257,_xll.ciqfunctions.udf.CIQ(A1248,"IQ_TOTAL_REV",IQ_FY-5)/I1253, _xll.ciqfunctions.udf.CIQ(A1248, "IQ_TOTAL_REV",IQ_FY-4)/I1253))</f>
        <v>15.724053007218489</v>
      </c>
      <c r="E1253" s="16">
        <f t="shared" si="335"/>
        <v>-5.6409012482302928E-2</v>
      </c>
      <c r="F1253" s="15">
        <f>IF(A1256=A1257,_xll.ciqfunctions.udf.CIQ(A1248,"IQ_DILUT_EPS_EXCL",IQ_FY-5), _xll.ciqfunctions.udf.CIQ(A1248, "IQ_DILUT_EPS_EXCL",IQ_FY-4))</f>
        <v>0.45216000000000001</v>
      </c>
      <c r="G1253" s="15">
        <f>IF(A1256=A1257,_xll.ciqfunctions.udf.CIQ(A1248,"IQ_EBITDA_MARGIN",IQ_FY-5), _xll.ciqfunctions.udf.CIQ(A1248, "IQ_EBITDA_MARGIN",IQ_FY-4))</f>
        <v>14.424200000000001</v>
      </c>
      <c r="H1253" s="15">
        <f>IF(A1256=A1257,_xll.ciqfunctions.udf.CIQ(A1248,"IQ_TOTAL_DIV_PAID_CF",IQ_FY-5)/-I1253, _xll.ciqfunctions.udf.CIQ(A1248, "IQ_TOTAL_DIV_PAID_CF",IQ_FY-4)/-I1253)</f>
        <v>0</v>
      </c>
      <c r="I1253" s="17">
        <f>IF(A1256=A1257,_xll.ciqfunctions.udf.CIQ(A1248,"IQ_TOTAL_OUTSTANDING_FILING_DATE",IQ_FY-5), _xll.ciqfunctions.udf.CIQ(A1248, "IQ_TOTAL_OUTSTANDING_FILING_DATE",IQ_FY-4))</f>
        <v>169.17393999999999</v>
      </c>
      <c r="J1253" s="17">
        <f>IF(A1256=A1257,_xll.ciqfunctions.udf.CIQ(A1248,"IQ_CASH_OPER",IQ_FY-5), _xll.ciqfunctions.udf.CIQ(A1248, "IQ_CASH_OPER",IQ_FY-4))</f>
        <v>559.79999999999995</v>
      </c>
      <c r="K1253" s="17">
        <f>IF(A1256=A1257,_xll.ciqfunctions.udf.CIQ(A1248,"IQ_CAPEX",IQ_FY-5), _xll.ciqfunctions.udf.CIQ(A1248, "IQ_CAPEX",IQ_FY-4))</f>
        <v>-87.7</v>
      </c>
      <c r="L1253" s="15">
        <f t="shared" si="332"/>
        <v>2.7906189333889131</v>
      </c>
      <c r="M1253" s="17">
        <f>IF(A1256=A1257,_xll.ciqfunctions.udf.CIQ(A1248,"IQ_TOTAL_DEBT_ISSUED",IQ_FY-5), _xll.ciqfunctions.udf.CIQ(A1248, "IQ_TOTAL_DEBT_ISSUED",IQ_FY-4))</f>
        <v>0</v>
      </c>
      <c r="N1253" s="17">
        <f>IF(A1256=A1257,_xll.ciqfunctions.udf.CIQ(A1248,"IQ_TOTAL_DEBT_REPAID",IQ_FY-5), _xll.ciqfunctions.udf.CIQ(A1248, "IQ_TOTAL_DEBT_REPAID",IQ_FY-4))</f>
        <v>-31.7</v>
      </c>
      <c r="O1253" s="15">
        <f t="shared" si="333"/>
        <v>-0.18738110609707381</v>
      </c>
      <c r="P1253" s="15">
        <f t="shared" si="334"/>
        <v>2.6032378272918395</v>
      </c>
      <c r="Q1253" s="25" t="s">
        <v>27</v>
      </c>
      <c r="R1253" s="38" t="s">
        <v>51</v>
      </c>
      <c r="S1253" s="4">
        <f>AVERAGE(F1253:F1258)/AVERAGE(D1253:D1258)</f>
        <v>3.1773994819657002E-2</v>
      </c>
      <c r="U1253" s="25" t="s">
        <v>58</v>
      </c>
      <c r="V1253" s="38" t="s">
        <v>51</v>
      </c>
      <c r="W1253" s="4">
        <f>AVERAGE(F1253:F1258)/AVERAGE(D1253:D1258)</f>
        <v>3.1773994819657002E-2</v>
      </c>
      <c r="Y1253" s="25" t="s">
        <v>56</v>
      </c>
      <c r="Z1253" s="38" t="s">
        <v>51</v>
      </c>
      <c r="AA1253" s="4">
        <f>AVERAGE(F1253:F1258)/AVERAGE(D1253:D1258)</f>
        <v>3.1773994819657002E-2</v>
      </c>
    </row>
    <row r="1254" spans="1:27">
      <c r="A1254" s="18"/>
      <c r="B1254" s="13">
        <v>7</v>
      </c>
      <c r="C1254" s="14" t="s">
        <v>28</v>
      </c>
      <c r="D1254" s="15" cm="1">
        <f t="array" ref="D1254">_xlfn.SINGLE(IF(A1256=A1257,_xll.ciqfunctions.udf.CIQ(A1248,"IQ_TOTAL_REV",IQ_FY-4)/I1254, _xll.ciqfunctions.udf.CIQ(A1248, "IQ_TOTAL_REV",IQ_FY-3)/I1254))</f>
        <v>17.217540375740075</v>
      </c>
      <c r="E1254" s="16">
        <f t="shared" si="335"/>
        <v>9.4981069310563049E-2</v>
      </c>
      <c r="F1254" s="15">
        <f>IF(A1256=A1257,_xll.ciqfunctions.udf.CIQ(A1248,"IQ_DILUT_EPS_EXCL",IQ_FY-4), _xll.ciqfunctions.udf.CIQ(A1248, "IQ_DILUT_EPS_EXCL",IQ_FY-3))</f>
        <v>0.76161000000000001</v>
      </c>
      <c r="G1254" s="15">
        <f>IF(A1256=A1257,_xll.ciqfunctions.udf.CIQ(A1248,"IQ_EBITDA_MARGIN",IQ_FY-4), _xll.ciqfunctions.udf.CIQ(A1248, "IQ_EBITDA_MARGIN",IQ_FY-3))</f>
        <v>14.4038</v>
      </c>
      <c r="H1254" s="15">
        <f>IF(A1256=A1257,_xll.ciqfunctions.udf.CIQ(A1248,"IQ_TOTAL_DIV_PAID_CF",IQ_FY-4)/-I1254, _xll.ciqfunctions.udf.CIQ(A1248, "IQ_TOTAL_DIV_PAID_CF",IQ_FY-3)/-I1254)</f>
        <v>0</v>
      </c>
      <c r="I1254" s="17">
        <f>IF(A1256=A1257,_xll.ciqfunctions.udf.CIQ(A1248,"IQ_TOTAL_OUTSTANDING_FILING_DATE",IQ_FY-4), _xll.ciqfunctions.udf.CIQ(A1248, "IQ_TOTAL_OUTSTANDING_FILING_DATE",IQ_FY-3))</f>
        <v>173.54975999999999</v>
      </c>
      <c r="J1254" s="17">
        <f>IF(A1256=A1257,_xll.ciqfunctions.udf.CIQ(A1248,"IQ_CASH_OPER",IQ_FY-4), _xll.ciqfunctions.udf.CIQ(A1248, "IQ_CASH_OPER",IQ_FY-3))</f>
        <v>723.4</v>
      </c>
      <c r="K1254" s="17">
        <f>IF(A1256=A1257,_xll.ciqfunctions.udf.CIQ(A1248,"IQ_CAPEX",IQ_FY-4), _xll.ciqfunctions.udf.CIQ(A1248, "IQ_CAPEX",IQ_FY-3))</f>
        <v>-87.6</v>
      </c>
      <c r="L1254" s="15">
        <f t="shared" si="332"/>
        <v>3.6635026173473242</v>
      </c>
      <c r="M1254" s="17">
        <f>IF(A1256=A1257,_xll.ciqfunctions.udf.CIQ(A1248,"IQ_TOTAL_DEBT_ISSUED",IQ_FY-4), _xll.ciqfunctions.udf.CIQ(A1248, "IQ_TOTAL_DEBT_ISSUED",IQ_FY-3))</f>
        <v>600</v>
      </c>
      <c r="N1254" s="17">
        <f>IF(A1256=A1257,_xll.ciqfunctions.udf.CIQ(A1248,"IQ_TOTAL_DEBT_REPAID",IQ_FY-4), _xll.ciqfunctions.udf.CIQ(A1248, "IQ_TOTAL_DEBT_REPAID",IQ_FY-3))</f>
        <v>-629.5</v>
      </c>
      <c r="O1254" s="15">
        <f t="shared" si="333"/>
        <v>-0.16998006796436943</v>
      </c>
      <c r="P1254" s="15">
        <f t="shared" si="334"/>
        <v>3.4935225493829547</v>
      </c>
      <c r="Q1254" s="18"/>
      <c r="R1254" s="38" t="s">
        <v>29</v>
      </c>
      <c r="S1254" s="4">
        <f>(AVERAGE(P1253:P1258)/_xlfn.STDEV.P(P1253:P1258))/(IF(A1256=A1257,(_xlfn.SINGLE(_xll.ciqfunctions.udf.CIQ(A1248,"IQ_total_assets",IQ_FY)) - _xlfn.SINGLE(_xll.ciqfunctions.udf.CIQ(A1248,"iq_gw_intan", IQ_FY)))/I1258, (_xlfn.SINGLE(_xll.ciqfunctions.udf.CIQ(A1248, "IQ_total_assets",IQ_LTM))-_xlfn.SINGLE(_xll.ciqfunctions.udf.CIQ(A1248,"iq_gw_intan",IQ_LTM)))/I1258))</f>
        <v>0.19455339511375194</v>
      </c>
      <c r="U1254" s="18"/>
      <c r="V1254" s="38" t="s">
        <v>29</v>
      </c>
      <c r="W1254" s="4">
        <f>(AVERAGE(P1253:P1258)/_xlfn.STDEV.P(P1253:P1258))/(IF(A1256=A1257,(_xlfn.SINGLE(_xll.ciqfunctions.udf.CIQ(A1248,"IQ_total_assets",IQ_FY)) - _xlfn.SINGLE(_xll.ciqfunctions.udf.CIQ(A1248,"iq_gw_intan", IQ_FY)))/I1258, (_xlfn.SINGLE(_xll.ciqfunctions.udf.CIQ(A1248, "IQ_total_assets",IQ_LTM))-_xlfn.SINGLE(_xll.ciqfunctions.udf.CIQ(A1248,"iq_gw_intan",IQ_LTM)))/I1258))</f>
        <v>0.19455339511375194</v>
      </c>
      <c r="Y1254" s="18"/>
      <c r="Z1254" s="38" t="s">
        <v>29</v>
      </c>
      <c r="AA1254" s="4">
        <f>(AVERAGE(P1253:P1258)/_xlfn.STDEV.P(P1253:P1258))/(IF(A1256=A1257,(_xlfn.SINGLE(_xll.ciqfunctions.udf.CIQ(A1248,"IQ_total_assets",IQ_FY)) - _xlfn.SINGLE(_xll.ciqfunctions.udf.CIQ(A1248,"iq_gw_intan", IQ_FY)))/I1258, (_xlfn.SINGLE(_xll.ciqfunctions.udf.CIQ(A1248, "IQ_total_assets",IQ_LTM))-_xlfn.SINGLE(_xll.ciqfunctions.udf.CIQ(A1248,"iq_gw_intan",IQ_LTM)))/I1258))</f>
        <v>0.19455339511375194</v>
      </c>
    </row>
    <row r="1255" spans="1:27">
      <c r="A1255" s="18"/>
      <c r="B1255" s="13">
        <v>8</v>
      </c>
      <c r="C1255" s="14" t="s">
        <v>30</v>
      </c>
      <c r="D1255" s="15" cm="1">
        <f t="array" ref="D1255">_xlfn.SINGLE(IF(A1256=A1257,_xll.ciqfunctions.udf.CIQ(A1248,"IQ_TOTAL_REV",IQ_FY-3)/I1255, _xll.ciqfunctions.udf.CIQ(A1248, "IQ_TOTAL_REV",IQ_FY-2)/I1255))</f>
        <v>19.558704626054986</v>
      </c>
      <c r="E1255" s="16">
        <f t="shared" si="335"/>
        <v>0.13597553420659708</v>
      </c>
      <c r="F1255" s="15">
        <f>IF(A1256=A1257,_xll.ciqfunctions.udf.CIQ(A1248,"IQ_DILUT_EPS_EXCL",IQ_FY-3), _xll.ciqfunctions.udf.CIQ(A1248, "IQ_DILUT_EPS_EXCL",IQ_FY-2))</f>
        <v>-2.94</v>
      </c>
      <c r="G1255" s="15">
        <f>IF(A1256=A1257,_xll.ciqfunctions.udf.CIQ(A1248,"IQ_EBITDA_MARGIN",IQ_FY-3), _xll.ciqfunctions.udf.CIQ(A1248, "IQ_EBITDA_MARGIN",IQ_FY-2))</f>
        <v>15.3315</v>
      </c>
      <c r="H1255" s="15">
        <f>IF(A1256=A1257,_xll.ciqfunctions.udf.CIQ(A1248,"IQ_TOTAL_DIV_PAID_CF",IQ_FY-3)/-I1255, _xll.ciqfunctions.udf.CIQ(A1248, "IQ_TOTAL_DIV_PAID_CF",IQ_FY-2)/-I1255)</f>
        <v>0</v>
      </c>
      <c r="I1255" s="17">
        <f>IF(A1256=A1257,_xll.ciqfunctions.udf.CIQ(A1248,"IQ_TOTAL_OUTSTANDING_FILING_DATE",IQ_FY-3), _xll.ciqfunctions.udf.CIQ(A1248, "IQ_TOTAL_OUTSTANDING_FILING_DATE",IQ_FY-2))</f>
        <v>169.57667000000001</v>
      </c>
      <c r="J1255" s="17">
        <f>IF(A1256=A1257,_xll.ciqfunctions.udf.CIQ(A1248,"IQ_CASH_OPER",IQ_FY-3), _xll.ciqfunctions.udf.CIQ(A1248, "IQ_CASH_OPER",IQ_FY-2))</f>
        <v>764.6</v>
      </c>
      <c r="K1255" s="17">
        <f>IF(A1256=A1257,_xll.ciqfunctions.udf.CIQ(A1248,"IQ_CAPEX",IQ_FY-3), _xll.ciqfunctions.udf.CIQ(A1248, "IQ_CAPEX",IQ_FY-2))</f>
        <v>-66.5</v>
      </c>
      <c r="L1255" s="15">
        <f t="shared" si="332"/>
        <v>4.1167219523770573</v>
      </c>
      <c r="M1255" s="17">
        <f>IF(A1256=A1257,_xll.ciqfunctions.udf.CIQ(A1248,"IQ_TOTAL_DEBT_ISSUED",IQ_FY-3), _xll.ciqfunctions.udf.CIQ(A1248, "IQ_TOTAL_DEBT_ISSUED",IQ_FY-2))</f>
        <v>746.3</v>
      </c>
      <c r="N1255" s="17">
        <f>IF(A1256=A1257,_xll.ciqfunctions.udf.CIQ(A1248,"IQ_TOTAL_DEBT_REPAID",IQ_FY-3), _xll.ciqfunctions.udf.CIQ(A1248, "IQ_TOTAL_DEBT_REPAID",IQ_FY-2))</f>
        <v>-36.9</v>
      </c>
      <c r="O1255" s="15">
        <f t="shared" si="333"/>
        <v>4.1833584773188432</v>
      </c>
      <c r="P1255" s="15">
        <f t="shared" si="334"/>
        <v>8.3000804296958997</v>
      </c>
      <c r="Q1255" s="18"/>
      <c r="R1255" s="39" t="s">
        <v>31</v>
      </c>
      <c r="S1255" s="5">
        <f>IF(NOT(D1248&gt;0),FALSE,SLOPE(G1248:G1258,B1248:B1258))</f>
        <v>1.4331336363636364</v>
      </c>
      <c r="U1255" s="18"/>
      <c r="V1255" s="39" t="s">
        <v>31</v>
      </c>
      <c r="W1255" s="5">
        <f>IF(NOT(D1248&gt;0),FALSE,SLOPE(G1248:G1258,B1248:B1258))</f>
        <v>1.4331336363636364</v>
      </c>
      <c r="Y1255" s="18"/>
      <c r="Z1255" s="39" t="s">
        <v>31</v>
      </c>
      <c r="AA1255" s="5">
        <f>IF(NOT(L1248&gt;0),FALSE,SLOPE(O1248:O1258,J1248:J1258))</f>
        <v>1.9608852007420687E-4</v>
      </c>
    </row>
    <row r="1256" spans="1:27">
      <c r="A1256" s="19">
        <f>_xll.ciqfunctions.udf.CIQ(A1248,"IQ_TOTAL_REV",IQ_FY)</f>
        <v>4091.3</v>
      </c>
      <c r="B1256" s="13">
        <v>9</v>
      </c>
      <c r="C1256" s="14" t="s">
        <v>32</v>
      </c>
      <c r="D1256" s="15" cm="1">
        <f t="array" ref="D1256">_xlfn.SINGLE(IF(A1256=A1257,_xll.ciqfunctions.udf.CIQ(A1248,"IQ_TOTAL_REV",IQ_FY-2)/I1256, _xll.ciqfunctions.udf.CIQ(A1248, "IQ_TOTAL_REV",IQ_FY-1)/I1256))</f>
        <v>22.824569997292063</v>
      </c>
      <c r="E1256" s="16">
        <f t="shared" si="335"/>
        <v>0.16697759047327079</v>
      </c>
      <c r="F1256" s="15">
        <f>IF(A1256=A1257,_xll.ciqfunctions.udf.CIQ(A1248,"IQ_DILUT_EPS_EXCL",IQ_FY-2), _xll.ciqfunctions.udf.CIQ(A1248, "IQ_DILUT_EPS_EXCL",IQ_FY-1))</f>
        <v>1.4190100000000001</v>
      </c>
      <c r="G1256" s="15">
        <f>IF(A1256=A1257,_xll.ciqfunctions.udf.CIQ(A1248,"IQ_EBITDA_MARGIN",IQ_FY-2), _xll.ciqfunctions.udf.CIQ(A1248, "IQ_EBITDA_MARGIN",IQ_FY-1))</f>
        <v>15.237</v>
      </c>
      <c r="H1256" s="15">
        <f>IF(A1256=A1257,_xll.ciqfunctions.udf.CIQ(A1248,"IQ_TOTAL_DIV_PAID_CF",IQ_FY-2)/-I1256, _xll.ciqfunctions.udf.CIQ(A1248, "IQ_TOTAL_DIV_PAID_CF",IQ_FY-1)/-I1256)</f>
        <v>0</v>
      </c>
      <c r="I1256" s="17">
        <f>IF(A1256=A1257,_xll.ciqfunctions.udf.CIQ(A1248,"IQ_TOTAL_OUTSTANDING_FILING_DATE",IQ_FY-2), _xll.ciqfunctions.udf.CIQ(A1248, "IQ_TOTAL_OUTSTANDING_FILING_DATE",IQ_FY-1))</f>
        <v>167.17510999999999</v>
      </c>
      <c r="J1256" s="17">
        <f>IF(A1256=A1257,_xll.ciqfunctions.udf.CIQ(A1248,"IQ_CASH_OPER",IQ_FY-2), _xll.ciqfunctions.udf.CIQ(A1248, "IQ_CASH_OPER",IQ_FY-1))</f>
        <v>829.3</v>
      </c>
      <c r="K1256" s="17">
        <f>IF(A1256=A1257,_xll.ciqfunctions.udf.CIQ(A1248,"IQ_CAPEX",IQ_FY-2), _xll.ciqfunctions.udf.CIQ(A1248, "IQ_CAPEX",IQ_FY-1))</f>
        <v>-51.1</v>
      </c>
      <c r="L1256" s="15">
        <f t="shared" si="332"/>
        <v>4.6549991802009281</v>
      </c>
      <c r="M1256" s="17">
        <f>IF(A1256=A1257,_xll.ciqfunctions.udf.CIQ(A1248,"IQ_TOTAL_DEBT_ISSUED",IQ_FY-2), _xll.ciqfunctions.udf.CIQ(A1248, "IQ_TOTAL_DEBT_ISSUED",IQ_FY-1))</f>
        <v>800</v>
      </c>
      <c r="N1256" s="17">
        <f>IF(A1256=A1257,_xll.ciqfunctions.udf.CIQ(A1248,"IQ_TOTAL_DEBT_REPAID",IQ_FY-2), _xll.ciqfunctions.udf.CIQ(A1248, "IQ_TOTAL_DEBT_REPAID",IQ_FY-1))</f>
        <v>-34.799999999999997</v>
      </c>
      <c r="O1256" s="15">
        <f t="shared" si="333"/>
        <v>4.5772364079796333</v>
      </c>
      <c r="P1256" s="15">
        <f t="shared" si="334"/>
        <v>9.2322355881805613</v>
      </c>
      <c r="Q1256" s="25" t="s">
        <v>33</v>
      </c>
      <c r="R1256" s="38" t="s">
        <v>52</v>
      </c>
      <c r="S1256" s="4">
        <f>(AVERAGE(O1253:O1258)/AVERAGE(P1253:P1258))</f>
        <v>0.21277771344182037</v>
      </c>
      <c r="U1256" s="25" t="s">
        <v>54</v>
      </c>
      <c r="V1256" s="38" t="s">
        <v>52</v>
      </c>
      <c r="W1256" s="4">
        <f>(AVERAGE(O1253:O1258)/AVERAGE(P1253:P1258))</f>
        <v>0.21277771344182037</v>
      </c>
      <c r="Y1256" s="25" t="s">
        <v>60</v>
      </c>
      <c r="Z1256" s="38" t="s">
        <v>52</v>
      </c>
      <c r="AA1256" s="4">
        <f>(AVERAGE(O1253:O1258)/AVERAGE(P1253:P1258))</f>
        <v>0.21277771344182037</v>
      </c>
    </row>
    <row r="1257" spans="1:27">
      <c r="A1257" s="19">
        <f>_xll.ciqfunctions.udf.CIQ(A1248,"IQ_TOTAL_REV",IQ_LTM)</f>
        <v>4193.7</v>
      </c>
      <c r="B1257" s="13">
        <v>10</v>
      </c>
      <c r="C1257" s="14" t="s">
        <v>34</v>
      </c>
      <c r="D1257" s="15" cm="1">
        <f t="array" ref="D1257">_xlfn.SINGLE(IF(A1256=A1257,_xll.ciqfunctions.udf.CIQ(A1248,"IQ_TOTAL_REV",IQ_FY-1)/I1257, _xll.ciqfunctions.udf.CIQ(A1248, "IQ_TOTAL_REV",IQ_FY)/I1257))</f>
        <v>26.648911581538943</v>
      </c>
      <c r="E1257" s="16">
        <f t="shared" si="335"/>
        <v>0.1675537188521232</v>
      </c>
      <c r="F1257" s="15">
        <f>IF(A1256=A1257,_xll.ciqfunctions.udf.CIQ(A1248,"IQ_DILUT_EPS_EXCL",IQ_FY-1), _xll.ciqfunctions.udf.CIQ(A1248, "IQ_DILUT_EPS_EXCL",IQ_FY))</f>
        <v>2.1857199999999999</v>
      </c>
      <c r="G1257" s="15">
        <f>IF(A1256=A1257,_xll.ciqfunctions.udf.CIQ(A1248,"IQ_EBITDA_MARGIN",IQ_FY-1), _xll.ciqfunctions.udf.CIQ(A1248, "IQ_EBITDA_MARGIN",IQ_FY))</f>
        <v>17.331800000000001</v>
      </c>
      <c r="H1257" s="15">
        <f>IF(A1256=A1257,_xll.ciqfunctions.udf.CIQ(A1248,"IQ_TOTAL_DIV_PAID_CF",IQ_FY-1)/-I1257, _xll.ciqfunctions.udf.CIQ(A1248, "IQ_TOTAL_DIV_PAID_CF",IQ_FY)/-I1257)</f>
        <v>0</v>
      </c>
      <c r="I1257" s="17">
        <f>IF(A1256=A1257,_xll.ciqfunctions.udf.CIQ(A1248,"IQ_TOTAL_OUTSTANDING_FILING_DATE",IQ_FY-1), _xll.ciqfunctions.udf.CIQ(A1248, "IQ_TOTAL_OUTSTANDING_FILING_DATE",IQ_FY))</f>
        <v>153.52597</v>
      </c>
      <c r="J1257" s="17">
        <f>IF(A1256=A1257,_xll.ciqfunctions.udf.CIQ(A1248,"IQ_CASH_OPER",IQ_FY-1), _xll.ciqfunctions.udf.CIQ(A1248, "IQ_CASH_OPER",IQ_FY))</f>
        <v>979.7</v>
      </c>
      <c r="K1257" s="17">
        <f>IF(A1256=A1257,_xll.ciqfunctions.udf.CIQ(A1248,"IQ_CAPEX",IQ_FY-1), _xll.ciqfunctions.udf.CIQ(A1248, "IQ_CAPEX",IQ_FY))</f>
        <v>-59.7</v>
      </c>
      <c r="L1257" s="15">
        <f t="shared" si="332"/>
        <v>5.9924715017270369</v>
      </c>
      <c r="M1257" s="17">
        <f>IF(A1256=A1257,_xll.ciqfunctions.udf.CIQ(A1248,"IQ_TOTAL_DEBT_ISSUED",IQ_FY-1), _xll.ciqfunctions.udf.CIQ(A1248, "IQ_TOTAL_DEBT_ISSUED",IQ_FY))</f>
        <v>1725.3</v>
      </c>
      <c r="N1257" s="17">
        <f>IF(A1256=A1257,_xll.ciqfunctions.udf.CIQ(A1248,"IQ_TOTAL_DEBT_REPAID",IQ_FY-1), _xll.ciqfunctions.udf.CIQ(A1248, "IQ_TOTAL_DEBT_REPAID",IQ_FY))</f>
        <v>-1793.9</v>
      </c>
      <c r="O1257" s="15">
        <f t="shared" si="333"/>
        <v>-0.44682994023747341</v>
      </c>
      <c r="P1257" s="15">
        <f t="shared" si="334"/>
        <v>5.5456415614895631</v>
      </c>
      <c r="Q1257" s="25" t="s">
        <v>44</v>
      </c>
      <c r="R1257" s="38" t="s">
        <v>35</v>
      </c>
      <c r="S1257" s="1">
        <f>_xll.ciqfunctions.udf.CIQ(A1248,"IQ_TEV_EBITDA")</f>
        <v>21.49024</v>
      </c>
      <c r="U1257" s="25" t="s">
        <v>55</v>
      </c>
      <c r="V1257" s="38" t="s">
        <v>53</v>
      </c>
      <c r="W1257" s="1">
        <f>V1247/(AVERAGE(D1253:D1258)/_xlfn.STDEV.P(E1253:E1258))</f>
        <v>0.33507913360790204</v>
      </c>
      <c r="Y1257" s="25" t="s">
        <v>57</v>
      </c>
      <c r="Z1257" s="38" t="s">
        <v>53</v>
      </c>
      <c r="AA1257" s="1">
        <f>Z1247/(AVERAGE(D1253:D1258)/_xlfn.STDEV.P(E1253:E1258))</f>
        <v>0.33507913360790204</v>
      </c>
    </row>
    <row r="1258" spans="1:27">
      <c r="B1258" s="13">
        <v>11</v>
      </c>
      <c r="C1258" s="20" t="s">
        <v>36</v>
      </c>
      <c r="D1258" s="21" cm="1">
        <f t="array" ref="D1258">_xlfn.SINGLE(IF(A1256=A1257,_xll.ciqfunctions.udf.CIQ(A1248,"IQ_TOTAL_REV",IQ_FY)/I1258, _xll.ciqfunctions.udf.CIQ(A1248, "IQ_TOTAL_REV",IQ_LTM)/I1258))</f>
        <v>29.779562217641114</v>
      </c>
      <c r="E1258" s="22">
        <f t="shared" si="335"/>
        <v>0.11747761729491916</v>
      </c>
      <c r="F1258" s="21">
        <f>IF(A1256=A1257,_xll.ciqfunctions.udf.CIQ(A1248,"IQ_DILUT_EPS_EXCL",IQ_FY), _xll.ciqfunctions.udf.CIQ(A1248, "IQ_DILUT_EPS_EXCL",IQ_LTM))</f>
        <v>2.30783</v>
      </c>
      <c r="G1258" s="21">
        <f>IF(A1256=A1257,_xll.ciqfunctions.udf.CIQ(A1248,"IQ_EBITDA_MARGIN",IQ_FY), _xll.ciqfunctions.udf.CIQ(A1248, "IQ_EBITDA_MARGIN",IQ_LTM))</f>
        <v>17.562000000000001</v>
      </c>
      <c r="H1258" s="21">
        <f>IF(A1256=A1257,_xll.ciqfunctions.udf.CIQ(A1248,"IQ_TOTAL_DIV_PAID_CF",IQ_FY)/-I1258, _xll.ciqfunctions.udf.CIQ(A1248, "IQ_TOTAL_DIV_PAID_CF",IQ_LTM)/-I1258)</f>
        <v>0</v>
      </c>
      <c r="I1258" s="23">
        <f>IF(A1256=A1257,_xll.ciqfunctions.udf.CIQ(A1248,"IQ_TOTAL_OUTSTANDING_FILING_DATE",IQ_FY),_xll.ciqfunctions.udf.CIQ(A1248,"IQ_sharesoutstanding"))</f>
        <v>140.82477</v>
      </c>
      <c r="J1258" s="23">
        <f>IF(A1256=A1257,_xll.ciqfunctions.udf.CIQ(A1248,"IQ_CASH_OPER",IQ_FY), _xll.ciqfunctions.udf.CIQ(A1248, "IQ_CASH_OPER",IQ_LTM))</f>
        <v>957.9</v>
      </c>
      <c r="K1258" s="23">
        <f>IF(A1256=A1257,_xll.ciqfunctions.udf.CIQ(A1248,"IQ_CAPEX",IQ_FY), _xll.ciqfunctions.udf.CIQ(A1248, "IQ_CAPEX",IQ_LTM))</f>
        <v>-55.1</v>
      </c>
      <c r="L1258" s="21">
        <f t="shared" si="332"/>
        <v>6.4108040084141447</v>
      </c>
      <c r="M1258" s="23">
        <f>IF(A1256=A1257,_xll.ciqfunctions.udf.CIQ(A1248,"IQ_TOTAL_DEBT_ISSUED",IQ_FY), _xll.ciqfunctions.udf.CIQ(A1248, "IQ_TOTAL_DEBT_ISSUED",IQ_LTM))</f>
        <v>3485.2</v>
      </c>
      <c r="N1258" s="23">
        <f>IF(A1256=A1257,_xll.ciqfunctions.udf.CIQ(A1248,"IQ_TOTAL_DEBT_REPAID",IQ_FY), _xll.ciqfunctions.udf.CIQ(A1248, "IQ_TOTAL_DEBT_REPAID",IQ_LTM))</f>
        <v>-3554</v>
      </c>
      <c r="O1258" s="21">
        <f t="shared" si="333"/>
        <v>-0.48855041623714479</v>
      </c>
      <c r="P1258" s="21">
        <f t="shared" si="334"/>
        <v>5.9222535921770003</v>
      </c>
      <c r="Q1258" s="25" t="s">
        <v>45</v>
      </c>
      <c r="S1258" s="45"/>
      <c r="U1258" s="25"/>
      <c r="W1258" s="45"/>
      <c r="Y1258" s="25"/>
      <c r="AA1258" s="45"/>
    </row>
    <row r="1259" spans="1:27">
      <c r="B1259" s="24"/>
      <c r="C1259" s="25" t="s">
        <v>37</v>
      </c>
      <c r="E1259" s="26">
        <f>((D1258/D1253)^(1/5))-1</f>
        <v>0.13624179980290352</v>
      </c>
      <c r="F1259" s="27">
        <f>((F1258/F1253)^(1/5))-1</f>
        <v>0.38542281371965892</v>
      </c>
      <c r="G1259" s="28"/>
      <c r="H1259" s="27" t="e">
        <f>((H1258/H1253)^(1/5))-1</f>
        <v>#DIV/0!</v>
      </c>
      <c r="I1259" s="27">
        <f>((I1258/I1253)^(1/5))-1</f>
        <v>-3.6017572208852378E-2</v>
      </c>
      <c r="J1259" s="27"/>
      <c r="K1259" s="27"/>
      <c r="L1259" s="26">
        <f>((L1258/L1253)^(1/5))-1</f>
        <v>0.18097959159069132</v>
      </c>
      <c r="M1259" s="26"/>
      <c r="N1259" s="26"/>
      <c r="O1259" s="26"/>
      <c r="P1259" s="26">
        <f>((P1258/P1253)^(1/5))-1</f>
        <v>0.17867651607659063</v>
      </c>
      <c r="Q1259" s="18"/>
      <c r="R1259" s="36"/>
      <c r="S1259" s="45"/>
      <c r="U1259" s="18"/>
      <c r="V1259" s="36"/>
      <c r="W1259" s="45"/>
      <c r="Y1259" s="18"/>
      <c r="Z1259" s="36"/>
      <c r="AA1259" s="45"/>
    </row>
    <row r="1260" spans="1:27">
      <c r="A1260" s="29"/>
      <c r="B1260" s="30"/>
      <c r="C1260" s="31" t="s">
        <v>38</v>
      </c>
      <c r="D1260" s="29"/>
      <c r="E1260" s="32">
        <f>((D1258/D1248)^(1/10))-1</f>
        <v>0.1288191319537324</v>
      </c>
      <c r="F1260" s="33" t="e">
        <f>((F1258/F1248)^(1/10))-1</f>
        <v>#NUM!</v>
      </c>
      <c r="G1260" s="34"/>
      <c r="H1260" s="33" t="e">
        <f>((H1258/H1248)^(1/10))-1</f>
        <v>#DIV/0!</v>
      </c>
      <c r="I1260" s="33">
        <f>((I1258/I1248)^(1/10))-1</f>
        <v>9.9428396930887342E-3</v>
      </c>
      <c r="J1260" s="33"/>
      <c r="K1260" s="33"/>
      <c r="L1260" s="32">
        <f>((L1258/L1248)^(1/10))-1</f>
        <v>0.23237905699450057</v>
      </c>
      <c r="M1260" s="32"/>
      <c r="N1260" s="32"/>
      <c r="O1260" s="32"/>
      <c r="P1260" s="32">
        <f>((P1258/P1248)^(1/10))-1</f>
        <v>0.1459724146829906</v>
      </c>
      <c r="Q1260" s="40"/>
      <c r="R1260" s="41"/>
      <c r="S1260" s="46"/>
      <c r="U1260" s="40"/>
      <c r="V1260" s="41"/>
      <c r="W1260" s="46"/>
      <c r="Y1260" s="40"/>
      <c r="Z1260" s="41"/>
      <c r="AA1260" s="46"/>
    </row>
    <row r="1261" spans="1:27">
      <c r="B1261" s="24"/>
      <c r="C1261" s="25"/>
      <c r="E1261" s="26"/>
      <c r="F1261" s="27"/>
      <c r="G1261" s="28"/>
      <c r="H1261" s="27"/>
      <c r="I1261" s="27"/>
      <c r="J1261" s="27"/>
      <c r="K1261" s="27"/>
      <c r="L1261" s="26"/>
      <c r="M1261" s="17"/>
      <c r="N1261" s="17"/>
      <c r="O1261" s="17"/>
      <c r="P1261" s="35"/>
      <c r="Q1261" s="18"/>
      <c r="R1261" s="36"/>
    </row>
    <row r="1262" spans="1:27">
      <c r="A1262" s="9" t="s">
        <v>0</v>
      </c>
      <c r="B1262" s="10"/>
      <c r="C1262" s="9" t="s">
        <v>1</v>
      </c>
      <c r="D1262" s="9" t="s">
        <v>2</v>
      </c>
      <c r="E1262" s="9" t="s">
        <v>3</v>
      </c>
      <c r="F1262" s="11" t="s">
        <v>4</v>
      </c>
      <c r="G1262" s="11" t="s">
        <v>5</v>
      </c>
      <c r="H1262" s="9" t="s">
        <v>6</v>
      </c>
      <c r="I1262" s="11" t="s">
        <v>7</v>
      </c>
      <c r="J1262" s="11" t="s">
        <v>8</v>
      </c>
      <c r="K1262" s="11" t="s">
        <v>9</v>
      </c>
      <c r="L1262" s="11" t="s">
        <v>10</v>
      </c>
      <c r="M1262" s="11" t="s">
        <v>11</v>
      </c>
      <c r="N1262" s="11" t="s">
        <v>12</v>
      </c>
      <c r="O1262" s="11" t="s">
        <v>13</v>
      </c>
      <c r="P1262" s="11" t="s">
        <v>14</v>
      </c>
      <c r="Q1262" s="37" t="s">
        <v>15</v>
      </c>
      <c r="R1262" s="42">
        <f>_xll.ciqfunctions.udf.CIQ(A1263,("IQ_LASTSALEPRICE"))</f>
        <v>63.515000000000001</v>
      </c>
      <c r="S1262" s="44"/>
      <c r="U1262" s="37" t="s">
        <v>15</v>
      </c>
      <c r="V1262" s="42">
        <f>_xll.ciqfunctions.udf.CIQ(A1263,("IQ_LASTSALEPRICE"))</f>
        <v>63.515000000000001</v>
      </c>
      <c r="W1262" s="44"/>
      <c r="Y1262" s="37" t="s">
        <v>15</v>
      </c>
      <c r="Z1262" s="42">
        <f>_xll.ciqfunctions.udf.CIQ(A1263,("IQ_LASTSALEPRICE"))</f>
        <v>63.515000000000001</v>
      </c>
      <c r="AA1262" s="44"/>
    </row>
    <row r="1263" spans="1:27">
      <c r="A1263" s="12" t="str">
        <f>Analysis!B86</f>
        <v>NYSE:TWLO</v>
      </c>
      <c r="B1263" s="13">
        <v>1</v>
      </c>
      <c r="C1263" s="14" t="s">
        <v>16</v>
      </c>
      <c r="D1263" s="15">
        <f>IF(A1271=A1272,_xll.ciqfunctions.udf.CIQ(A1263,"IQ_TOTAL_REV",IQ_FY-10)/I1263,_xll.ciqfunctions.udf.CIQ(A1263, "IQ_TOTAL_REV",IQ_FY-9)/I1263)</f>
        <v>2.9437207994041796</v>
      </c>
      <c r="E1263" s="16"/>
      <c r="F1263" s="15">
        <f>IF(A1271=A1272,_xll.ciqfunctions.udf.CIQ(A1263,"IQ_DILUT_EPS_EXCL",IQ_FY-10), _xll.ciqfunctions.udf.CIQ(A1263, "IQ_DILUT_EPS_EXCL",IQ_FY-9))</f>
        <v>-1.5874900000000001</v>
      </c>
      <c r="G1263" s="15">
        <f>IF(A1271=A1272,_xll.ciqfunctions.udf.CIQ(A1263,"IQ_EBITDA_MARGIN",IQ_FY-10), _xll.ciqfunctions.udf.CIQ(A1263, "IQ_EBITDA_MARGIN",IQ_FY-9))</f>
        <v>-53.263199999999998</v>
      </c>
      <c r="H1263" s="15">
        <f>IF(A1271=A1272,_xll.ciqfunctions.udf.CIQ(A1263,"IQ_TOTAL_DIV_PAID_CF",IQ_FY-10)/-I1263, _xll.ciqfunctions.udf.CIQ(A1263, "IQ_TOTAL_DIV_PAID_CF",IQ_FY-9)/-I1263)</f>
        <v>0</v>
      </c>
      <c r="I1263" s="17">
        <f>IF(A1271=A1272,_xll.ciqfunctions.udf.CIQ(A1263,"IQ_TOTAL_OUTSTANDING_FILING_DATE",IQ_FY-10), _xll.ciqfunctions.udf.CIQ(A1263, "IQ_TOTAL_OUTSTANDING_FILING_DATE",IQ_FY-9))</f>
        <v>16.958130000000001</v>
      </c>
      <c r="J1263" s="17">
        <f>IF(A1271=A1272,_xll.ciqfunctions.udf.CIQ(A1263,"IQ_CASH_OPER",IQ_FY-10), _xll.ciqfunctions.udf.CIQ(A1263, "IQ_CASH_OPER",IQ_FY-9))</f>
        <v>-22.622</v>
      </c>
      <c r="K1263" s="17">
        <f>IF(A1271=A1272,_xll.ciqfunctions.udf.CIQ(A1263,"IQ_CAPEX",IQ_FY-10), _xll.ciqfunctions.udf.CIQ(A1263, "IQ_CAPEX",IQ_FY-9))</f>
        <v>-1.161</v>
      </c>
      <c r="L1263" s="15">
        <f t="shared" ref="L1263:L1273" si="336">(J1263+K1263)/I1263</f>
        <v>-1.4024541621039583</v>
      </c>
      <c r="M1263" s="17">
        <f>IF(A1271=A1272,_xll.ciqfunctions.udf.CIQ(A1263,"IQ_TOTAL_DEBT_ISSUED",IQ_FY-10), _xll.ciqfunctions.udf.CIQ(A1263, "IQ_TOTAL_DEBT_ISSUED",IQ_FY-9))</f>
        <v>0</v>
      </c>
      <c r="N1263" s="17">
        <f>IF(A1271=A1272,_xll.ciqfunctions.udf.CIQ(A1263,"IQ_TOTAL_DEBT_REPAID",IQ_FY-10), _xll.ciqfunctions.udf.CIQ(A1263, "IQ_TOTAL_DEBT_REPAID",IQ_FY-9))</f>
        <v>0</v>
      </c>
      <c r="O1263" s="15">
        <f t="shared" ref="O1263:O1273" si="337">(M1263+N1263)/I1263</f>
        <v>0</v>
      </c>
      <c r="P1263" s="15">
        <f t="shared" ref="P1263:P1273" si="338">L1263+O1263</f>
        <v>-1.4024541621039583</v>
      </c>
      <c r="W1263" s="43"/>
      <c r="AA1263" s="43"/>
    </row>
    <row r="1264" spans="1:27">
      <c r="A1264" s="18" t="str">
        <f>_xll.ciqfunctions.udf.CIQ(A1263,"IQ_COMPANY_NAME")</f>
        <v>Twilio Inc.</v>
      </c>
      <c r="B1264" s="13">
        <v>2</v>
      </c>
      <c r="C1264" s="14" t="s">
        <v>17</v>
      </c>
      <c r="D1264" s="15">
        <f>IF(A1271=A1272,_xll.ciqfunctions.udf.CIQ(A1263,"IQ_TOTAL_REV",IQ_FY-9)/I1264, _xll.ciqfunctions.udf.CIQ(A1263, "IQ_TOTAL_REV",IQ_FY-8)/I1264)</f>
        <v>5.0926140874295331</v>
      </c>
      <c r="E1264" s="16">
        <f t="shared" ref="E1264:E1273" si="339">(D1264-D1263)/D1263</f>
        <v>0.72999222224481941</v>
      </c>
      <c r="F1264" s="15">
        <f>IF(A1271=A1272,_xll.ciqfunctions.udf.CIQ(A1263,"IQ_DILUT_EPS_EXCL",IQ_FY-9), _xll.ciqfunctions.udf.CIQ(A1263, "IQ_DILUT_EPS_EXCL",IQ_FY-8))</f>
        <v>-1.5832999999999999</v>
      </c>
      <c r="G1264" s="15">
        <f>IF(A1271=A1272,_xll.ciqfunctions.udf.CIQ(A1263,"IQ_EBITDA_MARGIN",IQ_FY-9), _xll.ciqfunctions.udf.CIQ(A1263, "IQ_EBITDA_MARGIN",IQ_FY-8))</f>
        <v>-29.0671</v>
      </c>
      <c r="H1264" s="15">
        <f>IF(A1271=A1272,_xll.ciqfunctions.udf.CIQ(A1263,"IQ_TOTAL_DIV_PAID_CF",IQ_FY-9)/-I1264, _xll.ciqfunctions.udf.CIQ(A1263, "IQ_TOTAL_DIV_PAID_CF",IQ_FY-8)/-I1264)</f>
        <v>0</v>
      </c>
      <c r="I1264" s="17">
        <f>IF(A1271=A1272,_xll.ciqfunctions.udf.CIQ(A1263,"IQ_TOTAL_OUTSTANDING_FILING_DATE",IQ_FY-9), _xll.ciqfunctions.udf.CIQ(A1263, "IQ_TOTAL_OUTSTANDING_FILING_DATE",IQ_FY-8))</f>
        <v>17.44605</v>
      </c>
      <c r="J1264" s="17">
        <f>IF(A1271=A1272,_xll.ciqfunctions.udf.CIQ(A1263,"IQ_CASH_OPER",IQ_FY-9), _xll.ciqfunctions.udf.CIQ(A1263, "IQ_CASH_OPER",IQ_FY-8))</f>
        <v>-17.36</v>
      </c>
      <c r="K1264" s="17">
        <f>IF(A1271=A1272,_xll.ciqfunctions.udf.CIQ(A1263,"IQ_CAPEX",IQ_FY-9), _xll.ciqfunctions.udf.CIQ(A1263, "IQ_CAPEX",IQ_FY-8))</f>
        <v>-1.0389999999999999</v>
      </c>
      <c r="L1264" s="15">
        <f t="shared" si="336"/>
        <v>-1.0546226796323523</v>
      </c>
      <c r="M1264" s="17">
        <f>IF(A1271=A1272,_xll.ciqfunctions.udf.CIQ(A1263,"IQ_TOTAL_DEBT_ISSUED",IQ_FY-9), _xll.ciqfunctions.udf.CIQ(A1263, "IQ_TOTAL_DEBT_ISSUED",IQ_FY-8))</f>
        <v>0</v>
      </c>
      <c r="N1264" s="17">
        <f>IF(A1271=A1272,_xll.ciqfunctions.udf.CIQ(A1263,"IQ_TOTAL_DEBT_REPAID",IQ_FY-9), _xll.ciqfunctions.udf.CIQ(A1263, "IQ_TOTAL_DEBT_REPAID",IQ_FY-8))</f>
        <v>0</v>
      </c>
      <c r="O1264" s="15">
        <f t="shared" si="337"/>
        <v>0</v>
      </c>
      <c r="P1264" s="15">
        <f t="shared" si="338"/>
        <v>-1.0546226796323523</v>
      </c>
      <c r="Q1264" s="25" t="s">
        <v>18</v>
      </c>
      <c r="R1264" s="39" t="s">
        <v>19</v>
      </c>
      <c r="S1264" s="1">
        <f>R1262/((AVERAGE(P1268:P1273))*(1+E1274)^3)</f>
        <v>20.090601681954048</v>
      </c>
      <c r="U1264" s="25" t="s">
        <v>48</v>
      </c>
      <c r="V1264" s="39" t="s">
        <v>19</v>
      </c>
      <c r="W1264" s="1">
        <f>V1262/((AVERAGE(P1268:P1273))*(1+E1274)^3)</f>
        <v>20.090601681954048</v>
      </c>
      <c r="Y1264" s="25" t="s">
        <v>39</v>
      </c>
      <c r="Z1264" s="39" t="s">
        <v>19</v>
      </c>
      <c r="AA1264" s="1">
        <f>Z1262/((AVERAGE(P1268:P1273))*(1+E1274)^3)</f>
        <v>20.090601681954048</v>
      </c>
    </row>
    <row r="1265" spans="1:27">
      <c r="B1265" s="13">
        <v>3</v>
      </c>
      <c r="C1265" s="14" t="s">
        <v>20</v>
      </c>
      <c r="D1265" s="15" cm="1">
        <f t="array" ref="D1265">_xlfn.SINGLE(IF(A1271=A1272,_xll.ciqfunctions.udf.CIQ(A1263,"IQ_TOTAL_REV",IQ_FY-8)/I1265, _xll.ciqfunctions.udf.CIQ(A1263, "IQ_TOTAL_REV",IQ_FY-7)/I1265))</f>
        <v>2.0306252531149642</v>
      </c>
      <c r="E1265" s="16">
        <f t="shared" si="339"/>
        <v>-0.60126072420698373</v>
      </c>
      <c r="F1265" s="15">
        <f>IF(A1271=A1272,_xll.ciqfunctions.udf.CIQ(A1263,"IQ_DILUT_EPS_EXCL",IQ_FY-8), _xll.ciqfunctions.udf.CIQ(A1263, "IQ_DILUT_EPS_EXCL",IQ_FY-7))</f>
        <v>-2.1917499999999999</v>
      </c>
      <c r="G1265" s="15">
        <f>IF(A1271=A1272,_xll.ciqfunctions.udf.CIQ(A1263,"IQ_EBITDA_MARGIN",IQ_FY-8), _xll.ciqfunctions.udf.CIQ(A1263, "IQ_EBITDA_MARGIN",IQ_FY-7))</f>
        <v>-19.674199999999999</v>
      </c>
      <c r="H1265" s="15">
        <f>IF(A1271=A1272,_xll.ciqfunctions.udf.CIQ(A1263,"IQ_TOTAL_DIV_PAID_CF",IQ_FY-8)/-I1265, _xll.ciqfunctions.udf.CIQ(A1263, "IQ_TOTAL_DIV_PAID_CF",IQ_FY-7)/-I1265)</f>
        <v>0</v>
      </c>
      <c r="I1265" s="17">
        <f>IF(A1271=A1272,_xll.ciqfunctions.udf.CIQ(A1263,"IQ_TOTAL_OUTSTANDING_FILING_DATE",IQ_FY-8), _xll.ciqfunctions.udf.CIQ(A1263, "IQ_TOTAL_OUTSTANDING_FILING_DATE",IQ_FY-7))</f>
        <v>82.200789999999998</v>
      </c>
      <c r="J1265" s="17">
        <f>IF(A1271=A1272,_xll.ciqfunctions.udf.CIQ(A1263,"IQ_CASH_OPER",IQ_FY-8), _xll.ciqfunctions.udf.CIQ(A1263, "IQ_CASH_OPER",IQ_FY-7))</f>
        <v>-18.762</v>
      </c>
      <c r="K1265" s="17">
        <f>IF(A1271=A1272,_xll.ciqfunctions.udf.CIQ(A1263,"IQ_CAPEX",IQ_FY-8), _xll.ciqfunctions.udf.CIQ(A1263, "IQ_CAPEX",IQ_FY-7))</f>
        <v>-1.7150000000000001</v>
      </c>
      <c r="L1265" s="15">
        <f t="shared" si="336"/>
        <v>-0.24910952802278422</v>
      </c>
      <c r="M1265" s="17">
        <f>IF(A1271=A1272,_xll.ciqfunctions.udf.CIQ(A1263,"IQ_TOTAL_DEBT_ISSUED",IQ_FY-8), _xll.ciqfunctions.udf.CIQ(A1263, "IQ_TOTAL_DEBT_ISSUED",IQ_FY-7))</f>
        <v>0</v>
      </c>
      <c r="N1265" s="17">
        <f>IF(A1271=A1272,_xll.ciqfunctions.udf.CIQ(A1263,"IQ_TOTAL_DEBT_REPAID",IQ_FY-8), _xll.ciqfunctions.udf.CIQ(A1263, "IQ_TOTAL_DEBT_REPAID",IQ_FY-7))</f>
        <v>0</v>
      </c>
      <c r="O1265" s="15">
        <f t="shared" si="337"/>
        <v>0</v>
      </c>
      <c r="P1265" s="15">
        <f t="shared" si="338"/>
        <v>-0.24910952802278422</v>
      </c>
      <c r="Q1265" s="25" t="s">
        <v>21</v>
      </c>
      <c r="R1265" s="38" t="s">
        <v>49</v>
      </c>
      <c r="S1265" s="2">
        <f>(R1262*I1273)/1000</f>
        <v>11.498937252899999</v>
      </c>
      <c r="U1265" s="25" t="s">
        <v>59</v>
      </c>
      <c r="V1265" s="38" t="s">
        <v>49</v>
      </c>
      <c r="W1265" s="2">
        <f>(V1262*I1273)/1000</f>
        <v>11.498937252899999</v>
      </c>
      <c r="Y1265" s="25" t="s">
        <v>46</v>
      </c>
      <c r="Z1265" s="38" t="s">
        <v>49</v>
      </c>
      <c r="AA1265" s="2">
        <f>(Z1262*I1273)/1000</f>
        <v>11.498937252899999</v>
      </c>
    </row>
    <row r="1266" spans="1:27">
      <c r="A1266" s="18"/>
      <c r="B1266" s="13">
        <v>4</v>
      </c>
      <c r="C1266" s="14" t="s">
        <v>22</v>
      </c>
      <c r="D1266" s="15" cm="1">
        <f t="array" ref="D1266">_xlfn.SINGLE(IF(A1271=A1272,_xll.ciqfunctions.udf.CIQ(A1263,"IQ_TOTAL_REV",IQ_FY-7)/I1266, _xll.ciqfunctions.udf.CIQ(A1263, "IQ_TOTAL_REV",IQ_FY-6)/I1266))</f>
        <v>3.1683211525064507</v>
      </c>
      <c r="E1266" s="16">
        <f t="shared" si="339"/>
        <v>0.56026876335073117</v>
      </c>
      <c r="F1266" s="15">
        <f>IF(A1271=A1272,_xll.ciqfunctions.udf.CIQ(A1263,"IQ_DILUT_EPS_EXCL",IQ_FY-7), _xll.ciqfunctions.udf.CIQ(A1263, "IQ_DILUT_EPS_EXCL",IQ_FY-6))</f>
        <v>-0.77798999999999996</v>
      </c>
      <c r="G1266" s="15">
        <f>IF(A1271=A1272,_xll.ciqfunctions.udf.CIQ(A1263,"IQ_EBITDA_MARGIN",IQ_FY-7), _xll.ciqfunctions.udf.CIQ(A1263, "IQ_EBITDA_MARGIN",IQ_FY-6))</f>
        <v>-12.305300000000001</v>
      </c>
      <c r="H1266" s="15">
        <f>IF(A1271=A1272,_xll.ciqfunctions.udf.CIQ(A1263,"IQ_TOTAL_DIV_PAID_CF",IQ_FY-7)/-I1266, _xll.ciqfunctions.udf.CIQ(A1263, "IQ_TOTAL_DIV_PAID_CF",IQ_FY-6)/-I1266)</f>
        <v>0</v>
      </c>
      <c r="I1266" s="17">
        <f>IF(A1271=A1272,_xll.ciqfunctions.udf.CIQ(A1263,"IQ_TOTAL_OUTSTANDING_FILING_DATE",IQ_FY-7), _xll.ciqfunctions.udf.CIQ(A1263, "IQ_TOTAL_OUTSTANDING_FILING_DATE",IQ_FY-6))</f>
        <v>87.533739999999995</v>
      </c>
      <c r="J1266" s="17">
        <f>IF(A1271=A1272,_xll.ciqfunctions.udf.CIQ(A1263,"IQ_CASH_OPER",IQ_FY-7), _xll.ciqfunctions.udf.CIQ(A1263, "IQ_CASH_OPER",IQ_FY-6))</f>
        <v>10.097</v>
      </c>
      <c r="K1266" s="17">
        <f>IF(A1271=A1272,_xll.ciqfunctions.udf.CIQ(A1263,"IQ_CAPEX",IQ_FY-7), _xll.ciqfunctions.udf.CIQ(A1263, "IQ_CAPEX",IQ_FY-6))</f>
        <v>-14.173999999999999</v>
      </c>
      <c r="L1266" s="15">
        <f t="shared" si="336"/>
        <v>-4.6576325883025224E-2</v>
      </c>
      <c r="M1266" s="17">
        <f>IF(A1271=A1272,_xll.ciqfunctions.udf.CIQ(A1263,"IQ_TOTAL_DEBT_ISSUED",IQ_FY-7), _xll.ciqfunctions.udf.CIQ(A1263, "IQ_TOTAL_DEBT_ISSUED",IQ_FY-6))</f>
        <v>0</v>
      </c>
      <c r="N1266" s="17">
        <f>IF(A1271=A1272,_xll.ciqfunctions.udf.CIQ(A1263,"IQ_TOTAL_DEBT_REPAID",IQ_FY-7), _xll.ciqfunctions.udf.CIQ(A1263, "IQ_TOTAL_DEBT_REPAID",IQ_FY-6))</f>
        <v>0</v>
      </c>
      <c r="O1266" s="15">
        <f t="shared" si="337"/>
        <v>0</v>
      </c>
      <c r="P1266" s="15">
        <f t="shared" si="338"/>
        <v>-4.6576325883025224E-2</v>
      </c>
      <c r="Q1266" s="25" t="s">
        <v>23</v>
      </c>
      <c r="R1266" s="38" t="s">
        <v>24</v>
      </c>
      <c r="S1266" s="1" t="e">
        <f>R1262/(AVERAGE(H1268:H1273)*(1+H1274)/(0.5-H1274))</f>
        <v>#DIV/0!</v>
      </c>
      <c r="U1266" s="25" t="s">
        <v>40</v>
      </c>
      <c r="V1266" s="38" t="s">
        <v>24</v>
      </c>
      <c r="W1266" s="1" t="e">
        <f>V1262/(AVERAGE(H1268:H1273)*(1+H1274)/(0.5-H1274))</f>
        <v>#DIV/0!</v>
      </c>
      <c r="Y1266" s="25" t="s">
        <v>47</v>
      </c>
      <c r="Z1266" s="38" t="s">
        <v>24</v>
      </c>
      <c r="AA1266" s="1" t="e">
        <f>Z1262/(AVERAGE(H1268:H1273)*(1+H1274)/(0.5-H1274))</f>
        <v>#DIV/0!</v>
      </c>
    </row>
    <row r="1267" spans="1:27">
      <c r="B1267" s="13">
        <v>5</v>
      </c>
      <c r="C1267" s="14" t="s">
        <v>25</v>
      </c>
      <c r="D1267" s="15" cm="1">
        <f t="array" ref="D1267">_xlfn.SINGLE(IF(A1271=A1272,_xll.ciqfunctions.udf.CIQ(A1263,"IQ_TOTAL_REV",IQ_FY-6)/I1267, _xll.ciqfunctions.udf.CIQ(A1263, "IQ_TOTAL_REV",IQ_FY-5)/I1267))</f>
        <v>4.2344768040832319</v>
      </c>
      <c r="E1267" s="16">
        <f t="shared" si="339"/>
        <v>0.3365049186170247</v>
      </c>
      <c r="F1267" s="15">
        <f>IF(A1271=A1272,_xll.ciqfunctions.udf.CIQ(A1263,"IQ_DILUT_EPS_EXCL",IQ_FY-6), _xll.ciqfunctions.udf.CIQ(A1263, "IQ_DILUT_EPS_EXCL",IQ_FY-5))</f>
        <v>-0.69835999999999998</v>
      </c>
      <c r="G1267" s="15">
        <f>IF(A1271=A1272,_xll.ciqfunctions.udf.CIQ(A1263,"IQ_EBITDA_MARGIN",IQ_FY-6), _xll.ciqfunctions.udf.CIQ(A1263, "IQ_EBITDA_MARGIN",IQ_FY-5))</f>
        <v>-13.8857</v>
      </c>
      <c r="H1267" s="15">
        <f>IF(A1271=A1272,_xll.ciqfunctions.udf.CIQ(A1263,"IQ_TOTAL_DIV_PAID_CF",IQ_FY-6)/-I1267, _xll.ciqfunctions.udf.CIQ(A1263, "IQ_TOTAL_DIV_PAID_CF",IQ_FY-5)/-I1267)</f>
        <v>0</v>
      </c>
      <c r="I1267" s="17">
        <f>IF(A1271=A1272,_xll.ciqfunctions.udf.CIQ(A1263,"IQ_TOTAL_OUTSTANDING_FILING_DATE",IQ_FY-6), _xll.ciqfunctions.udf.CIQ(A1263, "IQ_TOTAL_OUTSTANDING_FILING_DATE",IQ_FY-5))</f>
        <v>94.23124</v>
      </c>
      <c r="J1267" s="17">
        <f>IF(A1271=A1272,_xll.ciqfunctions.udf.CIQ(A1263,"IQ_CASH_OPER",IQ_FY-6), _xll.ciqfunctions.udf.CIQ(A1263, "IQ_CASH_OPER",IQ_FY-5))</f>
        <v>-3.2549999999999999</v>
      </c>
      <c r="K1267" s="17">
        <f>IF(A1271=A1272,_xll.ciqfunctions.udf.CIQ(A1263,"IQ_CAPEX",IQ_FY-6), _xll.ciqfunctions.udf.CIQ(A1263, "IQ_CAPEX",IQ_FY-5))</f>
        <v>-9.5380000000000003</v>
      </c>
      <c r="L1267" s="15">
        <f t="shared" si="336"/>
        <v>-0.13576177072486789</v>
      </c>
      <c r="M1267" s="17">
        <f>IF(A1271=A1272,_xll.ciqfunctions.udf.CIQ(A1263,"IQ_TOTAL_DEBT_ISSUED",IQ_FY-6), _xll.ciqfunctions.udf.CIQ(A1263, "IQ_TOTAL_DEBT_ISSUED",IQ_FY-5))</f>
        <v>0</v>
      </c>
      <c r="N1267" s="17">
        <f>IF(A1271=A1272,_xll.ciqfunctions.udf.CIQ(A1263,"IQ_TOTAL_DEBT_REPAID",IQ_FY-6), _xll.ciqfunctions.udf.CIQ(A1263, "IQ_TOTAL_DEBT_REPAID",IQ_FY-5))</f>
        <v>0</v>
      </c>
      <c r="O1267" s="15">
        <f t="shared" si="337"/>
        <v>0</v>
      </c>
      <c r="P1267" s="15">
        <f t="shared" si="338"/>
        <v>-0.13576177072486789</v>
      </c>
      <c r="Q1267" s="18"/>
      <c r="R1267" s="38" t="s">
        <v>50</v>
      </c>
      <c r="S1267" s="3">
        <f>I1274</f>
        <v>7.9358828008472493E-2</v>
      </c>
      <c r="U1267" s="18"/>
      <c r="V1267" s="38" t="s">
        <v>50</v>
      </c>
      <c r="W1267" s="3">
        <f>I1274</f>
        <v>7.9358828008472493E-2</v>
      </c>
      <c r="Y1267" s="18"/>
      <c r="Z1267" s="38" t="s">
        <v>50</v>
      </c>
      <c r="AA1267" s="3">
        <f>I1274</f>
        <v>7.9358828008472493E-2</v>
      </c>
    </row>
    <row r="1268" spans="1:27">
      <c r="B1268" s="13">
        <v>6</v>
      </c>
      <c r="C1268" s="14" t="s">
        <v>26</v>
      </c>
      <c r="D1268" s="15" cm="1">
        <f t="array" ref="D1268">_xlfn.SINGLE(IF(A1271=A1272,_xll.ciqfunctions.udf.CIQ(A1263,"IQ_TOTAL_REV",IQ_FY-5)/I1268, _xll.ciqfunctions.udf.CIQ(A1263, "IQ_TOTAL_REV",IQ_FY-4)/I1268))</f>
        <v>5.2602448286401007</v>
      </c>
      <c r="E1268" s="16">
        <f t="shared" si="339"/>
        <v>0.24224197510486742</v>
      </c>
      <c r="F1268" s="15">
        <f>IF(A1271=A1272,_xll.ciqfunctions.udf.CIQ(A1263,"IQ_DILUT_EPS_EXCL",IQ_FY-5), _xll.ciqfunctions.udf.CIQ(A1263, "IQ_DILUT_EPS_EXCL",IQ_FY-4))</f>
        <v>-1.25552</v>
      </c>
      <c r="G1268" s="15">
        <f>IF(A1271=A1272,_xll.ciqfunctions.udf.CIQ(A1263,"IQ_EBITDA_MARGIN",IQ_FY-5), _xll.ciqfunctions.udf.CIQ(A1263, "IQ_EBITDA_MARGIN",IQ_FY-4))</f>
        <v>-14.763500000000001</v>
      </c>
      <c r="H1268" s="15">
        <f>IF(A1271=A1272,_xll.ciqfunctions.udf.CIQ(A1263,"IQ_TOTAL_DIV_PAID_CF",IQ_FY-5)/-I1268, _xll.ciqfunctions.udf.CIQ(A1263, "IQ_TOTAL_DIV_PAID_CF",IQ_FY-4)/-I1268)</f>
        <v>0</v>
      </c>
      <c r="I1268" s="17">
        <f>IF(A1271=A1272,_xll.ciqfunctions.udf.CIQ(A1263,"IQ_TOTAL_OUTSTANDING_FILING_DATE",IQ_FY-5), _xll.ciqfunctions.udf.CIQ(A1263, "IQ_TOTAL_OUTSTANDING_FILING_DATE",IQ_FY-4))</f>
        <v>123.58113</v>
      </c>
      <c r="J1268" s="17">
        <f>IF(A1271=A1272,_xll.ciqfunctions.udf.CIQ(A1263,"IQ_CASH_OPER",IQ_FY-5), _xll.ciqfunctions.udf.CIQ(A1263, "IQ_CASH_OPER",IQ_FY-4))</f>
        <v>7.9829999999999997</v>
      </c>
      <c r="K1268" s="17">
        <f>IF(A1271=A1272,_xll.ciqfunctions.udf.CIQ(A1263,"IQ_CAPEX",IQ_FY-5), _xll.ciqfunctions.udf.CIQ(A1263, "IQ_CAPEX",IQ_FY-4))</f>
        <v>-5.109</v>
      </c>
      <c r="L1268" s="15">
        <f t="shared" si="336"/>
        <v>2.3255977672319388E-2</v>
      </c>
      <c r="M1268" s="17">
        <f>IF(A1271=A1272,_xll.ciqfunctions.udf.CIQ(A1263,"IQ_TOTAL_DEBT_ISSUED",IQ_FY-5), _xll.ciqfunctions.udf.CIQ(A1263, "IQ_TOTAL_DEBT_ISSUED",IQ_FY-4))</f>
        <v>550</v>
      </c>
      <c r="N1268" s="17">
        <f>IF(A1271=A1272,_xll.ciqfunctions.udf.CIQ(A1263,"IQ_TOTAL_DEBT_REPAID",IQ_FY-5), _xll.ciqfunctions.udf.CIQ(A1263, "IQ_TOTAL_DEBT_REPAID",IQ_FY-4))</f>
        <v>0</v>
      </c>
      <c r="O1268" s="15">
        <f t="shared" si="337"/>
        <v>4.4505176477994661</v>
      </c>
      <c r="P1268" s="15">
        <f t="shared" si="338"/>
        <v>4.4737736254717859</v>
      </c>
      <c r="Q1268" s="25" t="s">
        <v>27</v>
      </c>
      <c r="R1268" s="38" t="s">
        <v>51</v>
      </c>
      <c r="S1268" s="4">
        <f>AVERAGE(F1268:F1273)/AVERAGE(D1268:D1273)</f>
        <v>-0.29172626092086862</v>
      </c>
      <c r="U1268" s="25" t="s">
        <v>58</v>
      </c>
      <c r="V1268" s="38" t="s">
        <v>51</v>
      </c>
      <c r="W1268" s="4">
        <f>AVERAGE(F1268:F1273)/AVERAGE(D1268:D1273)</f>
        <v>-0.29172626092086862</v>
      </c>
      <c r="Y1268" s="25" t="s">
        <v>56</v>
      </c>
      <c r="Z1268" s="38" t="s">
        <v>51</v>
      </c>
      <c r="AA1268" s="4">
        <f>AVERAGE(F1268:F1273)/AVERAGE(D1268:D1273)</f>
        <v>-0.29172626092086862</v>
      </c>
    </row>
    <row r="1269" spans="1:27">
      <c r="A1269" s="18"/>
      <c r="B1269" s="13">
        <v>7</v>
      </c>
      <c r="C1269" s="14" t="s">
        <v>28</v>
      </c>
      <c r="D1269" s="15" cm="1">
        <f t="array" ref="D1269">_xlfn.SINGLE(IF(A1271=A1272,_xll.ciqfunctions.udf.CIQ(A1263,"IQ_TOTAL_REV",IQ_FY-4)/I1269, _xll.ciqfunctions.udf.CIQ(A1263, "IQ_TOTAL_REV",IQ_FY-3)/I1269))</f>
        <v>8.120117279417002</v>
      </c>
      <c r="E1269" s="16">
        <f t="shared" si="339"/>
        <v>0.54367668120805834</v>
      </c>
      <c r="F1269" s="15">
        <f>IF(A1271=A1272,_xll.ciqfunctions.udf.CIQ(A1263,"IQ_DILUT_EPS_EXCL",IQ_FY-4), _xll.ciqfunctions.udf.CIQ(A1263, "IQ_DILUT_EPS_EXCL",IQ_FY-3))</f>
        <v>-2.3605200000000002</v>
      </c>
      <c r="G1269" s="15">
        <f>IF(A1271=A1272,_xll.ciqfunctions.udf.CIQ(A1263,"IQ_EBITDA_MARGIN",IQ_FY-4), _xll.ciqfunctions.udf.CIQ(A1263, "IQ_EBITDA_MARGIN",IQ_FY-3))</f>
        <v>-22.8613</v>
      </c>
      <c r="H1269" s="15">
        <f>IF(A1271=A1272,_xll.ciqfunctions.udf.CIQ(A1263,"IQ_TOTAL_DIV_PAID_CF",IQ_FY-4)/-I1269, _xll.ciqfunctions.udf.CIQ(A1263, "IQ_TOTAL_DIV_PAID_CF",IQ_FY-3)/-I1269)</f>
        <v>0</v>
      </c>
      <c r="I1269" s="17">
        <f>IF(A1271=A1272,_xll.ciqfunctions.udf.CIQ(A1263,"IQ_TOTAL_OUTSTANDING_FILING_DATE",IQ_FY-4), _xll.ciqfunctions.udf.CIQ(A1263, "IQ_TOTAL_OUTSTANDING_FILING_DATE",IQ_FY-3))</f>
        <v>139.71079</v>
      </c>
      <c r="J1269" s="17">
        <f>IF(A1271=A1272,_xll.ciqfunctions.udf.CIQ(A1263,"IQ_CASH_OPER",IQ_FY-4), _xll.ciqfunctions.udf.CIQ(A1263, "IQ_CASH_OPER",IQ_FY-3))</f>
        <v>14.048</v>
      </c>
      <c r="K1269" s="17">
        <f>IF(A1271=A1272,_xll.ciqfunctions.udf.CIQ(A1263,"IQ_CAPEX",IQ_FY-4), _xll.ciqfunctions.udf.CIQ(A1263, "IQ_CAPEX",IQ_FY-3))</f>
        <v>-45.368000000000002</v>
      </c>
      <c r="L1269" s="15">
        <f t="shared" si="336"/>
        <v>-0.22417738816021296</v>
      </c>
      <c r="M1269" s="17">
        <f>IF(A1271=A1272,_xll.ciqfunctions.udf.CIQ(A1263,"IQ_TOTAL_DEBT_ISSUED",IQ_FY-4), _xll.ciqfunctions.udf.CIQ(A1263, "IQ_TOTAL_DEBT_ISSUED",IQ_FY-3))</f>
        <v>0</v>
      </c>
      <c r="N1269" s="17">
        <f>IF(A1271=A1272,_xll.ciqfunctions.udf.CIQ(A1263,"IQ_TOTAL_DEBT_REPAID",IQ_FY-4), _xll.ciqfunctions.udf.CIQ(A1263, "IQ_TOTAL_DEBT_REPAID",IQ_FY-3))</f>
        <v>-11.045999999999999</v>
      </c>
      <c r="O1269" s="15">
        <f t="shared" si="337"/>
        <v>-7.9063327893285837E-2</v>
      </c>
      <c r="P1269" s="15">
        <f t="shared" si="338"/>
        <v>-0.30324071605349878</v>
      </c>
      <c r="Q1269" s="18"/>
      <c r="R1269" s="38" t="s">
        <v>29</v>
      </c>
      <c r="S1269" s="4">
        <f>(AVERAGE(P1268:P1273)/_xlfn.STDEV.P(P1268:P1273))/(IF(A1271=A1272,(_xlfn.SINGLE(_xll.ciqfunctions.udf.CIQ(A1263,"IQ_total_assets",IQ_FY)) - _xlfn.SINGLE(_xll.ciqfunctions.udf.CIQ(A1263,"iq_gw_intan", IQ_FY)))/I1273, (_xlfn.SINGLE(_xll.ciqfunctions.udf.CIQ(A1263, "IQ_total_assets",IQ_LTM))-_xlfn.SINGLE(_xll.ciqfunctions.udf.CIQ(A1263,"iq_gw_intan",IQ_LTM)))/I1273))</f>
        <v>1.6454163794899865E-2</v>
      </c>
      <c r="U1269" s="18"/>
      <c r="V1269" s="38" t="s">
        <v>29</v>
      </c>
      <c r="W1269" s="4">
        <f>(AVERAGE(P1268:P1273)/_xlfn.STDEV.P(P1268:P1273))/(IF(A1271=A1272,(_xlfn.SINGLE(_xll.ciqfunctions.udf.CIQ(A1263,"IQ_total_assets",IQ_FY)) - _xlfn.SINGLE(_xll.ciqfunctions.udf.CIQ(A1263,"iq_gw_intan", IQ_FY)))/I1273, (_xlfn.SINGLE(_xll.ciqfunctions.udf.CIQ(A1263, "IQ_total_assets",IQ_LTM))-_xlfn.SINGLE(_xll.ciqfunctions.udf.CIQ(A1263,"iq_gw_intan",IQ_LTM)))/I1273))</f>
        <v>1.6454163794899865E-2</v>
      </c>
      <c r="Y1269" s="18"/>
      <c r="Z1269" s="38" t="s">
        <v>29</v>
      </c>
      <c r="AA1269" s="4">
        <f>(AVERAGE(P1268:P1273)/_xlfn.STDEV.P(P1268:P1273))/(IF(A1271=A1272,(_xlfn.SINGLE(_xll.ciqfunctions.udf.CIQ(A1263,"IQ_total_assets",IQ_FY)) - _xlfn.SINGLE(_xll.ciqfunctions.udf.CIQ(A1263,"iq_gw_intan", IQ_FY)))/I1273, (_xlfn.SINGLE(_xll.ciqfunctions.udf.CIQ(A1263, "IQ_total_assets",IQ_LTM))-_xlfn.SINGLE(_xll.ciqfunctions.udf.CIQ(A1263,"iq_gw_intan",IQ_LTM)))/I1273))</f>
        <v>1.6454163794899865E-2</v>
      </c>
    </row>
    <row r="1270" spans="1:27">
      <c r="A1270" s="18"/>
      <c r="B1270" s="13">
        <v>8</v>
      </c>
      <c r="C1270" s="14" t="s">
        <v>30</v>
      </c>
      <c r="D1270" s="15" cm="1">
        <f t="array" ref="D1270">_xlfn.SINGLE(IF(A1271=A1272,_xll.ciqfunctions.udf.CIQ(A1263,"IQ_TOTAL_REV",IQ_FY-3)/I1270, _xll.ciqfunctions.udf.CIQ(A1263, "IQ_TOTAL_REV",IQ_FY-2)/I1270))</f>
        <v>10.33434022861857</v>
      </c>
      <c r="E1270" s="16">
        <f t="shared" si="339"/>
        <v>0.27268361687511766</v>
      </c>
      <c r="F1270" s="15">
        <f>IF(A1271=A1272,_xll.ciqfunctions.udf.CIQ(A1263,"IQ_DILUT_EPS_EXCL",IQ_FY-3), _xll.ciqfunctions.udf.CIQ(A1263, "IQ_DILUT_EPS_EXCL",IQ_FY-2))</f>
        <v>-3.3466300000000002</v>
      </c>
      <c r="G1270" s="15">
        <f>IF(A1271=A1272,_xll.ciqfunctions.udf.CIQ(A1263,"IQ_EBITDA_MARGIN",IQ_FY-3), _xll.ciqfunctions.udf.CIQ(A1263, "IQ_EBITDA_MARGIN",IQ_FY-2))</f>
        <v>-18.247199999999999</v>
      </c>
      <c r="H1270" s="15">
        <f>IF(A1271=A1272,_xll.ciqfunctions.udf.CIQ(A1263,"IQ_TOTAL_DIV_PAID_CF",IQ_FY-3)/-I1270, _xll.ciqfunctions.udf.CIQ(A1263, "IQ_TOTAL_DIV_PAID_CF",IQ_FY-2)/-I1270)</f>
        <v>0</v>
      </c>
      <c r="I1270" s="17">
        <f>IF(A1271=A1272,_xll.ciqfunctions.udf.CIQ(A1263,"IQ_TOTAL_OUTSTANDING_FILING_DATE",IQ_FY-3), _xll.ciqfunctions.udf.CIQ(A1263, "IQ_TOTAL_OUTSTANDING_FILING_DATE",IQ_FY-2))</f>
        <v>170.47783999999999</v>
      </c>
      <c r="J1270" s="17">
        <f>IF(A1271=A1272,_xll.ciqfunctions.udf.CIQ(A1263,"IQ_CASH_OPER",IQ_FY-3), _xll.ciqfunctions.udf.CIQ(A1263, "IQ_CASH_OPER",IQ_FY-2))</f>
        <v>32.654000000000003</v>
      </c>
      <c r="K1270" s="17">
        <f>IF(A1271=A1272,_xll.ciqfunctions.udf.CIQ(A1263,"IQ_CAPEX",IQ_FY-3), _xll.ciqfunctions.udf.CIQ(A1263, "IQ_CAPEX",IQ_FY-2))</f>
        <v>-25.805</v>
      </c>
      <c r="L1270" s="15">
        <f t="shared" si="336"/>
        <v>4.0175309588624565E-2</v>
      </c>
      <c r="M1270" s="17">
        <f>IF(A1271=A1272,_xll.ciqfunctions.udf.CIQ(A1263,"IQ_TOTAL_DEBT_ISSUED",IQ_FY-3), _xll.ciqfunctions.udf.CIQ(A1263, "IQ_TOTAL_DEBT_ISSUED",IQ_FY-2))</f>
        <v>0</v>
      </c>
      <c r="N1270" s="17">
        <f>IF(A1271=A1272,_xll.ciqfunctions.udf.CIQ(A1263,"IQ_TOTAL_DEBT_REPAID",IQ_FY-3), _xll.ciqfunctions.udf.CIQ(A1263, "IQ_TOTAL_DEBT_REPAID",IQ_FY-2))</f>
        <v>-10.784000000000001</v>
      </c>
      <c r="O1270" s="15">
        <f t="shared" si="337"/>
        <v>-6.3257488480614257E-2</v>
      </c>
      <c r="P1270" s="15">
        <f t="shared" si="338"/>
        <v>-2.3082178891989692E-2</v>
      </c>
      <c r="Q1270" s="18"/>
      <c r="R1270" s="39" t="s">
        <v>31</v>
      </c>
      <c r="S1270" s="5">
        <f>IF(NOT(D1263&gt;0),FALSE,SLOPE(G1263:G1273,B1263:B1273))</f>
        <v>2.1993509090909087</v>
      </c>
      <c r="U1270" s="18"/>
      <c r="V1270" s="39" t="s">
        <v>31</v>
      </c>
      <c r="W1270" s="5">
        <f>IF(NOT(D1263&gt;0),FALSE,SLOPE(G1263:G1273,B1263:B1273))</f>
        <v>2.1993509090909087</v>
      </c>
      <c r="Y1270" s="18"/>
      <c r="Z1270" s="39" t="s">
        <v>31</v>
      </c>
      <c r="AA1270" s="5" t="b">
        <f>IF(NOT(L1263&gt;0),FALSE,SLOPE(O1263:O1273,J1263:J1273))</f>
        <v>0</v>
      </c>
    </row>
    <row r="1271" spans="1:27">
      <c r="A1271" s="19">
        <f>_xll.ciqfunctions.udf.CIQ(A1263,"IQ_TOTAL_REV",IQ_FY)</f>
        <v>3826.3209999999999</v>
      </c>
      <c r="B1271" s="13">
        <v>9</v>
      </c>
      <c r="C1271" s="14" t="s">
        <v>32</v>
      </c>
      <c r="D1271" s="15" cm="1">
        <f t="array" ref="D1271">_xlfn.SINGLE(IF(A1271=A1272,_xll.ciqfunctions.udf.CIQ(A1263,"IQ_TOTAL_REV",IQ_FY-2)/I1271, _xll.ciqfunctions.udf.CIQ(A1263, "IQ_TOTAL_REV",IQ_FY-1)/I1271))</f>
        <v>15.655492444640073</v>
      </c>
      <c r="E1271" s="16">
        <f t="shared" si="339"/>
        <v>0.51490004183196902</v>
      </c>
      <c r="F1271" s="15">
        <f>IF(A1271=A1272,_xll.ciqfunctions.udf.CIQ(A1263,"IQ_DILUT_EPS_EXCL",IQ_FY-2), _xll.ciqfunctions.udf.CIQ(A1263, "IQ_DILUT_EPS_EXCL",IQ_FY-1))</f>
        <v>-5.4535400000000003</v>
      </c>
      <c r="G1271" s="15">
        <f>IF(A1271=A1272,_xll.ciqfunctions.udf.CIQ(A1263,"IQ_EBITDA_MARGIN",IQ_FY-2), _xll.ciqfunctions.udf.CIQ(A1263, "IQ_EBITDA_MARGIN",IQ_FY-1))</f>
        <v>-22.863900000000001</v>
      </c>
      <c r="H1271" s="15">
        <f>IF(A1271=A1272,_xll.ciqfunctions.udf.CIQ(A1263,"IQ_TOTAL_DIV_PAID_CF",IQ_FY-2)/-I1271, _xll.ciqfunctions.udf.CIQ(A1263, "IQ_TOTAL_DIV_PAID_CF",IQ_FY-1)/-I1271)</f>
        <v>0</v>
      </c>
      <c r="I1271" s="17">
        <f>IF(A1271=A1272,_xll.ciqfunctions.udf.CIQ(A1263,"IQ_TOTAL_OUTSTANDING_FILING_DATE",IQ_FY-2), _xll.ciqfunctions.udf.CIQ(A1263, "IQ_TOTAL_OUTSTANDING_FILING_DATE",IQ_FY-1))</f>
        <v>181.52345</v>
      </c>
      <c r="J1271" s="17">
        <f>IF(A1271=A1272,_xll.ciqfunctions.udf.CIQ(A1263,"IQ_CASH_OPER",IQ_FY-2), _xll.ciqfunctions.udf.CIQ(A1263, "IQ_CASH_OPER",IQ_FY-1))</f>
        <v>-58.192</v>
      </c>
      <c r="K1271" s="17">
        <f>IF(A1271=A1272,_xll.ciqfunctions.udf.CIQ(A1263,"IQ_CAPEX",IQ_FY-2), _xll.ciqfunctions.udf.CIQ(A1263, "IQ_CAPEX",IQ_FY-1))</f>
        <v>-46.048000000000002</v>
      </c>
      <c r="L1271" s="15">
        <f t="shared" si="336"/>
        <v>-0.57425087502468697</v>
      </c>
      <c r="M1271" s="17">
        <f>IF(A1271=A1272,_xll.ciqfunctions.udf.CIQ(A1263,"IQ_TOTAL_DEBT_ISSUED",IQ_FY-2), _xll.ciqfunctions.udf.CIQ(A1263, "IQ_TOTAL_DEBT_ISSUED",IQ_FY-1))</f>
        <v>984.72299999999996</v>
      </c>
      <c r="N1271" s="17">
        <f>IF(A1271=A1272,_xll.ciqfunctions.udf.CIQ(A1263,"IQ_TOTAL_DEBT_REPAID",IQ_FY-2), _xll.ciqfunctions.udf.CIQ(A1263, "IQ_TOTAL_DEBT_REPAID",IQ_FY-1))</f>
        <v>-8.2949999999999999</v>
      </c>
      <c r="O1271" s="15">
        <f t="shared" si="337"/>
        <v>5.379073612803194</v>
      </c>
      <c r="P1271" s="15">
        <f t="shared" si="338"/>
        <v>4.8048227377785073</v>
      </c>
      <c r="Q1271" s="25" t="s">
        <v>33</v>
      </c>
      <c r="R1271" s="38" t="s">
        <v>52</v>
      </c>
      <c r="S1271" s="4">
        <f>(AVERAGE(O1268:O1273)/AVERAGE(P1268:P1273))</f>
        <v>1.2051425143065737</v>
      </c>
      <c r="U1271" s="25" t="s">
        <v>54</v>
      </c>
      <c r="V1271" s="38" t="s">
        <v>52</v>
      </c>
      <c r="W1271" s="4">
        <f>(AVERAGE(O1268:O1273)/AVERAGE(P1268:P1273))</f>
        <v>1.2051425143065737</v>
      </c>
      <c r="Y1271" s="25" t="s">
        <v>60</v>
      </c>
      <c r="Z1271" s="38" t="s">
        <v>52</v>
      </c>
      <c r="AA1271" s="4">
        <f>(AVERAGE(O1268:O1273)/AVERAGE(P1268:P1273))</f>
        <v>1.2051425143065737</v>
      </c>
    </row>
    <row r="1272" spans="1:27">
      <c r="A1272" s="19">
        <f>_xll.ciqfunctions.udf.CIQ(A1263,"IQ_TOTAL_REV",IQ_LTM)</f>
        <v>4102.5690000000004</v>
      </c>
      <c r="B1272" s="13">
        <v>10</v>
      </c>
      <c r="C1272" s="14" t="s">
        <v>34</v>
      </c>
      <c r="D1272" s="15" cm="1">
        <f t="array" ref="D1272">_xlfn.SINGLE(IF(A1271=A1272,_xll.ciqfunctions.udf.CIQ(A1263,"IQ_TOTAL_REV",IQ_FY-1)/I1272, _xll.ciqfunctions.udf.CIQ(A1263, "IQ_TOTAL_REV",IQ_FY)/I1272))</f>
        <v>20.431589393039406</v>
      </c>
      <c r="E1272" s="16">
        <f t="shared" si="339"/>
        <v>0.30507484611475844</v>
      </c>
      <c r="F1272" s="15">
        <f>IF(A1271=A1272,_xll.ciqfunctions.udf.CIQ(A1263,"IQ_DILUT_EPS_EXCL",IQ_FY-1), _xll.ciqfunctions.udf.CIQ(A1263, "IQ_DILUT_EPS_EXCL",IQ_FY))</f>
        <v>-6.8643999999999998</v>
      </c>
      <c r="G1272" s="15">
        <f>IF(A1271=A1272,_xll.ciqfunctions.udf.CIQ(A1263,"IQ_EBITDA_MARGIN",IQ_FY-1), _xll.ciqfunctions.udf.CIQ(A1263, "IQ_EBITDA_MARGIN",IQ_FY))</f>
        <v>-19.580200000000001</v>
      </c>
      <c r="H1272" s="15">
        <f>IF(A1271=A1272,_xll.ciqfunctions.udf.CIQ(A1263,"IQ_TOTAL_DIV_PAID_CF",IQ_FY-1)/-I1272, _xll.ciqfunctions.udf.CIQ(A1263, "IQ_TOTAL_DIV_PAID_CF",IQ_FY)/-I1272)</f>
        <v>0</v>
      </c>
      <c r="I1272" s="17">
        <f>IF(A1271=A1272,_xll.ciqfunctions.udf.CIQ(A1263,"IQ_TOTAL_OUTSTANDING_FILING_DATE",IQ_FY-1), _xll.ciqfunctions.udf.CIQ(A1263, "IQ_TOTAL_OUTSTANDING_FILING_DATE",IQ_FY))</f>
        <v>187.27475999999999</v>
      </c>
      <c r="J1272" s="17">
        <f>IF(A1271=A1272,_xll.ciqfunctions.udf.CIQ(A1263,"IQ_CASH_OPER",IQ_FY-1), _xll.ciqfunctions.udf.CIQ(A1263, "IQ_CASH_OPER",IQ_FY))</f>
        <v>-254.36799999999999</v>
      </c>
      <c r="K1272" s="17">
        <f>IF(A1271=A1272,_xll.ciqfunctions.udf.CIQ(A1263,"IQ_CAPEX",IQ_FY-1), _xll.ciqfunctions.udf.CIQ(A1263, "IQ_CAPEX",IQ_FY))</f>
        <v>-34.420999999999999</v>
      </c>
      <c r="L1272" s="15">
        <f t="shared" si="336"/>
        <v>-1.542060446373019</v>
      </c>
      <c r="M1272" s="17">
        <f>IF(A1271=A1272,_xll.ciqfunctions.udf.CIQ(A1263,"IQ_TOTAL_DEBT_ISSUED",IQ_FY-1), _xll.ciqfunctions.udf.CIQ(A1263, "IQ_TOTAL_DEBT_ISSUED",IQ_FY))</f>
        <v>0</v>
      </c>
      <c r="N1272" s="17">
        <f>IF(A1271=A1272,_xll.ciqfunctions.udf.CIQ(A1263,"IQ_TOTAL_DEBT_REPAID",IQ_FY-1), _xll.ciqfunctions.udf.CIQ(A1263, "IQ_TOTAL_DEBT_REPAID",IQ_FY))</f>
        <v>-13.423</v>
      </c>
      <c r="O1272" s="15">
        <f t="shared" si="337"/>
        <v>-7.1675435600611639E-2</v>
      </c>
      <c r="P1272" s="15">
        <f t="shared" si="338"/>
        <v>-1.6137358819736307</v>
      </c>
      <c r="Q1272" s="25" t="s">
        <v>44</v>
      </c>
      <c r="R1272" s="38" t="s">
        <v>35</v>
      </c>
      <c r="S1272" s="1" t="str">
        <f>_xll.ciqfunctions.udf.CIQ(A1263,"IQ_TEV_EBITDA")</f>
        <v>NM</v>
      </c>
      <c r="U1272" s="25" t="s">
        <v>55</v>
      </c>
      <c r="V1272" s="38" t="s">
        <v>53</v>
      </c>
      <c r="W1272" s="1">
        <f>V1262/(AVERAGE(D1268:D1273)/_xlfn.STDEV.P(E1268:E1273))</f>
        <v>0.70652780735755694</v>
      </c>
      <c r="Y1272" s="25" t="s">
        <v>57</v>
      </c>
      <c r="Z1272" s="38" t="s">
        <v>53</v>
      </c>
      <c r="AA1272" s="1">
        <f>Z1262/(AVERAGE(D1268:D1273)/_xlfn.STDEV.P(E1268:E1273))</f>
        <v>0.70652780735755694</v>
      </c>
    </row>
    <row r="1273" spans="1:27">
      <c r="B1273" s="13">
        <v>11</v>
      </c>
      <c r="C1273" s="20" t="s">
        <v>36</v>
      </c>
      <c r="D1273" s="21" cm="1">
        <f t="array" ref="D1273">_xlfn.SINGLE(IF(A1271=A1272,_xll.ciqfunctions.udf.CIQ(A1263,"IQ_TOTAL_REV",IQ_FY)/I1273, _xll.ciqfunctions.udf.CIQ(A1263, "IQ_TOTAL_REV",IQ_LTM)/I1273))</f>
        <v>22.660761103751899</v>
      </c>
      <c r="E1273" s="22">
        <f t="shared" si="339"/>
        <v>0.10910417529592301</v>
      </c>
      <c r="F1273" s="21">
        <f>IF(A1271=A1272,_xll.ciqfunctions.udf.CIQ(A1263,"IQ_DILUT_EPS_EXCL",IQ_FY), _xll.ciqfunctions.udf.CIQ(A1263, "IQ_DILUT_EPS_EXCL",IQ_LTM))</f>
        <v>-4.7758799999999999</v>
      </c>
      <c r="G1273" s="21">
        <f>IF(A1271=A1272,_xll.ciqfunctions.udf.CIQ(A1263,"IQ_EBITDA_MARGIN",IQ_FY), _xll.ciqfunctions.udf.CIQ(A1263, "IQ_EBITDA_MARGIN",IQ_LTM))</f>
        <v>-6.3813000000000004</v>
      </c>
      <c r="H1273" s="21">
        <f>IF(A1271=A1272,_xll.ciqfunctions.udf.CIQ(A1263,"IQ_TOTAL_DIV_PAID_CF",IQ_FY)/-I1273, _xll.ciqfunctions.udf.CIQ(A1263, "IQ_TOTAL_DIV_PAID_CF",IQ_LTM)/-I1273)</f>
        <v>0</v>
      </c>
      <c r="I1273" s="23">
        <f>IF(A1271=A1272,_xll.ciqfunctions.udf.CIQ(A1263,"IQ_TOTAL_OUTSTANDING_FILING_DATE",IQ_FY),_xll.ciqfunctions.udf.CIQ(A1263,"IQ_sharesoutstanding"))</f>
        <v>181.04285999999999</v>
      </c>
      <c r="J1273" s="23">
        <f>IF(A1271=A1272,_xll.ciqfunctions.udf.CIQ(A1263,"IQ_CASH_OPER",IQ_FY), _xll.ciqfunctions.udf.CIQ(A1263, "IQ_CASH_OPER",IQ_LTM))</f>
        <v>133.75200000000001</v>
      </c>
      <c r="K1273" s="23">
        <f>IF(A1271=A1272,_xll.ciqfunctions.udf.CIQ(A1263,"IQ_CAPEX",IQ_FY), _xll.ciqfunctions.udf.CIQ(A1263, "IQ_CAPEX",IQ_LTM))</f>
        <v>-14.805999999999999</v>
      </c>
      <c r="L1273" s="21">
        <f t="shared" si="336"/>
        <v>0.6570046451983802</v>
      </c>
      <c r="M1273" s="23">
        <f>IF(A1271=A1272,_xll.ciqfunctions.udf.CIQ(A1263,"IQ_TOTAL_DEBT_ISSUED",IQ_FY), _xll.ciqfunctions.udf.CIQ(A1263, "IQ_TOTAL_DEBT_ISSUED",IQ_LTM))</f>
        <v>0</v>
      </c>
      <c r="N1273" s="23">
        <f>IF(A1271=A1272,_xll.ciqfunctions.udf.CIQ(A1263,"IQ_TOTAL_DEBT_REPAID",IQ_FY), _xll.ciqfunctions.udf.CIQ(A1263, "IQ_TOTAL_DEBT_REPAID",IQ_LTM))</f>
        <v>-17.803000000000001</v>
      </c>
      <c r="O1273" s="21">
        <f t="shared" si="337"/>
        <v>-9.8335830532062976E-2</v>
      </c>
      <c r="P1273" s="21">
        <f t="shared" si="338"/>
        <v>0.55866881466631724</v>
      </c>
      <c r="Q1273" s="25" t="s">
        <v>45</v>
      </c>
      <c r="S1273" s="45"/>
      <c r="U1273" s="25"/>
      <c r="W1273" s="45"/>
      <c r="Y1273" s="25"/>
      <c r="AA1273" s="45"/>
    </row>
    <row r="1274" spans="1:27">
      <c r="B1274" s="24"/>
      <c r="C1274" s="25" t="s">
        <v>37</v>
      </c>
      <c r="E1274" s="26">
        <f>((D1273/D1268)^(1/5))-1</f>
        <v>0.33922549009881386</v>
      </c>
      <c r="F1274" s="27">
        <f>((F1273/F1268)^(1/5))-1</f>
        <v>0.30630910577813575</v>
      </c>
      <c r="G1274" s="28"/>
      <c r="H1274" s="27" t="e">
        <f>((H1273/H1268)^(1/5))-1</f>
        <v>#DIV/0!</v>
      </c>
      <c r="I1274" s="27">
        <f>((I1273/I1268)^(1/5))-1</f>
        <v>7.9358828008472493E-2</v>
      </c>
      <c r="J1274" s="27"/>
      <c r="K1274" s="27"/>
      <c r="L1274" s="26">
        <f>((L1273/L1268)^(1/5))-1</f>
        <v>0.95077314209113761</v>
      </c>
      <c r="M1274" s="26"/>
      <c r="N1274" s="26"/>
      <c r="O1274" s="26"/>
      <c r="P1274" s="26">
        <f>((P1273/P1268)^(1/5))-1</f>
        <v>-0.34037655268421996</v>
      </c>
      <c r="Q1274" s="18"/>
      <c r="R1274" s="36"/>
      <c r="S1274" s="45"/>
      <c r="U1274" s="18"/>
      <c r="V1274" s="36"/>
      <c r="W1274" s="45"/>
      <c r="Y1274" s="18"/>
      <c r="Z1274" s="36"/>
      <c r="AA1274" s="45"/>
    </row>
    <row r="1275" spans="1:27">
      <c r="A1275" s="29"/>
      <c r="B1275" s="30"/>
      <c r="C1275" s="31" t="s">
        <v>38</v>
      </c>
      <c r="D1275" s="29"/>
      <c r="E1275" s="32">
        <f>((D1273/D1263)^(1/10))-1</f>
        <v>0.22641594306524659</v>
      </c>
      <c r="F1275" s="33">
        <f>((F1273/F1263)^(1/10))-1</f>
        <v>0.11643705067023324</v>
      </c>
      <c r="G1275" s="34"/>
      <c r="H1275" s="33" t="e">
        <f>((H1273/H1263)^(1/10))-1</f>
        <v>#DIV/0!</v>
      </c>
      <c r="I1275" s="33">
        <f>((I1273/I1263)^(1/10))-1</f>
        <v>0.26718593582863082</v>
      </c>
      <c r="J1275" s="33"/>
      <c r="K1275" s="33"/>
      <c r="L1275" s="32" t="e">
        <f>((L1273/L1263)^(1/10))-1</f>
        <v>#NUM!</v>
      </c>
      <c r="M1275" s="32"/>
      <c r="N1275" s="32"/>
      <c r="O1275" s="32"/>
      <c r="P1275" s="32" t="e">
        <f>((P1273/P1263)^(1/10))-1</f>
        <v>#NUM!</v>
      </c>
      <c r="Q1275" s="40"/>
      <c r="R1275" s="41"/>
      <c r="S1275" s="46"/>
      <c r="U1275" s="40"/>
      <c r="V1275" s="41"/>
      <c r="W1275" s="46"/>
      <c r="Y1275" s="40"/>
      <c r="Z1275" s="41"/>
      <c r="AA1275" s="46"/>
    </row>
    <row r="1276" spans="1:27">
      <c r="B1276" s="24"/>
      <c r="C1276" s="25"/>
      <c r="E1276" s="26"/>
      <c r="F1276" s="27"/>
      <c r="G1276" s="28"/>
      <c r="H1276" s="27"/>
      <c r="I1276" s="27"/>
      <c r="J1276" s="27"/>
      <c r="K1276" s="27"/>
      <c r="L1276" s="26"/>
      <c r="M1276" s="17"/>
      <c r="N1276" s="17"/>
      <c r="O1276" s="17"/>
      <c r="P1276" s="35"/>
      <c r="Q1276" s="18"/>
      <c r="R1276" s="36"/>
    </row>
    <row r="1277" spans="1:27">
      <c r="A1277" s="9" t="s">
        <v>0</v>
      </c>
      <c r="B1277" s="10"/>
      <c r="C1277" s="9" t="s">
        <v>1</v>
      </c>
      <c r="D1277" s="9" t="s">
        <v>2</v>
      </c>
      <c r="E1277" s="9" t="s">
        <v>3</v>
      </c>
      <c r="F1277" s="11" t="s">
        <v>4</v>
      </c>
      <c r="G1277" s="11" t="s">
        <v>5</v>
      </c>
      <c r="H1277" s="9" t="s">
        <v>6</v>
      </c>
      <c r="I1277" s="11" t="s">
        <v>7</v>
      </c>
      <c r="J1277" s="11" t="s">
        <v>8</v>
      </c>
      <c r="K1277" s="11" t="s">
        <v>9</v>
      </c>
      <c r="L1277" s="11" t="s">
        <v>10</v>
      </c>
      <c r="M1277" s="11" t="s">
        <v>11</v>
      </c>
      <c r="N1277" s="11" t="s">
        <v>12</v>
      </c>
      <c r="O1277" s="11" t="s">
        <v>13</v>
      </c>
      <c r="P1277" s="11" t="s">
        <v>14</v>
      </c>
      <c r="Q1277" s="37" t="s">
        <v>15</v>
      </c>
      <c r="R1277" s="42">
        <f>_xll.ciqfunctions.udf.CIQ(A1278,("IQ_LASTSALEPRICE"))</f>
        <v>70.8</v>
      </c>
      <c r="S1277" s="44"/>
      <c r="U1277" s="37" t="s">
        <v>15</v>
      </c>
      <c r="V1277" s="42">
        <f>_xll.ciqfunctions.udf.CIQ(A1278,("IQ_LASTSALEPRICE"))</f>
        <v>70.8</v>
      </c>
      <c r="W1277" s="44"/>
      <c r="Y1277" s="37" t="s">
        <v>15</v>
      </c>
      <c r="Z1277" s="42">
        <f>_xll.ciqfunctions.udf.CIQ(A1278,("IQ_LASTSALEPRICE"))</f>
        <v>70.8</v>
      </c>
      <c r="AA1277" s="44"/>
    </row>
    <row r="1278" spans="1:27">
      <c r="A1278" s="12" t="str">
        <f>Analysis!B87</f>
        <v>NasdaqGS:OKTA</v>
      </c>
      <c r="B1278" s="13">
        <v>1</v>
      </c>
      <c r="C1278" s="14" t="s">
        <v>16</v>
      </c>
      <c r="D1278" s="15" t="e">
        <f>IF(A1286=A1287,_xll.ciqfunctions.udf.CIQ(A1278,"IQ_TOTAL_REV",IQ_FY-10)/I1278,_xll.ciqfunctions.udf.CIQ(A1278, "IQ_TOTAL_REV",IQ_FY-9)/I1278)</f>
        <v>#DIV/0!</v>
      </c>
      <c r="E1278" s="16"/>
      <c r="F1278" s="15">
        <f>IF(A1286=A1287,_xll.ciqfunctions.udf.CIQ(A1278,"IQ_DILUT_EPS_EXCL",IQ_FY-10), _xll.ciqfunctions.udf.CIQ(A1278, "IQ_DILUT_EPS_EXCL",IQ_FY-9))</f>
        <v>0</v>
      </c>
      <c r="G1278" s="15">
        <f>IF(A1286=A1287,_xll.ciqfunctions.udf.CIQ(A1278,"IQ_EBITDA_MARGIN",IQ_FY-10), _xll.ciqfunctions.udf.CIQ(A1278, "IQ_EBITDA_MARGIN",IQ_FY-9))</f>
        <v>0</v>
      </c>
      <c r="H1278" s="15" t="e">
        <f>IF(A1286=A1287,_xll.ciqfunctions.udf.CIQ(A1278,"IQ_TOTAL_DIV_PAID_CF",IQ_FY-10)/-I1278, _xll.ciqfunctions.udf.CIQ(A1278, "IQ_TOTAL_DIV_PAID_CF",IQ_FY-9)/-I1278)</f>
        <v>#DIV/0!</v>
      </c>
      <c r="I1278" s="17">
        <f>IF(A1286=A1287,_xll.ciqfunctions.udf.CIQ(A1278,"IQ_TOTAL_OUTSTANDING_FILING_DATE",IQ_FY-10), _xll.ciqfunctions.udf.CIQ(A1278, "IQ_TOTAL_OUTSTANDING_FILING_DATE",IQ_FY-9))</f>
        <v>0</v>
      </c>
      <c r="J1278" s="17">
        <f>IF(A1286=A1287,_xll.ciqfunctions.udf.CIQ(A1278,"IQ_CASH_OPER",IQ_FY-10), _xll.ciqfunctions.udf.CIQ(A1278, "IQ_CASH_OPER",IQ_FY-9))</f>
        <v>0</v>
      </c>
      <c r="K1278" s="17">
        <f>IF(A1286=A1287,_xll.ciqfunctions.udf.CIQ(A1278,"IQ_CAPEX",IQ_FY-10), _xll.ciqfunctions.udf.CIQ(A1278, "IQ_CAPEX",IQ_FY-9))</f>
        <v>0</v>
      </c>
      <c r="L1278" s="15" t="e">
        <f t="shared" ref="L1278:L1288" si="340">(J1278+K1278)/I1278</f>
        <v>#DIV/0!</v>
      </c>
      <c r="M1278" s="17">
        <f>IF(A1286=A1287,_xll.ciqfunctions.udf.CIQ(A1278,"IQ_TOTAL_DEBT_ISSUED",IQ_FY-10), _xll.ciqfunctions.udf.CIQ(A1278, "IQ_TOTAL_DEBT_ISSUED",IQ_FY-9))</f>
        <v>0</v>
      </c>
      <c r="N1278" s="17">
        <f>IF(A1286=A1287,_xll.ciqfunctions.udf.CIQ(A1278,"IQ_TOTAL_DEBT_REPAID",IQ_FY-10), _xll.ciqfunctions.udf.CIQ(A1278, "IQ_TOTAL_DEBT_REPAID",IQ_FY-9))</f>
        <v>0</v>
      </c>
      <c r="O1278" s="15" t="e">
        <f t="shared" ref="O1278:O1288" si="341">(M1278+N1278)/I1278</f>
        <v>#DIV/0!</v>
      </c>
      <c r="P1278" s="15" t="e">
        <f t="shared" ref="P1278:P1288" si="342">L1278+O1278</f>
        <v>#DIV/0!</v>
      </c>
      <c r="W1278" s="43"/>
      <c r="AA1278" s="43"/>
    </row>
    <row r="1279" spans="1:27">
      <c r="A1279" s="18" t="str">
        <f>_xll.ciqfunctions.udf.CIQ(A1278,"IQ_COMPANY_NAME")</f>
        <v>Okta, Inc.</v>
      </c>
      <c r="B1279" s="13">
        <v>2</v>
      </c>
      <c r="C1279" s="14" t="s">
        <v>17</v>
      </c>
      <c r="D1279" s="15">
        <f>IF(A1286=A1287,_xll.ciqfunctions.udf.CIQ(A1278,"IQ_TOTAL_REV",IQ_FY-9)/I1279, _xll.ciqfunctions.udf.CIQ(A1278, "IQ_TOTAL_REV",IQ_FY-8)/I1279)</f>
        <v>2.2729804643398128</v>
      </c>
      <c r="E1279" s="16" t="e">
        <f t="shared" ref="E1279:E1288" si="343">(D1279-D1278)/D1278</f>
        <v>#DIV/0!</v>
      </c>
      <c r="F1279" s="15">
        <f>IF(A1286=A1287,_xll.ciqfunctions.udf.CIQ(A1278,"IQ_DILUT_EPS_EXCL",IQ_FY-9), _xll.ciqfunctions.udf.CIQ(A1278, "IQ_DILUT_EPS_EXCL",IQ_FY-8))</f>
        <v>-3.6721699999999999</v>
      </c>
      <c r="G1279" s="15">
        <f>IF(A1286=A1287,_xll.ciqfunctions.udf.CIQ(A1278,"IQ_EBITDA_MARGIN",IQ_FY-9), _xll.ciqfunctions.udf.CIQ(A1278, "IQ_EBITDA_MARGIN",IQ_FY-8))</f>
        <v>-139.62200000000001</v>
      </c>
      <c r="H1279" s="15">
        <f>IF(A1286=A1287,_xll.ciqfunctions.udf.CIQ(A1278,"IQ_TOTAL_DIV_PAID_CF",IQ_FY-9)/-I1279, _xll.ciqfunctions.udf.CIQ(A1278, "IQ_TOTAL_DIV_PAID_CF",IQ_FY-8)/-I1279)</f>
        <v>0</v>
      </c>
      <c r="I1279" s="17">
        <f>IF(A1286=A1287,_xll.ciqfunctions.udf.CIQ(A1278,"IQ_TOTAL_OUTSTANDING_FILING_DATE",IQ_FY-9), _xll.ciqfunctions.udf.CIQ(A1278, "IQ_TOTAL_OUTSTANDING_FILING_DATE",IQ_FY-8))</f>
        <v>18.042390000000001</v>
      </c>
      <c r="J1279" s="17">
        <f>IF(A1286=A1287,_xll.ciqfunctions.udf.CIQ(A1278,"IQ_CASH_OPER",IQ_FY-9), _xll.ciqfunctions.udf.CIQ(A1278, "IQ_CASH_OPER",IQ_FY-8))</f>
        <v>-32.749000000000002</v>
      </c>
      <c r="K1279" s="17">
        <f>IF(A1286=A1287,_xll.ciqfunctions.udf.CIQ(A1278,"IQ_CAPEX",IQ_FY-9), _xll.ciqfunctions.udf.CIQ(A1278, "IQ_CAPEX",IQ_FY-8))</f>
        <v>-1.1819999999999999</v>
      </c>
      <c r="L1279" s="15">
        <f t="shared" si="340"/>
        <v>-1.8806266797248037</v>
      </c>
      <c r="M1279" s="17">
        <f>IF(A1286=A1287,_xll.ciqfunctions.udf.CIQ(A1278,"IQ_TOTAL_DEBT_ISSUED",IQ_FY-9), _xll.ciqfunctions.udf.CIQ(A1278, "IQ_TOTAL_DEBT_ISSUED",IQ_FY-8))</f>
        <v>0</v>
      </c>
      <c r="N1279" s="17">
        <f>IF(A1286=A1287,_xll.ciqfunctions.udf.CIQ(A1278,"IQ_TOTAL_DEBT_REPAID",IQ_FY-9), _xll.ciqfunctions.udf.CIQ(A1278, "IQ_TOTAL_DEBT_REPAID",IQ_FY-8))</f>
        <v>0</v>
      </c>
      <c r="O1279" s="15">
        <f t="shared" si="341"/>
        <v>0</v>
      </c>
      <c r="P1279" s="15">
        <f t="shared" si="342"/>
        <v>-1.8806266797248037</v>
      </c>
      <c r="Q1279" s="25" t="s">
        <v>18</v>
      </c>
      <c r="R1279" s="39" t="s">
        <v>19</v>
      </c>
      <c r="S1279" s="1">
        <f>R1277/((AVERAGE(P1283:P1288))*(1+E1289)^3)</f>
        <v>11.065846822986721</v>
      </c>
      <c r="U1279" s="25" t="s">
        <v>48</v>
      </c>
      <c r="V1279" s="39" t="s">
        <v>19</v>
      </c>
      <c r="W1279" s="1">
        <f>V1277/((AVERAGE(P1283:P1288))*(1+E1289)^3)</f>
        <v>11.065846822986721</v>
      </c>
      <c r="Y1279" s="25" t="s">
        <v>39</v>
      </c>
      <c r="Z1279" s="39" t="s">
        <v>19</v>
      </c>
      <c r="AA1279" s="1">
        <f>Z1277/((AVERAGE(P1283:P1288))*(1+E1289)^3)</f>
        <v>11.065846822986721</v>
      </c>
    </row>
    <row r="1280" spans="1:27">
      <c r="B1280" s="13">
        <v>3</v>
      </c>
      <c r="C1280" s="14" t="s">
        <v>20</v>
      </c>
      <c r="D1280" s="15" cm="1">
        <f t="array" ref="D1280">_xlfn.SINGLE(IF(A1286=A1287,_xll.ciqfunctions.udf.CIQ(A1278,"IQ_TOTAL_REV",IQ_FY-8)/I1280, _xll.ciqfunctions.udf.CIQ(A1278, "IQ_TOTAL_REV",IQ_FY-7)/I1280))</f>
        <v>4.4453655277833404</v>
      </c>
      <c r="E1280" s="16">
        <f t="shared" si="343"/>
        <v>0.95574295403128195</v>
      </c>
      <c r="F1280" s="15">
        <f>IF(A1286=A1287,_xll.ciqfunctions.udf.CIQ(A1278,"IQ_DILUT_EPS_EXCL",IQ_FY-8), _xll.ciqfunctions.udf.CIQ(A1278, "IQ_DILUT_EPS_EXCL",IQ_FY-7))</f>
        <v>-4.28254</v>
      </c>
      <c r="G1280" s="15">
        <f>IF(A1286=A1287,_xll.ciqfunctions.udf.CIQ(A1278,"IQ_EBITDA_MARGIN",IQ_FY-8), _xll.ciqfunctions.udf.CIQ(A1278, "IQ_EBITDA_MARGIN",IQ_FY-7))</f>
        <v>-86.138400000000004</v>
      </c>
      <c r="H1280" s="15">
        <f>IF(A1286=A1287,_xll.ciqfunctions.udf.CIQ(A1278,"IQ_TOTAL_DIV_PAID_CF",IQ_FY-8)/-I1280, _xll.ciqfunctions.udf.CIQ(A1278, "IQ_TOTAL_DIV_PAID_CF",IQ_FY-7)/-I1280)</f>
        <v>0</v>
      </c>
      <c r="I1280" s="17">
        <f>IF(A1286=A1287,_xll.ciqfunctions.udf.CIQ(A1278,"IQ_TOTAL_OUTSTANDING_FILING_DATE",IQ_FY-8), _xll.ciqfunctions.udf.CIQ(A1278, "IQ_TOTAL_OUTSTANDING_FILING_DATE",IQ_FY-7))</f>
        <v>19.32507</v>
      </c>
      <c r="J1280" s="17">
        <f>IF(A1286=A1287,_xll.ciqfunctions.udf.CIQ(A1278,"IQ_CASH_OPER",IQ_FY-8), _xll.ciqfunctions.udf.CIQ(A1278, "IQ_CASH_OPER",IQ_FY-7))</f>
        <v>-41.536000000000001</v>
      </c>
      <c r="K1280" s="17">
        <f>IF(A1286=A1287,_xll.ciqfunctions.udf.CIQ(A1278,"IQ_CAPEX",IQ_FY-8), _xll.ciqfunctions.udf.CIQ(A1278, "IQ_CAPEX",IQ_FY-7))</f>
        <v>-4.093</v>
      </c>
      <c r="L1280" s="15">
        <f t="shared" si="340"/>
        <v>-2.3611298691285469</v>
      </c>
      <c r="M1280" s="17">
        <f>IF(A1286=A1287,_xll.ciqfunctions.udf.CIQ(A1278,"IQ_TOTAL_DEBT_ISSUED",IQ_FY-8), _xll.ciqfunctions.udf.CIQ(A1278, "IQ_TOTAL_DEBT_ISSUED",IQ_FY-7))</f>
        <v>0</v>
      </c>
      <c r="N1280" s="17">
        <f>IF(A1286=A1287,_xll.ciqfunctions.udf.CIQ(A1278,"IQ_TOTAL_DEBT_REPAID",IQ_FY-8), _xll.ciqfunctions.udf.CIQ(A1278, "IQ_TOTAL_DEBT_REPAID",IQ_FY-7))</f>
        <v>0</v>
      </c>
      <c r="O1280" s="15">
        <f t="shared" si="341"/>
        <v>0</v>
      </c>
      <c r="P1280" s="15">
        <f t="shared" si="342"/>
        <v>-2.3611298691285469</v>
      </c>
      <c r="Q1280" s="25" t="s">
        <v>21</v>
      </c>
      <c r="R1280" s="38" t="s">
        <v>49</v>
      </c>
      <c r="S1280" s="2">
        <f>(R1277*I1288)/1000</f>
        <v>11.614876644000001</v>
      </c>
      <c r="U1280" s="25" t="s">
        <v>59</v>
      </c>
      <c r="V1280" s="38" t="s">
        <v>49</v>
      </c>
      <c r="W1280" s="2">
        <f>(V1277*I1288)/1000</f>
        <v>11.614876644000001</v>
      </c>
      <c r="Y1280" s="25" t="s">
        <v>46</v>
      </c>
      <c r="Z1280" s="38" t="s">
        <v>49</v>
      </c>
      <c r="AA1280" s="2">
        <f>(Z1277*I1288)/1000</f>
        <v>11.614876644000001</v>
      </c>
    </row>
    <row r="1281" spans="1:27">
      <c r="A1281" s="18"/>
      <c r="B1281" s="13">
        <v>4</v>
      </c>
      <c r="C1281" s="14" t="s">
        <v>22</v>
      </c>
      <c r="D1281" s="15" cm="1">
        <f t="array" ref="D1281">_xlfn.SINGLE(IF(A1286=A1287,_xll.ciqfunctions.udf.CIQ(A1278,"IQ_TOTAL_REV",IQ_FY-7)/I1281, _xll.ciqfunctions.udf.CIQ(A1278, "IQ_TOTAL_REV",IQ_FY-6)/I1281))</f>
        <v>7.9240775545080311</v>
      </c>
      <c r="E1281" s="16">
        <f t="shared" si="343"/>
        <v>0.7825480278242346</v>
      </c>
      <c r="F1281" s="15">
        <f>IF(A1286=A1287,_xll.ciqfunctions.udf.CIQ(A1278,"IQ_DILUT_EPS_EXCL",IQ_FY-7), _xll.ciqfunctions.udf.CIQ(A1278, "IQ_DILUT_EPS_EXCL",IQ_FY-6))</f>
        <v>-3.9424299999999999</v>
      </c>
      <c r="G1281" s="15">
        <f>IF(A1286=A1287,_xll.ciqfunctions.udf.CIQ(A1278,"IQ_EBITDA_MARGIN",IQ_FY-7), _xll.ciqfunctions.udf.CIQ(A1278, "IQ_EBITDA_MARGIN",IQ_FY-6))</f>
        <v>-44.713500000000003</v>
      </c>
      <c r="H1281" s="15">
        <f>IF(A1286=A1287,_xll.ciqfunctions.udf.CIQ(A1278,"IQ_TOTAL_DIV_PAID_CF",IQ_FY-7)/-I1281, _xll.ciqfunctions.udf.CIQ(A1278, "IQ_TOTAL_DIV_PAID_CF",IQ_FY-6)/-I1281)</f>
        <v>0</v>
      </c>
      <c r="I1281" s="17">
        <f>IF(A1286=A1287,_xll.ciqfunctions.udf.CIQ(A1278,"IQ_TOTAL_OUTSTANDING_FILING_DATE",IQ_FY-7), _xll.ciqfunctions.udf.CIQ(A1278, "IQ_TOTAL_OUTSTANDING_FILING_DATE",IQ_FY-6))</f>
        <v>20.293340000000001</v>
      </c>
      <c r="J1281" s="17">
        <f>IF(A1286=A1287,_xll.ciqfunctions.udf.CIQ(A1278,"IQ_CASH_OPER",IQ_FY-7), _xll.ciqfunctions.udf.CIQ(A1278, "IQ_CASH_OPER",IQ_FY-6))</f>
        <v>-42.100999999999999</v>
      </c>
      <c r="K1281" s="17">
        <f>IF(A1286=A1287,_xll.ciqfunctions.udf.CIQ(A1278,"IQ_CAPEX",IQ_FY-7), _xll.ciqfunctions.udf.CIQ(A1278, "IQ_CAPEX",IQ_FY-6))</f>
        <v>-6.2530000000000001</v>
      </c>
      <c r="L1281" s="15">
        <f t="shared" si="340"/>
        <v>-2.3827521738659088</v>
      </c>
      <c r="M1281" s="17">
        <f>IF(A1286=A1287,_xll.ciqfunctions.udf.CIQ(A1278,"IQ_TOTAL_DEBT_ISSUED",IQ_FY-7), _xll.ciqfunctions.udf.CIQ(A1278, "IQ_TOTAL_DEBT_ISSUED",IQ_FY-6))</f>
        <v>0</v>
      </c>
      <c r="N1281" s="17">
        <f>IF(A1286=A1287,_xll.ciqfunctions.udf.CIQ(A1278,"IQ_TOTAL_DEBT_REPAID",IQ_FY-7), _xll.ciqfunctions.udf.CIQ(A1278, "IQ_TOTAL_DEBT_REPAID",IQ_FY-6))</f>
        <v>0</v>
      </c>
      <c r="O1281" s="15">
        <f t="shared" si="341"/>
        <v>0</v>
      </c>
      <c r="P1281" s="15">
        <f t="shared" si="342"/>
        <v>-2.3827521738659088</v>
      </c>
      <c r="Q1281" s="25" t="s">
        <v>23</v>
      </c>
      <c r="R1281" s="38" t="s">
        <v>24</v>
      </c>
      <c r="S1281" s="1" t="e">
        <f>R1277/(AVERAGE(H1283:H1288)*(1+H1289)/(0.5-H1289))</f>
        <v>#DIV/0!</v>
      </c>
      <c r="U1281" s="25" t="s">
        <v>40</v>
      </c>
      <c r="V1281" s="38" t="s">
        <v>24</v>
      </c>
      <c r="W1281" s="1" t="e">
        <f>V1277/(AVERAGE(H1283:H1288)*(1+H1289)/(0.5-H1289))</f>
        <v>#DIV/0!</v>
      </c>
      <c r="Y1281" s="25" t="s">
        <v>47</v>
      </c>
      <c r="Z1281" s="38" t="s">
        <v>24</v>
      </c>
      <c r="AA1281" s="1" t="e">
        <f>Z1277/(AVERAGE(H1283:H1288)*(1+H1289)/(0.5-H1289))</f>
        <v>#DIV/0!</v>
      </c>
    </row>
    <row r="1282" spans="1:27">
      <c r="B1282" s="13">
        <v>5</v>
      </c>
      <c r="C1282" s="14" t="s">
        <v>25</v>
      </c>
      <c r="D1282" s="15" cm="1">
        <f t="array" ref="D1282">_xlfn.SINGLE(IF(A1286=A1287,_xll.ciqfunctions.udf.CIQ(A1278,"IQ_TOTAL_REV",IQ_FY-6)/I1282, _xll.ciqfunctions.udf.CIQ(A1278, "IQ_TOTAL_REV",IQ_FY-5)/I1282))</f>
        <v>2.4513119139069697</v>
      </c>
      <c r="E1282" s="16">
        <f t="shared" si="343"/>
        <v>-0.69065018646714138</v>
      </c>
      <c r="F1282" s="15">
        <f>IF(A1286=A1287,_xll.ciqfunctions.udf.CIQ(A1278,"IQ_DILUT_EPS_EXCL",IQ_FY-6), _xll.ciqfunctions.udf.CIQ(A1278, "IQ_DILUT_EPS_EXCL",IQ_FY-5))</f>
        <v>-1.32342</v>
      </c>
      <c r="G1282" s="15">
        <f>IF(A1286=A1287,_xll.ciqfunctions.udf.CIQ(A1278,"IQ_EBITDA_MARGIN",IQ_FY-6), _xll.ciqfunctions.udf.CIQ(A1278, "IQ_EBITDA_MARGIN",IQ_FY-5))</f>
        <v>-41.566200000000002</v>
      </c>
      <c r="H1282" s="15">
        <f>IF(A1286=A1287,_xll.ciqfunctions.udf.CIQ(A1278,"IQ_TOTAL_DIV_PAID_CF",IQ_FY-6)/-I1282, _xll.ciqfunctions.udf.CIQ(A1278, "IQ_TOTAL_DIV_PAID_CF",IQ_FY-5)/-I1282)</f>
        <v>0</v>
      </c>
      <c r="I1282" s="17">
        <f>IF(A1286=A1287,_xll.ciqfunctions.udf.CIQ(A1278,"IQ_TOTAL_OUTSTANDING_FILING_DATE",IQ_FY-6), _xll.ciqfunctions.udf.CIQ(A1278, "IQ_TOTAL_OUTSTANDING_FILING_DATE",IQ_FY-5))</f>
        <v>104.65702</v>
      </c>
      <c r="J1282" s="17">
        <f>IF(A1286=A1287,_xll.ciqfunctions.udf.CIQ(A1278,"IQ_CASH_OPER",IQ_FY-6), _xll.ciqfunctions.udf.CIQ(A1278, "IQ_CASH_OPER",IQ_FY-5))</f>
        <v>-25.24</v>
      </c>
      <c r="K1282" s="17">
        <f>IF(A1286=A1287,_xll.ciqfunctions.udf.CIQ(A1278,"IQ_CAPEX",IQ_FY-6), _xll.ciqfunctions.udf.CIQ(A1278, "IQ_CAPEX",IQ_FY-5))</f>
        <v>-6.55</v>
      </c>
      <c r="L1282" s="15">
        <f t="shared" si="340"/>
        <v>-0.30375411033106042</v>
      </c>
      <c r="M1282" s="17">
        <f>IF(A1286=A1287,_xll.ciqfunctions.udf.CIQ(A1278,"IQ_TOTAL_DEBT_ISSUED",IQ_FY-6), _xll.ciqfunctions.udf.CIQ(A1278, "IQ_TOTAL_DEBT_ISSUED",IQ_FY-5))</f>
        <v>0</v>
      </c>
      <c r="N1282" s="17">
        <f>IF(A1286=A1287,_xll.ciqfunctions.udf.CIQ(A1278,"IQ_TOTAL_DEBT_REPAID",IQ_FY-6), _xll.ciqfunctions.udf.CIQ(A1278, "IQ_TOTAL_DEBT_REPAID",IQ_FY-5))</f>
        <v>0</v>
      </c>
      <c r="O1282" s="15">
        <f t="shared" si="341"/>
        <v>0</v>
      </c>
      <c r="P1282" s="15">
        <f t="shared" si="342"/>
        <v>-0.30375411033106042</v>
      </c>
      <c r="Q1282" s="18"/>
      <c r="R1282" s="38" t="s">
        <v>50</v>
      </c>
      <c r="S1282" s="3">
        <f>I1289</f>
        <v>7.8892311805305981E-2</v>
      </c>
      <c r="U1282" s="18"/>
      <c r="V1282" s="38" t="s">
        <v>50</v>
      </c>
      <c r="W1282" s="3">
        <f>I1289</f>
        <v>7.8892311805305981E-2</v>
      </c>
      <c r="Y1282" s="18"/>
      <c r="Z1282" s="38" t="s">
        <v>50</v>
      </c>
      <c r="AA1282" s="3">
        <f>I1289</f>
        <v>7.8892311805305981E-2</v>
      </c>
    </row>
    <row r="1283" spans="1:27">
      <c r="B1283" s="13">
        <v>6</v>
      </c>
      <c r="C1283" s="14" t="s">
        <v>26</v>
      </c>
      <c r="D1283" s="15" cm="1">
        <f t="array" ref="D1283">_xlfn.SINGLE(IF(A1286=A1287,_xll.ciqfunctions.udf.CIQ(A1278,"IQ_TOTAL_REV",IQ_FY-5)/I1283, _xll.ciqfunctions.udf.CIQ(A1278, "IQ_TOTAL_REV",IQ_FY-4)/I1283))</f>
        <v>3.5576107067460359</v>
      </c>
      <c r="E1283" s="16">
        <f t="shared" si="343"/>
        <v>0.45130886304705964</v>
      </c>
      <c r="F1283" s="15">
        <f>IF(A1286=A1287,_xll.ciqfunctions.udf.CIQ(A1278,"IQ_DILUT_EPS_EXCL",IQ_FY-5), _xll.ciqfunctions.udf.CIQ(A1278, "IQ_DILUT_EPS_EXCL",IQ_FY-4))</f>
        <v>-1.16737</v>
      </c>
      <c r="G1283" s="15">
        <f>IF(A1286=A1287,_xll.ciqfunctions.udf.CIQ(A1278,"IQ_EBITDA_MARGIN",IQ_FY-5), _xll.ciqfunctions.udf.CIQ(A1278, "IQ_EBITDA_MARGIN",IQ_FY-4))</f>
        <v>-29.41</v>
      </c>
      <c r="H1283" s="15">
        <f>IF(A1286=A1287,_xll.ciqfunctions.udf.CIQ(A1278,"IQ_TOTAL_DIV_PAID_CF",IQ_FY-5)/-I1283, _xll.ciqfunctions.udf.CIQ(A1278, "IQ_TOTAL_DIV_PAID_CF",IQ_FY-4)/-I1283)</f>
        <v>0</v>
      </c>
      <c r="I1283" s="17">
        <f>IF(A1286=A1287,_xll.ciqfunctions.udf.CIQ(A1278,"IQ_TOTAL_OUTSTANDING_FILING_DATE",IQ_FY-5), _xll.ciqfunctions.udf.CIQ(A1278, "IQ_TOTAL_OUTSTANDING_FILING_DATE",IQ_FY-4))</f>
        <v>112.22532</v>
      </c>
      <c r="J1283" s="17">
        <f>IF(A1286=A1287,_xll.ciqfunctions.udf.CIQ(A1278,"IQ_CASH_OPER",IQ_FY-5), _xll.ciqfunctions.udf.CIQ(A1278, "IQ_CASH_OPER",IQ_FY-4))</f>
        <v>15.172000000000001</v>
      </c>
      <c r="K1283" s="17">
        <f>IF(A1286=A1287,_xll.ciqfunctions.udf.CIQ(A1278,"IQ_CAPEX",IQ_FY-5), _xll.ciqfunctions.udf.CIQ(A1278, "IQ_CAPEX",IQ_FY-4))</f>
        <v>-19.811</v>
      </c>
      <c r="L1283" s="15">
        <f t="shared" si="340"/>
        <v>-4.1336482711744546E-2</v>
      </c>
      <c r="M1283" s="17">
        <f>IF(A1286=A1287,_xll.ciqfunctions.udf.CIQ(A1278,"IQ_TOTAL_DEBT_ISSUED",IQ_FY-5), _xll.ciqfunctions.udf.CIQ(A1278, "IQ_TOTAL_DEBT_ISSUED",IQ_FY-4))</f>
        <v>334.98</v>
      </c>
      <c r="N1283" s="17">
        <f>IF(A1286=A1287,_xll.ciqfunctions.udf.CIQ(A1278,"IQ_TOTAL_DEBT_REPAID",IQ_FY-5), _xll.ciqfunctions.udf.CIQ(A1278, "IQ_TOTAL_DEBT_REPAID",IQ_FY-4))</f>
        <v>0</v>
      </c>
      <c r="O1283" s="15">
        <f t="shared" si="341"/>
        <v>2.9848879023022614</v>
      </c>
      <c r="P1283" s="15">
        <f t="shared" si="342"/>
        <v>2.9435514195905168</v>
      </c>
      <c r="Q1283" s="25" t="s">
        <v>27</v>
      </c>
      <c r="R1283" s="38" t="s">
        <v>51</v>
      </c>
      <c r="S1283" s="4">
        <f>AVERAGE(F1283:F1288)/AVERAGE(D1283:D1288)</f>
        <v>-0.41635653012135698</v>
      </c>
      <c r="U1283" s="25" t="s">
        <v>58</v>
      </c>
      <c r="V1283" s="38" t="s">
        <v>51</v>
      </c>
      <c r="W1283" s="4">
        <f>AVERAGE(F1283:F1288)/AVERAGE(D1283:D1288)</f>
        <v>-0.41635653012135698</v>
      </c>
      <c r="Y1283" s="25" t="s">
        <v>56</v>
      </c>
      <c r="Z1283" s="38" t="s">
        <v>51</v>
      </c>
      <c r="AA1283" s="4">
        <f>AVERAGE(F1283:F1288)/AVERAGE(D1283:D1288)</f>
        <v>-0.41635653012135698</v>
      </c>
    </row>
    <row r="1284" spans="1:27">
      <c r="A1284" s="18"/>
      <c r="B1284" s="13">
        <v>7</v>
      </c>
      <c r="C1284" s="14" t="s">
        <v>28</v>
      </c>
      <c r="D1284" s="15" cm="1">
        <f t="array" ref="D1284">_xlfn.SINGLE(IF(A1286=A1287,_xll.ciqfunctions.udf.CIQ(A1278,"IQ_TOTAL_REV",IQ_FY-4)/I1284, _xll.ciqfunctions.udf.CIQ(A1278, "IQ_TOTAL_REV",IQ_FY-3)/I1284))</f>
        <v>4.7735288725163079</v>
      </c>
      <c r="E1284" s="16">
        <f t="shared" si="343"/>
        <v>0.34177943175868447</v>
      </c>
      <c r="F1284" s="15">
        <f>IF(A1286=A1287,_xll.ciqfunctions.udf.CIQ(A1278,"IQ_DILUT_EPS_EXCL",IQ_FY-4), _xll.ciqfunctions.udf.CIQ(A1278, "IQ_DILUT_EPS_EXCL",IQ_FY-3))</f>
        <v>-1.7822100000000001</v>
      </c>
      <c r="G1284" s="15">
        <f>IF(A1286=A1287,_xll.ciqfunctions.udf.CIQ(A1278,"IQ_EBITDA_MARGIN",IQ_FY-4), _xll.ciqfunctions.udf.CIQ(A1278, "IQ_EBITDA_MARGIN",IQ_FY-3))</f>
        <v>-29.8887</v>
      </c>
      <c r="H1284" s="15">
        <f>IF(A1286=A1287,_xll.ciqfunctions.udf.CIQ(A1278,"IQ_TOTAL_DIV_PAID_CF",IQ_FY-4)/-I1284, _xll.ciqfunctions.udf.CIQ(A1278, "IQ_TOTAL_DIV_PAID_CF",IQ_FY-3)/-I1284)</f>
        <v>0</v>
      </c>
      <c r="I1284" s="17">
        <f>IF(A1286=A1287,_xll.ciqfunctions.udf.CIQ(A1278,"IQ_TOTAL_OUTSTANDING_FILING_DATE",IQ_FY-4), _xll.ciqfunctions.udf.CIQ(A1278, "IQ_TOTAL_OUTSTANDING_FILING_DATE",IQ_FY-3))</f>
        <v>122.77437</v>
      </c>
      <c r="J1284" s="17">
        <f>IF(A1286=A1287,_xll.ciqfunctions.udf.CIQ(A1278,"IQ_CASH_OPER",IQ_FY-4), _xll.ciqfunctions.udf.CIQ(A1278, "IQ_CASH_OPER",IQ_FY-3))</f>
        <v>55.603000000000002</v>
      </c>
      <c r="K1284" s="17">
        <f>IF(A1286=A1287,_xll.ciqfunctions.udf.CIQ(A1278,"IQ_CAPEX",IQ_FY-4), _xll.ciqfunctions.udf.CIQ(A1278, "IQ_CAPEX",IQ_FY-3))</f>
        <v>-15.442</v>
      </c>
      <c r="L1284" s="15">
        <f t="shared" si="340"/>
        <v>0.32711224663584099</v>
      </c>
      <c r="M1284" s="17">
        <f>IF(A1286=A1287,_xll.ciqfunctions.udf.CIQ(A1278,"IQ_TOTAL_DEBT_ISSUED",IQ_FY-4), _xll.ciqfunctions.udf.CIQ(A1278, "IQ_TOTAL_DEBT_ISSUED",IQ_FY-3))</f>
        <v>1040.6600000000001</v>
      </c>
      <c r="N1284" s="17">
        <f>IF(A1286=A1287,_xll.ciqfunctions.udf.CIQ(A1278,"IQ_TOTAL_DEBT_REPAID",IQ_FY-4), _xll.ciqfunctions.udf.CIQ(A1278, "IQ_TOTAL_DEBT_REPAID",IQ_FY-3))</f>
        <v>-224.41399999999999</v>
      </c>
      <c r="O1284" s="15">
        <f t="shared" si="341"/>
        <v>6.6483419951574589</v>
      </c>
      <c r="P1284" s="15">
        <f t="shared" si="342"/>
        <v>6.9754542417933001</v>
      </c>
      <c r="Q1284" s="18"/>
      <c r="R1284" s="38" t="s">
        <v>29</v>
      </c>
      <c r="S1284" s="4">
        <f>(AVERAGE(P1283:P1288)/_xlfn.STDEV.P(P1283:P1288))/(IF(A1286=A1287,(_xlfn.SINGLE(_xll.ciqfunctions.udf.CIQ(A1278,"IQ_total_assets",IQ_FY)) - _xlfn.SINGLE(_xll.ciqfunctions.udf.CIQ(A1278,"iq_gw_intan", IQ_FY)))/I1288, (_xlfn.SINGLE(_xll.ciqfunctions.udf.CIQ(A1278, "IQ_total_assets",IQ_LTM))-_xlfn.SINGLE(_xll.ciqfunctions.udf.CIQ(A1278,"iq_gw_intan",IQ_LTM)))/I1288))</f>
        <v>3.8723354113426742E-2</v>
      </c>
      <c r="U1284" s="18"/>
      <c r="V1284" s="38" t="s">
        <v>29</v>
      </c>
      <c r="W1284" s="4">
        <f>(AVERAGE(P1283:P1288)/_xlfn.STDEV.P(P1283:P1288))/(IF(A1286=A1287,(_xlfn.SINGLE(_xll.ciqfunctions.udf.CIQ(A1278,"IQ_total_assets",IQ_FY)) - _xlfn.SINGLE(_xll.ciqfunctions.udf.CIQ(A1278,"iq_gw_intan", IQ_FY)))/I1288, (_xlfn.SINGLE(_xll.ciqfunctions.udf.CIQ(A1278, "IQ_total_assets",IQ_LTM))-_xlfn.SINGLE(_xll.ciqfunctions.udf.CIQ(A1278,"iq_gw_intan",IQ_LTM)))/I1288))</f>
        <v>3.8723354113426742E-2</v>
      </c>
      <c r="Y1284" s="18"/>
      <c r="Z1284" s="38" t="s">
        <v>29</v>
      </c>
      <c r="AA1284" s="4">
        <f>(AVERAGE(P1283:P1288)/_xlfn.STDEV.P(P1283:P1288))/(IF(A1286=A1287,(_xlfn.SINGLE(_xll.ciqfunctions.udf.CIQ(A1278,"IQ_total_assets",IQ_FY)) - _xlfn.SINGLE(_xll.ciqfunctions.udf.CIQ(A1278,"iq_gw_intan", IQ_FY)))/I1288, (_xlfn.SINGLE(_xll.ciqfunctions.udf.CIQ(A1278, "IQ_total_assets",IQ_LTM))-_xlfn.SINGLE(_xll.ciqfunctions.udf.CIQ(A1278,"iq_gw_intan",IQ_LTM)))/I1288))</f>
        <v>3.8723354113426742E-2</v>
      </c>
    </row>
    <row r="1285" spans="1:27">
      <c r="A1285" s="18"/>
      <c r="B1285" s="13">
        <v>8</v>
      </c>
      <c r="C1285" s="14" t="s">
        <v>30</v>
      </c>
      <c r="D1285" s="15" cm="1">
        <f t="array" ref="D1285">_xlfn.SINGLE(IF(A1286=A1287,_xll.ciqfunctions.udf.CIQ(A1278,"IQ_TOTAL_REV",IQ_FY-3)/I1285, _xll.ciqfunctions.udf.CIQ(A1278, "IQ_TOTAL_REV",IQ_FY-2)/I1285))</f>
        <v>6.3637244234484731</v>
      </c>
      <c r="E1285" s="16">
        <f t="shared" si="343"/>
        <v>0.33312787947879591</v>
      </c>
      <c r="F1285" s="15">
        <f>IF(A1286=A1287,_xll.ciqfunctions.udf.CIQ(A1278,"IQ_DILUT_EPS_EXCL",IQ_FY-3), _xll.ciqfunctions.udf.CIQ(A1278, "IQ_DILUT_EPS_EXCL",IQ_FY-2))</f>
        <v>-2.0910000000000002</v>
      </c>
      <c r="G1285" s="15">
        <f>IF(A1286=A1287,_xll.ciqfunctions.udf.CIQ(A1278,"IQ_EBITDA_MARGIN",IQ_FY-3), _xll.ciqfunctions.udf.CIQ(A1278, "IQ_EBITDA_MARGIN",IQ_FY-2))</f>
        <v>-20</v>
      </c>
      <c r="H1285" s="15">
        <f>IF(A1286=A1287,_xll.ciqfunctions.udf.CIQ(A1278,"IQ_TOTAL_DIV_PAID_CF",IQ_FY-3)/-I1285, _xll.ciqfunctions.udf.CIQ(A1278, "IQ_TOTAL_DIV_PAID_CF",IQ_FY-2)/-I1285)</f>
        <v>0</v>
      </c>
      <c r="I1285" s="17">
        <f>IF(A1286=A1287,_xll.ciqfunctions.udf.CIQ(A1278,"IQ_TOTAL_OUTSTANDING_FILING_DATE",IQ_FY-3), _xll.ciqfunctions.udf.CIQ(A1278, "IQ_TOTAL_OUTSTANDING_FILING_DATE",IQ_FY-2))</f>
        <v>131.21247</v>
      </c>
      <c r="J1285" s="17">
        <f>IF(A1286=A1287,_xll.ciqfunctions.udf.CIQ(A1278,"IQ_CASH_OPER",IQ_FY-3), _xll.ciqfunctions.udf.CIQ(A1278, "IQ_CASH_OPER",IQ_FY-2))</f>
        <v>128</v>
      </c>
      <c r="K1285" s="17">
        <f>IF(A1286=A1287,_xll.ciqfunctions.udf.CIQ(A1278,"IQ_CAPEX",IQ_FY-3), _xll.ciqfunctions.udf.CIQ(A1278, "IQ_CAPEX",IQ_FY-2))</f>
        <v>-13</v>
      </c>
      <c r="L1285" s="15">
        <f t="shared" si="340"/>
        <v>0.8764410882593705</v>
      </c>
      <c r="M1285" s="17">
        <f>IF(A1286=A1287,_xll.ciqfunctions.udf.CIQ(A1278,"IQ_TOTAL_DEBT_ISSUED",IQ_FY-3), _xll.ciqfunctions.udf.CIQ(A1278, "IQ_TOTAL_DEBT_ISSUED",IQ_FY-2))</f>
        <v>1135</v>
      </c>
      <c r="N1285" s="17">
        <f>IF(A1286=A1287,_xll.ciqfunctions.udf.CIQ(A1278,"IQ_TOTAL_DEBT_REPAID",IQ_FY-3), _xll.ciqfunctions.udf.CIQ(A1278, "IQ_TOTAL_DEBT_REPAID",IQ_FY-2))</f>
        <v>0</v>
      </c>
      <c r="O1285" s="15">
        <f t="shared" si="341"/>
        <v>8.6500924797772658</v>
      </c>
      <c r="P1285" s="15">
        <f t="shared" si="342"/>
        <v>9.526533568036637</v>
      </c>
      <c r="Q1285" s="18"/>
      <c r="R1285" s="39" t="s">
        <v>31</v>
      </c>
      <c r="S1285" s="5" t="e">
        <f>IF(NOT(D1278&gt;0),FALSE,SLOPE(G1278:G1288,B1278:B1288))</f>
        <v>#DIV/0!</v>
      </c>
      <c r="U1285" s="18"/>
      <c r="V1285" s="39" t="s">
        <v>31</v>
      </c>
      <c r="W1285" s="5" t="e">
        <f>IF(NOT(D1278&gt;0),FALSE,SLOPE(G1278:G1288,B1278:B1288))</f>
        <v>#DIV/0!</v>
      </c>
      <c r="Y1285" s="18"/>
      <c r="Z1285" s="39" t="s">
        <v>31</v>
      </c>
      <c r="AA1285" s="5" t="e">
        <f>IF(NOT(L1278&gt;0),FALSE,SLOPE(O1278:O1288,J1278:J1288))</f>
        <v>#DIV/0!</v>
      </c>
    </row>
    <row r="1286" spans="1:27">
      <c r="A1286" s="19">
        <f>_xll.ciqfunctions.udf.CIQ(A1278,"IQ_TOTAL_REV",IQ_FY)</f>
        <v>1858</v>
      </c>
      <c r="B1286" s="13">
        <v>9</v>
      </c>
      <c r="C1286" s="14" t="s">
        <v>32</v>
      </c>
      <c r="D1286" s="15" cm="1">
        <f t="array" ref="D1286">_xlfn.SINGLE(IF(A1286=A1287,_xll.ciqfunctions.udf.CIQ(A1278,"IQ_TOTAL_REV",IQ_FY-2)/I1286, _xll.ciqfunctions.udf.CIQ(A1278, "IQ_TOTAL_REV",IQ_FY-1)/I1286))</f>
        <v>8.2963115747458733</v>
      </c>
      <c r="E1286" s="16">
        <f t="shared" si="343"/>
        <v>0.30368806420598271</v>
      </c>
      <c r="F1286" s="15">
        <f>IF(A1286=A1287,_xll.ciqfunctions.udf.CIQ(A1278,"IQ_DILUT_EPS_EXCL",IQ_FY-2), _xll.ciqfunctions.udf.CIQ(A1278, "IQ_DILUT_EPS_EXCL",IQ_FY-1))</f>
        <v>-5.7283400000000002</v>
      </c>
      <c r="G1286" s="15">
        <f>IF(A1286=A1287,_xll.ciqfunctions.udf.CIQ(A1278,"IQ_EBITDA_MARGIN",IQ_FY-2), _xll.ciqfunctions.udf.CIQ(A1278, "IQ_EBITDA_MARGIN",IQ_FY-1))</f>
        <v>-46.461500000000001</v>
      </c>
      <c r="H1286" s="15">
        <f>IF(A1286=A1287,_xll.ciqfunctions.udf.CIQ(A1278,"IQ_TOTAL_DIV_PAID_CF",IQ_FY-2)/-I1286, _xll.ciqfunctions.udf.CIQ(A1278, "IQ_TOTAL_DIV_PAID_CF",IQ_FY-1)/-I1286)</f>
        <v>0</v>
      </c>
      <c r="I1286" s="17">
        <f>IF(A1286=A1287,_xll.ciqfunctions.udf.CIQ(A1278,"IQ_TOTAL_OUTSTANDING_FILING_DATE",IQ_FY-2), _xll.ciqfunctions.udf.CIQ(A1278, "IQ_TOTAL_OUTSTANDING_FILING_DATE",IQ_FY-1))</f>
        <v>156.69614000000001</v>
      </c>
      <c r="J1286" s="17">
        <f>IF(A1286=A1287,_xll.ciqfunctions.udf.CIQ(A1278,"IQ_CASH_OPER",IQ_FY-2), _xll.ciqfunctions.udf.CIQ(A1278, "IQ_CASH_OPER",IQ_FY-1))</f>
        <v>104</v>
      </c>
      <c r="K1286" s="17">
        <f>IF(A1286=A1287,_xll.ciqfunctions.udf.CIQ(A1278,"IQ_CAPEX",IQ_FY-2), _xll.ciqfunctions.udf.CIQ(A1278, "IQ_CAPEX",IQ_FY-1))</f>
        <v>-13</v>
      </c>
      <c r="L1286" s="15">
        <f t="shared" si="340"/>
        <v>0.58074181023221116</v>
      </c>
      <c r="M1286" s="17">
        <f>IF(A1286=A1287,_xll.ciqfunctions.udf.CIQ(A1278,"IQ_TOTAL_DEBT_ISSUED",IQ_FY-2), _xll.ciqfunctions.udf.CIQ(A1278, "IQ_TOTAL_DEBT_ISSUED",IQ_FY-1))</f>
        <v>0</v>
      </c>
      <c r="N1286" s="17">
        <f>IF(A1286=A1287,_xll.ciqfunctions.udf.CIQ(A1278,"IQ_TOTAL_DEBT_REPAID",IQ_FY-2), _xll.ciqfunctions.udf.CIQ(A1278, "IQ_TOTAL_DEBT_REPAID",IQ_FY-1))</f>
        <v>0</v>
      </c>
      <c r="O1286" s="15">
        <f t="shared" si="341"/>
        <v>0</v>
      </c>
      <c r="P1286" s="15">
        <f t="shared" si="342"/>
        <v>0.58074181023221116</v>
      </c>
      <c r="Q1286" s="25" t="s">
        <v>33</v>
      </c>
      <c r="R1286" s="38" t="s">
        <v>52</v>
      </c>
      <c r="S1286" s="4">
        <f>(AVERAGE(O1283:O1288)/AVERAGE(P1283:P1288))</f>
        <v>0.78912760747756761</v>
      </c>
      <c r="U1286" s="25" t="s">
        <v>54</v>
      </c>
      <c r="V1286" s="38" t="s">
        <v>52</v>
      </c>
      <c r="W1286" s="4">
        <f>(AVERAGE(O1283:O1288)/AVERAGE(P1283:P1288))</f>
        <v>0.78912760747756761</v>
      </c>
      <c r="Y1286" s="25" t="s">
        <v>60</v>
      </c>
      <c r="Z1286" s="38" t="s">
        <v>52</v>
      </c>
      <c r="AA1286" s="4">
        <f>(AVERAGE(O1283:O1288)/AVERAGE(P1283:P1288))</f>
        <v>0.78912760747756761</v>
      </c>
    </row>
    <row r="1287" spans="1:27">
      <c r="A1287" s="19">
        <f>_xll.ciqfunctions.udf.CIQ(A1278,"IQ_TOTAL_REV",IQ_LTM)</f>
        <v>2065</v>
      </c>
      <c r="B1287" s="13">
        <v>10</v>
      </c>
      <c r="C1287" s="14" t="s">
        <v>34</v>
      </c>
      <c r="D1287" s="15" cm="1">
        <f t="array" ref="D1287">_xlfn.SINGLE(IF(A1286=A1287,_xll.ciqfunctions.udf.CIQ(A1278,"IQ_TOTAL_REV",IQ_FY-1)/I1287, _xll.ciqfunctions.udf.CIQ(A1278, "IQ_TOTAL_REV",IQ_FY)/I1287))</f>
        <v>11.519779455124352</v>
      </c>
      <c r="E1287" s="16">
        <f t="shared" si="343"/>
        <v>0.38854228789945344</v>
      </c>
      <c r="F1287" s="15">
        <f>IF(A1286=A1287,_xll.ciqfunctions.udf.CIQ(A1278,"IQ_DILUT_EPS_EXCL",IQ_FY-1), _xll.ciqfunctions.udf.CIQ(A1278, "IQ_DILUT_EPS_EXCL",IQ_FY))</f>
        <v>-5.1574799999999996</v>
      </c>
      <c r="G1287" s="15">
        <f>IF(A1286=A1287,_xll.ciqfunctions.udf.CIQ(A1278,"IQ_EBITDA_MARGIN",IQ_FY-1), _xll.ciqfunctions.udf.CIQ(A1278, "IQ_EBITDA_MARGIN",IQ_FY))</f>
        <v>-35.6297</v>
      </c>
      <c r="H1287" s="15">
        <f>IF(A1286=A1287,_xll.ciqfunctions.udf.CIQ(A1278,"IQ_TOTAL_DIV_PAID_CF",IQ_FY-1)/-I1287, _xll.ciqfunctions.udf.CIQ(A1278, "IQ_TOTAL_DIV_PAID_CF",IQ_FY)/-I1287)</f>
        <v>0</v>
      </c>
      <c r="I1287" s="17">
        <f>IF(A1286=A1287,_xll.ciqfunctions.udf.CIQ(A1278,"IQ_TOTAL_OUTSTANDING_FILING_DATE",IQ_FY-1), _xll.ciqfunctions.udf.CIQ(A1278, "IQ_TOTAL_OUTSTANDING_FILING_DATE",IQ_FY))</f>
        <v>161.28781000000001</v>
      </c>
      <c r="J1287" s="17">
        <f>IF(A1286=A1287,_xll.ciqfunctions.udf.CIQ(A1278,"IQ_CASH_OPER",IQ_FY-1), _xll.ciqfunctions.udf.CIQ(A1278, "IQ_CASH_OPER",IQ_FY))</f>
        <v>86</v>
      </c>
      <c r="K1287" s="17">
        <f>IF(A1286=A1287,_xll.ciqfunctions.udf.CIQ(A1278,"IQ_CAPEX",IQ_FY-1), _xll.ciqfunctions.udf.CIQ(A1278, "IQ_CAPEX",IQ_FY))</f>
        <v>-12</v>
      </c>
      <c r="L1287" s="15">
        <f t="shared" si="340"/>
        <v>0.45880714729774058</v>
      </c>
      <c r="M1287" s="17">
        <f>IF(A1286=A1287,_xll.ciqfunctions.udf.CIQ(A1278,"IQ_TOTAL_DEBT_ISSUED",IQ_FY-1), _xll.ciqfunctions.udf.CIQ(A1278, "IQ_TOTAL_DEBT_ISSUED",IQ_FY))</f>
        <v>0</v>
      </c>
      <c r="N1287" s="17">
        <f>IF(A1286=A1287,_xll.ciqfunctions.udf.CIQ(A1278,"IQ_TOTAL_DEBT_REPAID",IQ_FY-1), _xll.ciqfunctions.udf.CIQ(A1278, "IQ_TOTAL_DEBT_REPAID",IQ_FY))</f>
        <v>0</v>
      </c>
      <c r="O1287" s="15">
        <f t="shared" si="341"/>
        <v>0</v>
      </c>
      <c r="P1287" s="15">
        <f t="shared" si="342"/>
        <v>0.45880714729774058</v>
      </c>
      <c r="Q1287" s="25" t="s">
        <v>44</v>
      </c>
      <c r="R1287" s="38" t="s">
        <v>35</v>
      </c>
      <c r="S1287" s="1" t="str">
        <f>_xll.ciqfunctions.udf.CIQ(A1278,"IQ_TEV_EBITDA")</f>
        <v>NM</v>
      </c>
      <c r="U1287" s="25" t="s">
        <v>55</v>
      </c>
      <c r="V1287" s="38" t="s">
        <v>53</v>
      </c>
      <c r="W1287" s="1">
        <f>V1277/(AVERAGE(D1283:D1288)/_xlfn.STDEV.P(E1283:E1288))</f>
        <v>1.0051166644747116</v>
      </c>
      <c r="Y1287" s="25" t="s">
        <v>57</v>
      </c>
      <c r="Z1287" s="38" t="s">
        <v>53</v>
      </c>
      <c r="AA1287" s="1">
        <f>Z1277/(AVERAGE(D1283:D1288)/_xlfn.STDEV.P(E1283:E1288))</f>
        <v>1.0051166644747116</v>
      </c>
    </row>
    <row r="1288" spans="1:27">
      <c r="B1288" s="13">
        <v>11</v>
      </c>
      <c r="C1288" s="20" t="s">
        <v>36</v>
      </c>
      <c r="D1288" s="21" cm="1">
        <f t="array" ref="D1288">_xlfn.SINGLE(IF(A1286=A1287,_xll.ciqfunctions.udf.CIQ(A1278,"IQ_TOTAL_REV",IQ_FY)/I1288, _xll.ciqfunctions.udf.CIQ(A1278, "IQ_TOTAL_REV",IQ_LTM)/I1288))</f>
        <v>12.587477635892489</v>
      </c>
      <c r="E1288" s="22">
        <f t="shared" si="343"/>
        <v>9.2683908136209289E-2</v>
      </c>
      <c r="F1288" s="21">
        <f>IF(A1286=A1287,_xll.ciqfunctions.udf.CIQ(A1278,"IQ_DILUT_EPS_EXCL",IQ_FY), _xll.ciqfunctions.udf.CIQ(A1278, "IQ_DILUT_EPS_EXCL",IQ_LTM))</f>
        <v>-3.6833399999999998</v>
      </c>
      <c r="G1288" s="21">
        <f>IF(A1286=A1287,_xll.ciqfunctions.udf.CIQ(A1278,"IQ_EBITDA_MARGIN",IQ_FY), _xll.ciqfunctions.udf.CIQ(A1278, "IQ_EBITDA_MARGIN",IQ_LTM))</f>
        <v>-25.665800000000001</v>
      </c>
      <c r="H1288" s="21">
        <f>IF(A1286=A1287,_xll.ciqfunctions.udf.CIQ(A1278,"IQ_TOTAL_DIV_PAID_CF",IQ_FY)/-I1288, _xll.ciqfunctions.udf.CIQ(A1278, "IQ_TOTAL_DIV_PAID_CF",IQ_LTM)/-I1288)</f>
        <v>0</v>
      </c>
      <c r="I1288" s="23">
        <f>IF(A1286=A1287,_xll.ciqfunctions.udf.CIQ(A1278,"IQ_TOTAL_OUTSTANDING_FILING_DATE",IQ_FY),_xll.ciqfunctions.udf.CIQ(A1278,"IQ_sharesoutstanding"))</f>
        <v>164.05193</v>
      </c>
      <c r="J1288" s="23">
        <f>IF(A1286=A1287,_xll.ciqfunctions.udf.CIQ(A1278,"IQ_CASH_OPER",IQ_FY), _xll.ciqfunctions.udf.CIQ(A1278, "IQ_CASH_OPER",IQ_LTM))</f>
        <v>268</v>
      </c>
      <c r="K1288" s="23">
        <f>IF(A1286=A1287,_xll.ciqfunctions.udf.CIQ(A1278,"IQ_CAPEX",IQ_FY), _xll.ciqfunctions.udf.CIQ(A1278, "IQ_CAPEX",IQ_LTM))</f>
        <v>-7</v>
      </c>
      <c r="L1288" s="21">
        <f t="shared" si="340"/>
        <v>1.590959643083748</v>
      </c>
      <c r="M1288" s="23">
        <f>IF(A1286=A1287,_xll.ciqfunctions.udf.CIQ(A1278,"IQ_TOTAL_DEBT_ISSUED",IQ_FY), _xll.ciqfunctions.udf.CIQ(A1278, "IQ_TOTAL_DEBT_ISSUED",IQ_LTM))</f>
        <v>0</v>
      </c>
      <c r="N1288" s="23">
        <f>IF(A1286=A1287,_xll.ciqfunctions.udf.CIQ(A1278,"IQ_TOTAL_DEBT_REPAID",IQ_FY), _xll.ciqfunctions.udf.CIQ(A1278, "IQ_TOTAL_DEBT_REPAID",IQ_LTM))</f>
        <v>-671</v>
      </c>
      <c r="O1288" s="21">
        <f t="shared" si="341"/>
        <v>-4.0901682778130075</v>
      </c>
      <c r="P1288" s="21">
        <f t="shared" si="342"/>
        <v>-2.4992086347292597</v>
      </c>
      <c r="Q1288" s="25" t="s">
        <v>45</v>
      </c>
      <c r="S1288" s="45"/>
      <c r="U1288" s="25"/>
      <c r="W1288" s="45"/>
      <c r="Y1288" s="25"/>
      <c r="AA1288" s="45"/>
    </row>
    <row r="1289" spans="1:27">
      <c r="B1289" s="24"/>
      <c r="C1289" s="25" t="s">
        <v>37</v>
      </c>
      <c r="E1289" s="26">
        <f>((D1288/D1283)^(1/5))-1</f>
        <v>0.28752614779939978</v>
      </c>
      <c r="F1289" s="27">
        <f>((F1288/F1283)^(1/5))-1</f>
        <v>0.25836507487984028</v>
      </c>
      <c r="G1289" s="28"/>
      <c r="H1289" s="27" t="e">
        <f>((H1288/H1283)^(1/5))-1</f>
        <v>#DIV/0!</v>
      </c>
      <c r="I1289" s="27">
        <f>((I1288/I1283)^(1/5))-1</f>
        <v>7.8892311805305981E-2</v>
      </c>
      <c r="J1289" s="27"/>
      <c r="K1289" s="27"/>
      <c r="L1289" s="26">
        <f>((L1288/L1283)^(1/5))-1</f>
        <v>-3.075224703613213</v>
      </c>
      <c r="M1289" s="26"/>
      <c r="N1289" s="26"/>
      <c r="O1289" s="26"/>
      <c r="P1289" s="26">
        <f>((P1288/P1283)^(1/5))-1</f>
        <v>-1.9678012466385351</v>
      </c>
      <c r="Q1289" s="18"/>
      <c r="R1289" s="36"/>
      <c r="S1289" s="45"/>
      <c r="U1289" s="18"/>
      <c r="V1289" s="36"/>
      <c r="W1289" s="45"/>
      <c r="Y1289" s="18"/>
      <c r="Z1289" s="36"/>
      <c r="AA1289" s="45"/>
    </row>
    <row r="1290" spans="1:27">
      <c r="A1290" s="29"/>
      <c r="B1290" s="30"/>
      <c r="C1290" s="31" t="s">
        <v>38</v>
      </c>
      <c r="D1290" s="29"/>
      <c r="E1290" s="32" t="e">
        <f>((D1288/D1278)^(1/10))-1</f>
        <v>#DIV/0!</v>
      </c>
      <c r="F1290" s="33" t="e">
        <f>((F1288/F1278)^(1/10))-1</f>
        <v>#DIV/0!</v>
      </c>
      <c r="G1290" s="34"/>
      <c r="H1290" s="33" t="e">
        <f>((H1288/H1278)^(1/10))-1</f>
        <v>#DIV/0!</v>
      </c>
      <c r="I1290" s="33" t="e">
        <f>((I1288/I1278)^(1/10))-1</f>
        <v>#DIV/0!</v>
      </c>
      <c r="J1290" s="33"/>
      <c r="K1290" s="33"/>
      <c r="L1290" s="32" t="e">
        <f>((L1288/L1278)^(1/10))-1</f>
        <v>#DIV/0!</v>
      </c>
      <c r="M1290" s="32"/>
      <c r="N1290" s="32"/>
      <c r="O1290" s="32"/>
      <c r="P1290" s="32" t="e">
        <f>((P1288/P1278)^(1/10))-1</f>
        <v>#DIV/0!</v>
      </c>
      <c r="Q1290" s="40"/>
      <c r="R1290" s="41"/>
      <c r="S1290" s="46"/>
      <c r="U1290" s="40"/>
      <c r="V1290" s="41"/>
      <c r="W1290" s="46"/>
      <c r="Y1290" s="40"/>
      <c r="Z1290" s="41"/>
      <c r="AA1290" s="46"/>
    </row>
    <row r="1291" spans="1:27">
      <c r="B1291" s="24"/>
      <c r="C1291" s="25"/>
      <c r="E1291" s="26"/>
      <c r="F1291" s="27"/>
      <c r="G1291" s="28"/>
      <c r="H1291" s="27"/>
      <c r="I1291" s="27"/>
      <c r="J1291" s="27"/>
      <c r="K1291" s="27"/>
      <c r="L1291" s="26"/>
      <c r="M1291" s="17"/>
      <c r="N1291" s="17"/>
      <c r="O1291" s="17"/>
      <c r="P1291" s="35"/>
      <c r="Q1291" s="18"/>
      <c r="R1291" s="36"/>
    </row>
    <row r="1292" spans="1:27">
      <c r="A1292" s="9" t="s">
        <v>0</v>
      </c>
      <c r="B1292" s="10"/>
      <c r="C1292" s="9" t="s">
        <v>1</v>
      </c>
      <c r="D1292" s="9" t="s">
        <v>2</v>
      </c>
      <c r="E1292" s="9" t="s">
        <v>3</v>
      </c>
      <c r="F1292" s="11" t="s">
        <v>4</v>
      </c>
      <c r="G1292" s="11" t="s">
        <v>5</v>
      </c>
      <c r="H1292" s="9" t="s">
        <v>6</v>
      </c>
      <c r="I1292" s="11" t="s">
        <v>7</v>
      </c>
      <c r="J1292" s="11" t="s">
        <v>8</v>
      </c>
      <c r="K1292" s="11" t="s">
        <v>9</v>
      </c>
      <c r="L1292" s="11" t="s">
        <v>10</v>
      </c>
      <c r="M1292" s="11" t="s">
        <v>11</v>
      </c>
      <c r="N1292" s="11" t="s">
        <v>12</v>
      </c>
      <c r="O1292" s="11" t="s">
        <v>13</v>
      </c>
      <c r="P1292" s="11" t="s">
        <v>14</v>
      </c>
      <c r="Q1292" s="37" t="s">
        <v>15</v>
      </c>
      <c r="R1292" s="42">
        <f>_xll.ciqfunctions.udf.CIQ(A1293,("IQ_LASTSALEPRICE"))</f>
        <v>93.61</v>
      </c>
      <c r="S1292" s="44"/>
      <c r="U1292" s="37" t="s">
        <v>15</v>
      </c>
      <c r="V1292" s="42">
        <f>_xll.ciqfunctions.udf.CIQ(A1293,("IQ_LASTSALEPRICE"))</f>
        <v>93.61</v>
      </c>
      <c r="W1292" s="44"/>
      <c r="Y1292" s="37" t="s">
        <v>15</v>
      </c>
      <c r="Z1292" s="42">
        <f>_xll.ciqfunctions.udf.CIQ(A1293,("IQ_LASTSALEPRICE"))</f>
        <v>93.61</v>
      </c>
      <c r="AA1292" s="44"/>
    </row>
    <row r="1293" spans="1:27">
      <c r="A1293" s="12" t="str">
        <f>Analysis!B88</f>
        <v>NasdaqGS:QRVO</v>
      </c>
      <c r="B1293" s="13">
        <v>1</v>
      </c>
      <c r="C1293" s="14" t="s">
        <v>16</v>
      </c>
      <c r="D1293" s="15">
        <f>IF(A1301=A1302,_xll.ciqfunctions.udf.CIQ(A1293,"IQ_TOTAL_REV",IQ_FY-10)/I1293,_xll.ciqfunctions.udf.CIQ(A1293, "IQ_TOTAL_REV",IQ_FY-9)/I1293)</f>
        <v>16.050783520447631</v>
      </c>
      <c r="E1293" s="16"/>
      <c r="F1293" s="15">
        <f>IF(A1301=A1302,_xll.ciqfunctions.udf.CIQ(A1293,"IQ_DILUT_EPS_EXCL",IQ_FY-10), _xll.ciqfunctions.udf.CIQ(A1293, "IQ_DILUT_EPS_EXCL",IQ_FY-9))</f>
        <v>0.17932000000000001</v>
      </c>
      <c r="G1293" s="15">
        <f>IF(A1301=A1302,_xll.ciqfunctions.udf.CIQ(A1293,"IQ_EBITDA_MARGIN",IQ_FY-10), _xll.ciqfunctions.udf.CIQ(A1293, "IQ_EBITDA_MARGIN",IQ_FY-9))</f>
        <v>11.91</v>
      </c>
      <c r="H1293" s="15">
        <f>IF(A1301=A1302,_xll.ciqfunctions.udf.CIQ(A1293,"IQ_TOTAL_DIV_PAID_CF",IQ_FY-10)/-I1293, _xll.ciqfunctions.udf.CIQ(A1293, "IQ_TOTAL_DIV_PAID_CF",IQ_FY-9)/-I1293)</f>
        <v>0</v>
      </c>
      <c r="I1293" s="17">
        <f>IF(A1301=A1302,_xll.ciqfunctions.udf.CIQ(A1293,"IQ_TOTAL_OUTSTANDING_FILING_DATE",IQ_FY-10), _xll.ciqfunctions.udf.CIQ(A1293, "IQ_TOTAL_OUTSTANDING_FILING_DATE",IQ_FY-9))</f>
        <v>71.537379999999999</v>
      </c>
      <c r="J1293" s="17">
        <f>IF(A1301=A1302,_xll.ciqfunctions.udf.CIQ(A1293,"IQ_CASH_OPER",IQ_FY-10), _xll.ciqfunctions.udf.CIQ(A1293, "IQ_CASH_OPER",IQ_FY-9))</f>
        <v>130.84899999999999</v>
      </c>
      <c r="K1293" s="17">
        <f>IF(A1301=A1302,_xll.ciqfunctions.udf.CIQ(A1293,"IQ_CAPEX",IQ_FY-10), _xll.ciqfunctions.udf.CIQ(A1293, "IQ_CAPEX",IQ_FY-9))</f>
        <v>-66.753</v>
      </c>
      <c r="L1293" s="15">
        <f t="shared" ref="L1293:L1303" si="344">(J1293+K1293)/I1293</f>
        <v>0.89597913706093224</v>
      </c>
      <c r="M1293" s="17">
        <f>IF(A1301=A1302,_xll.ciqfunctions.udf.CIQ(A1293,"IQ_TOTAL_DEBT_ISSUED",IQ_FY-10), _xll.ciqfunctions.udf.CIQ(A1293, "IQ_TOTAL_DEBT_ISSUED",IQ_FY-9))</f>
        <v>0</v>
      </c>
      <c r="N1293" s="17">
        <f>IF(A1301=A1302,_xll.ciqfunctions.udf.CIQ(A1293,"IQ_TOTAL_DEBT_REPAID",IQ_FY-10), _xll.ciqfunctions.udf.CIQ(A1293, "IQ_TOTAL_DEBT_REPAID",IQ_FY-9))</f>
        <v>0</v>
      </c>
      <c r="O1293" s="15">
        <f t="shared" ref="O1293:O1303" si="345">(M1293+N1293)/I1293</f>
        <v>0</v>
      </c>
      <c r="P1293" s="15">
        <f t="shared" ref="P1293:P1303" si="346">L1293+O1293</f>
        <v>0.89597913706093224</v>
      </c>
      <c r="W1293" s="43"/>
      <c r="AA1293" s="43"/>
    </row>
    <row r="1294" spans="1:27">
      <c r="A1294" s="18" t="str">
        <f>_xll.ciqfunctions.udf.CIQ(A1293,"IQ_COMPANY_NAME")</f>
        <v>Qorvo, Inc.</v>
      </c>
      <c r="B1294" s="13">
        <v>2</v>
      </c>
      <c r="C1294" s="14" t="s">
        <v>17</v>
      </c>
      <c r="D1294" s="15">
        <f>IF(A1301=A1302,_xll.ciqfunctions.udf.CIQ(A1293,"IQ_TOTAL_REV",IQ_FY-9)/I1294, _xll.ciqfunctions.udf.CIQ(A1293, "IQ_TOTAL_REV",IQ_FY-8)/I1294)</f>
        <v>11.449657112426088</v>
      </c>
      <c r="E1294" s="16">
        <f t="shared" ref="E1294:E1303" si="347">(D1294-D1293)/D1293</f>
        <v>-0.28666054851216538</v>
      </c>
      <c r="F1294" s="15">
        <f>IF(A1301=A1302,_xll.ciqfunctions.udf.CIQ(A1293,"IQ_DILUT_EPS_EXCL",IQ_FY-9), _xll.ciqfunctions.udf.CIQ(A1293, "IQ_DILUT_EPS_EXCL",IQ_FY-8))</f>
        <v>2.11</v>
      </c>
      <c r="G1294" s="15">
        <f>IF(A1301=A1302,_xll.ciqfunctions.udf.CIQ(A1293,"IQ_EBITDA_MARGIN",IQ_FY-9), _xll.ciqfunctions.udf.CIQ(A1293, "IQ_EBITDA_MARGIN",IQ_FY-8))</f>
        <v>23.106999999999999</v>
      </c>
      <c r="H1294" s="15">
        <f>IF(A1301=A1302,_xll.ciqfunctions.udf.CIQ(A1293,"IQ_TOTAL_DIV_PAID_CF",IQ_FY-9)/-I1294, _xll.ciqfunctions.udf.CIQ(A1293, "IQ_TOTAL_DIV_PAID_CF",IQ_FY-8)/-I1294)</f>
        <v>0</v>
      </c>
      <c r="I1294" s="17">
        <f>IF(A1301=A1302,_xll.ciqfunctions.udf.CIQ(A1293,"IQ_TOTAL_OUTSTANDING_FILING_DATE",IQ_FY-9), _xll.ciqfunctions.udf.CIQ(A1293, "IQ_TOTAL_OUTSTANDING_FILING_DATE",IQ_FY-8))</f>
        <v>149.43382</v>
      </c>
      <c r="J1294" s="17">
        <f>IF(A1301=A1302,_xll.ciqfunctions.udf.CIQ(A1293,"IQ_CASH_OPER",IQ_FY-9), _xll.ciqfunctions.udf.CIQ(A1293, "IQ_CASH_OPER",IQ_FY-8))</f>
        <v>305.62400000000002</v>
      </c>
      <c r="K1294" s="17">
        <f>IF(A1301=A1302,_xll.ciqfunctions.udf.CIQ(A1293,"IQ_CAPEX",IQ_FY-9), _xll.ciqfunctions.udf.CIQ(A1293, "IQ_CAPEX",IQ_FY-8))</f>
        <v>-169.86199999999999</v>
      </c>
      <c r="L1294" s="15">
        <f t="shared" si="344"/>
        <v>0.90850919825244403</v>
      </c>
      <c r="M1294" s="17">
        <f>IF(A1301=A1302,_xll.ciqfunctions.udf.CIQ(A1293,"IQ_TOTAL_DEBT_ISSUED",IQ_FY-9), _xll.ciqfunctions.udf.CIQ(A1293, "IQ_TOTAL_DEBT_ISSUED",IQ_FY-8))</f>
        <v>0</v>
      </c>
      <c r="N1294" s="17">
        <f>IF(A1301=A1302,_xll.ciqfunctions.udf.CIQ(A1293,"IQ_TOTAL_DEBT_REPAID",IQ_FY-9), _xll.ciqfunctions.udf.CIQ(A1293, "IQ_TOTAL_DEBT_REPAID",IQ_FY-8))</f>
        <v>-87.503</v>
      </c>
      <c r="O1294" s="15">
        <f t="shared" si="345"/>
        <v>-0.58556356251884611</v>
      </c>
      <c r="P1294" s="15">
        <f t="shared" si="346"/>
        <v>0.32294563573359791</v>
      </c>
      <c r="Q1294" s="25" t="s">
        <v>18</v>
      </c>
      <c r="R1294" s="39" t="s">
        <v>19</v>
      </c>
      <c r="S1294" s="1">
        <f>R1292/((AVERAGE(P1298:P1303))*(1+E1304)^3)</f>
        <v>10.280044576811672</v>
      </c>
      <c r="U1294" s="25" t="s">
        <v>48</v>
      </c>
      <c r="V1294" s="39" t="s">
        <v>19</v>
      </c>
      <c r="W1294" s="1">
        <f>V1292/((AVERAGE(P1298:P1303))*(1+E1304)^3)</f>
        <v>10.280044576811672</v>
      </c>
      <c r="Y1294" s="25" t="s">
        <v>39</v>
      </c>
      <c r="Z1294" s="39" t="s">
        <v>19</v>
      </c>
      <c r="AA1294" s="1">
        <f>Z1292/((AVERAGE(P1298:P1303))*(1+E1304)^3)</f>
        <v>10.280044576811672</v>
      </c>
    </row>
    <row r="1295" spans="1:27">
      <c r="B1295" s="13">
        <v>3</v>
      </c>
      <c r="C1295" s="14" t="s">
        <v>20</v>
      </c>
      <c r="D1295" s="15" cm="1">
        <f t="array" ref="D1295">_xlfn.SINGLE(IF(A1301=A1302,_xll.ciqfunctions.udf.CIQ(A1293,"IQ_TOTAL_REV",IQ_FY-8)/I1295, _xll.ciqfunctions.udf.CIQ(A1293, "IQ_TOTAL_REV",IQ_FY-7)/I1295))</f>
        <v>20.47135798784716</v>
      </c>
      <c r="E1295" s="16">
        <f t="shared" si="347"/>
        <v>0.78794507004318903</v>
      </c>
      <c r="F1295" s="15">
        <f>IF(A1301=A1302,_xll.ciqfunctions.udf.CIQ(A1293,"IQ_DILUT_EPS_EXCL",IQ_FY-8), _xll.ciqfunctions.udf.CIQ(A1293, "IQ_DILUT_EPS_EXCL",IQ_FY-7))</f>
        <v>-0.20322000000000001</v>
      </c>
      <c r="G1295" s="15">
        <f>IF(A1301=A1302,_xll.ciqfunctions.udf.CIQ(A1293,"IQ_EBITDA_MARGIN",IQ_FY-8), _xll.ciqfunctions.udf.CIQ(A1293, "IQ_EBITDA_MARGIN",IQ_FY-7))</f>
        <v>27.717099999999999</v>
      </c>
      <c r="H1295" s="15">
        <f>IF(A1301=A1302,_xll.ciqfunctions.udf.CIQ(A1293,"IQ_TOTAL_DIV_PAID_CF",IQ_FY-8)/-I1295, _xll.ciqfunctions.udf.CIQ(A1293, "IQ_TOTAL_DIV_PAID_CF",IQ_FY-7)/-I1295)</f>
        <v>0</v>
      </c>
      <c r="I1295" s="17">
        <f>IF(A1301=A1302,_xll.ciqfunctions.udf.CIQ(A1293,"IQ_TOTAL_OUTSTANDING_FILING_DATE",IQ_FY-8), _xll.ciqfunctions.udf.CIQ(A1293, "IQ_TOTAL_OUTSTANDING_FILING_DATE",IQ_FY-7))</f>
        <v>127.53067</v>
      </c>
      <c r="J1295" s="17">
        <f>IF(A1301=A1302,_xll.ciqfunctions.udf.CIQ(A1293,"IQ_CASH_OPER",IQ_FY-8), _xll.ciqfunctions.udf.CIQ(A1293, "IQ_CASH_OPER",IQ_FY-7))</f>
        <v>687.92700000000002</v>
      </c>
      <c r="K1295" s="17">
        <f>IF(A1301=A1302,_xll.ciqfunctions.udf.CIQ(A1293,"IQ_CAPEX",IQ_FY-8), _xll.ciqfunctions.udf.CIQ(A1293, "IQ_CAPEX",IQ_FY-7))</f>
        <v>-315.62400000000002</v>
      </c>
      <c r="L1295" s="15">
        <f t="shared" si="344"/>
        <v>2.9193212895376459</v>
      </c>
      <c r="M1295" s="17">
        <f>IF(A1301=A1302,_xll.ciqfunctions.udf.CIQ(A1293,"IQ_TOTAL_DEBT_ISSUED",IQ_FY-8), _xll.ciqfunctions.udf.CIQ(A1293, "IQ_TOTAL_DEBT_ISSUED",IQ_FY-7))</f>
        <v>1175</v>
      </c>
      <c r="N1295" s="17">
        <f>IF(A1301=A1302,_xll.ciqfunctions.udf.CIQ(A1293,"IQ_TOTAL_DEBT_REPAID",IQ_FY-8), _xll.ciqfunctions.udf.CIQ(A1293, "IQ_TOTAL_DEBT_REPAID",IQ_FY-7))</f>
        <v>-175</v>
      </c>
      <c r="O1295" s="15">
        <f t="shared" si="345"/>
        <v>7.8412510496494683</v>
      </c>
      <c r="P1295" s="15">
        <f t="shared" si="346"/>
        <v>10.760572339187114</v>
      </c>
      <c r="Q1295" s="25" t="s">
        <v>21</v>
      </c>
      <c r="R1295" s="38" t="s">
        <v>49</v>
      </c>
      <c r="S1295" s="2">
        <f>(R1292*I1303)/1000</f>
        <v>9.1125365935999998</v>
      </c>
      <c r="U1295" s="25" t="s">
        <v>59</v>
      </c>
      <c r="V1295" s="38" t="s">
        <v>49</v>
      </c>
      <c r="W1295" s="2">
        <f>(V1292*I1303)/1000</f>
        <v>9.1125365935999998</v>
      </c>
      <c r="Y1295" s="25" t="s">
        <v>46</v>
      </c>
      <c r="Z1295" s="38" t="s">
        <v>49</v>
      </c>
      <c r="AA1295" s="2">
        <f>(Z1292*I1303)/1000</f>
        <v>9.1125365935999998</v>
      </c>
    </row>
    <row r="1296" spans="1:27">
      <c r="A1296" s="18"/>
      <c r="B1296" s="13">
        <v>4</v>
      </c>
      <c r="C1296" s="14" t="s">
        <v>22</v>
      </c>
      <c r="D1296" s="15" cm="1">
        <f t="array" ref="D1296">_xlfn.SINGLE(IF(A1301=A1302,_xll.ciqfunctions.udf.CIQ(A1293,"IQ_TOTAL_REV",IQ_FY-7)/I1296, _xll.ciqfunctions.udf.CIQ(A1293, "IQ_TOTAL_REV",IQ_FY-6)/I1296))</f>
        <v>23.860270114484017</v>
      </c>
      <c r="E1296" s="16">
        <f t="shared" si="347"/>
        <v>0.16554408010688337</v>
      </c>
      <c r="F1296" s="15">
        <f>IF(A1301=A1302,_xll.ciqfunctions.udf.CIQ(A1293,"IQ_DILUT_EPS_EXCL",IQ_FY-7), _xll.ciqfunctions.udf.CIQ(A1293, "IQ_DILUT_EPS_EXCL",IQ_FY-6))</f>
        <v>-0.13025</v>
      </c>
      <c r="G1296" s="15">
        <f>IF(A1301=A1302,_xll.ciqfunctions.udf.CIQ(A1293,"IQ_EBITDA_MARGIN",IQ_FY-7), _xll.ciqfunctions.udf.CIQ(A1293, "IQ_EBITDA_MARGIN",IQ_FY-6))</f>
        <v>26.7639</v>
      </c>
      <c r="H1296" s="15">
        <f>IF(A1301=A1302,_xll.ciqfunctions.udf.CIQ(A1293,"IQ_TOTAL_DIV_PAID_CF",IQ_FY-7)/-I1296, _xll.ciqfunctions.udf.CIQ(A1293, "IQ_TOTAL_DIV_PAID_CF",IQ_FY-6)/-I1296)</f>
        <v>0</v>
      </c>
      <c r="I1296" s="17">
        <f>IF(A1301=A1302,_xll.ciqfunctions.udf.CIQ(A1293,"IQ_TOTAL_OUTSTANDING_FILING_DATE",IQ_FY-7), _xll.ciqfunctions.udf.CIQ(A1293, "IQ_TOTAL_OUTSTANDING_FILING_DATE",IQ_FY-6))</f>
        <v>127.09721999999999</v>
      </c>
      <c r="J1296" s="17">
        <f>IF(A1301=A1302,_xll.ciqfunctions.udf.CIQ(A1293,"IQ_CASH_OPER",IQ_FY-7), _xll.ciqfunctions.udf.CIQ(A1293, "IQ_CASH_OPER",IQ_FY-6))</f>
        <v>776.82</v>
      </c>
      <c r="K1296" s="17">
        <f>IF(A1301=A1302,_xll.ciqfunctions.udf.CIQ(A1293,"IQ_CAPEX",IQ_FY-7), _xll.ciqfunctions.udf.CIQ(A1293, "IQ_CAPEX",IQ_FY-6))</f>
        <v>-552.702</v>
      </c>
      <c r="L1296" s="15">
        <f t="shared" si="344"/>
        <v>1.7633587894369371</v>
      </c>
      <c r="M1296" s="17">
        <f>IF(A1301=A1302,_xll.ciqfunctions.udf.CIQ(A1293,"IQ_TOTAL_DEBT_ISSUED",IQ_FY-7), _xll.ciqfunctions.udf.CIQ(A1293, "IQ_TOTAL_DEBT_ISSUED",IQ_FY-6))</f>
        <v>0</v>
      </c>
      <c r="N1296" s="17">
        <f>IF(A1301=A1302,_xll.ciqfunctions.udf.CIQ(A1293,"IQ_TOTAL_DEBT_REPAID",IQ_FY-7), _xll.ciqfunctions.udf.CIQ(A1293, "IQ_TOTAL_DEBT_REPAID",IQ_FY-6))</f>
        <v>0</v>
      </c>
      <c r="O1296" s="15">
        <f t="shared" si="345"/>
        <v>0</v>
      </c>
      <c r="P1296" s="15">
        <f t="shared" si="346"/>
        <v>1.7633587894369371</v>
      </c>
      <c r="Q1296" s="25" t="s">
        <v>23</v>
      </c>
      <c r="R1296" s="38" t="s">
        <v>24</v>
      </c>
      <c r="S1296" s="1" t="e">
        <f>R1292/(AVERAGE(H1298:H1303)*(1+H1304)/(0.5-H1304))</f>
        <v>#DIV/0!</v>
      </c>
      <c r="U1296" s="25" t="s">
        <v>40</v>
      </c>
      <c r="V1296" s="38" t="s">
        <v>24</v>
      </c>
      <c r="W1296" s="1" t="e">
        <f>V1292/(AVERAGE(H1298:H1303)*(1+H1304)/(0.5-H1304))</f>
        <v>#DIV/0!</v>
      </c>
      <c r="Y1296" s="25" t="s">
        <v>47</v>
      </c>
      <c r="Z1296" s="38" t="s">
        <v>24</v>
      </c>
      <c r="AA1296" s="1" t="e">
        <f>Z1292/(AVERAGE(H1298:H1303)*(1+H1304)/(0.5-H1304))</f>
        <v>#DIV/0!</v>
      </c>
    </row>
    <row r="1297" spans="1:27">
      <c r="B1297" s="13">
        <v>5</v>
      </c>
      <c r="C1297" s="14" t="s">
        <v>25</v>
      </c>
      <c r="D1297" s="15" cm="1">
        <f t="array" ref="D1297">_xlfn.SINGLE(IF(A1301=A1302,_xll.ciqfunctions.udf.CIQ(A1293,"IQ_TOTAL_REV",IQ_FY-6)/I1297, _xll.ciqfunctions.udf.CIQ(A1293, "IQ_TOTAL_REV",IQ_FY-5)/I1297))</f>
        <v>23.50796770921087</v>
      </c>
      <c r="E1297" s="16">
        <f t="shared" si="347"/>
        <v>-1.4765231222562172E-2</v>
      </c>
      <c r="F1297" s="15">
        <f>IF(A1301=A1302,_xll.ciqfunctions.udf.CIQ(A1293,"IQ_DILUT_EPS_EXCL",IQ_FY-6), _xll.ciqfunctions.udf.CIQ(A1293, "IQ_DILUT_EPS_EXCL",IQ_FY-5))</f>
        <v>-0.32</v>
      </c>
      <c r="G1297" s="15">
        <f>IF(A1301=A1302,_xll.ciqfunctions.udf.CIQ(A1293,"IQ_EBITDA_MARGIN",IQ_FY-6), _xll.ciqfunctions.udf.CIQ(A1293, "IQ_EBITDA_MARGIN",IQ_FY-5))</f>
        <v>28.867799999999999</v>
      </c>
      <c r="H1297" s="15">
        <f>IF(A1301=A1302,_xll.ciqfunctions.udf.CIQ(A1293,"IQ_TOTAL_DIV_PAID_CF",IQ_FY-6)/-I1297, _xll.ciqfunctions.udf.CIQ(A1293, "IQ_TOTAL_DIV_PAID_CF",IQ_FY-5)/-I1297)</f>
        <v>0</v>
      </c>
      <c r="I1297" s="17">
        <f>IF(A1301=A1302,_xll.ciqfunctions.udf.CIQ(A1293,"IQ_TOTAL_OUTSTANDING_FILING_DATE",IQ_FY-6), _xll.ciqfunctions.udf.CIQ(A1293, "IQ_TOTAL_OUTSTANDING_FILING_DATE",IQ_FY-5))</f>
        <v>126.49056</v>
      </c>
      <c r="J1297" s="17">
        <f>IF(A1301=A1302,_xll.ciqfunctions.udf.CIQ(A1293,"IQ_CASH_OPER",IQ_FY-6), _xll.ciqfunctions.udf.CIQ(A1293, "IQ_CASH_OPER",IQ_FY-5))</f>
        <v>852.52</v>
      </c>
      <c r="K1297" s="17">
        <f>IF(A1301=A1302,_xll.ciqfunctions.udf.CIQ(A1293,"IQ_CAPEX",IQ_FY-6), _xll.ciqfunctions.udf.CIQ(A1293, "IQ_CAPEX",IQ_FY-5))</f>
        <v>-269.83499999999998</v>
      </c>
      <c r="L1297" s="15">
        <f t="shared" si="344"/>
        <v>4.6065492950620186</v>
      </c>
      <c r="M1297" s="17">
        <f>IF(A1301=A1302,_xll.ciqfunctions.udf.CIQ(A1293,"IQ_TOTAL_DEBT_ISSUED",IQ_FY-6), _xll.ciqfunctions.udf.CIQ(A1293, "IQ_TOTAL_DEBT_ISSUED",IQ_FY-5))</f>
        <v>100</v>
      </c>
      <c r="N1297" s="17">
        <f>IF(A1301=A1302,_xll.ciqfunctions.udf.CIQ(A1293,"IQ_TOTAL_DEBT_REPAID",IQ_FY-6), _xll.ciqfunctions.udf.CIQ(A1293, "IQ_TOTAL_DEBT_REPAID",IQ_FY-5))</f>
        <v>-107.729</v>
      </c>
      <c r="O1297" s="15">
        <f t="shared" si="345"/>
        <v>-6.1103374038347202E-2</v>
      </c>
      <c r="P1297" s="15">
        <f t="shared" si="346"/>
        <v>4.5454459210236715</v>
      </c>
      <c r="Q1297" s="18"/>
      <c r="R1297" s="38" t="s">
        <v>50</v>
      </c>
      <c r="S1297" s="3">
        <f>I1304</f>
        <v>-3.9615944249884349E-2</v>
      </c>
      <c r="U1297" s="18"/>
      <c r="V1297" s="38" t="s">
        <v>50</v>
      </c>
      <c r="W1297" s="3">
        <f>I1304</f>
        <v>-3.9615944249884349E-2</v>
      </c>
      <c r="Y1297" s="18"/>
      <c r="Z1297" s="38" t="s">
        <v>50</v>
      </c>
      <c r="AA1297" s="3">
        <f>I1304</f>
        <v>-3.9615944249884349E-2</v>
      </c>
    </row>
    <row r="1298" spans="1:27">
      <c r="B1298" s="13">
        <v>6</v>
      </c>
      <c r="C1298" s="14" t="s">
        <v>26</v>
      </c>
      <c r="D1298" s="15" cm="1">
        <f t="array" ref="D1298">_xlfn.SINGLE(IF(A1301=A1302,_xll.ciqfunctions.udf.CIQ(A1293,"IQ_TOTAL_REV",IQ_FY-5)/I1298, _xll.ciqfunctions.udf.CIQ(A1293, "IQ_TOTAL_REV",IQ_FY-4)/I1298))</f>
        <v>25.936526984202118</v>
      </c>
      <c r="E1298" s="16">
        <f t="shared" si="347"/>
        <v>0.10330792117090121</v>
      </c>
      <c r="F1298" s="15">
        <f>IF(A1301=A1302,_xll.ciqfunctions.udf.CIQ(A1293,"IQ_DILUT_EPS_EXCL",IQ_FY-5), _xll.ciqfunctions.udf.CIQ(A1293, "IQ_DILUT_EPS_EXCL",IQ_FY-4))</f>
        <v>1.05</v>
      </c>
      <c r="G1298" s="15">
        <f>IF(A1301=A1302,_xll.ciqfunctions.udf.CIQ(A1293,"IQ_EBITDA_MARGIN",IQ_FY-5), _xll.ciqfunctions.udf.CIQ(A1293, "IQ_EBITDA_MARGIN",IQ_FY-4))</f>
        <v>29.9148</v>
      </c>
      <c r="H1298" s="15">
        <f>IF(A1301=A1302,_xll.ciqfunctions.udf.CIQ(A1293,"IQ_TOTAL_DIV_PAID_CF",IQ_FY-5)/-I1298, _xll.ciqfunctions.udf.CIQ(A1293, "IQ_TOTAL_DIV_PAID_CF",IQ_FY-4)/-I1298)</f>
        <v>0</v>
      </c>
      <c r="I1298" s="17">
        <f>IF(A1301=A1302,_xll.ciqfunctions.udf.CIQ(A1293,"IQ_TOTAL_OUTSTANDING_FILING_DATE",IQ_FY-5), _xll.ciqfunctions.udf.CIQ(A1293, "IQ_TOTAL_OUTSTANDING_FILING_DATE",IQ_FY-4))</f>
        <v>119.14953</v>
      </c>
      <c r="J1298" s="17">
        <f>IF(A1301=A1302,_xll.ciqfunctions.udf.CIQ(A1293,"IQ_CASH_OPER",IQ_FY-5), _xll.ciqfunctions.udf.CIQ(A1293, "IQ_CASH_OPER",IQ_FY-4))</f>
        <v>810.36400000000003</v>
      </c>
      <c r="K1298" s="17">
        <f>IF(A1301=A1302,_xll.ciqfunctions.udf.CIQ(A1293,"IQ_CAPEX",IQ_FY-5), _xll.ciqfunctions.udf.CIQ(A1293, "IQ_CAPEX",IQ_FY-4))</f>
        <v>-220.93700000000001</v>
      </c>
      <c r="L1298" s="15">
        <f t="shared" si="344"/>
        <v>4.9469519518876828</v>
      </c>
      <c r="M1298" s="17">
        <f>IF(A1301=A1302,_xll.ciqfunctions.udf.CIQ(A1293,"IQ_TOTAL_DEBT_ISSUED",IQ_FY-5), _xll.ciqfunctions.udf.CIQ(A1293, "IQ_TOTAL_DEBT_ISSUED",IQ_FY-4))</f>
        <v>905.35</v>
      </c>
      <c r="N1298" s="17">
        <f>IF(A1301=A1302,_xll.ciqfunctions.udf.CIQ(A1293,"IQ_TOTAL_DEBT_REPAID",IQ_FY-5), _xll.ciqfunctions.udf.CIQ(A1293, "IQ_TOTAL_DEBT_REPAID",IQ_FY-4))</f>
        <v>-1050.68</v>
      </c>
      <c r="O1298" s="15">
        <f t="shared" si="345"/>
        <v>-1.2197278495349502</v>
      </c>
      <c r="P1298" s="15">
        <f t="shared" si="346"/>
        <v>3.7272241023527326</v>
      </c>
      <c r="Q1298" s="25" t="s">
        <v>27</v>
      </c>
      <c r="R1298" s="38" t="s">
        <v>51</v>
      </c>
      <c r="S1298" s="4">
        <f>AVERAGE(F1298:F1303)/AVERAGE(D1298:D1303)</f>
        <v>9.6101018416947515E-2</v>
      </c>
      <c r="U1298" s="25" t="s">
        <v>58</v>
      </c>
      <c r="V1298" s="38" t="s">
        <v>51</v>
      </c>
      <c r="W1298" s="4">
        <f>AVERAGE(F1298:F1303)/AVERAGE(D1298:D1303)</f>
        <v>9.6101018416947515E-2</v>
      </c>
      <c r="Y1298" s="25" t="s">
        <v>56</v>
      </c>
      <c r="Z1298" s="38" t="s">
        <v>51</v>
      </c>
      <c r="AA1298" s="4">
        <f>AVERAGE(F1298:F1303)/AVERAGE(D1298:D1303)</f>
        <v>9.6101018416947515E-2</v>
      </c>
    </row>
    <row r="1299" spans="1:27">
      <c r="A1299" s="18"/>
      <c r="B1299" s="13">
        <v>7</v>
      </c>
      <c r="C1299" s="14" t="s">
        <v>28</v>
      </c>
      <c r="D1299" s="15" cm="1">
        <f t="array" ref="D1299">_xlfn.SINGLE(IF(A1301=A1302,_xll.ciqfunctions.udf.CIQ(A1293,"IQ_TOTAL_REV",IQ_FY-4)/I1299, _xll.ciqfunctions.udf.CIQ(A1293, "IQ_TOTAL_REV",IQ_FY-3)/I1299))</f>
        <v>28.231693058243046</v>
      </c>
      <c r="E1299" s="16">
        <f t="shared" si="347"/>
        <v>8.8491650228995911E-2</v>
      </c>
      <c r="F1299" s="15">
        <f>IF(A1301=A1302,_xll.ciqfunctions.udf.CIQ(A1293,"IQ_DILUT_EPS_EXCL",IQ_FY-4), _xll.ciqfunctions.udf.CIQ(A1293, "IQ_DILUT_EPS_EXCL",IQ_FY-3))</f>
        <v>2.8</v>
      </c>
      <c r="G1299" s="15">
        <f>IF(A1301=A1302,_xll.ciqfunctions.udf.CIQ(A1293,"IQ_EBITDA_MARGIN",IQ_FY-4), _xll.ciqfunctions.udf.CIQ(A1293, "IQ_EBITDA_MARGIN",IQ_FY-3))</f>
        <v>29.2437</v>
      </c>
      <c r="H1299" s="15">
        <f>IF(A1301=A1302,_xll.ciqfunctions.udf.CIQ(A1293,"IQ_TOTAL_DIV_PAID_CF",IQ_FY-4)/-I1299, _xll.ciqfunctions.udf.CIQ(A1293, "IQ_TOTAL_DIV_PAID_CF",IQ_FY-3)/-I1299)</f>
        <v>0</v>
      </c>
      <c r="I1299" s="17">
        <f>IF(A1301=A1302,_xll.ciqfunctions.udf.CIQ(A1293,"IQ_TOTAL_OUTSTANDING_FILING_DATE",IQ_FY-4), _xll.ciqfunctions.udf.CIQ(A1293, "IQ_TOTAL_OUTSTANDING_FILING_DATE",IQ_FY-3))</f>
        <v>114.73421</v>
      </c>
      <c r="J1299" s="17">
        <f>IF(A1301=A1302,_xll.ciqfunctions.udf.CIQ(A1293,"IQ_CASH_OPER",IQ_FY-4), _xll.ciqfunctions.udf.CIQ(A1293, "IQ_CASH_OPER",IQ_FY-3))</f>
        <v>945.64599999999996</v>
      </c>
      <c r="K1299" s="17">
        <f>IF(A1301=A1302,_xll.ciqfunctions.udf.CIQ(A1293,"IQ_CAPEX",IQ_FY-4), _xll.ciqfunctions.udf.CIQ(A1293, "IQ_CAPEX",IQ_FY-3))</f>
        <v>-164.10400000000001</v>
      </c>
      <c r="L1299" s="15">
        <f t="shared" si="344"/>
        <v>6.8117608514496233</v>
      </c>
      <c r="M1299" s="17">
        <f>IF(A1301=A1302,_xll.ciqfunctions.udf.CIQ(A1293,"IQ_TOTAL_DEBT_ISSUED",IQ_FY-4), _xll.ciqfunctions.udf.CIQ(A1293, "IQ_TOTAL_DEBT_ISSUED",IQ_FY-3))</f>
        <v>659</v>
      </c>
      <c r="N1299" s="17">
        <f>IF(A1301=A1302,_xll.ciqfunctions.udf.CIQ(A1293,"IQ_TOTAL_DEBT_REPAID",IQ_FY-4), _xll.ciqfunctions.udf.CIQ(A1293, "IQ_TOTAL_DEBT_REPAID",IQ_FY-3))</f>
        <v>0</v>
      </c>
      <c r="O1299" s="15">
        <f t="shared" si="345"/>
        <v>5.7437097444606975</v>
      </c>
      <c r="P1299" s="15">
        <f t="shared" si="346"/>
        <v>12.555470595910322</v>
      </c>
      <c r="Q1299" s="18"/>
      <c r="R1299" s="38" t="s">
        <v>29</v>
      </c>
      <c r="S1299" s="4">
        <f>(AVERAGE(P1298:P1303)/_xlfn.STDEV.P(P1298:P1303))/(IF(A1301=A1302,(_xlfn.SINGLE(_xll.ciqfunctions.udf.CIQ(A1293,"IQ_total_assets",IQ_FY)) - _xlfn.SINGLE(_xll.ciqfunctions.udf.CIQ(A1293,"iq_gw_intan", IQ_FY)))/I1303, (_xlfn.SINGLE(_xll.ciqfunctions.udf.CIQ(A1293, "IQ_total_assets",IQ_LTM))-_xlfn.SINGLE(_xll.ciqfunctions.udf.CIQ(A1293,"iq_gw_intan",IQ_LTM)))/I1303))</f>
        <v>6.0283542907412821E-2</v>
      </c>
      <c r="U1299" s="18"/>
      <c r="V1299" s="38" t="s">
        <v>29</v>
      </c>
      <c r="W1299" s="4">
        <f>(AVERAGE(P1298:P1303)/_xlfn.STDEV.P(P1298:P1303))/(IF(A1301=A1302,(_xlfn.SINGLE(_xll.ciqfunctions.udf.CIQ(A1293,"IQ_total_assets",IQ_FY)) - _xlfn.SINGLE(_xll.ciqfunctions.udf.CIQ(A1293,"iq_gw_intan", IQ_FY)))/I1303, (_xlfn.SINGLE(_xll.ciqfunctions.udf.CIQ(A1293, "IQ_total_assets",IQ_LTM))-_xlfn.SINGLE(_xll.ciqfunctions.udf.CIQ(A1293,"iq_gw_intan",IQ_LTM)))/I1303))</f>
        <v>6.0283542907412821E-2</v>
      </c>
      <c r="Y1299" s="18"/>
      <c r="Z1299" s="38" t="s">
        <v>29</v>
      </c>
      <c r="AA1299" s="4">
        <f>(AVERAGE(P1298:P1303)/_xlfn.STDEV.P(P1298:P1303))/(IF(A1301=A1302,(_xlfn.SINGLE(_xll.ciqfunctions.udf.CIQ(A1293,"IQ_total_assets",IQ_FY)) - _xlfn.SINGLE(_xll.ciqfunctions.udf.CIQ(A1293,"iq_gw_intan", IQ_FY)))/I1303, (_xlfn.SINGLE(_xll.ciqfunctions.udf.CIQ(A1293, "IQ_total_assets",IQ_LTM))-_xlfn.SINGLE(_xll.ciqfunctions.udf.CIQ(A1293,"iq_gw_intan",IQ_LTM)))/I1303))</f>
        <v>6.0283542907412821E-2</v>
      </c>
    </row>
    <row r="1300" spans="1:27">
      <c r="A1300" s="18"/>
      <c r="B1300" s="13">
        <v>8</v>
      </c>
      <c r="C1300" s="14" t="s">
        <v>30</v>
      </c>
      <c r="D1300" s="15" cm="1">
        <f t="array" ref="D1300">_xlfn.SINGLE(IF(A1301=A1302,_xll.ciqfunctions.udf.CIQ(A1293,"IQ_TOTAL_REV",IQ_FY-3)/I1300, _xll.ciqfunctions.udf.CIQ(A1293, "IQ_TOTAL_REV",IQ_FY-2)/I1300))</f>
        <v>35.664097774863677</v>
      </c>
      <c r="E1300" s="16">
        <f t="shared" si="347"/>
        <v>0.26326457649165075</v>
      </c>
      <c r="F1300" s="15">
        <f>IF(A1301=A1302,_xll.ciqfunctions.udf.CIQ(A1293,"IQ_DILUT_EPS_EXCL",IQ_FY-3), _xll.ciqfunctions.udf.CIQ(A1293, "IQ_DILUT_EPS_EXCL",IQ_FY-2))</f>
        <v>6.32</v>
      </c>
      <c r="G1300" s="15">
        <f>IF(A1301=A1302,_xll.ciqfunctions.udf.CIQ(A1293,"IQ_EBITDA_MARGIN",IQ_FY-3), _xll.ciqfunctions.udf.CIQ(A1293, "IQ_EBITDA_MARGIN",IQ_FY-2))</f>
        <v>34.618200000000002</v>
      </c>
      <c r="H1300" s="15">
        <f>IF(A1301=A1302,_xll.ciqfunctions.udf.CIQ(A1293,"IQ_TOTAL_DIV_PAID_CF",IQ_FY-3)/-I1300, _xll.ciqfunctions.udf.CIQ(A1293, "IQ_TOTAL_DIV_PAID_CF",IQ_FY-2)/-I1300)</f>
        <v>0</v>
      </c>
      <c r="I1300" s="17">
        <f>IF(A1301=A1302,_xll.ciqfunctions.udf.CIQ(A1293,"IQ_TOTAL_OUTSTANDING_FILING_DATE",IQ_FY-3), _xll.ciqfunctions.udf.CIQ(A1293, "IQ_TOTAL_OUTSTANDING_FILING_DATE",IQ_FY-2))</f>
        <v>112.58681</v>
      </c>
      <c r="J1300" s="17">
        <f>IF(A1301=A1302,_xll.ciqfunctions.udf.CIQ(A1293,"IQ_CASH_OPER",IQ_FY-3), _xll.ciqfunctions.udf.CIQ(A1293, "IQ_CASH_OPER",IQ_FY-2))</f>
        <v>1301.8530000000001</v>
      </c>
      <c r="K1300" s="17">
        <f>IF(A1301=A1302,_xll.ciqfunctions.udf.CIQ(A1293,"IQ_CAPEX",IQ_FY-3), _xll.ciqfunctions.udf.CIQ(A1293, "IQ_CAPEX",IQ_FY-2))</f>
        <v>-186.96</v>
      </c>
      <c r="L1300" s="15">
        <f t="shared" si="344"/>
        <v>9.9025187764001839</v>
      </c>
      <c r="M1300" s="17">
        <f>IF(A1301=A1302,_xll.ciqfunctions.udf.CIQ(A1293,"IQ_TOTAL_DEBT_ISSUED",IQ_FY-3), _xll.ciqfunctions.udf.CIQ(A1293, "IQ_TOTAL_DEBT_ISSUED",IQ_FY-2))</f>
        <v>1206.75</v>
      </c>
      <c r="N1300" s="17">
        <f>IF(A1301=A1302,_xll.ciqfunctions.udf.CIQ(A1293,"IQ_TOTAL_DEBT_REPAID",IQ_FY-3), _xll.ciqfunctions.udf.CIQ(A1293, "IQ_TOTAL_DEBT_REPAID",IQ_FY-2))</f>
        <v>-1087.9939999999999</v>
      </c>
      <c r="O1300" s="15">
        <f t="shared" si="345"/>
        <v>1.0547949622162676</v>
      </c>
      <c r="P1300" s="15">
        <f t="shared" si="346"/>
        <v>10.957313738616451</v>
      </c>
      <c r="Q1300" s="18"/>
      <c r="R1300" s="39" t="s">
        <v>31</v>
      </c>
      <c r="S1300" s="5">
        <f>IF(NOT(D1293&gt;0),FALSE,SLOPE(G1293:G1303,B1293:B1303))</f>
        <v>0.12389090909090936</v>
      </c>
      <c r="U1300" s="18"/>
      <c r="V1300" s="39" t="s">
        <v>31</v>
      </c>
      <c r="W1300" s="5">
        <f>IF(NOT(D1293&gt;0),FALSE,SLOPE(G1293:G1303,B1293:B1303))</f>
        <v>0.12389090909090936</v>
      </c>
      <c r="Y1300" s="18"/>
      <c r="Z1300" s="39" t="s">
        <v>31</v>
      </c>
      <c r="AA1300" s="5">
        <f>IF(NOT(L1293&gt;0),FALSE,SLOPE(O1293:O1303,J1293:J1303))</f>
        <v>2.1139911386857317E-3</v>
      </c>
    </row>
    <row r="1301" spans="1:27">
      <c r="A1301" s="19">
        <f>_xll.ciqfunctions.udf.CIQ(A1293,"IQ_TOTAL_REV",IQ_FY)</f>
        <v>3569.3989999999999</v>
      </c>
      <c r="B1301" s="13">
        <v>9</v>
      </c>
      <c r="C1301" s="14" t="s">
        <v>32</v>
      </c>
      <c r="D1301" s="15" cm="1">
        <f t="array" ref="D1301">_xlfn.SINGLE(IF(A1301=A1302,_xll.ciqfunctions.udf.CIQ(A1293,"IQ_TOTAL_REV",IQ_FY-2)/I1301, _xll.ciqfunctions.udf.CIQ(A1293, "IQ_TOTAL_REV",IQ_FY-1)/I1301))</f>
        <v>43.816172765940273</v>
      </c>
      <c r="E1301" s="16">
        <f t="shared" si="347"/>
        <v>0.22857931364303963</v>
      </c>
      <c r="F1301" s="15">
        <f>IF(A1301=A1302,_xll.ciqfunctions.udf.CIQ(A1293,"IQ_DILUT_EPS_EXCL",IQ_FY-2), _xll.ciqfunctions.udf.CIQ(A1293, "IQ_DILUT_EPS_EXCL",IQ_FY-1))</f>
        <v>9.26</v>
      </c>
      <c r="G1301" s="15">
        <f>IF(A1301=A1302,_xll.ciqfunctions.udf.CIQ(A1293,"IQ_EBITDA_MARGIN",IQ_FY-2), _xll.ciqfunctions.udf.CIQ(A1293, "IQ_EBITDA_MARGIN",IQ_FY-1))</f>
        <v>35.757300000000001</v>
      </c>
      <c r="H1301" s="15">
        <f>IF(A1301=A1302,_xll.ciqfunctions.udf.CIQ(A1293,"IQ_TOTAL_DIV_PAID_CF",IQ_FY-2)/-I1301, _xll.ciqfunctions.udf.CIQ(A1293, "IQ_TOTAL_DIV_PAID_CF",IQ_FY-1)/-I1301)</f>
        <v>0</v>
      </c>
      <c r="I1301" s="17">
        <f>IF(A1301=A1302,_xll.ciqfunctions.udf.CIQ(A1293,"IQ_TOTAL_OUTSTANDING_FILING_DATE",IQ_FY-2), _xll.ciqfunctions.udf.CIQ(A1293, "IQ_TOTAL_OUTSTANDING_FILING_DATE",IQ_FY-1))</f>
        <v>106.02737999999999</v>
      </c>
      <c r="J1301" s="17">
        <f>IF(A1301=A1302,_xll.ciqfunctions.udf.CIQ(A1293,"IQ_CASH_OPER",IQ_FY-2), _xll.ciqfunctions.udf.CIQ(A1293, "IQ_CASH_OPER",IQ_FY-1))</f>
        <v>1049.2429999999999</v>
      </c>
      <c r="K1301" s="17">
        <f>IF(A1301=A1302,_xll.ciqfunctions.udf.CIQ(A1293,"IQ_CAPEX",IQ_FY-2), _xll.ciqfunctions.udf.CIQ(A1293, "IQ_CAPEX",IQ_FY-1))</f>
        <v>-213.46600000000001</v>
      </c>
      <c r="L1301" s="15">
        <f t="shared" si="344"/>
        <v>7.8826525752121759</v>
      </c>
      <c r="M1301" s="17">
        <f>IF(A1301=A1302,_xll.ciqfunctions.udf.CIQ(A1293,"IQ_TOTAL_DEBT_ISSUED",IQ_FY-2), _xll.ciqfunctions.udf.CIQ(A1293, "IQ_TOTAL_DEBT_ISSUED",IQ_FY-1))</f>
        <v>499.07</v>
      </c>
      <c r="N1301" s="17">
        <f>IF(A1301=A1302,_xll.ciqfunctions.udf.CIQ(A1293,"IQ_TOTAL_DEBT_REPAID",IQ_FY-2), _xll.ciqfunctions.udf.CIQ(A1293, "IQ_TOTAL_DEBT_REPAID",IQ_FY-1))</f>
        <v>-197.5</v>
      </c>
      <c r="O1301" s="15">
        <f t="shared" si="345"/>
        <v>2.8442653209010729</v>
      </c>
      <c r="P1301" s="15">
        <f t="shared" si="346"/>
        <v>10.72691789611325</v>
      </c>
      <c r="Q1301" s="25" t="s">
        <v>33</v>
      </c>
      <c r="R1301" s="38" t="s">
        <v>52</v>
      </c>
      <c r="S1301" s="4">
        <f>(AVERAGE(O1298:O1303)/AVERAGE(P1298:P1303))</f>
        <v>0.1754014267787353</v>
      </c>
      <c r="U1301" s="25" t="s">
        <v>54</v>
      </c>
      <c r="V1301" s="38" t="s">
        <v>52</v>
      </c>
      <c r="W1301" s="4">
        <f>(AVERAGE(O1298:O1303)/AVERAGE(P1298:P1303))</f>
        <v>0.1754014267787353</v>
      </c>
      <c r="Y1301" s="25" t="s">
        <v>60</v>
      </c>
      <c r="Z1301" s="38" t="s">
        <v>52</v>
      </c>
      <c r="AA1301" s="4">
        <f>(AVERAGE(O1298:O1303)/AVERAGE(P1298:P1303))</f>
        <v>0.1754014267787353</v>
      </c>
    </row>
    <row r="1302" spans="1:27">
      <c r="A1302" s="19">
        <f>_xll.ciqfunctions.udf.CIQ(A1293,"IQ_TOTAL_REV",IQ_LTM)</f>
        <v>3130.6410000000001</v>
      </c>
      <c r="B1302" s="13">
        <v>10</v>
      </c>
      <c r="C1302" s="14" t="s">
        <v>34</v>
      </c>
      <c r="D1302" s="15" cm="1">
        <f t="array" ref="D1302">_xlfn.SINGLE(IF(A1301=A1302,_xll.ciqfunctions.udf.CIQ(A1293,"IQ_TOTAL_REV",IQ_FY-1)/I1302, _xll.ciqfunctions.udf.CIQ(A1293, "IQ_TOTAL_REV",IQ_FY)/I1302))</f>
        <v>36.150853643085213</v>
      </c>
      <c r="E1302" s="16">
        <f t="shared" si="347"/>
        <v>-0.17494268985568634</v>
      </c>
      <c r="F1302" s="15">
        <f>IF(A1301=A1302,_xll.ciqfunctions.udf.CIQ(A1293,"IQ_DILUT_EPS_EXCL",IQ_FY-1), _xll.ciqfunctions.udf.CIQ(A1293, "IQ_DILUT_EPS_EXCL",IQ_FY))</f>
        <v>1</v>
      </c>
      <c r="G1302" s="15">
        <f>IF(A1301=A1302,_xll.ciqfunctions.udf.CIQ(A1293,"IQ_EBITDA_MARGIN",IQ_FY-1), _xll.ciqfunctions.udf.CIQ(A1293, "IQ_EBITDA_MARGIN",IQ_FY))</f>
        <v>16.863600000000002</v>
      </c>
      <c r="H1302" s="15">
        <f>IF(A1301=A1302,_xll.ciqfunctions.udf.CIQ(A1293,"IQ_TOTAL_DIV_PAID_CF",IQ_FY-1)/-I1302, _xll.ciqfunctions.udf.CIQ(A1293, "IQ_TOTAL_DIV_PAID_CF",IQ_FY)/-I1302)</f>
        <v>0</v>
      </c>
      <c r="I1302" s="17">
        <f>IF(A1301=A1302,_xll.ciqfunctions.udf.CIQ(A1293,"IQ_TOTAL_OUTSTANDING_FILING_DATE",IQ_FY-1), _xll.ciqfunctions.udf.CIQ(A1293, "IQ_TOTAL_OUTSTANDING_FILING_DATE",IQ_FY))</f>
        <v>98.736230000000006</v>
      </c>
      <c r="J1302" s="17">
        <f>IF(A1301=A1302,_xll.ciqfunctions.udf.CIQ(A1293,"IQ_CASH_OPER",IQ_FY-1), _xll.ciqfunctions.udf.CIQ(A1293, "IQ_CASH_OPER",IQ_FY))</f>
        <v>843.23099999999999</v>
      </c>
      <c r="K1302" s="17">
        <f>IF(A1301=A1302,_xll.ciqfunctions.udf.CIQ(A1293,"IQ_CAPEX",IQ_FY-1), _xll.ciqfunctions.udf.CIQ(A1293, "IQ_CAPEX",IQ_FY))</f>
        <v>-158.953</v>
      </c>
      <c r="L1302" s="15">
        <f t="shared" si="344"/>
        <v>6.9303638593452472</v>
      </c>
      <c r="M1302" s="17">
        <f>IF(A1301=A1302,_xll.ciqfunctions.udf.CIQ(A1293,"IQ_TOTAL_DEBT_ISSUED",IQ_FY-1), _xll.ciqfunctions.udf.CIQ(A1293, "IQ_TOTAL_DEBT_ISSUED",IQ_FY))</f>
        <v>0</v>
      </c>
      <c r="N1302" s="17">
        <f>IF(A1301=A1302,_xll.ciqfunctions.udf.CIQ(A1293,"IQ_TOTAL_DEBT_REPAID",IQ_FY-1), _xll.ciqfunctions.udf.CIQ(A1293, "IQ_TOTAL_DEBT_REPAID",IQ_FY))</f>
        <v>0</v>
      </c>
      <c r="O1302" s="15">
        <f t="shared" si="345"/>
        <v>0</v>
      </c>
      <c r="P1302" s="15">
        <f t="shared" si="346"/>
        <v>6.9303638593452472</v>
      </c>
      <c r="Q1302" s="25" t="s">
        <v>44</v>
      </c>
      <c r="R1302" s="38" t="s">
        <v>35</v>
      </c>
      <c r="S1302" s="1">
        <f>_xll.ciqfunctions.udf.CIQ(A1293,"IQ_TEV_EBITDA")</f>
        <v>26.58304</v>
      </c>
      <c r="U1302" s="25" t="s">
        <v>55</v>
      </c>
      <c r="V1302" s="38" t="s">
        <v>53</v>
      </c>
      <c r="W1302" s="1">
        <f>V1292/(AVERAGE(D1298:D1303)/_xlfn.STDEV.P(E1298:E1303))</f>
        <v>0.44902113817430134</v>
      </c>
      <c r="Y1302" s="25" t="s">
        <v>57</v>
      </c>
      <c r="Z1302" s="38" t="s">
        <v>53</v>
      </c>
      <c r="AA1302" s="1">
        <f>Z1292/(AVERAGE(D1298:D1303)/_xlfn.STDEV.P(E1298:E1303))</f>
        <v>0.44902113817430134</v>
      </c>
    </row>
    <row r="1303" spans="1:27">
      <c r="B1303" s="13">
        <v>11</v>
      </c>
      <c r="C1303" s="20" t="s">
        <v>36</v>
      </c>
      <c r="D1303" s="21" cm="1">
        <f t="array" ref="D1303">_xlfn.SINGLE(IF(A1301=A1302,_xll.ciqfunctions.udf.CIQ(A1293,"IQ_TOTAL_REV",IQ_FY)/I1303, _xll.ciqfunctions.udf.CIQ(A1293, "IQ_TOTAL_REV",IQ_LTM)/I1303))</f>
        <v>32.160013954382812</v>
      </c>
      <c r="E1303" s="22">
        <f t="shared" si="347"/>
        <v>-0.11039406505040449</v>
      </c>
      <c r="F1303" s="21">
        <f>IF(A1301=A1302,_xll.ciqfunctions.udf.CIQ(A1293,"IQ_DILUT_EPS_EXCL",IQ_FY), _xll.ciqfunctions.udf.CIQ(A1293, "IQ_DILUT_EPS_EXCL",IQ_LTM))</f>
        <v>-1.0215000000000001</v>
      </c>
      <c r="G1303" s="21">
        <f>IF(A1301=A1302,_xll.ciqfunctions.udf.CIQ(A1293,"IQ_EBITDA_MARGIN",IQ_FY), _xll.ciqfunctions.udf.CIQ(A1293, "IQ_EBITDA_MARGIN",IQ_LTM))</f>
        <v>11.5893</v>
      </c>
      <c r="H1303" s="21">
        <f>IF(A1301=A1302,_xll.ciqfunctions.udf.CIQ(A1293,"IQ_TOTAL_DIV_PAID_CF",IQ_FY)/-I1303, _xll.ciqfunctions.udf.CIQ(A1293, "IQ_TOTAL_DIV_PAID_CF",IQ_LTM)/-I1303)</f>
        <v>0</v>
      </c>
      <c r="I1303" s="23">
        <f>IF(A1301=A1302,_xll.ciqfunctions.udf.CIQ(A1293,"IQ_TOTAL_OUTSTANDING_FILING_DATE",IQ_FY),_xll.ciqfunctions.udf.CIQ(A1293,"IQ_sharesoutstanding"))</f>
        <v>97.345759999999999</v>
      </c>
      <c r="J1303" s="23">
        <f>IF(A1301=A1302,_xll.ciqfunctions.udf.CIQ(A1293,"IQ_CASH_OPER",IQ_FY), _xll.ciqfunctions.udf.CIQ(A1293, "IQ_CASH_OPER",IQ_LTM))</f>
        <v>440.70499999999998</v>
      </c>
      <c r="K1303" s="23">
        <f>IF(A1301=A1302,_xll.ciqfunctions.udf.CIQ(A1293,"IQ_CAPEX",IQ_FY), _xll.ciqfunctions.udf.CIQ(A1293, "IQ_CAPEX",IQ_LTM))</f>
        <v>-136.57499999999999</v>
      </c>
      <c r="L1303" s="21">
        <f t="shared" si="344"/>
        <v>3.1242244140885025</v>
      </c>
      <c r="M1303" s="23">
        <f>IF(A1301=A1302,_xll.ciqfunctions.udf.CIQ(A1293,"IQ_TOTAL_DEBT_ISSUED",IQ_FY), _xll.ciqfunctions.udf.CIQ(A1293, "IQ_TOTAL_DEBT_ISSUED",IQ_LTM))</f>
        <v>0</v>
      </c>
      <c r="N1303" s="23">
        <f>IF(A1301=A1302,_xll.ciqfunctions.udf.CIQ(A1293,"IQ_TOTAL_DEBT_REPAID",IQ_FY), _xll.ciqfunctions.udf.CIQ(A1293, "IQ_TOTAL_DEBT_REPAID",IQ_LTM))</f>
        <v>0</v>
      </c>
      <c r="O1303" s="21">
        <f t="shared" si="345"/>
        <v>0</v>
      </c>
      <c r="P1303" s="21">
        <f t="shared" si="346"/>
        <v>3.1242244140885025</v>
      </c>
      <c r="Q1303" s="25" t="s">
        <v>45</v>
      </c>
      <c r="S1303" s="45"/>
      <c r="U1303" s="25"/>
      <c r="W1303" s="45"/>
      <c r="Y1303" s="25"/>
      <c r="AA1303" s="45"/>
    </row>
    <row r="1304" spans="1:27">
      <c r="B1304" s="24"/>
      <c r="C1304" s="25" t="s">
        <v>37</v>
      </c>
      <c r="E1304" s="26">
        <f>((D1303/D1298)^(1/5))-1</f>
        <v>4.3952843060597102E-2</v>
      </c>
      <c r="F1304" s="27">
        <f>((F1303/F1298)^(1/5))-1</f>
        <v>-1.9945115113139513</v>
      </c>
      <c r="G1304" s="28"/>
      <c r="H1304" s="27" t="e">
        <f>((H1303/H1298)^(1/5))-1</f>
        <v>#DIV/0!</v>
      </c>
      <c r="I1304" s="27">
        <f>((I1303/I1298)^(1/5))-1</f>
        <v>-3.9615944249884349E-2</v>
      </c>
      <c r="J1304" s="27"/>
      <c r="K1304" s="27"/>
      <c r="L1304" s="26">
        <f>((L1303/L1298)^(1/5))-1</f>
        <v>-8.7819243788396562E-2</v>
      </c>
      <c r="M1304" s="26"/>
      <c r="N1304" s="26"/>
      <c r="O1304" s="26"/>
      <c r="P1304" s="26">
        <f>((P1303/P1298)^(1/5))-1</f>
        <v>-3.4679913361348902E-2</v>
      </c>
      <c r="Q1304" s="18"/>
      <c r="R1304" s="36"/>
      <c r="S1304" s="45"/>
      <c r="U1304" s="18"/>
      <c r="V1304" s="36"/>
      <c r="W1304" s="45"/>
      <c r="Y1304" s="18"/>
      <c r="Z1304" s="36"/>
      <c r="AA1304" s="45"/>
    </row>
    <row r="1305" spans="1:27">
      <c r="A1305" s="29"/>
      <c r="B1305" s="30"/>
      <c r="C1305" s="31" t="s">
        <v>38</v>
      </c>
      <c r="D1305" s="29"/>
      <c r="E1305" s="32">
        <f>((D1303/D1293)^(1/10))-1</f>
        <v>7.196843927003882E-2</v>
      </c>
      <c r="F1305" s="33" t="e">
        <f>((F1303/F1293)^(1/10))-1</f>
        <v>#NUM!</v>
      </c>
      <c r="G1305" s="34"/>
      <c r="H1305" s="33" t="e">
        <f>((H1303/H1293)^(1/10))-1</f>
        <v>#DIV/0!</v>
      </c>
      <c r="I1305" s="33">
        <f>((I1303/I1293)^(1/10))-1</f>
        <v>3.1284287541563094E-2</v>
      </c>
      <c r="J1305" s="33"/>
      <c r="K1305" s="33"/>
      <c r="L1305" s="32">
        <f>((L1303/L1293)^(1/10))-1</f>
        <v>0.13303788761448732</v>
      </c>
      <c r="M1305" s="32"/>
      <c r="N1305" s="32"/>
      <c r="O1305" s="32"/>
      <c r="P1305" s="32">
        <f>((P1303/P1293)^(1/10))-1</f>
        <v>0.13303788761448732</v>
      </c>
      <c r="Q1305" s="40"/>
      <c r="R1305" s="41"/>
      <c r="S1305" s="46"/>
      <c r="U1305" s="40"/>
      <c r="V1305" s="41"/>
      <c r="W1305" s="46"/>
      <c r="Y1305" s="40"/>
      <c r="Z1305" s="41"/>
      <c r="AA1305" s="46"/>
    </row>
    <row r="1306" spans="1:27">
      <c r="B1306" s="24"/>
      <c r="C1306" s="25"/>
      <c r="E1306" s="26"/>
      <c r="F1306" s="27"/>
      <c r="G1306" s="28"/>
      <c r="H1306" s="27"/>
      <c r="I1306" s="27"/>
      <c r="J1306" s="27"/>
      <c r="K1306" s="27"/>
      <c r="L1306" s="26"/>
      <c r="M1306" s="17"/>
      <c r="N1306" s="17"/>
      <c r="O1306" s="17"/>
      <c r="P1306" s="35"/>
      <c r="Q1306" s="18"/>
      <c r="R1306" s="36"/>
    </row>
    <row r="1307" spans="1:27">
      <c r="A1307" s="9" t="s">
        <v>0</v>
      </c>
      <c r="B1307" s="10"/>
      <c r="C1307" s="9" t="s">
        <v>1</v>
      </c>
      <c r="D1307" s="9" t="s">
        <v>2</v>
      </c>
      <c r="E1307" s="9" t="s">
        <v>3</v>
      </c>
      <c r="F1307" s="11" t="s">
        <v>4</v>
      </c>
      <c r="G1307" s="11" t="s">
        <v>5</v>
      </c>
      <c r="H1307" s="9" t="s">
        <v>6</v>
      </c>
      <c r="I1307" s="11" t="s">
        <v>7</v>
      </c>
      <c r="J1307" s="11" t="s">
        <v>8</v>
      </c>
      <c r="K1307" s="11" t="s">
        <v>9</v>
      </c>
      <c r="L1307" s="11" t="s">
        <v>10</v>
      </c>
      <c r="M1307" s="11" t="s">
        <v>11</v>
      </c>
      <c r="N1307" s="11" t="s">
        <v>12</v>
      </c>
      <c r="O1307" s="11" t="s">
        <v>13</v>
      </c>
      <c r="P1307" s="11" t="s">
        <v>14</v>
      </c>
      <c r="Q1307" s="37" t="s">
        <v>15</v>
      </c>
      <c r="R1307" s="42">
        <f>_xll.ciqfunctions.udf.CIQ(A1308,("IQ_LASTSALEPRICE"))</f>
        <v>28.03</v>
      </c>
      <c r="S1307" s="44"/>
      <c r="U1307" s="37" t="s">
        <v>15</v>
      </c>
      <c r="V1307" s="42">
        <f>_xll.ciqfunctions.udf.CIQ(A1308,("IQ_LASTSALEPRICE"))</f>
        <v>28.03</v>
      </c>
      <c r="W1307" s="44"/>
      <c r="Y1307" s="37" t="s">
        <v>15</v>
      </c>
      <c r="Z1307" s="42">
        <f>_xll.ciqfunctions.udf.CIQ(A1308,("IQ_LASTSALEPRICE"))</f>
        <v>28.03</v>
      </c>
      <c r="AA1307" s="44"/>
    </row>
    <row r="1308" spans="1:27">
      <c r="A1308" s="12" t="str">
        <f>Analysis!B89</f>
        <v>NasdaqGS:AMKR</v>
      </c>
      <c r="B1308" s="13">
        <v>1</v>
      </c>
      <c r="C1308" s="14" t="s">
        <v>16</v>
      </c>
      <c r="D1308" s="15">
        <f>IF(A1316=A1317,_xll.ciqfunctions.udf.CIQ(A1308,"IQ_TOTAL_REV",IQ_FY-10)/I1308,_xll.ciqfunctions.udf.CIQ(A1308, "IQ_TOTAL_REV",IQ_FY-9)/I1308)</f>
        <v>13.567843854399358</v>
      </c>
      <c r="E1308" s="16"/>
      <c r="F1308" s="15">
        <f>IF(A1316=A1317,_xll.ciqfunctions.udf.CIQ(A1308,"IQ_DILUT_EPS_EXCL",IQ_FY-10), _xll.ciqfunctions.udf.CIQ(A1308, "IQ_DILUT_EPS_EXCL",IQ_FY-9))</f>
        <v>0.50205</v>
      </c>
      <c r="G1308" s="15">
        <f>IF(A1316=A1317,_xll.ciqfunctions.udf.CIQ(A1308,"IQ_EBITDA_MARGIN",IQ_FY-10), _xll.ciqfunctions.udf.CIQ(A1308, "IQ_EBITDA_MARGIN",IQ_FY-9))</f>
        <v>22.0688</v>
      </c>
      <c r="H1308" s="15">
        <f>IF(A1316=A1317,_xll.ciqfunctions.udf.CIQ(A1308,"IQ_TOTAL_DIV_PAID_CF",IQ_FY-10)/-I1308, _xll.ciqfunctions.udf.CIQ(A1308, "IQ_TOTAL_DIV_PAID_CF",IQ_FY-9)/-I1308)</f>
        <v>0</v>
      </c>
      <c r="I1308" s="17">
        <f>IF(A1316=A1317,_xll.ciqfunctions.udf.CIQ(A1308,"IQ_TOTAL_OUTSTANDING_FILING_DATE",IQ_FY-10), _xll.ciqfunctions.udf.CIQ(A1308, "IQ_TOTAL_OUTSTANDING_FILING_DATE",IQ_FY-9))</f>
        <v>217.90124</v>
      </c>
      <c r="J1308" s="17">
        <f>IF(A1316=A1317,_xll.ciqfunctions.udf.CIQ(A1308,"IQ_CASH_OPER",IQ_FY-10), _xll.ciqfunctions.udf.CIQ(A1308, "IQ_CASH_OPER",IQ_FY-9))</f>
        <v>557.53599999999994</v>
      </c>
      <c r="K1308" s="17">
        <f>IF(A1316=A1317,_xll.ciqfunctions.udf.CIQ(A1308,"IQ_CAPEX",IQ_FY-10), _xll.ciqfunctions.udf.CIQ(A1308, "IQ_CAPEX",IQ_FY-9))</f>
        <v>-566.25599999999997</v>
      </c>
      <c r="L1308" s="15">
        <f t="shared" ref="L1308:L1318" si="348">(J1308+K1308)/I1308</f>
        <v>-4.0018129313995766E-2</v>
      </c>
      <c r="M1308" s="17">
        <f>IF(A1316=A1317,_xll.ciqfunctions.udf.CIQ(A1308,"IQ_TOTAL_DEBT_ISSUED",IQ_FY-10), _xll.ciqfunctions.udf.CIQ(A1308, "IQ_TOTAL_DEBT_ISSUED",IQ_FY-9))</f>
        <v>380</v>
      </c>
      <c r="N1308" s="17">
        <f>IF(A1316=A1317,_xll.ciqfunctions.udf.CIQ(A1308,"IQ_TOTAL_DEBT_REPAID",IQ_FY-10), _xll.ciqfunctions.udf.CIQ(A1308, "IQ_TOTAL_DEBT_REPAID",IQ_FY-9))</f>
        <v>-96.619</v>
      </c>
      <c r="O1308" s="15">
        <f t="shared" ref="O1308:O1318" si="349">(M1308+N1308)/I1308</f>
        <v>1.3005020072396098</v>
      </c>
      <c r="P1308" s="15">
        <f t="shared" ref="P1308:P1318" si="350">L1308+O1308</f>
        <v>1.260483877925614</v>
      </c>
      <c r="W1308" s="43"/>
      <c r="AA1308" s="43"/>
    </row>
    <row r="1309" spans="1:27">
      <c r="A1309" s="18" t="str">
        <f>_xll.ciqfunctions.udf.CIQ(A1308,"IQ_COMPANY_NAME")</f>
        <v>Amkor Technology, Inc.</v>
      </c>
      <c r="B1309" s="13">
        <v>2</v>
      </c>
      <c r="C1309" s="14" t="s">
        <v>17</v>
      </c>
      <c r="D1309" s="15">
        <f>IF(A1316=A1317,_xll.ciqfunctions.udf.CIQ(A1308,"IQ_TOTAL_REV",IQ_FY-9)/I1309, _xll.ciqfunctions.udf.CIQ(A1308, "IQ_TOTAL_REV",IQ_FY-8)/I1309)</f>
        <v>13.188598039267333</v>
      </c>
      <c r="E1309" s="16">
        <f t="shared" ref="E1309:E1318" si="351">(D1309-D1308)/D1308</f>
        <v>-2.7951811592308015E-2</v>
      </c>
      <c r="F1309" s="15">
        <f>IF(A1316=A1317,_xll.ciqfunctions.udf.CIQ(A1308,"IQ_DILUT_EPS_EXCL",IQ_FY-9), _xll.ciqfunctions.udf.CIQ(A1308, "IQ_DILUT_EPS_EXCL",IQ_FY-8))</f>
        <v>0.55089999999999995</v>
      </c>
      <c r="G1309" s="15">
        <f>IF(A1316=A1317,_xll.ciqfunctions.udf.CIQ(A1308,"IQ_EBITDA_MARGIN",IQ_FY-9), _xll.ciqfunctions.udf.CIQ(A1308, "IQ_EBITDA_MARGIN",IQ_FY-8))</f>
        <v>24.3323</v>
      </c>
      <c r="H1309" s="15">
        <f>IF(A1316=A1317,_xll.ciqfunctions.udf.CIQ(A1308,"IQ_TOTAL_DIV_PAID_CF",IQ_FY-9)/-I1309, _xll.ciqfunctions.udf.CIQ(A1308, "IQ_TOTAL_DIV_PAID_CF",IQ_FY-8)/-I1309)</f>
        <v>0</v>
      </c>
      <c r="I1309" s="17">
        <f>IF(A1316=A1317,_xll.ciqfunctions.udf.CIQ(A1308,"IQ_TOTAL_OUTSTANDING_FILING_DATE",IQ_FY-9), _xll.ciqfunctions.udf.CIQ(A1308, "IQ_TOTAL_OUTSTANDING_FILING_DATE",IQ_FY-8))</f>
        <v>237.28375</v>
      </c>
      <c r="J1309" s="17">
        <f>IF(A1316=A1317,_xll.ciqfunctions.udf.CIQ(A1308,"IQ_CASH_OPER",IQ_FY-9), _xll.ciqfunctions.udf.CIQ(A1308, "IQ_CASH_OPER",IQ_FY-8))</f>
        <v>614.66600000000005</v>
      </c>
      <c r="K1309" s="17">
        <f>IF(A1316=A1317,_xll.ciqfunctions.udf.CIQ(A1308,"IQ_CAPEX",IQ_FY-9), _xll.ciqfunctions.udf.CIQ(A1308, "IQ_CAPEX",IQ_FY-8))</f>
        <v>-681.12</v>
      </c>
      <c r="L1309" s="15">
        <f t="shared" si="348"/>
        <v>-0.280061318990449</v>
      </c>
      <c r="M1309" s="17">
        <f>IF(A1316=A1317,_xll.ciqfunctions.udf.CIQ(A1308,"IQ_TOTAL_DEBT_ISSUED",IQ_FY-9), _xll.ciqfunctions.udf.CIQ(A1308, "IQ_TOTAL_DEBT_ISSUED",IQ_FY-8))</f>
        <v>80</v>
      </c>
      <c r="N1309" s="17">
        <f>IF(A1316=A1317,_xll.ciqfunctions.udf.CIQ(A1308,"IQ_TOTAL_DEBT_REPAID",IQ_FY-9), _xll.ciqfunctions.udf.CIQ(A1308, "IQ_TOTAL_DEBT_REPAID",IQ_FY-8))</f>
        <v>-145.75700000000001</v>
      </c>
      <c r="O1309" s="15">
        <f t="shared" si="349"/>
        <v>-0.27712390755793437</v>
      </c>
      <c r="P1309" s="15">
        <f t="shared" si="350"/>
        <v>-0.55718522654838343</v>
      </c>
      <c r="Q1309" s="25" t="s">
        <v>18</v>
      </c>
      <c r="R1309" s="39" t="s">
        <v>19</v>
      </c>
      <c r="S1309" s="1">
        <f>R1307/((AVERAGE(P1313:P1318))*(1+E1319)^3)</f>
        <v>28.676506634333641</v>
      </c>
      <c r="U1309" s="25" t="s">
        <v>48</v>
      </c>
      <c r="V1309" s="39" t="s">
        <v>19</v>
      </c>
      <c r="W1309" s="1">
        <f>V1307/((AVERAGE(P1313:P1318))*(1+E1319)^3)</f>
        <v>28.676506634333641</v>
      </c>
      <c r="Y1309" s="25" t="s">
        <v>39</v>
      </c>
      <c r="Z1309" s="39" t="s">
        <v>19</v>
      </c>
      <c r="AA1309" s="1">
        <f>Z1307/((AVERAGE(P1313:P1318))*(1+E1319)^3)</f>
        <v>28.676506634333641</v>
      </c>
    </row>
    <row r="1310" spans="1:27">
      <c r="B1310" s="13">
        <v>3</v>
      </c>
      <c r="C1310" s="14" t="s">
        <v>20</v>
      </c>
      <c r="D1310" s="15" cm="1">
        <f t="array" ref="D1310">_xlfn.SINGLE(IF(A1316=A1317,_xll.ciqfunctions.udf.CIQ(A1308,"IQ_TOTAL_REV",IQ_FY-8)/I1310, _xll.ciqfunctions.udf.CIQ(A1308, "IQ_TOTAL_REV",IQ_FY-7)/I1310))</f>
        <v>12.151405188534252</v>
      </c>
      <c r="E1310" s="16">
        <f t="shared" si="351"/>
        <v>-7.8643146727572916E-2</v>
      </c>
      <c r="F1310" s="15">
        <f>IF(A1316=A1317,_xll.ciqfunctions.udf.CIQ(A1308,"IQ_DILUT_EPS_EXCL",IQ_FY-8), _xll.ciqfunctions.udf.CIQ(A1308, "IQ_DILUT_EPS_EXCL",IQ_FY-7))</f>
        <v>0.21548999999999999</v>
      </c>
      <c r="G1310" s="15">
        <f>IF(A1316=A1317,_xll.ciqfunctions.udf.CIQ(A1308,"IQ_EBITDA_MARGIN",IQ_FY-8), _xll.ciqfunctions.udf.CIQ(A1308, "IQ_EBITDA_MARGIN",IQ_FY-7))</f>
        <v>22.846699999999998</v>
      </c>
      <c r="H1310" s="15">
        <f>IF(A1316=A1317,_xll.ciqfunctions.udf.CIQ(A1308,"IQ_TOTAL_DIV_PAID_CF",IQ_FY-8)/-I1310, _xll.ciqfunctions.udf.CIQ(A1308, "IQ_TOTAL_DIV_PAID_CF",IQ_FY-7)/-I1310)</f>
        <v>0</v>
      </c>
      <c r="I1310" s="17">
        <f>IF(A1316=A1317,_xll.ciqfunctions.udf.CIQ(A1308,"IQ_TOTAL_OUTSTANDING_FILING_DATE",IQ_FY-8), _xll.ciqfunctions.udf.CIQ(A1308, "IQ_TOTAL_OUTSTANDING_FILING_DATE",IQ_FY-7))</f>
        <v>237.38843</v>
      </c>
      <c r="J1310" s="17">
        <f>IF(A1316=A1317,_xll.ciqfunctions.udf.CIQ(A1308,"IQ_CASH_OPER",IQ_FY-8), _xll.ciqfunctions.udf.CIQ(A1308, "IQ_CASH_OPER",IQ_FY-7))</f>
        <v>584.97500000000002</v>
      </c>
      <c r="K1310" s="17">
        <f>IF(A1316=A1317,_xll.ciqfunctions.udf.CIQ(A1308,"IQ_CAPEX",IQ_FY-8), _xll.ciqfunctions.udf.CIQ(A1308, "IQ_CAPEX",IQ_FY-7))</f>
        <v>-537.97500000000002</v>
      </c>
      <c r="L1310" s="15">
        <f t="shared" si="348"/>
        <v>0.19798774523257093</v>
      </c>
      <c r="M1310" s="17">
        <f>IF(A1316=A1317,_xll.ciqfunctions.udf.CIQ(A1308,"IQ_TOTAL_DEBT_ISSUED",IQ_FY-8), _xll.ciqfunctions.udf.CIQ(A1308, "IQ_TOTAL_DEBT_ISSUED",IQ_FY-7))</f>
        <v>690</v>
      </c>
      <c r="N1310" s="17">
        <f>IF(A1316=A1317,_xll.ciqfunctions.udf.CIQ(A1308,"IQ_TOTAL_DEBT_REPAID",IQ_FY-8), _xll.ciqfunctions.udf.CIQ(A1308, "IQ_TOTAL_DEBT_REPAID",IQ_FY-7))</f>
        <v>-687.03</v>
      </c>
      <c r="O1310" s="15">
        <f t="shared" si="349"/>
        <v>1.2511140496611513E-2</v>
      </c>
      <c r="P1310" s="15">
        <f t="shared" si="350"/>
        <v>0.21049888572918243</v>
      </c>
      <c r="Q1310" s="25" t="s">
        <v>21</v>
      </c>
      <c r="R1310" s="38" t="s">
        <v>49</v>
      </c>
      <c r="S1310" s="2">
        <f>(R1307*I1318)/1000</f>
        <v>6.8888801233000008</v>
      </c>
      <c r="U1310" s="25" t="s">
        <v>59</v>
      </c>
      <c r="V1310" s="38" t="s">
        <v>49</v>
      </c>
      <c r="W1310" s="2">
        <f>(V1307*I1318)/1000</f>
        <v>6.8888801233000008</v>
      </c>
      <c r="Y1310" s="25" t="s">
        <v>46</v>
      </c>
      <c r="Z1310" s="38" t="s">
        <v>49</v>
      </c>
      <c r="AA1310" s="2">
        <f>(Z1307*I1318)/1000</f>
        <v>6.8888801233000008</v>
      </c>
    </row>
    <row r="1311" spans="1:27">
      <c r="A1311" s="18"/>
      <c r="B1311" s="13">
        <v>4</v>
      </c>
      <c r="C1311" s="14" t="s">
        <v>22</v>
      </c>
      <c r="D1311" s="15" cm="1">
        <f t="array" ref="D1311">_xlfn.SINGLE(IF(A1316=A1317,_xll.ciqfunctions.udf.CIQ(A1308,"IQ_TOTAL_REV",IQ_FY-7)/I1311, _xll.ciqfunctions.udf.CIQ(A1308, "IQ_TOTAL_REV",IQ_FY-6)/I1311))</f>
        <v>16.449077239552793</v>
      </c>
      <c r="E1311" s="16">
        <f t="shared" si="351"/>
        <v>0.35367696034642249</v>
      </c>
      <c r="F1311" s="15">
        <f>IF(A1316=A1317,_xll.ciqfunctions.udf.CIQ(A1308,"IQ_DILUT_EPS_EXCL",IQ_FY-7), _xll.ciqfunctions.udf.CIQ(A1308, "IQ_DILUT_EPS_EXCL",IQ_FY-6))</f>
        <v>0.73934</v>
      </c>
      <c r="G1311" s="15">
        <f>IF(A1316=A1317,_xll.ciqfunctions.udf.CIQ(A1308,"IQ_EBITDA_MARGIN",IQ_FY-7), _xll.ciqfunctions.udf.CIQ(A1308, "IQ_EBITDA_MARGIN",IQ_FY-6))</f>
        <v>21.988099999999999</v>
      </c>
      <c r="H1311" s="15">
        <f>IF(A1316=A1317,_xll.ciqfunctions.udf.CIQ(A1308,"IQ_TOTAL_DIV_PAID_CF",IQ_FY-7)/-I1311, _xll.ciqfunctions.udf.CIQ(A1308, "IQ_TOTAL_DIV_PAID_CF",IQ_FY-6)/-I1311)</f>
        <v>0</v>
      </c>
      <c r="I1311" s="17">
        <f>IF(A1316=A1317,_xll.ciqfunctions.udf.CIQ(A1308,"IQ_TOTAL_OUTSTANDING_FILING_DATE",IQ_FY-7), _xll.ciqfunctions.udf.CIQ(A1308, "IQ_TOTAL_OUTSTANDING_FILING_DATE",IQ_FY-6))</f>
        <v>238.78841</v>
      </c>
      <c r="J1311" s="17">
        <f>IF(A1316=A1317,_xll.ciqfunctions.udf.CIQ(A1308,"IQ_CASH_OPER",IQ_FY-7), _xll.ciqfunctions.udf.CIQ(A1308, "IQ_CASH_OPER",IQ_FY-6))</f>
        <v>729.40200000000004</v>
      </c>
      <c r="K1311" s="17">
        <f>IF(A1316=A1317,_xll.ciqfunctions.udf.CIQ(A1308,"IQ_CAPEX",IQ_FY-7), _xll.ciqfunctions.udf.CIQ(A1308, "IQ_CAPEX",IQ_FY-6))</f>
        <v>-650.03800000000001</v>
      </c>
      <c r="L1311" s="15">
        <f t="shared" si="348"/>
        <v>0.33236118955689697</v>
      </c>
      <c r="M1311" s="17">
        <f>IF(A1316=A1317,_xll.ciqfunctions.udf.CIQ(A1308,"IQ_TOTAL_DEBT_ISSUED",IQ_FY-7), _xll.ciqfunctions.udf.CIQ(A1308, "IQ_TOTAL_DEBT_ISSUED",IQ_FY-6))</f>
        <v>220.131</v>
      </c>
      <c r="N1311" s="17">
        <f>IF(A1316=A1317,_xll.ciqfunctions.udf.CIQ(A1308,"IQ_TOTAL_DEBT_REPAID",IQ_FY-7), _xll.ciqfunctions.udf.CIQ(A1308, "IQ_TOTAL_DEBT_REPAID",IQ_FY-6))</f>
        <v>-339.12099999999998</v>
      </c>
      <c r="O1311" s="15">
        <f t="shared" si="349"/>
        <v>-0.49830726709055928</v>
      </c>
      <c r="P1311" s="15">
        <f t="shared" si="350"/>
        <v>-0.16594607753366231</v>
      </c>
      <c r="Q1311" s="25" t="s">
        <v>23</v>
      </c>
      <c r="R1311" s="38" t="s">
        <v>24</v>
      </c>
      <c r="S1311" s="1" t="e">
        <f>R1307/(AVERAGE(H1313:H1318)*(1+H1319)/(0.5-H1319))</f>
        <v>#DIV/0!</v>
      </c>
      <c r="U1311" s="25" t="s">
        <v>40</v>
      </c>
      <c r="V1311" s="38" t="s">
        <v>24</v>
      </c>
      <c r="W1311" s="1" t="e">
        <f>V1307/(AVERAGE(H1313:H1318)*(1+H1319)/(0.5-H1319))</f>
        <v>#DIV/0!</v>
      </c>
      <c r="Y1311" s="25" t="s">
        <v>47</v>
      </c>
      <c r="Z1311" s="38" t="s">
        <v>24</v>
      </c>
      <c r="AA1311" s="1" t="e">
        <f>Z1307/(AVERAGE(H1313:H1318)*(1+H1319)/(0.5-H1319))</f>
        <v>#DIV/0!</v>
      </c>
    </row>
    <row r="1312" spans="1:27">
      <c r="B1312" s="13">
        <v>5</v>
      </c>
      <c r="C1312" s="14" t="s">
        <v>25</v>
      </c>
      <c r="D1312" s="15" cm="1">
        <f t="array" ref="D1312">_xlfn.SINGLE(IF(A1316=A1317,_xll.ciqfunctions.udf.CIQ(A1308,"IQ_TOTAL_REV",IQ_FY-6)/I1312, _xll.ciqfunctions.udf.CIQ(A1308, "IQ_TOTAL_REV",IQ_FY-5)/I1312))</f>
        <v>17.575189045728994</v>
      </c>
      <c r="E1312" s="16">
        <f t="shared" si="351"/>
        <v>6.8460485033677021E-2</v>
      </c>
      <c r="F1312" s="15">
        <f>IF(A1316=A1317,_xll.ciqfunctions.udf.CIQ(A1308,"IQ_DILUT_EPS_EXCL",IQ_FY-6), _xll.ciqfunctions.udf.CIQ(A1308, "IQ_DILUT_EPS_EXCL",IQ_FY-5))</f>
        <v>1.1000000000000001</v>
      </c>
      <c r="G1312" s="15">
        <f>IF(A1316=A1317,_xll.ciqfunctions.udf.CIQ(A1308,"IQ_EBITDA_MARGIN",IQ_FY-6), _xll.ciqfunctions.udf.CIQ(A1308, "IQ_EBITDA_MARGIN",IQ_FY-5))</f>
        <v>20.910799999999998</v>
      </c>
      <c r="H1312" s="15">
        <f>IF(A1316=A1317,_xll.ciqfunctions.udf.CIQ(A1308,"IQ_TOTAL_DIV_PAID_CF",IQ_FY-6)/-I1312, _xll.ciqfunctions.udf.CIQ(A1308, "IQ_TOTAL_DIV_PAID_CF",IQ_FY-5)/-I1312)</f>
        <v>0</v>
      </c>
      <c r="I1312" s="17">
        <f>IF(A1316=A1317,_xll.ciqfunctions.udf.CIQ(A1308,"IQ_TOTAL_OUTSTANDING_FILING_DATE",IQ_FY-6), _xll.ciqfunctions.udf.CIQ(A1308, "IQ_TOTAL_OUTSTANDING_FILING_DATE",IQ_FY-5))</f>
        <v>239.3733</v>
      </c>
      <c r="J1312" s="17">
        <f>IF(A1316=A1317,_xll.ciqfunctions.udf.CIQ(A1308,"IQ_CASH_OPER",IQ_FY-6), _xll.ciqfunctions.udf.CIQ(A1308, "IQ_CASH_OPER",IQ_FY-5))</f>
        <v>618.26700000000005</v>
      </c>
      <c r="K1312" s="17">
        <f>IF(A1316=A1317,_xll.ciqfunctions.udf.CIQ(A1308,"IQ_CAPEX",IQ_FY-6), _xll.ciqfunctions.udf.CIQ(A1308, "IQ_CAPEX",IQ_FY-5))</f>
        <v>-550.94299999999998</v>
      </c>
      <c r="L1312" s="15">
        <f t="shared" si="348"/>
        <v>0.28125108355860939</v>
      </c>
      <c r="M1312" s="17">
        <f>IF(A1316=A1317,_xll.ciqfunctions.udf.CIQ(A1308,"IQ_TOTAL_DEBT_ISSUED",IQ_FY-6), _xll.ciqfunctions.udf.CIQ(A1308, "IQ_TOTAL_DEBT_ISSUED",IQ_FY-5))</f>
        <v>376.75700000000001</v>
      </c>
      <c r="N1312" s="17">
        <f>IF(A1316=A1317,_xll.ciqfunctions.udf.CIQ(A1308,"IQ_TOTAL_DEBT_REPAID",IQ_FY-6), _xll.ciqfunctions.udf.CIQ(A1308, "IQ_TOTAL_DEBT_REPAID",IQ_FY-5))</f>
        <v>-498.68200000000002</v>
      </c>
      <c r="O1312" s="15">
        <f t="shared" si="349"/>
        <v>-0.50935087580778649</v>
      </c>
      <c r="P1312" s="15">
        <f t="shared" si="350"/>
        <v>-0.22809979224917709</v>
      </c>
      <c r="Q1312" s="18"/>
      <c r="R1312" s="38" t="s">
        <v>50</v>
      </c>
      <c r="S1312" s="3">
        <f>I1319</f>
        <v>5.1195078925103665E-3</v>
      </c>
      <c r="U1312" s="18"/>
      <c r="V1312" s="38" t="s">
        <v>50</v>
      </c>
      <c r="W1312" s="3">
        <f>I1319</f>
        <v>5.1195078925103665E-3</v>
      </c>
      <c r="Y1312" s="18"/>
      <c r="Z1312" s="38" t="s">
        <v>50</v>
      </c>
      <c r="AA1312" s="3">
        <f>I1319</f>
        <v>5.1195078925103665E-3</v>
      </c>
    </row>
    <row r="1313" spans="1:27">
      <c r="B1313" s="13">
        <v>6</v>
      </c>
      <c r="C1313" s="14" t="s">
        <v>26</v>
      </c>
      <c r="D1313" s="15" cm="1">
        <f t="array" ref="D1313">_xlfn.SINGLE(IF(A1316=A1317,_xll.ciqfunctions.udf.CIQ(A1308,"IQ_TOTAL_REV",IQ_FY-5)/I1313, _xll.ciqfunctions.udf.CIQ(A1308, "IQ_TOTAL_REV",IQ_FY-4)/I1313))</f>
        <v>18.017366181339739</v>
      </c>
      <c r="E1313" s="16">
        <f t="shared" si="351"/>
        <v>2.5159168101136293E-2</v>
      </c>
      <c r="F1313" s="15">
        <f>IF(A1316=A1317,_xll.ciqfunctions.udf.CIQ(A1308,"IQ_DILUT_EPS_EXCL",IQ_FY-5), _xll.ciqfunctions.udf.CIQ(A1308, "IQ_DILUT_EPS_EXCL",IQ_FY-4))</f>
        <v>0.53</v>
      </c>
      <c r="G1313" s="15">
        <f>IF(A1316=A1317,_xll.ciqfunctions.udf.CIQ(A1308,"IQ_EBITDA_MARGIN",IQ_FY-5), _xll.ciqfunctions.udf.CIQ(A1308, "IQ_EBITDA_MARGIN",IQ_FY-4))</f>
        <v>19.252300000000002</v>
      </c>
      <c r="H1313" s="15">
        <f>IF(A1316=A1317,_xll.ciqfunctions.udf.CIQ(A1308,"IQ_TOTAL_DIV_PAID_CF",IQ_FY-5)/-I1313, _xll.ciqfunctions.udf.CIQ(A1308, "IQ_TOTAL_DIV_PAID_CF",IQ_FY-4)/-I1313)</f>
        <v>0</v>
      </c>
      <c r="I1313" s="17">
        <f>IF(A1316=A1317,_xll.ciqfunctions.udf.CIQ(A1308,"IQ_TOTAL_OUTSTANDING_FILING_DATE",IQ_FY-5), _xll.ciqfunctions.udf.CIQ(A1308, "IQ_TOTAL_OUTSTANDING_FILING_DATE",IQ_FY-4))</f>
        <v>239.57253</v>
      </c>
      <c r="J1313" s="17">
        <f>IF(A1316=A1317,_xll.ciqfunctions.udf.CIQ(A1308,"IQ_CASH_OPER",IQ_FY-5), _xll.ciqfunctions.udf.CIQ(A1308, "IQ_CASH_OPER",IQ_FY-4))</f>
        <v>663.41</v>
      </c>
      <c r="K1313" s="17">
        <f>IF(A1316=A1317,_xll.ciqfunctions.udf.CIQ(A1308,"IQ_CAPEX",IQ_FY-5), _xll.ciqfunctions.udf.CIQ(A1308, "IQ_CAPEX",IQ_FY-4))</f>
        <v>-547.12199999999996</v>
      </c>
      <c r="L1313" s="15">
        <f t="shared" si="348"/>
        <v>0.48539788764596681</v>
      </c>
      <c r="M1313" s="17">
        <f>IF(A1316=A1317,_xll.ciqfunctions.udf.CIQ(A1308,"IQ_TOTAL_DEBT_ISSUED",IQ_FY-5), _xll.ciqfunctions.udf.CIQ(A1308, "IQ_TOTAL_DEBT_ISSUED",IQ_FY-4))</f>
        <v>619.56700000000001</v>
      </c>
      <c r="N1313" s="17">
        <f>IF(A1316=A1317,_xll.ciqfunctions.udf.CIQ(A1308,"IQ_TOTAL_DEBT_REPAID",IQ_FY-5), _xll.ciqfunctions.udf.CIQ(A1308, "IQ_TOTAL_DEBT_REPAID",IQ_FY-4))</f>
        <v>-661.29899999999998</v>
      </c>
      <c r="O1313" s="15">
        <f t="shared" si="349"/>
        <v>-0.17419359389826525</v>
      </c>
      <c r="P1313" s="15">
        <f t="shared" si="350"/>
        <v>0.31120429374770153</v>
      </c>
      <c r="Q1313" s="25" t="s">
        <v>27</v>
      </c>
      <c r="R1313" s="38" t="s">
        <v>51</v>
      </c>
      <c r="S1313" s="4">
        <f>AVERAGE(F1313:F1318)/AVERAGE(D1313:D1318)</f>
        <v>7.1701390052295921E-2</v>
      </c>
      <c r="U1313" s="25" t="s">
        <v>58</v>
      </c>
      <c r="V1313" s="38" t="s">
        <v>51</v>
      </c>
      <c r="W1313" s="4">
        <f>AVERAGE(F1313:F1318)/AVERAGE(D1313:D1318)</f>
        <v>7.1701390052295921E-2</v>
      </c>
      <c r="Y1313" s="25" t="s">
        <v>56</v>
      </c>
      <c r="Z1313" s="38" t="s">
        <v>51</v>
      </c>
      <c r="AA1313" s="4">
        <f>AVERAGE(F1313:F1318)/AVERAGE(D1313:D1318)</f>
        <v>7.1701390052295921E-2</v>
      </c>
    </row>
    <row r="1314" spans="1:27">
      <c r="A1314" s="18"/>
      <c r="B1314" s="13">
        <v>7</v>
      </c>
      <c r="C1314" s="14" t="s">
        <v>28</v>
      </c>
      <c r="D1314" s="15" cm="1">
        <f t="array" ref="D1314">_xlfn.SINGLE(IF(A1316=A1317,_xll.ciqfunctions.udf.CIQ(A1308,"IQ_TOTAL_REV",IQ_FY-4)/I1314, _xll.ciqfunctions.udf.CIQ(A1308, "IQ_TOTAL_REV",IQ_FY-3)/I1314))</f>
        <v>16.812069262414926</v>
      </c>
      <c r="E1314" s="16">
        <f t="shared" si="351"/>
        <v>-6.6896399107052432E-2</v>
      </c>
      <c r="F1314" s="15">
        <f>IF(A1316=A1317,_xll.ciqfunctions.udf.CIQ(A1308,"IQ_DILUT_EPS_EXCL",IQ_FY-4), _xll.ciqfunctions.udf.CIQ(A1308, "IQ_DILUT_EPS_EXCL",IQ_FY-3))</f>
        <v>0.5</v>
      </c>
      <c r="G1314" s="15">
        <f>IF(A1316=A1317,_xll.ciqfunctions.udf.CIQ(A1308,"IQ_EBITDA_MARGIN",IQ_FY-4), _xll.ciqfunctions.udf.CIQ(A1308, "IQ_EBITDA_MARGIN",IQ_FY-3))</f>
        <v>18.7257</v>
      </c>
      <c r="H1314" s="15">
        <f>IF(A1316=A1317,_xll.ciqfunctions.udf.CIQ(A1308,"IQ_TOTAL_DIV_PAID_CF",IQ_FY-4)/-I1314, _xll.ciqfunctions.udf.CIQ(A1308, "IQ_TOTAL_DIV_PAID_CF",IQ_FY-3)/-I1314)</f>
        <v>0</v>
      </c>
      <c r="I1314" s="17">
        <f>IF(A1316=A1317,_xll.ciqfunctions.udf.CIQ(A1308,"IQ_TOTAL_OUTSTANDING_FILING_DATE",IQ_FY-4), _xll.ciqfunctions.udf.CIQ(A1308, "IQ_TOTAL_OUTSTANDING_FILING_DATE",IQ_FY-3))</f>
        <v>241.05599000000001</v>
      </c>
      <c r="J1314" s="17">
        <f>IF(A1316=A1317,_xll.ciqfunctions.udf.CIQ(A1308,"IQ_CASH_OPER",IQ_FY-4), _xll.ciqfunctions.udf.CIQ(A1308, "IQ_CASH_OPER",IQ_FY-3))</f>
        <v>563.85</v>
      </c>
      <c r="K1314" s="17">
        <f>IF(A1316=A1317,_xll.ciqfunctions.udf.CIQ(A1308,"IQ_CAPEX",IQ_FY-4), _xll.ciqfunctions.udf.CIQ(A1308, "IQ_CAPEX",IQ_FY-3))</f>
        <v>-472.43299999999999</v>
      </c>
      <c r="L1314" s="15">
        <f t="shared" si="348"/>
        <v>0.37923554606545984</v>
      </c>
      <c r="M1314" s="17">
        <f>IF(A1316=A1317,_xll.ciqfunctions.udf.CIQ(A1308,"IQ_TOTAL_DEBT_ISSUED",IQ_FY-4), _xll.ciqfunctions.udf.CIQ(A1308, "IQ_TOTAL_DEBT_ISSUED",IQ_FY-3))</f>
        <v>1299.7090000000001</v>
      </c>
      <c r="N1314" s="17">
        <f>IF(A1316=A1317,_xll.ciqfunctions.udf.CIQ(A1308,"IQ_TOTAL_DEBT_REPAID",IQ_FY-4), _xll.ciqfunctions.udf.CIQ(A1308, "IQ_TOTAL_DEBT_REPAID",IQ_FY-3))</f>
        <v>-1194.836</v>
      </c>
      <c r="O1314" s="15">
        <f t="shared" si="349"/>
        <v>0.43505660241008759</v>
      </c>
      <c r="P1314" s="15">
        <f t="shared" si="350"/>
        <v>0.81429214847554743</v>
      </c>
      <c r="Q1314" s="18"/>
      <c r="R1314" s="38" t="s">
        <v>29</v>
      </c>
      <c r="S1314" s="4">
        <f>(AVERAGE(P1313:P1318)/_xlfn.STDEV.P(P1313:P1318))/(IF(A1316=A1317,(_xlfn.SINGLE(_xll.ciqfunctions.udf.CIQ(A1308,"IQ_total_assets",IQ_FY)) - _xlfn.SINGLE(_xll.ciqfunctions.udf.CIQ(A1308,"iq_gw_intan", IQ_FY)))/I1318, (_xlfn.SINGLE(_xll.ciqfunctions.udf.CIQ(A1308, "IQ_total_assets",IQ_LTM))-_xlfn.SINGLE(_xll.ciqfunctions.udf.CIQ(A1308,"iq_gw_intan",IQ_LTM)))/I1318))</f>
        <v>4.0274478210900029E-2</v>
      </c>
      <c r="U1314" s="18"/>
      <c r="V1314" s="38" t="s">
        <v>29</v>
      </c>
      <c r="W1314" s="4">
        <f>(AVERAGE(P1313:P1318)/_xlfn.STDEV.P(P1313:P1318))/(IF(A1316=A1317,(_xlfn.SINGLE(_xll.ciqfunctions.udf.CIQ(A1308,"IQ_total_assets",IQ_FY)) - _xlfn.SINGLE(_xll.ciqfunctions.udf.CIQ(A1308,"iq_gw_intan", IQ_FY)))/I1318, (_xlfn.SINGLE(_xll.ciqfunctions.udf.CIQ(A1308, "IQ_total_assets",IQ_LTM))-_xlfn.SINGLE(_xll.ciqfunctions.udf.CIQ(A1308,"iq_gw_intan",IQ_LTM)))/I1318))</f>
        <v>4.0274478210900029E-2</v>
      </c>
      <c r="Y1314" s="18"/>
      <c r="Z1314" s="38" t="s">
        <v>29</v>
      </c>
      <c r="AA1314" s="4">
        <f>(AVERAGE(P1313:P1318)/_xlfn.STDEV.P(P1313:P1318))/(IF(A1316=A1317,(_xlfn.SINGLE(_xll.ciqfunctions.udf.CIQ(A1308,"IQ_total_assets",IQ_FY)) - _xlfn.SINGLE(_xll.ciqfunctions.udf.CIQ(A1308,"iq_gw_intan", IQ_FY)))/I1318, (_xlfn.SINGLE(_xll.ciqfunctions.udf.CIQ(A1308, "IQ_total_assets",IQ_LTM))-_xlfn.SINGLE(_xll.ciqfunctions.udf.CIQ(A1308,"iq_gw_intan",IQ_LTM)))/I1318))</f>
        <v>4.0274478210900029E-2</v>
      </c>
    </row>
    <row r="1315" spans="1:27">
      <c r="A1315" s="18"/>
      <c r="B1315" s="13">
        <v>8</v>
      </c>
      <c r="C1315" s="14" t="s">
        <v>30</v>
      </c>
      <c r="D1315" s="15" cm="1">
        <f t="array" ref="D1315">_xlfn.SINGLE(IF(A1316=A1317,_xll.ciqfunctions.udf.CIQ(A1308,"IQ_TOTAL_REV",IQ_FY-3)/I1315, _xll.ciqfunctions.udf.CIQ(A1308, "IQ_TOTAL_REV",IQ_FY-2)/I1315))</f>
        <v>20.755130717212431</v>
      </c>
      <c r="E1315" s="16">
        <f t="shared" si="351"/>
        <v>0.23453754521536593</v>
      </c>
      <c r="F1315" s="15">
        <f>IF(A1316=A1317,_xll.ciqfunctions.udf.CIQ(A1308,"IQ_DILUT_EPS_EXCL",IQ_FY-3), _xll.ciqfunctions.udf.CIQ(A1308, "IQ_DILUT_EPS_EXCL",IQ_FY-2))</f>
        <v>1.4</v>
      </c>
      <c r="G1315" s="15">
        <f>IF(A1316=A1317,_xll.ciqfunctions.udf.CIQ(A1308,"IQ_EBITDA_MARGIN",IQ_FY-3), _xll.ciqfunctions.udf.CIQ(A1308, "IQ_EBITDA_MARGIN",IQ_FY-2))</f>
        <v>19.526299999999999</v>
      </c>
      <c r="H1315" s="15">
        <f>IF(A1316=A1317,_xll.ciqfunctions.udf.CIQ(A1308,"IQ_TOTAL_DIV_PAID_CF",IQ_FY-3)/-I1315, _xll.ciqfunctions.udf.CIQ(A1308, "IQ_TOTAL_DIV_PAID_CF",IQ_FY-2)/-I1315)</f>
        <v>0</v>
      </c>
      <c r="I1315" s="17">
        <f>IF(A1316=A1317,_xll.ciqfunctions.udf.CIQ(A1308,"IQ_TOTAL_OUTSTANDING_FILING_DATE",IQ_FY-3), _xll.ciqfunctions.udf.CIQ(A1308, "IQ_TOTAL_OUTSTANDING_FILING_DATE",IQ_FY-2))</f>
        <v>243.34171000000001</v>
      </c>
      <c r="J1315" s="17">
        <f>IF(A1316=A1317,_xll.ciqfunctions.udf.CIQ(A1308,"IQ_CASH_OPER",IQ_FY-3), _xll.ciqfunctions.udf.CIQ(A1308, "IQ_CASH_OPER",IQ_FY-2))</f>
        <v>770.03300000000002</v>
      </c>
      <c r="K1315" s="17">
        <f>IF(A1316=A1317,_xll.ciqfunctions.udf.CIQ(A1308,"IQ_CAPEX",IQ_FY-3), _xll.ciqfunctions.udf.CIQ(A1308, "IQ_CAPEX",IQ_FY-2))</f>
        <v>-553.02099999999996</v>
      </c>
      <c r="L1315" s="15">
        <f t="shared" si="348"/>
        <v>0.89179943709609033</v>
      </c>
      <c r="M1315" s="17">
        <f>IF(A1316=A1317,_xll.ciqfunctions.udf.CIQ(A1308,"IQ_TOTAL_DEBT_ISSUED",IQ_FY-3), _xll.ciqfunctions.udf.CIQ(A1308, "IQ_TOTAL_DEBT_ISSUED",IQ_FY-2))</f>
        <v>729.80200000000002</v>
      </c>
      <c r="N1315" s="17">
        <f>IF(A1316=A1317,_xll.ciqfunctions.udf.CIQ(A1308,"IQ_TOTAL_DEBT_REPAID",IQ_FY-3), _xll.ciqfunctions.udf.CIQ(A1308, "IQ_TOTAL_DEBT_REPAID",IQ_FY-2))</f>
        <v>-1077.7180000000001</v>
      </c>
      <c r="O1315" s="15">
        <f t="shared" si="349"/>
        <v>-1.4297425624238445</v>
      </c>
      <c r="P1315" s="15">
        <f t="shared" si="350"/>
        <v>-0.53794312532775412</v>
      </c>
      <c r="Q1315" s="18"/>
      <c r="R1315" s="39" t="s">
        <v>31</v>
      </c>
      <c r="S1315" s="5">
        <f>IF(NOT(D1308&gt;0),FALSE,SLOPE(G1308:G1318,B1308:B1318))</f>
        <v>-0.41391363636363626</v>
      </c>
      <c r="U1315" s="18"/>
      <c r="V1315" s="39" t="s">
        <v>31</v>
      </c>
      <c r="W1315" s="5">
        <f>IF(NOT(D1308&gt;0),FALSE,SLOPE(G1308:G1318,B1308:B1318))</f>
        <v>-0.41391363636363626</v>
      </c>
      <c r="Y1315" s="18"/>
      <c r="Z1315" s="39" t="s">
        <v>31</v>
      </c>
      <c r="AA1315" s="5" t="b">
        <f>IF(NOT(L1308&gt;0),FALSE,SLOPE(O1308:O1318,J1308:J1318))</f>
        <v>0</v>
      </c>
    </row>
    <row r="1316" spans="1:27">
      <c r="A1316" s="19">
        <f>_xll.ciqfunctions.udf.CIQ(A1308,"IQ_TOTAL_REV",IQ_FY)</f>
        <v>7091.585</v>
      </c>
      <c r="B1316" s="13">
        <v>9</v>
      </c>
      <c r="C1316" s="14" t="s">
        <v>32</v>
      </c>
      <c r="D1316" s="15" cm="1">
        <f t="array" ref="D1316">_xlfn.SINGLE(IF(A1316=A1317,_xll.ciqfunctions.udf.CIQ(A1308,"IQ_TOTAL_REV",IQ_FY-2)/I1316, _xll.ciqfunctions.udf.CIQ(A1308, "IQ_TOTAL_REV",IQ_FY-1)/I1316))</f>
        <v>25.093990107087706</v>
      </c>
      <c r="E1316" s="16">
        <f t="shared" si="351"/>
        <v>0.20904996692104744</v>
      </c>
      <c r="F1316" s="15">
        <f>IF(A1316=A1317,_xll.ciqfunctions.udf.CIQ(A1308,"IQ_DILUT_EPS_EXCL",IQ_FY-2), _xll.ciqfunctions.udf.CIQ(A1308, "IQ_DILUT_EPS_EXCL",IQ_FY-1))</f>
        <v>2.62</v>
      </c>
      <c r="G1316" s="15">
        <f>IF(A1316=A1317,_xll.ciqfunctions.udf.CIQ(A1308,"IQ_EBITDA_MARGIN",IQ_FY-2), _xll.ciqfunctions.udf.CIQ(A1308, "IQ_EBITDA_MARGIN",IQ_FY-1))</f>
        <v>21.675599999999999</v>
      </c>
      <c r="H1316" s="15">
        <f>IF(A1316=A1317,_xll.ciqfunctions.udf.CIQ(A1308,"IQ_TOTAL_DIV_PAID_CF",IQ_FY-2)/-I1316, _xll.ciqfunctions.udf.CIQ(A1308, "IQ_TOTAL_DIV_PAID_CF",IQ_FY-1)/-I1316)</f>
        <v>0.20936292521210298</v>
      </c>
      <c r="I1316" s="17">
        <f>IF(A1316=A1317,_xll.ciqfunctions.udf.CIQ(A1308,"IQ_TOTAL_OUTSTANDING_FILING_DATE",IQ_FY-2), _xll.ciqfunctions.udf.CIQ(A1308, "IQ_TOTAL_OUTSTANDING_FILING_DATE",IQ_FY-1))</f>
        <v>244.61350999999999</v>
      </c>
      <c r="J1316" s="17">
        <f>IF(A1316=A1317,_xll.ciqfunctions.udf.CIQ(A1308,"IQ_CASH_OPER",IQ_FY-2), _xll.ciqfunctions.udf.CIQ(A1308, "IQ_CASH_OPER",IQ_FY-1))</f>
        <v>1121.2950000000001</v>
      </c>
      <c r="K1316" s="17">
        <f>IF(A1316=A1317,_xll.ciqfunctions.udf.CIQ(A1308,"IQ_CAPEX",IQ_FY-2), _xll.ciqfunctions.udf.CIQ(A1308, "IQ_CAPEX",IQ_FY-1))</f>
        <v>-779.779</v>
      </c>
      <c r="L1316" s="15">
        <f t="shared" si="348"/>
        <v>1.3961452905851361</v>
      </c>
      <c r="M1316" s="17">
        <f>IF(A1316=A1317,_xll.ciqfunctions.udf.CIQ(A1308,"IQ_TOTAL_DEBT_ISSUED",IQ_FY-2), _xll.ciqfunctions.udf.CIQ(A1308, "IQ_TOTAL_DEBT_ISSUED",IQ_FY-1))</f>
        <v>369.101</v>
      </c>
      <c r="N1316" s="17">
        <f>IF(A1316=A1317,_xll.ciqfunctions.udf.CIQ(A1308,"IQ_TOTAL_DEBT_REPAID",IQ_FY-2), _xll.ciqfunctions.udf.CIQ(A1308, "IQ_TOTAL_DEBT_REPAID",IQ_FY-1))</f>
        <v>-356.935</v>
      </c>
      <c r="O1316" s="15">
        <f t="shared" si="349"/>
        <v>4.9735601275661338E-2</v>
      </c>
      <c r="P1316" s="15">
        <f t="shared" si="350"/>
        <v>1.4458808918607975</v>
      </c>
      <c r="Q1316" s="25" t="s">
        <v>33</v>
      </c>
      <c r="R1316" s="38" t="s">
        <v>52</v>
      </c>
      <c r="S1316" s="4">
        <f>(AVERAGE(O1313:O1318)/AVERAGE(P1313:P1318))</f>
        <v>-0.21428506185916027</v>
      </c>
      <c r="U1316" s="25" t="s">
        <v>54</v>
      </c>
      <c r="V1316" s="38" t="s">
        <v>52</v>
      </c>
      <c r="W1316" s="4">
        <f>(AVERAGE(O1313:O1318)/AVERAGE(P1313:P1318))</f>
        <v>-0.21428506185916027</v>
      </c>
      <c r="Y1316" s="25" t="s">
        <v>60</v>
      </c>
      <c r="Z1316" s="38" t="s">
        <v>52</v>
      </c>
      <c r="AA1316" s="4">
        <f>(AVERAGE(O1313:O1318)/AVERAGE(P1313:P1318))</f>
        <v>-0.21428506185916027</v>
      </c>
    </row>
    <row r="1317" spans="1:27">
      <c r="A1317" s="19">
        <f>_xll.ciqfunctions.udf.CIQ(A1308,"IQ_TOTAL_REV",IQ_LTM)</f>
        <v>6657.4639999999999</v>
      </c>
      <c r="B1317" s="13">
        <v>10</v>
      </c>
      <c r="C1317" s="14" t="s">
        <v>34</v>
      </c>
      <c r="D1317" s="15" cm="1">
        <f t="array" ref="D1317">_xlfn.SINGLE(IF(A1316=A1317,_xll.ciqfunctions.udf.CIQ(A1308,"IQ_TOTAL_REV",IQ_FY-1)/I1317, _xll.ciqfunctions.udf.CIQ(A1308, "IQ_TOTAL_REV",IQ_FY)/I1317))</f>
        <v>28.911708496173357</v>
      </c>
      <c r="E1317" s="16">
        <f t="shared" si="351"/>
        <v>0.15213676154304975</v>
      </c>
      <c r="F1317" s="15">
        <f>IF(A1316=A1317,_xll.ciqfunctions.udf.CIQ(A1308,"IQ_DILUT_EPS_EXCL",IQ_FY-1), _xll.ciqfunctions.udf.CIQ(A1308, "IQ_DILUT_EPS_EXCL",IQ_FY))</f>
        <v>3.11</v>
      </c>
      <c r="G1317" s="15">
        <f>IF(A1316=A1317,_xll.ciqfunctions.udf.CIQ(A1308,"IQ_EBITDA_MARGIN",IQ_FY-1), _xll.ciqfunctions.udf.CIQ(A1308, "IQ_EBITDA_MARGIN",IQ_FY))</f>
        <v>21.302800000000001</v>
      </c>
      <c r="H1317" s="15">
        <f>IF(A1316=A1317,_xll.ciqfunctions.udf.CIQ(A1308,"IQ_TOTAL_DIV_PAID_CF",IQ_FY-1)/-I1317, _xll.ciqfunctions.udf.CIQ(A1308, "IQ_TOTAL_DIV_PAID_CF",IQ_FY)/-I1317)</f>
        <v>0.22470261943910858</v>
      </c>
      <c r="I1317" s="17">
        <f>IF(A1316=A1317,_xll.ciqfunctions.udf.CIQ(A1308,"IQ_TOTAL_OUTSTANDING_FILING_DATE",IQ_FY-1), _xll.ciqfunctions.udf.CIQ(A1308, "IQ_TOTAL_OUTSTANDING_FILING_DATE",IQ_FY))</f>
        <v>245.28419</v>
      </c>
      <c r="J1317" s="17">
        <f>IF(A1316=A1317,_xll.ciqfunctions.udf.CIQ(A1308,"IQ_CASH_OPER",IQ_FY-1), _xll.ciqfunctions.udf.CIQ(A1308, "IQ_CASH_OPER",IQ_FY))</f>
        <v>1098.7560000000001</v>
      </c>
      <c r="K1317" s="17">
        <f>IF(A1316=A1317,_xll.ciqfunctions.udf.CIQ(A1308,"IQ_CAPEX",IQ_FY-1), _xll.ciqfunctions.udf.CIQ(A1308, "IQ_CAPEX",IQ_FY))</f>
        <v>-908.29399999999998</v>
      </c>
      <c r="L1317" s="15">
        <f t="shared" si="348"/>
        <v>0.77649521561092094</v>
      </c>
      <c r="M1317" s="17">
        <f>IF(A1316=A1317,_xll.ciqfunctions.udf.CIQ(A1308,"IQ_TOTAL_DEBT_ISSUED",IQ_FY-1), _xll.ciqfunctions.udf.CIQ(A1308, "IQ_TOTAL_DEBT_ISSUED",IQ_FY))</f>
        <v>476.09699999999998</v>
      </c>
      <c r="N1317" s="17">
        <f>IF(A1316=A1317,_xll.ciqfunctions.udf.CIQ(A1308,"IQ_TOTAL_DEBT_REPAID",IQ_FY-1), _xll.ciqfunctions.udf.CIQ(A1308, "IQ_TOTAL_DEBT_REPAID",IQ_FY))</f>
        <v>-362.15</v>
      </c>
      <c r="O1317" s="15">
        <f t="shared" si="349"/>
        <v>0.46455093579410889</v>
      </c>
      <c r="P1317" s="15">
        <f t="shared" si="350"/>
        <v>1.2410461514050297</v>
      </c>
      <c r="Q1317" s="25" t="s">
        <v>44</v>
      </c>
      <c r="R1317" s="38" t="s">
        <v>35</v>
      </c>
      <c r="S1317" s="1">
        <f>_xll.ciqfunctions.udf.CIQ(A1308,"IQ_TEV_EBITDA")</f>
        <v>5.4781500000000003</v>
      </c>
      <c r="U1317" s="25" t="s">
        <v>55</v>
      </c>
      <c r="V1317" s="38" t="s">
        <v>53</v>
      </c>
      <c r="W1317" s="1">
        <f>V1307/(AVERAGE(D1313:D1318)/_xlfn.STDEV.P(E1313:E1318))</f>
        <v>0.15134804314440603</v>
      </c>
      <c r="Y1317" s="25" t="s">
        <v>57</v>
      </c>
      <c r="Z1317" s="38" t="s">
        <v>53</v>
      </c>
      <c r="AA1317" s="1">
        <f>Z1307/(AVERAGE(D1313:D1318)/_xlfn.STDEV.P(E1313:E1318))</f>
        <v>0.15134804314440603</v>
      </c>
    </row>
    <row r="1318" spans="1:27">
      <c r="B1318" s="13">
        <v>11</v>
      </c>
      <c r="C1318" s="20" t="s">
        <v>36</v>
      </c>
      <c r="D1318" s="21" cm="1">
        <f t="array" ref="D1318">_xlfn.SINGLE(IF(A1316=A1317,_xll.ciqfunctions.udf.CIQ(A1308,"IQ_TOTAL_REV",IQ_FY)/I1318, _xll.ciqfunctions.udf.CIQ(A1308, "IQ_TOTAL_REV",IQ_LTM)/I1318))</f>
        <v>27.088396456318112</v>
      </c>
      <c r="E1318" s="22">
        <f t="shared" si="351"/>
        <v>-6.3064832024595591E-2</v>
      </c>
      <c r="F1318" s="21">
        <f>IF(A1316=A1317,_xll.ciqfunctions.udf.CIQ(A1308,"IQ_DILUT_EPS_EXCL",IQ_FY), _xll.ciqfunctions.udf.CIQ(A1308, "IQ_DILUT_EPS_EXCL",IQ_LTM))</f>
        <v>1.64005</v>
      </c>
      <c r="G1318" s="21">
        <f>IF(A1316=A1317,_xll.ciqfunctions.udf.CIQ(A1308,"IQ_EBITDA_MARGIN",IQ_FY), _xll.ciqfunctions.udf.CIQ(A1308, "IQ_EBITDA_MARGIN",IQ_LTM))</f>
        <v>17.5107</v>
      </c>
      <c r="H1318" s="21">
        <f>IF(A1316=A1317,_xll.ciqfunctions.udf.CIQ(A1308,"IQ_TOTAL_DIV_PAID_CF",IQ_FY)/-I1318, _xll.ciqfunctions.udf.CIQ(A1308, "IQ_TOTAL_DIV_PAID_CF",IQ_LTM)/-I1318)</f>
        <v>0.29995348053903331</v>
      </c>
      <c r="I1318" s="23">
        <f>IF(A1316=A1317,_xll.ciqfunctions.udf.CIQ(A1308,"IQ_TOTAL_OUTSTANDING_FILING_DATE",IQ_FY),_xll.ciqfunctions.udf.CIQ(A1308,"IQ_sharesoutstanding"))</f>
        <v>245.76811000000001</v>
      </c>
      <c r="J1318" s="23">
        <f>IF(A1316=A1317,_xll.ciqfunctions.udf.CIQ(A1308,"IQ_CASH_OPER",IQ_FY), _xll.ciqfunctions.udf.CIQ(A1308, "IQ_CASH_OPER",IQ_LTM))</f>
        <v>1249.1790000000001</v>
      </c>
      <c r="K1318" s="23">
        <f>IF(A1316=A1317,_xll.ciqfunctions.udf.CIQ(A1308,"IQ_CAPEX",IQ_FY), _xll.ciqfunctions.udf.CIQ(A1308, "IQ_CAPEX",IQ_LTM))</f>
        <v>-844.44600000000003</v>
      </c>
      <c r="L1318" s="21">
        <f t="shared" si="348"/>
        <v>1.6468084488260093</v>
      </c>
      <c r="M1318" s="23">
        <f>IF(A1316=A1317,_xll.ciqfunctions.udf.CIQ(A1308,"IQ_TOTAL_DEBT_ISSUED",IQ_FY), _xll.ciqfunctions.udf.CIQ(A1308, "IQ_TOTAL_DEBT_ISSUED",IQ_LTM))</f>
        <v>507.09800000000001</v>
      </c>
      <c r="N1318" s="23">
        <f>IF(A1316=A1317,_xll.ciqfunctions.udf.CIQ(A1308,"IQ_TOTAL_DEBT_REPAID",IQ_FY), _xll.ciqfunctions.udf.CIQ(A1308, "IQ_TOTAL_DEBT_REPAID",IQ_LTM))</f>
        <v>-588.04999999999995</v>
      </c>
      <c r="O1318" s="21">
        <f t="shared" si="349"/>
        <v>-0.329383661696385</v>
      </c>
      <c r="P1318" s="21">
        <f t="shared" si="350"/>
        <v>1.3174247871296243</v>
      </c>
      <c r="Q1318" s="25" t="s">
        <v>45</v>
      </c>
      <c r="S1318" s="45"/>
      <c r="U1318" s="25"/>
      <c r="W1318" s="45"/>
      <c r="Y1318" s="25"/>
      <c r="AA1318" s="45"/>
    </row>
    <row r="1319" spans="1:27">
      <c r="B1319" s="24"/>
      <c r="C1319" s="25" t="s">
        <v>37</v>
      </c>
      <c r="E1319" s="26">
        <f>((D1318/D1313)^(1/5))-1</f>
        <v>8.4971670053586079E-2</v>
      </c>
      <c r="F1319" s="27">
        <f>((F1318/F1313)^(1/5))-1</f>
        <v>0.25347663711648361</v>
      </c>
      <c r="G1319" s="28"/>
      <c r="H1319" s="27" t="e">
        <f>((H1318/H1313)^(1/5))-1</f>
        <v>#DIV/0!</v>
      </c>
      <c r="I1319" s="27">
        <f>((I1318/I1313)^(1/5))-1</f>
        <v>5.1195078925103665E-3</v>
      </c>
      <c r="J1319" s="27"/>
      <c r="K1319" s="27"/>
      <c r="L1319" s="26">
        <f>((L1318/L1313)^(1/5))-1</f>
        <v>0.27675933208127534</v>
      </c>
      <c r="M1319" s="26"/>
      <c r="N1319" s="26"/>
      <c r="O1319" s="26"/>
      <c r="P1319" s="26">
        <f>((P1318/P1313)^(1/5))-1</f>
        <v>0.33455368863076074</v>
      </c>
      <c r="Q1319" s="18"/>
      <c r="R1319" s="36"/>
      <c r="S1319" s="45"/>
      <c r="U1319" s="18"/>
      <c r="V1319" s="36"/>
      <c r="W1319" s="45"/>
      <c r="Y1319" s="18"/>
      <c r="Z1319" s="36"/>
      <c r="AA1319" s="45"/>
    </row>
    <row r="1320" spans="1:27">
      <c r="A1320" s="29"/>
      <c r="B1320" s="30"/>
      <c r="C1320" s="31" t="s">
        <v>38</v>
      </c>
      <c r="D1320" s="29"/>
      <c r="E1320" s="32">
        <f>((D1318/D1308)^(1/10))-1</f>
        <v>7.1586530464337716E-2</v>
      </c>
      <c r="F1320" s="33">
        <f>((F1318/F1308)^(1/10))-1</f>
        <v>0.12566979202593953</v>
      </c>
      <c r="G1320" s="34"/>
      <c r="H1320" s="33" t="e">
        <f>((H1318/H1308)^(1/10))-1</f>
        <v>#DIV/0!</v>
      </c>
      <c r="I1320" s="33">
        <f>((I1318/I1308)^(1/10))-1</f>
        <v>1.2107359445507226E-2</v>
      </c>
      <c r="J1320" s="33"/>
      <c r="K1320" s="33"/>
      <c r="L1320" s="32" t="e">
        <f>((L1318/L1308)^(1/10))-1</f>
        <v>#NUM!</v>
      </c>
      <c r="M1320" s="32"/>
      <c r="N1320" s="32"/>
      <c r="O1320" s="32"/>
      <c r="P1320" s="32">
        <f>((P1318/P1308)^(1/10))-1</f>
        <v>4.4280986719438253E-3</v>
      </c>
      <c r="Q1320" s="40"/>
      <c r="R1320" s="41"/>
      <c r="S1320" s="46"/>
      <c r="U1320" s="40"/>
      <c r="V1320" s="41"/>
      <c r="W1320" s="46"/>
      <c r="Y1320" s="40"/>
      <c r="Z1320" s="41"/>
      <c r="AA1320" s="46"/>
    </row>
    <row r="1321" spans="1:27">
      <c r="B1321" s="24"/>
      <c r="C1321" s="25"/>
      <c r="E1321" s="26"/>
      <c r="F1321" s="27"/>
      <c r="G1321" s="28"/>
      <c r="H1321" s="27"/>
      <c r="I1321" s="27"/>
      <c r="J1321" s="27"/>
      <c r="K1321" s="27"/>
      <c r="L1321" s="26"/>
      <c r="M1321" s="17"/>
      <c r="N1321" s="17"/>
      <c r="O1321" s="17"/>
      <c r="P1321" s="35"/>
      <c r="Q1321" s="18"/>
      <c r="R1321" s="36"/>
    </row>
    <row r="1322" spans="1:27">
      <c r="A1322" s="9" t="s">
        <v>0</v>
      </c>
      <c r="B1322" s="10"/>
      <c r="C1322" s="9" t="s">
        <v>1</v>
      </c>
      <c r="D1322" s="9" t="s">
        <v>2</v>
      </c>
      <c r="E1322" s="9" t="s">
        <v>3</v>
      </c>
      <c r="F1322" s="11" t="s">
        <v>4</v>
      </c>
      <c r="G1322" s="11" t="s">
        <v>5</v>
      </c>
      <c r="H1322" s="9" t="s">
        <v>6</v>
      </c>
      <c r="I1322" s="11" t="s">
        <v>7</v>
      </c>
      <c r="J1322" s="11" t="s">
        <v>8</v>
      </c>
      <c r="K1322" s="11" t="s">
        <v>9</v>
      </c>
      <c r="L1322" s="11" t="s">
        <v>10</v>
      </c>
      <c r="M1322" s="11" t="s">
        <v>11</v>
      </c>
      <c r="N1322" s="11" t="s">
        <v>12</v>
      </c>
      <c r="O1322" s="11" t="s">
        <v>13</v>
      </c>
      <c r="P1322" s="11" t="s">
        <v>14</v>
      </c>
      <c r="Q1322" s="37" t="s">
        <v>15</v>
      </c>
      <c r="R1322" s="42">
        <f>_xll.ciqfunctions.udf.CIQ(A1323,("IQ_LASTSALEPRICE"))</f>
        <v>167.87</v>
      </c>
      <c r="S1322" s="44"/>
      <c r="U1322" s="37" t="s">
        <v>15</v>
      </c>
      <c r="V1322" s="42">
        <f>_xll.ciqfunctions.udf.CIQ(A1323,("IQ_LASTSALEPRICE"))</f>
        <v>167.87</v>
      </c>
      <c r="W1322" s="44"/>
      <c r="Y1322" s="37" t="s">
        <v>15</v>
      </c>
      <c r="Z1322" s="42">
        <f>_xll.ciqfunctions.udf.CIQ(A1323,("IQ_LASTSALEPRICE"))</f>
        <v>167.87</v>
      </c>
      <c r="AA1322" s="44"/>
    </row>
    <row r="1323" spans="1:27">
      <c r="A1323" s="12" t="str">
        <f>Analysis!B90</f>
        <v>NasdaqGS:OLED</v>
      </c>
      <c r="B1323" s="13">
        <v>1</v>
      </c>
      <c r="C1323" s="14" t="s">
        <v>16</v>
      </c>
      <c r="D1323" s="15">
        <f>IF(A1331=A1332,_xll.ciqfunctions.udf.CIQ(A1323,"IQ_TOTAL_REV",IQ_FY-10)/I1323,_xll.ciqfunctions.udf.CIQ(A1323, "IQ_TOTAL_REV",IQ_FY-9)/I1323)</f>
        <v>3.1576868795320459</v>
      </c>
      <c r="E1323" s="16"/>
      <c r="F1323" s="15">
        <f>IF(A1331=A1332,_xll.ciqfunctions.udf.CIQ(A1323,"IQ_DILUT_EPS_EXCL",IQ_FY-10), _xll.ciqfunctions.udf.CIQ(A1323, "IQ_DILUT_EPS_EXCL",IQ_FY-9))</f>
        <v>1.59</v>
      </c>
      <c r="G1323" s="15">
        <f>IF(A1331=A1332,_xll.ciqfunctions.udf.CIQ(A1323,"IQ_EBITDA_MARGIN",IQ_FY-10), _xll.ciqfunctions.udf.CIQ(A1323, "IQ_EBITDA_MARGIN",IQ_FY-9))</f>
        <v>34.9572</v>
      </c>
      <c r="H1323" s="15">
        <f>IF(A1331=A1332,_xll.ciqfunctions.udf.CIQ(A1323,"IQ_TOTAL_DIV_PAID_CF",IQ_FY-10)/-I1323, _xll.ciqfunctions.udf.CIQ(A1323, "IQ_TOTAL_DIV_PAID_CF",IQ_FY-9)/-I1323)</f>
        <v>0</v>
      </c>
      <c r="I1323" s="17">
        <f>IF(A1331=A1332,_xll.ciqfunctions.udf.CIQ(A1323,"IQ_TOTAL_OUTSTANDING_FILING_DATE",IQ_FY-10), _xll.ciqfunctions.udf.CIQ(A1323, "IQ_TOTAL_OUTSTANDING_FILING_DATE",IQ_FY-9))</f>
        <v>46.438740000000003</v>
      </c>
      <c r="J1323" s="17">
        <f>IF(A1331=A1332,_xll.ciqfunctions.udf.CIQ(A1323,"IQ_CASH_OPER",IQ_FY-10), _xll.ciqfunctions.udf.CIQ(A1323, "IQ_CASH_OPER",IQ_FY-9))</f>
        <v>44.987000000000002</v>
      </c>
      <c r="K1323" s="17">
        <f>IF(A1331=A1332,_xll.ciqfunctions.udf.CIQ(A1323,"IQ_CAPEX",IQ_FY-10), _xll.ciqfunctions.udf.CIQ(A1323, "IQ_CAPEX",IQ_FY-9))</f>
        <v>-4.71</v>
      </c>
      <c r="L1323" s="15">
        <f t="shared" ref="L1323:L1333" si="352">(J1323+K1323)/I1323</f>
        <v>0.86731466013074421</v>
      </c>
      <c r="M1323" s="17">
        <f>IF(A1331=A1332,_xll.ciqfunctions.udf.CIQ(A1323,"IQ_TOTAL_DEBT_ISSUED",IQ_FY-10), _xll.ciqfunctions.udf.CIQ(A1323, "IQ_TOTAL_DEBT_ISSUED",IQ_FY-9))</f>
        <v>0</v>
      </c>
      <c r="N1323" s="17">
        <f>IF(A1331=A1332,_xll.ciqfunctions.udf.CIQ(A1323,"IQ_TOTAL_DEBT_REPAID",IQ_FY-10), _xll.ciqfunctions.udf.CIQ(A1323, "IQ_TOTAL_DEBT_REPAID",IQ_FY-9))</f>
        <v>0</v>
      </c>
      <c r="O1323" s="15">
        <f t="shared" ref="O1323:O1333" si="353">(M1323+N1323)/I1323</f>
        <v>0</v>
      </c>
      <c r="P1323" s="15">
        <f t="shared" ref="P1323:P1333" si="354">L1323+O1323</f>
        <v>0.86731466013074421</v>
      </c>
      <c r="W1323" s="43"/>
      <c r="AA1323" s="43"/>
    </row>
    <row r="1324" spans="1:27">
      <c r="A1324" s="18" t="str">
        <f>_xll.ciqfunctions.udf.CIQ(A1323,"IQ_COMPANY_NAME")</f>
        <v>Universal Display Corporation</v>
      </c>
      <c r="B1324" s="13">
        <v>2</v>
      </c>
      <c r="C1324" s="14" t="s">
        <v>17</v>
      </c>
      <c r="D1324" s="15">
        <f>IF(A1331=A1332,_xll.ciqfunctions.udf.CIQ(A1323,"IQ_TOTAL_REV",IQ_FY-9)/I1324, _xll.ciqfunctions.udf.CIQ(A1323, "IQ_TOTAL_REV",IQ_FY-8)/I1324)</f>
        <v>4.1752635453294475</v>
      </c>
      <c r="E1324" s="16">
        <f t="shared" ref="E1324:E1333" si="355">(D1324-D1323)/D1323</f>
        <v>0.32225382205983694</v>
      </c>
      <c r="F1324" s="15">
        <f>IF(A1331=A1332,_xll.ciqfunctions.udf.CIQ(A1323,"IQ_DILUT_EPS_EXCL",IQ_FY-9), _xll.ciqfunctions.udf.CIQ(A1323, "IQ_DILUT_EPS_EXCL",IQ_FY-8))</f>
        <v>0.9</v>
      </c>
      <c r="G1324" s="15">
        <f>IF(A1331=A1332,_xll.ciqfunctions.udf.CIQ(A1323,"IQ_EBITDA_MARGIN",IQ_FY-9), _xll.ciqfunctions.udf.CIQ(A1323, "IQ_EBITDA_MARGIN",IQ_FY-8))</f>
        <v>37.53</v>
      </c>
      <c r="H1324" s="15">
        <f>IF(A1331=A1332,_xll.ciqfunctions.udf.CIQ(A1323,"IQ_TOTAL_DIV_PAID_CF",IQ_FY-9)/-I1324, _xll.ciqfunctions.udf.CIQ(A1323, "IQ_TOTAL_DIV_PAID_CF",IQ_FY-8)/-I1324)</f>
        <v>0</v>
      </c>
      <c r="I1324" s="17">
        <f>IF(A1331=A1332,_xll.ciqfunctions.udf.CIQ(A1323,"IQ_TOTAL_OUTSTANDING_FILING_DATE",IQ_FY-9), _xll.ciqfunctions.udf.CIQ(A1323, "IQ_TOTAL_OUTSTANDING_FILING_DATE",IQ_FY-8))</f>
        <v>45.753039999999999</v>
      </c>
      <c r="J1324" s="17">
        <f>IF(A1331=A1332,_xll.ciqfunctions.udf.CIQ(A1323,"IQ_CASH_OPER",IQ_FY-9), _xll.ciqfunctions.udf.CIQ(A1323, "IQ_CASH_OPER",IQ_FY-8))</f>
        <v>47.27</v>
      </c>
      <c r="K1324" s="17">
        <f>IF(A1331=A1332,_xll.ciqfunctions.udf.CIQ(A1323,"IQ_CAPEX",IQ_FY-9), _xll.ciqfunctions.udf.CIQ(A1323, "IQ_CAPEX",IQ_FY-8))</f>
        <v>-6.1529999999999996</v>
      </c>
      <c r="L1324" s="15">
        <f t="shared" si="352"/>
        <v>0.89867252536662057</v>
      </c>
      <c r="M1324" s="17">
        <f>IF(A1331=A1332,_xll.ciqfunctions.udf.CIQ(A1323,"IQ_TOTAL_DEBT_ISSUED",IQ_FY-9), _xll.ciqfunctions.udf.CIQ(A1323, "IQ_TOTAL_DEBT_ISSUED",IQ_FY-8))</f>
        <v>0</v>
      </c>
      <c r="N1324" s="17">
        <f>IF(A1331=A1332,_xll.ciqfunctions.udf.CIQ(A1323,"IQ_TOTAL_DEBT_REPAID",IQ_FY-9), _xll.ciqfunctions.udf.CIQ(A1323, "IQ_TOTAL_DEBT_REPAID",IQ_FY-8))</f>
        <v>0</v>
      </c>
      <c r="O1324" s="15">
        <f t="shared" si="353"/>
        <v>0</v>
      </c>
      <c r="P1324" s="15">
        <f t="shared" si="354"/>
        <v>0.89867252536662057</v>
      </c>
      <c r="Q1324" s="25" t="s">
        <v>18</v>
      </c>
      <c r="R1324" s="39" t="s">
        <v>19</v>
      </c>
      <c r="S1324" s="1">
        <f>R1322/((AVERAGE(P1328:P1333))*(1+E1334)^3)</f>
        <v>42.615930307017813</v>
      </c>
      <c r="U1324" s="25" t="s">
        <v>48</v>
      </c>
      <c r="V1324" s="39" t="s">
        <v>19</v>
      </c>
      <c r="W1324" s="1">
        <f>V1322/((AVERAGE(P1328:P1333))*(1+E1334)^3)</f>
        <v>42.615930307017813</v>
      </c>
      <c r="Y1324" s="25" t="s">
        <v>39</v>
      </c>
      <c r="Z1324" s="39" t="s">
        <v>19</v>
      </c>
      <c r="AA1324" s="1">
        <f>Z1322/((AVERAGE(P1328:P1333))*(1+E1334)^3)</f>
        <v>42.615930307017813</v>
      </c>
    </row>
    <row r="1325" spans="1:27">
      <c r="B1325" s="13">
        <v>3</v>
      </c>
      <c r="C1325" s="14" t="s">
        <v>20</v>
      </c>
      <c r="D1325" s="15" cm="1">
        <f t="array" ref="D1325">_xlfn.SINGLE(IF(A1331=A1332,_xll.ciqfunctions.udf.CIQ(A1323,"IQ_TOTAL_REV",IQ_FY-8)/I1325, _xll.ciqfunctions.udf.CIQ(A1323, "IQ_TOTAL_REV",IQ_FY-7)/I1325))</f>
        <v>4.080073192984135</v>
      </c>
      <c r="E1325" s="16">
        <f t="shared" si="355"/>
        <v>-2.2798645238046079E-2</v>
      </c>
      <c r="F1325" s="15">
        <f>IF(A1331=A1332,_xll.ciqfunctions.udf.CIQ(A1323,"IQ_DILUT_EPS_EXCL",IQ_FY-8), _xll.ciqfunctions.udf.CIQ(A1323, "IQ_DILUT_EPS_EXCL",IQ_FY-7))</f>
        <v>0.31</v>
      </c>
      <c r="G1325" s="15">
        <f>IF(A1331=A1332,_xll.ciqfunctions.udf.CIQ(A1323,"IQ_EBITDA_MARGIN",IQ_FY-8), _xll.ciqfunctions.udf.CIQ(A1323, "IQ_EBITDA_MARGIN",IQ_FY-7))</f>
        <v>24.2669</v>
      </c>
      <c r="H1325" s="15">
        <f>IF(A1331=A1332,_xll.ciqfunctions.udf.CIQ(A1323,"IQ_TOTAL_DIV_PAID_CF",IQ_FY-8)/-I1325, _xll.ciqfunctions.udf.CIQ(A1323, "IQ_TOTAL_DIV_PAID_CF",IQ_FY-7)/-I1325)</f>
        <v>0</v>
      </c>
      <c r="I1325" s="17">
        <f>IF(A1331=A1332,_xll.ciqfunctions.udf.CIQ(A1323,"IQ_TOTAL_OUTSTANDING_FILING_DATE",IQ_FY-8), _xll.ciqfunctions.udf.CIQ(A1323, "IQ_TOTAL_OUTSTANDING_FILING_DATE",IQ_FY-7))</f>
        <v>46.824159999999999</v>
      </c>
      <c r="J1325" s="17">
        <f>IF(A1331=A1332,_xll.ciqfunctions.udf.CIQ(A1323,"IQ_CASH_OPER",IQ_FY-8), _xll.ciqfunctions.udf.CIQ(A1323, "IQ_CASH_OPER",IQ_FY-7))</f>
        <v>113.61199999999999</v>
      </c>
      <c r="K1325" s="17">
        <f>IF(A1331=A1332,_xll.ciqfunctions.udf.CIQ(A1323,"IQ_CAPEX",IQ_FY-8), _xll.ciqfunctions.udf.CIQ(A1323, "IQ_CAPEX",IQ_FY-7))</f>
        <v>-5.1029999999999998</v>
      </c>
      <c r="L1325" s="15">
        <f t="shared" si="352"/>
        <v>2.3173720575019394</v>
      </c>
      <c r="M1325" s="17">
        <f>IF(A1331=A1332,_xll.ciqfunctions.udf.CIQ(A1323,"IQ_TOTAL_DEBT_ISSUED",IQ_FY-8), _xll.ciqfunctions.udf.CIQ(A1323, "IQ_TOTAL_DEBT_ISSUED",IQ_FY-7))</f>
        <v>0</v>
      </c>
      <c r="N1325" s="17">
        <f>IF(A1331=A1332,_xll.ciqfunctions.udf.CIQ(A1323,"IQ_TOTAL_DEBT_REPAID",IQ_FY-8), _xll.ciqfunctions.udf.CIQ(A1323, "IQ_TOTAL_DEBT_REPAID",IQ_FY-7))</f>
        <v>0</v>
      </c>
      <c r="O1325" s="15">
        <f t="shared" si="353"/>
        <v>0</v>
      </c>
      <c r="P1325" s="15">
        <f t="shared" si="354"/>
        <v>2.3173720575019394</v>
      </c>
      <c r="Q1325" s="25" t="s">
        <v>21</v>
      </c>
      <c r="R1325" s="38" t="s">
        <v>49</v>
      </c>
      <c r="S1325" s="2">
        <f>(R1322*I1333)/1000</f>
        <v>7.950000889600001</v>
      </c>
      <c r="U1325" s="25" t="s">
        <v>59</v>
      </c>
      <c r="V1325" s="38" t="s">
        <v>49</v>
      </c>
      <c r="W1325" s="2">
        <f>(V1322*I1333)/1000</f>
        <v>7.950000889600001</v>
      </c>
      <c r="Y1325" s="25" t="s">
        <v>46</v>
      </c>
      <c r="Z1325" s="38" t="s">
        <v>49</v>
      </c>
      <c r="AA1325" s="2">
        <f>(Z1322*I1333)/1000</f>
        <v>7.950000889600001</v>
      </c>
    </row>
    <row r="1326" spans="1:27">
      <c r="A1326" s="18"/>
      <c r="B1326" s="13">
        <v>4</v>
      </c>
      <c r="C1326" s="14" t="s">
        <v>22</v>
      </c>
      <c r="D1326" s="15" cm="1">
        <f t="array" ref="D1326">_xlfn.SINGLE(IF(A1331=A1332,_xll.ciqfunctions.udf.CIQ(A1323,"IQ_TOTAL_REV",IQ_FY-7)/I1326, _xll.ciqfunctions.udf.CIQ(A1323, "IQ_TOTAL_REV",IQ_FY-6)/I1326))</f>
        <v>4.2333301689321932</v>
      </c>
      <c r="E1326" s="16">
        <f t="shared" si="355"/>
        <v>3.7562310453545369E-2</v>
      </c>
      <c r="F1326" s="15">
        <f>IF(A1331=A1332,_xll.ciqfunctions.udf.CIQ(A1323,"IQ_DILUT_EPS_EXCL",IQ_FY-7), _xll.ciqfunctions.udf.CIQ(A1323, "IQ_DILUT_EPS_EXCL",IQ_FY-6))</f>
        <v>1.01999</v>
      </c>
      <c r="G1326" s="15">
        <f>IF(A1331=A1332,_xll.ciqfunctions.udf.CIQ(A1323,"IQ_EBITDA_MARGIN",IQ_FY-7), _xll.ciqfunctions.udf.CIQ(A1323, "IQ_EBITDA_MARGIN",IQ_FY-6))</f>
        <v>45.0182</v>
      </c>
      <c r="H1326" s="15">
        <f>IF(A1331=A1332,_xll.ciqfunctions.udf.CIQ(A1323,"IQ_TOTAL_DIV_PAID_CF",IQ_FY-7)/-I1326, _xll.ciqfunctions.udf.CIQ(A1323, "IQ_TOTAL_DIV_PAID_CF",IQ_FY-6)/-I1326)</f>
        <v>0</v>
      </c>
      <c r="I1326" s="17">
        <f>IF(A1331=A1332,_xll.ciqfunctions.udf.CIQ(A1323,"IQ_TOTAL_OUTSTANDING_FILING_DATE",IQ_FY-7), _xll.ciqfunctions.udf.CIQ(A1323, "IQ_TOTAL_OUTSTANDING_FILING_DATE",IQ_FY-6))</f>
        <v>46.980980000000002</v>
      </c>
      <c r="J1326" s="17">
        <f>IF(A1331=A1332,_xll.ciqfunctions.udf.CIQ(A1323,"IQ_CASH_OPER",IQ_FY-7), _xll.ciqfunctions.udf.CIQ(A1323, "IQ_CASH_OPER",IQ_FY-6))</f>
        <v>80.337999999999994</v>
      </c>
      <c r="K1326" s="17">
        <f>IF(A1331=A1332,_xll.ciqfunctions.udf.CIQ(A1323,"IQ_CAPEX",IQ_FY-7), _xll.ciqfunctions.udf.CIQ(A1323, "IQ_CAPEX",IQ_FY-6))</f>
        <v>-7.3</v>
      </c>
      <c r="L1326" s="15">
        <f t="shared" si="352"/>
        <v>1.554629128638866</v>
      </c>
      <c r="M1326" s="17">
        <f>IF(A1331=A1332,_xll.ciqfunctions.udf.CIQ(A1323,"IQ_TOTAL_DEBT_ISSUED",IQ_FY-7), _xll.ciqfunctions.udf.CIQ(A1323, "IQ_TOTAL_DEBT_ISSUED",IQ_FY-6))</f>
        <v>0</v>
      </c>
      <c r="N1326" s="17">
        <f>IF(A1331=A1332,_xll.ciqfunctions.udf.CIQ(A1323,"IQ_TOTAL_DEBT_REPAID",IQ_FY-7), _xll.ciqfunctions.udf.CIQ(A1323, "IQ_TOTAL_DEBT_REPAID",IQ_FY-6))</f>
        <v>0</v>
      </c>
      <c r="O1326" s="15">
        <f t="shared" si="353"/>
        <v>0</v>
      </c>
      <c r="P1326" s="15">
        <f t="shared" si="354"/>
        <v>1.554629128638866</v>
      </c>
      <c r="Q1326" s="25" t="s">
        <v>23</v>
      </c>
      <c r="R1326" s="38" t="s">
        <v>24</v>
      </c>
      <c r="S1326" s="1">
        <f>R1322/(AVERAGE(H1328:H1333)*(1+H1334)/(0.5-H1334))</f>
        <v>13.309491964442669</v>
      </c>
      <c r="U1326" s="25" t="s">
        <v>40</v>
      </c>
      <c r="V1326" s="38" t="s">
        <v>24</v>
      </c>
      <c r="W1326" s="1">
        <f>V1322/(AVERAGE(H1328:H1333)*(1+H1334)/(0.5-H1334))</f>
        <v>13.309491964442669</v>
      </c>
      <c r="Y1326" s="25" t="s">
        <v>47</v>
      </c>
      <c r="Z1326" s="38" t="s">
        <v>24</v>
      </c>
      <c r="AA1326" s="1">
        <f>Z1322/(AVERAGE(H1328:H1333)*(1+H1334)/(0.5-H1334))</f>
        <v>13.309491964442669</v>
      </c>
    </row>
    <row r="1327" spans="1:27">
      <c r="B1327" s="13">
        <v>5</v>
      </c>
      <c r="C1327" s="14" t="s">
        <v>25</v>
      </c>
      <c r="D1327" s="15" cm="1">
        <f t="array" ref="D1327">_xlfn.SINGLE(IF(A1331=A1332,_xll.ciqfunctions.udf.CIQ(A1323,"IQ_TOTAL_REV",IQ_FY-6)/I1327, _xll.ciqfunctions.udf.CIQ(A1323, "IQ_TOTAL_REV",IQ_FY-5)/I1327))</f>
        <v>7.1333734178977366</v>
      </c>
      <c r="E1327" s="16">
        <f t="shared" si="355"/>
        <v>0.6850500984422494</v>
      </c>
      <c r="F1327" s="15">
        <f>IF(A1331=A1332,_xll.ciqfunctions.udf.CIQ(A1323,"IQ_DILUT_EPS_EXCL",IQ_FY-6), _xll.ciqfunctions.udf.CIQ(A1323, "IQ_DILUT_EPS_EXCL",IQ_FY-5))</f>
        <v>2.1800000000000002</v>
      </c>
      <c r="G1327" s="15">
        <f>IF(A1331=A1332,_xll.ciqfunctions.udf.CIQ(A1323,"IQ_EBITDA_MARGIN",IQ_FY-6), _xll.ciqfunctions.udf.CIQ(A1323, "IQ_EBITDA_MARGIN",IQ_FY-5))</f>
        <v>51.589399999999998</v>
      </c>
      <c r="H1327" s="15">
        <f>IF(A1331=A1332,_xll.ciqfunctions.udf.CIQ(A1323,"IQ_TOTAL_DIV_PAID_CF",IQ_FY-6)/-I1327, _xll.ciqfunctions.udf.CIQ(A1323, "IQ_TOTAL_DIV_PAID_CF",IQ_FY-5)/-I1327)</f>
        <v>0.12012617073601509</v>
      </c>
      <c r="I1327" s="17">
        <f>IF(A1331=A1332,_xll.ciqfunctions.udf.CIQ(A1323,"IQ_TOTAL_OUTSTANDING_FILING_DATE",IQ_FY-6), _xll.ciqfunctions.udf.CIQ(A1323, "IQ_TOTAL_OUTSTANDING_FILING_DATE",IQ_FY-5))</f>
        <v>47.050530000000002</v>
      </c>
      <c r="J1327" s="17">
        <f>IF(A1331=A1332,_xll.ciqfunctions.udf.CIQ(A1323,"IQ_CASH_OPER",IQ_FY-6), _xll.ciqfunctions.udf.CIQ(A1323, "IQ_CASH_OPER",IQ_FY-5))</f>
        <v>133.36500000000001</v>
      </c>
      <c r="K1327" s="17">
        <f>IF(A1331=A1332,_xll.ciqfunctions.udf.CIQ(A1323,"IQ_CAPEX",IQ_FY-6), _xll.ciqfunctions.udf.CIQ(A1323, "IQ_CAPEX",IQ_FY-5))</f>
        <v>-29.803000000000001</v>
      </c>
      <c r="L1327" s="15">
        <f t="shared" si="352"/>
        <v>2.2010804129092705</v>
      </c>
      <c r="M1327" s="17">
        <f>IF(A1331=A1332,_xll.ciqfunctions.udf.CIQ(A1323,"IQ_TOTAL_DEBT_ISSUED",IQ_FY-6), _xll.ciqfunctions.udf.CIQ(A1323, "IQ_TOTAL_DEBT_ISSUED",IQ_FY-5))</f>
        <v>0</v>
      </c>
      <c r="N1327" s="17">
        <f>IF(A1331=A1332,_xll.ciqfunctions.udf.CIQ(A1323,"IQ_TOTAL_DEBT_REPAID",IQ_FY-6), _xll.ciqfunctions.udf.CIQ(A1323, "IQ_TOTAL_DEBT_REPAID",IQ_FY-5))</f>
        <v>0</v>
      </c>
      <c r="O1327" s="15">
        <f t="shared" si="353"/>
        <v>0</v>
      </c>
      <c r="P1327" s="15">
        <f t="shared" si="354"/>
        <v>2.2010804129092705</v>
      </c>
      <c r="Q1327" s="18"/>
      <c r="R1327" s="38" t="s">
        <v>50</v>
      </c>
      <c r="S1327" s="3">
        <f>I1334</f>
        <v>1.0493682632048973E-3</v>
      </c>
      <c r="U1327" s="18"/>
      <c r="V1327" s="38" t="s">
        <v>50</v>
      </c>
      <c r="W1327" s="3">
        <f>I1334</f>
        <v>1.0493682632048973E-3</v>
      </c>
      <c r="Y1327" s="18"/>
      <c r="Z1327" s="38" t="s">
        <v>50</v>
      </c>
      <c r="AA1327" s="3">
        <f>I1334</f>
        <v>1.0493682632048973E-3</v>
      </c>
    </row>
    <row r="1328" spans="1:27">
      <c r="B1328" s="13">
        <v>6</v>
      </c>
      <c r="C1328" s="14" t="s">
        <v>26</v>
      </c>
      <c r="D1328" s="15" cm="1">
        <f t="array" ref="D1328">_xlfn.SINGLE(IF(A1331=A1332,_xll.ciqfunctions.udf.CIQ(A1323,"IQ_TOTAL_REV",IQ_FY-5)/I1328, _xll.ciqfunctions.udf.CIQ(A1323, "IQ_TOTAL_REV",IQ_FY-4)/I1328))</f>
        <v>5.2517937660447656</v>
      </c>
      <c r="E1328" s="16">
        <f t="shared" si="355"/>
        <v>-0.26377136617186764</v>
      </c>
      <c r="F1328" s="15">
        <f>IF(A1331=A1332,_xll.ciqfunctions.udf.CIQ(A1323,"IQ_DILUT_EPS_EXCL",IQ_FY-5), _xll.ciqfunctions.udf.CIQ(A1323, "IQ_DILUT_EPS_EXCL",IQ_FY-4))</f>
        <v>1.24</v>
      </c>
      <c r="G1328" s="15">
        <f>IF(A1331=A1332,_xll.ciqfunctions.udf.CIQ(A1323,"IQ_EBITDA_MARGIN",IQ_FY-5), _xll.ciqfunctions.udf.CIQ(A1323, "IQ_EBITDA_MARGIN",IQ_FY-4))</f>
        <v>35.288600000000002</v>
      </c>
      <c r="H1328" s="15">
        <f>IF(A1331=A1332,_xll.ciqfunctions.udf.CIQ(A1323,"IQ_TOTAL_DIV_PAID_CF",IQ_FY-5)/-I1328, _xll.ciqfunctions.udf.CIQ(A1323, "IQ_TOTAL_DIV_PAID_CF",IQ_FY-4)/-I1328)</f>
        <v>0.24015938737917206</v>
      </c>
      <c r="I1328" s="17">
        <f>IF(A1331=A1332,_xll.ciqfunctions.udf.CIQ(A1323,"IQ_TOTAL_OUTSTANDING_FILING_DATE",IQ_FY-5), _xll.ciqfunctions.udf.CIQ(A1323, "IQ_TOTAL_OUTSTANDING_FILING_DATE",IQ_FY-4))</f>
        <v>47.110379999999999</v>
      </c>
      <c r="J1328" s="17">
        <f>IF(A1331=A1332,_xll.ciqfunctions.udf.CIQ(A1323,"IQ_CASH_OPER",IQ_FY-5), _xll.ciqfunctions.udf.CIQ(A1323, "IQ_CASH_OPER",IQ_FY-4))</f>
        <v>121.79600000000001</v>
      </c>
      <c r="K1328" s="17">
        <f>IF(A1331=A1332,_xll.ciqfunctions.udf.CIQ(A1323,"IQ_CAPEX",IQ_FY-5), _xll.ciqfunctions.udf.CIQ(A1323, "IQ_CAPEX",IQ_FY-4))</f>
        <v>-25.390999999999998</v>
      </c>
      <c r="L1328" s="15">
        <f t="shared" si="352"/>
        <v>2.0463643044271773</v>
      </c>
      <c r="M1328" s="17">
        <f>IF(A1331=A1332,_xll.ciqfunctions.udf.CIQ(A1323,"IQ_TOTAL_DEBT_ISSUED",IQ_FY-5), _xll.ciqfunctions.udf.CIQ(A1323, "IQ_TOTAL_DEBT_ISSUED",IQ_FY-4))</f>
        <v>0</v>
      </c>
      <c r="N1328" s="17">
        <f>IF(A1331=A1332,_xll.ciqfunctions.udf.CIQ(A1323,"IQ_TOTAL_DEBT_REPAID",IQ_FY-5), _xll.ciqfunctions.udf.CIQ(A1323, "IQ_TOTAL_DEBT_REPAID",IQ_FY-4))</f>
        <v>0</v>
      </c>
      <c r="O1328" s="15">
        <f t="shared" si="353"/>
        <v>0</v>
      </c>
      <c r="P1328" s="15">
        <f t="shared" si="354"/>
        <v>2.0463643044271773</v>
      </c>
      <c r="Q1328" s="25" t="s">
        <v>27</v>
      </c>
      <c r="R1328" s="38" t="s">
        <v>51</v>
      </c>
      <c r="S1328" s="4">
        <f>AVERAGE(F1328:F1333)/AVERAGE(D1328:D1333)</f>
        <v>0.32672716182346095</v>
      </c>
      <c r="U1328" s="25" t="s">
        <v>58</v>
      </c>
      <c r="V1328" s="38" t="s">
        <v>51</v>
      </c>
      <c r="W1328" s="4">
        <f>AVERAGE(F1328:F1333)/AVERAGE(D1328:D1333)</f>
        <v>0.32672716182346095</v>
      </c>
      <c r="Y1328" s="25" t="s">
        <v>56</v>
      </c>
      <c r="Z1328" s="38" t="s">
        <v>51</v>
      </c>
      <c r="AA1328" s="4">
        <f>AVERAGE(F1328:F1333)/AVERAGE(D1328:D1333)</f>
        <v>0.32672716182346095</v>
      </c>
    </row>
    <row r="1329" spans="1:27">
      <c r="A1329" s="18"/>
      <c r="B1329" s="13">
        <v>7</v>
      </c>
      <c r="C1329" s="14" t="s">
        <v>28</v>
      </c>
      <c r="D1329" s="15" cm="1">
        <f t="array" ref="D1329">_xlfn.SINGLE(IF(A1331=A1332,_xll.ciqfunctions.udf.CIQ(A1323,"IQ_TOTAL_REV",IQ_FY-4)/I1329, _xll.ciqfunctions.udf.CIQ(A1323, "IQ_TOTAL_REV",IQ_FY-3)/I1329))</f>
        <v>8.5864796804427588</v>
      </c>
      <c r="E1329" s="16">
        <f t="shared" si="355"/>
        <v>0.63496132235013758</v>
      </c>
      <c r="F1329" s="15">
        <f>IF(A1331=A1332,_xll.ciqfunctions.udf.CIQ(A1323,"IQ_DILUT_EPS_EXCL",IQ_FY-4), _xll.ciqfunctions.udf.CIQ(A1323, "IQ_DILUT_EPS_EXCL",IQ_FY-3))</f>
        <v>2.92</v>
      </c>
      <c r="G1329" s="15">
        <f>IF(A1331=A1332,_xll.ciqfunctions.udf.CIQ(A1323,"IQ_EBITDA_MARGIN",IQ_FY-4), _xll.ciqfunctions.udf.CIQ(A1323, "IQ_EBITDA_MARGIN",IQ_FY-3))</f>
        <v>47.5745</v>
      </c>
      <c r="H1329" s="15">
        <f>IF(A1331=A1332,_xll.ciqfunctions.udf.CIQ(A1323,"IQ_TOTAL_DIV_PAID_CF",IQ_FY-4)/-I1329, _xll.ciqfunctions.udf.CIQ(A1323, "IQ_TOTAL_DIV_PAID_CF",IQ_FY-3)/-I1329)</f>
        <v>0.39953131943665937</v>
      </c>
      <c r="I1329" s="17">
        <f>IF(A1331=A1332,_xll.ciqfunctions.udf.CIQ(A1323,"IQ_TOTAL_OUTSTANDING_FILING_DATE",IQ_FY-4), _xll.ciqfunctions.udf.CIQ(A1323, "IQ_TOTAL_OUTSTANDING_FILING_DATE",IQ_FY-3))</f>
        <v>47.18779</v>
      </c>
      <c r="J1329" s="17">
        <f>IF(A1331=A1332,_xll.ciqfunctions.udf.CIQ(A1323,"IQ_CASH_OPER",IQ_FY-4), _xll.ciqfunctions.udf.CIQ(A1323, "IQ_CASH_OPER",IQ_FY-3))</f>
        <v>193.91200000000001</v>
      </c>
      <c r="K1329" s="17">
        <f>IF(A1331=A1332,_xll.ciqfunctions.udf.CIQ(A1323,"IQ_CAPEX",IQ_FY-4), _xll.ciqfunctions.udf.CIQ(A1323, "IQ_CAPEX",IQ_FY-3))</f>
        <v>-30.059000000000001</v>
      </c>
      <c r="L1329" s="15">
        <f t="shared" si="352"/>
        <v>3.4723601168861693</v>
      </c>
      <c r="M1329" s="17">
        <f>IF(A1331=A1332,_xll.ciqfunctions.udf.CIQ(A1323,"IQ_TOTAL_DEBT_ISSUED",IQ_FY-4), _xll.ciqfunctions.udf.CIQ(A1323, "IQ_TOTAL_DEBT_ISSUED",IQ_FY-3))</f>
        <v>0</v>
      </c>
      <c r="N1329" s="17">
        <f>IF(A1331=A1332,_xll.ciqfunctions.udf.CIQ(A1323,"IQ_TOTAL_DEBT_REPAID",IQ_FY-4), _xll.ciqfunctions.udf.CIQ(A1323, "IQ_TOTAL_DEBT_REPAID",IQ_FY-3))</f>
        <v>0</v>
      </c>
      <c r="O1329" s="15">
        <f t="shared" si="353"/>
        <v>0</v>
      </c>
      <c r="P1329" s="15">
        <f t="shared" si="354"/>
        <v>3.4723601168861693</v>
      </c>
      <c r="Q1329" s="18"/>
      <c r="R1329" s="38" t="s">
        <v>29</v>
      </c>
      <c r="S1329" s="4">
        <f>(AVERAGE(P1328:P1333)/_xlfn.STDEV.P(P1328:P1333))/(IF(A1331=A1332,(_xlfn.SINGLE(_xll.ciqfunctions.udf.CIQ(A1323,"IQ_total_assets",IQ_FY)) - _xlfn.SINGLE(_xll.ciqfunctions.udf.CIQ(A1323,"iq_gw_intan", IQ_FY)))/I1333, (_xlfn.SINGLE(_xll.ciqfunctions.udf.CIQ(A1323, "IQ_total_assets",IQ_LTM))-_xlfn.SINGLE(_xll.ciqfunctions.udf.CIQ(A1323,"iq_gw_intan",IQ_LTM)))/I1333))</f>
        <v>9.6421051556419043E-2</v>
      </c>
      <c r="U1329" s="18"/>
      <c r="V1329" s="38" t="s">
        <v>29</v>
      </c>
      <c r="W1329" s="4">
        <f>(AVERAGE(P1328:P1333)/_xlfn.STDEV.P(P1328:P1333))/(IF(A1331=A1332,(_xlfn.SINGLE(_xll.ciqfunctions.udf.CIQ(A1323,"IQ_total_assets",IQ_FY)) - _xlfn.SINGLE(_xll.ciqfunctions.udf.CIQ(A1323,"iq_gw_intan", IQ_FY)))/I1333, (_xlfn.SINGLE(_xll.ciqfunctions.udf.CIQ(A1323, "IQ_total_assets",IQ_LTM))-_xlfn.SINGLE(_xll.ciqfunctions.udf.CIQ(A1323,"iq_gw_intan",IQ_LTM)))/I1333))</f>
        <v>9.6421051556419043E-2</v>
      </c>
      <c r="Y1329" s="18"/>
      <c r="Z1329" s="38" t="s">
        <v>29</v>
      </c>
      <c r="AA1329" s="4">
        <f>(AVERAGE(P1328:P1333)/_xlfn.STDEV.P(P1328:P1333))/(IF(A1331=A1332,(_xlfn.SINGLE(_xll.ciqfunctions.udf.CIQ(A1323,"IQ_total_assets",IQ_FY)) - _xlfn.SINGLE(_xll.ciqfunctions.udf.CIQ(A1323,"iq_gw_intan", IQ_FY)))/I1333, (_xlfn.SINGLE(_xll.ciqfunctions.udf.CIQ(A1323, "IQ_total_assets",IQ_LTM))-_xlfn.SINGLE(_xll.ciqfunctions.udf.CIQ(A1323,"iq_gw_intan",IQ_LTM)))/I1333))</f>
        <v>9.6421051556419043E-2</v>
      </c>
    </row>
    <row r="1330" spans="1:27">
      <c r="A1330" s="18"/>
      <c r="B1330" s="13">
        <v>8</v>
      </c>
      <c r="C1330" s="14" t="s">
        <v>30</v>
      </c>
      <c r="D1330" s="15" cm="1">
        <f t="array" ref="D1330">_xlfn.SINGLE(IF(A1331=A1332,_xll.ciqfunctions.udf.CIQ(A1323,"IQ_TOTAL_REV",IQ_FY-3)/I1330, _xll.ciqfunctions.udf.CIQ(A1323, "IQ_TOTAL_REV",IQ_FY-2)/I1330))</f>
        <v>9.1036570053774941</v>
      </c>
      <c r="E1330" s="16">
        <f t="shared" si="355"/>
        <v>6.0231590148952317E-2</v>
      </c>
      <c r="F1330" s="15">
        <f>IF(A1331=A1332,_xll.ciqfunctions.udf.CIQ(A1323,"IQ_DILUT_EPS_EXCL",IQ_FY-3), _xll.ciqfunctions.udf.CIQ(A1323, "IQ_DILUT_EPS_EXCL",IQ_FY-2))</f>
        <v>2.8</v>
      </c>
      <c r="G1330" s="15">
        <f>IF(A1331=A1332,_xll.ciqfunctions.udf.CIQ(A1323,"IQ_EBITDA_MARGIN",IQ_FY-3), _xll.ciqfunctions.udf.CIQ(A1323, "IQ_EBITDA_MARGIN",IQ_FY-2))</f>
        <v>45.401400000000002</v>
      </c>
      <c r="H1330" s="15">
        <f>IF(A1331=A1332,_xll.ciqfunctions.udf.CIQ(A1323,"IQ_TOTAL_DIV_PAID_CF",IQ_FY-3)/-I1330, _xll.ciqfunctions.udf.CIQ(A1323, "IQ_TOTAL_DIV_PAID_CF",IQ_FY-2)/-I1330)</f>
        <v>0.60380846163953583</v>
      </c>
      <c r="I1330" s="17">
        <f>IF(A1331=A1332,_xll.ciqfunctions.udf.CIQ(A1323,"IQ_TOTAL_OUTSTANDING_FILING_DATE",IQ_FY-3), _xll.ciqfunctions.udf.CIQ(A1323, "IQ_TOTAL_OUTSTANDING_FILING_DATE",IQ_FY-2))</f>
        <v>47.109310000000001</v>
      </c>
      <c r="J1330" s="17">
        <f>IF(A1331=A1332,_xll.ciqfunctions.udf.CIQ(A1323,"IQ_CASH_OPER",IQ_FY-3), _xll.ciqfunctions.udf.CIQ(A1323, "IQ_CASH_OPER",IQ_FY-2))</f>
        <v>148.792</v>
      </c>
      <c r="K1330" s="17">
        <f>IF(A1331=A1332,_xll.ciqfunctions.udf.CIQ(A1323,"IQ_CAPEX",IQ_FY-3), _xll.ciqfunctions.udf.CIQ(A1323, "IQ_CAPEX",IQ_FY-2))</f>
        <v>-27.991</v>
      </c>
      <c r="L1330" s="15">
        <f t="shared" si="352"/>
        <v>2.5642702047641963</v>
      </c>
      <c r="M1330" s="17">
        <f>IF(A1331=A1332,_xll.ciqfunctions.udf.CIQ(A1323,"IQ_TOTAL_DEBT_ISSUED",IQ_FY-3), _xll.ciqfunctions.udf.CIQ(A1323, "IQ_TOTAL_DEBT_ISSUED",IQ_FY-2))</f>
        <v>0</v>
      </c>
      <c r="N1330" s="17">
        <f>IF(A1331=A1332,_xll.ciqfunctions.udf.CIQ(A1323,"IQ_TOTAL_DEBT_REPAID",IQ_FY-3), _xll.ciqfunctions.udf.CIQ(A1323, "IQ_TOTAL_DEBT_REPAID",IQ_FY-2))</f>
        <v>0</v>
      </c>
      <c r="O1330" s="15">
        <f t="shared" si="353"/>
        <v>0</v>
      </c>
      <c r="P1330" s="15">
        <f t="shared" si="354"/>
        <v>2.5642702047641963</v>
      </c>
      <c r="Q1330" s="18"/>
      <c r="R1330" s="39" t="s">
        <v>31</v>
      </c>
      <c r="S1330" s="5">
        <f>IF(NOT(D1323&gt;0),FALSE,SLOPE(G1323:G1333,B1323:B1333))</f>
        <v>1.6509399999999999</v>
      </c>
      <c r="U1330" s="18"/>
      <c r="V1330" s="39" t="s">
        <v>31</v>
      </c>
      <c r="W1330" s="5">
        <f>IF(NOT(D1323&gt;0),FALSE,SLOPE(G1323:G1333,B1323:B1333))</f>
        <v>1.6509399999999999</v>
      </c>
      <c r="Y1330" s="18"/>
      <c r="Z1330" s="39" t="s">
        <v>31</v>
      </c>
      <c r="AA1330" s="5">
        <f>IF(NOT(L1323&gt;0),FALSE,SLOPE(O1323:O1333,J1323:J1333))</f>
        <v>0</v>
      </c>
    </row>
    <row r="1331" spans="1:27">
      <c r="A1331" s="19">
        <f>_xll.ciqfunctions.udf.CIQ(A1323,"IQ_TOTAL_REV",IQ_FY)</f>
        <v>616.61900000000003</v>
      </c>
      <c r="B1331" s="13">
        <v>9</v>
      </c>
      <c r="C1331" s="14" t="s">
        <v>32</v>
      </c>
      <c r="D1331" s="15" cm="1">
        <f t="array" ref="D1331">_xlfn.SINGLE(IF(A1331=A1332,_xll.ciqfunctions.udf.CIQ(A1323,"IQ_TOTAL_REV",IQ_FY-2)/I1331, _xll.ciqfunctions.udf.CIQ(A1323, "IQ_TOTAL_REV",IQ_FY-1)/I1331))</f>
        <v>11.413738509967136</v>
      </c>
      <c r="E1331" s="16">
        <f t="shared" si="355"/>
        <v>0.25375313494621837</v>
      </c>
      <c r="F1331" s="15">
        <f>IF(A1331=A1332,_xll.ciqfunctions.udf.CIQ(A1323,"IQ_DILUT_EPS_EXCL",IQ_FY-2), _xll.ciqfunctions.udf.CIQ(A1323, "IQ_DILUT_EPS_EXCL",IQ_FY-1))</f>
        <v>3.87</v>
      </c>
      <c r="G1331" s="15">
        <f>IF(A1331=A1332,_xll.ciqfunctions.udf.CIQ(A1323,"IQ_EBITDA_MARGIN",IQ_FY-2), _xll.ciqfunctions.udf.CIQ(A1323, "IQ_EBITDA_MARGIN",IQ_FY-1))</f>
        <v>48.707099999999997</v>
      </c>
      <c r="H1331" s="15">
        <f>IF(A1331=A1332,_xll.ciqfunctions.udf.CIQ(A1323,"IQ_TOTAL_DIV_PAID_CF",IQ_FY-2)/-I1331, _xll.ciqfunctions.udf.CIQ(A1323, "IQ_TOTAL_DIV_PAID_CF",IQ_FY-1)/-I1331)</f>
        <v>0.78214085257497556</v>
      </c>
      <c r="I1331" s="17">
        <f>IF(A1331=A1332,_xll.ciqfunctions.udf.CIQ(A1323,"IQ_TOTAL_OUTSTANDING_FILING_DATE",IQ_FY-2), _xll.ciqfunctions.udf.CIQ(A1323, "IQ_TOTAL_OUTSTANDING_FILING_DATE",IQ_FY-1))</f>
        <v>48.496380000000002</v>
      </c>
      <c r="J1331" s="17">
        <f>IF(A1331=A1332,_xll.ciqfunctions.udf.CIQ(A1323,"IQ_CASH_OPER",IQ_FY-2), _xll.ciqfunctions.udf.CIQ(A1323, "IQ_CASH_OPER",IQ_FY-1))</f>
        <v>191.10499999999999</v>
      </c>
      <c r="K1331" s="17">
        <f>IF(A1331=A1332,_xll.ciqfunctions.udf.CIQ(A1323,"IQ_CAPEX",IQ_FY-2), _xll.ciqfunctions.udf.CIQ(A1323, "IQ_CAPEX",IQ_FY-1))</f>
        <v>-43.161000000000001</v>
      </c>
      <c r="L1331" s="15">
        <f t="shared" si="352"/>
        <v>3.0506194482969655</v>
      </c>
      <c r="M1331" s="17">
        <f>IF(A1331=A1332,_xll.ciqfunctions.udf.CIQ(A1323,"IQ_TOTAL_DEBT_ISSUED",IQ_FY-2), _xll.ciqfunctions.udf.CIQ(A1323, "IQ_TOTAL_DEBT_ISSUED",IQ_FY-1))</f>
        <v>0</v>
      </c>
      <c r="N1331" s="17">
        <f>IF(A1331=A1332,_xll.ciqfunctions.udf.CIQ(A1323,"IQ_TOTAL_DEBT_REPAID",IQ_FY-2), _xll.ciqfunctions.udf.CIQ(A1323, "IQ_TOTAL_DEBT_REPAID",IQ_FY-1))</f>
        <v>0</v>
      </c>
      <c r="O1331" s="15">
        <f t="shared" si="353"/>
        <v>0</v>
      </c>
      <c r="P1331" s="15">
        <f t="shared" si="354"/>
        <v>3.0506194482969655</v>
      </c>
      <c r="Q1331" s="25" t="s">
        <v>33</v>
      </c>
      <c r="R1331" s="38" t="s">
        <v>52</v>
      </c>
      <c r="S1331" s="4">
        <f>(AVERAGE(O1328:O1333)/AVERAGE(P1328:P1333))</f>
        <v>0</v>
      </c>
      <c r="U1331" s="25" t="s">
        <v>54</v>
      </c>
      <c r="V1331" s="38" t="s">
        <v>52</v>
      </c>
      <c r="W1331" s="4">
        <f>(AVERAGE(O1328:O1333)/AVERAGE(P1328:P1333))</f>
        <v>0</v>
      </c>
      <c r="Y1331" s="25" t="s">
        <v>60</v>
      </c>
      <c r="Z1331" s="38" t="s">
        <v>52</v>
      </c>
      <c r="AA1331" s="4">
        <f>(AVERAGE(O1328:O1333)/AVERAGE(P1328:P1333))</f>
        <v>0</v>
      </c>
    </row>
    <row r="1332" spans="1:27">
      <c r="A1332" s="19">
        <f>_xll.ciqfunctions.udf.CIQ(A1323,"IQ_TOTAL_REV",IQ_LTM)</f>
        <v>587.14099999999996</v>
      </c>
      <c r="B1332" s="13">
        <v>10</v>
      </c>
      <c r="C1332" s="14" t="s">
        <v>34</v>
      </c>
      <c r="D1332" s="15" cm="1">
        <f t="array" ref="D1332">_xlfn.SINGLE(IF(A1331=A1332,_xll.ciqfunctions.udf.CIQ(A1323,"IQ_TOTAL_REV",IQ_FY-1)/I1332, _xll.ciqfunctions.udf.CIQ(A1323, "IQ_TOTAL_REV",IQ_FY)/I1332))</f>
        <v>13.048952804073451</v>
      </c>
      <c r="E1332" s="16">
        <f t="shared" si="355"/>
        <v>0.1432671944147268</v>
      </c>
      <c r="F1332" s="15">
        <f>IF(A1331=A1332,_xll.ciqfunctions.udf.CIQ(A1323,"IQ_DILUT_EPS_EXCL",IQ_FY-1), _xll.ciqfunctions.udf.CIQ(A1323, "IQ_DILUT_EPS_EXCL",IQ_FY))</f>
        <v>4.4000000000000004</v>
      </c>
      <c r="G1332" s="15">
        <f>IF(A1331=A1332,_xll.ciqfunctions.udf.CIQ(A1323,"IQ_EBITDA_MARGIN",IQ_FY-1), _xll.ciqfunctions.udf.CIQ(A1323, "IQ_EBITDA_MARGIN",IQ_FY))</f>
        <v>50.174199999999999</v>
      </c>
      <c r="H1332" s="15">
        <f>IF(A1331=A1332,_xll.ciqfunctions.udf.CIQ(A1323,"IQ_TOTAL_DIV_PAID_CF",IQ_FY-1)/-I1332, _xll.ciqfunctions.udf.CIQ(A1323, "IQ_TOTAL_DIV_PAID_CF",IQ_FY)/-I1332)</f>
        <v>1.2061550390451323</v>
      </c>
      <c r="I1332" s="17">
        <f>IF(A1331=A1332,_xll.ciqfunctions.udf.CIQ(A1323,"IQ_TOTAL_OUTSTANDING_FILING_DATE",IQ_FY-1), _xll.ciqfunctions.udf.CIQ(A1323, "IQ_TOTAL_OUTSTANDING_FILING_DATE",IQ_FY))</f>
        <v>47.254289999999997</v>
      </c>
      <c r="J1332" s="17">
        <f>IF(A1331=A1332,_xll.ciqfunctions.udf.CIQ(A1323,"IQ_CASH_OPER",IQ_FY-1), _xll.ciqfunctions.udf.CIQ(A1323, "IQ_CASH_OPER",IQ_FY))</f>
        <v>126.815</v>
      </c>
      <c r="K1332" s="17">
        <f>IF(A1331=A1332,_xll.ciqfunctions.udf.CIQ(A1323,"IQ_CAPEX",IQ_FY-1), _xll.ciqfunctions.udf.CIQ(A1323, "IQ_CAPEX",IQ_FY))</f>
        <v>-42.497</v>
      </c>
      <c r="L1332" s="15">
        <f t="shared" si="352"/>
        <v>1.7843459292267432</v>
      </c>
      <c r="M1332" s="17">
        <f>IF(A1331=A1332,_xll.ciqfunctions.udf.CIQ(A1323,"IQ_TOTAL_DEBT_ISSUED",IQ_FY-1), _xll.ciqfunctions.udf.CIQ(A1323, "IQ_TOTAL_DEBT_ISSUED",IQ_FY))</f>
        <v>0</v>
      </c>
      <c r="N1332" s="17">
        <f>IF(A1331=A1332,_xll.ciqfunctions.udf.CIQ(A1323,"IQ_TOTAL_DEBT_REPAID",IQ_FY-1), _xll.ciqfunctions.udf.CIQ(A1323, "IQ_TOTAL_DEBT_REPAID",IQ_FY))</f>
        <v>0</v>
      </c>
      <c r="O1332" s="15">
        <f t="shared" si="353"/>
        <v>0</v>
      </c>
      <c r="P1332" s="15">
        <f t="shared" si="354"/>
        <v>1.7843459292267432</v>
      </c>
      <c r="Q1332" s="25" t="s">
        <v>44</v>
      </c>
      <c r="R1332" s="38" t="s">
        <v>35</v>
      </c>
      <c r="S1332" s="1">
        <f>_xll.ciqfunctions.udf.CIQ(A1323,"IQ_TEV_EBITDA")</f>
        <v>26.18215</v>
      </c>
      <c r="U1332" s="25" t="s">
        <v>55</v>
      </c>
      <c r="V1332" s="38" t="s">
        <v>53</v>
      </c>
      <c r="W1332" s="1">
        <f>V1322/(AVERAGE(D1328:D1333)/_xlfn.STDEV.P(E1328:E1333))</f>
        <v>4.6774344905540088</v>
      </c>
      <c r="Y1332" s="25" t="s">
        <v>57</v>
      </c>
      <c r="Z1332" s="38" t="s">
        <v>53</v>
      </c>
      <c r="AA1332" s="1">
        <f>Z1322/(AVERAGE(D1328:D1333)/_xlfn.STDEV.P(E1328:E1333))</f>
        <v>4.6774344905540088</v>
      </c>
    </row>
    <row r="1333" spans="1:27">
      <c r="B1333" s="13">
        <v>11</v>
      </c>
      <c r="C1333" s="20" t="s">
        <v>36</v>
      </c>
      <c r="D1333" s="21" cm="1">
        <f t="array" ref="D1333">_xlfn.SINGLE(IF(A1331=A1332,_xll.ciqfunctions.udf.CIQ(A1323,"IQ_TOTAL_REV",IQ_FY)/I1333, _xll.ciqfunctions.udf.CIQ(A1323, "IQ_TOTAL_REV",IQ_LTM)/I1333))</f>
        <v>12.397905489411732</v>
      </c>
      <c r="E1333" s="22">
        <f t="shared" si="355"/>
        <v>-4.9892686749428934E-2</v>
      </c>
      <c r="F1333" s="21">
        <f>IF(A1331=A1332,_xll.ciqfunctions.udf.CIQ(A1323,"IQ_DILUT_EPS_EXCL",IQ_FY), _xll.ciqfunctions.udf.CIQ(A1323, "IQ_DILUT_EPS_EXCL",IQ_LTM))</f>
        <v>4.3091100000000004</v>
      </c>
      <c r="G1333" s="21">
        <f>IF(A1331=A1332,_xll.ciqfunctions.udf.CIQ(A1323,"IQ_EBITDA_MARGIN",IQ_FY), _xll.ciqfunctions.udf.CIQ(A1323, "IQ_EBITDA_MARGIN",IQ_LTM))</f>
        <v>47.148099999999999</v>
      </c>
      <c r="H1333" s="21">
        <f>IF(A1331=A1332,_xll.ciqfunctions.udf.CIQ(A1323,"IQ_TOTAL_DIV_PAID_CF",IQ_FY)/-I1333, _xll.ciqfunctions.udf.CIQ(A1323, "IQ_TOTAL_DIV_PAID_CF",IQ_LTM)/-I1333)</f>
        <v>1.358564367474357</v>
      </c>
      <c r="I1333" s="23">
        <f>IF(A1331=A1332,_xll.ciqfunctions.udf.CIQ(A1323,"IQ_TOTAL_OUTSTANDING_FILING_DATE",IQ_FY),_xll.ciqfunctions.udf.CIQ(A1323,"IQ_sharesoutstanding"))</f>
        <v>47.358080000000001</v>
      </c>
      <c r="J1333" s="23">
        <f>IF(A1331=A1332,_xll.ciqfunctions.udf.CIQ(A1323,"IQ_CASH_OPER",IQ_FY), _xll.ciqfunctions.udf.CIQ(A1323, "IQ_CASH_OPER",IQ_LTM))</f>
        <v>120.348</v>
      </c>
      <c r="K1333" s="23">
        <f>IF(A1331=A1332,_xll.ciqfunctions.udf.CIQ(A1323,"IQ_CAPEX",IQ_FY), _xll.ciqfunctions.udf.CIQ(A1323, "IQ_CAPEX",IQ_LTM))</f>
        <v>-63.585999999999999</v>
      </c>
      <c r="L1333" s="21">
        <f t="shared" si="352"/>
        <v>1.1985705501574389</v>
      </c>
      <c r="M1333" s="23">
        <f>IF(A1331=A1332,_xll.ciqfunctions.udf.CIQ(A1323,"IQ_TOTAL_DEBT_ISSUED",IQ_FY), _xll.ciqfunctions.udf.CIQ(A1323, "IQ_TOTAL_DEBT_ISSUED",IQ_LTM))</f>
        <v>0</v>
      </c>
      <c r="N1333" s="23">
        <f>IF(A1331=A1332,_xll.ciqfunctions.udf.CIQ(A1323,"IQ_TOTAL_DEBT_REPAID",IQ_FY), _xll.ciqfunctions.udf.CIQ(A1323, "IQ_TOTAL_DEBT_REPAID",IQ_LTM))</f>
        <v>0</v>
      </c>
      <c r="O1333" s="21">
        <f t="shared" si="353"/>
        <v>0</v>
      </c>
      <c r="P1333" s="21">
        <f t="shared" si="354"/>
        <v>1.1985705501574389</v>
      </c>
      <c r="Q1333" s="25" t="s">
        <v>45</v>
      </c>
      <c r="S1333" s="45"/>
      <c r="U1333" s="25"/>
      <c r="W1333" s="45"/>
      <c r="Y1333" s="25"/>
      <c r="AA1333" s="45"/>
    </row>
    <row r="1334" spans="1:27">
      <c r="B1334" s="24"/>
      <c r="C1334" s="25" t="s">
        <v>37</v>
      </c>
      <c r="E1334" s="26">
        <f>((D1333/D1328)^(1/5))-1</f>
        <v>0.18743031327378668</v>
      </c>
      <c r="F1334" s="27">
        <f>((F1333/F1328)^(1/5))-1</f>
        <v>0.282901104651748</v>
      </c>
      <c r="G1334" s="28"/>
      <c r="H1334" s="27">
        <f>((H1333/H1328)^(1/5))-1</f>
        <v>0.41421725082574756</v>
      </c>
      <c r="I1334" s="27">
        <f>((I1333/I1328)^(1/5))-1</f>
        <v>1.0493682632048973E-3</v>
      </c>
      <c r="J1334" s="27"/>
      <c r="K1334" s="27"/>
      <c r="L1334" s="26">
        <f>((L1333/L1328)^(1/5))-1</f>
        <v>-0.10146265868755233</v>
      </c>
      <c r="M1334" s="26"/>
      <c r="N1334" s="26"/>
      <c r="O1334" s="26"/>
      <c r="P1334" s="26">
        <f>((P1333/P1328)^(1/5))-1</f>
        <v>-0.10146265868755233</v>
      </c>
      <c r="Q1334" s="18"/>
      <c r="R1334" s="36"/>
      <c r="S1334" s="45"/>
      <c r="U1334" s="18"/>
      <c r="V1334" s="36"/>
      <c r="W1334" s="45"/>
      <c r="Y1334" s="18"/>
      <c r="Z1334" s="36"/>
      <c r="AA1334" s="45"/>
    </row>
    <row r="1335" spans="1:27">
      <c r="A1335" s="29"/>
      <c r="B1335" s="30"/>
      <c r="C1335" s="31" t="s">
        <v>38</v>
      </c>
      <c r="D1335" s="29"/>
      <c r="E1335" s="32">
        <f>((D1333/D1323)^(1/10))-1</f>
        <v>0.14656300805537792</v>
      </c>
      <c r="F1335" s="33">
        <f>((F1333/F1323)^(1/10))-1</f>
        <v>0.10483912595968436</v>
      </c>
      <c r="G1335" s="34"/>
      <c r="H1335" s="33" t="e">
        <f>((H1333/H1323)^(1/10))-1</f>
        <v>#DIV/0!</v>
      </c>
      <c r="I1335" s="33">
        <f>((I1333/I1323)^(1/10))-1</f>
        <v>1.9622651809383385E-3</v>
      </c>
      <c r="J1335" s="33"/>
      <c r="K1335" s="33"/>
      <c r="L1335" s="32">
        <f>((L1333/L1323)^(1/10))-1</f>
        <v>3.2877201719879068E-2</v>
      </c>
      <c r="M1335" s="32"/>
      <c r="N1335" s="32"/>
      <c r="O1335" s="32"/>
      <c r="P1335" s="32">
        <f>((P1333/P1323)^(1/10))-1</f>
        <v>3.2877201719879068E-2</v>
      </c>
      <c r="Q1335" s="40"/>
      <c r="R1335" s="41"/>
      <c r="S1335" s="46"/>
      <c r="U1335" s="40"/>
      <c r="V1335" s="41"/>
      <c r="W1335" s="46"/>
      <c r="Y1335" s="40"/>
      <c r="Z1335" s="41"/>
      <c r="AA1335" s="46"/>
    </row>
    <row r="1336" spans="1:27">
      <c r="B1336" s="24"/>
      <c r="C1336" s="25"/>
      <c r="E1336" s="26"/>
      <c r="F1336" s="27"/>
      <c r="G1336" s="28"/>
      <c r="H1336" s="27"/>
      <c r="I1336" s="27"/>
      <c r="J1336" s="27"/>
      <c r="K1336" s="27"/>
      <c r="L1336" s="26"/>
      <c r="M1336" s="17"/>
      <c r="N1336" s="17"/>
      <c r="O1336" s="17"/>
      <c r="P1336" s="35"/>
      <c r="Q1336" s="18"/>
      <c r="R1336" s="36"/>
    </row>
    <row r="1337" spans="1:27">
      <c r="A1337" s="9" t="s">
        <v>0</v>
      </c>
      <c r="B1337" s="10"/>
      <c r="C1337" s="9" t="s">
        <v>1</v>
      </c>
      <c r="D1337" s="9" t="s">
        <v>2</v>
      </c>
      <c r="E1337" s="9" t="s">
        <v>3</v>
      </c>
      <c r="F1337" s="11" t="s">
        <v>4</v>
      </c>
      <c r="G1337" s="11" t="s">
        <v>5</v>
      </c>
      <c r="H1337" s="9" t="s">
        <v>6</v>
      </c>
      <c r="I1337" s="11" t="s">
        <v>7</v>
      </c>
      <c r="J1337" s="11" t="s">
        <v>8</v>
      </c>
      <c r="K1337" s="11" t="s">
        <v>9</v>
      </c>
      <c r="L1337" s="11" t="s">
        <v>10</v>
      </c>
      <c r="M1337" s="11" t="s">
        <v>11</v>
      </c>
      <c r="N1337" s="11" t="s">
        <v>12</v>
      </c>
      <c r="O1337" s="11" t="s">
        <v>13</v>
      </c>
      <c r="P1337" s="11" t="s">
        <v>14</v>
      </c>
      <c r="Q1337" s="37" t="s">
        <v>15</v>
      </c>
      <c r="R1337" s="42">
        <f>_xll.ciqfunctions.udf.CIQ(A1338,("IQ_LASTSALEPRICE"))</f>
        <v>105.19</v>
      </c>
      <c r="S1337" s="44"/>
      <c r="U1337" s="37" t="s">
        <v>15</v>
      </c>
      <c r="V1337" s="42">
        <f>_xll.ciqfunctions.udf.CIQ(A1338,("IQ_LASTSALEPRICE"))</f>
        <v>105.19</v>
      </c>
      <c r="W1337" s="44"/>
      <c r="Y1337" s="37" t="s">
        <v>15</v>
      </c>
      <c r="Z1337" s="42">
        <f>_xll.ciqfunctions.udf.CIQ(A1338,("IQ_LASTSALEPRICE"))</f>
        <v>105.19</v>
      </c>
      <c r="AA1337" s="44"/>
    </row>
    <row r="1338" spans="1:27">
      <c r="A1338" s="12" t="str">
        <f>Analysis!B91</f>
        <v>NasdaqGS:ENTG</v>
      </c>
      <c r="B1338" s="13">
        <v>1</v>
      </c>
      <c r="C1338" s="14" t="s">
        <v>16</v>
      </c>
      <c r="D1338" s="15">
        <f>IF(A1346=A1347,_xll.ciqfunctions.udf.CIQ(A1338,"IQ_TOTAL_REV",IQ_FY-10)/I1338,_xll.ciqfunctions.udf.CIQ(A1338, "IQ_TOTAL_REV",IQ_FY-9)/I1338)</f>
        <v>4.9984214577945378</v>
      </c>
      <c r="E1338" s="16"/>
      <c r="F1338" s="15">
        <f>IF(A1346=A1347,_xll.ciqfunctions.udf.CIQ(A1338,"IQ_DILUT_EPS_EXCL",IQ_FY-10), _xll.ciqfunctions.udf.CIQ(A1338, "IQ_DILUT_EPS_EXCL",IQ_FY-9))</f>
        <v>0.53</v>
      </c>
      <c r="G1338" s="15">
        <f>IF(A1346=A1347,_xll.ciqfunctions.udf.CIQ(A1338,"IQ_EBITDA_MARGIN",IQ_FY-10), _xll.ciqfunctions.udf.CIQ(A1338, "IQ_EBITDA_MARGIN",IQ_FY-9))</f>
        <v>19.0655</v>
      </c>
      <c r="H1338" s="15">
        <f>IF(A1346=A1347,_xll.ciqfunctions.udf.CIQ(A1338,"IQ_TOTAL_DIV_PAID_CF",IQ_FY-10)/-I1338, _xll.ciqfunctions.udf.CIQ(A1338, "IQ_TOTAL_DIV_PAID_CF",IQ_FY-9)/-I1338)</f>
        <v>0</v>
      </c>
      <c r="I1338" s="17">
        <f>IF(A1346=A1347,_xll.ciqfunctions.udf.CIQ(A1338,"IQ_TOTAL_OUTSTANDING_FILING_DATE",IQ_FY-10), _xll.ciqfunctions.udf.CIQ(A1338, "IQ_TOTAL_OUTSTANDING_FILING_DATE",IQ_FY-9))</f>
        <v>138.73560000000001</v>
      </c>
      <c r="J1338" s="17">
        <f>IF(A1346=A1347,_xll.ciqfunctions.udf.CIQ(A1338,"IQ_CASH_OPER",IQ_FY-10), _xll.ciqfunctions.udf.CIQ(A1338, "IQ_CASH_OPER",IQ_FY-9))</f>
        <v>109.402</v>
      </c>
      <c r="K1338" s="17">
        <f>IF(A1346=A1347,_xll.ciqfunctions.udf.CIQ(A1338,"IQ_CAPEX",IQ_FY-10), _xll.ciqfunctions.udf.CIQ(A1338, "IQ_CAPEX",IQ_FY-9))</f>
        <v>-60.36</v>
      </c>
      <c r="L1338" s="15">
        <f t="shared" ref="L1338:L1348" si="356">(J1338+K1338)/I1338</f>
        <v>0.35349254264947139</v>
      </c>
      <c r="M1338" s="17">
        <f>IF(A1346=A1347,_xll.ciqfunctions.udf.CIQ(A1338,"IQ_TOTAL_DEBT_ISSUED",IQ_FY-10), _xll.ciqfunctions.udf.CIQ(A1338, "IQ_TOTAL_DEBT_ISSUED",IQ_FY-9))</f>
        <v>0</v>
      </c>
      <c r="N1338" s="17">
        <f>IF(A1346=A1347,_xll.ciqfunctions.udf.CIQ(A1338,"IQ_TOTAL_DEBT_REPAID",IQ_FY-10), _xll.ciqfunctions.udf.CIQ(A1338, "IQ_TOTAL_DEBT_REPAID",IQ_FY-9))</f>
        <v>0</v>
      </c>
      <c r="O1338" s="15">
        <f t="shared" ref="O1338:O1348" si="357">(M1338+N1338)/I1338</f>
        <v>0</v>
      </c>
      <c r="P1338" s="15">
        <f t="shared" ref="P1338:P1348" si="358">L1338+O1338</f>
        <v>0.35349254264947139</v>
      </c>
      <c r="W1338" s="43"/>
      <c r="AA1338" s="43"/>
    </row>
    <row r="1339" spans="1:27">
      <c r="A1339" s="18" t="str">
        <f>_xll.ciqfunctions.udf.CIQ(A1338,"IQ_COMPANY_NAME")</f>
        <v>Entegris, Inc.</v>
      </c>
      <c r="B1339" s="13">
        <v>2</v>
      </c>
      <c r="C1339" s="14" t="s">
        <v>17</v>
      </c>
      <c r="D1339" s="15">
        <f>IF(A1346=A1347,_xll.ciqfunctions.udf.CIQ(A1338,"IQ_TOTAL_REV",IQ_FY-9)/I1339, _xll.ciqfunctions.udf.CIQ(A1338, "IQ_TOTAL_REV",IQ_FY-8)/I1339)</f>
        <v>6.8821177776388422</v>
      </c>
      <c r="E1339" s="16">
        <f t="shared" ref="E1339:E1348" si="359">(D1339-D1338)/D1338</f>
        <v>0.37685824129673351</v>
      </c>
      <c r="F1339" s="15">
        <f>IF(A1346=A1347,_xll.ciqfunctions.udf.CIQ(A1338,"IQ_DILUT_EPS_EXCL",IQ_FY-9), _xll.ciqfunctions.udf.CIQ(A1338, "IQ_DILUT_EPS_EXCL",IQ_FY-8))</f>
        <v>5.6610000000000001E-2</v>
      </c>
      <c r="G1339" s="15">
        <f>IF(A1346=A1347,_xll.ciqfunctions.udf.CIQ(A1338,"IQ_EBITDA_MARGIN",IQ_FY-9), _xll.ciqfunctions.udf.CIQ(A1338, "IQ_EBITDA_MARGIN",IQ_FY-8))</f>
        <v>21.6112</v>
      </c>
      <c r="H1339" s="15">
        <f>IF(A1346=A1347,_xll.ciqfunctions.udf.CIQ(A1338,"IQ_TOTAL_DIV_PAID_CF",IQ_FY-9)/-I1339, _xll.ciqfunctions.udf.CIQ(A1338, "IQ_TOTAL_DIV_PAID_CF",IQ_FY-8)/-I1339)</f>
        <v>0</v>
      </c>
      <c r="I1339" s="17">
        <f>IF(A1346=A1347,_xll.ciqfunctions.udf.CIQ(A1338,"IQ_TOTAL_OUTSTANDING_FILING_DATE",IQ_FY-9), _xll.ciqfunctions.udf.CIQ(A1338, "IQ_TOTAL_OUTSTANDING_FILING_DATE",IQ_FY-8))</f>
        <v>139.79257999999999</v>
      </c>
      <c r="J1339" s="17">
        <f>IF(A1346=A1347,_xll.ciqfunctions.udf.CIQ(A1338,"IQ_CASH_OPER",IQ_FY-9), _xll.ciqfunctions.udf.CIQ(A1338, "IQ_CASH_OPER",IQ_FY-8))</f>
        <v>126.423</v>
      </c>
      <c r="K1339" s="17">
        <f>IF(A1346=A1347,_xll.ciqfunctions.udf.CIQ(A1338,"IQ_CAPEX",IQ_FY-9), _xll.ciqfunctions.udf.CIQ(A1338, "IQ_CAPEX",IQ_FY-8))</f>
        <v>-57.732999999999997</v>
      </c>
      <c r="L1339" s="15">
        <f t="shared" si="356"/>
        <v>0.49137085816715026</v>
      </c>
      <c r="M1339" s="17">
        <f>IF(A1346=A1347,_xll.ciqfunctions.udf.CIQ(A1338,"IQ_TOTAL_DEBT_ISSUED",IQ_FY-9), _xll.ciqfunctions.udf.CIQ(A1338, "IQ_TOTAL_DEBT_ISSUED",IQ_FY-8))</f>
        <v>855.2</v>
      </c>
      <c r="N1339" s="17">
        <f>IF(A1346=A1347,_xll.ciqfunctions.udf.CIQ(A1338,"IQ_TOTAL_DEBT_REPAID",IQ_FY-9), _xll.ciqfunctions.udf.CIQ(A1338, "IQ_TOTAL_DEBT_REPAID",IQ_FY-8))</f>
        <v>-88.65</v>
      </c>
      <c r="O1339" s="15">
        <f t="shared" si="357"/>
        <v>5.4834813120982542</v>
      </c>
      <c r="P1339" s="15">
        <f t="shared" si="358"/>
        <v>5.9748521702654047</v>
      </c>
      <c r="Q1339" s="25" t="s">
        <v>18</v>
      </c>
      <c r="R1339" s="39" t="s">
        <v>19</v>
      </c>
      <c r="S1339" s="1">
        <f>R1337/((AVERAGE(P1343:P1348))*(1+E1349)^3)</f>
        <v>10.411215830309661</v>
      </c>
      <c r="U1339" s="25" t="s">
        <v>48</v>
      </c>
      <c r="V1339" s="39" t="s">
        <v>19</v>
      </c>
      <c r="W1339" s="1">
        <f>V1337/((AVERAGE(P1343:P1348))*(1+E1349)^3)</f>
        <v>10.411215830309661</v>
      </c>
      <c r="Y1339" s="25" t="s">
        <v>39</v>
      </c>
      <c r="Z1339" s="39" t="s">
        <v>19</v>
      </c>
      <c r="AA1339" s="1">
        <f>Z1337/((AVERAGE(P1343:P1348))*(1+E1349)^3)</f>
        <v>10.411215830309661</v>
      </c>
    </row>
    <row r="1340" spans="1:27">
      <c r="B1340" s="13">
        <v>3</v>
      </c>
      <c r="C1340" s="14" t="s">
        <v>20</v>
      </c>
      <c r="D1340" s="15" cm="1">
        <f t="array" ref="D1340">_xlfn.SINGLE(IF(A1346=A1347,_xll.ciqfunctions.udf.CIQ(A1338,"IQ_TOTAL_REV",IQ_FY-8)/I1340, _xll.ciqfunctions.udf.CIQ(A1338, "IQ_TOTAL_REV",IQ_FY-7)/I1340))</f>
        <v>7.6871242636367194</v>
      </c>
      <c r="E1340" s="16">
        <f t="shared" si="359"/>
        <v>0.11697075115649409</v>
      </c>
      <c r="F1340" s="15">
        <f>IF(A1346=A1347,_xll.ciqfunctions.udf.CIQ(A1338,"IQ_DILUT_EPS_EXCL",IQ_FY-8), _xll.ciqfunctions.udf.CIQ(A1338, "IQ_DILUT_EPS_EXCL",IQ_FY-7))</f>
        <v>0.56999999999999995</v>
      </c>
      <c r="G1340" s="15">
        <f>IF(A1346=A1347,_xll.ciqfunctions.udf.CIQ(A1338,"IQ_EBITDA_MARGIN",IQ_FY-8), _xll.ciqfunctions.udf.CIQ(A1338, "IQ_EBITDA_MARGIN",IQ_FY-7))</f>
        <v>21.495100000000001</v>
      </c>
      <c r="H1340" s="15">
        <f>IF(A1346=A1347,_xll.ciqfunctions.udf.CIQ(A1338,"IQ_TOTAL_DIV_PAID_CF",IQ_FY-8)/-I1340, _xll.ciqfunctions.udf.CIQ(A1338, "IQ_TOTAL_DIV_PAID_CF",IQ_FY-7)/-I1340)</f>
        <v>0</v>
      </c>
      <c r="I1340" s="17">
        <f>IF(A1346=A1347,_xll.ciqfunctions.udf.CIQ(A1338,"IQ_TOTAL_OUTSTANDING_FILING_DATE",IQ_FY-8), _xll.ciqfunctions.udf.CIQ(A1338, "IQ_TOTAL_OUTSTANDING_FILING_DATE",IQ_FY-7))</f>
        <v>140.6405</v>
      </c>
      <c r="J1340" s="17">
        <f>IF(A1346=A1347,_xll.ciqfunctions.udf.CIQ(A1338,"IQ_CASH_OPER",IQ_FY-8), _xll.ciqfunctions.udf.CIQ(A1338, "IQ_CASH_OPER",IQ_FY-7))</f>
        <v>120.91800000000001</v>
      </c>
      <c r="K1340" s="17">
        <f>IF(A1346=A1347,_xll.ciqfunctions.udf.CIQ(A1338,"IQ_CAPEX",IQ_FY-8), _xll.ciqfunctions.udf.CIQ(A1338, "IQ_CAPEX",IQ_FY-7))</f>
        <v>-71.977000000000004</v>
      </c>
      <c r="L1340" s="15">
        <f t="shared" si="356"/>
        <v>0.34798653303991384</v>
      </c>
      <c r="M1340" s="17">
        <f>IF(A1346=A1347,_xll.ciqfunctions.udf.CIQ(A1338,"IQ_TOTAL_DEBT_ISSUED",IQ_FY-8), _xll.ciqfunctions.udf.CIQ(A1338, "IQ_TOTAL_DEBT_ISSUED",IQ_FY-7))</f>
        <v>0</v>
      </c>
      <c r="N1340" s="17">
        <f>IF(A1346=A1347,_xll.ciqfunctions.udf.CIQ(A1338,"IQ_TOTAL_DEBT_REPAID",IQ_FY-8), _xll.ciqfunctions.udf.CIQ(A1338, "IQ_TOTAL_DEBT_REPAID",IQ_FY-7))</f>
        <v>-100</v>
      </c>
      <c r="O1340" s="15">
        <f t="shared" si="357"/>
        <v>-0.71103273950249035</v>
      </c>
      <c r="P1340" s="15">
        <f t="shared" si="358"/>
        <v>-0.36304620646257652</v>
      </c>
      <c r="Q1340" s="25" t="s">
        <v>21</v>
      </c>
      <c r="R1340" s="38" t="s">
        <v>49</v>
      </c>
      <c r="S1340" s="2">
        <f>(R1337*I1348)/1000</f>
        <v>15.795212587200002</v>
      </c>
      <c r="U1340" s="25" t="s">
        <v>59</v>
      </c>
      <c r="V1340" s="38" t="s">
        <v>49</v>
      </c>
      <c r="W1340" s="2">
        <f>(V1337*I1348)/1000</f>
        <v>15.795212587200002</v>
      </c>
      <c r="Y1340" s="25" t="s">
        <v>46</v>
      </c>
      <c r="Z1340" s="38" t="s">
        <v>49</v>
      </c>
      <c r="AA1340" s="2">
        <f>(Z1337*I1348)/1000</f>
        <v>15.795212587200002</v>
      </c>
    </row>
    <row r="1341" spans="1:27">
      <c r="A1341" s="18"/>
      <c r="B1341" s="13">
        <v>4</v>
      </c>
      <c r="C1341" s="14" t="s">
        <v>22</v>
      </c>
      <c r="D1341" s="15" cm="1">
        <f t="array" ref="D1341">_xlfn.SINGLE(IF(A1346=A1347,_xll.ciqfunctions.udf.CIQ(A1338,"IQ_TOTAL_REV",IQ_FY-7)/I1341, _xll.ciqfunctions.udf.CIQ(A1338, "IQ_TOTAL_REV",IQ_FY-6)/I1341))</f>
        <v>8.3222348486565121</v>
      </c>
      <c r="E1341" s="16">
        <f t="shared" si="359"/>
        <v>8.2620049219723005E-2</v>
      </c>
      <c r="F1341" s="15">
        <f>IF(A1346=A1347,_xll.ciqfunctions.udf.CIQ(A1338,"IQ_DILUT_EPS_EXCL",IQ_FY-7), _xll.ciqfunctions.udf.CIQ(A1338, "IQ_DILUT_EPS_EXCL",IQ_FY-6))</f>
        <v>0.68</v>
      </c>
      <c r="G1341" s="15">
        <f>IF(A1346=A1347,_xll.ciqfunctions.udf.CIQ(A1338,"IQ_EBITDA_MARGIN",IQ_FY-7), _xll.ciqfunctions.udf.CIQ(A1338, "IQ_EBITDA_MARGIN",IQ_FY-6))</f>
        <v>22.268999999999998</v>
      </c>
      <c r="H1341" s="15">
        <f>IF(A1346=A1347,_xll.ciqfunctions.udf.CIQ(A1338,"IQ_TOTAL_DIV_PAID_CF",IQ_FY-7)/-I1341, _xll.ciqfunctions.udf.CIQ(A1338, "IQ_TOTAL_DIV_PAID_CF",IQ_FY-6)/-I1341)</f>
        <v>0</v>
      </c>
      <c r="I1341" s="17">
        <f>IF(A1346=A1347,_xll.ciqfunctions.udf.CIQ(A1338,"IQ_TOTAL_OUTSTANDING_FILING_DATE",IQ_FY-7), _xll.ciqfunctions.udf.CIQ(A1338, "IQ_TOTAL_OUTSTANDING_FILING_DATE",IQ_FY-6))</f>
        <v>141.22048000000001</v>
      </c>
      <c r="J1341" s="17">
        <f>IF(A1346=A1347,_xll.ciqfunctions.udf.CIQ(A1338,"IQ_CASH_OPER",IQ_FY-7), _xll.ciqfunctions.udf.CIQ(A1338, "IQ_CASH_OPER",IQ_FY-6))</f>
        <v>207.55500000000001</v>
      </c>
      <c r="K1341" s="17">
        <f>IF(A1346=A1347,_xll.ciqfunctions.udf.CIQ(A1338,"IQ_CAPEX",IQ_FY-7), _xll.ciqfunctions.udf.CIQ(A1338, "IQ_CAPEX",IQ_FY-6))</f>
        <v>-65.260000000000005</v>
      </c>
      <c r="L1341" s="15">
        <f t="shared" si="356"/>
        <v>1.0076088114131889</v>
      </c>
      <c r="M1341" s="17">
        <f>IF(A1346=A1347,_xll.ciqfunctions.udf.CIQ(A1338,"IQ_TOTAL_DEBT_ISSUED",IQ_FY-7), _xll.ciqfunctions.udf.CIQ(A1338, "IQ_TOTAL_DEBT_ISSUED",IQ_FY-6))</f>
        <v>0</v>
      </c>
      <c r="N1341" s="17">
        <f>IF(A1346=A1347,_xll.ciqfunctions.udf.CIQ(A1338,"IQ_TOTAL_DEBT_REPAID",IQ_FY-7), _xll.ciqfunctions.udf.CIQ(A1338, "IQ_TOTAL_DEBT_REPAID",IQ_FY-6))</f>
        <v>-75</v>
      </c>
      <c r="O1341" s="15">
        <f t="shared" si="357"/>
        <v>-0.53108444327621596</v>
      </c>
      <c r="P1341" s="15">
        <f t="shared" si="358"/>
        <v>0.47652436813697296</v>
      </c>
      <c r="Q1341" s="25" t="s">
        <v>23</v>
      </c>
      <c r="R1341" s="38" t="s">
        <v>24</v>
      </c>
      <c r="S1341" s="1">
        <f>R1337/(AVERAGE(H1343:H1348)*(1+H1349)/(0.5-H1349))</f>
        <v>127.97580223822342</v>
      </c>
      <c r="U1341" s="25" t="s">
        <v>40</v>
      </c>
      <c r="V1341" s="38" t="s">
        <v>24</v>
      </c>
      <c r="W1341" s="1">
        <f>V1337/(AVERAGE(H1343:H1348)*(1+H1349)/(0.5-H1349))</f>
        <v>127.97580223822342</v>
      </c>
      <c r="Y1341" s="25" t="s">
        <v>47</v>
      </c>
      <c r="Z1341" s="38" t="s">
        <v>24</v>
      </c>
      <c r="AA1341" s="1">
        <f>Z1337/(AVERAGE(H1343:H1348)*(1+H1349)/(0.5-H1349))</f>
        <v>127.97580223822342</v>
      </c>
    </row>
    <row r="1342" spans="1:27">
      <c r="B1342" s="13">
        <v>5</v>
      </c>
      <c r="C1342" s="14" t="s">
        <v>25</v>
      </c>
      <c r="D1342" s="15" cm="1">
        <f t="array" ref="D1342">_xlfn.SINGLE(IF(A1346=A1347,_xll.ciqfunctions.udf.CIQ(A1338,"IQ_TOTAL_REV",IQ_FY-6)/I1342, _xll.ciqfunctions.udf.CIQ(A1338, "IQ_TOTAL_REV",IQ_FY-5)/I1342))</f>
        <v>9.5119753801227755</v>
      </c>
      <c r="E1342" s="16">
        <f t="shared" si="359"/>
        <v>0.14295925951408683</v>
      </c>
      <c r="F1342" s="15">
        <f>IF(A1346=A1347,_xll.ciqfunctions.udf.CIQ(A1338,"IQ_DILUT_EPS_EXCL",IQ_FY-6), _xll.ciqfunctions.udf.CIQ(A1338, "IQ_DILUT_EPS_EXCL",IQ_FY-5))</f>
        <v>0.59</v>
      </c>
      <c r="G1342" s="15">
        <f>IF(A1346=A1347,_xll.ciqfunctions.udf.CIQ(A1338,"IQ_EBITDA_MARGIN",IQ_FY-6), _xll.ciqfunctions.udf.CIQ(A1338, "IQ_EBITDA_MARGIN",IQ_FY-5))</f>
        <v>26.4588</v>
      </c>
      <c r="H1342" s="15">
        <f>IF(A1346=A1347,_xll.ciqfunctions.udf.CIQ(A1338,"IQ_TOTAL_DIV_PAID_CF",IQ_FY-6)/-I1342, _xll.ciqfunctions.udf.CIQ(A1338, "IQ_TOTAL_DIV_PAID_CF",IQ_FY-5)/-I1342)</f>
        <v>7.0114163656207068E-2</v>
      </c>
      <c r="I1342" s="17">
        <f>IF(A1346=A1347,_xll.ciqfunctions.udf.CIQ(A1338,"IQ_TOTAL_OUTSTANDING_FILING_DATE",IQ_FY-6), _xll.ciqfunctions.udf.CIQ(A1338, "IQ_TOTAL_OUTSTANDING_FILING_DATE",IQ_FY-5))</f>
        <v>141.14124000000001</v>
      </c>
      <c r="J1342" s="17">
        <f>IF(A1346=A1347,_xll.ciqfunctions.udf.CIQ(A1338,"IQ_CASH_OPER",IQ_FY-6), _xll.ciqfunctions.udf.CIQ(A1338, "IQ_CASH_OPER",IQ_FY-5))</f>
        <v>293.37299999999999</v>
      </c>
      <c r="K1342" s="17">
        <f>IF(A1346=A1347,_xll.ciqfunctions.udf.CIQ(A1338,"IQ_CAPEX",IQ_FY-6), _xll.ciqfunctions.udf.CIQ(A1338, "IQ_CAPEX",IQ_FY-5))</f>
        <v>-93.596999999999994</v>
      </c>
      <c r="L1342" s="15">
        <f t="shared" si="356"/>
        <v>1.4154332213603904</v>
      </c>
      <c r="M1342" s="17">
        <f>IF(A1346=A1347,_xll.ciqfunctions.udf.CIQ(A1338,"IQ_TOTAL_DEBT_ISSUED",IQ_FY-6), _xll.ciqfunctions.udf.CIQ(A1338, "IQ_TOTAL_DEBT_ISSUED",IQ_FY-5))</f>
        <v>550</v>
      </c>
      <c r="N1342" s="17">
        <f>IF(A1346=A1347,_xll.ciqfunctions.udf.CIQ(A1338,"IQ_TOTAL_DEBT_REPAID",IQ_FY-6), _xll.ciqfunctions.udf.CIQ(A1338, "IQ_TOTAL_DEBT_REPAID",IQ_FY-5))</f>
        <v>-460</v>
      </c>
      <c r="O1342" s="15">
        <f t="shared" si="357"/>
        <v>0.63765912783535128</v>
      </c>
      <c r="P1342" s="15">
        <f t="shared" si="358"/>
        <v>2.0530923491957416</v>
      </c>
      <c r="Q1342" s="18"/>
      <c r="R1342" s="38" t="s">
        <v>50</v>
      </c>
      <c r="S1342" s="3">
        <f>I1349</f>
        <v>2.1599078049813203E-2</v>
      </c>
      <c r="U1342" s="18"/>
      <c r="V1342" s="38" t="s">
        <v>50</v>
      </c>
      <c r="W1342" s="3">
        <f>I1349</f>
        <v>2.1599078049813203E-2</v>
      </c>
      <c r="Y1342" s="18"/>
      <c r="Z1342" s="38" t="s">
        <v>50</v>
      </c>
      <c r="AA1342" s="3">
        <f>I1349</f>
        <v>2.1599078049813203E-2</v>
      </c>
    </row>
    <row r="1343" spans="1:27">
      <c r="B1343" s="13">
        <v>6</v>
      </c>
      <c r="C1343" s="14" t="s">
        <v>26</v>
      </c>
      <c r="D1343" s="15" cm="1">
        <f t="array" ref="D1343">_xlfn.SINGLE(IF(A1346=A1347,_xll.ciqfunctions.udf.CIQ(A1338,"IQ_TOTAL_REV",IQ_FY-5)/I1343, _xll.ciqfunctions.udf.CIQ(A1338, "IQ_TOTAL_REV",IQ_FY-4)/I1343))</f>
        <v>11.490061984947063</v>
      </c>
      <c r="E1343" s="16">
        <f t="shared" si="359"/>
        <v>0.20795749839280553</v>
      </c>
      <c r="F1343" s="15">
        <f>IF(A1346=A1347,_xll.ciqfunctions.udf.CIQ(A1338,"IQ_DILUT_EPS_EXCL",IQ_FY-5), _xll.ciqfunctions.udf.CIQ(A1338, "IQ_DILUT_EPS_EXCL",IQ_FY-4))</f>
        <v>1.69</v>
      </c>
      <c r="G1343" s="15">
        <f>IF(A1346=A1347,_xll.ciqfunctions.udf.CIQ(A1338,"IQ_EBITDA_MARGIN",IQ_FY-5), _xll.ciqfunctions.udf.CIQ(A1338, "IQ_EBITDA_MARGIN",IQ_FY-4))</f>
        <v>28.096900000000002</v>
      </c>
      <c r="H1343" s="15">
        <f>IF(A1346=A1347,_xll.ciqfunctions.udf.CIQ(A1338,"IQ_TOTAL_DIV_PAID_CF",IQ_FY-5)/-I1343, _xll.ciqfunctions.udf.CIQ(A1338, "IQ_TOTAL_DIV_PAID_CF",IQ_FY-4)/-I1343)</f>
        <v>0.29339176022013536</v>
      </c>
      <c r="I1343" s="17">
        <f>IF(A1346=A1347,_xll.ciqfunctions.udf.CIQ(A1338,"IQ_TOTAL_OUTSTANDING_FILING_DATE",IQ_FY-5), _xll.ciqfunctions.udf.CIQ(A1338, "IQ_TOTAL_OUTSTANDING_FILING_DATE",IQ_FY-4))</f>
        <v>134.94244</v>
      </c>
      <c r="J1343" s="17">
        <f>IF(A1346=A1347,_xll.ciqfunctions.udf.CIQ(A1338,"IQ_CASH_OPER",IQ_FY-5), _xll.ciqfunctions.udf.CIQ(A1338, "IQ_CASH_OPER",IQ_FY-4))</f>
        <v>312.57600000000002</v>
      </c>
      <c r="K1343" s="17">
        <f>IF(A1346=A1347,_xll.ciqfunctions.udf.CIQ(A1338,"IQ_CAPEX",IQ_FY-5), _xll.ciqfunctions.udf.CIQ(A1338, "IQ_CAPEX",IQ_FY-4))</f>
        <v>-110.15300000000001</v>
      </c>
      <c r="L1343" s="15">
        <f t="shared" si="356"/>
        <v>1.5000692146962809</v>
      </c>
      <c r="M1343" s="17">
        <f>IF(A1346=A1347,_xll.ciqfunctions.udf.CIQ(A1338,"IQ_TOTAL_DEBT_ISSUED",IQ_FY-5), _xll.ciqfunctions.udf.CIQ(A1338, "IQ_TOTAL_DEBT_ISSUED",IQ_FY-4))</f>
        <v>402</v>
      </c>
      <c r="N1343" s="17">
        <f>IF(A1346=A1347,_xll.ciqfunctions.udf.CIQ(A1338,"IQ_TOTAL_DEBT_REPAID",IQ_FY-5), _xll.ciqfunctions.udf.CIQ(A1338, "IQ_TOTAL_DEBT_REPAID",IQ_FY-4))</f>
        <v>-135.85</v>
      </c>
      <c r="O1343" s="15">
        <f t="shared" si="357"/>
        <v>1.9723224213227504</v>
      </c>
      <c r="P1343" s="15">
        <f t="shared" si="358"/>
        <v>3.4723916360190312</v>
      </c>
      <c r="Q1343" s="25" t="s">
        <v>27</v>
      </c>
      <c r="R1343" s="38" t="s">
        <v>51</v>
      </c>
      <c r="S1343" s="4">
        <f>AVERAGE(F1343:F1348)/AVERAGE(D1343:D1348)</f>
        <v>0.11465085944021548</v>
      </c>
      <c r="U1343" s="25" t="s">
        <v>58</v>
      </c>
      <c r="V1343" s="38" t="s">
        <v>51</v>
      </c>
      <c r="W1343" s="4">
        <f>AVERAGE(F1343:F1348)/AVERAGE(D1343:D1348)</f>
        <v>0.11465085944021548</v>
      </c>
      <c r="Y1343" s="25" t="s">
        <v>56</v>
      </c>
      <c r="Z1343" s="38" t="s">
        <v>51</v>
      </c>
      <c r="AA1343" s="4">
        <f>AVERAGE(F1343:F1348)/AVERAGE(D1343:D1348)</f>
        <v>0.11465085944021548</v>
      </c>
    </row>
    <row r="1344" spans="1:27">
      <c r="A1344" s="18"/>
      <c r="B1344" s="13">
        <v>7</v>
      </c>
      <c r="C1344" s="14" t="s">
        <v>28</v>
      </c>
      <c r="D1344" s="15" cm="1">
        <f t="array" ref="D1344">_xlfn.SINGLE(IF(A1346=A1347,_xll.ciqfunctions.udf.CIQ(A1338,"IQ_TOTAL_REV",IQ_FY-4)/I1344, _xll.ciqfunctions.udf.CIQ(A1338, "IQ_TOTAL_REV",IQ_FY-3)/I1344))</f>
        <v>11.818295195100371</v>
      </c>
      <c r="E1344" s="16">
        <f t="shared" si="359"/>
        <v>2.8566704912760262E-2</v>
      </c>
      <c r="F1344" s="15">
        <f>IF(A1346=A1347,_xll.ciqfunctions.udf.CIQ(A1338,"IQ_DILUT_EPS_EXCL",IQ_FY-4), _xll.ciqfunctions.udf.CIQ(A1338, "IQ_DILUT_EPS_EXCL",IQ_FY-3))</f>
        <v>1.87</v>
      </c>
      <c r="G1344" s="15">
        <f>IF(A1346=A1347,_xll.ciqfunctions.udf.CIQ(A1338,"IQ_EBITDA_MARGIN",IQ_FY-4), _xll.ciqfunctions.udf.CIQ(A1338, "IQ_EBITDA_MARGIN",IQ_FY-3))</f>
        <v>23.926100000000002</v>
      </c>
      <c r="H1344" s="15">
        <f>IF(A1346=A1347,_xll.ciqfunctions.udf.CIQ(A1338,"IQ_TOTAL_DIV_PAID_CF",IQ_FY-4)/-I1344, _xll.ciqfunctions.udf.CIQ(A1338, "IQ_TOTAL_DIV_PAID_CF",IQ_FY-3)/-I1344)</f>
        <v>0.30132060070697364</v>
      </c>
      <c r="I1344" s="17">
        <f>IF(A1346=A1347,_xll.ciqfunctions.udf.CIQ(A1338,"IQ_TOTAL_OUTSTANDING_FILING_DATE",IQ_FY-4), _xll.ciqfunctions.udf.CIQ(A1338, "IQ_TOTAL_OUTSTANDING_FILING_DATE",IQ_FY-3))</f>
        <v>134.62737000000001</v>
      </c>
      <c r="J1344" s="17">
        <f>IF(A1346=A1347,_xll.ciqfunctions.udf.CIQ(A1338,"IQ_CASH_OPER",IQ_FY-4), _xll.ciqfunctions.udf.CIQ(A1338, "IQ_CASH_OPER",IQ_FY-3))</f>
        <v>382.298</v>
      </c>
      <c r="K1344" s="17">
        <f>IF(A1346=A1347,_xll.ciqfunctions.udf.CIQ(A1338,"IQ_CAPEX",IQ_FY-4), _xll.ciqfunctions.udf.CIQ(A1338, "IQ_CAPEX",IQ_FY-3))</f>
        <v>-112.355</v>
      </c>
      <c r="L1344" s="15">
        <f t="shared" si="356"/>
        <v>2.0051123333984759</v>
      </c>
      <c r="M1344" s="17">
        <f>IF(A1346=A1347,_xll.ciqfunctions.udf.CIQ(A1338,"IQ_TOTAL_DEBT_ISSUED",IQ_FY-4), _xll.ciqfunctions.udf.CIQ(A1338, "IQ_TOTAL_DEBT_ISSUED",IQ_FY-3))</f>
        <v>0</v>
      </c>
      <c r="N1344" s="17">
        <f>IF(A1346=A1347,_xll.ciqfunctions.udf.CIQ(A1338,"IQ_TOTAL_DEBT_REPAID",IQ_FY-4), _xll.ciqfunctions.udf.CIQ(A1338, "IQ_TOTAL_DEBT_REPAID",IQ_FY-3))</f>
        <v>-4</v>
      </c>
      <c r="O1344" s="15">
        <f t="shared" si="357"/>
        <v>-2.9711640359608892E-2</v>
      </c>
      <c r="P1344" s="15">
        <f t="shared" si="358"/>
        <v>1.975400693038867</v>
      </c>
      <c r="Q1344" s="18"/>
      <c r="R1344" s="38" t="s">
        <v>29</v>
      </c>
      <c r="S1344" s="4">
        <f>(AVERAGE(P1343:P1348)/_xlfn.STDEV.P(P1343:P1348))/(IF(A1346=A1347,(_xlfn.SINGLE(_xll.ciqfunctions.udf.CIQ(A1338,"IQ_total_assets",IQ_FY)) - _xlfn.SINGLE(_xll.ciqfunctions.udf.CIQ(A1338,"iq_gw_intan", IQ_FY)))/I1348, (_xlfn.SINGLE(_xll.ciqfunctions.udf.CIQ(A1338, "IQ_total_assets",IQ_LTM))-_xlfn.SINGLE(_xll.ciqfunctions.udf.CIQ(A1338,"iq_gw_intan",IQ_LTM)))/I1348))</f>
        <v>1.8287195321336876E-2</v>
      </c>
      <c r="U1344" s="18"/>
      <c r="V1344" s="38" t="s">
        <v>29</v>
      </c>
      <c r="W1344" s="4">
        <f>(AVERAGE(P1343:P1348)/_xlfn.STDEV.P(P1343:P1348))/(IF(A1346=A1347,(_xlfn.SINGLE(_xll.ciqfunctions.udf.CIQ(A1338,"IQ_total_assets",IQ_FY)) - _xlfn.SINGLE(_xll.ciqfunctions.udf.CIQ(A1338,"iq_gw_intan", IQ_FY)))/I1348, (_xlfn.SINGLE(_xll.ciqfunctions.udf.CIQ(A1338, "IQ_total_assets",IQ_LTM))-_xlfn.SINGLE(_xll.ciqfunctions.udf.CIQ(A1338,"iq_gw_intan",IQ_LTM)))/I1348))</f>
        <v>1.8287195321336876E-2</v>
      </c>
      <c r="Y1344" s="18"/>
      <c r="Z1344" s="38" t="s">
        <v>29</v>
      </c>
      <c r="AA1344" s="4">
        <f>(AVERAGE(P1343:P1348)/_xlfn.STDEV.P(P1343:P1348))/(IF(A1346=A1347,(_xlfn.SINGLE(_xll.ciqfunctions.udf.CIQ(A1338,"IQ_total_assets",IQ_FY)) - _xlfn.SINGLE(_xll.ciqfunctions.udf.CIQ(A1338,"iq_gw_intan", IQ_FY)))/I1348, (_xlfn.SINGLE(_xll.ciqfunctions.udf.CIQ(A1338, "IQ_total_assets",IQ_LTM))-_xlfn.SINGLE(_xll.ciqfunctions.udf.CIQ(A1338,"iq_gw_intan",IQ_LTM)))/I1348))</f>
        <v>1.8287195321336876E-2</v>
      </c>
    </row>
    <row r="1345" spans="1:27">
      <c r="A1345" s="18"/>
      <c r="B1345" s="13">
        <v>8</v>
      </c>
      <c r="C1345" s="14" t="s">
        <v>30</v>
      </c>
      <c r="D1345" s="15" cm="1">
        <f t="array" ref="D1345">_xlfn.SINGLE(IF(A1346=A1347,_xll.ciqfunctions.udf.CIQ(A1338,"IQ_TOTAL_REV",IQ_FY-3)/I1345, _xll.ciqfunctions.udf.CIQ(A1338, "IQ_TOTAL_REV",IQ_FY-2)/I1345))</f>
        <v>13.779468387335458</v>
      </c>
      <c r="E1345" s="16">
        <f t="shared" si="359"/>
        <v>0.16594383198755691</v>
      </c>
      <c r="F1345" s="15">
        <f>IF(A1346=A1347,_xll.ciqfunctions.udf.CIQ(A1338,"IQ_DILUT_EPS_EXCL",IQ_FY-3), _xll.ciqfunctions.udf.CIQ(A1338, "IQ_DILUT_EPS_EXCL",IQ_FY-2))</f>
        <v>2.16</v>
      </c>
      <c r="G1345" s="15">
        <f>IF(A1346=A1347,_xll.ciqfunctions.udf.CIQ(A1338,"IQ_EBITDA_MARGIN",IQ_FY-3), _xll.ciqfunctions.udf.CIQ(A1338, "IQ_EBITDA_MARGIN",IQ_FY-2))</f>
        <v>28.610900000000001</v>
      </c>
      <c r="H1345" s="15">
        <f>IF(A1346=A1347,_xll.ciqfunctions.udf.CIQ(A1338,"IQ_TOTAL_DIV_PAID_CF",IQ_FY-3)/-I1345, _xll.ciqfunctions.udf.CIQ(A1338, "IQ_TOTAL_DIV_PAID_CF",IQ_FY-2)/-I1345)</f>
        <v>0.32049101491267035</v>
      </c>
      <c r="I1345" s="17">
        <f>IF(A1346=A1347,_xll.ciqfunctions.udf.CIQ(A1338,"IQ_TOTAL_OUTSTANDING_FILING_DATE",IQ_FY-3), _xll.ciqfunctions.udf.CIQ(A1338, "IQ_TOTAL_OUTSTANDING_FILING_DATE",IQ_FY-2))</f>
        <v>134.93358000000001</v>
      </c>
      <c r="J1345" s="17">
        <f>IF(A1346=A1347,_xll.ciqfunctions.udf.CIQ(A1338,"IQ_CASH_OPER",IQ_FY-3), _xll.ciqfunctions.udf.CIQ(A1338, "IQ_CASH_OPER",IQ_FY-2))</f>
        <v>446.67399999999998</v>
      </c>
      <c r="K1345" s="17">
        <f>IF(A1346=A1347,_xll.ciqfunctions.udf.CIQ(A1338,"IQ_CAPEX",IQ_FY-3), _xll.ciqfunctions.udf.CIQ(A1338, "IQ_CAPEX",IQ_FY-2))</f>
        <v>-131.75200000000001</v>
      </c>
      <c r="L1345" s="15">
        <f t="shared" si="356"/>
        <v>2.3339038362429867</v>
      </c>
      <c r="M1345" s="17">
        <f>IF(A1346=A1347,_xll.ciqfunctions.udf.CIQ(A1338,"IQ_TOTAL_DEBT_ISSUED",IQ_FY-3), _xll.ciqfunctions.udf.CIQ(A1338, "IQ_TOTAL_DEBT_ISSUED",IQ_FY-2))</f>
        <v>617</v>
      </c>
      <c r="N1345" s="17">
        <f>IF(A1346=A1347,_xll.ciqfunctions.udf.CIQ(A1338,"IQ_TOTAL_DEBT_REPAID",IQ_FY-3), _xll.ciqfunctions.udf.CIQ(A1338, "IQ_TOTAL_DEBT_REPAID",IQ_FY-2))</f>
        <v>-468</v>
      </c>
      <c r="O1345" s="15">
        <f t="shared" si="357"/>
        <v>1.1042469932243701</v>
      </c>
      <c r="P1345" s="15">
        <f t="shared" si="358"/>
        <v>3.4381508294673568</v>
      </c>
      <c r="Q1345" s="18"/>
      <c r="R1345" s="39" t="s">
        <v>31</v>
      </c>
      <c r="S1345" s="5">
        <f>IF(NOT(D1338&gt;0),FALSE,SLOPE(G1338:G1348,B1338:B1348))</f>
        <v>0.72953181818181823</v>
      </c>
      <c r="U1345" s="18"/>
      <c r="V1345" s="39" t="s">
        <v>31</v>
      </c>
      <c r="W1345" s="5">
        <f>IF(NOT(D1338&gt;0),FALSE,SLOPE(G1338:G1348,B1338:B1348))</f>
        <v>0.72953181818181823</v>
      </c>
      <c r="Y1345" s="18"/>
      <c r="Z1345" s="39" t="s">
        <v>31</v>
      </c>
      <c r="AA1345" s="5">
        <f>IF(NOT(L1338&gt;0),FALSE,SLOPE(O1338:O1348,J1338:J1348))</f>
        <v>2.603777215847296E-3</v>
      </c>
    </row>
    <row r="1346" spans="1:27">
      <c r="A1346" s="19">
        <f>_xll.ciqfunctions.udf.CIQ(A1338,"IQ_TOTAL_REV",IQ_FY)</f>
        <v>3282.0329999999999</v>
      </c>
      <c r="B1346" s="13">
        <v>9</v>
      </c>
      <c r="C1346" s="14" t="s">
        <v>32</v>
      </c>
      <c r="D1346" s="15" cm="1">
        <f t="array" ref="D1346">_xlfn.SINGLE(IF(A1346=A1347,_xll.ciqfunctions.udf.CIQ(A1338,"IQ_TOTAL_REV",IQ_FY-2)/I1346, _xll.ciqfunctions.udf.CIQ(A1338, "IQ_TOTAL_REV",IQ_FY-1)/I1346))</f>
        <v>16.963875446742946</v>
      </c>
      <c r="E1346" s="16">
        <f t="shared" si="359"/>
        <v>0.23109796182951722</v>
      </c>
      <c r="F1346" s="15">
        <f>IF(A1346=A1347,_xll.ciqfunctions.udf.CIQ(A1338,"IQ_DILUT_EPS_EXCL",IQ_FY-2), _xll.ciqfunctions.udf.CIQ(A1338, "IQ_DILUT_EPS_EXCL",IQ_FY-1))</f>
        <v>3</v>
      </c>
      <c r="G1346" s="15">
        <f>IF(A1346=A1347,_xll.ciqfunctions.udf.CIQ(A1338,"IQ_EBITDA_MARGIN",IQ_FY-2), _xll.ciqfunctions.udf.CIQ(A1338, "IQ_EBITDA_MARGIN",IQ_FY-1))</f>
        <v>30.382400000000001</v>
      </c>
      <c r="H1346" s="15">
        <f>IF(A1346=A1347,_xll.ciqfunctions.udf.CIQ(A1338,"IQ_TOTAL_DIV_PAID_CF",IQ_FY-2)/-I1346, _xll.ciqfunctions.udf.CIQ(A1338, "IQ_TOTAL_DIV_PAID_CF",IQ_FY-1)/-I1346)</f>
        <v>0.32132507094867901</v>
      </c>
      <c r="I1346" s="17">
        <f>IF(A1346=A1347,_xll.ciqfunctions.udf.CIQ(A1338,"IQ_TOTAL_OUTSTANDING_FILING_DATE",IQ_FY-2), _xll.ciqfunctions.udf.CIQ(A1338, "IQ_TOTAL_OUTSTANDING_FILING_DATE",IQ_FY-1))</f>
        <v>135.51696999999999</v>
      </c>
      <c r="J1346" s="17">
        <f>IF(A1346=A1347,_xll.ciqfunctions.udf.CIQ(A1338,"IQ_CASH_OPER",IQ_FY-2), _xll.ciqfunctions.udf.CIQ(A1338, "IQ_CASH_OPER",IQ_FY-1))</f>
        <v>400.45400000000001</v>
      </c>
      <c r="K1346" s="17">
        <f>IF(A1346=A1347,_xll.ciqfunctions.udf.CIQ(A1338,"IQ_CAPEX",IQ_FY-2), _xll.ciqfunctions.udf.CIQ(A1338, "IQ_CAPEX",IQ_FY-1))</f>
        <v>-210.626</v>
      </c>
      <c r="L1346" s="15">
        <f t="shared" si="356"/>
        <v>1.4007692173164734</v>
      </c>
      <c r="M1346" s="17">
        <f>IF(A1346=A1347,_xll.ciqfunctions.udf.CIQ(A1338,"IQ_TOTAL_DEBT_ISSUED",IQ_FY-2), _xll.ciqfunctions.udf.CIQ(A1338, "IQ_TOTAL_DEBT_ISSUED",IQ_FY-1))</f>
        <v>501</v>
      </c>
      <c r="N1346" s="17">
        <f>IF(A1346=A1347,_xll.ciqfunctions.udf.CIQ(A1338,"IQ_TOTAL_DEBT_REPAID",IQ_FY-2), _xll.ciqfunctions.udf.CIQ(A1338, "IQ_TOTAL_DEBT_REPAID",IQ_FY-1))</f>
        <v>-651</v>
      </c>
      <c r="O1346" s="15">
        <f t="shared" si="357"/>
        <v>-1.1068724455689942</v>
      </c>
      <c r="P1346" s="15">
        <f t="shared" si="358"/>
        <v>0.29389677174747919</v>
      </c>
      <c r="Q1346" s="25" t="s">
        <v>33</v>
      </c>
      <c r="R1346" s="38" t="s">
        <v>52</v>
      </c>
      <c r="S1346" s="4">
        <f>(AVERAGE(O1343:O1348)/AVERAGE(P1343:P1348))</f>
        <v>0.82617611191262719</v>
      </c>
      <c r="U1346" s="25" t="s">
        <v>54</v>
      </c>
      <c r="V1346" s="38" t="s">
        <v>52</v>
      </c>
      <c r="W1346" s="4">
        <f>(AVERAGE(O1343:O1348)/AVERAGE(P1343:P1348))</f>
        <v>0.82617611191262719</v>
      </c>
      <c r="Y1346" s="25" t="s">
        <v>60</v>
      </c>
      <c r="Z1346" s="38" t="s">
        <v>52</v>
      </c>
      <c r="AA1346" s="4">
        <f>(AVERAGE(O1343:O1348)/AVERAGE(P1343:P1348))</f>
        <v>0.82617611191262719</v>
      </c>
    </row>
    <row r="1347" spans="1:27">
      <c r="A1347" s="19">
        <f>_xll.ciqfunctions.udf.CIQ(A1338,"IQ_TOTAL_REV",IQ_LTM)</f>
        <v>3657.7049999999999</v>
      </c>
      <c r="B1347" s="13">
        <v>10</v>
      </c>
      <c r="C1347" s="14" t="s">
        <v>34</v>
      </c>
      <c r="D1347" s="15" cm="1">
        <f t="array" ref="D1347">_xlfn.SINGLE(IF(A1346=A1347,_xll.ciqfunctions.udf.CIQ(A1338,"IQ_TOTAL_REV",IQ_FY-1)/I1347, _xll.ciqfunctions.udf.CIQ(A1338, "IQ_TOTAL_REV",IQ_FY)/I1347))</f>
        <v>21.970854167612231</v>
      </c>
      <c r="E1347" s="16">
        <f t="shared" si="359"/>
        <v>0.29515535742928489</v>
      </c>
      <c r="F1347" s="15">
        <f>IF(A1346=A1347,_xll.ciqfunctions.udf.CIQ(A1338,"IQ_DILUT_EPS_EXCL",IQ_FY-1), _xll.ciqfunctions.udf.CIQ(A1338, "IQ_DILUT_EPS_EXCL",IQ_FY))</f>
        <v>1.46</v>
      </c>
      <c r="G1347" s="15">
        <f>IF(A1346=A1347,_xll.ciqfunctions.udf.CIQ(A1338,"IQ_EBITDA_MARGIN",IQ_FY-1), _xll.ciqfunctions.udf.CIQ(A1338, "IQ_EBITDA_MARGIN",IQ_FY))</f>
        <v>25.8857</v>
      </c>
      <c r="H1347" s="15">
        <f>IF(A1346=A1347,_xll.ciqfunctions.udf.CIQ(A1338,"IQ_TOTAL_DIV_PAID_CF",IQ_FY-1)/-I1347, _xll.ciqfunctions.udf.CIQ(A1338, "IQ_TOTAL_DIV_PAID_CF",IQ_FY)/-I1347)</f>
        <v>0.38364260246368315</v>
      </c>
      <c r="I1347" s="17">
        <f>IF(A1346=A1347,_xll.ciqfunctions.udf.CIQ(A1338,"IQ_TOTAL_OUTSTANDING_FILING_DATE",IQ_FY-1), _xll.ciqfunctions.udf.CIQ(A1338, "IQ_TOTAL_OUTSTANDING_FILING_DATE",IQ_FY))</f>
        <v>149.38122000000001</v>
      </c>
      <c r="J1347" s="17">
        <f>IF(A1346=A1347,_xll.ciqfunctions.udf.CIQ(A1338,"IQ_CASH_OPER",IQ_FY-1), _xll.ciqfunctions.udf.CIQ(A1338, "IQ_CASH_OPER",IQ_FY))</f>
        <v>352.28300000000002</v>
      </c>
      <c r="K1347" s="17">
        <f>IF(A1346=A1347,_xll.ciqfunctions.udf.CIQ(A1338,"IQ_CAPEX",IQ_FY-1), _xll.ciqfunctions.udf.CIQ(A1338, "IQ_CAPEX",IQ_FY))</f>
        <v>-466.19200000000001</v>
      </c>
      <c r="L1347" s="15">
        <f t="shared" si="356"/>
        <v>-0.76253895904719471</v>
      </c>
      <c r="M1347" s="17">
        <f>IF(A1346=A1347,_xll.ciqfunctions.udf.CIQ(A1338,"IQ_TOTAL_DEBT_ISSUED",IQ_FY-1), _xll.ciqfunctions.udf.CIQ(A1338, "IQ_TOTAL_DEBT_ISSUED",IQ_FY))</f>
        <v>5416.7529999999997</v>
      </c>
      <c r="N1347" s="17">
        <f>IF(A1346=A1347,_xll.ciqfunctions.udf.CIQ(A1338,"IQ_TOTAL_DEBT_REPAID",IQ_FY-1), _xll.ciqfunctions.udf.CIQ(A1338, "IQ_TOTAL_DEBT_REPAID",IQ_FY))</f>
        <v>-486</v>
      </c>
      <c r="O1347" s="15">
        <f t="shared" si="357"/>
        <v>33.007850652177019</v>
      </c>
      <c r="P1347" s="15">
        <f t="shared" si="358"/>
        <v>32.245311693129821</v>
      </c>
      <c r="Q1347" s="25" t="s">
        <v>44</v>
      </c>
      <c r="R1347" s="38" t="s">
        <v>35</v>
      </c>
      <c r="S1347" s="1">
        <f>_xll.ciqfunctions.udf.CIQ(A1338,"IQ_TEV_EBITDA")</f>
        <v>22.457470000000001</v>
      </c>
      <c r="U1347" s="25" t="s">
        <v>55</v>
      </c>
      <c r="V1347" s="38" t="s">
        <v>53</v>
      </c>
      <c r="W1347" s="1">
        <f>V1337/(AVERAGE(D1343:D1348)/_xlfn.STDEV.P(E1343:E1348))</f>
        <v>0.54187185604187382</v>
      </c>
      <c r="Y1347" s="25" t="s">
        <v>57</v>
      </c>
      <c r="Z1347" s="38" t="s">
        <v>53</v>
      </c>
      <c r="AA1347" s="1">
        <f>Z1337/(AVERAGE(D1343:D1348)/_xlfn.STDEV.P(E1343:E1348))</f>
        <v>0.54187185604187382</v>
      </c>
    </row>
    <row r="1348" spans="1:27">
      <c r="B1348" s="13">
        <v>11</v>
      </c>
      <c r="C1348" s="20" t="s">
        <v>36</v>
      </c>
      <c r="D1348" s="21" cm="1">
        <f t="array" ref="D1348">_xlfn.SINGLE(IF(A1346=A1347,_xll.ciqfunctions.udf.CIQ(A1338,"IQ_TOTAL_REV",IQ_FY)/I1348, _xll.ciqfunctions.udf.CIQ(A1338, "IQ_TOTAL_REV",IQ_LTM)/I1348))</f>
        <v>24.358899054121871</v>
      </c>
      <c r="E1348" s="22">
        <f t="shared" si="359"/>
        <v>0.10869149047604688</v>
      </c>
      <c r="F1348" s="21">
        <f>IF(A1346=A1347,_xll.ciqfunctions.udf.CIQ(A1338,"IQ_DILUT_EPS_EXCL",IQ_FY), _xll.ciqfunctions.udf.CIQ(A1338, "IQ_DILUT_EPS_EXCL",IQ_LTM))</f>
        <v>1.3288199999999999</v>
      </c>
      <c r="G1348" s="21">
        <f>IF(A1346=A1347,_xll.ciqfunctions.udf.CIQ(A1338,"IQ_EBITDA_MARGIN",IQ_FY), _xll.ciqfunctions.udf.CIQ(A1338, "IQ_EBITDA_MARGIN",IQ_LTM))</f>
        <v>24.332999999999998</v>
      </c>
      <c r="H1348" s="21">
        <f>IF(A1346=A1347,_xll.ciqfunctions.udf.CIQ(A1338,"IQ_TOTAL_DIV_PAID_CF",IQ_FY)/-I1348, _xll.ciqfunctions.udf.CIQ(A1338, "IQ_TOTAL_DIV_PAID_CF",IQ_LTM)/-I1348)</f>
        <v>0.40022941034189918</v>
      </c>
      <c r="I1348" s="23">
        <f>IF(A1346=A1347,_xll.ciqfunctions.udf.CIQ(A1338,"IQ_TOTAL_OUTSTANDING_FILING_DATE",IQ_FY),_xll.ciqfunctions.udf.CIQ(A1338,"IQ_sharesoutstanding"))</f>
        <v>150.15888000000001</v>
      </c>
      <c r="J1348" s="23">
        <f>IF(A1346=A1347,_xll.ciqfunctions.udf.CIQ(A1338,"IQ_CASH_OPER",IQ_FY), _xll.ciqfunctions.udf.CIQ(A1338, "IQ_CASH_OPER",IQ_LTM))</f>
        <v>510.96499999999997</v>
      </c>
      <c r="K1348" s="23">
        <f>IF(A1346=A1347,_xll.ciqfunctions.udf.CIQ(A1338,"IQ_CAPEX",IQ_FY), _xll.ciqfunctions.udf.CIQ(A1338, "IQ_CAPEX",IQ_LTM))</f>
        <v>-475.53800000000001</v>
      </c>
      <c r="L1348" s="21">
        <f t="shared" si="356"/>
        <v>0.23593010283507684</v>
      </c>
      <c r="M1348" s="23">
        <f>IF(A1346=A1347,_xll.ciqfunctions.udf.CIQ(A1338,"IQ_TOTAL_DEBT_ISSUED",IQ_FY), _xll.ciqfunctions.udf.CIQ(A1338, "IQ_TOTAL_DEBT_ISSUED",IQ_LTM))</f>
        <v>217.44900000000001</v>
      </c>
      <c r="N1348" s="23">
        <f>IF(A1346=A1347,_xll.ciqfunctions.udf.CIQ(A1338,"IQ_TOTAL_DEBT_REPAID",IQ_FY), _xll.ciqfunctions.udf.CIQ(A1338, "IQ_TOTAL_DEBT_REPAID",IQ_LTM))</f>
        <v>-673.95</v>
      </c>
      <c r="O1348" s="21">
        <f t="shared" si="357"/>
        <v>-3.0401199049966277</v>
      </c>
      <c r="P1348" s="21">
        <f t="shared" si="358"/>
        <v>-2.804189802161551</v>
      </c>
      <c r="Q1348" s="25" t="s">
        <v>45</v>
      </c>
      <c r="S1348" s="45"/>
      <c r="U1348" s="25"/>
      <c r="W1348" s="45"/>
      <c r="Y1348" s="25"/>
      <c r="AA1348" s="45"/>
    </row>
    <row r="1349" spans="1:27">
      <c r="B1349" s="24"/>
      <c r="C1349" s="25" t="s">
        <v>37</v>
      </c>
      <c r="E1349" s="26">
        <f>((D1348/D1343)^(1/5))-1</f>
        <v>0.16216303267274923</v>
      </c>
      <c r="F1349" s="27">
        <f>((F1348/F1343)^(1/5))-1</f>
        <v>-4.69495510222393E-2</v>
      </c>
      <c r="G1349" s="28"/>
      <c r="H1349" s="27">
        <f>((H1348/H1343)^(1/5))-1</f>
        <v>6.4074944931107103E-2</v>
      </c>
      <c r="I1349" s="27">
        <f>((I1348/I1343)^(1/5))-1</f>
        <v>2.1599078049813203E-2</v>
      </c>
      <c r="J1349" s="27"/>
      <c r="K1349" s="27"/>
      <c r="L1349" s="26">
        <f>((L1348/L1343)^(1/5))-1</f>
        <v>-0.30922849890202775</v>
      </c>
      <c r="M1349" s="26"/>
      <c r="N1349" s="26"/>
      <c r="O1349" s="26"/>
      <c r="P1349" s="26">
        <f>((P1348/P1343)^(1/5))-1</f>
        <v>-1.9581549350939813</v>
      </c>
      <c r="Q1349" s="18"/>
      <c r="R1349" s="36"/>
      <c r="S1349" s="45"/>
      <c r="U1349" s="18"/>
      <c r="V1349" s="36"/>
      <c r="W1349" s="45"/>
      <c r="Y1349" s="18"/>
      <c r="Z1349" s="36"/>
      <c r="AA1349" s="45"/>
    </row>
    <row r="1350" spans="1:27">
      <c r="A1350" s="29"/>
      <c r="B1350" s="30"/>
      <c r="C1350" s="31" t="s">
        <v>38</v>
      </c>
      <c r="D1350" s="29"/>
      <c r="E1350" s="32">
        <f>((D1348/D1338)^(1/10))-1</f>
        <v>0.1716084042844479</v>
      </c>
      <c r="F1350" s="33">
        <f>((F1348/F1338)^(1/10))-1</f>
        <v>9.6273784034408338E-2</v>
      </c>
      <c r="G1350" s="34"/>
      <c r="H1350" s="33" t="e">
        <f>((H1348/H1338)^(1/10))-1</f>
        <v>#DIV/0!</v>
      </c>
      <c r="I1350" s="33">
        <f>((I1348/I1338)^(1/10))-1</f>
        <v>7.9437827456907417E-3</v>
      </c>
      <c r="J1350" s="33"/>
      <c r="K1350" s="33"/>
      <c r="L1350" s="32">
        <f>((L1348/L1338)^(1/10))-1</f>
        <v>-3.9626185551747684E-2</v>
      </c>
      <c r="M1350" s="32"/>
      <c r="N1350" s="32"/>
      <c r="O1350" s="32"/>
      <c r="P1350" s="32" t="e">
        <f>((P1348/P1338)^(1/10))-1</f>
        <v>#NUM!</v>
      </c>
      <c r="Q1350" s="40"/>
      <c r="R1350" s="41"/>
      <c r="S1350" s="46"/>
      <c r="U1350" s="40"/>
      <c r="V1350" s="41"/>
      <c r="W1350" s="46"/>
      <c r="Y1350" s="40"/>
      <c r="Z1350" s="41"/>
      <c r="AA1350" s="46"/>
    </row>
    <row r="1351" spans="1:27">
      <c r="B1351" s="24"/>
      <c r="C1351" s="25"/>
      <c r="E1351" s="26"/>
      <c r="F1351" s="27"/>
      <c r="G1351" s="28"/>
      <c r="H1351" s="27"/>
      <c r="I1351" s="27"/>
      <c r="J1351" s="27"/>
      <c r="K1351" s="27"/>
      <c r="L1351" s="26"/>
      <c r="M1351" s="17"/>
      <c r="N1351" s="17"/>
      <c r="O1351" s="17"/>
      <c r="P1351" s="35"/>
      <c r="Q1351" s="18"/>
      <c r="R1351" s="36"/>
    </row>
    <row r="1352" spans="1:27">
      <c r="A1352" s="9" t="s">
        <v>0</v>
      </c>
      <c r="B1352" s="10"/>
      <c r="C1352" s="9" t="s">
        <v>1</v>
      </c>
      <c r="D1352" s="9" t="s">
        <v>2</v>
      </c>
      <c r="E1352" s="9" t="s">
        <v>3</v>
      </c>
      <c r="F1352" s="11" t="s">
        <v>4</v>
      </c>
      <c r="G1352" s="11" t="s">
        <v>5</v>
      </c>
      <c r="H1352" s="9" t="s">
        <v>6</v>
      </c>
      <c r="I1352" s="11" t="s">
        <v>7</v>
      </c>
      <c r="J1352" s="11" t="s">
        <v>8</v>
      </c>
      <c r="K1352" s="11" t="s">
        <v>9</v>
      </c>
      <c r="L1352" s="11" t="s">
        <v>10</v>
      </c>
      <c r="M1352" s="11" t="s">
        <v>11</v>
      </c>
      <c r="N1352" s="11" t="s">
        <v>12</v>
      </c>
      <c r="O1352" s="11" t="s">
        <v>13</v>
      </c>
      <c r="P1352" s="11" t="s">
        <v>14</v>
      </c>
      <c r="Q1352" s="37" t="s">
        <v>15</v>
      </c>
      <c r="R1352" s="42">
        <f>_xll.ciqfunctions.udf.CIQ(A1353,("IQ_LASTSALEPRICE"))</f>
        <v>79.599999999999994</v>
      </c>
      <c r="S1352" s="44"/>
      <c r="U1352" s="37" t="s">
        <v>15</v>
      </c>
      <c r="V1352" s="42">
        <f>_xll.ciqfunctions.udf.CIQ(A1353,("IQ_LASTSALEPRICE"))</f>
        <v>79.599999999999994</v>
      </c>
      <c r="W1352" s="44"/>
      <c r="Y1352" s="37" t="s">
        <v>15</v>
      </c>
      <c r="Z1352" s="42">
        <f>_xll.ciqfunctions.udf.CIQ(A1353,("IQ_LASTSALEPRICE"))</f>
        <v>79.599999999999994</v>
      </c>
      <c r="AA1352" s="44"/>
    </row>
    <row r="1353" spans="1:27">
      <c r="A1353" s="12" t="str">
        <f>Analysis!B92</f>
        <v>NasdaqGS:MKSI</v>
      </c>
      <c r="B1353" s="13">
        <v>1</v>
      </c>
      <c r="C1353" s="14" t="s">
        <v>16</v>
      </c>
      <c r="D1353" s="15">
        <f>IF(A1361=A1362,_xll.ciqfunctions.udf.CIQ(A1353,"IQ_TOTAL_REV",IQ_FY-10)/I1353,_xll.ciqfunctions.udf.CIQ(A1353, "IQ_TOTAL_REV",IQ_FY-9)/I1353)</f>
        <v>12.538389945762876</v>
      </c>
      <c r="E1353" s="16"/>
      <c r="F1353" s="15">
        <f>IF(A1361=A1362,_xll.ciqfunctions.udf.CIQ(A1353,"IQ_DILUT_EPS_EXCL",IQ_FY-10), _xll.ciqfunctions.udf.CIQ(A1353, "IQ_DILUT_EPS_EXCL",IQ_FY-9))</f>
        <v>0.67</v>
      </c>
      <c r="G1353" s="15">
        <f>IF(A1361=A1362,_xll.ciqfunctions.udf.CIQ(A1353,"IQ_EBITDA_MARGIN",IQ_FY-10), _xll.ciqfunctions.udf.CIQ(A1353, "IQ_EBITDA_MARGIN",IQ_FY-9))</f>
        <v>12.3055</v>
      </c>
      <c r="H1353" s="15">
        <f>IF(A1361=A1362,_xll.ciqfunctions.udf.CIQ(A1353,"IQ_TOTAL_DIV_PAID_CF",IQ_FY-10)/-I1353, _xll.ciqfunctions.udf.CIQ(A1353, "IQ_TOTAL_DIV_PAID_CF",IQ_FY-9)/-I1353)</f>
        <v>0.63635953274072143</v>
      </c>
      <c r="I1353" s="17">
        <f>IF(A1361=A1362,_xll.ciqfunctions.udf.CIQ(A1353,"IQ_TOTAL_OUTSTANDING_FILING_DATE",IQ_FY-10), _xll.ciqfunctions.udf.CIQ(A1353, "IQ_TOTAL_OUTSTANDING_FILING_DATE",IQ_FY-9))</f>
        <v>53.389629999999997</v>
      </c>
      <c r="J1353" s="17">
        <f>IF(A1361=A1362,_xll.ciqfunctions.udf.CIQ(A1353,"IQ_CASH_OPER",IQ_FY-10), _xll.ciqfunctions.udf.CIQ(A1353, "IQ_CASH_OPER",IQ_FY-9))</f>
        <v>76.087000000000003</v>
      </c>
      <c r="K1353" s="17">
        <f>IF(A1361=A1362,_xll.ciqfunctions.udf.CIQ(A1353,"IQ_CAPEX",IQ_FY-10), _xll.ciqfunctions.udf.CIQ(A1353, "IQ_CAPEX",IQ_FY-9))</f>
        <v>-12.41</v>
      </c>
      <c r="L1353" s="15">
        <f t="shared" ref="L1353:L1363" si="360">(J1353+K1353)/I1353</f>
        <v>1.1926847966543317</v>
      </c>
      <c r="M1353" s="17">
        <f>IF(A1361=A1362,_xll.ciqfunctions.udf.CIQ(A1353,"IQ_TOTAL_DEBT_ISSUED",IQ_FY-10), _xll.ciqfunctions.udf.CIQ(A1353, "IQ_TOTAL_DEBT_ISSUED",IQ_FY-9))</f>
        <v>6.0000000000000001E-3</v>
      </c>
      <c r="N1353" s="17">
        <f>IF(A1361=A1362,_xll.ciqfunctions.udf.CIQ(A1353,"IQ_TOTAL_DEBT_REPAID",IQ_FY-10), _xll.ciqfunctions.udf.CIQ(A1353, "IQ_TOTAL_DEBT_REPAID",IQ_FY-9))</f>
        <v>-0.77600000000000002</v>
      </c>
      <c r="O1353" s="15">
        <f t="shared" ref="O1353:O1363" si="361">(M1353+N1353)/I1353</f>
        <v>-1.4422276385882428E-2</v>
      </c>
      <c r="P1353" s="15">
        <f t="shared" ref="P1353:P1363" si="362">L1353+O1353</f>
        <v>1.1782625202684494</v>
      </c>
      <c r="W1353" s="43"/>
      <c r="AA1353" s="43"/>
    </row>
    <row r="1354" spans="1:27">
      <c r="A1354" s="18" t="str">
        <f>_xll.ciqfunctions.udf.CIQ(A1353,"IQ_COMPANY_NAME")</f>
        <v>MKS Instruments, Inc.</v>
      </c>
      <c r="B1354" s="13">
        <v>2</v>
      </c>
      <c r="C1354" s="14" t="s">
        <v>17</v>
      </c>
      <c r="D1354" s="15">
        <f>IF(A1361=A1362,_xll.ciqfunctions.udf.CIQ(A1353,"IQ_TOTAL_REV",IQ_FY-9)/I1354, _xll.ciqfunctions.udf.CIQ(A1353, "IQ_TOTAL_REV",IQ_FY-8)/I1354)</f>
        <v>14.678170819412422</v>
      </c>
      <c r="E1354" s="16">
        <f t="shared" ref="E1354:E1363" si="363">(D1354-D1353)/D1353</f>
        <v>0.17065834472412833</v>
      </c>
      <c r="F1354" s="15">
        <f>IF(A1361=A1362,_xll.ciqfunctions.udf.CIQ(A1353,"IQ_DILUT_EPS_EXCL",IQ_FY-9), _xll.ciqfunctions.udf.CIQ(A1353, "IQ_DILUT_EPS_EXCL",IQ_FY-8))</f>
        <v>2.16</v>
      </c>
      <c r="G1354" s="15">
        <f>IF(A1361=A1362,_xll.ciqfunctions.udf.CIQ(A1353,"IQ_EBITDA_MARGIN",IQ_FY-9), _xll.ciqfunctions.udf.CIQ(A1353, "IQ_EBITDA_MARGIN",IQ_FY-8))</f>
        <v>20.313099999999999</v>
      </c>
      <c r="H1354" s="15">
        <f>IF(A1361=A1362,_xll.ciqfunctions.udf.CIQ(A1353,"IQ_TOTAL_DIV_PAID_CF",IQ_FY-9)/-I1354, _xll.ciqfunctions.udf.CIQ(A1353, "IQ_TOTAL_DIV_PAID_CF",IQ_FY-8)/-I1354)</f>
        <v>0.65510211216906078</v>
      </c>
      <c r="I1354" s="17">
        <f>IF(A1361=A1362,_xll.ciqfunctions.udf.CIQ(A1353,"IQ_TOTAL_OUTSTANDING_FILING_DATE",IQ_FY-9), _xll.ciqfunctions.udf.CIQ(A1353, "IQ_TOTAL_OUTSTANDING_FILING_DATE",IQ_FY-8))</f>
        <v>53.199339999999999</v>
      </c>
      <c r="J1354" s="17">
        <f>IF(A1361=A1362,_xll.ciqfunctions.udf.CIQ(A1353,"IQ_CASH_OPER",IQ_FY-9), _xll.ciqfunctions.udf.CIQ(A1353, "IQ_CASH_OPER",IQ_FY-8))</f>
        <v>101.914</v>
      </c>
      <c r="K1354" s="17">
        <f>IF(A1361=A1362,_xll.ciqfunctions.udf.CIQ(A1353,"IQ_CAPEX",IQ_FY-9), _xll.ciqfunctions.udf.CIQ(A1353, "IQ_CAPEX",IQ_FY-8))</f>
        <v>-13.183</v>
      </c>
      <c r="L1354" s="15">
        <f t="shared" si="360"/>
        <v>1.6678966318003192</v>
      </c>
      <c r="M1354" s="17">
        <f>IF(A1361=A1362,_xll.ciqfunctions.udf.CIQ(A1353,"IQ_TOTAL_DEBT_ISSUED",IQ_FY-9), _xll.ciqfunctions.udf.CIQ(A1353, "IQ_TOTAL_DEBT_ISSUED",IQ_FY-8))</f>
        <v>0</v>
      </c>
      <c r="N1354" s="17">
        <f>IF(A1361=A1362,_xll.ciqfunctions.udf.CIQ(A1353,"IQ_TOTAL_DEBT_REPAID",IQ_FY-9), _xll.ciqfunctions.udf.CIQ(A1353, "IQ_TOTAL_DEBT_REPAID",IQ_FY-8))</f>
        <v>0</v>
      </c>
      <c r="O1354" s="15">
        <f t="shared" si="361"/>
        <v>0</v>
      </c>
      <c r="P1354" s="15">
        <f t="shared" si="362"/>
        <v>1.6678966318003192</v>
      </c>
      <c r="Q1354" s="25" t="s">
        <v>18</v>
      </c>
      <c r="R1354" s="39" t="s">
        <v>19</v>
      </c>
      <c r="S1354" s="1">
        <f>R1352/((AVERAGE(P1358:P1363))*(1+E1364)^3)</f>
        <v>3.7178835550893585</v>
      </c>
      <c r="U1354" s="25" t="s">
        <v>48</v>
      </c>
      <c r="V1354" s="39" t="s">
        <v>19</v>
      </c>
      <c r="W1354" s="1">
        <f>V1352/((AVERAGE(P1358:P1363))*(1+E1364)^3)</f>
        <v>3.7178835550893585</v>
      </c>
      <c r="Y1354" s="25" t="s">
        <v>39</v>
      </c>
      <c r="Z1354" s="39" t="s">
        <v>19</v>
      </c>
      <c r="AA1354" s="1">
        <f>Z1352/((AVERAGE(P1358:P1363))*(1+E1364)^3)</f>
        <v>3.7178835550893585</v>
      </c>
    </row>
    <row r="1355" spans="1:27">
      <c r="B1355" s="13">
        <v>3</v>
      </c>
      <c r="C1355" s="14" t="s">
        <v>20</v>
      </c>
      <c r="D1355" s="15" cm="1">
        <f t="array" ref="D1355">_xlfn.SINGLE(IF(A1361=A1362,_xll.ciqfunctions.udf.CIQ(A1353,"IQ_TOTAL_REV",IQ_FY-8)/I1355, _xll.ciqfunctions.udf.CIQ(A1353, "IQ_TOTAL_REV",IQ_FY-7)/I1355))</f>
        <v>15.279555018392211</v>
      </c>
      <c r="E1355" s="16">
        <f t="shared" si="363"/>
        <v>4.0971331263186812E-2</v>
      </c>
      <c r="F1355" s="15">
        <f>IF(A1361=A1362,_xll.ciqfunctions.udf.CIQ(A1353,"IQ_DILUT_EPS_EXCL",IQ_FY-8), _xll.ciqfunctions.udf.CIQ(A1353, "IQ_DILUT_EPS_EXCL",IQ_FY-7))</f>
        <v>2.2799999999999998</v>
      </c>
      <c r="G1355" s="15">
        <f>IF(A1361=A1362,_xll.ciqfunctions.udf.CIQ(A1353,"IQ_EBITDA_MARGIN",IQ_FY-8), _xll.ciqfunctions.udf.CIQ(A1353, "IQ_EBITDA_MARGIN",IQ_FY-7))</f>
        <v>22.226600000000001</v>
      </c>
      <c r="H1355" s="15">
        <f>IF(A1361=A1362,_xll.ciqfunctions.udf.CIQ(A1353,"IQ_TOTAL_DIV_PAID_CF",IQ_FY-8)/-I1355, _xll.ciqfunctions.udf.CIQ(A1353, "IQ_TOTAL_DIV_PAID_CF",IQ_FY-7)/-I1355)</f>
        <v>0.6755674257385762</v>
      </c>
      <c r="I1355" s="17">
        <f>IF(A1361=A1362,_xll.ciqfunctions.udf.CIQ(A1353,"IQ_TOTAL_OUTSTANDING_FILING_DATE",IQ_FY-8), _xll.ciqfunctions.udf.CIQ(A1353, "IQ_TOTAL_OUTSTANDING_FILING_DATE",IQ_FY-7))</f>
        <v>53.242649999999998</v>
      </c>
      <c r="J1355" s="17">
        <f>IF(A1361=A1362,_xll.ciqfunctions.udf.CIQ(A1353,"IQ_CASH_OPER",IQ_FY-8), _xll.ciqfunctions.udf.CIQ(A1353, "IQ_CASH_OPER",IQ_FY-7))</f>
        <v>138.29499999999999</v>
      </c>
      <c r="K1355" s="17">
        <f>IF(A1361=A1362,_xll.ciqfunctions.udf.CIQ(A1353,"IQ_CAPEX",IQ_FY-8), _xll.ciqfunctions.udf.CIQ(A1353, "IQ_CAPEX",IQ_FY-7))</f>
        <v>-12.414</v>
      </c>
      <c r="L1355" s="15">
        <f t="shared" si="360"/>
        <v>2.3642887797658454</v>
      </c>
      <c r="M1355" s="17">
        <f>IF(A1361=A1362,_xll.ciqfunctions.udf.CIQ(A1353,"IQ_TOTAL_DEBT_ISSUED",IQ_FY-8), _xll.ciqfunctions.udf.CIQ(A1353, "IQ_TOTAL_DEBT_ISSUED",IQ_FY-7))</f>
        <v>0</v>
      </c>
      <c r="N1355" s="17">
        <f>IF(A1361=A1362,_xll.ciqfunctions.udf.CIQ(A1353,"IQ_TOTAL_DEBT_REPAID",IQ_FY-8), _xll.ciqfunctions.udf.CIQ(A1353, "IQ_TOTAL_DEBT_REPAID",IQ_FY-7))</f>
        <v>0</v>
      </c>
      <c r="O1355" s="15">
        <f t="shared" si="361"/>
        <v>0</v>
      </c>
      <c r="P1355" s="15">
        <f t="shared" si="362"/>
        <v>2.3642887797658454</v>
      </c>
      <c r="Q1355" s="25" t="s">
        <v>21</v>
      </c>
      <c r="R1355" s="38" t="s">
        <v>49</v>
      </c>
      <c r="S1355" s="2">
        <f>(R1352*I1363)/1000</f>
        <v>5.3235285999999995</v>
      </c>
      <c r="U1355" s="25" t="s">
        <v>59</v>
      </c>
      <c r="V1355" s="38" t="s">
        <v>49</v>
      </c>
      <c r="W1355" s="2">
        <f>(V1352*I1363)/1000</f>
        <v>5.3235285999999995</v>
      </c>
      <c r="Y1355" s="25" t="s">
        <v>46</v>
      </c>
      <c r="Z1355" s="38" t="s">
        <v>49</v>
      </c>
      <c r="AA1355" s="2">
        <f>(Z1352*I1363)/1000</f>
        <v>5.3235285999999995</v>
      </c>
    </row>
    <row r="1356" spans="1:27">
      <c r="A1356" s="18"/>
      <c r="B1356" s="13">
        <v>4</v>
      </c>
      <c r="C1356" s="14" t="s">
        <v>22</v>
      </c>
      <c r="D1356" s="15" cm="1">
        <f t="array" ref="D1356">_xlfn.SINGLE(IF(A1361=A1362,_xll.ciqfunctions.udf.CIQ(A1353,"IQ_TOTAL_REV",IQ_FY-7)/I1356, _xll.ciqfunctions.udf.CIQ(A1353, "IQ_TOTAL_REV",IQ_FY-6)/I1356))</f>
        <v>24.066168018506179</v>
      </c>
      <c r="E1356" s="16">
        <f t="shared" si="363"/>
        <v>0.57505686451846283</v>
      </c>
      <c r="F1356" s="15">
        <f>IF(A1361=A1362,_xll.ciqfunctions.udf.CIQ(A1353,"IQ_DILUT_EPS_EXCL",IQ_FY-7), _xll.ciqfunctions.udf.CIQ(A1353, "IQ_DILUT_EPS_EXCL",IQ_FY-6))</f>
        <v>1.94</v>
      </c>
      <c r="G1356" s="15">
        <f>IF(A1361=A1362,_xll.ciqfunctions.udf.CIQ(A1353,"IQ_EBITDA_MARGIN",IQ_FY-7), _xll.ciqfunctions.udf.CIQ(A1353, "IQ_EBITDA_MARGIN",IQ_FY-6))</f>
        <v>21.032499999999999</v>
      </c>
      <c r="H1356" s="15">
        <f>IF(A1361=A1362,_xll.ciqfunctions.udf.CIQ(A1353,"IQ_TOTAL_DIV_PAID_CF",IQ_FY-7)/-I1356, _xll.ciqfunctions.udf.CIQ(A1353, "IQ_TOTAL_DIV_PAID_CF",IQ_FY-6)/-I1356)</f>
        <v>0.67555127164941997</v>
      </c>
      <c r="I1356" s="17">
        <f>IF(A1361=A1362,_xll.ciqfunctions.udf.CIQ(A1353,"IQ_TOTAL_OUTSTANDING_FILING_DATE",IQ_FY-7), _xll.ciqfunctions.udf.CIQ(A1353, "IQ_TOTAL_OUTSTANDING_FILING_DATE",IQ_FY-6))</f>
        <v>53.824190000000002</v>
      </c>
      <c r="J1356" s="17">
        <f>IF(A1361=A1362,_xll.ciqfunctions.udf.CIQ(A1353,"IQ_CASH_OPER",IQ_FY-7), _xll.ciqfunctions.udf.CIQ(A1353, "IQ_CASH_OPER",IQ_FY-6))</f>
        <v>180.09800000000001</v>
      </c>
      <c r="K1356" s="17">
        <f>IF(A1361=A1362,_xll.ciqfunctions.udf.CIQ(A1353,"IQ_CAPEX",IQ_FY-7), _xll.ciqfunctions.udf.CIQ(A1353, "IQ_CAPEX",IQ_FY-6))</f>
        <v>-19.123000000000001</v>
      </c>
      <c r="L1356" s="15">
        <f t="shared" si="360"/>
        <v>2.9907556435127036</v>
      </c>
      <c r="M1356" s="17">
        <f>IF(A1361=A1362,_xll.ciqfunctions.udf.CIQ(A1353,"IQ_TOTAL_DEBT_ISSUED",IQ_FY-7), _xll.ciqfunctions.udf.CIQ(A1353, "IQ_TOTAL_DEBT_ISSUED",IQ_FY-6))</f>
        <v>763.61699999999996</v>
      </c>
      <c r="N1356" s="17">
        <f>IF(A1361=A1362,_xll.ciqfunctions.udf.CIQ(A1353,"IQ_TOTAL_DEBT_REPAID",IQ_FY-7), _xll.ciqfunctions.udf.CIQ(A1353, "IQ_TOTAL_DEBT_REPAID",IQ_FY-6))</f>
        <v>-165.137</v>
      </c>
      <c r="O1356" s="15">
        <f t="shared" si="361"/>
        <v>11.119164078456174</v>
      </c>
      <c r="P1356" s="15">
        <f t="shared" si="362"/>
        <v>14.109919721968879</v>
      </c>
      <c r="Q1356" s="25" t="s">
        <v>23</v>
      </c>
      <c r="R1356" s="38" t="s">
        <v>24</v>
      </c>
      <c r="S1356" s="1">
        <f>R1352/(AVERAGE(H1358:H1363)*(1+H1364)/(0.5-H1364))</f>
        <v>45.442372856833309</v>
      </c>
      <c r="U1356" s="25" t="s">
        <v>40</v>
      </c>
      <c r="V1356" s="38" t="s">
        <v>24</v>
      </c>
      <c r="W1356" s="1">
        <f>V1352/(AVERAGE(H1358:H1363)*(1+H1364)/(0.5-H1364))</f>
        <v>45.442372856833309</v>
      </c>
      <c r="Y1356" s="25" t="s">
        <v>47</v>
      </c>
      <c r="Z1356" s="38" t="s">
        <v>24</v>
      </c>
      <c r="AA1356" s="1">
        <f>Z1352/(AVERAGE(H1358:H1363)*(1+H1364)/(0.5-H1364))</f>
        <v>45.442372856833309</v>
      </c>
    </row>
    <row r="1357" spans="1:27">
      <c r="B1357" s="13">
        <v>5</v>
      </c>
      <c r="C1357" s="14" t="s">
        <v>25</v>
      </c>
      <c r="D1357" s="15" cm="1">
        <f t="array" ref="D1357">_xlfn.SINGLE(IF(A1361=A1362,_xll.ciqfunctions.udf.CIQ(A1353,"IQ_TOTAL_REV",IQ_FY-6)/I1357, _xll.ciqfunctions.udf.CIQ(A1353, "IQ_TOTAL_REV",IQ_FY-5)/I1357))</f>
        <v>35.163315925814793</v>
      </c>
      <c r="E1357" s="16">
        <f t="shared" si="363"/>
        <v>0.46110988250290746</v>
      </c>
      <c r="F1357" s="15">
        <f>IF(A1361=A1362,_xll.ciqfunctions.udf.CIQ(A1353,"IQ_DILUT_EPS_EXCL",IQ_FY-6), _xll.ciqfunctions.udf.CIQ(A1353, "IQ_DILUT_EPS_EXCL",IQ_FY-5))</f>
        <v>6.16</v>
      </c>
      <c r="G1357" s="15">
        <f>IF(A1361=A1362,_xll.ciqfunctions.udf.CIQ(A1353,"IQ_EBITDA_MARGIN",IQ_FY-6), _xll.ciqfunctions.udf.CIQ(A1353, "IQ_EBITDA_MARGIN",IQ_FY-5))</f>
        <v>26.391300000000001</v>
      </c>
      <c r="H1357" s="15">
        <f>IF(A1361=A1362,_xll.ciqfunctions.udf.CIQ(A1353,"IQ_TOTAL_DIV_PAID_CF",IQ_FY-6)/-I1357, _xll.ciqfunctions.udf.CIQ(A1353, "IQ_TOTAL_DIV_PAID_CF",IQ_FY-5)/-I1357)</f>
        <v>0.70066867995584348</v>
      </c>
      <c r="I1357" s="17">
        <f>IF(A1361=A1362,_xll.ciqfunctions.udf.CIQ(A1353,"IQ_TOTAL_OUTSTANDING_FILING_DATE",IQ_FY-6), _xll.ciqfunctions.udf.CIQ(A1353, "IQ_TOTAL_OUTSTANDING_FILING_DATE",IQ_FY-5))</f>
        <v>54.487949999999998</v>
      </c>
      <c r="J1357" s="17">
        <f>IF(A1361=A1362,_xll.ciqfunctions.udf.CIQ(A1353,"IQ_CASH_OPER",IQ_FY-6), _xll.ciqfunctions.udf.CIQ(A1353, "IQ_CASH_OPER",IQ_FY-5))</f>
        <v>355.22199999999998</v>
      </c>
      <c r="K1357" s="17">
        <f>IF(A1361=A1362,_xll.ciqfunctions.udf.CIQ(A1353,"IQ_CAPEX",IQ_FY-6), _xll.ciqfunctions.udf.CIQ(A1353, "IQ_CAPEX",IQ_FY-5))</f>
        <v>-31.286999999999999</v>
      </c>
      <c r="L1357" s="15">
        <f t="shared" si="360"/>
        <v>5.9450759296321483</v>
      </c>
      <c r="M1357" s="17">
        <f>IF(A1361=A1362,_xll.ciqfunctions.udf.CIQ(A1353,"IQ_TOTAL_DEBT_ISSUED",IQ_FY-6), _xll.ciqfunctions.udf.CIQ(A1353, "IQ_TOTAL_DEBT_ISSUED",IQ_FY-5))</f>
        <v>28.550999999999998</v>
      </c>
      <c r="N1357" s="17">
        <f>IF(A1361=A1362,_xll.ciqfunctions.udf.CIQ(A1353,"IQ_TOTAL_DEBT_REPAID",IQ_FY-6), _xll.ciqfunctions.udf.CIQ(A1353, "IQ_TOTAL_DEBT_REPAID",IQ_FY-5))</f>
        <v>-257.85199999999998</v>
      </c>
      <c r="O1357" s="15">
        <f t="shared" si="361"/>
        <v>-4.2082882545590357</v>
      </c>
      <c r="P1357" s="15">
        <f t="shared" si="362"/>
        <v>1.7367876750731126</v>
      </c>
      <c r="Q1357" s="18"/>
      <c r="R1357" s="38" t="s">
        <v>50</v>
      </c>
      <c r="S1357" s="3">
        <f>I1364</f>
        <v>4.2944229058761607E-2</v>
      </c>
      <c r="U1357" s="18"/>
      <c r="V1357" s="38" t="s">
        <v>50</v>
      </c>
      <c r="W1357" s="3">
        <f>I1364</f>
        <v>4.2944229058761607E-2</v>
      </c>
      <c r="Y1357" s="18"/>
      <c r="Z1357" s="38" t="s">
        <v>50</v>
      </c>
      <c r="AA1357" s="3">
        <f>I1364</f>
        <v>4.2944229058761607E-2</v>
      </c>
    </row>
    <row r="1358" spans="1:27">
      <c r="B1358" s="13">
        <v>6</v>
      </c>
      <c r="C1358" s="14" t="s">
        <v>26</v>
      </c>
      <c r="D1358" s="15" cm="1">
        <f t="array" ref="D1358">_xlfn.SINGLE(IF(A1361=A1362,_xll.ciqfunctions.udf.CIQ(A1353,"IQ_TOTAL_REV",IQ_FY-5)/I1358, _xll.ciqfunctions.udf.CIQ(A1353, "IQ_TOTAL_REV",IQ_FY-4)/I1358))</f>
        <v>38.287581417155295</v>
      </c>
      <c r="E1358" s="16">
        <f t="shared" si="363"/>
        <v>8.8850138534484854E-2</v>
      </c>
      <c r="F1358" s="15">
        <f>IF(A1361=A1362,_xll.ciqfunctions.udf.CIQ(A1353,"IQ_DILUT_EPS_EXCL",IQ_FY-5), _xll.ciqfunctions.udf.CIQ(A1353, "IQ_DILUT_EPS_EXCL",IQ_FY-4))</f>
        <v>7.14</v>
      </c>
      <c r="G1358" s="15">
        <f>IF(A1361=A1362,_xll.ciqfunctions.udf.CIQ(A1353,"IQ_EBITDA_MARGIN",IQ_FY-5), _xll.ciqfunctions.udf.CIQ(A1353, "IQ_EBITDA_MARGIN",IQ_FY-4))</f>
        <v>28.046800000000001</v>
      </c>
      <c r="H1358" s="15">
        <f>IF(A1361=A1362,_xll.ciqfunctions.udf.CIQ(A1353,"IQ_TOTAL_DIV_PAID_CF",IQ_FY-5)/-I1358, _xll.ciqfunctions.udf.CIQ(A1353, "IQ_TOTAL_DIV_PAID_CF",IQ_FY-4)/-I1358)</f>
        <v>0.78232058796558446</v>
      </c>
      <c r="I1358" s="17">
        <f>IF(A1361=A1362,_xll.ciqfunctions.udf.CIQ(A1353,"IQ_TOTAL_OUTSTANDING_FILING_DATE",IQ_FY-5), _xll.ciqfunctions.udf.CIQ(A1353, "IQ_TOTAL_OUTSTANDING_FILING_DATE",IQ_FY-4))</f>
        <v>54.19773</v>
      </c>
      <c r="J1358" s="17">
        <f>IF(A1361=A1362,_xll.ciqfunctions.udf.CIQ(A1353,"IQ_CASH_OPER",IQ_FY-5), _xll.ciqfunctions.udf.CIQ(A1353, "IQ_CASH_OPER",IQ_FY-4))</f>
        <v>413.8</v>
      </c>
      <c r="K1358" s="17">
        <f>IF(A1361=A1362,_xll.ciqfunctions.udf.CIQ(A1353,"IQ_CAPEX",IQ_FY-5), _xll.ciqfunctions.udf.CIQ(A1353, "IQ_CAPEX",IQ_FY-4))</f>
        <v>-62.9</v>
      </c>
      <c r="L1358" s="15">
        <f t="shared" si="360"/>
        <v>6.4744409037057462</v>
      </c>
      <c r="M1358" s="17">
        <f>IF(A1361=A1362,_xll.ciqfunctions.udf.CIQ(A1353,"IQ_TOTAL_DEBT_ISSUED",IQ_FY-5), _xll.ciqfunctions.udf.CIQ(A1353, "IQ_TOTAL_DEBT_ISSUED",IQ_FY-4))</f>
        <v>67.7</v>
      </c>
      <c r="N1358" s="17">
        <f>IF(A1361=A1362,_xll.ciqfunctions.udf.CIQ(A1353,"IQ_TOTAL_DEBT_REPAID",IQ_FY-5), _xll.ciqfunctions.udf.CIQ(A1353, "IQ_TOTAL_DEBT_REPAID",IQ_FY-4))</f>
        <v>-117.2</v>
      </c>
      <c r="O1358" s="15">
        <f t="shared" si="361"/>
        <v>-0.91332238453529324</v>
      </c>
      <c r="P1358" s="15">
        <f t="shared" si="362"/>
        <v>5.5611185191704529</v>
      </c>
      <c r="Q1358" s="25" t="s">
        <v>27</v>
      </c>
      <c r="R1358" s="38" t="s">
        <v>51</v>
      </c>
      <c r="S1358" s="4">
        <f>AVERAGE(F1358:F1363)/AVERAGE(D1358:D1363)</f>
        <v>2.0617833335687268E-2</v>
      </c>
      <c r="U1358" s="25" t="s">
        <v>58</v>
      </c>
      <c r="V1358" s="38" t="s">
        <v>51</v>
      </c>
      <c r="W1358" s="4">
        <f>AVERAGE(F1358:F1363)/AVERAGE(D1358:D1363)</f>
        <v>2.0617833335687268E-2</v>
      </c>
      <c r="Y1358" s="25" t="s">
        <v>56</v>
      </c>
      <c r="Z1358" s="38" t="s">
        <v>51</v>
      </c>
      <c r="AA1358" s="4">
        <f>AVERAGE(F1358:F1363)/AVERAGE(D1358:D1363)</f>
        <v>2.0617833335687268E-2</v>
      </c>
    </row>
    <row r="1359" spans="1:27">
      <c r="A1359" s="18"/>
      <c r="B1359" s="13">
        <v>7</v>
      </c>
      <c r="C1359" s="14" t="s">
        <v>28</v>
      </c>
      <c r="D1359" s="15" cm="1">
        <f t="array" ref="D1359">_xlfn.SINGLE(IF(A1361=A1362,_xll.ciqfunctions.udf.CIQ(A1353,"IQ_TOTAL_REV",IQ_FY-4)/I1359, _xll.ciqfunctions.udf.CIQ(A1353, "IQ_TOTAL_REV",IQ_FY-3)/I1359))</f>
        <v>34.625858287687699</v>
      </c>
      <c r="E1359" s="16">
        <f t="shared" si="363"/>
        <v>-9.5637357961370448E-2</v>
      </c>
      <c r="F1359" s="15">
        <f>IF(A1361=A1362,_xll.ciqfunctions.udf.CIQ(A1353,"IQ_DILUT_EPS_EXCL",IQ_FY-4), _xll.ciqfunctions.udf.CIQ(A1353, "IQ_DILUT_EPS_EXCL",IQ_FY-3))</f>
        <v>2.5499999999999998</v>
      </c>
      <c r="G1359" s="15">
        <f>IF(A1361=A1362,_xll.ciqfunctions.udf.CIQ(A1353,"IQ_EBITDA_MARGIN",IQ_FY-4), _xll.ciqfunctions.udf.CIQ(A1353, "IQ_EBITDA_MARGIN",IQ_FY-3))</f>
        <v>20.328399999999998</v>
      </c>
      <c r="H1359" s="15">
        <f>IF(A1361=A1362,_xll.ciqfunctions.udf.CIQ(A1353,"IQ_TOTAL_DIV_PAID_CF",IQ_FY-4)/-I1359, _xll.ciqfunctions.udf.CIQ(A1353, "IQ_TOTAL_DIV_PAID_CF",IQ_FY-3)/-I1359)</f>
        <v>0.79283336957280504</v>
      </c>
      <c r="I1359" s="17">
        <f>IF(A1361=A1362,_xll.ciqfunctions.udf.CIQ(A1353,"IQ_TOTAL_OUTSTANDING_FILING_DATE",IQ_FY-4), _xll.ciqfunctions.udf.CIQ(A1353, "IQ_TOTAL_OUTSTANDING_FILING_DATE",IQ_FY-3))</f>
        <v>54.866509999999998</v>
      </c>
      <c r="J1359" s="17">
        <f>IF(A1361=A1362,_xll.ciqfunctions.udf.CIQ(A1353,"IQ_CASH_OPER",IQ_FY-4), _xll.ciqfunctions.udf.CIQ(A1353, "IQ_CASH_OPER",IQ_FY-3))</f>
        <v>244.5</v>
      </c>
      <c r="K1359" s="17">
        <f>IF(A1361=A1362,_xll.ciqfunctions.udf.CIQ(A1353,"IQ_CAPEX",IQ_FY-4), _xll.ciqfunctions.udf.CIQ(A1353, "IQ_CAPEX",IQ_FY-3))</f>
        <v>-63.9</v>
      </c>
      <c r="L1359" s="15">
        <f t="shared" si="360"/>
        <v>3.2916254378126109</v>
      </c>
      <c r="M1359" s="17">
        <f>IF(A1361=A1362,_xll.ciqfunctions.udf.CIQ(A1353,"IQ_TOTAL_DEBT_ISSUED",IQ_FY-4), _xll.ciqfunctions.udf.CIQ(A1353, "IQ_TOTAL_DEBT_ISSUED",IQ_FY-3))</f>
        <v>642.20000000000005</v>
      </c>
      <c r="N1359" s="17">
        <f>IF(A1361=A1362,_xll.ciqfunctions.udf.CIQ(A1353,"IQ_TOTAL_DEBT_REPAID",IQ_FY-4), _xll.ciqfunctions.udf.CIQ(A1353, "IQ_TOTAL_DEBT_REPAID",IQ_FY-3))</f>
        <v>-111.5</v>
      </c>
      <c r="O1359" s="15">
        <f t="shared" si="361"/>
        <v>9.6725671087882219</v>
      </c>
      <c r="P1359" s="15">
        <f t="shared" si="362"/>
        <v>12.964192546600833</v>
      </c>
      <c r="Q1359" s="18"/>
      <c r="R1359" s="38" t="s">
        <v>29</v>
      </c>
      <c r="S1359" s="4">
        <f>(AVERAGE(P1358:P1363)/_xlfn.STDEV.P(P1358:P1363))/(IF(A1361=A1362,(_xlfn.SINGLE(_xll.ciqfunctions.udf.CIQ(A1353,"IQ_total_assets",IQ_FY)) - _xlfn.SINGLE(_xll.ciqfunctions.udf.CIQ(A1353,"iq_gw_intan", IQ_FY)))/I1363, (_xlfn.SINGLE(_xll.ciqfunctions.udf.CIQ(A1353, "IQ_total_assets",IQ_LTM))-_xlfn.SINGLE(_xll.ciqfunctions.udf.CIQ(A1353,"iq_gw_intan",IQ_LTM)))/I1363))</f>
        <v>1.2712227775369348E-2</v>
      </c>
      <c r="U1359" s="18"/>
      <c r="V1359" s="38" t="s">
        <v>29</v>
      </c>
      <c r="W1359" s="4">
        <f>(AVERAGE(P1358:P1363)/_xlfn.STDEV.P(P1358:P1363))/(IF(A1361=A1362,(_xlfn.SINGLE(_xll.ciqfunctions.udf.CIQ(A1353,"IQ_total_assets",IQ_FY)) - _xlfn.SINGLE(_xll.ciqfunctions.udf.CIQ(A1353,"iq_gw_intan", IQ_FY)))/I1363, (_xlfn.SINGLE(_xll.ciqfunctions.udf.CIQ(A1353, "IQ_total_assets",IQ_LTM))-_xlfn.SINGLE(_xll.ciqfunctions.udf.CIQ(A1353,"iq_gw_intan",IQ_LTM)))/I1363))</f>
        <v>1.2712227775369348E-2</v>
      </c>
      <c r="Y1359" s="18"/>
      <c r="Z1359" s="38" t="s">
        <v>29</v>
      </c>
      <c r="AA1359" s="4">
        <f>(AVERAGE(P1358:P1363)/_xlfn.STDEV.P(P1358:P1363))/(IF(A1361=A1362,(_xlfn.SINGLE(_xll.ciqfunctions.udf.CIQ(A1353,"IQ_total_assets",IQ_FY)) - _xlfn.SINGLE(_xll.ciqfunctions.udf.CIQ(A1353,"iq_gw_intan", IQ_FY)))/I1363, (_xlfn.SINGLE(_xll.ciqfunctions.udf.CIQ(A1353, "IQ_total_assets",IQ_LTM))-_xlfn.SINGLE(_xll.ciqfunctions.udf.CIQ(A1353,"iq_gw_intan",IQ_LTM)))/I1363))</f>
        <v>1.2712227775369348E-2</v>
      </c>
    </row>
    <row r="1360" spans="1:27">
      <c r="A1360" s="18"/>
      <c r="B1360" s="13">
        <v>8</v>
      </c>
      <c r="C1360" s="14" t="s">
        <v>30</v>
      </c>
      <c r="D1360" s="15" cm="1">
        <f t="array" ref="D1360">_xlfn.SINGLE(IF(A1361=A1362,_xll.ciqfunctions.udf.CIQ(A1353,"IQ_TOTAL_REV",IQ_FY-3)/I1360, _xll.ciqfunctions.udf.CIQ(A1353, "IQ_TOTAL_REV",IQ_FY-2)/I1360))</f>
        <v>42.193237057903609</v>
      </c>
      <c r="E1360" s="16">
        <f t="shared" si="363"/>
        <v>0.21854703809339876</v>
      </c>
      <c r="F1360" s="15">
        <f>IF(A1361=A1362,_xll.ciqfunctions.udf.CIQ(A1353,"IQ_DILUT_EPS_EXCL",IQ_FY-3), _xll.ciqfunctions.udf.CIQ(A1353, "IQ_DILUT_EPS_EXCL",IQ_FY-2))</f>
        <v>6.33</v>
      </c>
      <c r="G1360" s="15">
        <f>IF(A1361=A1362,_xll.ciqfunctions.udf.CIQ(A1353,"IQ_EBITDA_MARGIN",IQ_FY-3), _xll.ciqfunctions.udf.CIQ(A1353, "IQ_EBITDA_MARGIN",IQ_FY-2))</f>
        <v>23.9055</v>
      </c>
      <c r="H1360" s="15">
        <f>IF(A1361=A1362,_xll.ciqfunctions.udf.CIQ(A1353,"IQ_TOTAL_DIV_PAID_CF",IQ_FY-3)/-I1360, _xll.ciqfunctions.udf.CIQ(A1353, "IQ_TOTAL_DIV_PAID_CF",IQ_FY-2)/-I1360)</f>
        <v>0.79678215903337291</v>
      </c>
      <c r="I1360" s="17">
        <f>IF(A1361=A1362,_xll.ciqfunctions.udf.CIQ(A1353,"IQ_TOTAL_OUTSTANDING_FILING_DATE",IQ_FY-3), _xll.ciqfunctions.udf.CIQ(A1353, "IQ_TOTAL_OUTSTANDING_FILING_DATE",IQ_FY-2))</f>
        <v>55.222119999999997</v>
      </c>
      <c r="J1360" s="17">
        <f>IF(A1361=A1362,_xll.ciqfunctions.udf.CIQ(A1353,"IQ_CASH_OPER",IQ_FY-3), _xll.ciqfunctions.udf.CIQ(A1353, "IQ_CASH_OPER",IQ_FY-2))</f>
        <v>513</v>
      </c>
      <c r="K1360" s="17">
        <f>IF(A1361=A1362,_xll.ciqfunctions.udf.CIQ(A1353,"IQ_CAPEX",IQ_FY-3), _xll.ciqfunctions.udf.CIQ(A1353, "IQ_CAPEX",IQ_FY-2))</f>
        <v>-85</v>
      </c>
      <c r="L1360" s="15">
        <f t="shared" si="360"/>
        <v>7.7505173651428088</v>
      </c>
      <c r="M1360" s="17">
        <f>IF(A1361=A1362,_xll.ciqfunctions.udf.CIQ(A1353,"IQ_TOTAL_DEBT_ISSUED",IQ_FY-3), _xll.ciqfunctions.udf.CIQ(A1353, "IQ_TOTAL_DEBT_ISSUED",IQ_FY-2))</f>
        <v>27</v>
      </c>
      <c r="N1360" s="17">
        <f>IF(A1361=A1362,_xll.ciqfunctions.udf.CIQ(A1353,"IQ_TOTAL_DEBT_REPAID",IQ_FY-3), _xll.ciqfunctions.udf.CIQ(A1353, "IQ_TOTAL_DEBT_REPAID",IQ_FY-2))</f>
        <v>-84</v>
      </c>
      <c r="O1360" s="15">
        <f t="shared" si="361"/>
        <v>-1.0321950696568694</v>
      </c>
      <c r="P1360" s="15">
        <f t="shared" si="362"/>
        <v>6.7183222954859394</v>
      </c>
      <c r="Q1360" s="18"/>
      <c r="R1360" s="39" t="s">
        <v>31</v>
      </c>
      <c r="S1360" s="5">
        <f>IF(NOT(D1353&gt;0),FALSE,SLOPE(G1353:G1363,B1353:B1363))</f>
        <v>0.7577790909090909</v>
      </c>
      <c r="U1360" s="18"/>
      <c r="V1360" s="39" t="s">
        <v>31</v>
      </c>
      <c r="W1360" s="5">
        <f>IF(NOT(D1353&gt;0),FALSE,SLOPE(G1353:G1363,B1353:B1363))</f>
        <v>0.7577790909090909</v>
      </c>
      <c r="Y1360" s="18"/>
      <c r="Z1360" s="39" t="s">
        <v>31</v>
      </c>
      <c r="AA1360" s="5">
        <f>IF(NOT(L1353&gt;0),FALSE,SLOPE(O1353:O1363,J1353:J1363))</f>
        <v>2.746641907185721E-2</v>
      </c>
    </row>
    <row r="1361" spans="1:27">
      <c r="A1361" s="19">
        <f>_xll.ciqfunctions.udf.CIQ(A1353,"IQ_TOTAL_REV",IQ_FY)</f>
        <v>3547</v>
      </c>
      <c r="B1361" s="13">
        <v>9</v>
      </c>
      <c r="C1361" s="14" t="s">
        <v>32</v>
      </c>
      <c r="D1361" s="15" cm="1">
        <f t="array" ref="D1361">_xlfn.SINGLE(IF(A1361=A1362,_xll.ciqfunctions.udf.CIQ(A1353,"IQ_TOTAL_REV",IQ_FY-2)/I1361, _xll.ciqfunctions.udf.CIQ(A1353, "IQ_TOTAL_REV",IQ_FY-1)/I1361))</f>
        <v>53.13670471014558</v>
      </c>
      <c r="E1361" s="16">
        <f t="shared" si="363"/>
        <v>0.25936544373743536</v>
      </c>
      <c r="F1361" s="15">
        <f>IF(A1361=A1362,_xll.ciqfunctions.udf.CIQ(A1353,"IQ_DILUT_EPS_EXCL",IQ_FY-2), _xll.ciqfunctions.udf.CIQ(A1353, "IQ_DILUT_EPS_EXCL",IQ_FY-1))</f>
        <v>9.9</v>
      </c>
      <c r="G1361" s="15">
        <f>IF(A1361=A1362,_xll.ciqfunctions.udf.CIQ(A1353,"IQ_EBITDA_MARGIN",IQ_FY-2), _xll.ciqfunctions.udf.CIQ(A1353, "IQ_EBITDA_MARGIN",IQ_FY-1))</f>
        <v>28.237200000000001</v>
      </c>
      <c r="H1361" s="15">
        <f>IF(A1361=A1362,_xll.ciqfunctions.udf.CIQ(A1353,"IQ_TOTAL_DIV_PAID_CF",IQ_FY-2)/-I1361, _xll.ciqfunctions.udf.CIQ(A1353, "IQ_TOTAL_DIV_PAID_CF",IQ_FY-1)/-I1361)</f>
        <v>0.84658478690740413</v>
      </c>
      <c r="I1361" s="17">
        <f>IF(A1361=A1362,_xll.ciqfunctions.udf.CIQ(A1353,"IQ_TOTAL_OUTSTANDING_FILING_DATE",IQ_FY-2), _xll.ciqfunctions.udf.CIQ(A1353, "IQ_TOTAL_OUTSTANDING_FILING_DATE",IQ_FY-1))</f>
        <v>55.517180000000003</v>
      </c>
      <c r="J1361" s="17">
        <f>IF(A1361=A1362,_xll.ciqfunctions.udf.CIQ(A1353,"IQ_CASH_OPER",IQ_FY-2), _xll.ciqfunctions.udf.CIQ(A1353, "IQ_CASH_OPER",IQ_FY-1))</f>
        <v>640</v>
      </c>
      <c r="K1361" s="17">
        <f>IF(A1361=A1362,_xll.ciqfunctions.udf.CIQ(A1353,"IQ_CAPEX",IQ_FY-2), _xll.ciqfunctions.udf.CIQ(A1353, "IQ_CAPEX",IQ_FY-1))</f>
        <v>-87</v>
      </c>
      <c r="L1361" s="15">
        <f t="shared" si="360"/>
        <v>9.9608805778679681</v>
      </c>
      <c r="M1361" s="17">
        <f>IF(A1361=A1362,_xll.ciqfunctions.udf.CIQ(A1353,"IQ_TOTAL_DEBT_ISSUED",IQ_FY-2), _xll.ciqfunctions.udf.CIQ(A1353, "IQ_TOTAL_DEBT_ISSUED",IQ_FY-1))</f>
        <v>1</v>
      </c>
      <c r="N1361" s="17">
        <f>IF(A1361=A1362,_xll.ciqfunctions.udf.CIQ(A1353,"IQ_TOTAL_DEBT_REPAID",IQ_FY-2), _xll.ciqfunctions.udf.CIQ(A1353, "IQ_TOTAL_DEBT_REPAID",IQ_FY-1))</f>
        <v>-15</v>
      </c>
      <c r="O1361" s="15">
        <f t="shared" si="361"/>
        <v>-0.25217419184475864</v>
      </c>
      <c r="P1361" s="15">
        <f t="shared" si="362"/>
        <v>9.7087063860232092</v>
      </c>
      <c r="Q1361" s="25" t="s">
        <v>33</v>
      </c>
      <c r="R1361" s="38" t="s">
        <v>52</v>
      </c>
      <c r="S1361" s="4">
        <f>(AVERAGE(O1358:O1363)/AVERAGE(P1358:P1363))</f>
        <v>0.64246121820648672</v>
      </c>
      <c r="U1361" s="25" t="s">
        <v>54</v>
      </c>
      <c r="V1361" s="38" t="s">
        <v>52</v>
      </c>
      <c r="W1361" s="4">
        <f>(AVERAGE(O1358:O1363)/AVERAGE(P1358:P1363))</f>
        <v>0.64246121820648672</v>
      </c>
      <c r="Y1361" s="25" t="s">
        <v>60</v>
      </c>
      <c r="Z1361" s="38" t="s">
        <v>52</v>
      </c>
      <c r="AA1361" s="4">
        <f>(AVERAGE(O1358:O1363)/AVERAGE(P1358:P1363))</f>
        <v>0.64246121820648672</v>
      </c>
    </row>
    <row r="1362" spans="1:27">
      <c r="A1362" s="19">
        <f>_xll.ciqfunctions.udf.CIQ(A1353,"IQ_TOTAL_REV",IQ_LTM)</f>
        <v>3816</v>
      </c>
      <c r="B1362" s="13">
        <v>10</v>
      </c>
      <c r="C1362" s="14" t="s">
        <v>34</v>
      </c>
      <c r="D1362" s="15" cm="1">
        <f t="array" ref="D1362">_xlfn.SINGLE(IF(A1361=A1362,_xll.ciqfunctions.udf.CIQ(A1353,"IQ_TOTAL_REV",IQ_FY-1)/I1362, _xll.ciqfunctions.udf.CIQ(A1353, "IQ_TOTAL_REV",IQ_FY)/I1362))</f>
        <v>53.202938386137532</v>
      </c>
      <c r="E1362" s="16">
        <f t="shared" si="363"/>
        <v>1.2464769193582753E-3</v>
      </c>
      <c r="F1362" s="15">
        <f>IF(A1361=A1362,_xll.ciqfunctions.udf.CIQ(A1353,"IQ_DILUT_EPS_EXCL",IQ_FY-1), _xll.ciqfunctions.udf.CIQ(A1353, "IQ_DILUT_EPS_EXCL",IQ_FY))</f>
        <v>5.56</v>
      </c>
      <c r="G1362" s="15">
        <f>IF(A1361=A1362,_xll.ciqfunctions.udf.CIQ(A1353,"IQ_EBITDA_MARGIN",IQ_FY-1), _xll.ciqfunctions.udf.CIQ(A1353, "IQ_EBITDA_MARGIN",IQ_FY))</f>
        <v>24.753299999999999</v>
      </c>
      <c r="H1362" s="15">
        <f>IF(A1361=A1362,_xll.ciqfunctions.udf.CIQ(A1353,"IQ_TOTAL_DIV_PAID_CF",IQ_FY-1)/-I1362, _xll.ciqfunctions.udf.CIQ(A1353, "IQ_TOTAL_DIV_PAID_CF",IQ_FY)/-I1362)</f>
        <v>0.77996977617117336</v>
      </c>
      <c r="I1362" s="17">
        <f>IF(A1361=A1362,_xll.ciqfunctions.udf.CIQ(A1353,"IQ_TOTAL_OUTSTANDING_FILING_DATE",IQ_FY-1), _xll.ciqfunctions.udf.CIQ(A1353, "IQ_TOTAL_OUTSTANDING_FILING_DATE",IQ_FY))</f>
        <v>66.669250000000005</v>
      </c>
      <c r="J1362" s="17">
        <f>IF(A1361=A1362,_xll.ciqfunctions.udf.CIQ(A1353,"IQ_CASH_OPER",IQ_FY-1), _xll.ciqfunctions.udf.CIQ(A1353, "IQ_CASH_OPER",IQ_FY))</f>
        <v>529</v>
      </c>
      <c r="K1362" s="17">
        <f>IF(A1361=A1362,_xll.ciqfunctions.udf.CIQ(A1353,"IQ_CAPEX",IQ_FY-1), _xll.ciqfunctions.udf.CIQ(A1353, "IQ_CAPEX",IQ_FY))</f>
        <v>-164</v>
      </c>
      <c r="L1362" s="15">
        <f t="shared" si="360"/>
        <v>5.4747878519707358</v>
      </c>
      <c r="M1362" s="17">
        <f>IF(A1361=A1362,_xll.ciqfunctions.udf.CIQ(A1353,"IQ_TOTAL_DEBT_ISSUED",IQ_FY-1), _xll.ciqfunctions.udf.CIQ(A1353, "IQ_TOTAL_DEBT_ISSUED",IQ_FY))</f>
        <v>4988</v>
      </c>
      <c r="N1362" s="17">
        <f>IF(A1361=A1362,_xll.ciqfunctions.udf.CIQ(A1353,"IQ_TOTAL_DEBT_REPAID",IQ_FY-1), _xll.ciqfunctions.udf.CIQ(A1353, "IQ_TOTAL_DEBT_REPAID",IQ_FY))</f>
        <v>-964</v>
      </c>
      <c r="O1362" s="15">
        <f t="shared" si="361"/>
        <v>60.357661140630796</v>
      </c>
      <c r="P1362" s="15">
        <f t="shared" si="362"/>
        <v>65.832448992601527</v>
      </c>
      <c r="Q1362" s="25" t="s">
        <v>44</v>
      </c>
      <c r="R1362" s="38" t="s">
        <v>35</v>
      </c>
      <c r="S1362" s="1">
        <f>_xll.ciqfunctions.udf.CIQ(A1353,"IQ_TEV_EBITDA")</f>
        <v>11.05964</v>
      </c>
      <c r="U1362" s="25" t="s">
        <v>55</v>
      </c>
      <c r="V1362" s="38" t="s">
        <v>53</v>
      </c>
      <c r="W1362" s="1">
        <f>V1352/(AVERAGE(D1358:D1363)/_xlfn.STDEV.P(E1358:E1363))</f>
        <v>0.20750643664047586</v>
      </c>
      <c r="Y1362" s="25" t="s">
        <v>57</v>
      </c>
      <c r="Z1362" s="38" t="s">
        <v>53</v>
      </c>
      <c r="AA1362" s="1">
        <f>Z1352/(AVERAGE(D1358:D1363)/_xlfn.STDEV.P(E1358:E1363))</f>
        <v>0.20750643664047586</v>
      </c>
    </row>
    <row r="1363" spans="1:27">
      <c r="B1363" s="13">
        <v>11</v>
      </c>
      <c r="C1363" s="20" t="s">
        <v>36</v>
      </c>
      <c r="D1363" s="21" cm="1">
        <f t="array" ref="D1363">_xlfn.SINGLE(IF(A1361=A1362,_xll.ciqfunctions.udf.CIQ(A1353,"IQ_TOTAL_REV",IQ_FY)/I1363, _xll.ciqfunctions.udf.CIQ(A1353, "IQ_TOTAL_REV",IQ_LTM)/I1363))</f>
        <v>57.058695993480711</v>
      </c>
      <c r="E1363" s="22">
        <f t="shared" si="363"/>
        <v>7.24726438859217E-2</v>
      </c>
      <c r="F1363" s="21">
        <f>IF(A1361=A1362,_xll.ciqfunctions.udf.CIQ(A1353,"IQ_DILUT_EPS_EXCL",IQ_FY), _xll.ciqfunctions.udf.CIQ(A1353, "IQ_DILUT_EPS_EXCL",IQ_LTM))</f>
        <v>-25.737829999999999</v>
      </c>
      <c r="G1363" s="21">
        <f>IF(A1361=A1362,_xll.ciqfunctions.udf.CIQ(A1353,"IQ_EBITDA_MARGIN",IQ_FY), _xll.ciqfunctions.udf.CIQ(A1353, "IQ_EBITDA_MARGIN",IQ_LTM))</f>
        <v>21.881499999999999</v>
      </c>
      <c r="H1363" s="21">
        <f>IF(A1361=A1362,_xll.ciqfunctions.udf.CIQ(A1353,"IQ_TOTAL_DIV_PAID_CF",IQ_FY)/-I1363, _xll.ciqfunctions.udf.CIQ(A1353, "IQ_TOTAL_DIV_PAID_CF",IQ_LTM)/-I1363)</f>
        <v>0.88219681960570284</v>
      </c>
      <c r="I1363" s="23">
        <f>IF(A1361=A1362,_xll.ciqfunctions.udf.CIQ(A1353,"IQ_TOTAL_OUTSTANDING_FILING_DATE",IQ_FY),_xll.ciqfunctions.udf.CIQ(A1353,"IQ_sharesoutstanding"))</f>
        <v>66.878500000000003</v>
      </c>
      <c r="J1363" s="23">
        <f>IF(A1361=A1362,_xll.ciqfunctions.udf.CIQ(A1353,"IQ_CASH_OPER",IQ_FY), _xll.ciqfunctions.udf.CIQ(A1353, "IQ_CASH_OPER",IQ_LTM))</f>
        <v>322</v>
      </c>
      <c r="K1363" s="23">
        <f>IF(A1361=A1362,_xll.ciqfunctions.udf.CIQ(A1353,"IQ_CAPEX",IQ_FY), _xll.ciqfunctions.udf.CIQ(A1353, "IQ_CAPEX",IQ_LTM))</f>
        <v>-108</v>
      </c>
      <c r="L1363" s="21">
        <f t="shared" si="360"/>
        <v>3.1998325321291596</v>
      </c>
      <c r="M1363" s="23">
        <f>IF(A1361=A1362,_xll.ciqfunctions.udf.CIQ(A1353,"IQ_TOTAL_DEBT_ISSUED",IQ_FY), _xll.ciqfunctions.udf.CIQ(A1353, "IQ_TOTAL_DEBT_ISSUED",IQ_LTM))</f>
        <v>4</v>
      </c>
      <c r="N1363" s="23">
        <f>IF(A1361=A1362,_xll.ciqfunctions.udf.CIQ(A1353,"IQ_TOTAL_DEBT_REPAID",IQ_FY), _xll.ciqfunctions.udf.CIQ(A1353, "IQ_TOTAL_DEBT_REPAID",IQ_LTM))</f>
        <v>-196</v>
      </c>
      <c r="O1363" s="21">
        <f t="shared" si="361"/>
        <v>-2.8708777858355075</v>
      </c>
      <c r="P1363" s="21">
        <f t="shared" si="362"/>
        <v>0.32895474629365218</v>
      </c>
      <c r="Q1363" s="25" t="s">
        <v>45</v>
      </c>
      <c r="S1363" s="45"/>
      <c r="U1363" s="25"/>
      <c r="W1363" s="45"/>
      <c r="Y1363" s="25"/>
      <c r="AA1363" s="45"/>
    </row>
    <row r="1364" spans="1:27">
      <c r="B1364" s="24"/>
      <c r="C1364" s="25" t="s">
        <v>37</v>
      </c>
      <c r="E1364" s="26">
        <f>((D1363/D1358)^(1/5))-1</f>
        <v>8.3060661298557825E-2</v>
      </c>
      <c r="F1364" s="27">
        <f>((F1363/F1358)^(1/5))-1</f>
        <v>-2.2923339194260022</v>
      </c>
      <c r="G1364" s="28"/>
      <c r="H1364" s="27">
        <f>((H1363/H1358)^(1/5))-1</f>
        <v>2.432116322366551E-2</v>
      </c>
      <c r="I1364" s="27">
        <f>((I1363/I1358)^(1/5))-1</f>
        <v>4.2944229058761607E-2</v>
      </c>
      <c r="J1364" s="27"/>
      <c r="K1364" s="27"/>
      <c r="L1364" s="26">
        <f>((L1363/L1358)^(1/5))-1</f>
        <v>-0.13146965680843237</v>
      </c>
      <c r="M1364" s="26"/>
      <c r="N1364" s="26"/>
      <c r="O1364" s="26"/>
      <c r="P1364" s="26">
        <f>((P1363/P1358)^(1/5))-1</f>
        <v>-0.43193922599437584</v>
      </c>
      <c r="Q1364" s="18"/>
      <c r="R1364" s="36"/>
      <c r="S1364" s="45"/>
      <c r="U1364" s="18"/>
      <c r="V1364" s="36"/>
      <c r="W1364" s="45"/>
      <c r="Y1364" s="18"/>
      <c r="Z1364" s="36"/>
      <c r="AA1364" s="45"/>
    </row>
    <row r="1365" spans="1:27">
      <c r="A1365" s="29"/>
      <c r="B1365" s="30"/>
      <c r="C1365" s="31" t="s">
        <v>38</v>
      </c>
      <c r="D1365" s="29"/>
      <c r="E1365" s="32">
        <f>((D1363/D1353)^(1/10))-1</f>
        <v>0.16361150601318664</v>
      </c>
      <c r="F1365" s="33" t="e">
        <f>((F1363/F1353)^(1/10))-1</f>
        <v>#NUM!</v>
      </c>
      <c r="G1365" s="34"/>
      <c r="H1365" s="33">
        <f>((H1363/H1353)^(1/10))-1</f>
        <v>3.3204510292472733E-2</v>
      </c>
      <c r="I1365" s="33">
        <f>((I1363/I1353)^(1/10))-1</f>
        <v>2.2781729231684977E-2</v>
      </c>
      <c r="J1365" s="33"/>
      <c r="K1365" s="33"/>
      <c r="L1365" s="32">
        <f>((L1363/L1353)^(1/10))-1</f>
        <v>0.10372316240706203</v>
      </c>
      <c r="M1365" s="32"/>
      <c r="N1365" s="32"/>
      <c r="O1365" s="32"/>
      <c r="P1365" s="32">
        <f>((P1363/P1353)^(1/10))-1</f>
        <v>-0.11978369447905302</v>
      </c>
      <c r="Q1365" s="40"/>
      <c r="R1365" s="41"/>
      <c r="S1365" s="46"/>
      <c r="U1365" s="40"/>
      <c r="V1365" s="41"/>
      <c r="W1365" s="46"/>
      <c r="Y1365" s="40"/>
      <c r="Z1365" s="41"/>
      <c r="AA1365" s="46"/>
    </row>
    <row r="1366" spans="1:27">
      <c r="B1366" s="24"/>
      <c r="C1366" s="25"/>
      <c r="E1366" s="26"/>
      <c r="F1366" s="27"/>
      <c r="G1366" s="28"/>
      <c r="H1366" s="27"/>
      <c r="I1366" s="27"/>
      <c r="J1366" s="27"/>
      <c r="K1366" s="27"/>
      <c r="L1366" s="26"/>
      <c r="M1366" s="17"/>
      <c r="N1366" s="17"/>
      <c r="O1366" s="17"/>
      <c r="P1366" s="35"/>
      <c r="Q1366" s="18"/>
      <c r="R1366" s="36"/>
    </row>
    <row r="1367" spans="1:27">
      <c r="A1367" s="9" t="s">
        <v>0</v>
      </c>
      <c r="B1367" s="10"/>
      <c r="C1367" s="9" t="s">
        <v>1</v>
      </c>
      <c r="D1367" s="9" t="s">
        <v>2</v>
      </c>
      <c r="E1367" s="9" t="s">
        <v>3</v>
      </c>
      <c r="F1367" s="11" t="s">
        <v>4</v>
      </c>
      <c r="G1367" s="11" t="s">
        <v>5</v>
      </c>
      <c r="H1367" s="9" t="s">
        <v>6</v>
      </c>
      <c r="I1367" s="11" t="s">
        <v>7</v>
      </c>
      <c r="J1367" s="11" t="s">
        <v>8</v>
      </c>
      <c r="K1367" s="11" t="s">
        <v>9</v>
      </c>
      <c r="L1367" s="11" t="s">
        <v>10</v>
      </c>
      <c r="M1367" s="11" t="s">
        <v>11</v>
      </c>
      <c r="N1367" s="11" t="s">
        <v>12</v>
      </c>
      <c r="O1367" s="11" t="s">
        <v>13</v>
      </c>
      <c r="P1367" s="11" t="s">
        <v>14</v>
      </c>
      <c r="Q1367" s="37" t="s">
        <v>15</v>
      </c>
      <c r="R1367" s="42">
        <f>_xll.ciqfunctions.udf.CIQ(A1368,("IQ_LASTSALEPRICE"))</f>
        <v>58.104999999999997</v>
      </c>
      <c r="S1367" s="44"/>
      <c r="U1367" s="37" t="s">
        <v>15</v>
      </c>
      <c r="V1367" s="42">
        <f>_xll.ciqfunctions.udf.CIQ(A1368,("IQ_LASTSALEPRICE"))</f>
        <v>58.104999999999997</v>
      </c>
      <c r="W1367" s="44"/>
      <c r="Y1367" s="37" t="s">
        <v>15</v>
      </c>
      <c r="Z1367" s="42">
        <f>_xll.ciqfunctions.udf.CIQ(A1368,("IQ_LASTSALEPRICE"))</f>
        <v>58.104999999999997</v>
      </c>
      <c r="AA1367" s="44"/>
    </row>
    <row r="1368" spans="1:27">
      <c r="A1368" s="12" t="str">
        <f>Analysis!B93</f>
        <v>NasdaqGS:LSCC</v>
      </c>
      <c r="B1368" s="13">
        <v>1</v>
      </c>
      <c r="C1368" s="14" t="s">
        <v>16</v>
      </c>
      <c r="D1368" s="15">
        <f>IF(A1376=A1377,_xll.ciqfunctions.udf.CIQ(A1368,"IQ_TOTAL_REV",IQ_FY-10)/I1368,_xll.ciqfunctions.udf.CIQ(A1368, "IQ_TOTAL_REV",IQ_FY-9)/I1368)</f>
        <v>2.8172055709885391</v>
      </c>
      <c r="E1368" s="16"/>
      <c r="F1368" s="15">
        <f>IF(A1376=A1377,_xll.ciqfunctions.udf.CIQ(A1368,"IQ_DILUT_EPS_EXCL",IQ_FY-10), _xll.ciqfunctions.udf.CIQ(A1368, "IQ_DILUT_EPS_EXCL",IQ_FY-9))</f>
        <v>0.19</v>
      </c>
      <c r="G1368" s="15">
        <f>IF(A1376=A1377,_xll.ciqfunctions.udf.CIQ(A1368,"IQ_EBITDA_MARGIN",IQ_FY-10), _xll.ciqfunctions.udf.CIQ(A1368, "IQ_EBITDA_MARGIN",IQ_FY-9))</f>
        <v>14.4292</v>
      </c>
      <c r="H1368" s="15">
        <f>IF(A1376=A1377,_xll.ciqfunctions.udf.CIQ(A1368,"IQ_TOTAL_DIV_PAID_CF",IQ_FY-10)/-I1368, _xll.ciqfunctions.udf.CIQ(A1368, "IQ_TOTAL_DIV_PAID_CF",IQ_FY-9)/-I1368)</f>
        <v>0</v>
      </c>
      <c r="I1368" s="17">
        <f>IF(A1376=A1377,_xll.ciqfunctions.udf.CIQ(A1368,"IQ_TOTAL_OUTSTANDING_FILING_DATE",IQ_FY-10), _xll.ciqfunctions.udf.CIQ(A1368, "IQ_TOTAL_OUTSTANDING_FILING_DATE",IQ_FY-9))</f>
        <v>118.03363</v>
      </c>
      <c r="J1368" s="17">
        <f>IF(A1376=A1377,_xll.ciqfunctions.udf.CIQ(A1368,"IQ_CASH_OPER",IQ_FY-10), _xll.ciqfunctions.udf.CIQ(A1368, "IQ_CASH_OPER",IQ_FY-9))</f>
        <v>56.503999999999998</v>
      </c>
      <c r="K1368" s="17">
        <f>IF(A1376=A1377,_xll.ciqfunctions.udf.CIQ(A1368,"IQ_CAPEX",IQ_FY-10), _xll.ciqfunctions.udf.CIQ(A1368, "IQ_CAPEX",IQ_FY-9))</f>
        <v>-12.5</v>
      </c>
      <c r="L1368" s="15">
        <f t="shared" ref="L1368:L1378" si="364">(J1368+K1368)/I1368</f>
        <v>0.37280900367124181</v>
      </c>
      <c r="M1368" s="17">
        <f>IF(A1376=A1377,_xll.ciqfunctions.udf.CIQ(A1368,"IQ_TOTAL_DEBT_ISSUED",IQ_FY-10), _xll.ciqfunctions.udf.CIQ(A1368, "IQ_TOTAL_DEBT_ISSUED",IQ_FY-9))</f>
        <v>0</v>
      </c>
      <c r="N1368" s="17">
        <f>IF(A1376=A1377,_xll.ciqfunctions.udf.CIQ(A1368,"IQ_TOTAL_DEBT_REPAID",IQ_FY-10), _xll.ciqfunctions.udf.CIQ(A1368, "IQ_TOTAL_DEBT_REPAID",IQ_FY-9))</f>
        <v>0</v>
      </c>
      <c r="O1368" s="15">
        <f t="shared" ref="O1368:O1378" si="365">(M1368+N1368)/I1368</f>
        <v>0</v>
      </c>
      <c r="P1368" s="15">
        <f t="shared" ref="P1368:P1378" si="366">L1368+O1368</f>
        <v>0.37280900367124181</v>
      </c>
      <c r="W1368" s="43"/>
      <c r="AA1368" s="43"/>
    </row>
    <row r="1369" spans="1:27">
      <c r="A1369" s="18" t="str">
        <f>_xll.ciqfunctions.udf.CIQ(A1368,"IQ_COMPANY_NAME")</f>
        <v>Lattice Semiconductor Corporation</v>
      </c>
      <c r="B1369" s="13">
        <v>2</v>
      </c>
      <c r="C1369" s="14" t="s">
        <v>17</v>
      </c>
      <c r="D1369" s="15">
        <f>IF(A1376=A1377,_xll.ciqfunctions.udf.CIQ(A1368,"IQ_TOTAL_REV",IQ_FY-9)/I1369, _xll.ciqfunctions.udf.CIQ(A1368, "IQ_TOTAL_REV",IQ_FY-8)/I1369)</f>
        <v>3.1387895950411298</v>
      </c>
      <c r="E1369" s="16">
        <f t="shared" ref="E1369:E1378" si="367">(D1369-D1368)/D1368</f>
        <v>0.11415000288379699</v>
      </c>
      <c r="F1369" s="15">
        <f>IF(A1376=A1377,_xll.ciqfunctions.udf.CIQ(A1368,"IQ_DILUT_EPS_EXCL",IQ_FY-9), _xll.ciqfunctions.udf.CIQ(A1368, "IQ_DILUT_EPS_EXCL",IQ_FY-8))</f>
        <v>0.4</v>
      </c>
      <c r="G1369" s="15">
        <f>IF(A1376=A1377,_xll.ciqfunctions.udf.CIQ(A1368,"IQ_EBITDA_MARGIN",IQ_FY-9), _xll.ciqfunctions.udf.CIQ(A1368, "IQ_EBITDA_MARGIN",IQ_FY-8))</f>
        <v>17.447700000000001</v>
      </c>
      <c r="H1369" s="15">
        <f>IF(A1376=A1377,_xll.ciqfunctions.udf.CIQ(A1368,"IQ_TOTAL_DIV_PAID_CF",IQ_FY-9)/-I1369, _xll.ciqfunctions.udf.CIQ(A1368, "IQ_TOTAL_DIV_PAID_CF",IQ_FY-8)/-I1369)</f>
        <v>0</v>
      </c>
      <c r="I1369" s="17">
        <f>IF(A1376=A1377,_xll.ciqfunctions.udf.CIQ(A1368,"IQ_TOTAL_OUTSTANDING_FILING_DATE",IQ_FY-9), _xll.ciqfunctions.udf.CIQ(A1368, "IQ_TOTAL_OUTSTANDING_FILING_DATE",IQ_FY-8))</f>
        <v>116.64592</v>
      </c>
      <c r="J1369" s="17">
        <f>IF(A1376=A1377,_xll.ciqfunctions.udf.CIQ(A1368,"IQ_CASH_OPER",IQ_FY-9), _xll.ciqfunctions.udf.CIQ(A1368, "IQ_CASH_OPER",IQ_FY-8))</f>
        <v>40.122</v>
      </c>
      <c r="K1369" s="17">
        <f>IF(A1376=A1377,_xll.ciqfunctions.udf.CIQ(A1368,"IQ_CAPEX",IQ_FY-9), _xll.ciqfunctions.udf.CIQ(A1368, "IQ_CAPEX",IQ_FY-8))</f>
        <v>-10.266999999999999</v>
      </c>
      <c r="L1369" s="15">
        <f t="shared" si="364"/>
        <v>0.25594551442519375</v>
      </c>
      <c r="M1369" s="17">
        <f>IF(A1376=A1377,_xll.ciqfunctions.udf.CIQ(A1368,"IQ_TOTAL_DEBT_ISSUED",IQ_FY-9), _xll.ciqfunctions.udf.CIQ(A1368, "IQ_TOTAL_DEBT_ISSUED",IQ_FY-8))</f>
        <v>0</v>
      </c>
      <c r="N1369" s="17">
        <f>IF(A1376=A1377,_xll.ciqfunctions.udf.CIQ(A1368,"IQ_TOTAL_DEBT_REPAID",IQ_FY-9), _xll.ciqfunctions.udf.CIQ(A1368, "IQ_TOTAL_DEBT_REPAID",IQ_FY-8))</f>
        <v>0</v>
      </c>
      <c r="O1369" s="15">
        <f t="shared" si="365"/>
        <v>0</v>
      </c>
      <c r="P1369" s="15">
        <f t="shared" si="366"/>
        <v>0.25594551442519375</v>
      </c>
      <c r="Q1369" s="25" t="s">
        <v>18</v>
      </c>
      <c r="R1369" s="39" t="s">
        <v>19</v>
      </c>
      <c r="S1369" s="1">
        <f>R1367/((AVERAGE(P1373:P1378))*(1+E1379)^3)</f>
        <v>64.168023385546306</v>
      </c>
      <c r="U1369" s="25" t="s">
        <v>48</v>
      </c>
      <c r="V1369" s="39" t="s">
        <v>19</v>
      </c>
      <c r="W1369" s="1">
        <f>V1367/((AVERAGE(P1373:P1378))*(1+E1379)^3)</f>
        <v>64.168023385546306</v>
      </c>
      <c r="Y1369" s="25" t="s">
        <v>39</v>
      </c>
      <c r="Z1369" s="39" t="s">
        <v>19</v>
      </c>
      <c r="AA1369" s="1">
        <f>Z1367/((AVERAGE(P1373:P1378))*(1+E1379)^3)</f>
        <v>64.168023385546306</v>
      </c>
    </row>
    <row r="1370" spans="1:27">
      <c r="B1370" s="13">
        <v>3</v>
      </c>
      <c r="C1370" s="14" t="s">
        <v>20</v>
      </c>
      <c r="D1370" s="15" cm="1">
        <f t="array" ref="D1370">_xlfn.SINGLE(IF(A1376=A1377,_xll.ciqfunctions.udf.CIQ(A1368,"IQ_TOTAL_REV",IQ_FY-8)/I1370, _xll.ciqfunctions.udf.CIQ(A1368, "IQ_TOTAL_REV",IQ_FY-7)/I1370))</f>
        <v>3.4116355254619246</v>
      </c>
      <c r="E1370" s="16">
        <f t="shared" si="367"/>
        <v>8.6927117017290723E-2</v>
      </c>
      <c r="F1370" s="15">
        <f>IF(A1376=A1377,_xll.ciqfunctions.udf.CIQ(A1368,"IQ_DILUT_EPS_EXCL",IQ_FY-8), _xll.ciqfunctions.udf.CIQ(A1368, "IQ_DILUT_EPS_EXCL",IQ_FY-7))</f>
        <v>-1.36</v>
      </c>
      <c r="G1370" s="15">
        <f>IF(A1376=A1377,_xll.ciqfunctions.udf.CIQ(A1368,"IQ_EBITDA_MARGIN",IQ_FY-8), _xll.ciqfunctions.udf.CIQ(A1368, "IQ_EBITDA_MARGIN",IQ_FY-7))</f>
        <v>5.2954999999999997</v>
      </c>
      <c r="H1370" s="15">
        <f>IF(A1376=A1377,_xll.ciqfunctions.udf.CIQ(A1368,"IQ_TOTAL_DIV_PAID_CF",IQ_FY-8)/-I1370, _xll.ciqfunctions.udf.CIQ(A1368, "IQ_TOTAL_DIV_PAID_CF",IQ_FY-7)/-I1370)</f>
        <v>0</v>
      </c>
      <c r="I1370" s="17">
        <f>IF(A1376=A1377,_xll.ciqfunctions.udf.CIQ(A1368,"IQ_TOTAL_OUTSTANDING_FILING_DATE",IQ_FY-8), _xll.ciqfunctions.udf.CIQ(A1368, "IQ_TOTAL_OUTSTANDING_FILING_DATE",IQ_FY-7))</f>
        <v>118.99454</v>
      </c>
      <c r="J1370" s="17">
        <f>IF(A1376=A1377,_xll.ciqfunctions.udf.CIQ(A1368,"IQ_CASH_OPER",IQ_FY-8), _xll.ciqfunctions.udf.CIQ(A1368, "IQ_CASH_OPER",IQ_FY-7))</f>
        <v>-22.885000000000002</v>
      </c>
      <c r="K1370" s="17">
        <f>IF(A1376=A1377,_xll.ciqfunctions.udf.CIQ(A1368,"IQ_CAPEX",IQ_FY-8), _xll.ciqfunctions.udf.CIQ(A1368, "IQ_CAPEX",IQ_FY-7))</f>
        <v>-18.209</v>
      </c>
      <c r="L1370" s="15">
        <f t="shared" si="364"/>
        <v>-0.34534357626828927</v>
      </c>
      <c r="M1370" s="17">
        <f>IF(A1376=A1377,_xll.ciqfunctions.udf.CIQ(A1368,"IQ_TOTAL_DEBT_ISSUED",IQ_FY-8), _xll.ciqfunctions.udf.CIQ(A1368, "IQ_TOTAL_DEBT_ISSUED",IQ_FY-7))</f>
        <v>346.5</v>
      </c>
      <c r="N1370" s="17">
        <f>IF(A1376=A1377,_xll.ciqfunctions.udf.CIQ(A1368,"IQ_TOTAL_DEBT_REPAID",IQ_FY-8), _xll.ciqfunctions.udf.CIQ(A1368, "IQ_TOTAL_DEBT_REPAID",IQ_FY-7))</f>
        <v>-2.625</v>
      </c>
      <c r="O1370" s="15">
        <f t="shared" si="365"/>
        <v>2.8898384749417914</v>
      </c>
      <c r="P1370" s="15">
        <f t="shared" si="366"/>
        <v>2.5444948986735021</v>
      </c>
      <c r="Q1370" s="25" t="s">
        <v>21</v>
      </c>
      <c r="R1370" s="38" t="s">
        <v>49</v>
      </c>
      <c r="S1370" s="2">
        <f>(R1367*I1378)/1000</f>
        <v>8.0201390199000002</v>
      </c>
      <c r="U1370" s="25" t="s">
        <v>59</v>
      </c>
      <c r="V1370" s="38" t="s">
        <v>49</v>
      </c>
      <c r="W1370" s="2">
        <f>(V1367*I1378)/1000</f>
        <v>8.0201390199000002</v>
      </c>
      <c r="Y1370" s="25" t="s">
        <v>46</v>
      </c>
      <c r="Z1370" s="38" t="s">
        <v>49</v>
      </c>
      <c r="AA1370" s="2">
        <f>(Z1367*I1378)/1000</f>
        <v>8.0201390199000002</v>
      </c>
    </row>
    <row r="1371" spans="1:27">
      <c r="A1371" s="18"/>
      <c r="B1371" s="13">
        <v>4</v>
      </c>
      <c r="C1371" s="14" t="s">
        <v>22</v>
      </c>
      <c r="D1371" s="15" cm="1">
        <f t="array" ref="D1371">_xlfn.SINGLE(IF(A1376=A1377,_xll.ciqfunctions.udf.CIQ(A1368,"IQ_TOTAL_REV",IQ_FY-7)/I1371, _xll.ciqfunctions.udf.CIQ(A1368, "IQ_TOTAL_REV",IQ_FY-6)/I1371))</f>
        <v>3.5076747582679895</v>
      </c>
      <c r="E1371" s="16">
        <f t="shared" si="367"/>
        <v>2.8150496173843614E-2</v>
      </c>
      <c r="F1371" s="15">
        <f>IF(A1376=A1377,_xll.ciqfunctions.udf.CIQ(A1368,"IQ_DILUT_EPS_EXCL",IQ_FY-7), _xll.ciqfunctions.udf.CIQ(A1368, "IQ_DILUT_EPS_EXCL",IQ_FY-6))</f>
        <v>-0.45084999999999997</v>
      </c>
      <c r="G1371" s="15">
        <f>IF(A1376=A1377,_xll.ciqfunctions.udf.CIQ(A1368,"IQ_EBITDA_MARGIN",IQ_FY-7), _xll.ciqfunctions.udf.CIQ(A1368, "IQ_EBITDA_MARGIN",IQ_FY-6))</f>
        <v>13.8315</v>
      </c>
      <c r="H1371" s="15">
        <f>IF(A1376=A1377,_xll.ciqfunctions.udf.CIQ(A1368,"IQ_TOTAL_DIV_PAID_CF",IQ_FY-7)/-I1371, _xll.ciqfunctions.udf.CIQ(A1368, "IQ_TOTAL_DIV_PAID_CF",IQ_FY-6)/-I1371)</f>
        <v>0</v>
      </c>
      <c r="I1371" s="17">
        <f>IF(A1376=A1377,_xll.ciqfunctions.udf.CIQ(A1368,"IQ_TOTAL_OUTSTANDING_FILING_DATE",IQ_FY-7), _xll.ciqfunctions.udf.CIQ(A1368, "IQ_TOTAL_OUTSTANDING_FILING_DATE",IQ_FY-6))</f>
        <v>121.74845999999999</v>
      </c>
      <c r="J1371" s="17">
        <f>IF(A1376=A1377,_xll.ciqfunctions.udf.CIQ(A1368,"IQ_CASH_OPER",IQ_FY-7), _xll.ciqfunctions.udf.CIQ(A1368, "IQ_CASH_OPER",IQ_FY-6))</f>
        <v>41.734000000000002</v>
      </c>
      <c r="K1371" s="17">
        <f>IF(A1376=A1377,_xll.ciqfunctions.udf.CIQ(A1368,"IQ_CAPEX",IQ_FY-7), _xll.ciqfunctions.udf.CIQ(A1368, "IQ_CAPEX",IQ_FY-6))</f>
        <v>-16.716999999999999</v>
      </c>
      <c r="L1371" s="15">
        <f t="shared" si="364"/>
        <v>0.20548103852812596</v>
      </c>
      <c r="M1371" s="17">
        <f>IF(A1376=A1377,_xll.ciqfunctions.udf.CIQ(A1368,"IQ_TOTAL_DEBT_ISSUED",IQ_FY-7), _xll.ciqfunctions.udf.CIQ(A1368, "IQ_TOTAL_DEBT_ISSUED",IQ_FY-6))</f>
        <v>0</v>
      </c>
      <c r="N1371" s="17">
        <f>IF(A1376=A1377,_xll.ciqfunctions.udf.CIQ(A1368,"IQ_TOTAL_DEBT_REPAID",IQ_FY-7), _xll.ciqfunctions.udf.CIQ(A1368, "IQ_TOTAL_DEBT_REPAID",IQ_FY-6))</f>
        <v>-5.1539999999999999</v>
      </c>
      <c r="O1371" s="15">
        <f t="shared" si="365"/>
        <v>-4.2333184337608874E-2</v>
      </c>
      <c r="P1371" s="15">
        <f t="shared" si="366"/>
        <v>0.16314785419051708</v>
      </c>
      <c r="Q1371" s="25" t="s">
        <v>23</v>
      </c>
      <c r="R1371" s="38" t="s">
        <v>24</v>
      </c>
      <c r="S1371" s="1" t="e">
        <f>R1367/(AVERAGE(H1373:H1378)*(1+H1379)/(0.5-H1379))</f>
        <v>#DIV/0!</v>
      </c>
      <c r="U1371" s="25" t="s">
        <v>40</v>
      </c>
      <c r="V1371" s="38" t="s">
        <v>24</v>
      </c>
      <c r="W1371" s="1" t="e">
        <f>V1367/(AVERAGE(H1373:H1378)*(1+H1379)/(0.5-H1379))</f>
        <v>#DIV/0!</v>
      </c>
      <c r="Y1371" s="25" t="s">
        <v>47</v>
      </c>
      <c r="Z1371" s="38" t="s">
        <v>24</v>
      </c>
      <c r="AA1371" s="1" t="e">
        <f>Z1367/(AVERAGE(H1373:H1378)*(1+H1379)/(0.5-H1379))</f>
        <v>#DIV/0!</v>
      </c>
    </row>
    <row r="1372" spans="1:27">
      <c r="B1372" s="13">
        <v>5</v>
      </c>
      <c r="C1372" s="14" t="s">
        <v>25</v>
      </c>
      <c r="D1372" s="15" cm="1">
        <f t="array" ref="D1372">_xlfn.SINGLE(IF(A1376=A1377,_xll.ciqfunctions.udf.CIQ(A1368,"IQ_TOTAL_REV",IQ_FY-6)/I1372, _xll.ciqfunctions.udf.CIQ(A1368, "IQ_TOTAL_REV",IQ_FY-5)/I1372))</f>
        <v>3.1073030368583505</v>
      </c>
      <c r="E1372" s="16">
        <f t="shared" si="367"/>
        <v>-0.1141416319930795</v>
      </c>
      <c r="F1372" s="15">
        <f>IF(A1376=A1377,_xll.ciqfunctions.udf.CIQ(A1368,"IQ_DILUT_EPS_EXCL",IQ_FY-6), _xll.ciqfunctions.udf.CIQ(A1368, "IQ_DILUT_EPS_EXCL",IQ_FY-5))</f>
        <v>-0.57999999999999996</v>
      </c>
      <c r="G1372" s="15">
        <f>IF(A1376=A1377,_xll.ciqfunctions.udf.CIQ(A1368,"IQ_EBITDA_MARGIN",IQ_FY-6), _xll.ciqfunctions.udf.CIQ(A1368, "IQ_EBITDA_MARGIN",IQ_FY-5))</f>
        <v>12.702</v>
      </c>
      <c r="H1372" s="15">
        <f>IF(A1376=A1377,_xll.ciqfunctions.udf.CIQ(A1368,"IQ_TOTAL_DIV_PAID_CF",IQ_FY-6)/-I1372, _xll.ciqfunctions.udf.CIQ(A1368, "IQ_TOTAL_DIV_PAID_CF",IQ_FY-5)/-I1372)</f>
        <v>0</v>
      </c>
      <c r="I1372" s="17">
        <f>IF(A1376=A1377,_xll.ciqfunctions.udf.CIQ(A1368,"IQ_TOTAL_OUTSTANDING_FILING_DATE",IQ_FY-6), _xll.ciqfunctions.udf.CIQ(A1368, "IQ_TOTAL_OUTSTANDING_FILING_DATE",IQ_FY-5))</f>
        <v>124.21093</v>
      </c>
      <c r="J1372" s="17">
        <f>IF(A1376=A1377,_xll.ciqfunctions.udf.CIQ(A1368,"IQ_CASH_OPER",IQ_FY-6), _xll.ciqfunctions.udf.CIQ(A1368, "IQ_CASH_OPER",IQ_FY-5))</f>
        <v>38.514000000000003</v>
      </c>
      <c r="K1372" s="17">
        <f>IF(A1376=A1377,_xll.ciqfunctions.udf.CIQ(A1368,"IQ_CAPEX",IQ_FY-6), _xll.ciqfunctions.udf.CIQ(A1368, "IQ_CAPEX",IQ_FY-5))</f>
        <v>-12.855</v>
      </c>
      <c r="L1372" s="15">
        <f t="shared" si="364"/>
        <v>0.20657602354317772</v>
      </c>
      <c r="M1372" s="17">
        <f>IF(A1376=A1377,_xll.ciqfunctions.udf.CIQ(A1368,"IQ_TOTAL_DEBT_ISSUED",IQ_FY-6), _xll.ciqfunctions.udf.CIQ(A1368, "IQ_TOTAL_DEBT_ISSUED",IQ_FY-5))</f>
        <v>0</v>
      </c>
      <c r="N1372" s="17">
        <f>IF(A1376=A1377,_xll.ciqfunctions.udf.CIQ(A1368,"IQ_TOTAL_DEBT_REPAID",IQ_FY-6), _xll.ciqfunctions.udf.CIQ(A1368, "IQ_TOTAL_DEBT_REPAID",IQ_FY-5))</f>
        <v>-35.429000000000002</v>
      </c>
      <c r="O1372" s="15">
        <f t="shared" si="365"/>
        <v>-0.2852325475704916</v>
      </c>
      <c r="P1372" s="15">
        <f t="shared" si="366"/>
        <v>-7.8656524027313879E-2</v>
      </c>
      <c r="Q1372" s="18"/>
      <c r="R1372" s="38" t="s">
        <v>50</v>
      </c>
      <c r="S1372" s="3">
        <f>I1379</f>
        <v>9.5866578854308937E-3</v>
      </c>
      <c r="U1372" s="18"/>
      <c r="V1372" s="38" t="s">
        <v>50</v>
      </c>
      <c r="W1372" s="3">
        <f>I1379</f>
        <v>9.5866578854308937E-3</v>
      </c>
      <c r="Y1372" s="18"/>
      <c r="Z1372" s="38" t="s">
        <v>50</v>
      </c>
      <c r="AA1372" s="3">
        <f>I1379</f>
        <v>9.5866578854308937E-3</v>
      </c>
    </row>
    <row r="1373" spans="1:27">
      <c r="B1373" s="13">
        <v>6</v>
      </c>
      <c r="C1373" s="14" t="s">
        <v>26</v>
      </c>
      <c r="D1373" s="15" cm="1">
        <f t="array" ref="D1373">_xlfn.SINGLE(IF(A1376=A1377,_xll.ciqfunctions.udf.CIQ(A1368,"IQ_TOTAL_REV",IQ_FY-5)/I1373, _xll.ciqfunctions.udf.CIQ(A1368, "IQ_TOTAL_REV",IQ_FY-4)/I1373))</f>
        <v>3.0304259940076745</v>
      </c>
      <c r="E1373" s="16">
        <f t="shared" si="367"/>
        <v>-2.4740761341514594E-2</v>
      </c>
      <c r="F1373" s="15">
        <f>IF(A1376=A1377,_xll.ciqfunctions.udf.CIQ(A1368,"IQ_DILUT_EPS_EXCL",IQ_FY-5), _xll.ciqfunctions.udf.CIQ(A1368, "IQ_DILUT_EPS_EXCL",IQ_FY-4))</f>
        <v>-0.21</v>
      </c>
      <c r="G1373" s="15">
        <f>IF(A1376=A1377,_xll.ciqfunctions.udf.CIQ(A1368,"IQ_EBITDA_MARGIN",IQ_FY-5), _xll.ciqfunctions.udf.CIQ(A1368, "IQ_EBITDA_MARGIN",IQ_FY-4))</f>
        <v>17.1281</v>
      </c>
      <c r="H1373" s="15">
        <f>IF(A1376=A1377,_xll.ciqfunctions.udf.CIQ(A1368,"IQ_TOTAL_DIV_PAID_CF",IQ_FY-5)/-I1373, _xll.ciqfunctions.udf.CIQ(A1368, "IQ_TOTAL_DIV_PAID_CF",IQ_FY-4)/-I1373)</f>
        <v>0</v>
      </c>
      <c r="I1373" s="17">
        <f>IF(A1376=A1377,_xll.ciqfunctions.udf.CIQ(A1368,"IQ_TOTAL_OUTSTANDING_FILING_DATE",IQ_FY-5), _xll.ciqfunctions.udf.CIQ(A1368, "IQ_TOTAL_OUTSTANDING_FILING_DATE",IQ_FY-4))</f>
        <v>131.59833</v>
      </c>
      <c r="J1373" s="17">
        <f>IF(A1376=A1377,_xll.ciqfunctions.udf.CIQ(A1368,"IQ_CASH_OPER",IQ_FY-5), _xll.ciqfunctions.udf.CIQ(A1368, "IQ_CASH_OPER",IQ_FY-4))</f>
        <v>51.457999999999998</v>
      </c>
      <c r="K1373" s="17">
        <f>IF(A1376=A1377,_xll.ciqfunctions.udf.CIQ(A1368,"IQ_CAPEX",IQ_FY-5), _xll.ciqfunctions.udf.CIQ(A1368, "IQ_CAPEX",IQ_FY-4))</f>
        <v>-8.3840000000000003</v>
      </c>
      <c r="L1373" s="15">
        <f t="shared" si="364"/>
        <v>0.32731418400218298</v>
      </c>
      <c r="M1373" s="17">
        <f>IF(A1376=A1377,_xll.ciqfunctions.udf.CIQ(A1368,"IQ_TOTAL_DEBT_ISSUED",IQ_FY-5), _xll.ciqfunctions.udf.CIQ(A1368, "IQ_TOTAL_DEBT_ISSUED",IQ_FY-4))</f>
        <v>0</v>
      </c>
      <c r="N1373" s="17">
        <f>IF(A1376=A1377,_xll.ciqfunctions.udf.CIQ(A1368,"IQ_TOTAL_DEBT_REPAID",IQ_FY-5), _xll.ciqfunctions.udf.CIQ(A1368, "IQ_TOTAL_DEBT_REPAID",IQ_FY-4))</f>
        <v>-43.759</v>
      </c>
      <c r="O1373" s="15">
        <f t="shared" si="365"/>
        <v>-0.3325194172296867</v>
      </c>
      <c r="P1373" s="15">
        <f t="shared" si="366"/>
        <v>-5.2052332275037139E-3</v>
      </c>
      <c r="Q1373" s="25" t="s">
        <v>27</v>
      </c>
      <c r="R1373" s="38" t="s">
        <v>51</v>
      </c>
      <c r="S1373" s="4">
        <f>AVERAGE(F1373:F1378)/AVERAGE(D1373:D1378)</f>
        <v>0.17033578316553599</v>
      </c>
      <c r="U1373" s="25" t="s">
        <v>58</v>
      </c>
      <c r="V1373" s="38" t="s">
        <v>51</v>
      </c>
      <c r="W1373" s="4">
        <f>AVERAGE(F1373:F1378)/AVERAGE(D1373:D1378)</f>
        <v>0.17033578316553599</v>
      </c>
      <c r="Y1373" s="25" t="s">
        <v>56</v>
      </c>
      <c r="Z1373" s="38" t="s">
        <v>51</v>
      </c>
      <c r="AA1373" s="4">
        <f>AVERAGE(F1373:F1378)/AVERAGE(D1373:D1378)</f>
        <v>0.17033578316553599</v>
      </c>
    </row>
    <row r="1374" spans="1:27">
      <c r="A1374" s="18"/>
      <c r="B1374" s="13">
        <v>7</v>
      </c>
      <c r="C1374" s="14" t="s">
        <v>28</v>
      </c>
      <c r="D1374" s="15" cm="1">
        <f t="array" ref="D1374">_xlfn.SINGLE(IF(A1376=A1377,_xll.ciqfunctions.udf.CIQ(A1368,"IQ_TOTAL_REV",IQ_FY-4)/I1374, _xll.ciqfunctions.udf.CIQ(A1368, "IQ_TOTAL_REV",IQ_FY-3)/I1374))</f>
        <v>3.0084747245403696</v>
      </c>
      <c r="E1374" s="16">
        <f t="shared" si="367"/>
        <v>-7.2436249922324869E-3</v>
      </c>
      <c r="F1374" s="15">
        <f>IF(A1376=A1377,_xll.ciqfunctions.udf.CIQ(A1368,"IQ_DILUT_EPS_EXCL",IQ_FY-4), _xll.ciqfunctions.udf.CIQ(A1368, "IQ_DILUT_EPS_EXCL",IQ_FY-3))</f>
        <v>0.32</v>
      </c>
      <c r="G1374" s="15">
        <f>IF(A1376=A1377,_xll.ciqfunctions.udf.CIQ(A1368,"IQ_EBITDA_MARGIN",IQ_FY-4), _xll.ciqfunctions.udf.CIQ(A1368, "IQ_EBITDA_MARGIN",IQ_FY-3))</f>
        <v>23.8462</v>
      </c>
      <c r="H1374" s="15">
        <f>IF(A1376=A1377,_xll.ciqfunctions.udf.CIQ(A1368,"IQ_TOTAL_DIV_PAID_CF",IQ_FY-4)/-I1374, _xll.ciqfunctions.udf.CIQ(A1368, "IQ_TOTAL_DIV_PAID_CF",IQ_FY-3)/-I1374)</f>
        <v>0</v>
      </c>
      <c r="I1374" s="17">
        <f>IF(A1376=A1377,_xll.ciqfunctions.udf.CIQ(A1368,"IQ_TOTAL_OUTSTANDING_FILING_DATE",IQ_FY-4), _xll.ciqfunctions.udf.CIQ(A1368, "IQ_TOTAL_OUTSTANDING_FILING_DATE",IQ_FY-3))</f>
        <v>134.31823</v>
      </c>
      <c r="J1374" s="17">
        <f>IF(A1376=A1377,_xll.ciqfunctions.udf.CIQ(A1368,"IQ_CASH_OPER",IQ_FY-4), _xll.ciqfunctions.udf.CIQ(A1368, "IQ_CASH_OPER",IQ_FY-3))</f>
        <v>124.137</v>
      </c>
      <c r="K1374" s="17">
        <f>IF(A1376=A1377,_xll.ciqfunctions.udf.CIQ(A1368,"IQ_CAPEX",IQ_FY-4), _xll.ciqfunctions.udf.CIQ(A1368, "IQ_CAPEX",IQ_FY-3))</f>
        <v>-15.59</v>
      </c>
      <c r="L1374" s="15">
        <f t="shared" si="364"/>
        <v>0.80813304344466119</v>
      </c>
      <c r="M1374" s="17">
        <f>IF(A1376=A1377,_xll.ciqfunctions.udf.CIQ(A1368,"IQ_TOTAL_DEBT_ISSUED",IQ_FY-4), _xll.ciqfunctions.udf.CIQ(A1368, "IQ_TOTAL_DEBT_ISSUED",IQ_FY-3))</f>
        <v>206.5</v>
      </c>
      <c r="N1374" s="17">
        <f>IF(A1376=A1377,_xll.ciqfunctions.udf.CIQ(A1368,"IQ_TOTAL_DEBT_REPAID",IQ_FY-4), _xll.ciqfunctions.udf.CIQ(A1368, "IQ_TOTAL_DEBT_REPAID",IQ_FY-3))</f>
        <v>-321.40800000000002</v>
      </c>
      <c r="O1374" s="15">
        <f t="shared" si="365"/>
        <v>-0.85549072527236258</v>
      </c>
      <c r="P1374" s="15">
        <f t="shared" si="366"/>
        <v>-4.7357681827701392E-2</v>
      </c>
      <c r="Q1374" s="18"/>
      <c r="R1374" s="38" t="s">
        <v>29</v>
      </c>
      <c r="S1374" s="4">
        <f>(AVERAGE(P1373:P1378)/_xlfn.STDEV.P(P1373:P1378))/(IF(A1376=A1377,(_xlfn.SINGLE(_xll.ciqfunctions.udf.CIQ(A1368,"IQ_total_assets",IQ_FY)) - _xlfn.SINGLE(_xll.ciqfunctions.udf.CIQ(A1368,"iq_gw_intan", IQ_FY)))/I1378, (_xlfn.SINGLE(_xll.ciqfunctions.udf.CIQ(A1368, "IQ_total_assets",IQ_LTM))-_xlfn.SINGLE(_xll.ciqfunctions.udf.CIQ(A1368,"iq_gw_intan",IQ_LTM)))/I1378))</f>
        <v>0.38958889693508608</v>
      </c>
      <c r="U1374" s="18"/>
      <c r="V1374" s="38" t="s">
        <v>29</v>
      </c>
      <c r="W1374" s="4">
        <f>(AVERAGE(P1373:P1378)/_xlfn.STDEV.P(P1373:P1378))/(IF(A1376=A1377,(_xlfn.SINGLE(_xll.ciqfunctions.udf.CIQ(A1368,"IQ_total_assets",IQ_FY)) - _xlfn.SINGLE(_xll.ciqfunctions.udf.CIQ(A1368,"iq_gw_intan", IQ_FY)))/I1378, (_xlfn.SINGLE(_xll.ciqfunctions.udf.CIQ(A1368, "IQ_total_assets",IQ_LTM))-_xlfn.SINGLE(_xll.ciqfunctions.udf.CIQ(A1368,"iq_gw_intan",IQ_LTM)))/I1378))</f>
        <v>0.38958889693508608</v>
      </c>
      <c r="Y1374" s="18"/>
      <c r="Z1374" s="38" t="s">
        <v>29</v>
      </c>
      <c r="AA1374" s="4">
        <f>(AVERAGE(P1373:P1378)/_xlfn.STDEV.P(P1373:P1378))/(IF(A1376=A1377,(_xlfn.SINGLE(_xll.ciqfunctions.udf.CIQ(A1368,"IQ_total_assets",IQ_FY)) - _xlfn.SINGLE(_xll.ciqfunctions.udf.CIQ(A1368,"iq_gw_intan", IQ_FY)))/I1378, (_xlfn.SINGLE(_xll.ciqfunctions.udf.CIQ(A1368, "IQ_total_assets",IQ_LTM))-_xlfn.SINGLE(_xll.ciqfunctions.udf.CIQ(A1368,"iq_gw_intan",IQ_LTM)))/I1378))</f>
        <v>0.38958889693508608</v>
      </c>
    </row>
    <row r="1375" spans="1:27">
      <c r="A1375" s="18"/>
      <c r="B1375" s="13">
        <v>8</v>
      </c>
      <c r="C1375" s="14" t="s">
        <v>30</v>
      </c>
      <c r="D1375" s="15" cm="1">
        <f t="array" ref="D1375">_xlfn.SINGLE(IF(A1376=A1377,_xll.ciqfunctions.udf.CIQ(A1368,"IQ_TOTAL_REV",IQ_FY-3)/I1375, _xll.ciqfunctions.udf.CIQ(A1368, "IQ_TOTAL_REV",IQ_FY-2)/I1375))</f>
        <v>2.9891692054927121</v>
      </c>
      <c r="E1375" s="16">
        <f t="shared" si="367"/>
        <v>-6.4170454516970874E-3</v>
      </c>
      <c r="F1375" s="15">
        <f>IF(A1376=A1377,_xll.ciqfunctions.udf.CIQ(A1368,"IQ_DILUT_EPS_EXCL",IQ_FY-3), _xll.ciqfunctions.udf.CIQ(A1368, "IQ_DILUT_EPS_EXCL",IQ_FY-2))</f>
        <v>0.34</v>
      </c>
      <c r="G1375" s="15">
        <f>IF(A1376=A1377,_xll.ciqfunctions.udf.CIQ(A1368,"IQ_EBITDA_MARGIN",IQ_FY-3), _xll.ciqfunctions.udf.CIQ(A1368, "IQ_EBITDA_MARGIN",IQ_FY-2))</f>
        <v>19.9556</v>
      </c>
      <c r="H1375" s="15">
        <f>IF(A1376=A1377,_xll.ciqfunctions.udf.CIQ(A1368,"IQ_TOTAL_DIV_PAID_CF",IQ_FY-3)/-I1375, _xll.ciqfunctions.udf.CIQ(A1368, "IQ_TOTAL_DIV_PAID_CF",IQ_FY-2)/-I1375)</f>
        <v>0</v>
      </c>
      <c r="I1375" s="17">
        <f>IF(A1376=A1377,_xll.ciqfunctions.udf.CIQ(A1368,"IQ_TOTAL_OUTSTANDING_FILING_DATE",IQ_FY-3), _xll.ciqfunctions.udf.CIQ(A1368, "IQ_TOTAL_OUTSTANDING_FILING_DATE",IQ_FY-2))</f>
        <v>136.53291999999999</v>
      </c>
      <c r="J1375" s="17">
        <f>IF(A1376=A1377,_xll.ciqfunctions.udf.CIQ(A1368,"IQ_CASH_OPER",IQ_FY-3), _xll.ciqfunctions.udf.CIQ(A1368, "IQ_CASH_OPER",IQ_FY-2))</f>
        <v>91.686999999999998</v>
      </c>
      <c r="K1375" s="17">
        <f>IF(A1376=A1377,_xll.ciqfunctions.udf.CIQ(A1368,"IQ_CAPEX",IQ_FY-3), _xll.ciqfunctions.udf.CIQ(A1368, "IQ_CAPEX",IQ_FY-2))</f>
        <v>-12.121</v>
      </c>
      <c r="L1375" s="15">
        <f t="shared" si="364"/>
        <v>0.58276055327901877</v>
      </c>
      <c r="M1375" s="17">
        <f>IF(A1376=A1377,_xll.ciqfunctions.udf.CIQ(A1368,"IQ_TOTAL_DEBT_ISSUED",IQ_FY-3), _xll.ciqfunctions.udf.CIQ(A1368, "IQ_TOTAL_DEBT_ISSUED",IQ_FY-2))</f>
        <v>50</v>
      </c>
      <c r="N1375" s="17">
        <f>IF(A1376=A1377,_xll.ciqfunctions.udf.CIQ(A1368,"IQ_TOTAL_DEBT_REPAID",IQ_FY-3), _xll.ciqfunctions.udf.CIQ(A1368, "IQ_TOTAL_DEBT_REPAID",IQ_FY-2))</f>
        <v>-26.25</v>
      </c>
      <c r="O1375" s="15">
        <f t="shared" si="365"/>
        <v>0.17395072192113084</v>
      </c>
      <c r="P1375" s="15">
        <f t="shared" si="366"/>
        <v>0.75671127520014958</v>
      </c>
      <c r="Q1375" s="18"/>
      <c r="R1375" s="39" t="s">
        <v>31</v>
      </c>
      <c r="S1375" s="5">
        <f>IF(NOT(D1368&gt;0),FALSE,SLOPE(G1368:G1378,B1368:B1378))</f>
        <v>2.2396509090909094</v>
      </c>
      <c r="U1375" s="18"/>
      <c r="V1375" s="39" t="s">
        <v>31</v>
      </c>
      <c r="W1375" s="5">
        <f>IF(NOT(D1368&gt;0),FALSE,SLOPE(G1368:G1378,B1368:B1378))</f>
        <v>2.2396509090909094</v>
      </c>
      <c r="Y1375" s="18"/>
      <c r="Z1375" s="39" t="s">
        <v>31</v>
      </c>
      <c r="AA1375" s="5">
        <f>IF(NOT(L1368&gt;0),FALSE,SLOPE(O1368:O1378,J1368:J1378))</f>
        <v>-6.5994783259901279E-3</v>
      </c>
    </row>
    <row r="1376" spans="1:27">
      <c r="A1376" s="19">
        <f>_xll.ciqfunctions.udf.CIQ(A1368,"IQ_TOTAL_REV",IQ_FY)</f>
        <v>660.35599999999999</v>
      </c>
      <c r="B1376" s="13">
        <v>9</v>
      </c>
      <c r="C1376" s="14" t="s">
        <v>32</v>
      </c>
      <c r="D1376" s="15" cm="1">
        <f t="array" ref="D1376">_xlfn.SINGLE(IF(A1376=A1377,_xll.ciqfunctions.udf.CIQ(A1368,"IQ_TOTAL_REV",IQ_FY-2)/I1376, _xll.ciqfunctions.udf.CIQ(A1368, "IQ_TOTAL_REV",IQ_FY-1)/I1376))</f>
        <v>3.7426626810934769</v>
      </c>
      <c r="E1376" s="16">
        <f t="shared" si="367"/>
        <v>0.25207454774262755</v>
      </c>
      <c r="F1376" s="15">
        <f>IF(A1376=A1377,_xll.ciqfunctions.udf.CIQ(A1368,"IQ_DILUT_EPS_EXCL",IQ_FY-2), _xll.ciqfunctions.udf.CIQ(A1368, "IQ_DILUT_EPS_EXCL",IQ_FY-1))</f>
        <v>0.67</v>
      </c>
      <c r="G1376" s="15">
        <f>IF(A1376=A1377,_xll.ciqfunctions.udf.CIQ(A1368,"IQ_EBITDA_MARGIN",IQ_FY-2), _xll.ciqfunctions.udf.CIQ(A1368, "IQ_EBITDA_MARGIN",IQ_FY-1))</f>
        <v>24.7136</v>
      </c>
      <c r="H1376" s="15">
        <f>IF(A1376=A1377,_xll.ciqfunctions.udf.CIQ(A1368,"IQ_TOTAL_DIV_PAID_CF",IQ_FY-2)/-I1376, _xll.ciqfunctions.udf.CIQ(A1368, "IQ_TOTAL_DIV_PAID_CF",IQ_FY-1)/-I1376)</f>
        <v>0</v>
      </c>
      <c r="I1376" s="17">
        <f>IF(A1376=A1377,_xll.ciqfunctions.udf.CIQ(A1368,"IQ_TOTAL_OUTSTANDING_FILING_DATE",IQ_FY-2), _xll.ciqfunctions.udf.CIQ(A1368, "IQ_TOTAL_OUTSTANDING_FILING_DATE",IQ_FY-1))</f>
        <v>137.68994000000001</v>
      </c>
      <c r="J1376" s="17">
        <f>IF(A1376=A1377,_xll.ciqfunctions.udf.CIQ(A1368,"IQ_CASH_OPER",IQ_FY-2), _xll.ciqfunctions.udf.CIQ(A1368, "IQ_CASH_OPER",IQ_FY-1))</f>
        <v>167.72200000000001</v>
      </c>
      <c r="K1376" s="17">
        <f>IF(A1376=A1377,_xll.ciqfunctions.udf.CIQ(A1368,"IQ_CAPEX",IQ_FY-2), _xll.ciqfunctions.udf.CIQ(A1368, "IQ_CAPEX",IQ_FY-1))</f>
        <v>-9.8350000000000009</v>
      </c>
      <c r="L1376" s="15">
        <f t="shared" si="364"/>
        <v>1.146685080987035</v>
      </c>
      <c r="M1376" s="17">
        <f>IF(A1376=A1377,_xll.ciqfunctions.udf.CIQ(A1368,"IQ_TOTAL_DEBT_ISSUED",IQ_FY-2), _xll.ciqfunctions.udf.CIQ(A1368, "IQ_TOTAL_DEBT_ISSUED",IQ_FY-1))</f>
        <v>0</v>
      </c>
      <c r="N1376" s="17">
        <f>IF(A1376=A1377,_xll.ciqfunctions.udf.CIQ(A1368,"IQ_TOTAL_DEBT_REPAID",IQ_FY-2), _xll.ciqfunctions.udf.CIQ(A1368, "IQ_TOTAL_DEBT_REPAID",IQ_FY-1))</f>
        <v>-13.125</v>
      </c>
      <c r="O1376" s="15">
        <f t="shared" si="365"/>
        <v>-9.5322868177587991E-2</v>
      </c>
      <c r="P1376" s="15">
        <f t="shared" si="366"/>
        <v>1.0513622128094471</v>
      </c>
      <c r="Q1376" s="25" t="s">
        <v>33</v>
      </c>
      <c r="R1376" s="38" t="s">
        <v>52</v>
      </c>
      <c r="S1376" s="4">
        <f>(AVERAGE(O1373:O1378)/AVERAGE(P1373:P1378))</f>
        <v>-0.62737129563554594</v>
      </c>
      <c r="U1376" s="25" t="s">
        <v>54</v>
      </c>
      <c r="V1376" s="38" t="s">
        <v>52</v>
      </c>
      <c r="W1376" s="4">
        <f>(AVERAGE(O1373:O1378)/AVERAGE(P1373:P1378))</f>
        <v>-0.62737129563554594</v>
      </c>
      <c r="Y1376" s="25" t="s">
        <v>60</v>
      </c>
      <c r="Z1376" s="38" t="s">
        <v>52</v>
      </c>
      <c r="AA1376" s="4">
        <f>(AVERAGE(O1373:O1378)/AVERAGE(P1373:P1378))</f>
        <v>-0.62737129563554594</v>
      </c>
    </row>
    <row r="1377" spans="1:27">
      <c r="A1377" s="19">
        <f>_xll.ciqfunctions.udf.CIQ(A1368,"IQ_TOTAL_REV",IQ_LTM)</f>
        <v>742.51800000000003</v>
      </c>
      <c r="B1377" s="13">
        <v>10</v>
      </c>
      <c r="C1377" s="14" t="s">
        <v>34</v>
      </c>
      <c r="D1377" s="15" cm="1">
        <f t="array" ref="D1377">_xlfn.SINGLE(IF(A1376=A1377,_xll.ciqfunctions.udf.CIQ(A1368,"IQ_TOTAL_REV",IQ_FY-1)/I1377, _xll.ciqfunctions.udf.CIQ(A1368, "IQ_TOTAL_REV",IQ_FY)/I1377))</f>
        <v>4.8066994306840716</v>
      </c>
      <c r="E1377" s="16">
        <f t="shared" si="367"/>
        <v>0.28429939865158244</v>
      </c>
      <c r="F1377" s="15">
        <f>IF(A1376=A1377,_xll.ciqfunctions.udf.CIQ(A1368,"IQ_DILUT_EPS_EXCL",IQ_FY-1), _xll.ciqfunctions.udf.CIQ(A1368, "IQ_DILUT_EPS_EXCL",IQ_FY))</f>
        <v>1.27</v>
      </c>
      <c r="G1377" s="15">
        <f>IF(A1376=A1377,_xll.ciqfunctions.udf.CIQ(A1368,"IQ_EBITDA_MARGIN",IQ_FY-1), _xll.ciqfunctions.udf.CIQ(A1368, "IQ_EBITDA_MARGIN",IQ_FY))</f>
        <v>33.277799999999999</v>
      </c>
      <c r="H1377" s="15">
        <f>IF(A1376=A1377,_xll.ciqfunctions.udf.CIQ(A1368,"IQ_TOTAL_DIV_PAID_CF",IQ_FY-1)/-I1377, _xll.ciqfunctions.udf.CIQ(A1368, "IQ_TOTAL_DIV_PAID_CF",IQ_FY)/-I1377)</f>
        <v>0</v>
      </c>
      <c r="I1377" s="17">
        <f>IF(A1376=A1377,_xll.ciqfunctions.udf.CIQ(A1368,"IQ_TOTAL_OUTSTANDING_FILING_DATE",IQ_FY-1), _xll.ciqfunctions.udf.CIQ(A1368, "IQ_TOTAL_OUTSTANDING_FILING_DATE",IQ_FY))</f>
        <v>137.38242</v>
      </c>
      <c r="J1377" s="17">
        <f>IF(A1376=A1377,_xll.ciqfunctions.udf.CIQ(A1368,"IQ_CASH_OPER",IQ_FY-1), _xll.ciqfunctions.udf.CIQ(A1368, "IQ_CASH_OPER",IQ_FY))</f>
        <v>238.80600000000001</v>
      </c>
      <c r="K1377" s="17">
        <f>IF(A1376=A1377,_xll.ciqfunctions.udf.CIQ(A1368,"IQ_CAPEX",IQ_FY-1), _xll.ciqfunctions.udf.CIQ(A1368, "IQ_CAPEX",IQ_FY))</f>
        <v>-23.338000000000001</v>
      </c>
      <c r="L1377" s="15">
        <f t="shared" si="364"/>
        <v>1.5683811655086584</v>
      </c>
      <c r="M1377" s="17">
        <f>IF(A1376=A1377,_xll.ciqfunctions.udf.CIQ(A1368,"IQ_TOTAL_DEBT_ISSUED",IQ_FY-1), _xll.ciqfunctions.udf.CIQ(A1368, "IQ_TOTAL_DEBT_ISSUED",IQ_FY))</f>
        <v>148.59700000000001</v>
      </c>
      <c r="N1377" s="17">
        <f>IF(A1376=A1377,_xll.ciqfunctions.udf.CIQ(A1368,"IQ_TOTAL_DEBT_REPAID",IQ_FY-1), _xll.ciqfunctions.udf.CIQ(A1368, "IQ_TOTAL_DEBT_REPAID",IQ_FY))</f>
        <v>-178.75</v>
      </c>
      <c r="O1377" s="15">
        <f t="shared" si="365"/>
        <v>-0.21948223069589248</v>
      </c>
      <c r="P1377" s="15">
        <f t="shared" si="366"/>
        <v>1.3488989348127658</v>
      </c>
      <c r="Q1377" s="25" t="s">
        <v>44</v>
      </c>
      <c r="R1377" s="38" t="s">
        <v>35</v>
      </c>
      <c r="S1377" s="1">
        <f>_xll.ciqfunctions.udf.CIQ(A1368,"IQ_TEV_EBITDA")</f>
        <v>29.790289999999999</v>
      </c>
      <c r="U1377" s="25" t="s">
        <v>55</v>
      </c>
      <c r="V1377" s="38" t="s">
        <v>53</v>
      </c>
      <c r="W1377" s="1">
        <f>V1367/(AVERAGE(D1373:D1378)/_xlfn.STDEV.P(E1373:E1378))</f>
        <v>1.9188997025715038</v>
      </c>
      <c r="Y1377" s="25" t="s">
        <v>57</v>
      </c>
      <c r="Z1377" s="38" t="s">
        <v>53</v>
      </c>
      <c r="AA1377" s="1">
        <f>Z1367/(AVERAGE(D1373:D1378)/_xlfn.STDEV.P(E1373:E1378))</f>
        <v>1.9188997025715038</v>
      </c>
    </row>
    <row r="1378" spans="1:27">
      <c r="B1378" s="13">
        <v>11</v>
      </c>
      <c r="C1378" s="20" t="s">
        <v>36</v>
      </c>
      <c r="D1378" s="21" cm="1">
        <f t="array" ref="D1378">_xlfn.SINGLE(IF(A1376=A1377,_xll.ciqfunctions.udf.CIQ(A1368,"IQ_TOTAL_REV",IQ_FY)/I1378, _xll.ciqfunctions.udf.CIQ(A1368, "IQ_TOTAL_REV",IQ_LTM)/I1378))</f>
        <v>5.3794589199699372</v>
      </c>
      <c r="E1378" s="22">
        <f t="shared" si="367"/>
        <v>0.11915858221331568</v>
      </c>
      <c r="F1378" s="21">
        <f>IF(A1376=A1377,_xll.ciqfunctions.udf.CIQ(A1368,"IQ_DILUT_EPS_EXCL",IQ_FY), _xll.ciqfunctions.udf.CIQ(A1368, "IQ_DILUT_EPS_EXCL",IQ_LTM))</f>
        <v>1.5203800000000001</v>
      </c>
      <c r="G1378" s="21">
        <f>IF(A1376=A1377,_xll.ciqfunctions.udf.CIQ(A1368,"IQ_EBITDA_MARGIN",IQ_FY), _xll.ciqfunctions.udf.CIQ(A1368, "IQ_EBITDA_MARGIN",IQ_LTM))</f>
        <v>34.708100000000002</v>
      </c>
      <c r="H1378" s="21">
        <f>IF(A1376=A1377,_xll.ciqfunctions.udf.CIQ(A1368,"IQ_TOTAL_DIV_PAID_CF",IQ_FY)/-I1378, _xll.ciqfunctions.udf.CIQ(A1368, "IQ_TOTAL_DIV_PAID_CF",IQ_LTM)/-I1378)</f>
        <v>0</v>
      </c>
      <c r="I1378" s="23">
        <f>IF(A1376=A1377,_xll.ciqfunctions.udf.CIQ(A1368,"IQ_TOTAL_OUTSTANDING_FILING_DATE",IQ_FY),_xll.ciqfunctions.udf.CIQ(A1368,"IQ_sharesoutstanding"))</f>
        <v>138.02838</v>
      </c>
      <c r="J1378" s="23">
        <f>IF(A1376=A1377,_xll.ciqfunctions.udf.CIQ(A1368,"IQ_CASH_OPER",IQ_FY), _xll.ciqfunctions.udf.CIQ(A1368, "IQ_CASH_OPER",IQ_LTM))</f>
        <v>279.59899999999999</v>
      </c>
      <c r="K1378" s="23">
        <f>IF(A1376=A1377,_xll.ciqfunctions.udf.CIQ(A1368,"IQ_CAPEX",IQ_FY), _xll.ciqfunctions.udf.CIQ(A1368, "IQ_CAPEX",IQ_LTM))</f>
        <v>-26.628</v>
      </c>
      <c r="L1378" s="21">
        <f t="shared" si="364"/>
        <v>1.8327462801490535</v>
      </c>
      <c r="M1378" s="23">
        <f>IF(A1376=A1377,_xll.ciqfunctions.udf.CIQ(A1368,"IQ_TOTAL_DEBT_ISSUED",IQ_FY), _xll.ciqfunctions.udf.CIQ(A1368, "IQ_TOTAL_DEBT_ISSUED",IQ_LTM))</f>
        <v>-4.0000000000000001E-3</v>
      </c>
      <c r="N1378" s="23">
        <f>IF(A1376=A1377,_xll.ciqfunctions.udf.CIQ(A1368,"IQ_TOTAL_DEBT_REPAID",IQ_FY), _xll.ciqfunctions.udf.CIQ(A1368, "IQ_TOTAL_DEBT_REPAID",IQ_LTM))</f>
        <v>-150</v>
      </c>
      <c r="O1378" s="21">
        <f t="shared" si="365"/>
        <v>-1.086762012276026</v>
      </c>
      <c r="P1378" s="21">
        <f t="shared" si="366"/>
        <v>0.74598426787302752</v>
      </c>
      <c r="Q1378" s="25" t="s">
        <v>45</v>
      </c>
      <c r="S1378" s="45"/>
      <c r="U1378" s="25"/>
      <c r="W1378" s="45"/>
      <c r="Y1378" s="25"/>
      <c r="AA1378" s="45"/>
    </row>
    <row r="1379" spans="1:27">
      <c r="B1379" s="24"/>
      <c r="C1379" s="25" t="s">
        <v>37</v>
      </c>
      <c r="E1379" s="26">
        <f>((D1378/D1373)^(1/5))-1</f>
        <v>0.1216231968139172</v>
      </c>
      <c r="F1379" s="27">
        <f>((F1378/F1373)^(1/5))-1</f>
        <v>-2.4857528453788618</v>
      </c>
      <c r="G1379" s="28"/>
      <c r="H1379" s="27" t="e">
        <f>((H1378/H1373)^(1/5))-1</f>
        <v>#DIV/0!</v>
      </c>
      <c r="I1379" s="27">
        <f>((I1378/I1373)^(1/5))-1</f>
        <v>9.5866578854308937E-3</v>
      </c>
      <c r="J1379" s="27"/>
      <c r="K1379" s="27"/>
      <c r="L1379" s="26">
        <f>((L1378/L1373)^(1/5))-1</f>
        <v>0.4113265259979304</v>
      </c>
      <c r="M1379" s="26"/>
      <c r="N1379" s="26"/>
      <c r="O1379" s="26"/>
      <c r="P1379" s="26">
        <f>((P1378/P1373)^(1/5))-1</f>
        <v>-3.6993418941254252</v>
      </c>
      <c r="Q1379" s="18"/>
      <c r="R1379" s="36"/>
      <c r="S1379" s="45"/>
      <c r="U1379" s="18"/>
      <c r="V1379" s="36"/>
      <c r="W1379" s="45"/>
      <c r="Y1379" s="18"/>
      <c r="Z1379" s="36"/>
      <c r="AA1379" s="45"/>
    </row>
    <row r="1380" spans="1:27">
      <c r="A1380" s="29"/>
      <c r="B1380" s="30"/>
      <c r="C1380" s="31" t="s">
        <v>38</v>
      </c>
      <c r="D1380" s="29"/>
      <c r="E1380" s="32">
        <f>((D1378/D1368)^(1/10))-1</f>
        <v>6.6822104536651494E-2</v>
      </c>
      <c r="F1380" s="33">
        <f>((F1378/F1368)^(1/10))-1</f>
        <v>0.23117518849320451</v>
      </c>
      <c r="G1380" s="34"/>
      <c r="H1380" s="33" t="e">
        <f>((H1378/H1368)^(1/10))-1</f>
        <v>#DIV/0!</v>
      </c>
      <c r="I1380" s="33">
        <f>((I1378/I1368)^(1/10))-1</f>
        <v>1.5772059634726165E-2</v>
      </c>
      <c r="J1380" s="33"/>
      <c r="K1380" s="33"/>
      <c r="L1380" s="32">
        <f>((L1378/L1368)^(1/10))-1</f>
        <v>0.17263160562724122</v>
      </c>
      <c r="M1380" s="32"/>
      <c r="N1380" s="32"/>
      <c r="O1380" s="32"/>
      <c r="P1380" s="32">
        <f>((P1378/P1368)^(1/10))-1</f>
        <v>7.1826098278480188E-2</v>
      </c>
      <c r="Q1380" s="40"/>
      <c r="R1380" s="41"/>
      <c r="S1380" s="46"/>
      <c r="U1380" s="40"/>
      <c r="V1380" s="41"/>
      <c r="W1380" s="46"/>
      <c r="Y1380" s="40"/>
      <c r="Z1380" s="41"/>
      <c r="AA1380" s="46"/>
    </row>
    <row r="1381" spans="1:27">
      <c r="B1381" s="24"/>
      <c r="C1381" s="25"/>
      <c r="E1381" s="26"/>
      <c r="F1381" s="27"/>
      <c r="G1381" s="28"/>
      <c r="H1381" s="27"/>
      <c r="I1381" s="27"/>
      <c r="J1381" s="27"/>
      <c r="K1381" s="27"/>
      <c r="L1381" s="26"/>
      <c r="M1381" s="17"/>
      <c r="N1381" s="17"/>
      <c r="O1381" s="17"/>
      <c r="P1381" s="35"/>
      <c r="Q1381" s="18"/>
      <c r="R1381" s="36"/>
    </row>
    <row r="1382" spans="1:27">
      <c r="A1382" s="9" t="s">
        <v>0</v>
      </c>
      <c r="B1382" s="10"/>
      <c r="C1382" s="9" t="s">
        <v>1</v>
      </c>
      <c r="D1382" s="9" t="s">
        <v>2</v>
      </c>
      <c r="E1382" s="9" t="s">
        <v>3</v>
      </c>
      <c r="F1382" s="11" t="s">
        <v>4</v>
      </c>
      <c r="G1382" s="11" t="s">
        <v>5</v>
      </c>
      <c r="H1382" s="9" t="s">
        <v>6</v>
      </c>
      <c r="I1382" s="11" t="s">
        <v>7</v>
      </c>
      <c r="J1382" s="11" t="s">
        <v>8</v>
      </c>
      <c r="K1382" s="11" t="s">
        <v>9</v>
      </c>
      <c r="L1382" s="11" t="s">
        <v>10</v>
      </c>
      <c r="M1382" s="11" t="s">
        <v>11</v>
      </c>
      <c r="N1382" s="11" t="s">
        <v>12</v>
      </c>
      <c r="O1382" s="11" t="s">
        <v>13</v>
      </c>
      <c r="P1382" s="11" t="s">
        <v>14</v>
      </c>
      <c r="Q1382" s="37" t="s">
        <v>15</v>
      </c>
      <c r="R1382" s="42">
        <f>_xll.ciqfunctions.udf.CIQ(A1383,("IQ_LASTSALEPRICE"))</f>
        <v>138.46</v>
      </c>
      <c r="S1382" s="44"/>
      <c r="U1382" s="37" t="s">
        <v>15</v>
      </c>
      <c r="V1382" s="42">
        <f>_xll.ciqfunctions.udf.CIQ(A1383,("IQ_LASTSALEPRICE"))</f>
        <v>138.46</v>
      </c>
      <c r="W1382" s="44"/>
      <c r="Y1382" s="37" t="s">
        <v>15</v>
      </c>
      <c r="Z1382" s="42">
        <f>_xll.ciqfunctions.udf.CIQ(A1383,("IQ_LASTSALEPRICE"))</f>
        <v>138.46</v>
      </c>
      <c r="AA1382" s="44"/>
    </row>
    <row r="1383" spans="1:27">
      <c r="A1383" s="12" t="str">
        <f>Analysis!B94</f>
        <v>NYSE:ONTO</v>
      </c>
      <c r="B1383" s="13">
        <v>1</v>
      </c>
      <c r="C1383" s="14" t="s">
        <v>16</v>
      </c>
      <c r="D1383" s="15">
        <f>IF(A1391=A1392,_xll.ciqfunctions.udf.CIQ(A1383,"IQ_TOTAL_REV",IQ_FY-10)/I1383,_xll.ciqfunctions.udf.CIQ(A1383, "IQ_TOTAL_REV",IQ_FY-9)/I1383)</f>
        <v>5.3479353288180027</v>
      </c>
      <c r="E1383" s="16"/>
      <c r="F1383" s="15">
        <f>IF(A1391=A1392,_xll.ciqfunctions.udf.CIQ(A1383,"IQ_DILUT_EPS_EXCL",IQ_FY-10), _xll.ciqfunctions.udf.CIQ(A1383, "IQ_DILUT_EPS_EXCL",IQ_FY-9))</f>
        <v>0.1</v>
      </c>
      <c r="G1383" s="15">
        <f>IF(A1391=A1392,_xll.ciqfunctions.udf.CIQ(A1383,"IQ_EBITDA_MARGIN",IQ_FY-10), _xll.ciqfunctions.udf.CIQ(A1383, "IQ_EBITDA_MARGIN",IQ_FY-9))</f>
        <v>7.5777999999999999</v>
      </c>
      <c r="H1383" s="15">
        <f>IF(A1391=A1392,_xll.ciqfunctions.udf.CIQ(A1383,"IQ_TOTAL_DIV_PAID_CF",IQ_FY-10)/-I1383, _xll.ciqfunctions.udf.CIQ(A1383, "IQ_TOTAL_DIV_PAID_CF",IQ_FY-9)/-I1383)</f>
        <v>0</v>
      </c>
      <c r="I1383" s="17">
        <f>IF(A1391=A1392,_xll.ciqfunctions.udf.CIQ(A1383,"IQ_TOTAL_OUTSTANDING_FILING_DATE",IQ_FY-10), _xll.ciqfunctions.udf.CIQ(A1383, "IQ_TOTAL_OUTSTANDING_FILING_DATE",IQ_FY-9))</f>
        <v>32.9544</v>
      </c>
      <c r="J1383" s="17">
        <f>IF(A1391=A1392,_xll.ciqfunctions.udf.CIQ(A1383,"IQ_CASH_OPER",IQ_FY-10), _xll.ciqfunctions.udf.CIQ(A1383, "IQ_CASH_OPER",IQ_FY-9))</f>
        <v>6.0839999999999996</v>
      </c>
      <c r="K1383" s="17">
        <f>IF(A1391=A1392,_xll.ciqfunctions.udf.CIQ(A1383,"IQ_CAPEX",IQ_FY-10), _xll.ciqfunctions.udf.CIQ(A1383, "IQ_CAPEX",IQ_FY-9))</f>
        <v>-4.88</v>
      </c>
      <c r="L1383" s="15">
        <f t="shared" ref="L1383:L1393" si="368">(J1383+K1383)/I1383</f>
        <v>3.6535333673196897E-2</v>
      </c>
      <c r="M1383" s="17">
        <f>IF(A1391=A1392,_xll.ciqfunctions.udf.CIQ(A1383,"IQ_TOTAL_DEBT_ISSUED",IQ_FY-10), _xll.ciqfunctions.udf.CIQ(A1383, "IQ_TOTAL_DEBT_ISSUED",IQ_FY-9))</f>
        <v>0</v>
      </c>
      <c r="N1383" s="17">
        <f>IF(A1391=A1392,_xll.ciqfunctions.udf.CIQ(A1383,"IQ_TOTAL_DEBT_REPAID",IQ_FY-10), _xll.ciqfunctions.udf.CIQ(A1383, "IQ_TOTAL_DEBT_REPAID",IQ_FY-9))</f>
        <v>0</v>
      </c>
      <c r="O1383" s="15">
        <f t="shared" ref="O1383:O1393" si="369">(M1383+N1383)/I1383</f>
        <v>0</v>
      </c>
      <c r="P1383" s="15">
        <f t="shared" ref="P1383:P1393" si="370">L1383+O1383</f>
        <v>3.6535333673196897E-2</v>
      </c>
      <c r="W1383" s="43"/>
      <c r="AA1383" s="43"/>
    </row>
    <row r="1384" spans="1:27">
      <c r="A1384" s="18" t="str">
        <f>_xll.ciqfunctions.udf.CIQ(A1383,"IQ_COMPANY_NAME")</f>
        <v>Onto Innovation Inc.</v>
      </c>
      <c r="B1384" s="13">
        <v>2</v>
      </c>
      <c r="C1384" s="14" t="s">
        <v>17</v>
      </c>
      <c r="D1384" s="15">
        <f>IF(A1391=A1392,_xll.ciqfunctions.udf.CIQ(A1383,"IQ_TOTAL_REV",IQ_FY-9)/I1384, _xll.ciqfunctions.udf.CIQ(A1383, "IQ_TOTAL_REV",IQ_FY-8)/I1384)</f>
        <v>5.615179060561065</v>
      </c>
      <c r="E1384" s="16">
        <f t="shared" ref="E1384:E1393" si="371">(D1384-D1383)/D1383</f>
        <v>4.9971384340230664E-2</v>
      </c>
      <c r="F1384" s="15">
        <f>IF(A1391=A1392,_xll.ciqfunctions.udf.CIQ(A1383,"IQ_DILUT_EPS_EXCL",IQ_FY-9), _xll.ciqfunctions.udf.CIQ(A1383, "IQ_DILUT_EPS_EXCL",IQ_FY-8))</f>
        <v>-0.14008000000000001</v>
      </c>
      <c r="G1384" s="15">
        <f>IF(A1391=A1392,_xll.ciqfunctions.udf.CIQ(A1383,"IQ_EBITDA_MARGIN",IQ_FY-9), _xll.ciqfunctions.udf.CIQ(A1383, "IQ_EBITDA_MARGIN",IQ_FY-8))</f>
        <v>3.2</v>
      </c>
      <c r="H1384" s="15">
        <f>IF(A1391=A1392,_xll.ciqfunctions.udf.CIQ(A1383,"IQ_TOTAL_DIV_PAID_CF",IQ_FY-9)/-I1384, _xll.ciqfunctions.udf.CIQ(A1383, "IQ_TOTAL_DIV_PAID_CF",IQ_FY-8)/-I1384)</f>
        <v>0</v>
      </c>
      <c r="I1384" s="17">
        <f>IF(A1391=A1392,_xll.ciqfunctions.udf.CIQ(A1383,"IQ_TOTAL_OUTSTANDING_FILING_DATE",IQ_FY-9), _xll.ciqfunctions.udf.CIQ(A1383, "IQ_TOTAL_OUTSTANDING_FILING_DATE",IQ_FY-8))</f>
        <v>32.272880000000001</v>
      </c>
      <c r="J1384" s="17">
        <f>IF(A1391=A1392,_xll.ciqfunctions.udf.CIQ(A1383,"IQ_CASH_OPER",IQ_FY-9), _xll.ciqfunctions.udf.CIQ(A1383, "IQ_CASH_OPER",IQ_FY-8))</f>
        <v>4.29</v>
      </c>
      <c r="K1384" s="17">
        <f>IF(A1391=A1392,_xll.ciqfunctions.udf.CIQ(A1383,"IQ_CAPEX",IQ_FY-9), _xll.ciqfunctions.udf.CIQ(A1383, "IQ_CAPEX",IQ_FY-8))</f>
        <v>-2.0840000000000001</v>
      </c>
      <c r="L1384" s="15">
        <f t="shared" si="368"/>
        <v>6.8354606096511991E-2</v>
      </c>
      <c r="M1384" s="17">
        <f>IF(A1391=A1392,_xll.ciqfunctions.udf.CIQ(A1383,"IQ_TOTAL_DEBT_ISSUED",IQ_FY-9), _xll.ciqfunctions.udf.CIQ(A1383, "IQ_TOTAL_DEBT_ISSUED",IQ_FY-8))</f>
        <v>0</v>
      </c>
      <c r="N1384" s="17">
        <f>IF(A1391=A1392,_xll.ciqfunctions.udf.CIQ(A1383,"IQ_TOTAL_DEBT_REPAID",IQ_FY-9), _xll.ciqfunctions.udf.CIQ(A1383, "IQ_TOTAL_DEBT_REPAID",IQ_FY-8))</f>
        <v>0</v>
      </c>
      <c r="O1384" s="15">
        <f t="shared" si="369"/>
        <v>0</v>
      </c>
      <c r="P1384" s="15">
        <f t="shared" si="370"/>
        <v>6.8354606096511991E-2</v>
      </c>
      <c r="Q1384" s="25" t="s">
        <v>18</v>
      </c>
      <c r="R1384" s="39" t="s">
        <v>19</v>
      </c>
      <c r="S1384" s="1">
        <f>R1382/((AVERAGE(P1388:P1393))*(1+E1394)^3)</f>
        <v>47.837070171639297</v>
      </c>
      <c r="U1384" s="25" t="s">
        <v>48</v>
      </c>
      <c r="V1384" s="39" t="s">
        <v>19</v>
      </c>
      <c r="W1384" s="1">
        <f>V1382/((AVERAGE(P1388:P1393))*(1+E1394)^3)</f>
        <v>47.837070171639297</v>
      </c>
      <c r="Y1384" s="25" t="s">
        <v>39</v>
      </c>
      <c r="Z1384" s="39" t="s">
        <v>19</v>
      </c>
      <c r="AA1384" s="1">
        <f>Z1382/((AVERAGE(P1388:P1393))*(1+E1394)^3)</f>
        <v>47.837070171639297</v>
      </c>
    </row>
    <row r="1385" spans="1:27">
      <c r="B1385" s="13">
        <v>3</v>
      </c>
      <c r="C1385" s="14" t="s">
        <v>20</v>
      </c>
      <c r="D1385" s="15" cm="1">
        <f t="array" ref="D1385">_xlfn.SINGLE(IF(A1391=A1392,_xll.ciqfunctions.udf.CIQ(A1383,"IQ_TOTAL_REV",IQ_FY-8)/I1385, _xll.ciqfunctions.udf.CIQ(A1383, "IQ_TOTAL_REV",IQ_FY-7)/I1385))</f>
        <v>7.1453481588537011</v>
      </c>
      <c r="E1385" s="16">
        <f t="shared" si="371"/>
        <v>0.27250584207367068</v>
      </c>
      <c r="F1385" s="15">
        <f>IF(A1391=A1392,_xll.ciqfunctions.udf.CIQ(A1383,"IQ_DILUT_EPS_EXCL",IQ_FY-8), _xll.ciqfunctions.udf.CIQ(A1383, "IQ_DILUT_EPS_EXCL",IQ_FY-7))</f>
        <v>0.56000000000000005</v>
      </c>
      <c r="G1385" s="15">
        <f>IF(A1391=A1392,_xll.ciqfunctions.udf.CIQ(A1383,"IQ_EBITDA_MARGIN",IQ_FY-8), _xll.ciqfunctions.udf.CIQ(A1383, "IQ_EBITDA_MARGIN",IQ_FY-7))</f>
        <v>17.542000000000002</v>
      </c>
      <c r="H1385" s="15">
        <f>IF(A1391=A1392,_xll.ciqfunctions.udf.CIQ(A1383,"IQ_TOTAL_DIV_PAID_CF",IQ_FY-8)/-I1385, _xll.ciqfunctions.udf.CIQ(A1383, "IQ_TOTAL_DIV_PAID_CF",IQ_FY-7)/-I1385)</f>
        <v>0</v>
      </c>
      <c r="I1385" s="17">
        <f>IF(A1391=A1392,_xll.ciqfunctions.udf.CIQ(A1383,"IQ_TOTAL_OUTSTANDING_FILING_DATE",IQ_FY-8), _xll.ciqfunctions.udf.CIQ(A1383, "IQ_TOTAL_OUTSTANDING_FILING_DATE",IQ_FY-7))</f>
        <v>31.025780000000001</v>
      </c>
      <c r="J1385" s="17">
        <f>IF(A1391=A1392,_xll.ciqfunctions.udf.CIQ(A1383,"IQ_CASH_OPER",IQ_FY-8), _xll.ciqfunctions.udf.CIQ(A1383, "IQ_CASH_OPER",IQ_FY-7))</f>
        <v>33.808999999999997</v>
      </c>
      <c r="K1385" s="17">
        <f>IF(A1391=A1392,_xll.ciqfunctions.udf.CIQ(A1383,"IQ_CAPEX",IQ_FY-8), _xll.ciqfunctions.udf.CIQ(A1383, "IQ_CAPEX",IQ_FY-7))</f>
        <v>-3.359</v>
      </c>
      <c r="L1385" s="15">
        <f t="shared" si="368"/>
        <v>0.98144188478097871</v>
      </c>
      <c r="M1385" s="17">
        <f>IF(A1391=A1392,_xll.ciqfunctions.udf.CIQ(A1383,"IQ_TOTAL_DEBT_ISSUED",IQ_FY-8), _xll.ciqfunctions.udf.CIQ(A1383, "IQ_TOTAL_DEBT_ISSUED",IQ_FY-7))</f>
        <v>0</v>
      </c>
      <c r="N1385" s="17">
        <f>IF(A1391=A1392,_xll.ciqfunctions.udf.CIQ(A1383,"IQ_TOTAL_DEBT_REPAID",IQ_FY-8), _xll.ciqfunctions.udf.CIQ(A1383, "IQ_TOTAL_DEBT_REPAID",IQ_FY-7))</f>
        <v>0</v>
      </c>
      <c r="O1385" s="15">
        <f t="shared" si="369"/>
        <v>0</v>
      </c>
      <c r="P1385" s="15">
        <f t="shared" si="370"/>
        <v>0.98144188478097871</v>
      </c>
      <c r="Q1385" s="25" t="s">
        <v>21</v>
      </c>
      <c r="R1385" s="38" t="s">
        <v>49</v>
      </c>
      <c r="S1385" s="2">
        <f>(R1382*I1393)/1000</f>
        <v>6.7957538754000009</v>
      </c>
      <c r="U1385" s="25" t="s">
        <v>59</v>
      </c>
      <c r="V1385" s="38" t="s">
        <v>49</v>
      </c>
      <c r="W1385" s="2">
        <f>(V1382*I1393)/1000</f>
        <v>6.7957538754000009</v>
      </c>
      <c r="Y1385" s="25" t="s">
        <v>46</v>
      </c>
      <c r="Z1385" s="38" t="s">
        <v>49</v>
      </c>
      <c r="AA1385" s="2">
        <f>(Z1382*I1393)/1000</f>
        <v>6.7957538754000009</v>
      </c>
    </row>
    <row r="1386" spans="1:27">
      <c r="A1386" s="18"/>
      <c r="B1386" s="13">
        <v>4</v>
      </c>
      <c r="C1386" s="14" t="s">
        <v>22</v>
      </c>
      <c r="D1386" s="15" cm="1">
        <f t="array" ref="D1386">_xlfn.SINGLE(IF(A1391=A1392,_xll.ciqfunctions.udf.CIQ(A1383,"IQ_TOTAL_REV",IQ_FY-7)/I1386, _xll.ciqfunctions.udf.CIQ(A1383, "IQ_TOTAL_REV",IQ_FY-6)/I1386))</f>
        <v>7.4515901132463718</v>
      </c>
      <c r="E1386" s="16">
        <f t="shared" si="371"/>
        <v>4.2858926896824551E-2</v>
      </c>
      <c r="F1386" s="15">
        <f>IF(A1391=A1392,_xll.ciqfunctions.udf.CIQ(A1383,"IQ_DILUT_EPS_EXCL",IQ_FY-7), _xll.ciqfunctions.udf.CIQ(A1383, "IQ_DILUT_EPS_EXCL",IQ_FY-6))</f>
        <v>1.1599999999999999</v>
      </c>
      <c r="G1386" s="15">
        <f>IF(A1391=A1392,_xll.ciqfunctions.udf.CIQ(A1383,"IQ_EBITDA_MARGIN",IQ_FY-7), _xll.ciqfunctions.udf.CIQ(A1383, "IQ_EBITDA_MARGIN",IQ_FY-6))</f>
        <v>18.773900000000001</v>
      </c>
      <c r="H1386" s="15">
        <f>IF(A1391=A1392,_xll.ciqfunctions.udf.CIQ(A1383,"IQ_TOTAL_DIV_PAID_CF",IQ_FY-7)/-I1386, _xll.ciqfunctions.udf.CIQ(A1383, "IQ_TOTAL_DIV_PAID_CF",IQ_FY-6)/-I1386)</f>
        <v>0</v>
      </c>
      <c r="I1386" s="17">
        <f>IF(A1391=A1392,_xll.ciqfunctions.udf.CIQ(A1383,"IQ_TOTAL_OUTSTANDING_FILING_DATE",IQ_FY-7), _xll.ciqfunctions.udf.CIQ(A1383, "IQ_TOTAL_OUTSTANDING_FILING_DATE",IQ_FY-6))</f>
        <v>31.238969999999998</v>
      </c>
      <c r="J1386" s="17">
        <f>IF(A1391=A1392,_xll.ciqfunctions.udf.CIQ(A1383,"IQ_CASH_OPER",IQ_FY-7), _xll.ciqfunctions.udf.CIQ(A1383, "IQ_CASH_OPER",IQ_FY-6))</f>
        <v>47.424999999999997</v>
      </c>
      <c r="K1386" s="17">
        <f>IF(A1391=A1392,_xll.ciqfunctions.udf.CIQ(A1383,"IQ_CAPEX",IQ_FY-7), _xll.ciqfunctions.udf.CIQ(A1383, "IQ_CAPEX",IQ_FY-6))</f>
        <v>-3.2909999999999999</v>
      </c>
      <c r="L1386" s="15">
        <f t="shared" si="368"/>
        <v>1.4127866571785179</v>
      </c>
      <c r="M1386" s="17">
        <f>IF(A1391=A1392,_xll.ciqfunctions.udf.CIQ(A1383,"IQ_TOTAL_DEBT_ISSUED",IQ_FY-7), _xll.ciqfunctions.udf.CIQ(A1383, "IQ_TOTAL_DEBT_ISSUED",IQ_FY-6))</f>
        <v>0</v>
      </c>
      <c r="N1386" s="17">
        <f>IF(A1391=A1392,_xll.ciqfunctions.udf.CIQ(A1383,"IQ_TOTAL_DEBT_REPAID",IQ_FY-7), _xll.ciqfunctions.udf.CIQ(A1383, "IQ_TOTAL_DEBT_REPAID",IQ_FY-6))</f>
        <v>-60</v>
      </c>
      <c r="O1386" s="15">
        <f t="shared" si="369"/>
        <v>-1.9206779224795185</v>
      </c>
      <c r="P1386" s="15">
        <f t="shared" si="370"/>
        <v>-0.50789126530100059</v>
      </c>
      <c r="Q1386" s="25" t="s">
        <v>23</v>
      </c>
      <c r="R1386" s="38" t="s">
        <v>24</v>
      </c>
      <c r="S1386" s="1" t="e">
        <f>R1382/(AVERAGE(H1388:H1393)*(1+H1394)/(0.5-H1394))</f>
        <v>#DIV/0!</v>
      </c>
      <c r="U1386" s="25" t="s">
        <v>40</v>
      </c>
      <c r="V1386" s="38" t="s">
        <v>24</v>
      </c>
      <c r="W1386" s="1" t="e">
        <f>V1382/(AVERAGE(H1388:H1393)*(1+H1394)/(0.5-H1394))</f>
        <v>#DIV/0!</v>
      </c>
      <c r="Y1386" s="25" t="s">
        <v>47</v>
      </c>
      <c r="Z1386" s="38" t="s">
        <v>24</v>
      </c>
      <c r="AA1386" s="1" t="e">
        <f>Z1382/(AVERAGE(H1388:H1393)*(1+H1394)/(0.5-H1394))</f>
        <v>#DIV/0!</v>
      </c>
    </row>
    <row r="1387" spans="1:27">
      <c r="B1387" s="13">
        <v>5</v>
      </c>
      <c r="C1387" s="14" t="s">
        <v>25</v>
      </c>
      <c r="D1387" s="15" cm="1">
        <f t="array" ref="D1387">_xlfn.SINGLE(IF(A1391=A1392,_xll.ciqfunctions.udf.CIQ(A1383,"IQ_TOTAL_REV",IQ_FY-6)/I1387, _xll.ciqfunctions.udf.CIQ(A1383, "IQ_TOTAL_REV",IQ_FY-5)/I1387))</f>
        <v>8.0706374556443645</v>
      </c>
      <c r="E1387" s="16">
        <f t="shared" si="371"/>
        <v>8.3075871456957745E-2</v>
      </c>
      <c r="F1387" s="15">
        <f>IF(A1391=A1392,_xll.ciqfunctions.udf.CIQ(A1383,"IQ_DILUT_EPS_EXCL",IQ_FY-6), _xll.ciqfunctions.udf.CIQ(A1383, "IQ_DILUT_EPS_EXCL",IQ_FY-5))</f>
        <v>1.27</v>
      </c>
      <c r="G1387" s="15">
        <f>IF(A1391=A1392,_xll.ciqfunctions.udf.CIQ(A1383,"IQ_EBITDA_MARGIN",IQ_FY-6), _xll.ciqfunctions.udf.CIQ(A1383, "IQ_EBITDA_MARGIN",IQ_FY-5))</f>
        <v>20.4697</v>
      </c>
      <c r="H1387" s="15">
        <f>IF(A1391=A1392,_xll.ciqfunctions.udf.CIQ(A1383,"IQ_TOTAL_DIV_PAID_CF",IQ_FY-6)/-I1387, _xll.ciqfunctions.udf.CIQ(A1383, "IQ_TOTAL_DIV_PAID_CF",IQ_FY-5)/-I1387)</f>
        <v>0</v>
      </c>
      <c r="I1387" s="17">
        <f>IF(A1391=A1392,_xll.ciqfunctions.udf.CIQ(A1383,"IQ_TOTAL_OUTSTANDING_FILING_DATE",IQ_FY-6), _xll.ciqfunctions.udf.CIQ(A1383, "IQ_TOTAL_OUTSTANDING_FILING_DATE",IQ_FY-5))</f>
        <v>31.608160000000002</v>
      </c>
      <c r="J1387" s="17">
        <f>IF(A1391=A1392,_xll.ciqfunctions.udf.CIQ(A1383,"IQ_CASH_OPER",IQ_FY-6), _xll.ciqfunctions.udf.CIQ(A1383, "IQ_CASH_OPER",IQ_FY-5))</f>
        <v>64.171000000000006</v>
      </c>
      <c r="K1387" s="17">
        <f>IF(A1391=A1392,_xll.ciqfunctions.udf.CIQ(A1383,"IQ_CAPEX",IQ_FY-6), _xll.ciqfunctions.udf.CIQ(A1383, "IQ_CAPEX",IQ_FY-5))</f>
        <v>-10.210000000000001</v>
      </c>
      <c r="L1387" s="15">
        <f t="shared" si="368"/>
        <v>1.7071857393786922</v>
      </c>
      <c r="M1387" s="17">
        <f>IF(A1391=A1392,_xll.ciqfunctions.udf.CIQ(A1383,"IQ_TOTAL_DEBT_ISSUED",IQ_FY-6), _xll.ciqfunctions.udf.CIQ(A1383, "IQ_TOTAL_DEBT_ISSUED",IQ_FY-5))</f>
        <v>0</v>
      </c>
      <c r="N1387" s="17">
        <f>IF(A1391=A1392,_xll.ciqfunctions.udf.CIQ(A1383,"IQ_TOTAL_DEBT_REPAID",IQ_FY-6), _xll.ciqfunctions.udf.CIQ(A1383, "IQ_TOTAL_DEBT_REPAID",IQ_FY-5))</f>
        <v>0</v>
      </c>
      <c r="O1387" s="15">
        <f t="shared" si="369"/>
        <v>0</v>
      </c>
      <c r="P1387" s="15">
        <f t="shared" si="370"/>
        <v>1.7071857393786922</v>
      </c>
      <c r="Q1387" s="18"/>
      <c r="R1387" s="38" t="s">
        <v>50</v>
      </c>
      <c r="S1387" s="3">
        <f>I1394</f>
        <v>9.6908051993810806E-2</v>
      </c>
      <c r="U1387" s="18"/>
      <c r="V1387" s="38" t="s">
        <v>50</v>
      </c>
      <c r="W1387" s="3">
        <f>I1394</f>
        <v>9.6908051993810806E-2</v>
      </c>
      <c r="Y1387" s="18"/>
      <c r="Z1387" s="38" t="s">
        <v>50</v>
      </c>
      <c r="AA1387" s="3">
        <f>I1394</f>
        <v>9.6908051993810806E-2</v>
      </c>
    </row>
    <row r="1388" spans="1:27">
      <c r="B1388" s="13">
        <v>6</v>
      </c>
      <c r="C1388" s="14" t="s">
        <v>26</v>
      </c>
      <c r="D1388" s="15" cm="1">
        <f t="array" ref="D1388">_xlfn.SINGLE(IF(A1391=A1392,_xll.ciqfunctions.udf.CIQ(A1383,"IQ_TOTAL_REV",IQ_FY-5)/I1388, _xll.ciqfunctions.udf.CIQ(A1383, "IQ_TOTAL_REV",IQ_FY-4)/I1388))</f>
        <v>8.8582079749237881</v>
      </c>
      <c r="E1388" s="16">
        <f t="shared" si="371"/>
        <v>9.7584673281119833E-2</v>
      </c>
      <c r="F1388" s="15">
        <f>IF(A1391=A1392,_xll.ciqfunctions.udf.CIQ(A1383,"IQ_DILUT_EPS_EXCL",IQ_FY-5), _xll.ciqfunctions.udf.CIQ(A1383, "IQ_DILUT_EPS_EXCL",IQ_FY-4))</f>
        <v>1.74</v>
      </c>
      <c r="G1388" s="15">
        <f>IF(A1391=A1392,_xll.ciqfunctions.udf.CIQ(A1383,"IQ_EBITDA_MARGIN",IQ_FY-5), _xll.ciqfunctions.udf.CIQ(A1383, "IQ_EBITDA_MARGIN",IQ_FY-4))</f>
        <v>20.9895</v>
      </c>
      <c r="H1388" s="15">
        <f>IF(A1391=A1392,_xll.ciqfunctions.udf.CIQ(A1383,"IQ_TOTAL_DIV_PAID_CF",IQ_FY-5)/-I1388, _xll.ciqfunctions.udf.CIQ(A1383, "IQ_TOTAL_DIV_PAID_CF",IQ_FY-4)/-I1388)</f>
        <v>0</v>
      </c>
      <c r="I1388" s="17">
        <f>IF(A1391=A1392,_xll.ciqfunctions.udf.CIQ(A1383,"IQ_TOTAL_OUTSTANDING_FILING_DATE",IQ_FY-5), _xll.ciqfunctions.udf.CIQ(A1383, "IQ_TOTAL_OUTSTANDING_FILING_DATE",IQ_FY-4))</f>
        <v>30.90738</v>
      </c>
      <c r="J1388" s="17">
        <f>IF(A1391=A1392,_xll.ciqfunctions.udf.CIQ(A1383,"IQ_CASH_OPER",IQ_FY-5), _xll.ciqfunctions.udf.CIQ(A1383, "IQ_CASH_OPER",IQ_FY-4))</f>
        <v>35.094000000000001</v>
      </c>
      <c r="K1388" s="17">
        <f>IF(A1391=A1392,_xll.ciqfunctions.udf.CIQ(A1383,"IQ_CAPEX",IQ_FY-5), _xll.ciqfunctions.udf.CIQ(A1383, "IQ_CAPEX",IQ_FY-4))</f>
        <v>-7.5419999999999998</v>
      </c>
      <c r="L1388" s="15">
        <f t="shared" si="368"/>
        <v>0.89143757898598974</v>
      </c>
      <c r="M1388" s="17">
        <f>IF(A1391=A1392,_xll.ciqfunctions.udf.CIQ(A1383,"IQ_TOTAL_DEBT_ISSUED",IQ_FY-5), _xll.ciqfunctions.udf.CIQ(A1383, "IQ_TOTAL_DEBT_ISSUED",IQ_FY-4))</f>
        <v>0</v>
      </c>
      <c r="N1388" s="17">
        <f>IF(A1391=A1392,_xll.ciqfunctions.udf.CIQ(A1383,"IQ_TOTAL_DEBT_REPAID",IQ_FY-5), _xll.ciqfunctions.udf.CIQ(A1383, "IQ_TOTAL_DEBT_REPAID",IQ_FY-4))</f>
        <v>0</v>
      </c>
      <c r="O1388" s="15">
        <f t="shared" si="369"/>
        <v>0</v>
      </c>
      <c r="P1388" s="15">
        <f t="shared" si="370"/>
        <v>0.89143757898598974</v>
      </c>
      <c r="Q1388" s="25" t="s">
        <v>27</v>
      </c>
      <c r="R1388" s="38" t="s">
        <v>51</v>
      </c>
      <c r="S1388" s="4">
        <f>AVERAGE(F1388:F1393)/AVERAGE(D1388:D1393)</f>
        <v>0.16153351678619449</v>
      </c>
      <c r="U1388" s="25" t="s">
        <v>58</v>
      </c>
      <c r="V1388" s="38" t="s">
        <v>51</v>
      </c>
      <c r="W1388" s="4">
        <f>AVERAGE(F1388:F1393)/AVERAGE(D1388:D1393)</f>
        <v>0.16153351678619449</v>
      </c>
      <c r="Y1388" s="25" t="s">
        <v>56</v>
      </c>
      <c r="Z1388" s="38" t="s">
        <v>51</v>
      </c>
      <c r="AA1388" s="4">
        <f>AVERAGE(F1388:F1393)/AVERAGE(D1388:D1393)</f>
        <v>0.16153351678619449</v>
      </c>
    </row>
    <row r="1389" spans="1:27">
      <c r="A1389" s="18"/>
      <c r="B1389" s="13">
        <v>7</v>
      </c>
      <c r="C1389" s="14" t="s">
        <v>28</v>
      </c>
      <c r="D1389" s="15" cm="1">
        <f t="array" ref="D1389">_xlfn.SINGLE(IF(A1391=A1392,_xll.ciqfunctions.udf.CIQ(A1383,"IQ_TOTAL_REV",IQ_FY-4)/I1389, _xll.ciqfunctions.udf.CIQ(A1383, "IQ_TOTAL_REV",IQ_FY-3)/I1389))</f>
        <v>6.0835890900470471</v>
      </c>
      <c r="E1389" s="16">
        <f t="shared" si="371"/>
        <v>-0.31322575544977682</v>
      </c>
      <c r="F1389" s="15">
        <f>IF(A1391=A1392,_xll.ciqfunctions.udf.CIQ(A1383,"IQ_DILUT_EPS_EXCL",IQ_FY-4), _xll.ciqfunctions.udf.CIQ(A1383, "IQ_DILUT_EPS_EXCL",IQ_FY-3))</f>
        <v>0.06</v>
      </c>
      <c r="G1389" s="15">
        <f>IF(A1391=A1392,_xll.ciqfunctions.udf.CIQ(A1383,"IQ_EBITDA_MARGIN",IQ_FY-4), _xll.ciqfunctions.udf.CIQ(A1383, "IQ_EBITDA_MARGIN",IQ_FY-3))</f>
        <v>12.1449</v>
      </c>
      <c r="H1389" s="15">
        <f>IF(A1391=A1392,_xll.ciqfunctions.udf.CIQ(A1383,"IQ_TOTAL_DIV_PAID_CF",IQ_FY-4)/-I1389, _xll.ciqfunctions.udf.CIQ(A1383, "IQ_TOTAL_DIV_PAID_CF",IQ_FY-3)/-I1389)</f>
        <v>0</v>
      </c>
      <c r="I1389" s="17">
        <f>IF(A1391=A1392,_xll.ciqfunctions.udf.CIQ(A1383,"IQ_TOTAL_OUTSTANDING_FILING_DATE",IQ_FY-4), _xll.ciqfunctions.udf.CIQ(A1383, "IQ_TOTAL_OUTSTANDING_FILING_DATE",IQ_FY-3))</f>
        <v>50.282159999999998</v>
      </c>
      <c r="J1389" s="17">
        <f>IF(A1391=A1392,_xll.ciqfunctions.udf.CIQ(A1383,"IQ_CASH_OPER",IQ_FY-4), _xll.ciqfunctions.udf.CIQ(A1383, "IQ_CASH_OPER",IQ_FY-3))</f>
        <v>18.146000000000001</v>
      </c>
      <c r="K1389" s="17">
        <f>IF(A1391=A1392,_xll.ciqfunctions.udf.CIQ(A1383,"IQ_CAPEX",IQ_FY-4), _xll.ciqfunctions.udf.CIQ(A1383, "IQ_CAPEX",IQ_FY-3))</f>
        <v>-6.8019999999999996</v>
      </c>
      <c r="L1389" s="15">
        <f t="shared" si="368"/>
        <v>0.22560685539364264</v>
      </c>
      <c r="M1389" s="17">
        <f>IF(A1391=A1392,_xll.ciqfunctions.udf.CIQ(A1383,"IQ_TOTAL_DEBT_ISSUED",IQ_FY-4), _xll.ciqfunctions.udf.CIQ(A1383, "IQ_TOTAL_DEBT_ISSUED",IQ_FY-3))</f>
        <v>0</v>
      </c>
      <c r="N1389" s="17">
        <f>IF(A1391=A1392,_xll.ciqfunctions.udf.CIQ(A1383,"IQ_TOTAL_DEBT_REPAID",IQ_FY-4), _xll.ciqfunctions.udf.CIQ(A1383, "IQ_TOTAL_DEBT_REPAID",IQ_FY-3))</f>
        <v>0</v>
      </c>
      <c r="O1389" s="15">
        <f t="shared" si="369"/>
        <v>0</v>
      </c>
      <c r="P1389" s="15">
        <f t="shared" si="370"/>
        <v>0.22560685539364264</v>
      </c>
      <c r="Q1389" s="18"/>
      <c r="R1389" s="38" t="s">
        <v>29</v>
      </c>
      <c r="S1389" s="4">
        <f>(AVERAGE(P1388:P1393)/_xlfn.STDEV.P(P1388:P1393))/(IF(A1391=A1392,(_xlfn.SINGLE(_xll.ciqfunctions.udf.CIQ(A1383,"IQ_total_assets",IQ_FY)) - _xlfn.SINGLE(_xll.ciqfunctions.udf.CIQ(A1383,"iq_gw_intan", IQ_FY)))/I1393, (_xlfn.SINGLE(_xll.ciqfunctions.udf.CIQ(A1383, "IQ_total_assets",IQ_LTM))-_xlfn.SINGLE(_xll.ciqfunctions.udf.CIQ(A1383,"iq_gw_intan",IQ_LTM)))/I1393))</f>
        <v>6.5810930306216056E-2</v>
      </c>
      <c r="U1389" s="18"/>
      <c r="V1389" s="38" t="s">
        <v>29</v>
      </c>
      <c r="W1389" s="4">
        <f>(AVERAGE(P1388:P1393)/_xlfn.STDEV.P(P1388:P1393))/(IF(A1391=A1392,(_xlfn.SINGLE(_xll.ciqfunctions.udf.CIQ(A1383,"IQ_total_assets",IQ_FY)) - _xlfn.SINGLE(_xll.ciqfunctions.udf.CIQ(A1383,"iq_gw_intan", IQ_FY)))/I1393, (_xlfn.SINGLE(_xll.ciqfunctions.udf.CIQ(A1383, "IQ_total_assets",IQ_LTM))-_xlfn.SINGLE(_xll.ciqfunctions.udf.CIQ(A1383,"iq_gw_intan",IQ_LTM)))/I1393))</f>
        <v>6.5810930306216056E-2</v>
      </c>
      <c r="Y1389" s="18"/>
      <c r="Z1389" s="38" t="s">
        <v>29</v>
      </c>
      <c r="AA1389" s="4">
        <f>(AVERAGE(P1388:P1393)/_xlfn.STDEV.P(P1388:P1393))/(IF(A1391=A1392,(_xlfn.SINGLE(_xll.ciqfunctions.udf.CIQ(A1383,"IQ_total_assets",IQ_FY)) - _xlfn.SINGLE(_xll.ciqfunctions.udf.CIQ(A1383,"iq_gw_intan", IQ_FY)))/I1393, (_xlfn.SINGLE(_xll.ciqfunctions.udf.CIQ(A1383, "IQ_total_assets",IQ_LTM))-_xlfn.SINGLE(_xll.ciqfunctions.udf.CIQ(A1383,"iq_gw_intan",IQ_LTM)))/I1393))</f>
        <v>6.5810930306216056E-2</v>
      </c>
    </row>
    <row r="1390" spans="1:27">
      <c r="A1390" s="18"/>
      <c r="B1390" s="13">
        <v>8</v>
      </c>
      <c r="C1390" s="14" t="s">
        <v>30</v>
      </c>
      <c r="D1390" s="15" cm="1">
        <f t="array" ref="D1390">_xlfn.SINGLE(IF(A1391=A1392,_xll.ciqfunctions.udf.CIQ(A1383,"IQ_TOTAL_REV",IQ_FY-3)/I1390, _xll.ciqfunctions.udf.CIQ(A1383, "IQ_TOTAL_REV",IQ_FY-2)/I1390))</f>
        <v>11.384232366842904</v>
      </c>
      <c r="E1390" s="16">
        <f t="shared" si="371"/>
        <v>0.87130198939107906</v>
      </c>
      <c r="F1390" s="15">
        <f>IF(A1391=A1392,_xll.ciqfunctions.udf.CIQ(A1383,"IQ_DILUT_EPS_EXCL",IQ_FY-3), _xll.ciqfunctions.udf.CIQ(A1383, "IQ_DILUT_EPS_EXCL",IQ_FY-2))</f>
        <v>0.63</v>
      </c>
      <c r="G1390" s="15">
        <f>IF(A1391=A1392,_xll.ciqfunctions.udf.CIQ(A1383,"IQ_EBITDA_MARGIN",IQ_FY-3), _xll.ciqfunctions.udf.CIQ(A1383, "IQ_EBITDA_MARGIN",IQ_FY-2))</f>
        <v>18.856000000000002</v>
      </c>
      <c r="H1390" s="15">
        <f>IF(A1391=A1392,_xll.ciqfunctions.udf.CIQ(A1383,"IQ_TOTAL_DIV_PAID_CF",IQ_FY-3)/-I1390, _xll.ciqfunctions.udf.CIQ(A1383, "IQ_TOTAL_DIV_PAID_CF",IQ_FY-2)/-I1390)</f>
        <v>0</v>
      </c>
      <c r="I1390" s="17">
        <f>IF(A1391=A1392,_xll.ciqfunctions.udf.CIQ(A1383,"IQ_TOTAL_OUTSTANDING_FILING_DATE",IQ_FY-3), _xll.ciqfunctions.udf.CIQ(A1383, "IQ_TOTAL_OUTSTANDING_FILING_DATE",IQ_FY-2))</f>
        <v>48.883049999999997</v>
      </c>
      <c r="J1390" s="17">
        <f>IF(A1391=A1392,_xll.ciqfunctions.udf.CIQ(A1383,"IQ_CASH_OPER",IQ_FY-3), _xll.ciqfunctions.udf.CIQ(A1383, "IQ_CASH_OPER",IQ_FY-2))</f>
        <v>105.98399999999999</v>
      </c>
      <c r="K1390" s="17">
        <f>IF(A1391=A1392,_xll.ciqfunctions.udf.CIQ(A1383,"IQ_CAPEX",IQ_FY-3), _xll.ciqfunctions.udf.CIQ(A1383, "IQ_CAPEX",IQ_FY-2))</f>
        <v>-3.8290000000000002</v>
      </c>
      <c r="L1390" s="15">
        <f t="shared" si="368"/>
        <v>2.0897836775733105</v>
      </c>
      <c r="M1390" s="17">
        <f>IF(A1391=A1392,_xll.ciqfunctions.udf.CIQ(A1383,"IQ_TOTAL_DEBT_ISSUED",IQ_FY-3), _xll.ciqfunctions.udf.CIQ(A1383, "IQ_TOTAL_DEBT_ISSUED",IQ_FY-2))</f>
        <v>0</v>
      </c>
      <c r="N1390" s="17">
        <f>IF(A1391=A1392,_xll.ciqfunctions.udf.CIQ(A1383,"IQ_TOTAL_DEBT_REPAID",IQ_FY-3), _xll.ciqfunctions.udf.CIQ(A1383, "IQ_TOTAL_DEBT_REPAID",IQ_FY-2))</f>
        <v>0</v>
      </c>
      <c r="O1390" s="15">
        <f t="shared" si="369"/>
        <v>0</v>
      </c>
      <c r="P1390" s="15">
        <f t="shared" si="370"/>
        <v>2.0897836775733105</v>
      </c>
      <c r="Q1390" s="18"/>
      <c r="R1390" s="39" t="s">
        <v>31</v>
      </c>
      <c r="S1390" s="5">
        <f>IF(NOT(D1383&gt;0),FALSE,SLOPE(G1383:G1393,B1383:B1393))</f>
        <v>2.0292954545454545</v>
      </c>
      <c r="U1390" s="18"/>
      <c r="V1390" s="39" t="s">
        <v>31</v>
      </c>
      <c r="W1390" s="5">
        <f>IF(NOT(D1383&gt;0),FALSE,SLOPE(G1383:G1393,B1383:B1393))</f>
        <v>2.0292954545454545</v>
      </c>
      <c r="Y1390" s="18"/>
      <c r="Z1390" s="39" t="s">
        <v>31</v>
      </c>
      <c r="AA1390" s="5">
        <f>IF(NOT(L1383&gt;0),FALSE,SLOPE(O1383:O1393,J1383:J1393))</f>
        <v>1.1859373693731189E-3</v>
      </c>
    </row>
    <row r="1391" spans="1:27">
      <c r="A1391" s="19">
        <f>_xll.ciqfunctions.udf.CIQ(A1383,"IQ_TOTAL_REV",IQ_FY)</f>
        <v>1005.183</v>
      </c>
      <c r="B1391" s="13">
        <v>9</v>
      </c>
      <c r="C1391" s="14" t="s">
        <v>32</v>
      </c>
      <c r="D1391" s="15" cm="1">
        <f t="array" ref="D1391">_xlfn.SINGLE(IF(A1391=A1392,_xll.ciqfunctions.udf.CIQ(A1383,"IQ_TOTAL_REV",IQ_FY-2)/I1391, _xll.ciqfunctions.udf.CIQ(A1383, "IQ_TOTAL_REV",IQ_FY-1)/I1391))</f>
        <v>15.982640913424584</v>
      </c>
      <c r="E1391" s="16">
        <f t="shared" si="371"/>
        <v>0.40392785375452767</v>
      </c>
      <c r="F1391" s="15">
        <f>IF(A1391=A1392,_xll.ciqfunctions.udf.CIQ(A1383,"IQ_DILUT_EPS_EXCL",IQ_FY-2), _xll.ciqfunctions.udf.CIQ(A1383, "IQ_DILUT_EPS_EXCL",IQ_FY-1))</f>
        <v>2.86</v>
      </c>
      <c r="G1391" s="15">
        <f>IF(A1391=A1392,_xll.ciqfunctions.udf.CIQ(A1383,"IQ_EBITDA_MARGIN",IQ_FY-2), _xll.ciqfunctions.udf.CIQ(A1383, "IQ_EBITDA_MARGIN",IQ_FY-1))</f>
        <v>28.2166</v>
      </c>
      <c r="H1391" s="15">
        <f>IF(A1391=A1392,_xll.ciqfunctions.udf.CIQ(A1383,"IQ_TOTAL_DIV_PAID_CF",IQ_FY-2)/-I1391, _xll.ciqfunctions.udf.CIQ(A1383, "IQ_TOTAL_DIV_PAID_CF",IQ_FY-1)/-I1391)</f>
        <v>0</v>
      </c>
      <c r="I1391" s="17">
        <f>IF(A1391=A1392,_xll.ciqfunctions.udf.CIQ(A1383,"IQ_TOTAL_OUTSTANDING_FILING_DATE",IQ_FY-2), _xll.ciqfunctions.udf.CIQ(A1383, "IQ_TOTAL_OUTSTANDING_FILING_DATE",IQ_FY-1))</f>
        <v>49.359740000000002</v>
      </c>
      <c r="J1391" s="17">
        <f>IF(A1391=A1392,_xll.ciqfunctions.udf.CIQ(A1383,"IQ_CASH_OPER",IQ_FY-2), _xll.ciqfunctions.udf.CIQ(A1383, "IQ_CASH_OPER",IQ_FY-1))</f>
        <v>175.28100000000001</v>
      </c>
      <c r="K1391" s="17">
        <f>IF(A1391=A1392,_xll.ciqfunctions.udf.CIQ(A1383,"IQ_CAPEX",IQ_FY-2), _xll.ciqfunctions.udf.CIQ(A1383, "IQ_CAPEX",IQ_FY-1))</f>
        <v>-12.039</v>
      </c>
      <c r="L1391" s="15">
        <f t="shared" si="368"/>
        <v>3.3071892193921606</v>
      </c>
      <c r="M1391" s="17">
        <f>IF(A1391=A1392,_xll.ciqfunctions.udf.CIQ(A1383,"IQ_TOTAL_DEBT_ISSUED",IQ_FY-2), _xll.ciqfunctions.udf.CIQ(A1383, "IQ_TOTAL_DEBT_ISSUED",IQ_FY-1))</f>
        <v>0</v>
      </c>
      <c r="N1391" s="17">
        <f>IF(A1391=A1392,_xll.ciqfunctions.udf.CIQ(A1383,"IQ_TOTAL_DEBT_REPAID",IQ_FY-2), _xll.ciqfunctions.udf.CIQ(A1383, "IQ_TOTAL_DEBT_REPAID",IQ_FY-1))</f>
        <v>0</v>
      </c>
      <c r="O1391" s="15">
        <f t="shared" si="369"/>
        <v>0</v>
      </c>
      <c r="P1391" s="15">
        <f t="shared" si="370"/>
        <v>3.3071892193921606</v>
      </c>
      <c r="Q1391" s="25" t="s">
        <v>33</v>
      </c>
      <c r="R1391" s="38" t="s">
        <v>52</v>
      </c>
      <c r="S1391" s="4">
        <f>(AVERAGE(O1388:O1393)/AVERAGE(P1388:P1393))</f>
        <v>0</v>
      </c>
      <c r="U1391" s="25" t="s">
        <v>54</v>
      </c>
      <c r="V1391" s="38" t="s">
        <v>52</v>
      </c>
      <c r="W1391" s="4">
        <f>(AVERAGE(O1388:O1393)/AVERAGE(P1388:P1393))</f>
        <v>0</v>
      </c>
      <c r="Y1391" s="25" t="s">
        <v>60</v>
      </c>
      <c r="Z1391" s="38" t="s">
        <v>52</v>
      </c>
      <c r="AA1391" s="4">
        <f>(AVERAGE(O1388:O1393)/AVERAGE(P1388:P1393))</f>
        <v>0</v>
      </c>
    </row>
    <row r="1392" spans="1:27">
      <c r="A1392" s="19">
        <f>_xll.ciqfunctions.udf.CIQ(A1383,"IQ_TOTAL_REV",IQ_LTM)</f>
        <v>850.28200000000004</v>
      </c>
      <c r="B1392" s="13">
        <v>10</v>
      </c>
      <c r="C1392" s="14" t="s">
        <v>34</v>
      </c>
      <c r="D1392" s="15" cm="1">
        <f t="array" ref="D1392">_xlfn.SINGLE(IF(A1391=A1392,_xll.ciqfunctions.udf.CIQ(A1383,"IQ_TOTAL_REV",IQ_FY-1)/I1392, _xll.ciqfunctions.udf.CIQ(A1383, "IQ_TOTAL_REV",IQ_FY)/I1392))</f>
        <v>20.617116926791589</v>
      </c>
      <c r="E1392" s="16">
        <f t="shared" si="371"/>
        <v>0.28996935102723148</v>
      </c>
      <c r="F1392" s="15">
        <f>IF(A1391=A1392,_xll.ciqfunctions.udf.CIQ(A1383,"IQ_DILUT_EPS_EXCL",IQ_FY-1), _xll.ciqfunctions.udf.CIQ(A1383, "IQ_DILUT_EPS_EXCL",IQ_FY))</f>
        <v>4.49</v>
      </c>
      <c r="G1392" s="15">
        <f>IF(A1391=A1392,_xll.ciqfunctions.udf.CIQ(A1383,"IQ_EBITDA_MARGIN",IQ_FY-1), _xll.ciqfunctions.udf.CIQ(A1383, "IQ_EBITDA_MARGIN",IQ_FY))</f>
        <v>29.982199999999999</v>
      </c>
      <c r="H1392" s="15">
        <f>IF(A1391=A1392,_xll.ciqfunctions.udf.CIQ(A1383,"IQ_TOTAL_DIV_PAID_CF",IQ_FY-1)/-I1392, _xll.ciqfunctions.udf.CIQ(A1383, "IQ_TOTAL_DIV_PAID_CF",IQ_FY)/-I1392)</f>
        <v>0</v>
      </c>
      <c r="I1392" s="17">
        <f>IF(A1391=A1392,_xll.ciqfunctions.udf.CIQ(A1383,"IQ_TOTAL_OUTSTANDING_FILING_DATE",IQ_FY-1), _xll.ciqfunctions.udf.CIQ(A1383, "IQ_TOTAL_OUTSTANDING_FILING_DATE",IQ_FY))</f>
        <v>48.754779999999997</v>
      </c>
      <c r="J1392" s="17">
        <f>IF(A1391=A1392,_xll.ciqfunctions.udf.CIQ(A1383,"IQ_CASH_OPER",IQ_FY-1), _xll.ciqfunctions.udf.CIQ(A1383, "IQ_CASH_OPER",IQ_FY))</f>
        <v>136.703</v>
      </c>
      <c r="K1392" s="17">
        <f>IF(A1391=A1392,_xll.ciqfunctions.udf.CIQ(A1383,"IQ_CAPEX",IQ_FY-1), _xll.ciqfunctions.udf.CIQ(A1383, "IQ_CAPEX",IQ_FY))</f>
        <v>-18.405000000000001</v>
      </c>
      <c r="L1392" s="15">
        <f t="shared" si="368"/>
        <v>2.4263877305979027</v>
      </c>
      <c r="M1392" s="17">
        <f>IF(A1391=A1392,_xll.ciqfunctions.udf.CIQ(A1383,"IQ_TOTAL_DEBT_ISSUED",IQ_FY-1), _xll.ciqfunctions.udf.CIQ(A1383, "IQ_TOTAL_DEBT_ISSUED",IQ_FY))</f>
        <v>0</v>
      </c>
      <c r="N1392" s="17">
        <f>IF(A1391=A1392,_xll.ciqfunctions.udf.CIQ(A1383,"IQ_TOTAL_DEBT_REPAID",IQ_FY-1), _xll.ciqfunctions.udf.CIQ(A1383, "IQ_TOTAL_DEBT_REPAID",IQ_FY))</f>
        <v>0</v>
      </c>
      <c r="O1392" s="15">
        <f t="shared" si="369"/>
        <v>0</v>
      </c>
      <c r="P1392" s="15">
        <f t="shared" si="370"/>
        <v>2.4263877305979027</v>
      </c>
      <c r="Q1392" s="25" t="s">
        <v>44</v>
      </c>
      <c r="R1392" s="38" t="s">
        <v>35</v>
      </c>
      <c r="S1392" s="1">
        <f>_xll.ciqfunctions.udf.CIQ(A1383,"IQ_TEV_EBITDA")</f>
        <v>26.95346</v>
      </c>
      <c r="U1392" s="25" t="s">
        <v>55</v>
      </c>
      <c r="V1392" s="38" t="s">
        <v>53</v>
      </c>
      <c r="W1392" s="1">
        <f>V1382/(AVERAGE(D1388:D1393)/_xlfn.STDEV.P(E1388:E1393))</f>
        <v>4.0173918510614701</v>
      </c>
      <c r="Y1392" s="25" t="s">
        <v>57</v>
      </c>
      <c r="Z1392" s="38" t="s">
        <v>53</v>
      </c>
      <c r="AA1392" s="1">
        <f>Z1382/(AVERAGE(D1388:D1393)/_xlfn.STDEV.P(E1388:E1393))</f>
        <v>4.0173918510614701</v>
      </c>
    </row>
    <row r="1393" spans="1:27">
      <c r="B1393" s="13">
        <v>11</v>
      </c>
      <c r="C1393" s="20" t="s">
        <v>36</v>
      </c>
      <c r="D1393" s="21" cm="1">
        <f t="array" ref="D1393">_xlfn.SINGLE(IF(A1391=A1392,_xll.ciqfunctions.udf.CIQ(A1383,"IQ_TOTAL_REV",IQ_FY)/I1393, _xll.ciqfunctions.udf.CIQ(A1383, "IQ_TOTAL_REV",IQ_LTM)/I1393))</f>
        <v>17.324059681762737</v>
      </c>
      <c r="E1393" s="22">
        <f t="shared" si="371"/>
        <v>-0.15972442978919038</v>
      </c>
      <c r="F1393" s="21">
        <f>IF(A1391=A1392,_xll.ciqfunctions.udf.CIQ(A1383,"IQ_DILUT_EPS_EXCL",IQ_FY), _xll.ciqfunctions.udf.CIQ(A1383, "IQ_DILUT_EPS_EXCL",IQ_LTM))</f>
        <v>3.1830400000000001</v>
      </c>
      <c r="G1393" s="21">
        <f>IF(A1391=A1392,_xll.ciqfunctions.udf.CIQ(A1383,"IQ_EBITDA_MARGIN",IQ_FY), _xll.ciqfunctions.udf.CIQ(A1383, "IQ_EBITDA_MARGIN",IQ_LTM))</f>
        <v>26.023900000000001</v>
      </c>
      <c r="H1393" s="21">
        <f>IF(A1391=A1392,_xll.ciqfunctions.udf.CIQ(A1383,"IQ_TOTAL_DIV_PAID_CF",IQ_FY)/-I1393, _xll.ciqfunctions.udf.CIQ(A1383, "IQ_TOTAL_DIV_PAID_CF",IQ_LTM)/-I1393)</f>
        <v>0</v>
      </c>
      <c r="I1393" s="23">
        <f>IF(A1391=A1392,_xll.ciqfunctions.udf.CIQ(A1383,"IQ_TOTAL_OUTSTANDING_FILING_DATE",IQ_FY),_xll.ciqfunctions.udf.CIQ(A1383,"IQ_sharesoutstanding"))</f>
        <v>49.08099</v>
      </c>
      <c r="J1393" s="23">
        <f>IF(A1391=A1392,_xll.ciqfunctions.udf.CIQ(A1383,"IQ_CASH_OPER",IQ_FY), _xll.ciqfunctions.udf.CIQ(A1383, "IQ_CASH_OPER",IQ_LTM))</f>
        <v>159.88200000000001</v>
      </c>
      <c r="K1393" s="23">
        <f>IF(A1391=A1392,_xll.ciqfunctions.udf.CIQ(A1383,"IQ_CAPEX",IQ_FY), _xll.ciqfunctions.udf.CIQ(A1383, "IQ_CAPEX",IQ_LTM))</f>
        <v>-28.728999999999999</v>
      </c>
      <c r="L1393" s="21">
        <f t="shared" si="368"/>
        <v>2.6721751130121869</v>
      </c>
      <c r="M1393" s="23">
        <f>IF(A1391=A1392,_xll.ciqfunctions.udf.CIQ(A1383,"IQ_TOTAL_DEBT_ISSUED",IQ_FY), _xll.ciqfunctions.udf.CIQ(A1383, "IQ_TOTAL_DEBT_ISSUED",IQ_LTM))</f>
        <v>0</v>
      </c>
      <c r="N1393" s="23">
        <f>IF(A1391=A1392,_xll.ciqfunctions.udf.CIQ(A1383,"IQ_TOTAL_DEBT_REPAID",IQ_FY), _xll.ciqfunctions.udf.CIQ(A1383, "IQ_TOTAL_DEBT_REPAID",IQ_LTM))</f>
        <v>0</v>
      </c>
      <c r="O1393" s="21">
        <f t="shared" si="369"/>
        <v>0</v>
      </c>
      <c r="P1393" s="21">
        <f t="shared" si="370"/>
        <v>2.6721751130121869</v>
      </c>
      <c r="Q1393" s="25" t="s">
        <v>45</v>
      </c>
      <c r="S1393" s="45"/>
      <c r="U1393" s="25"/>
      <c r="W1393" s="45"/>
      <c r="Y1393" s="25"/>
      <c r="AA1393" s="45"/>
    </row>
    <row r="1394" spans="1:27">
      <c r="B1394" s="24"/>
      <c r="C1394" s="25" t="s">
        <v>37</v>
      </c>
      <c r="E1394" s="26">
        <f>((D1393/D1388)^(1/5))-1</f>
        <v>0.14356474954376042</v>
      </c>
      <c r="F1394" s="27">
        <f>((F1393/F1388)^(1/5))-1</f>
        <v>0.12838828750054976</v>
      </c>
      <c r="G1394" s="28"/>
      <c r="H1394" s="27" t="e">
        <f>((H1393/H1388)^(1/5))-1</f>
        <v>#DIV/0!</v>
      </c>
      <c r="I1394" s="27">
        <f>((I1393/I1388)^(1/5))-1</f>
        <v>9.6908051993810806E-2</v>
      </c>
      <c r="J1394" s="27"/>
      <c r="K1394" s="27"/>
      <c r="L1394" s="26">
        <f>((L1393/L1388)^(1/5))-1</f>
        <v>0.24553172909983934</v>
      </c>
      <c r="M1394" s="26"/>
      <c r="N1394" s="26"/>
      <c r="O1394" s="26"/>
      <c r="P1394" s="26">
        <f>((P1393/P1388)^(1/5))-1</f>
        <v>0.24553172909983934</v>
      </c>
      <c r="Q1394" s="18"/>
      <c r="R1394" s="36"/>
      <c r="S1394" s="45"/>
      <c r="U1394" s="18"/>
      <c r="V1394" s="36"/>
      <c r="W1394" s="45"/>
      <c r="Y1394" s="18"/>
      <c r="Z1394" s="36"/>
      <c r="AA1394" s="45"/>
    </row>
    <row r="1395" spans="1:27">
      <c r="A1395" s="29"/>
      <c r="B1395" s="30"/>
      <c r="C1395" s="31" t="s">
        <v>38</v>
      </c>
      <c r="D1395" s="29"/>
      <c r="E1395" s="32">
        <f>((D1393/D1383)^(1/10))-1</f>
        <v>0.12472500995384306</v>
      </c>
      <c r="F1395" s="33">
        <f>((F1393/F1383)^(1/10))-1</f>
        <v>0.41346223552473083</v>
      </c>
      <c r="G1395" s="34"/>
      <c r="H1395" s="33" t="e">
        <f>((H1393/H1383)^(1/10))-1</f>
        <v>#DIV/0!</v>
      </c>
      <c r="I1395" s="33">
        <f>((I1393/I1383)^(1/10))-1</f>
        <v>4.0638742712302278E-2</v>
      </c>
      <c r="J1395" s="33"/>
      <c r="K1395" s="33"/>
      <c r="L1395" s="32">
        <f>((L1393/L1383)^(1/10))-1</f>
        <v>0.53608477162727475</v>
      </c>
      <c r="M1395" s="32"/>
      <c r="N1395" s="32"/>
      <c r="O1395" s="32"/>
      <c r="P1395" s="32">
        <f>((P1393/P1383)^(1/10))-1</f>
        <v>0.53608477162727475</v>
      </c>
      <c r="Q1395" s="40"/>
      <c r="R1395" s="41"/>
      <c r="S1395" s="46"/>
      <c r="U1395" s="40"/>
      <c r="V1395" s="41"/>
      <c r="W1395" s="46"/>
      <c r="Y1395" s="40"/>
      <c r="Z1395" s="41"/>
      <c r="AA1395" s="46"/>
    </row>
    <row r="1396" spans="1:27">
      <c r="B1396" s="24"/>
      <c r="C1396" s="25"/>
      <c r="E1396" s="26"/>
      <c r="F1396" s="27"/>
      <c r="G1396" s="28"/>
      <c r="H1396" s="27"/>
      <c r="I1396" s="27"/>
      <c r="J1396" s="27"/>
      <c r="K1396" s="27"/>
      <c r="L1396" s="26"/>
      <c r="M1396" s="17"/>
      <c r="N1396" s="17"/>
      <c r="O1396" s="17"/>
      <c r="P1396" s="35"/>
      <c r="Q1396" s="18"/>
      <c r="R1396" s="36"/>
    </row>
    <row r="1397" spans="1:27">
      <c r="A1397" s="9" t="s">
        <v>0</v>
      </c>
      <c r="B1397" s="10"/>
      <c r="C1397" s="9" t="s">
        <v>1</v>
      </c>
      <c r="D1397" s="9" t="s">
        <v>2</v>
      </c>
      <c r="E1397" s="9" t="s">
        <v>3</v>
      </c>
      <c r="F1397" s="11" t="s">
        <v>4</v>
      </c>
      <c r="G1397" s="11" t="s">
        <v>5</v>
      </c>
      <c r="H1397" s="9" t="s">
        <v>6</v>
      </c>
      <c r="I1397" s="11" t="s">
        <v>7</v>
      </c>
      <c r="J1397" s="11" t="s">
        <v>8</v>
      </c>
      <c r="K1397" s="11" t="s">
        <v>9</v>
      </c>
      <c r="L1397" s="11" t="s">
        <v>10</v>
      </c>
      <c r="M1397" s="11" t="s">
        <v>11</v>
      </c>
      <c r="N1397" s="11" t="s">
        <v>12</v>
      </c>
      <c r="O1397" s="11" t="s">
        <v>13</v>
      </c>
      <c r="P1397" s="11" t="s">
        <v>14</v>
      </c>
      <c r="Q1397" s="37" t="s">
        <v>15</v>
      </c>
      <c r="R1397" s="42">
        <f>_xll.ciqfunctions.udf.CIQ(A1398,("IQ_LASTSALEPRICE"))</f>
        <v>83.984999999999999</v>
      </c>
      <c r="S1397" s="44"/>
      <c r="U1397" s="37" t="s">
        <v>15</v>
      </c>
      <c r="V1397" s="42">
        <f>_xll.ciqfunctions.udf.CIQ(A1398,("IQ_LASTSALEPRICE"))</f>
        <v>83.984999999999999</v>
      </c>
      <c r="W1397" s="44"/>
      <c r="Y1397" s="37" t="s">
        <v>15</v>
      </c>
      <c r="Z1397" s="42">
        <f>_xll.ciqfunctions.udf.CIQ(A1398,("IQ_LASTSALEPRICE"))</f>
        <v>83.984999999999999</v>
      </c>
      <c r="AA1397" s="44"/>
    </row>
    <row r="1398" spans="1:27">
      <c r="A1398" s="12" t="str">
        <f>Analysis!B95</f>
        <v>NasdaqGS:MTSI</v>
      </c>
      <c r="B1398" s="13">
        <v>1</v>
      </c>
      <c r="C1398" s="14" t="s">
        <v>16</v>
      </c>
      <c r="D1398" s="15">
        <f>IF(A1406=A1407,_xll.ciqfunctions.udf.CIQ(A1398,"IQ_TOTAL_REV",IQ_FY-10)/I1398,_xll.ciqfunctions.udf.CIQ(A1398, "IQ_TOTAL_REV",IQ_FY-9)/I1398)</f>
        <v>5.2311190619881023</v>
      </c>
      <c r="E1398" s="16"/>
      <c r="F1398" s="15">
        <f>IF(A1406=A1407,_xll.ciqfunctions.udf.CIQ(A1398,"IQ_DILUT_EPS_EXCL",IQ_FY-10), _xll.ciqfunctions.udf.CIQ(A1398, "IQ_DILUT_EPS_EXCL",IQ_FY-9))</f>
        <v>5.8000000000000003E-2</v>
      </c>
      <c r="G1398" s="15">
        <f>IF(A1406=A1407,_xll.ciqfunctions.udf.CIQ(A1398,"IQ_EBITDA_MARGIN",IQ_FY-10), _xll.ciqfunctions.udf.CIQ(A1398, "IQ_EBITDA_MARGIN",IQ_FY-9))</f>
        <v>10.7889</v>
      </c>
      <c r="H1398" s="15">
        <f>IF(A1406=A1407,_xll.ciqfunctions.udf.CIQ(A1398,"IQ_TOTAL_DIV_PAID_CF",IQ_FY-10)/-I1398, _xll.ciqfunctions.udf.CIQ(A1398, "IQ_TOTAL_DIV_PAID_CF",IQ_FY-9)/-I1398)</f>
        <v>0</v>
      </c>
      <c r="I1398" s="17">
        <f>IF(A1406=A1407,_xll.ciqfunctions.udf.CIQ(A1398,"IQ_TOTAL_OUTSTANDING_FILING_DATE",IQ_FY-10), _xll.ciqfunctions.udf.CIQ(A1398, "IQ_TOTAL_OUTSTANDING_FILING_DATE",IQ_FY-9))</f>
        <v>46.396000000000001</v>
      </c>
      <c r="J1398" s="17">
        <f>IF(A1406=A1407,_xll.ciqfunctions.udf.CIQ(A1398,"IQ_CASH_OPER",IQ_FY-10), _xll.ciqfunctions.udf.CIQ(A1398, "IQ_CASH_OPER",IQ_FY-9))</f>
        <v>28.902999999999999</v>
      </c>
      <c r="K1398" s="17">
        <f>IF(A1406=A1407,_xll.ciqfunctions.udf.CIQ(A1398,"IQ_CAPEX",IQ_FY-10), _xll.ciqfunctions.udf.CIQ(A1398, "IQ_CAPEX",IQ_FY-9))</f>
        <v>-12.336</v>
      </c>
      <c r="L1398" s="15">
        <f t="shared" ref="L1398:L1408" si="372">(J1398+K1398)/I1398</f>
        <v>0.35707819639624105</v>
      </c>
      <c r="M1398" s="17">
        <f>IF(A1406=A1407,_xll.ciqfunctions.udf.CIQ(A1398,"IQ_TOTAL_DEBT_ISSUED",IQ_FY-10), _xll.ciqfunctions.udf.CIQ(A1398, "IQ_TOTAL_DEBT_ISSUED",IQ_FY-9))</f>
        <v>0</v>
      </c>
      <c r="N1398" s="17">
        <f>IF(A1406=A1407,_xll.ciqfunctions.udf.CIQ(A1398,"IQ_TOTAL_DEBT_REPAID",IQ_FY-10), _xll.ciqfunctions.udf.CIQ(A1398, "IQ_TOTAL_DEBT_REPAID",IQ_FY-9))</f>
        <v>0</v>
      </c>
      <c r="O1398" s="15">
        <f t="shared" ref="O1398:O1408" si="373">(M1398+N1398)/I1398</f>
        <v>0</v>
      </c>
      <c r="P1398" s="15">
        <f t="shared" ref="P1398:P1408" si="374">L1398+O1398</f>
        <v>0.35707819639624105</v>
      </c>
      <c r="W1398" s="43"/>
      <c r="AA1398" s="43"/>
    </row>
    <row r="1399" spans="1:27">
      <c r="A1399" s="18" t="str">
        <f>_xll.ciqfunctions.udf.CIQ(A1398,"IQ_COMPANY_NAME")</f>
        <v>MACOM Technology Solutions Holdings, Inc.</v>
      </c>
      <c r="B1399" s="13">
        <v>2</v>
      </c>
      <c r="C1399" s="14" t="s">
        <v>17</v>
      </c>
      <c r="D1399" s="15">
        <f>IF(A1406=A1407,_xll.ciqfunctions.udf.CIQ(A1398,"IQ_TOTAL_REV",IQ_FY-9)/I1399, _xll.ciqfunctions.udf.CIQ(A1398, "IQ_TOTAL_REV",IQ_FY-8)/I1399)</f>
        <v>7.137064702788007</v>
      </c>
      <c r="E1399" s="16">
        <f t="shared" ref="E1399:E1408" si="375">(D1399-D1398)/D1398</f>
        <v>0.36434759335711703</v>
      </c>
      <c r="F1399" s="15">
        <f>IF(A1406=A1407,_xll.ciqfunctions.udf.CIQ(A1398,"IQ_DILUT_EPS_EXCL",IQ_FY-9), _xll.ciqfunctions.udf.CIQ(A1398, "IQ_DILUT_EPS_EXCL",IQ_FY-8))</f>
        <v>-0.53</v>
      </c>
      <c r="G1399" s="15">
        <f>IF(A1406=A1407,_xll.ciqfunctions.udf.CIQ(A1398,"IQ_EBITDA_MARGIN",IQ_FY-9), _xll.ciqfunctions.udf.CIQ(A1398, "IQ_EBITDA_MARGIN",IQ_FY-8))</f>
        <v>18.003799999999998</v>
      </c>
      <c r="H1399" s="15">
        <f>IF(A1406=A1407,_xll.ciqfunctions.udf.CIQ(A1398,"IQ_TOTAL_DIV_PAID_CF",IQ_FY-9)/-I1399, _xll.ciqfunctions.udf.CIQ(A1398, "IQ_TOTAL_DIV_PAID_CF",IQ_FY-8)/-I1399)</f>
        <v>0</v>
      </c>
      <c r="I1399" s="17">
        <f>IF(A1406=A1407,_xll.ciqfunctions.udf.CIQ(A1398,"IQ_TOTAL_OUTSTANDING_FILING_DATE",IQ_FY-9), _xll.ciqfunctions.udf.CIQ(A1398, "IQ_TOTAL_OUTSTANDING_FILING_DATE",IQ_FY-8))</f>
        <v>47.524999999999999</v>
      </c>
      <c r="J1399" s="17">
        <f>IF(A1406=A1407,_xll.ciqfunctions.udf.CIQ(A1398,"IQ_CASH_OPER",IQ_FY-9), _xll.ciqfunctions.udf.CIQ(A1398, "IQ_CASH_OPER",IQ_FY-8))</f>
        <v>25.472000000000001</v>
      </c>
      <c r="K1399" s="17">
        <f>IF(A1406=A1407,_xll.ciqfunctions.udf.CIQ(A1398,"IQ_CAPEX",IQ_FY-9), _xll.ciqfunctions.udf.CIQ(A1398, "IQ_CAPEX",IQ_FY-8))</f>
        <v>-16.972999999999999</v>
      </c>
      <c r="L1399" s="15">
        <f t="shared" si="372"/>
        <v>0.17883219358232513</v>
      </c>
      <c r="M1399" s="17">
        <f>IF(A1406=A1407,_xll.ciqfunctions.udf.CIQ(A1398,"IQ_TOTAL_DEBT_ISSUED",IQ_FY-9), _xll.ciqfunctions.udf.CIQ(A1398, "IQ_TOTAL_DEBT_ISSUED",IQ_FY-8))</f>
        <v>595</v>
      </c>
      <c r="N1399" s="17">
        <f>IF(A1406=A1407,_xll.ciqfunctions.udf.CIQ(A1398,"IQ_TOTAL_DEBT_REPAID",IQ_FY-9), _xll.ciqfunctions.udf.CIQ(A1398, "IQ_TOTAL_DEBT_REPAID",IQ_FY-8))</f>
        <v>-289.41699999999997</v>
      </c>
      <c r="O1399" s="15">
        <f t="shared" si="373"/>
        <v>6.4299421357180435</v>
      </c>
      <c r="P1399" s="15">
        <f t="shared" si="374"/>
        <v>6.6087743293003687</v>
      </c>
      <c r="Q1399" s="25" t="s">
        <v>18</v>
      </c>
      <c r="R1399" s="39" t="s">
        <v>19</v>
      </c>
      <c r="S1399" s="1">
        <f>R1397/((AVERAGE(P1403:P1408))*(1+E1409)^3)</f>
        <v>113.81077679467666</v>
      </c>
      <c r="U1399" s="25" t="s">
        <v>48</v>
      </c>
      <c r="V1399" s="39" t="s">
        <v>19</v>
      </c>
      <c r="W1399" s="1">
        <f>V1397/((AVERAGE(P1403:P1408))*(1+E1409)^3)</f>
        <v>113.81077679467666</v>
      </c>
      <c r="Y1399" s="25" t="s">
        <v>39</v>
      </c>
      <c r="Z1399" s="39" t="s">
        <v>19</v>
      </c>
      <c r="AA1399" s="1">
        <f>Z1397/((AVERAGE(P1403:P1408))*(1+E1409)^3)</f>
        <v>113.81077679467666</v>
      </c>
    </row>
    <row r="1400" spans="1:27">
      <c r="B1400" s="13">
        <v>3</v>
      </c>
      <c r="C1400" s="14" t="s">
        <v>20</v>
      </c>
      <c r="D1400" s="15" cm="1">
        <f t="array" ref="D1400">_xlfn.SINGLE(IF(A1406=A1407,_xll.ciqfunctions.udf.CIQ(A1398,"IQ_TOTAL_REV",IQ_FY-8)/I1400, _xll.ciqfunctions.udf.CIQ(A1398, "IQ_TOTAL_REV",IQ_FY-7)/I1400))</f>
        <v>7.9460638920900006</v>
      </c>
      <c r="E1400" s="16">
        <f t="shared" si="375"/>
        <v>0.11335180820008091</v>
      </c>
      <c r="F1400" s="15">
        <f>IF(A1406=A1407,_xll.ciqfunctions.udf.CIQ(A1398,"IQ_DILUT_EPS_EXCL",IQ_FY-8), _xll.ciqfunctions.udf.CIQ(A1398, "IQ_DILUT_EPS_EXCL",IQ_FY-7))</f>
        <v>-0.11</v>
      </c>
      <c r="G1400" s="15">
        <f>IF(A1406=A1407,_xll.ciqfunctions.udf.CIQ(A1398,"IQ_EBITDA_MARGIN",IQ_FY-8), _xll.ciqfunctions.udf.CIQ(A1398, "IQ_EBITDA_MARGIN",IQ_FY-7))</f>
        <v>18.238499999999998</v>
      </c>
      <c r="H1400" s="15">
        <f>IF(A1406=A1407,_xll.ciqfunctions.udf.CIQ(A1398,"IQ_TOTAL_DIV_PAID_CF",IQ_FY-8)/-I1400, _xll.ciqfunctions.udf.CIQ(A1398, "IQ_TOTAL_DIV_PAID_CF",IQ_FY-7)/-I1400)</f>
        <v>0</v>
      </c>
      <c r="I1400" s="17">
        <f>IF(A1406=A1407,_xll.ciqfunctions.udf.CIQ(A1398,"IQ_TOTAL_OUTSTANDING_FILING_DATE",IQ_FY-8), _xll.ciqfunctions.udf.CIQ(A1398, "IQ_TOTAL_OUTSTANDING_FILING_DATE",IQ_FY-7))</f>
        <v>52.933</v>
      </c>
      <c r="J1400" s="17">
        <f>IF(A1406=A1407,_xll.ciqfunctions.udf.CIQ(A1398,"IQ_CASH_OPER",IQ_FY-8), _xll.ciqfunctions.udf.CIQ(A1398, "IQ_CASH_OPER",IQ_FY-7))</f>
        <v>33.677999999999997</v>
      </c>
      <c r="K1400" s="17">
        <f>IF(A1406=A1407,_xll.ciqfunctions.udf.CIQ(A1398,"IQ_CAPEX",IQ_FY-8), _xll.ciqfunctions.udf.CIQ(A1398, "IQ_CAPEX",IQ_FY-7))</f>
        <v>-38.252000000000002</v>
      </c>
      <c r="L1400" s="15">
        <f t="shared" si="372"/>
        <v>-8.6411123495739997E-2</v>
      </c>
      <c r="M1400" s="17">
        <f>IF(A1406=A1407,_xll.ciqfunctions.udf.CIQ(A1398,"IQ_TOTAL_DEBT_ISSUED",IQ_FY-8), _xll.ciqfunctions.udf.CIQ(A1398, "IQ_TOTAL_DEBT_ISSUED",IQ_FY-7))</f>
        <v>100</v>
      </c>
      <c r="N1400" s="17">
        <f>IF(A1406=A1407,_xll.ciqfunctions.udf.CIQ(A1398,"IQ_TOTAL_DEBT_REPAID",IQ_FY-8), _xll.ciqfunctions.udf.CIQ(A1398, "IQ_TOTAL_DEBT_REPAID",IQ_FY-7))</f>
        <v>-105.004</v>
      </c>
      <c r="O1400" s="15">
        <f t="shared" si="373"/>
        <v>-9.4534600343830974E-2</v>
      </c>
      <c r="P1400" s="15">
        <f t="shared" si="374"/>
        <v>-0.18094572383957097</v>
      </c>
      <c r="Q1400" s="25" t="s">
        <v>21</v>
      </c>
      <c r="R1400" s="38" t="s">
        <v>49</v>
      </c>
      <c r="S1400" s="2">
        <f>(R1397*I1408)/1000</f>
        <v>5.9804156378999993</v>
      </c>
      <c r="U1400" s="25" t="s">
        <v>59</v>
      </c>
      <c r="V1400" s="38" t="s">
        <v>49</v>
      </c>
      <c r="W1400" s="2">
        <f>(V1397*I1408)/1000</f>
        <v>5.9804156378999993</v>
      </c>
      <c r="Y1400" s="25" t="s">
        <v>46</v>
      </c>
      <c r="Z1400" s="38" t="s">
        <v>49</v>
      </c>
      <c r="AA1400" s="2">
        <f>(Z1397*I1408)/1000</f>
        <v>5.9804156378999993</v>
      </c>
    </row>
    <row r="1401" spans="1:27">
      <c r="A1401" s="18"/>
      <c r="B1401" s="13">
        <v>4</v>
      </c>
      <c r="C1401" s="14" t="s">
        <v>22</v>
      </c>
      <c r="D1401" s="15" cm="1">
        <f t="array" ref="D1401">_xlfn.SINGLE(IF(A1406=A1407,_xll.ciqfunctions.udf.CIQ(A1398,"IQ_TOTAL_REV",IQ_FY-7)/I1401, _xll.ciqfunctions.udf.CIQ(A1398, "IQ_TOTAL_REV",IQ_FY-6)/I1401))</f>
        <v>10.139480301760267</v>
      </c>
      <c r="E1401" s="16">
        <f t="shared" si="375"/>
        <v>0.27603810382820204</v>
      </c>
      <c r="F1401" s="15">
        <f>IF(A1406=A1407,_xll.ciqfunctions.udf.CIQ(A1398,"IQ_DILUT_EPS_EXCL",IQ_FY-7), _xll.ciqfunctions.udf.CIQ(A1398, "IQ_DILUT_EPS_EXCL",IQ_FY-6))</f>
        <v>-7.0000000000000007E-2</v>
      </c>
      <c r="G1401" s="15">
        <f>IF(A1406=A1407,_xll.ciqfunctions.udf.CIQ(A1398,"IQ_EBITDA_MARGIN",IQ_FY-7), _xll.ciqfunctions.udf.CIQ(A1398, "IQ_EBITDA_MARGIN",IQ_FY-6))</f>
        <v>19.570499999999999</v>
      </c>
      <c r="H1401" s="15">
        <f>IF(A1406=A1407,_xll.ciqfunctions.udf.CIQ(A1398,"IQ_TOTAL_DIV_PAID_CF",IQ_FY-7)/-I1401, _xll.ciqfunctions.udf.CIQ(A1398, "IQ_TOTAL_DIV_PAID_CF",IQ_FY-6)/-I1401)</f>
        <v>0</v>
      </c>
      <c r="I1401" s="17">
        <f>IF(A1406=A1407,_xll.ciqfunctions.udf.CIQ(A1398,"IQ_TOTAL_OUTSTANDING_FILING_DATE",IQ_FY-7), _xll.ciqfunctions.udf.CIQ(A1398, "IQ_TOTAL_OUTSTANDING_FILING_DATE",IQ_FY-6))</f>
        <v>53.685000000000002</v>
      </c>
      <c r="J1401" s="17">
        <f>IF(A1406=A1407,_xll.ciqfunctions.udf.CIQ(A1398,"IQ_CASH_OPER",IQ_FY-7), _xll.ciqfunctions.udf.CIQ(A1398, "IQ_CASH_OPER",IQ_FY-6))</f>
        <v>79.231999999999999</v>
      </c>
      <c r="K1401" s="17">
        <f>IF(A1406=A1407,_xll.ciqfunctions.udf.CIQ(A1398,"IQ_CAPEX",IQ_FY-7), _xll.ciqfunctions.udf.CIQ(A1398, "IQ_CAPEX",IQ_FY-6))</f>
        <v>-31.326000000000001</v>
      </c>
      <c r="L1401" s="15">
        <f t="shared" si="372"/>
        <v>0.89235354382043397</v>
      </c>
      <c r="M1401" s="17">
        <f>IF(A1406=A1407,_xll.ciqfunctions.udf.CIQ(A1398,"IQ_TOTAL_DEBT_ISSUED",IQ_FY-7), _xll.ciqfunctions.udf.CIQ(A1398, "IQ_TOTAL_DEBT_ISSUED",IQ_FY-6))</f>
        <v>247.625</v>
      </c>
      <c r="N1401" s="17">
        <f>IF(A1406=A1407,_xll.ciqfunctions.udf.CIQ(A1398,"IQ_TOTAL_DEBT_REPAID",IQ_FY-7), _xll.ciqfunctions.udf.CIQ(A1398, "IQ_TOTAL_DEBT_REPAID",IQ_FY-6))</f>
        <v>-14.076000000000001</v>
      </c>
      <c r="O1401" s="15">
        <f t="shared" si="373"/>
        <v>4.3503585731582382</v>
      </c>
      <c r="P1401" s="15">
        <f t="shared" si="374"/>
        <v>5.2427121169786721</v>
      </c>
      <c r="Q1401" s="25" t="s">
        <v>23</v>
      </c>
      <c r="R1401" s="38" t="s">
        <v>24</v>
      </c>
      <c r="S1401" s="1" t="e">
        <f>R1397/(AVERAGE(H1403:H1408)*(1+H1409)/(0.5-H1409))</f>
        <v>#DIV/0!</v>
      </c>
      <c r="U1401" s="25" t="s">
        <v>40</v>
      </c>
      <c r="V1401" s="38" t="s">
        <v>24</v>
      </c>
      <c r="W1401" s="1" t="e">
        <f>V1397/(AVERAGE(H1403:H1408)*(1+H1409)/(0.5-H1409))</f>
        <v>#DIV/0!</v>
      </c>
      <c r="Y1401" s="25" t="s">
        <v>47</v>
      </c>
      <c r="Z1401" s="38" t="s">
        <v>24</v>
      </c>
      <c r="AA1401" s="1" t="e">
        <f>Z1397/(AVERAGE(H1403:H1408)*(1+H1409)/(0.5-H1409))</f>
        <v>#DIV/0!</v>
      </c>
    </row>
    <row r="1402" spans="1:27">
      <c r="B1402" s="13">
        <v>5</v>
      </c>
      <c r="C1402" s="14" t="s">
        <v>25</v>
      </c>
      <c r="D1402" s="15" cm="1">
        <f t="array" ref="D1402">_xlfn.SINGLE(IF(A1406=A1407,_xll.ciqfunctions.udf.CIQ(A1398,"IQ_TOTAL_REV",IQ_FY-6)/I1402, _xll.ciqfunctions.udf.CIQ(A1398, "IQ_TOTAL_REV",IQ_FY-5)/I1402))</f>
        <v>10.874813247011954</v>
      </c>
      <c r="E1402" s="16">
        <f t="shared" si="375"/>
        <v>7.2521758844388565E-2</v>
      </c>
      <c r="F1402" s="15">
        <f>IF(A1406=A1407,_xll.ciqfunctions.udf.CIQ(A1398,"IQ_DILUT_EPS_EXCL",IQ_FY-6), _xll.ciqfunctions.udf.CIQ(A1398, "IQ_DILUT_EPS_EXCL",IQ_FY-5))</f>
        <v>-2.48</v>
      </c>
      <c r="G1402" s="15">
        <f>IF(A1406=A1407,_xll.ciqfunctions.udf.CIQ(A1398,"IQ_EBITDA_MARGIN",IQ_FY-6), _xll.ciqfunctions.udf.CIQ(A1398, "IQ_EBITDA_MARGIN",IQ_FY-5))</f>
        <v>20.239999999999998</v>
      </c>
      <c r="H1402" s="15">
        <f>IF(A1406=A1407,_xll.ciqfunctions.udf.CIQ(A1398,"IQ_TOTAL_DIV_PAID_CF",IQ_FY-6)/-I1402, _xll.ciqfunctions.udf.CIQ(A1398, "IQ_TOTAL_DIV_PAID_CF",IQ_FY-5)/-I1402)</f>
        <v>0</v>
      </c>
      <c r="I1402" s="17">
        <f>IF(A1406=A1407,_xll.ciqfunctions.udf.CIQ(A1398,"IQ_TOTAL_OUTSTANDING_FILING_DATE",IQ_FY-6), _xll.ciqfunctions.udf.CIQ(A1398, "IQ_TOTAL_OUTSTANDING_FILING_DATE",IQ_FY-5))</f>
        <v>64.256</v>
      </c>
      <c r="J1402" s="17">
        <f>IF(A1406=A1407,_xll.ciqfunctions.udf.CIQ(A1398,"IQ_CASH_OPER",IQ_FY-6), _xll.ciqfunctions.udf.CIQ(A1398, "IQ_CASH_OPER",IQ_FY-5))</f>
        <v>61.05</v>
      </c>
      <c r="K1402" s="17">
        <f>IF(A1406=A1407,_xll.ciqfunctions.udf.CIQ(A1398,"IQ_CAPEX",IQ_FY-6), _xll.ciqfunctions.udf.CIQ(A1398, "IQ_CAPEX",IQ_FY-5))</f>
        <v>-32.804000000000002</v>
      </c>
      <c r="L1402" s="15">
        <f t="shared" si="372"/>
        <v>0.43958540836653381</v>
      </c>
      <c r="M1402" s="17">
        <f>IF(A1406=A1407,_xll.ciqfunctions.udf.CIQ(A1398,"IQ_TOTAL_DEBT_ISSUED",IQ_FY-6), _xll.ciqfunctions.udf.CIQ(A1398, "IQ_TOTAL_DEBT_ISSUED",IQ_FY-5))</f>
        <v>96.558000000000007</v>
      </c>
      <c r="N1402" s="17">
        <f>IF(A1406=A1407,_xll.ciqfunctions.udf.CIQ(A1398,"IQ_TOTAL_DEBT_REPAID",IQ_FY-6), _xll.ciqfunctions.udf.CIQ(A1398, "IQ_TOTAL_DEBT_REPAID",IQ_FY-5))</f>
        <v>-5.8840000000000003</v>
      </c>
      <c r="O1402" s="15">
        <f t="shared" si="373"/>
        <v>1.411136703187251</v>
      </c>
      <c r="P1402" s="15">
        <f t="shared" si="374"/>
        <v>1.8507221115537849</v>
      </c>
      <c r="Q1402" s="18"/>
      <c r="R1402" s="38" t="s">
        <v>50</v>
      </c>
      <c r="S1402" s="3">
        <f>I1409</f>
        <v>1.7851426804625259E-2</v>
      </c>
      <c r="U1402" s="18"/>
      <c r="V1402" s="38" t="s">
        <v>50</v>
      </c>
      <c r="W1402" s="3">
        <f>I1409</f>
        <v>1.7851426804625259E-2</v>
      </c>
      <c r="Y1402" s="18"/>
      <c r="Z1402" s="38" t="s">
        <v>50</v>
      </c>
      <c r="AA1402" s="3">
        <f>I1409</f>
        <v>1.7851426804625259E-2</v>
      </c>
    </row>
    <row r="1403" spans="1:27">
      <c r="B1403" s="13">
        <v>6</v>
      </c>
      <c r="C1403" s="14" t="s">
        <v>26</v>
      </c>
      <c r="D1403" s="15" cm="1">
        <f t="array" ref="D1403">_xlfn.SINGLE(IF(A1406=A1407,_xll.ciqfunctions.udf.CIQ(A1398,"IQ_TOTAL_REV",IQ_FY-5)/I1403, _xll.ciqfunctions.udf.CIQ(A1398, "IQ_TOTAL_REV",IQ_FY-4)/I1403))</f>
        <v>8.7512542383282952</v>
      </c>
      <c r="E1403" s="16">
        <f t="shared" si="375"/>
        <v>-0.19527314726688697</v>
      </c>
      <c r="F1403" s="15">
        <f>IF(A1406=A1407,_xll.ciqfunctions.udf.CIQ(A1398,"IQ_DILUT_EPS_EXCL",IQ_FY-5), _xll.ciqfunctions.udf.CIQ(A1398, "IQ_DILUT_EPS_EXCL",IQ_FY-4))</f>
        <v>-2.4713799999999999</v>
      </c>
      <c r="G1403" s="15">
        <f>IF(A1406=A1407,_xll.ciqfunctions.udf.CIQ(A1398,"IQ_EBITDA_MARGIN",IQ_FY-5), _xll.ciqfunctions.udf.CIQ(A1398, "IQ_EBITDA_MARGIN",IQ_FY-4))</f>
        <v>6.2942999999999998</v>
      </c>
      <c r="H1403" s="15">
        <f>IF(A1406=A1407,_xll.ciqfunctions.udf.CIQ(A1398,"IQ_TOTAL_DIV_PAID_CF",IQ_FY-5)/-I1403, _xll.ciqfunctions.udf.CIQ(A1398, "IQ_TOTAL_DIV_PAID_CF",IQ_FY-4)/-I1403)</f>
        <v>0</v>
      </c>
      <c r="I1403" s="17">
        <f>IF(A1406=A1407,_xll.ciqfunctions.udf.CIQ(A1398,"IQ_TOTAL_OUTSTANDING_FILING_DATE",IQ_FY-5), _xll.ciqfunctions.udf.CIQ(A1398, "IQ_TOTAL_OUTSTANDING_FILING_DATE",IQ_FY-4))</f>
        <v>65.179000000000002</v>
      </c>
      <c r="J1403" s="17">
        <f>IF(A1406=A1407,_xll.ciqfunctions.udf.CIQ(A1398,"IQ_CASH_OPER",IQ_FY-5), _xll.ciqfunctions.udf.CIQ(A1398, "IQ_CASH_OPER",IQ_FY-4))</f>
        <v>36.292999999999999</v>
      </c>
      <c r="K1403" s="17">
        <f>IF(A1406=A1407,_xll.ciqfunctions.udf.CIQ(A1398,"IQ_CAPEX",IQ_FY-5), _xll.ciqfunctions.udf.CIQ(A1398, "IQ_CAPEX",IQ_FY-4))</f>
        <v>-53.043999999999997</v>
      </c>
      <c r="L1403" s="15">
        <f t="shared" si="372"/>
        <v>-0.25699995397290532</v>
      </c>
      <c r="M1403" s="17">
        <f>IF(A1406=A1407,_xll.ciqfunctions.udf.CIQ(A1398,"IQ_TOTAL_DEBT_ISSUED",IQ_FY-5), _xll.ciqfunctions.udf.CIQ(A1398, "IQ_TOTAL_DEBT_ISSUED",IQ_FY-4))</f>
        <v>4</v>
      </c>
      <c r="N1403" s="17">
        <f>IF(A1406=A1407,_xll.ciqfunctions.udf.CIQ(A1398,"IQ_TOTAL_DEBT_REPAID",IQ_FY-5), _xll.ciqfunctions.udf.CIQ(A1398, "IQ_TOTAL_DEBT_REPAID",IQ_FY-4))</f>
        <v>-7.5979999999999999</v>
      </c>
      <c r="O1403" s="15">
        <f t="shared" si="373"/>
        <v>-5.5201828809892751E-2</v>
      </c>
      <c r="P1403" s="15">
        <f t="shared" si="374"/>
        <v>-0.31220178278279809</v>
      </c>
      <c r="Q1403" s="25" t="s">
        <v>27</v>
      </c>
      <c r="R1403" s="38" t="s">
        <v>51</v>
      </c>
      <c r="S1403" s="4">
        <f>AVERAGE(F1403:F1408)/AVERAGE(D1403:D1408)</f>
        <v>-1.9542855778686613E-2</v>
      </c>
      <c r="U1403" s="25" t="s">
        <v>58</v>
      </c>
      <c r="V1403" s="38" t="s">
        <v>51</v>
      </c>
      <c r="W1403" s="4">
        <f>AVERAGE(F1403:F1408)/AVERAGE(D1403:D1408)</f>
        <v>-1.9542855778686613E-2</v>
      </c>
      <c r="Y1403" s="25" t="s">
        <v>56</v>
      </c>
      <c r="Z1403" s="38" t="s">
        <v>51</v>
      </c>
      <c r="AA1403" s="4">
        <f>AVERAGE(F1403:F1408)/AVERAGE(D1403:D1408)</f>
        <v>-1.9542855778686613E-2</v>
      </c>
    </row>
    <row r="1404" spans="1:27">
      <c r="A1404" s="18"/>
      <c r="B1404" s="13">
        <v>7</v>
      </c>
      <c r="C1404" s="14" t="s">
        <v>28</v>
      </c>
      <c r="D1404" s="15" cm="1">
        <f t="array" ref="D1404">_xlfn.SINGLE(IF(A1406=A1407,_xll.ciqfunctions.udf.CIQ(A1398,"IQ_TOTAL_REV",IQ_FY-4)/I1404, _xll.ciqfunctions.udf.CIQ(A1398, "IQ_TOTAL_REV",IQ_FY-3)/I1404))</f>
        <v>7.5529031053769549</v>
      </c>
      <c r="E1404" s="16">
        <f t="shared" si="375"/>
        <v>-0.13693478675352197</v>
      </c>
      <c r="F1404" s="15">
        <f>IF(A1406=A1407,_xll.ciqfunctions.udf.CIQ(A1398,"IQ_DILUT_EPS_EXCL",IQ_FY-4), _xll.ciqfunctions.udf.CIQ(A1398, "IQ_DILUT_EPS_EXCL",IQ_FY-3))</f>
        <v>-5.8429200000000003</v>
      </c>
      <c r="G1404" s="15">
        <f>IF(A1406=A1407,_xll.ciqfunctions.udf.CIQ(A1398,"IQ_EBITDA_MARGIN",IQ_FY-4), _xll.ciqfunctions.udf.CIQ(A1398, "IQ_EBITDA_MARGIN",IQ_FY-3))</f>
        <v>1.6751</v>
      </c>
      <c r="H1404" s="15">
        <f>IF(A1406=A1407,_xll.ciqfunctions.udf.CIQ(A1398,"IQ_TOTAL_DIV_PAID_CF",IQ_FY-4)/-I1404, _xll.ciqfunctions.udf.CIQ(A1398, "IQ_TOTAL_DIV_PAID_CF",IQ_FY-3)/-I1404)</f>
        <v>0</v>
      </c>
      <c r="I1404" s="17">
        <f>IF(A1406=A1407,_xll.ciqfunctions.udf.CIQ(A1398,"IQ_TOTAL_OUTSTANDING_FILING_DATE",IQ_FY-4), _xll.ciqfunctions.udf.CIQ(A1398, "IQ_TOTAL_OUTSTANDING_FILING_DATE",IQ_FY-3))</f>
        <v>66.161050000000003</v>
      </c>
      <c r="J1404" s="17">
        <f>IF(A1406=A1407,_xll.ciqfunctions.udf.CIQ(A1398,"IQ_CASH_OPER",IQ_FY-4), _xll.ciqfunctions.udf.CIQ(A1398, "IQ_CASH_OPER",IQ_FY-3))</f>
        <v>20.7</v>
      </c>
      <c r="K1404" s="17">
        <f>IF(A1406=A1407,_xll.ciqfunctions.udf.CIQ(A1398,"IQ_CAPEX",IQ_FY-4), _xll.ciqfunctions.udf.CIQ(A1398, "IQ_CAPEX",IQ_FY-3))</f>
        <v>-37.963000000000001</v>
      </c>
      <c r="L1404" s="15">
        <f t="shared" si="372"/>
        <v>-0.26092391218095845</v>
      </c>
      <c r="M1404" s="17">
        <f>IF(A1406=A1407,_xll.ciqfunctions.udf.CIQ(A1398,"IQ_TOTAL_DEBT_ISSUED",IQ_FY-4), _xll.ciqfunctions.udf.CIQ(A1398, "IQ_TOTAL_DEBT_ISSUED",IQ_FY-3))</f>
        <v>0</v>
      </c>
      <c r="N1404" s="17">
        <f>IF(A1406=A1407,_xll.ciqfunctions.udf.CIQ(A1398,"IQ_TOTAL_DEBT_REPAID",IQ_FY-4), _xll.ciqfunctions.udf.CIQ(A1398, "IQ_TOTAL_DEBT_REPAID",IQ_FY-3))</f>
        <v>-8.3059999999999992</v>
      </c>
      <c r="O1404" s="15">
        <f t="shared" si="373"/>
        <v>-0.12554214299803282</v>
      </c>
      <c r="P1404" s="15">
        <f t="shared" si="374"/>
        <v>-0.38646605517899124</v>
      </c>
      <c r="Q1404" s="18"/>
      <c r="R1404" s="38" t="s">
        <v>29</v>
      </c>
      <c r="S1404" s="4">
        <f>(AVERAGE(P1403:P1408)/_xlfn.STDEV.P(P1403:P1408))/(IF(A1406=A1407,(_xlfn.SINGLE(_xll.ciqfunctions.udf.CIQ(A1398,"IQ_total_assets",IQ_FY)) - _xlfn.SINGLE(_xll.ciqfunctions.udf.CIQ(A1398,"iq_gw_intan", IQ_FY)))/I1408, (_xlfn.SINGLE(_xll.ciqfunctions.udf.CIQ(A1398, "IQ_total_assets",IQ_LTM))-_xlfn.SINGLE(_xll.ciqfunctions.udf.CIQ(A1398,"iq_gw_intan",IQ_LTM)))/I1408))</f>
        <v>4.2424221772331107E-2</v>
      </c>
      <c r="U1404" s="18"/>
      <c r="V1404" s="38" t="s">
        <v>29</v>
      </c>
      <c r="W1404" s="4">
        <f>(AVERAGE(P1403:P1408)/_xlfn.STDEV.P(P1403:P1408))/(IF(A1406=A1407,(_xlfn.SINGLE(_xll.ciqfunctions.udf.CIQ(A1398,"IQ_total_assets",IQ_FY)) - _xlfn.SINGLE(_xll.ciqfunctions.udf.CIQ(A1398,"iq_gw_intan", IQ_FY)))/I1408, (_xlfn.SINGLE(_xll.ciqfunctions.udf.CIQ(A1398, "IQ_total_assets",IQ_LTM))-_xlfn.SINGLE(_xll.ciqfunctions.udf.CIQ(A1398,"iq_gw_intan",IQ_LTM)))/I1408))</f>
        <v>4.2424221772331107E-2</v>
      </c>
      <c r="Y1404" s="18"/>
      <c r="Z1404" s="38" t="s">
        <v>29</v>
      </c>
      <c r="AA1404" s="4">
        <f>(AVERAGE(P1403:P1408)/_xlfn.STDEV.P(P1403:P1408))/(IF(A1406=A1407,(_xlfn.SINGLE(_xll.ciqfunctions.udf.CIQ(A1398,"IQ_total_assets",IQ_FY)) - _xlfn.SINGLE(_xll.ciqfunctions.udf.CIQ(A1398,"iq_gw_intan", IQ_FY)))/I1408, (_xlfn.SINGLE(_xll.ciqfunctions.udf.CIQ(A1398, "IQ_total_assets",IQ_LTM))-_xlfn.SINGLE(_xll.ciqfunctions.udf.CIQ(A1398,"iq_gw_intan",IQ_LTM)))/I1408))</f>
        <v>4.2424221772331107E-2</v>
      </c>
    </row>
    <row r="1405" spans="1:27">
      <c r="A1405" s="18"/>
      <c r="B1405" s="13">
        <v>8</v>
      </c>
      <c r="C1405" s="14" t="s">
        <v>30</v>
      </c>
      <c r="D1405" s="15" cm="1">
        <f t="array" ref="D1405">_xlfn.SINGLE(IF(A1406=A1407,_xll.ciqfunctions.udf.CIQ(A1398,"IQ_TOTAL_REV",IQ_FY-3)/I1405, _xll.ciqfunctions.udf.CIQ(A1398, "IQ_TOTAL_REV",IQ_FY-2)/I1405))</f>
        <v>7.7990590577098926</v>
      </c>
      <c r="E1405" s="16">
        <f t="shared" si="375"/>
        <v>3.259090562908161E-2</v>
      </c>
      <c r="F1405" s="15">
        <f>IF(A1406=A1407,_xll.ciqfunctions.udf.CIQ(A1398,"IQ_DILUT_EPS_EXCL",IQ_FY-3), _xll.ciqfunctions.udf.CIQ(A1398, "IQ_DILUT_EPS_EXCL",IQ_FY-2))</f>
        <v>-0.69179999999999997</v>
      </c>
      <c r="G1405" s="15">
        <f>IF(A1406=A1407,_xll.ciqfunctions.udf.CIQ(A1398,"IQ_EBITDA_MARGIN",IQ_FY-3), _xll.ciqfunctions.udf.CIQ(A1398, "IQ_EBITDA_MARGIN",IQ_FY-2))</f>
        <v>15.7258</v>
      </c>
      <c r="H1405" s="15">
        <f>IF(A1406=A1407,_xll.ciqfunctions.udf.CIQ(A1398,"IQ_TOTAL_DIV_PAID_CF",IQ_FY-3)/-I1405, _xll.ciqfunctions.udf.CIQ(A1398, "IQ_TOTAL_DIV_PAID_CF",IQ_FY-2)/-I1405)</f>
        <v>0</v>
      </c>
      <c r="I1405" s="17">
        <f>IF(A1406=A1407,_xll.ciqfunctions.udf.CIQ(A1398,"IQ_TOTAL_OUTSTANDING_FILING_DATE",IQ_FY-3), _xll.ciqfunctions.udf.CIQ(A1398, "IQ_TOTAL_OUTSTANDING_FILING_DATE",IQ_FY-2))</f>
        <v>67.961659999999995</v>
      </c>
      <c r="J1405" s="17">
        <f>IF(A1406=A1407,_xll.ciqfunctions.udf.CIQ(A1398,"IQ_CASH_OPER",IQ_FY-3), _xll.ciqfunctions.udf.CIQ(A1398, "IQ_CASH_OPER",IQ_FY-2))</f>
        <v>171.39699999999999</v>
      </c>
      <c r="K1405" s="17">
        <f>IF(A1406=A1407,_xll.ciqfunctions.udf.CIQ(A1398,"IQ_CAPEX",IQ_FY-3), _xll.ciqfunctions.udf.CIQ(A1398, "IQ_CAPEX",IQ_FY-2))</f>
        <v>-17.573</v>
      </c>
      <c r="L1405" s="15">
        <f t="shared" si="372"/>
        <v>2.2633938017405697</v>
      </c>
      <c r="M1405" s="17">
        <f>IF(A1406=A1407,_xll.ciqfunctions.udf.CIQ(A1398,"IQ_TOTAL_DEBT_ISSUED",IQ_FY-3), _xll.ciqfunctions.udf.CIQ(A1398, "IQ_TOTAL_DEBT_ISSUED",IQ_FY-2))</f>
        <v>0</v>
      </c>
      <c r="N1405" s="17">
        <f>IF(A1406=A1407,_xll.ciqfunctions.udf.CIQ(A1398,"IQ_TOTAL_DEBT_REPAID",IQ_FY-3), _xll.ciqfunctions.udf.CIQ(A1398, "IQ_TOTAL_DEBT_REPAID",IQ_FY-2))</f>
        <v>-8.593</v>
      </c>
      <c r="O1405" s="15">
        <f t="shared" si="373"/>
        <v>-0.12643893630614675</v>
      </c>
      <c r="P1405" s="15">
        <f t="shared" si="374"/>
        <v>2.136954865434423</v>
      </c>
      <c r="Q1405" s="18"/>
      <c r="R1405" s="39" t="s">
        <v>31</v>
      </c>
      <c r="S1405" s="5">
        <f>IF(NOT(D1398&gt;0),FALSE,SLOPE(G1398:G1408,B1398:B1408))</f>
        <v>1.0056245454545456</v>
      </c>
      <c r="U1405" s="18"/>
      <c r="V1405" s="39" t="s">
        <v>31</v>
      </c>
      <c r="W1405" s="5">
        <f>IF(NOT(D1398&gt;0),FALSE,SLOPE(G1398:G1408,B1398:B1408))</f>
        <v>1.0056245454545456</v>
      </c>
      <c r="Y1405" s="18"/>
      <c r="Z1405" s="39" t="s">
        <v>31</v>
      </c>
      <c r="AA1405" s="5">
        <f>IF(NOT(L1398&gt;0),FALSE,SLOPE(O1398:O1408,J1398:J1408))</f>
        <v>-1.573172206048298E-2</v>
      </c>
    </row>
    <row r="1406" spans="1:27">
      <c r="A1406" s="19">
        <f>_xll.ciqfunctions.udf.CIQ(A1398,"IQ_TOTAL_REV",IQ_FY)</f>
        <v>648.40700000000004</v>
      </c>
      <c r="B1406" s="13">
        <v>9</v>
      </c>
      <c r="C1406" s="14" t="s">
        <v>32</v>
      </c>
      <c r="D1406" s="15" cm="1">
        <f t="array" ref="D1406">_xlfn.SINGLE(IF(A1406=A1407,_xll.ciqfunctions.udf.CIQ(A1398,"IQ_TOTAL_REV",IQ_FY-2)/I1406, _xll.ciqfunctions.udf.CIQ(A1398, "IQ_TOTAL_REV",IQ_FY-1)/I1406))</f>
        <v>8.7186580748073261</v>
      </c>
      <c r="E1406" s="16">
        <f t="shared" si="375"/>
        <v>0.11791153398028807</v>
      </c>
      <c r="F1406" s="15">
        <f>IF(A1406=A1407,_xll.ciqfunctions.udf.CIQ(A1398,"IQ_DILUT_EPS_EXCL",IQ_FY-2), _xll.ciqfunctions.udf.CIQ(A1398, "IQ_DILUT_EPS_EXCL",IQ_FY-1))</f>
        <v>0.54</v>
      </c>
      <c r="G1406" s="15">
        <f>IF(A1406=A1407,_xll.ciqfunctions.udf.CIQ(A1398,"IQ_EBITDA_MARGIN",IQ_FY-2), _xll.ciqfunctions.udf.CIQ(A1398, "IQ_EBITDA_MARGIN",IQ_FY-1))</f>
        <v>24.872299999999999</v>
      </c>
      <c r="H1406" s="15">
        <f>IF(A1406=A1407,_xll.ciqfunctions.udf.CIQ(A1398,"IQ_TOTAL_DIV_PAID_CF",IQ_FY-2)/-I1406, _xll.ciqfunctions.udf.CIQ(A1398, "IQ_TOTAL_DIV_PAID_CF",IQ_FY-1)/-I1406)</f>
        <v>0</v>
      </c>
      <c r="I1406" s="17">
        <f>IF(A1406=A1407,_xll.ciqfunctions.udf.CIQ(A1398,"IQ_TOTAL_OUTSTANDING_FILING_DATE",IQ_FY-2), _xll.ciqfunctions.udf.CIQ(A1398, "IQ_TOTAL_OUTSTANDING_FILING_DATE",IQ_FY-1))</f>
        <v>69.611630000000005</v>
      </c>
      <c r="J1406" s="17">
        <f>IF(A1406=A1407,_xll.ciqfunctions.udf.CIQ(A1398,"IQ_CASH_OPER",IQ_FY-2), _xll.ciqfunctions.udf.CIQ(A1398, "IQ_CASH_OPER",IQ_FY-1))</f>
        <v>148.41200000000001</v>
      </c>
      <c r="K1406" s="17">
        <f>IF(A1406=A1407,_xll.ciqfunctions.udf.CIQ(A1398,"IQ_CAPEX",IQ_FY-2), _xll.ciqfunctions.udf.CIQ(A1398, "IQ_CAPEX",IQ_FY-1))</f>
        <v>-17.954000000000001</v>
      </c>
      <c r="L1406" s="15">
        <f t="shared" si="372"/>
        <v>1.8740833966967874</v>
      </c>
      <c r="M1406" s="17">
        <f>IF(A1406=A1407,_xll.ciqfunctions.udf.CIQ(A1398,"IQ_TOTAL_DEBT_ISSUED",IQ_FY-2), _xll.ciqfunctions.udf.CIQ(A1398, "IQ_TOTAL_DEBT_ISSUED",IQ_FY-1))</f>
        <v>450</v>
      </c>
      <c r="N1406" s="17">
        <f>IF(A1406=A1407,_xll.ciqfunctions.udf.CIQ(A1398,"IQ_TOTAL_DEBT_REPAID",IQ_FY-2), _xll.ciqfunctions.udf.CIQ(A1398, "IQ_TOTAL_DEBT_REPAID",IQ_FY-1))</f>
        <v>-546.68899999999996</v>
      </c>
      <c r="O1406" s="15">
        <f t="shared" si="373"/>
        <v>-1.3889776751384784</v>
      </c>
      <c r="P1406" s="15">
        <f t="shared" si="374"/>
        <v>0.485105721558309</v>
      </c>
      <c r="Q1406" s="25" t="s">
        <v>33</v>
      </c>
      <c r="R1406" s="38" t="s">
        <v>52</v>
      </c>
      <c r="S1406" s="4">
        <f>(AVERAGE(O1403:O1408)/AVERAGE(P1403:P1408))</f>
        <v>-0.79166262568343981</v>
      </c>
      <c r="U1406" s="25" t="s">
        <v>54</v>
      </c>
      <c r="V1406" s="38" t="s">
        <v>52</v>
      </c>
      <c r="W1406" s="4">
        <f>(AVERAGE(O1403:O1408)/AVERAGE(P1403:P1408))</f>
        <v>-0.79166262568343981</v>
      </c>
      <c r="Y1406" s="25" t="s">
        <v>60</v>
      </c>
      <c r="Z1406" s="38" t="s">
        <v>52</v>
      </c>
      <c r="AA1406" s="4">
        <f>(AVERAGE(O1403:O1408)/AVERAGE(P1403:P1408))</f>
        <v>-0.79166262568343981</v>
      </c>
    </row>
    <row r="1407" spans="1:27">
      <c r="A1407" s="19">
        <f>_xll.ciqfunctions.udf.CIQ(A1398,"IQ_TOTAL_REV",IQ_LTM)</f>
        <v>648.40700000000004</v>
      </c>
      <c r="B1407" s="13">
        <v>10</v>
      </c>
      <c r="C1407" s="14" t="s">
        <v>34</v>
      </c>
      <c r="D1407" s="15" cm="1">
        <f t="array" ref="D1407">_xlfn.SINGLE(IF(A1406=A1407,_xll.ciqfunctions.udf.CIQ(A1398,"IQ_TOTAL_REV",IQ_FY-1)/I1407, _xll.ciqfunctions.udf.CIQ(A1398, "IQ_TOTAL_REV",IQ_FY)/I1407))</f>
        <v>9.5540554040970491</v>
      </c>
      <c r="E1407" s="16">
        <f t="shared" si="375"/>
        <v>9.5817191375312014E-2</v>
      </c>
      <c r="F1407" s="15">
        <f>IF(A1406=A1407,_xll.ciqfunctions.udf.CIQ(A1398,"IQ_DILUT_EPS_EXCL",IQ_FY-1), _xll.ciqfunctions.udf.CIQ(A1398, "IQ_DILUT_EPS_EXCL",IQ_FY))</f>
        <v>6.18</v>
      </c>
      <c r="G1407" s="15">
        <f>IF(A1406=A1407,_xll.ciqfunctions.udf.CIQ(A1398,"IQ_EBITDA_MARGIN",IQ_FY-1), _xll.ciqfunctions.udf.CIQ(A1398, "IQ_EBITDA_MARGIN",IQ_FY))</f>
        <v>28.200700000000001</v>
      </c>
      <c r="H1407" s="15">
        <f>IF(A1406=A1407,_xll.ciqfunctions.udf.CIQ(A1398,"IQ_TOTAL_DIV_PAID_CF",IQ_FY-1)/-I1407, _xll.ciqfunctions.udf.CIQ(A1398, "IQ_TOTAL_DIV_PAID_CF",IQ_FY)/-I1407)</f>
        <v>0</v>
      </c>
      <c r="I1407" s="17">
        <f>IF(A1406=A1407,_xll.ciqfunctions.udf.CIQ(A1398,"IQ_TOTAL_OUTSTANDING_FILING_DATE",IQ_FY-1), _xll.ciqfunctions.udf.CIQ(A1398, "IQ_TOTAL_OUTSTANDING_FILING_DATE",IQ_FY))</f>
        <v>70.668419999999998</v>
      </c>
      <c r="J1407" s="17">
        <f>IF(A1406=A1407,_xll.ciqfunctions.udf.CIQ(A1398,"IQ_CASH_OPER",IQ_FY-1), _xll.ciqfunctions.udf.CIQ(A1398, "IQ_CASH_OPER",IQ_FY))</f>
        <v>176.982</v>
      </c>
      <c r="K1407" s="17">
        <f>IF(A1406=A1407,_xll.ciqfunctions.udf.CIQ(A1398,"IQ_CAPEX",IQ_FY-1), _xll.ciqfunctions.udf.CIQ(A1398, "IQ_CAPEX",IQ_FY))</f>
        <v>-26.513000000000002</v>
      </c>
      <c r="L1407" s="15">
        <f t="shared" si="372"/>
        <v>2.129225472990623</v>
      </c>
      <c r="M1407" s="17">
        <f>IF(A1406=A1407,_xll.ciqfunctions.udf.CIQ(A1398,"IQ_TOTAL_DEBT_ISSUED",IQ_FY-1), _xll.ciqfunctions.udf.CIQ(A1398, "IQ_TOTAL_DEBT_ISSUED",IQ_FY))</f>
        <v>0</v>
      </c>
      <c r="N1407" s="17">
        <f>IF(A1406=A1407,_xll.ciqfunctions.udf.CIQ(A1398,"IQ_TOTAL_DEBT_REPAID",IQ_FY-1), _xll.ciqfunctions.udf.CIQ(A1398, "IQ_TOTAL_DEBT_REPAID",IQ_FY))</f>
        <v>-0.95699999999999996</v>
      </c>
      <c r="O1407" s="15">
        <f t="shared" si="373"/>
        <v>-1.3542116832384253E-2</v>
      </c>
      <c r="P1407" s="15">
        <f t="shared" si="374"/>
        <v>2.1156833561582387</v>
      </c>
      <c r="Q1407" s="25" t="s">
        <v>44</v>
      </c>
      <c r="R1407" s="38" t="s">
        <v>35</v>
      </c>
      <c r="S1407" s="1">
        <f>_xll.ciqfunctions.udf.CIQ(A1398,"IQ_TEV_EBITDA")</f>
        <v>33.787950000000002</v>
      </c>
      <c r="U1407" s="25" t="s">
        <v>55</v>
      </c>
      <c r="V1407" s="38" t="s">
        <v>53</v>
      </c>
      <c r="W1407" s="1">
        <f>V1397/(AVERAGE(D1403:D1408)/_xlfn.STDEV.P(E1403:E1408))</f>
        <v>1.1322877128848092</v>
      </c>
      <c r="Y1407" s="25" t="s">
        <v>57</v>
      </c>
      <c r="Z1407" s="38" t="s">
        <v>53</v>
      </c>
      <c r="AA1407" s="1">
        <f>Z1397/(AVERAGE(D1403:D1408)/_xlfn.STDEV.P(E1403:E1408))</f>
        <v>1.1322877128848092</v>
      </c>
    </row>
    <row r="1408" spans="1:27">
      <c r="B1408" s="13">
        <v>11</v>
      </c>
      <c r="C1408" s="20" t="s">
        <v>36</v>
      </c>
      <c r="D1408" s="21" cm="1">
        <f t="array" ref="D1408">_xlfn.SINGLE(IF(A1406=A1407,_xll.ciqfunctions.udf.CIQ(A1398,"IQ_TOTAL_REV",IQ_FY)/I1408, _xll.ciqfunctions.udf.CIQ(A1398, "IQ_TOTAL_REV",IQ_LTM)/I1408))</f>
        <v>9.1057988595124097</v>
      </c>
      <c r="E1408" s="22">
        <f t="shared" si="375"/>
        <v>-4.6917934387570567E-2</v>
      </c>
      <c r="F1408" s="21">
        <f>IF(A1406=A1407,_xll.ciqfunctions.udf.CIQ(A1398,"IQ_DILUT_EPS_EXCL",IQ_FY), _xll.ciqfunctions.udf.CIQ(A1398, "IQ_DILUT_EPS_EXCL",IQ_LTM))</f>
        <v>1.28</v>
      </c>
      <c r="G1408" s="21">
        <f>IF(A1406=A1407,_xll.ciqfunctions.udf.CIQ(A1398,"IQ_EBITDA_MARGIN",IQ_FY), _xll.ciqfunctions.udf.CIQ(A1398, "IQ_EBITDA_MARGIN",IQ_LTM))</f>
        <v>26.025700000000001</v>
      </c>
      <c r="H1408" s="21">
        <f>IF(A1406=A1407,_xll.ciqfunctions.udf.CIQ(A1398,"IQ_TOTAL_DIV_PAID_CF",IQ_FY)/-I1408, _xll.ciqfunctions.udf.CIQ(A1398, "IQ_TOTAL_DIV_PAID_CF",IQ_LTM)/-I1408)</f>
        <v>0</v>
      </c>
      <c r="I1408" s="23">
        <f>IF(A1406=A1407,_xll.ciqfunctions.udf.CIQ(A1398,"IQ_TOTAL_OUTSTANDING_FILING_DATE",IQ_FY),_xll.ciqfunctions.udf.CIQ(A1398,"IQ_sharesoutstanding"))</f>
        <v>71.20814</v>
      </c>
      <c r="J1408" s="23">
        <f>IF(A1406=A1407,_xll.ciqfunctions.udf.CIQ(A1398,"IQ_CASH_OPER",IQ_FY), _xll.ciqfunctions.udf.CIQ(A1398, "IQ_CASH_OPER",IQ_LTM))</f>
        <v>166.917</v>
      </c>
      <c r="K1408" s="23">
        <f>IF(A1406=A1407,_xll.ciqfunctions.udf.CIQ(A1398,"IQ_CAPEX",IQ_FY), _xll.ciqfunctions.udf.CIQ(A1398, "IQ_CAPEX",IQ_LTM))</f>
        <v>-24.699000000000002</v>
      </c>
      <c r="L1408" s="21">
        <f t="shared" si="372"/>
        <v>1.9972154868811345</v>
      </c>
      <c r="M1408" s="23">
        <f>IF(A1406=A1407,_xll.ciqfunctions.udf.CIQ(A1398,"IQ_TOTAL_DEBT_ISSUED",IQ_FY), _xll.ciqfunctions.udf.CIQ(A1398, "IQ_TOTAL_DEBT_ISSUED",IQ_LTM))</f>
        <v>0</v>
      </c>
      <c r="N1408" s="23">
        <f>IF(A1406=A1407,_xll.ciqfunctions.udf.CIQ(A1398,"IQ_TOTAL_DEBT_REPAID",IQ_FY), _xll.ciqfunctions.udf.CIQ(A1398, "IQ_TOTAL_DEBT_REPAID",IQ_LTM))</f>
        <v>-121.97499999999999</v>
      </c>
      <c r="O1408" s="21">
        <f t="shared" si="373"/>
        <v>-1.7129361895985487</v>
      </c>
      <c r="P1408" s="21">
        <f t="shared" si="374"/>
        <v>0.28427929728258583</v>
      </c>
      <c r="Q1408" s="25" t="s">
        <v>45</v>
      </c>
      <c r="S1408" s="45"/>
      <c r="U1408" s="25"/>
      <c r="W1408" s="45"/>
      <c r="Y1408" s="25"/>
      <c r="AA1408" s="45"/>
    </row>
    <row r="1409" spans="1:27">
      <c r="B1409" s="24"/>
      <c r="C1409" s="25" t="s">
        <v>37</v>
      </c>
      <c r="E1409" s="26">
        <f>((D1408/D1403)^(1/5))-1</f>
        <v>7.9745116343123978E-3</v>
      </c>
      <c r="F1409" s="27">
        <f>((F1408/F1403)^(1/5))-1</f>
        <v>-1.8767062212243897</v>
      </c>
      <c r="G1409" s="28"/>
      <c r="H1409" s="27" t="e">
        <f>((H1408/H1403)^(1/5))-1</f>
        <v>#DIV/0!</v>
      </c>
      <c r="I1409" s="27">
        <f>((I1408/I1403)^(1/5))-1</f>
        <v>1.7851426804625259E-2</v>
      </c>
      <c r="J1409" s="27"/>
      <c r="K1409" s="27"/>
      <c r="L1409" s="26">
        <f>((L1408/L1403)^(1/5))-1</f>
        <v>-2.506948379765447</v>
      </c>
      <c r="M1409" s="26"/>
      <c r="N1409" s="26"/>
      <c r="O1409" s="26"/>
      <c r="P1409" s="26">
        <f>((P1408/P1403)^(1/5))-1</f>
        <v>-1.9814359697965502</v>
      </c>
      <c r="Q1409" s="18"/>
      <c r="R1409" s="36"/>
      <c r="S1409" s="45"/>
      <c r="U1409" s="18"/>
      <c r="V1409" s="36"/>
      <c r="W1409" s="45"/>
      <c r="Y1409" s="18"/>
      <c r="Z1409" s="36"/>
      <c r="AA1409" s="45"/>
    </row>
    <row r="1410" spans="1:27">
      <c r="A1410" s="29"/>
      <c r="B1410" s="30"/>
      <c r="C1410" s="31" t="s">
        <v>38</v>
      </c>
      <c r="D1410" s="29"/>
      <c r="E1410" s="32">
        <f>((D1408/D1398)^(1/10))-1</f>
        <v>5.6993568600052447E-2</v>
      </c>
      <c r="F1410" s="33">
        <f>((F1408/F1398)^(1/10))-1</f>
        <v>0.36263078867540344</v>
      </c>
      <c r="G1410" s="34"/>
      <c r="H1410" s="33" t="e">
        <f>((H1408/H1398)^(1/10))-1</f>
        <v>#DIV/0!</v>
      </c>
      <c r="I1410" s="33">
        <f>((I1408/I1398)^(1/10))-1</f>
        <v>4.3770240312035025E-2</v>
      </c>
      <c r="J1410" s="33"/>
      <c r="K1410" s="33"/>
      <c r="L1410" s="32">
        <f>((L1408/L1398)^(1/10))-1</f>
        <v>0.18786246466842083</v>
      </c>
      <c r="M1410" s="32"/>
      <c r="N1410" s="32"/>
      <c r="O1410" s="32"/>
      <c r="P1410" s="32">
        <f>((P1408/P1398)^(1/10))-1</f>
        <v>-2.2541809523419221E-2</v>
      </c>
      <c r="Q1410" s="40"/>
      <c r="R1410" s="41"/>
      <c r="S1410" s="46"/>
      <c r="U1410" s="40"/>
      <c r="V1410" s="41"/>
      <c r="W1410" s="46"/>
      <c r="Y1410" s="40"/>
      <c r="Z1410" s="41"/>
      <c r="AA1410" s="46"/>
    </row>
    <row r="1411" spans="1:27">
      <c r="B1411" s="24"/>
      <c r="C1411" s="25"/>
      <c r="E1411" s="26"/>
      <c r="F1411" s="27"/>
      <c r="G1411" s="28"/>
      <c r="H1411" s="27"/>
      <c r="I1411" s="27"/>
      <c r="J1411" s="27"/>
      <c r="K1411" s="27"/>
      <c r="L1411" s="26"/>
      <c r="M1411" s="17"/>
      <c r="N1411" s="17"/>
      <c r="O1411" s="17"/>
      <c r="P1411" s="35"/>
      <c r="Q1411" s="18"/>
      <c r="R1411" s="36"/>
    </row>
    <row r="1412" spans="1:27">
      <c r="A1412" s="9" t="s">
        <v>0</v>
      </c>
      <c r="B1412" s="10"/>
      <c r="C1412" s="9" t="s">
        <v>1</v>
      </c>
      <c r="D1412" s="9" t="s">
        <v>2</v>
      </c>
      <c r="E1412" s="9" t="s">
        <v>3</v>
      </c>
      <c r="F1412" s="11" t="s">
        <v>4</v>
      </c>
      <c r="G1412" s="11" t="s">
        <v>5</v>
      </c>
      <c r="H1412" s="9" t="s">
        <v>6</v>
      </c>
      <c r="I1412" s="11" t="s">
        <v>7</v>
      </c>
      <c r="J1412" s="11" t="s">
        <v>8</v>
      </c>
      <c r="K1412" s="11" t="s">
        <v>9</v>
      </c>
      <c r="L1412" s="11" t="s">
        <v>10</v>
      </c>
      <c r="M1412" s="11" t="s">
        <v>11</v>
      </c>
      <c r="N1412" s="11" t="s">
        <v>12</v>
      </c>
      <c r="O1412" s="11" t="s">
        <v>13</v>
      </c>
      <c r="P1412" s="11" t="s">
        <v>14</v>
      </c>
      <c r="Q1412" s="37" t="s">
        <v>15</v>
      </c>
      <c r="R1412" s="42">
        <f>_xll.ciqfunctions.udf.CIQ(A1413,("IQ_LASTSALEPRICE"))</f>
        <v>68.385999999999996</v>
      </c>
      <c r="S1412" s="44"/>
      <c r="U1412" s="37" t="s">
        <v>15</v>
      </c>
      <c r="V1412" s="42">
        <f>_xll.ciqfunctions.udf.CIQ(A1413,("IQ_LASTSALEPRICE"))</f>
        <v>68.385999999999996</v>
      </c>
      <c r="W1412" s="44"/>
      <c r="Y1412" s="37" t="s">
        <v>15</v>
      </c>
      <c r="Z1412" s="42">
        <f>_xll.ciqfunctions.udf.CIQ(A1413,("IQ_LASTSALEPRICE"))</f>
        <v>68.385999999999996</v>
      </c>
      <c r="AA1412" s="44"/>
    </row>
    <row r="1413" spans="1:27">
      <c r="A1413" s="12" t="str">
        <f>Analysis!B96</f>
        <v>NasdaqGS:RMBS</v>
      </c>
      <c r="B1413" s="13">
        <v>1</v>
      </c>
      <c r="C1413" s="14" t="s">
        <v>16</v>
      </c>
      <c r="D1413" s="15">
        <f>IF(A1421=A1422,_xll.ciqfunctions.udf.CIQ(A1413,"IQ_TOTAL_REV",IQ_FY-10)/I1413,_xll.ciqfunctions.udf.CIQ(A1413, "IQ_TOTAL_REV",IQ_FY-9)/I1413)</f>
        <v>2.3924205576108166</v>
      </c>
      <c r="E1413" s="16"/>
      <c r="F1413" s="15">
        <f>IF(A1421=A1422,_xll.ciqfunctions.udf.CIQ(A1413,"IQ_DILUT_EPS_EXCL",IQ_FY-10), _xll.ciqfunctions.udf.CIQ(A1413, "IQ_DILUT_EPS_EXCL",IQ_FY-9))</f>
        <v>-0.30020999999999998</v>
      </c>
      <c r="G1413" s="15">
        <f>IF(A1421=A1422,_xll.ciqfunctions.udf.CIQ(A1413,"IQ_EBITDA_MARGIN",IQ_FY-10), _xll.ciqfunctions.udf.CIQ(A1413, "IQ_EBITDA_MARGIN",IQ_FY-9))</f>
        <v>31.5276</v>
      </c>
      <c r="H1413" s="15">
        <f>IF(A1421=A1422,_xll.ciqfunctions.udf.CIQ(A1413,"IQ_TOTAL_DIV_PAID_CF",IQ_FY-10)/-I1413, _xll.ciqfunctions.udf.CIQ(A1413, "IQ_TOTAL_DIV_PAID_CF",IQ_FY-9)/-I1413)</f>
        <v>0</v>
      </c>
      <c r="I1413" s="17">
        <f>IF(A1421=A1422,_xll.ciqfunctions.udf.CIQ(A1413,"IQ_TOTAL_OUTSTANDING_FILING_DATE",IQ_FY-10), _xll.ciqfunctions.udf.CIQ(A1413, "IQ_TOTAL_OUTSTANDING_FILING_DATE",IQ_FY-9))</f>
        <v>113.48381000000001</v>
      </c>
      <c r="J1413" s="17">
        <f>IF(A1421=A1422,_xll.ciqfunctions.udf.CIQ(A1413,"IQ_CASH_OPER",IQ_FY-10), _xll.ciqfunctions.udf.CIQ(A1413, "IQ_CASH_OPER",IQ_FY-9))</f>
        <v>51.042000000000002</v>
      </c>
      <c r="K1413" s="17">
        <f>IF(A1421=A1422,_xll.ciqfunctions.udf.CIQ(A1413,"IQ_CAPEX",IQ_FY-10), _xll.ciqfunctions.udf.CIQ(A1413, "IQ_CAPEX",IQ_FY-9))</f>
        <v>-6.9379999999999997</v>
      </c>
      <c r="L1413" s="15">
        <f t="shared" ref="L1413:L1423" si="376">(J1413+K1413)/I1413</f>
        <v>0.38863693420233247</v>
      </c>
      <c r="M1413" s="17">
        <f>IF(A1421=A1422,_xll.ciqfunctions.udf.CIQ(A1413,"IQ_TOTAL_DEBT_ISSUED",IQ_FY-10), _xll.ciqfunctions.udf.CIQ(A1413, "IQ_TOTAL_DEBT_ISSUED",IQ_FY-9))</f>
        <v>138</v>
      </c>
      <c r="N1413" s="17">
        <f>IF(A1421=A1422,_xll.ciqfunctions.udf.CIQ(A1413,"IQ_TOTAL_DEBT_REPAID",IQ_FY-10), _xll.ciqfunctions.udf.CIQ(A1413, "IQ_TOTAL_DEBT_REPAID",IQ_FY-9))</f>
        <v>-2.0070000000000001</v>
      </c>
      <c r="O1413" s="15">
        <f t="shared" ref="O1413:O1423" si="377">(M1413+N1413)/I1413</f>
        <v>1.1983471474917875</v>
      </c>
      <c r="P1413" s="15">
        <f t="shared" ref="P1413:P1423" si="378">L1413+O1413</f>
        <v>1.5869840816941201</v>
      </c>
      <c r="W1413" s="43"/>
      <c r="AA1413" s="43"/>
    </row>
    <row r="1414" spans="1:27">
      <c r="A1414" s="18" t="str">
        <f>_xll.ciqfunctions.udf.CIQ(A1413,"IQ_COMPANY_NAME")</f>
        <v>Rambus Inc.</v>
      </c>
      <c r="B1414" s="13">
        <v>2</v>
      </c>
      <c r="C1414" s="14" t="s">
        <v>17</v>
      </c>
      <c r="D1414" s="15">
        <f>IF(A1421=A1422,_xll.ciqfunctions.udf.CIQ(A1413,"IQ_TOTAL_REV",IQ_FY-9)/I1414, _xll.ciqfunctions.udf.CIQ(A1413, "IQ_TOTAL_REV",IQ_FY-8)/I1414)</f>
        <v>2.5735089931104191</v>
      </c>
      <c r="E1414" s="16">
        <f t="shared" ref="E1414:E1423" si="379">(D1414-D1413)/D1413</f>
        <v>7.5692559539133009E-2</v>
      </c>
      <c r="F1414" s="15">
        <f>IF(A1421=A1422,_xll.ciqfunctions.udf.CIQ(A1413,"IQ_DILUT_EPS_EXCL",IQ_FY-9), _xll.ciqfunctions.udf.CIQ(A1413, "IQ_DILUT_EPS_EXCL",IQ_FY-8))</f>
        <v>0.22</v>
      </c>
      <c r="G1414" s="15">
        <f>IF(A1421=A1422,_xll.ciqfunctions.udf.CIQ(A1413,"IQ_EBITDA_MARGIN",IQ_FY-9), _xll.ciqfunctions.udf.CIQ(A1413, "IQ_EBITDA_MARGIN",IQ_FY-8))</f>
        <v>37.112099999999998</v>
      </c>
      <c r="H1414" s="15">
        <f>IF(A1421=A1422,_xll.ciqfunctions.udf.CIQ(A1413,"IQ_TOTAL_DIV_PAID_CF",IQ_FY-9)/-I1414, _xll.ciqfunctions.udf.CIQ(A1413, "IQ_TOTAL_DIV_PAID_CF",IQ_FY-8)/-I1414)</f>
        <v>0</v>
      </c>
      <c r="I1414" s="17">
        <f>IF(A1421=A1422,_xll.ciqfunctions.udf.CIQ(A1413,"IQ_TOTAL_OUTSTANDING_FILING_DATE",IQ_FY-9), _xll.ciqfunctions.udf.CIQ(A1413, "IQ_TOTAL_OUTSTANDING_FILING_DATE",IQ_FY-8))</f>
        <v>115.23488</v>
      </c>
      <c r="J1414" s="17">
        <f>IF(A1421=A1422,_xll.ciqfunctions.udf.CIQ(A1413,"IQ_CASH_OPER",IQ_FY-9), _xll.ciqfunctions.udf.CIQ(A1413, "IQ_CASH_OPER",IQ_FY-8))</f>
        <v>76.466999999999999</v>
      </c>
      <c r="K1414" s="17">
        <f>IF(A1421=A1422,_xll.ciqfunctions.udf.CIQ(A1413,"IQ_CAPEX",IQ_FY-9), _xll.ciqfunctions.udf.CIQ(A1413, "IQ_CAPEX",IQ_FY-8))</f>
        <v>-7.2039999999999997</v>
      </c>
      <c r="L1414" s="15">
        <f t="shared" si="376"/>
        <v>0.60105933203557815</v>
      </c>
      <c r="M1414" s="17">
        <f>IF(A1421=A1422,_xll.ciqfunctions.udf.CIQ(A1413,"IQ_TOTAL_DEBT_ISSUED",IQ_FY-9), _xll.ciqfunctions.udf.CIQ(A1413, "IQ_TOTAL_DEBT_ISSUED",IQ_FY-8))</f>
        <v>0</v>
      </c>
      <c r="N1414" s="17">
        <f>IF(A1421=A1422,_xll.ciqfunctions.udf.CIQ(A1413,"IQ_TOTAL_DEBT_REPAID",IQ_FY-9), _xll.ciqfunctions.udf.CIQ(A1413, "IQ_TOTAL_DEBT_REPAID",IQ_FY-8))</f>
        <v>-174.595</v>
      </c>
      <c r="O1414" s="15">
        <f t="shared" si="377"/>
        <v>-1.5151228516921265</v>
      </c>
      <c r="P1414" s="15">
        <f t="shared" si="378"/>
        <v>-0.91406351965654831</v>
      </c>
      <c r="Q1414" s="25" t="s">
        <v>18</v>
      </c>
      <c r="R1414" s="39" t="s">
        <v>19</v>
      </c>
      <c r="S1414" s="1">
        <f>R1412/((AVERAGE(P1418:P1423))*(1+E1424)^3)</f>
        <v>57.909983597205937</v>
      </c>
      <c r="U1414" s="25" t="s">
        <v>48</v>
      </c>
      <c r="V1414" s="39" t="s">
        <v>19</v>
      </c>
      <c r="W1414" s="1">
        <f>V1412/((AVERAGE(P1418:P1423))*(1+E1424)^3)</f>
        <v>57.909983597205937</v>
      </c>
      <c r="Y1414" s="25" t="s">
        <v>39</v>
      </c>
      <c r="Z1414" s="39" t="s">
        <v>19</v>
      </c>
      <c r="AA1414" s="1">
        <f>Z1412/((AVERAGE(P1418:P1423))*(1+E1424)^3)</f>
        <v>57.909983597205937</v>
      </c>
    </row>
    <row r="1415" spans="1:27">
      <c r="B1415" s="13">
        <v>3</v>
      </c>
      <c r="C1415" s="14" t="s">
        <v>20</v>
      </c>
      <c r="D1415" s="15" cm="1">
        <f t="array" ref="D1415">_xlfn.SINGLE(IF(A1421=A1422,_xll.ciqfunctions.udf.CIQ(A1413,"IQ_TOTAL_REV",IQ_FY-8)/I1415, _xll.ciqfunctions.udf.CIQ(A1413, "IQ_TOTAL_REV",IQ_FY-7)/I1415))</f>
        <v>2.7053786427962052</v>
      </c>
      <c r="E1415" s="16">
        <f t="shared" si="379"/>
        <v>5.124118471659371E-2</v>
      </c>
      <c r="F1415" s="15">
        <f>IF(A1421=A1422,_xll.ciqfunctions.udf.CIQ(A1413,"IQ_DILUT_EPS_EXCL",IQ_FY-8), _xll.ciqfunctions.udf.CIQ(A1413, "IQ_DILUT_EPS_EXCL",IQ_FY-7))</f>
        <v>1.8</v>
      </c>
      <c r="G1415" s="15">
        <f>IF(A1421=A1422,_xll.ciqfunctions.udf.CIQ(A1413,"IQ_EBITDA_MARGIN",IQ_FY-8), _xll.ciqfunctions.udf.CIQ(A1413, "IQ_EBITDA_MARGIN",IQ_FY-7))</f>
        <v>36.0212</v>
      </c>
      <c r="H1415" s="15">
        <f>IF(A1421=A1422,_xll.ciqfunctions.udf.CIQ(A1413,"IQ_TOTAL_DIV_PAID_CF",IQ_FY-8)/-I1415, _xll.ciqfunctions.udf.CIQ(A1413, "IQ_TOTAL_DIV_PAID_CF",IQ_FY-7)/-I1415)</f>
        <v>0</v>
      </c>
      <c r="I1415" s="17">
        <f>IF(A1421=A1422,_xll.ciqfunctions.udf.CIQ(A1413,"IQ_TOTAL_OUTSTANDING_FILING_DATE",IQ_FY-8), _xll.ciqfunctions.udf.CIQ(A1413, "IQ_TOTAL_OUTSTANDING_FILING_DATE",IQ_FY-7))</f>
        <v>109.51443</v>
      </c>
      <c r="J1415" s="17">
        <f>IF(A1421=A1422,_xll.ciqfunctions.udf.CIQ(A1413,"IQ_CASH_OPER",IQ_FY-8), _xll.ciqfunctions.udf.CIQ(A1413, "IQ_CASH_OPER",IQ_FY-7))</f>
        <v>77.244</v>
      </c>
      <c r="K1415" s="17">
        <f>IF(A1421=A1422,_xll.ciqfunctions.udf.CIQ(A1413,"IQ_CAPEX",IQ_FY-8), _xll.ciqfunctions.udf.CIQ(A1413, "IQ_CAPEX",IQ_FY-7))</f>
        <v>-6.1319999999999997</v>
      </c>
      <c r="L1415" s="15">
        <f t="shared" si="376"/>
        <v>0.6493390870956457</v>
      </c>
      <c r="M1415" s="17">
        <f>IF(A1421=A1422,_xll.ciqfunctions.udf.CIQ(A1413,"IQ_TOTAL_DEBT_ISSUED",IQ_FY-8), _xll.ciqfunctions.udf.CIQ(A1413, "IQ_TOTAL_DEBT_ISSUED",IQ_FY-7))</f>
        <v>0</v>
      </c>
      <c r="N1415" s="17">
        <f>IF(A1421=A1422,_xll.ciqfunctions.udf.CIQ(A1413,"IQ_TOTAL_DEBT_REPAID",IQ_FY-8), _xll.ciqfunctions.udf.CIQ(A1413, "IQ_TOTAL_DEBT_REPAID",IQ_FY-7))</f>
        <v>-2.1949999999999998</v>
      </c>
      <c r="O1415" s="15">
        <f t="shared" si="377"/>
        <v>-2.0043020814699941E-2</v>
      </c>
      <c r="P1415" s="15">
        <f t="shared" si="378"/>
        <v>0.6292960662809457</v>
      </c>
      <c r="Q1415" s="25" t="s">
        <v>21</v>
      </c>
      <c r="R1415" s="38" t="s">
        <v>49</v>
      </c>
      <c r="S1415" s="2">
        <f>(R1412*I1423)/1000</f>
        <v>7.3521268866399998</v>
      </c>
      <c r="U1415" s="25" t="s">
        <v>59</v>
      </c>
      <c r="V1415" s="38" t="s">
        <v>49</v>
      </c>
      <c r="W1415" s="2">
        <f>(V1412*I1423)/1000</f>
        <v>7.3521268866399998</v>
      </c>
      <c r="Y1415" s="25" t="s">
        <v>46</v>
      </c>
      <c r="Z1415" s="38" t="s">
        <v>49</v>
      </c>
      <c r="AA1415" s="2">
        <f>(Z1412*I1423)/1000</f>
        <v>7.3521268866399998</v>
      </c>
    </row>
    <row r="1416" spans="1:27">
      <c r="A1416" s="18"/>
      <c r="B1416" s="13">
        <v>4</v>
      </c>
      <c r="C1416" s="14" t="s">
        <v>22</v>
      </c>
      <c r="D1416" s="15" cm="1">
        <f t="array" ref="D1416">_xlfn.SINGLE(IF(A1421=A1422,_xll.ciqfunctions.udf.CIQ(A1413,"IQ_TOTAL_REV",IQ_FY-7)/I1416, _xll.ciqfunctions.udf.CIQ(A1413, "IQ_TOTAL_REV",IQ_FY-6)/I1416))</f>
        <v>3.0275931688038553</v>
      </c>
      <c r="E1416" s="16">
        <f t="shared" si="379"/>
        <v>0.1191014525325808</v>
      </c>
      <c r="F1416" s="15">
        <f>IF(A1421=A1422,_xll.ciqfunctions.udf.CIQ(A1413,"IQ_DILUT_EPS_EXCL",IQ_FY-7), _xll.ciqfunctions.udf.CIQ(A1413, "IQ_DILUT_EPS_EXCL",IQ_FY-6))</f>
        <v>0.06</v>
      </c>
      <c r="G1416" s="15">
        <f>IF(A1421=A1422,_xll.ciqfunctions.udf.CIQ(A1413,"IQ_EBITDA_MARGIN",IQ_FY-7), _xll.ciqfunctions.udf.CIQ(A1413, "IQ_EBITDA_MARGIN",IQ_FY-6))</f>
        <v>28.111000000000001</v>
      </c>
      <c r="H1416" s="15">
        <f>IF(A1421=A1422,_xll.ciqfunctions.udf.CIQ(A1413,"IQ_TOTAL_DIV_PAID_CF",IQ_FY-7)/-I1416, _xll.ciqfunctions.udf.CIQ(A1413, "IQ_TOTAL_DIV_PAID_CF",IQ_FY-6)/-I1416)</f>
        <v>0</v>
      </c>
      <c r="I1416" s="17">
        <f>IF(A1421=A1422,_xll.ciqfunctions.udf.CIQ(A1413,"IQ_TOTAL_OUTSTANDING_FILING_DATE",IQ_FY-7), _xll.ciqfunctions.udf.CIQ(A1413, "IQ_TOTAL_OUTSTANDING_FILING_DATE",IQ_FY-6))</f>
        <v>111.17643</v>
      </c>
      <c r="J1416" s="17">
        <f>IF(A1421=A1422,_xll.ciqfunctions.udf.CIQ(A1413,"IQ_CASH_OPER",IQ_FY-7), _xll.ciqfunctions.udf.CIQ(A1413, "IQ_CASH_OPER",IQ_FY-6))</f>
        <v>95.602000000000004</v>
      </c>
      <c r="K1416" s="17">
        <f>IF(A1421=A1422,_xll.ciqfunctions.udf.CIQ(A1413,"IQ_CAPEX",IQ_FY-7), _xll.ciqfunctions.udf.CIQ(A1413, "IQ_CAPEX",IQ_FY-6))</f>
        <v>-8.5559999999999992</v>
      </c>
      <c r="L1416" s="15">
        <f t="shared" si="376"/>
        <v>0.78295372499368809</v>
      </c>
      <c r="M1416" s="17">
        <f>IF(A1421=A1422,_xll.ciqfunctions.udf.CIQ(A1413,"IQ_TOTAL_DEBT_ISSUED",IQ_FY-7), _xll.ciqfunctions.udf.CIQ(A1413, "IQ_TOTAL_DEBT_ISSUED",IQ_FY-6))</f>
        <v>0</v>
      </c>
      <c r="N1416" s="17">
        <f>IF(A1421=A1422,_xll.ciqfunctions.udf.CIQ(A1413,"IQ_TOTAL_DEBT_REPAID",IQ_FY-7), _xll.ciqfunctions.udf.CIQ(A1413, "IQ_TOTAL_DEBT_REPAID",IQ_FY-6))</f>
        <v>-0.66100000000000003</v>
      </c>
      <c r="O1416" s="15">
        <f t="shared" si="377"/>
        <v>-5.945504816083769E-3</v>
      </c>
      <c r="P1416" s="15">
        <f t="shared" si="378"/>
        <v>0.77700822017760429</v>
      </c>
      <c r="Q1416" s="25" t="s">
        <v>23</v>
      </c>
      <c r="R1416" s="38" t="s">
        <v>24</v>
      </c>
      <c r="S1416" s="1" t="e">
        <f>R1412/(AVERAGE(H1418:H1423)*(1+H1424)/(0.5-H1424))</f>
        <v>#DIV/0!</v>
      </c>
      <c r="U1416" s="25" t="s">
        <v>40</v>
      </c>
      <c r="V1416" s="38" t="s">
        <v>24</v>
      </c>
      <c r="W1416" s="1" t="e">
        <f>V1412/(AVERAGE(H1418:H1423)*(1+H1424)/(0.5-H1424))</f>
        <v>#DIV/0!</v>
      </c>
      <c r="Y1416" s="25" t="s">
        <v>47</v>
      </c>
      <c r="Z1416" s="38" t="s">
        <v>24</v>
      </c>
      <c r="AA1416" s="1" t="e">
        <f>Z1412/(AVERAGE(H1418:H1423)*(1+H1424)/(0.5-H1424))</f>
        <v>#DIV/0!</v>
      </c>
    </row>
    <row r="1417" spans="1:27">
      <c r="B1417" s="13">
        <v>5</v>
      </c>
      <c r="C1417" s="14" t="s">
        <v>25</v>
      </c>
      <c r="D1417" s="15" cm="1">
        <f t="array" ref="D1417">_xlfn.SINGLE(IF(A1421=A1422,_xll.ciqfunctions.udf.CIQ(A1413,"IQ_TOTAL_REV",IQ_FY-6)/I1417, _xll.ciqfunctions.udf.CIQ(A1413, "IQ_TOTAL_REV",IQ_FY-5)/I1417))</f>
        <v>3.578558580899097</v>
      </c>
      <c r="E1417" s="16">
        <f t="shared" si="379"/>
        <v>0.18198132357159388</v>
      </c>
      <c r="F1417" s="15">
        <f>IF(A1421=A1422,_xll.ciqfunctions.udf.CIQ(A1413,"IQ_DILUT_EPS_EXCL",IQ_FY-6), _xll.ciqfunctions.udf.CIQ(A1413, "IQ_DILUT_EPS_EXCL",IQ_FY-5))</f>
        <v>-0.21</v>
      </c>
      <c r="G1417" s="15">
        <f>IF(A1421=A1422,_xll.ciqfunctions.udf.CIQ(A1413,"IQ_EBITDA_MARGIN",IQ_FY-6), _xll.ciqfunctions.udf.CIQ(A1413, "IQ_EBITDA_MARGIN",IQ_FY-5))</f>
        <v>27.756799999999998</v>
      </c>
      <c r="H1417" s="15">
        <f>IF(A1421=A1422,_xll.ciqfunctions.udf.CIQ(A1413,"IQ_TOTAL_DIV_PAID_CF",IQ_FY-6)/-I1417, _xll.ciqfunctions.udf.CIQ(A1413, "IQ_TOTAL_DIV_PAID_CF",IQ_FY-5)/-I1417)</f>
        <v>0</v>
      </c>
      <c r="I1417" s="17">
        <f>IF(A1421=A1422,_xll.ciqfunctions.udf.CIQ(A1413,"IQ_TOTAL_OUTSTANDING_FILING_DATE",IQ_FY-6), _xll.ciqfunctions.udf.CIQ(A1413, "IQ_TOTAL_OUTSTANDING_FILING_DATE",IQ_FY-5))</f>
        <v>109.84757999999999</v>
      </c>
      <c r="J1417" s="17">
        <f>IF(A1421=A1422,_xll.ciqfunctions.udf.CIQ(A1413,"IQ_CASH_OPER",IQ_FY-6), _xll.ciqfunctions.udf.CIQ(A1413, "IQ_CASH_OPER",IQ_FY-5))</f>
        <v>117.437</v>
      </c>
      <c r="K1417" s="17">
        <f>IF(A1421=A1422,_xll.ciqfunctions.udf.CIQ(A1413,"IQ_CAPEX",IQ_FY-6), _xll.ciqfunctions.udf.CIQ(A1413, "IQ_CAPEX",IQ_FY-5))</f>
        <v>-9.3849999999999998</v>
      </c>
      <c r="L1417" s="15">
        <f t="shared" si="376"/>
        <v>0.98365389569802086</v>
      </c>
      <c r="M1417" s="17">
        <f>IF(A1421=A1422,_xll.ciqfunctions.udf.CIQ(A1413,"IQ_TOTAL_DEBT_ISSUED",IQ_FY-6), _xll.ciqfunctions.udf.CIQ(A1413, "IQ_TOTAL_DEBT_ISSUED",IQ_FY-5))</f>
        <v>172.5</v>
      </c>
      <c r="N1417" s="17">
        <f>IF(A1421=A1422,_xll.ciqfunctions.udf.CIQ(A1413,"IQ_TOTAL_DEBT_REPAID",IQ_FY-6), _xll.ciqfunctions.udf.CIQ(A1413, "IQ_TOTAL_DEBT_REPAID",IQ_FY-5))</f>
        <v>-73.117000000000004</v>
      </c>
      <c r="O1417" s="15">
        <f t="shared" si="377"/>
        <v>0.90473545252430687</v>
      </c>
      <c r="P1417" s="15">
        <f t="shared" si="378"/>
        <v>1.8883893482223277</v>
      </c>
      <c r="Q1417" s="18"/>
      <c r="R1417" s="38" t="s">
        <v>50</v>
      </c>
      <c r="S1417" s="3">
        <f>I1424</f>
        <v>-2.8289996079106094E-3</v>
      </c>
      <c r="U1417" s="18"/>
      <c r="V1417" s="38" t="s">
        <v>50</v>
      </c>
      <c r="W1417" s="3">
        <f>I1424</f>
        <v>-2.8289996079106094E-3</v>
      </c>
      <c r="Y1417" s="18"/>
      <c r="Z1417" s="38" t="s">
        <v>50</v>
      </c>
      <c r="AA1417" s="3">
        <f>I1424</f>
        <v>-2.8289996079106094E-3</v>
      </c>
    </row>
    <row r="1418" spans="1:27">
      <c r="B1418" s="13">
        <v>6</v>
      </c>
      <c r="C1418" s="14" t="s">
        <v>26</v>
      </c>
      <c r="D1418" s="15" cm="1">
        <f t="array" ref="D1418">_xlfn.SINGLE(IF(A1421=A1422,_xll.ciqfunctions.udf.CIQ(A1413,"IQ_TOTAL_REV",IQ_FY-5)/I1418, _xll.ciqfunctions.udf.CIQ(A1413, "IQ_TOTAL_REV",IQ_FY-4)/I1418))</f>
        <v>2.1202746257323373</v>
      </c>
      <c r="E1418" s="16">
        <f t="shared" si="379"/>
        <v>-0.40750596146462198</v>
      </c>
      <c r="F1418" s="15">
        <f>IF(A1421=A1422,_xll.ciqfunctions.udf.CIQ(A1413,"IQ_DILUT_EPS_EXCL",IQ_FY-5), _xll.ciqfunctions.udf.CIQ(A1413, "IQ_DILUT_EPS_EXCL",IQ_FY-4))</f>
        <v>-1.46</v>
      </c>
      <c r="G1418" s="15">
        <f>IF(A1421=A1422,_xll.ciqfunctions.udf.CIQ(A1413,"IQ_EBITDA_MARGIN",IQ_FY-5), _xll.ciqfunctions.udf.CIQ(A1413, "IQ_EBITDA_MARGIN",IQ_FY-4))</f>
        <v>-19.318200000000001</v>
      </c>
      <c r="H1418" s="15">
        <f>IF(A1421=A1422,_xll.ciqfunctions.udf.CIQ(A1413,"IQ_TOTAL_DIV_PAID_CF",IQ_FY-5)/-I1418, _xll.ciqfunctions.udf.CIQ(A1413, "IQ_TOTAL_DIV_PAID_CF",IQ_FY-4)/-I1418)</f>
        <v>0</v>
      </c>
      <c r="I1418" s="17">
        <f>IF(A1421=A1422,_xll.ciqfunctions.udf.CIQ(A1413,"IQ_TOTAL_OUTSTANDING_FILING_DATE",IQ_FY-5), _xll.ciqfunctions.udf.CIQ(A1413, "IQ_TOTAL_OUTSTANDING_FILING_DATE",IQ_FY-4))</f>
        <v>109.04295</v>
      </c>
      <c r="J1418" s="17">
        <f>IF(A1421=A1422,_xll.ciqfunctions.udf.CIQ(A1413,"IQ_CASH_OPER",IQ_FY-5), _xll.ciqfunctions.udf.CIQ(A1413, "IQ_CASH_OPER",IQ_FY-4))</f>
        <v>86.222999999999999</v>
      </c>
      <c r="K1418" s="17">
        <f>IF(A1421=A1422,_xll.ciqfunctions.udf.CIQ(A1413,"IQ_CAPEX",IQ_FY-5), _xll.ciqfunctions.udf.CIQ(A1413, "IQ_CAPEX",IQ_FY-4))</f>
        <v>-10.762</v>
      </c>
      <c r="L1418" s="15">
        <f t="shared" si="376"/>
        <v>0.69203006705156078</v>
      </c>
      <c r="M1418" s="17">
        <f>IF(A1421=A1422,_xll.ciqfunctions.udf.CIQ(A1413,"IQ_TOTAL_DEBT_ISSUED",IQ_FY-5), _xll.ciqfunctions.udf.CIQ(A1413, "IQ_TOTAL_DEBT_ISSUED",IQ_FY-4))</f>
        <v>0</v>
      </c>
      <c r="N1418" s="17">
        <f>IF(A1421=A1422,_xll.ciqfunctions.udf.CIQ(A1413,"IQ_TOTAL_DEBT_REPAID",IQ_FY-5), _xll.ciqfunctions.udf.CIQ(A1413, "IQ_TOTAL_DEBT_REPAID",IQ_FY-4))</f>
        <v>-82.287000000000006</v>
      </c>
      <c r="O1418" s="15">
        <f t="shared" si="377"/>
        <v>-0.75462925388573954</v>
      </c>
      <c r="P1418" s="15">
        <f t="shared" si="378"/>
        <v>-6.2599186834178755E-2</v>
      </c>
      <c r="Q1418" s="25" t="s">
        <v>27</v>
      </c>
      <c r="R1418" s="38" t="s">
        <v>51</v>
      </c>
      <c r="S1418" s="4">
        <f>AVERAGE(F1418:F1423)/AVERAGE(D1418:D1423)</f>
        <v>4.2111251583821516E-3</v>
      </c>
      <c r="U1418" s="25" t="s">
        <v>58</v>
      </c>
      <c r="V1418" s="38" t="s">
        <v>51</v>
      </c>
      <c r="W1418" s="4">
        <f>AVERAGE(F1418:F1423)/AVERAGE(D1418:D1423)</f>
        <v>4.2111251583821516E-3</v>
      </c>
      <c r="Y1418" s="25" t="s">
        <v>56</v>
      </c>
      <c r="Z1418" s="38" t="s">
        <v>51</v>
      </c>
      <c r="AA1418" s="4">
        <f>AVERAGE(F1418:F1423)/AVERAGE(D1418:D1423)</f>
        <v>4.2111251583821516E-3</v>
      </c>
    </row>
    <row r="1419" spans="1:27">
      <c r="A1419" s="18"/>
      <c r="B1419" s="13">
        <v>7</v>
      </c>
      <c r="C1419" s="14" t="s">
        <v>28</v>
      </c>
      <c r="D1419" s="15" cm="1">
        <f t="array" ref="D1419">_xlfn.SINGLE(IF(A1421=A1422,_xll.ciqfunctions.udf.CIQ(A1413,"IQ_TOTAL_REV",IQ_FY-4)/I1419, _xll.ciqfunctions.udf.CIQ(A1413, "IQ_TOTAL_REV",IQ_FY-3)/I1419))</f>
        <v>2.024406045671991</v>
      </c>
      <c r="E1419" s="16">
        <f t="shared" si="379"/>
        <v>-4.5215171137198092E-2</v>
      </c>
      <c r="F1419" s="15">
        <f>IF(A1421=A1422,_xll.ciqfunctions.udf.CIQ(A1413,"IQ_DILUT_EPS_EXCL",IQ_FY-4), _xll.ciqfunctions.udf.CIQ(A1413, "IQ_DILUT_EPS_EXCL",IQ_FY-3))</f>
        <v>-0.77481</v>
      </c>
      <c r="G1419" s="15">
        <f>IF(A1421=A1422,_xll.ciqfunctions.udf.CIQ(A1413,"IQ_EBITDA_MARGIN",IQ_FY-4), _xll.ciqfunctions.udf.CIQ(A1413, "IQ_EBITDA_MARGIN",IQ_FY-3))</f>
        <v>-17.301600000000001</v>
      </c>
      <c r="H1419" s="15">
        <f>IF(A1421=A1422,_xll.ciqfunctions.udf.CIQ(A1413,"IQ_TOTAL_DIV_PAID_CF",IQ_FY-4)/-I1419, _xll.ciqfunctions.udf.CIQ(A1413, "IQ_TOTAL_DIV_PAID_CF",IQ_FY-3)/-I1419)</f>
        <v>0</v>
      </c>
      <c r="I1419" s="17">
        <f>IF(A1421=A1422,_xll.ciqfunctions.udf.CIQ(A1413,"IQ_TOTAL_OUTSTANDING_FILING_DATE",IQ_FY-4), _xll.ciqfunctions.udf.CIQ(A1413, "IQ_TOTAL_OUTSTANDING_FILING_DATE",IQ_FY-3))</f>
        <v>112.42952</v>
      </c>
      <c r="J1419" s="17">
        <f>IF(A1421=A1422,_xll.ciqfunctions.udf.CIQ(A1413,"IQ_CASH_OPER",IQ_FY-4), _xll.ciqfunctions.udf.CIQ(A1413, "IQ_CASH_OPER",IQ_FY-3))</f>
        <v>128.535</v>
      </c>
      <c r="K1419" s="17">
        <f>IF(A1421=A1422,_xll.ciqfunctions.udf.CIQ(A1413,"IQ_CAPEX",IQ_FY-4), _xll.ciqfunctions.udf.CIQ(A1413, "IQ_CAPEX",IQ_FY-3))</f>
        <v>-6.4720000000000004</v>
      </c>
      <c r="L1419" s="15">
        <f t="shared" si="376"/>
        <v>1.0856846137918228</v>
      </c>
      <c r="M1419" s="17">
        <f>IF(A1421=A1422,_xll.ciqfunctions.udf.CIQ(A1413,"IQ_TOTAL_DEBT_ISSUED",IQ_FY-4), _xll.ciqfunctions.udf.CIQ(A1413, "IQ_TOTAL_DEBT_ISSUED",IQ_FY-3))</f>
        <v>0</v>
      </c>
      <c r="N1419" s="17">
        <f>IF(A1421=A1422,_xll.ciqfunctions.udf.CIQ(A1413,"IQ_TOTAL_DEBT_REPAID",IQ_FY-4), _xll.ciqfunctions.udf.CIQ(A1413, "IQ_TOTAL_DEBT_REPAID",IQ_FY-3))</f>
        <v>-8.3789999999999996</v>
      </c>
      <c r="O1419" s="15">
        <f t="shared" si="377"/>
        <v>-7.4526690143300447E-2</v>
      </c>
      <c r="P1419" s="15">
        <f t="shared" si="378"/>
        <v>1.0111579236485224</v>
      </c>
      <c r="Q1419" s="18"/>
      <c r="R1419" s="38" t="s">
        <v>29</v>
      </c>
      <c r="S1419" s="4">
        <f>(AVERAGE(P1418:P1423)/_xlfn.STDEV.P(P1418:P1423))/(IF(A1421=A1422,(_xlfn.SINGLE(_xll.ciqfunctions.udf.CIQ(A1413,"IQ_total_assets",IQ_FY)) - _xlfn.SINGLE(_xll.ciqfunctions.udf.CIQ(A1413,"iq_gw_intan", IQ_FY)))/I1423, (_xlfn.SINGLE(_xll.ciqfunctions.udf.CIQ(A1413, "IQ_total_assets",IQ_LTM))-_xlfn.SINGLE(_xll.ciqfunctions.udf.CIQ(A1413,"iq_gw_intan",IQ_LTM)))/I1423))</f>
        <v>0.12000659789177991</v>
      </c>
      <c r="U1419" s="18"/>
      <c r="V1419" s="38" t="s">
        <v>29</v>
      </c>
      <c r="W1419" s="4">
        <f>(AVERAGE(P1418:P1423)/_xlfn.STDEV.P(P1418:P1423))/(IF(A1421=A1422,(_xlfn.SINGLE(_xll.ciqfunctions.udf.CIQ(A1413,"IQ_total_assets",IQ_FY)) - _xlfn.SINGLE(_xll.ciqfunctions.udf.CIQ(A1413,"iq_gw_intan", IQ_FY)))/I1423, (_xlfn.SINGLE(_xll.ciqfunctions.udf.CIQ(A1413, "IQ_total_assets",IQ_LTM))-_xlfn.SINGLE(_xll.ciqfunctions.udf.CIQ(A1413,"iq_gw_intan",IQ_LTM)))/I1423))</f>
        <v>0.12000659789177991</v>
      </c>
      <c r="Y1419" s="18"/>
      <c r="Z1419" s="38" t="s">
        <v>29</v>
      </c>
      <c r="AA1419" s="4">
        <f>(AVERAGE(P1418:P1423)/_xlfn.STDEV.P(P1418:P1423))/(IF(A1421=A1422,(_xlfn.SINGLE(_xll.ciqfunctions.udf.CIQ(A1413,"IQ_total_assets",IQ_FY)) - _xlfn.SINGLE(_xll.ciqfunctions.udf.CIQ(A1413,"iq_gw_intan", IQ_FY)))/I1423, (_xlfn.SINGLE(_xll.ciqfunctions.udf.CIQ(A1413, "IQ_total_assets",IQ_LTM))-_xlfn.SINGLE(_xll.ciqfunctions.udf.CIQ(A1413,"iq_gw_intan",IQ_LTM)))/I1423))</f>
        <v>0.12000659789177991</v>
      </c>
    </row>
    <row r="1420" spans="1:27">
      <c r="A1420" s="18"/>
      <c r="B1420" s="13">
        <v>8</v>
      </c>
      <c r="C1420" s="14" t="s">
        <v>30</v>
      </c>
      <c r="D1420" s="15" cm="1">
        <f t="array" ref="D1420">_xlfn.SINGLE(IF(A1421=A1422,_xll.ciqfunctions.udf.CIQ(A1413,"IQ_TOTAL_REV",IQ_FY-3)/I1420, _xll.ciqfunctions.udf.CIQ(A1413, "IQ_TOTAL_REV",IQ_FY-2)/I1420))</f>
        <v>2.2046115674578632</v>
      </c>
      <c r="E1420" s="16">
        <f t="shared" si="379"/>
        <v>8.9016490625058356E-2</v>
      </c>
      <c r="F1420" s="15">
        <f>IF(A1421=A1422,_xll.ciqfunctions.udf.CIQ(A1413,"IQ_DILUT_EPS_EXCL",IQ_FY-3), _xll.ciqfunctions.udf.CIQ(A1413, "IQ_DILUT_EPS_EXCL",IQ_FY-2))</f>
        <v>-0.36</v>
      </c>
      <c r="G1420" s="15">
        <f>IF(A1421=A1422,_xll.ciqfunctions.udf.CIQ(A1413,"IQ_EBITDA_MARGIN",IQ_FY-3), _xll.ciqfunctions.udf.CIQ(A1413, "IQ_EBITDA_MARGIN",IQ_FY-2))</f>
        <v>2.6067</v>
      </c>
      <c r="H1420" s="15">
        <f>IF(A1421=A1422,_xll.ciqfunctions.udf.CIQ(A1413,"IQ_TOTAL_DIV_PAID_CF",IQ_FY-3)/-I1420, _xll.ciqfunctions.udf.CIQ(A1413, "IQ_TOTAL_DIV_PAID_CF",IQ_FY-2)/-I1420)</f>
        <v>0</v>
      </c>
      <c r="I1420" s="17">
        <f>IF(A1421=A1422,_xll.ciqfunctions.udf.CIQ(A1413,"IQ_TOTAL_OUTSTANDING_FILING_DATE",IQ_FY-3), _xll.ciqfunctions.udf.CIQ(A1413, "IQ_TOTAL_OUTSTANDING_FILING_DATE",IQ_FY-2))</f>
        <v>111.73034</v>
      </c>
      <c r="J1420" s="17">
        <f>IF(A1421=A1422,_xll.ciqfunctions.udf.CIQ(A1413,"IQ_CASH_OPER",IQ_FY-3), _xll.ciqfunctions.udf.CIQ(A1413, "IQ_CASH_OPER",IQ_FY-2))</f>
        <v>185.459</v>
      </c>
      <c r="K1420" s="17">
        <f>IF(A1421=A1422,_xll.ciqfunctions.udf.CIQ(A1413,"IQ_CAPEX",IQ_FY-3), _xll.ciqfunctions.udf.CIQ(A1413, "IQ_CAPEX",IQ_FY-2))</f>
        <v>-29.728000000000002</v>
      </c>
      <c r="L1420" s="15">
        <f t="shared" si="376"/>
        <v>1.393811206517406</v>
      </c>
      <c r="M1420" s="17">
        <f>IF(A1421=A1422,_xll.ciqfunctions.udf.CIQ(A1413,"IQ_TOTAL_DEBT_ISSUED",IQ_FY-3), _xll.ciqfunctions.udf.CIQ(A1413, "IQ_TOTAL_DEBT_ISSUED",IQ_FY-2))</f>
        <v>0</v>
      </c>
      <c r="N1420" s="17">
        <f>IF(A1421=A1422,_xll.ciqfunctions.udf.CIQ(A1413,"IQ_TOTAL_DEBT_REPAID",IQ_FY-3), _xll.ciqfunctions.udf.CIQ(A1413, "IQ_TOTAL_DEBT_REPAID",IQ_FY-2))</f>
        <v>-13.201000000000001</v>
      </c>
      <c r="O1420" s="15">
        <f t="shared" si="377"/>
        <v>-0.11815053995181614</v>
      </c>
      <c r="P1420" s="15">
        <f t="shared" si="378"/>
        <v>1.2756606665655899</v>
      </c>
      <c r="Q1420" s="18"/>
      <c r="R1420" s="39" t="s">
        <v>31</v>
      </c>
      <c r="S1420" s="5">
        <f>IF(NOT(D1413&gt;0),FALSE,SLOPE(G1413:G1423,B1413:B1423))</f>
        <v>-1.7149745454545455</v>
      </c>
      <c r="U1420" s="18"/>
      <c r="V1420" s="39" t="s">
        <v>31</v>
      </c>
      <c r="W1420" s="5">
        <f>IF(NOT(D1413&gt;0),FALSE,SLOPE(G1413:G1423,B1413:B1423))</f>
        <v>-1.7149745454545455</v>
      </c>
      <c r="Y1420" s="18"/>
      <c r="Z1420" s="39" t="s">
        <v>31</v>
      </c>
      <c r="AA1420" s="5">
        <f>IF(NOT(L1413&gt;0),FALSE,SLOPE(O1413:O1423,J1413:J1423))</f>
        <v>-6.9930020806709386E-3</v>
      </c>
    </row>
    <row r="1421" spans="1:27">
      <c r="A1421" s="19">
        <f>_xll.ciqfunctions.udf.CIQ(A1413,"IQ_TOTAL_REV",IQ_FY)</f>
        <v>454.79300000000001</v>
      </c>
      <c r="B1421" s="13">
        <v>9</v>
      </c>
      <c r="C1421" s="14" t="s">
        <v>32</v>
      </c>
      <c r="D1421" s="15" cm="1">
        <f t="array" ref="D1421">_xlfn.SINGLE(IF(A1421=A1422,_xll.ciqfunctions.udf.CIQ(A1413,"IQ_TOTAL_REV",IQ_FY-2)/I1421, _xll.ciqfunctions.udf.CIQ(A1413, "IQ_TOTAL_REV",IQ_FY-1)/I1421))</f>
        <v>3.003272273639686</v>
      </c>
      <c r="E1421" s="16">
        <f t="shared" si="379"/>
        <v>0.36226821902361606</v>
      </c>
      <c r="F1421" s="15">
        <f>IF(A1421=A1422,_xll.ciqfunctions.udf.CIQ(A1413,"IQ_DILUT_EPS_EXCL",IQ_FY-2), _xll.ciqfunctions.udf.CIQ(A1413, "IQ_DILUT_EPS_EXCL",IQ_FY-1))</f>
        <v>0.16</v>
      </c>
      <c r="G1421" s="15">
        <f>IF(A1421=A1422,_xll.ciqfunctions.udf.CIQ(A1413,"IQ_EBITDA_MARGIN",IQ_FY-2), _xll.ciqfunctions.udf.CIQ(A1413, "IQ_EBITDA_MARGIN",IQ_FY-1))</f>
        <v>23.279</v>
      </c>
      <c r="H1421" s="15">
        <f>IF(A1421=A1422,_xll.ciqfunctions.udf.CIQ(A1413,"IQ_TOTAL_DIV_PAID_CF",IQ_FY-2)/-I1421, _xll.ciqfunctions.udf.CIQ(A1413, "IQ_TOTAL_DIV_PAID_CF",IQ_FY-1)/-I1421)</f>
        <v>0</v>
      </c>
      <c r="I1421" s="17">
        <f>IF(A1421=A1422,_xll.ciqfunctions.udf.CIQ(A1413,"IQ_TOTAL_OUTSTANDING_FILING_DATE",IQ_FY-2), _xll.ciqfunctions.udf.CIQ(A1413, "IQ_TOTAL_OUTSTANDING_FILING_DATE",IQ_FY-1))</f>
        <v>109.31543000000001</v>
      </c>
      <c r="J1421" s="17">
        <f>IF(A1421=A1422,_xll.ciqfunctions.udf.CIQ(A1413,"IQ_CASH_OPER",IQ_FY-2), _xll.ciqfunctions.udf.CIQ(A1413, "IQ_CASH_OPER",IQ_FY-1))</f>
        <v>209.21700000000001</v>
      </c>
      <c r="K1421" s="17">
        <f>IF(A1421=A1422,_xll.ciqfunctions.udf.CIQ(A1413,"IQ_CAPEX",IQ_FY-2), _xll.ciqfunctions.udf.CIQ(A1413, "IQ_CAPEX",IQ_FY-1))</f>
        <v>-13.792</v>
      </c>
      <c r="L1421" s="15">
        <f t="shared" si="376"/>
        <v>1.7877165190678022</v>
      </c>
      <c r="M1421" s="17">
        <f>IF(A1421=A1422,_xll.ciqfunctions.udf.CIQ(A1413,"IQ_TOTAL_DEBT_ISSUED",IQ_FY-2), _xll.ciqfunctions.udf.CIQ(A1413, "IQ_TOTAL_DEBT_ISSUED",IQ_FY-1))</f>
        <v>0</v>
      </c>
      <c r="N1421" s="17">
        <f>IF(A1421=A1422,_xll.ciqfunctions.udf.CIQ(A1413,"IQ_TOTAL_DEBT_REPAID",IQ_FY-2), _xll.ciqfunctions.udf.CIQ(A1413, "IQ_TOTAL_DEBT_REPAID",IQ_FY-1))</f>
        <v>-12.472</v>
      </c>
      <c r="O1421" s="15">
        <f t="shared" si="377"/>
        <v>-0.1140918532726807</v>
      </c>
      <c r="P1421" s="15">
        <f t="shared" si="378"/>
        <v>1.6736246657951215</v>
      </c>
      <c r="Q1421" s="25" t="s">
        <v>33</v>
      </c>
      <c r="R1421" s="38" t="s">
        <v>52</v>
      </c>
      <c r="S1421" s="4">
        <f>(AVERAGE(O1418:O1423)/AVERAGE(P1418:P1423))</f>
        <v>-0.82414984686767701</v>
      </c>
      <c r="U1421" s="25" t="s">
        <v>54</v>
      </c>
      <c r="V1421" s="38" t="s">
        <v>52</v>
      </c>
      <c r="W1421" s="4">
        <f>(AVERAGE(O1418:O1423)/AVERAGE(P1418:P1423))</f>
        <v>-0.82414984686767701</v>
      </c>
      <c r="Y1421" s="25" t="s">
        <v>60</v>
      </c>
      <c r="Z1421" s="38" t="s">
        <v>52</v>
      </c>
      <c r="AA1421" s="4">
        <f>(AVERAGE(O1418:O1423)/AVERAGE(P1418:P1423))</f>
        <v>-0.82414984686767701</v>
      </c>
    </row>
    <row r="1422" spans="1:27">
      <c r="A1422" s="19">
        <f>_xll.ciqfunctions.udf.CIQ(A1413,"IQ_TOTAL_REV",IQ_LTM)</f>
        <v>461.25900000000001</v>
      </c>
      <c r="B1422" s="13">
        <v>10</v>
      </c>
      <c r="C1422" s="14" t="s">
        <v>34</v>
      </c>
      <c r="D1422" s="15" cm="1">
        <f t="array" ref="D1422">_xlfn.SINGLE(IF(A1421=A1422,_xll.ciqfunctions.udf.CIQ(A1413,"IQ_TOTAL_REV",IQ_FY-1)/I1422, _xll.ciqfunctions.udf.CIQ(A1413, "IQ_TOTAL_REV",IQ_FY)/I1422))</f>
        <v>4.2168577509968372</v>
      </c>
      <c r="E1422" s="16">
        <f t="shared" si="379"/>
        <v>0.40408773057608888</v>
      </c>
      <c r="F1422" s="15">
        <f>IF(A1421=A1422,_xll.ciqfunctions.udf.CIQ(A1413,"IQ_DILUT_EPS_EXCL",IQ_FY-1), _xll.ciqfunctions.udf.CIQ(A1413, "IQ_DILUT_EPS_EXCL",IQ_FY))</f>
        <v>-0.13072</v>
      </c>
      <c r="G1422" s="15">
        <f>IF(A1421=A1422,_xll.ciqfunctions.udf.CIQ(A1413,"IQ_EBITDA_MARGIN",IQ_FY-1), _xll.ciqfunctions.udf.CIQ(A1413, "IQ_EBITDA_MARGIN",IQ_FY))</f>
        <v>28.228200000000001</v>
      </c>
      <c r="H1422" s="15">
        <f>IF(A1421=A1422,_xll.ciqfunctions.udf.CIQ(A1413,"IQ_TOTAL_DIV_PAID_CF",IQ_FY-1)/-I1422, _xll.ciqfunctions.udf.CIQ(A1413, "IQ_TOTAL_DIV_PAID_CF",IQ_FY)/-I1422)</f>
        <v>0</v>
      </c>
      <c r="I1422" s="17">
        <f>IF(A1421=A1422,_xll.ciqfunctions.udf.CIQ(A1413,"IQ_TOTAL_OUTSTANDING_FILING_DATE",IQ_FY-1), _xll.ciqfunctions.udf.CIQ(A1413, "IQ_TOTAL_OUTSTANDING_FILING_DATE",IQ_FY))</f>
        <v>107.85115999999999</v>
      </c>
      <c r="J1422" s="17">
        <f>IF(A1421=A1422,_xll.ciqfunctions.udf.CIQ(A1413,"IQ_CASH_OPER",IQ_FY-1), _xll.ciqfunctions.udf.CIQ(A1413, "IQ_CASH_OPER",IQ_FY))</f>
        <v>230.393</v>
      </c>
      <c r="K1422" s="17">
        <f>IF(A1421=A1422,_xll.ciqfunctions.udf.CIQ(A1413,"IQ_CAPEX",IQ_FY-1), _xll.ciqfunctions.udf.CIQ(A1413, "IQ_CAPEX",IQ_FY))</f>
        <v>-17.478000000000002</v>
      </c>
      <c r="L1422" s="15">
        <f t="shared" si="376"/>
        <v>1.9741558644339106</v>
      </c>
      <c r="M1422" s="17">
        <f>IF(A1421=A1422,_xll.ciqfunctions.udf.CIQ(A1413,"IQ_TOTAL_DEBT_ISSUED",IQ_FY-1), _xll.ciqfunctions.udf.CIQ(A1413, "IQ_TOTAL_DEBT_ISSUED",IQ_FY))</f>
        <v>0</v>
      </c>
      <c r="N1422" s="17">
        <f>IF(A1421=A1422,_xll.ciqfunctions.udf.CIQ(A1413,"IQ_TOTAL_DEBT_REPAID",IQ_FY-1), _xll.ciqfunctions.udf.CIQ(A1413, "IQ_TOTAL_DEBT_REPAID",IQ_FY))</f>
        <v>-272.43799999999999</v>
      </c>
      <c r="O1422" s="15">
        <f t="shared" si="377"/>
        <v>-2.5260553525803524</v>
      </c>
      <c r="P1422" s="15">
        <f t="shared" si="378"/>
        <v>-0.55189948814644185</v>
      </c>
      <c r="Q1422" s="25" t="s">
        <v>44</v>
      </c>
      <c r="R1422" s="38" t="s">
        <v>35</v>
      </c>
      <c r="S1422" s="1">
        <f>_xll.ciqfunctions.udf.CIQ(A1413,"IQ_TEV_EBITDA")</f>
        <v>51.308959999999999</v>
      </c>
      <c r="U1422" s="25" t="s">
        <v>55</v>
      </c>
      <c r="V1422" s="38" t="s">
        <v>53</v>
      </c>
      <c r="W1422" s="1">
        <f>V1412/(AVERAGE(D1418:D1423)/_xlfn.STDEV.P(E1418:E1423))</f>
        <v>6.2316637824681127</v>
      </c>
      <c r="Y1422" s="25" t="s">
        <v>57</v>
      </c>
      <c r="Z1422" s="38" t="s">
        <v>53</v>
      </c>
      <c r="AA1422" s="1">
        <f>Z1412/(AVERAGE(D1418:D1423)/_xlfn.STDEV.P(E1418:E1423))</f>
        <v>6.2316637824681127</v>
      </c>
    </row>
    <row r="1423" spans="1:27">
      <c r="B1423" s="13">
        <v>11</v>
      </c>
      <c r="C1423" s="20" t="s">
        <v>36</v>
      </c>
      <c r="D1423" s="21" cm="1">
        <f t="array" ref="D1423">_xlfn.SINGLE(IF(A1421=A1422,_xll.ciqfunctions.udf.CIQ(A1413,"IQ_TOTAL_REV",IQ_FY)/I1423, _xll.ciqfunctions.udf.CIQ(A1413, "IQ_TOTAL_REV",IQ_LTM)/I1423))</f>
        <v>4.2904126194176424</v>
      </c>
      <c r="E1423" s="22">
        <f t="shared" si="379"/>
        <v>1.7443051856187768E-2</v>
      </c>
      <c r="F1423" s="21">
        <f>IF(A1421=A1422,_xll.ciqfunctions.udf.CIQ(A1413,"IQ_DILUT_EPS_EXCL",IQ_FY), _xll.ciqfunctions.udf.CIQ(A1413, "IQ_DILUT_EPS_EXCL",IQ_LTM))</f>
        <v>2.6407400000000001</v>
      </c>
      <c r="G1423" s="21">
        <f>IF(A1421=A1422,_xll.ciqfunctions.udf.CIQ(A1413,"IQ_EBITDA_MARGIN",IQ_FY), _xll.ciqfunctions.udf.CIQ(A1413, "IQ_EBITDA_MARGIN",IQ_LTM))</f>
        <v>27.763999999999999</v>
      </c>
      <c r="H1423" s="21">
        <f>IF(A1421=A1422,_xll.ciqfunctions.udf.CIQ(A1413,"IQ_TOTAL_DIV_PAID_CF",IQ_FY)/-I1423, _xll.ciqfunctions.udf.CIQ(A1413, "IQ_TOTAL_DIV_PAID_CF",IQ_LTM)/-I1423)</f>
        <v>0</v>
      </c>
      <c r="I1423" s="23">
        <f>IF(A1421=A1422,_xll.ciqfunctions.udf.CIQ(A1413,"IQ_TOTAL_OUTSTANDING_FILING_DATE",IQ_FY),_xll.ciqfunctions.udf.CIQ(A1413,"IQ_sharesoutstanding"))</f>
        <v>107.50924000000001</v>
      </c>
      <c r="J1423" s="23">
        <f>IF(A1421=A1422,_xll.ciqfunctions.udf.CIQ(A1413,"IQ_CASH_OPER",IQ_FY), _xll.ciqfunctions.udf.CIQ(A1413, "IQ_CASH_OPER",IQ_LTM))</f>
        <v>192.22499999999999</v>
      </c>
      <c r="K1423" s="23">
        <f>IF(A1421=A1422,_xll.ciqfunctions.udf.CIQ(A1413,"IQ_CAPEX",IQ_FY), _xll.ciqfunctions.udf.CIQ(A1413, "IQ_CAPEX",IQ_LTM))</f>
        <v>-27.282</v>
      </c>
      <c r="L1423" s="21">
        <f t="shared" si="376"/>
        <v>1.534221616672204</v>
      </c>
      <c r="M1423" s="23">
        <f>IF(A1421=A1422,_xll.ciqfunctions.udf.CIQ(A1413,"IQ_TOTAL_DEBT_ISSUED",IQ_FY), _xll.ciqfunctions.udf.CIQ(A1413, "IQ_TOTAL_DEBT_ISSUED",IQ_LTM))</f>
        <v>0</v>
      </c>
      <c r="N1423" s="23">
        <f>IF(A1421=A1422,_xll.ciqfunctions.udf.CIQ(A1413,"IQ_TOTAL_DEBT_REPAID",IQ_FY), _xll.ciqfunctions.udf.CIQ(A1413, "IQ_TOTAL_DEBT_REPAID",IQ_LTM))</f>
        <v>-25.61</v>
      </c>
      <c r="O1423" s="21">
        <f t="shared" si="377"/>
        <v>-0.23821208298003035</v>
      </c>
      <c r="P1423" s="21">
        <f t="shared" si="378"/>
        <v>1.2960095336921738</v>
      </c>
      <c r="Q1423" s="25" t="s">
        <v>45</v>
      </c>
      <c r="S1423" s="45"/>
      <c r="U1423" s="25"/>
      <c r="W1423" s="45"/>
      <c r="Y1423" s="25"/>
      <c r="AA1423" s="45"/>
    </row>
    <row r="1424" spans="1:27">
      <c r="B1424" s="24"/>
      <c r="C1424" s="25" t="s">
        <v>37</v>
      </c>
      <c r="E1424" s="26">
        <f>((D1423/D1418)^(1/5))-1</f>
        <v>0.15138717876382812</v>
      </c>
      <c r="F1424" s="27">
        <f>((F1423/F1418)^(1/5))-1</f>
        <v>-2.1258345119171218</v>
      </c>
      <c r="G1424" s="28"/>
      <c r="H1424" s="27" t="e">
        <f>((H1423/H1418)^(1/5))-1</f>
        <v>#DIV/0!</v>
      </c>
      <c r="I1424" s="27">
        <f>((I1423/I1418)^(1/5))-1</f>
        <v>-2.8289996079106094E-3</v>
      </c>
      <c r="J1424" s="27"/>
      <c r="K1424" s="27"/>
      <c r="L1424" s="26">
        <f>((L1423/L1418)^(1/5))-1</f>
        <v>0.17260738960347211</v>
      </c>
      <c r="M1424" s="26"/>
      <c r="N1424" s="26"/>
      <c r="O1424" s="26"/>
      <c r="P1424" s="26">
        <f>((P1423/P1418)^(1/5))-1</f>
        <v>-2.8331917787443537</v>
      </c>
      <c r="Q1424" s="18"/>
      <c r="R1424" s="36"/>
      <c r="S1424" s="45"/>
      <c r="U1424" s="18"/>
      <c r="V1424" s="36"/>
      <c r="W1424" s="45"/>
      <c r="Y1424" s="18"/>
      <c r="Z1424" s="36"/>
      <c r="AA1424" s="45"/>
    </row>
    <row r="1425" spans="1:27">
      <c r="A1425" s="29"/>
      <c r="B1425" s="30"/>
      <c r="C1425" s="31" t="s">
        <v>38</v>
      </c>
      <c r="D1425" s="29"/>
      <c r="E1425" s="32">
        <f>((D1423/D1413)^(1/10))-1</f>
        <v>6.0147158324704852E-2</v>
      </c>
      <c r="F1425" s="33" t="e">
        <f>((F1423/F1413)^(1/10))-1</f>
        <v>#NUM!</v>
      </c>
      <c r="G1425" s="34"/>
      <c r="H1425" s="33" t="e">
        <f>((H1423/H1413)^(1/10))-1</f>
        <v>#DIV/0!</v>
      </c>
      <c r="I1425" s="33">
        <f>((I1423/I1413)^(1/10))-1</f>
        <v>-5.3937398881180876E-3</v>
      </c>
      <c r="J1425" s="33"/>
      <c r="K1425" s="33"/>
      <c r="L1425" s="32">
        <f>((L1423/L1413)^(1/10))-1</f>
        <v>0.14718749053653579</v>
      </c>
      <c r="M1425" s="32"/>
      <c r="N1425" s="32"/>
      <c r="O1425" s="32"/>
      <c r="P1425" s="32">
        <f>((P1423/P1413)^(1/10))-1</f>
        <v>-2.0050800289149628E-2</v>
      </c>
      <c r="Q1425" s="40"/>
      <c r="R1425" s="41"/>
      <c r="S1425" s="46"/>
      <c r="U1425" s="40"/>
      <c r="V1425" s="41"/>
      <c r="W1425" s="46"/>
      <c r="Y1425" s="40"/>
      <c r="Z1425" s="41"/>
      <c r="AA1425" s="46"/>
    </row>
    <row r="1426" spans="1:27">
      <c r="B1426" s="24"/>
      <c r="C1426" s="25"/>
      <c r="E1426" s="26"/>
      <c r="F1426" s="27"/>
      <c r="G1426" s="28"/>
      <c r="H1426" s="27"/>
      <c r="I1426" s="27"/>
      <c r="J1426" s="27"/>
      <c r="K1426" s="27"/>
      <c r="L1426" s="26"/>
      <c r="M1426" s="17"/>
      <c r="N1426" s="17"/>
      <c r="O1426" s="17"/>
      <c r="P1426" s="35"/>
      <c r="Q1426" s="18"/>
      <c r="R1426" s="36"/>
    </row>
    <row r="1427" spans="1:27">
      <c r="A1427" s="9" t="s">
        <v>0</v>
      </c>
      <c r="B1427" s="10"/>
      <c r="C1427" s="9" t="s">
        <v>1</v>
      </c>
      <c r="D1427" s="9" t="s">
        <v>2</v>
      </c>
      <c r="E1427" s="9" t="s">
        <v>3</v>
      </c>
      <c r="F1427" s="11" t="s">
        <v>4</v>
      </c>
      <c r="G1427" s="11" t="s">
        <v>5</v>
      </c>
      <c r="H1427" s="9" t="s">
        <v>6</v>
      </c>
      <c r="I1427" s="11" t="s">
        <v>7</v>
      </c>
      <c r="J1427" s="11" t="s">
        <v>8</v>
      </c>
      <c r="K1427" s="11" t="s">
        <v>9</v>
      </c>
      <c r="L1427" s="11" t="s">
        <v>10</v>
      </c>
      <c r="M1427" s="11" t="s">
        <v>11</v>
      </c>
      <c r="N1427" s="11" t="s">
        <v>12</v>
      </c>
      <c r="O1427" s="11" t="s">
        <v>13</v>
      </c>
      <c r="P1427" s="11" t="s">
        <v>14</v>
      </c>
      <c r="Q1427" s="37" t="s">
        <v>15</v>
      </c>
      <c r="R1427" s="42">
        <f>_xll.ciqfunctions.udf.CIQ(A1428,("IQ_LASTSALEPRICE"))</f>
        <v>21.395</v>
      </c>
      <c r="S1427" s="44"/>
      <c r="U1427" s="37" t="s">
        <v>15</v>
      </c>
      <c r="V1427" s="42">
        <f>_xll.ciqfunctions.udf.CIQ(A1428,("IQ_LASTSALEPRICE"))</f>
        <v>21.395</v>
      </c>
      <c r="W1427" s="44"/>
      <c r="Y1427" s="37" t="s">
        <v>15</v>
      </c>
      <c r="Z1427" s="42">
        <f>_xll.ciqfunctions.udf.CIQ(A1428,("IQ_LASTSALEPRICE"))</f>
        <v>21.395</v>
      </c>
      <c r="AA1427" s="44"/>
    </row>
    <row r="1428" spans="1:27">
      <c r="A1428" s="12" t="str">
        <f>Analysis!B97</f>
        <v>NasdaqGS:GEN</v>
      </c>
      <c r="B1428" s="13">
        <v>1</v>
      </c>
      <c r="C1428" s="14" t="s">
        <v>16</v>
      </c>
      <c r="D1428" s="15">
        <f>IF(A1436=A1437,_xll.ciqfunctions.udf.CIQ(A1428,"IQ_TOTAL_REV",IQ_FY-10)/I1428,_xll.ciqfunctions.udf.CIQ(A1428, "IQ_TOTAL_REV",IQ_FY-9)/I1428)</f>
        <v>6.04747194637328</v>
      </c>
      <c r="E1428" s="16"/>
      <c r="F1428" s="15">
        <f>IF(A1436=A1437,_xll.ciqfunctions.udf.CIQ(A1428,"IQ_DILUT_EPS_EXCL",IQ_FY-10), _xll.ciqfunctions.udf.CIQ(A1428, "IQ_DILUT_EPS_EXCL",IQ_FY-9))</f>
        <v>0.13</v>
      </c>
      <c r="G1428" s="15">
        <f>IF(A1436=A1437,_xll.ciqfunctions.udf.CIQ(A1428,"IQ_EBITDA_MARGIN",IQ_FY-10), _xll.ciqfunctions.udf.CIQ(A1428, "IQ_EBITDA_MARGIN",IQ_FY-9))</f>
        <v>18.120899999999999</v>
      </c>
      <c r="H1428" s="15">
        <f>IF(A1436=A1437,_xll.ciqfunctions.udf.CIQ(A1428,"IQ_TOTAL_DIV_PAID_CF",IQ_FY-10)/-I1428, _xll.ciqfunctions.udf.CIQ(A1428, "IQ_TOTAL_DIV_PAID_CF",IQ_FY-9)/-I1428)</f>
        <v>0.60431347683099002</v>
      </c>
      <c r="I1428" s="17">
        <f>IF(A1436=A1437,_xll.ciqfunctions.udf.CIQ(A1428,"IQ_TOTAL_OUTSTANDING_FILING_DATE",IQ_FY-10), _xll.ciqfunctions.udf.CIQ(A1428, "IQ_TOTAL_OUTSTANDING_FILING_DATE",IQ_FY-9))</f>
        <v>691.69398999999999</v>
      </c>
      <c r="J1428" s="17">
        <f>IF(A1436=A1437,_xll.ciqfunctions.udf.CIQ(A1428,"IQ_CASH_OPER",IQ_FY-10), _xll.ciqfunctions.udf.CIQ(A1428, "IQ_CASH_OPER",IQ_FY-9))</f>
        <v>1281</v>
      </c>
      <c r="K1428" s="17">
        <f>IF(A1436=A1437,_xll.ciqfunctions.udf.CIQ(A1428,"IQ_CAPEX",IQ_FY-10), _xll.ciqfunctions.udf.CIQ(A1428, "IQ_CAPEX",IQ_FY-9))</f>
        <v>-194</v>
      </c>
      <c r="L1428" s="15">
        <f t="shared" ref="L1428:L1438" si="380">(J1428+K1428)/I1428</f>
        <v>1.5715041849647993</v>
      </c>
      <c r="M1428" s="17">
        <f>IF(A1436=A1437,_xll.ciqfunctions.udf.CIQ(A1428,"IQ_TOTAL_DEBT_ISSUED",IQ_FY-10), _xll.ciqfunctions.udf.CIQ(A1428, "IQ_TOTAL_DEBT_ISSUED",IQ_FY-9))</f>
        <v>0</v>
      </c>
      <c r="N1428" s="17">
        <f>IF(A1436=A1437,_xll.ciqfunctions.udf.CIQ(A1428,"IQ_TOTAL_DEBT_REPAID",IQ_FY-10), _xll.ciqfunctions.udf.CIQ(A1428, "IQ_TOTAL_DEBT_REPAID",IQ_FY-9))</f>
        <v>-1189</v>
      </c>
      <c r="O1428" s="15">
        <f t="shared" ref="O1428:O1438" si="381">(M1428+N1428)/I1428</f>
        <v>-1.7189682391197298</v>
      </c>
      <c r="P1428" s="15">
        <f t="shared" ref="P1428:P1438" si="382">L1428+O1428</f>
        <v>-0.14746405415493058</v>
      </c>
      <c r="W1428" s="43"/>
      <c r="AA1428" s="43"/>
    </row>
    <row r="1429" spans="1:27">
      <c r="A1429" s="18" t="str">
        <f>_xll.ciqfunctions.udf.CIQ(A1428,"IQ_COMPANY_NAME")</f>
        <v>Gen Digital Inc.</v>
      </c>
      <c r="B1429" s="13">
        <v>2</v>
      </c>
      <c r="C1429" s="14" t="s">
        <v>17</v>
      </c>
      <c r="D1429" s="15">
        <f>IF(A1436=A1437,_xll.ciqfunctions.udf.CIQ(A1428,"IQ_TOTAL_REV",IQ_FY-9)/I1429, _xll.ciqfunctions.udf.CIQ(A1428, "IQ_TOTAL_REV",IQ_FY-8)/I1429)</f>
        <v>5.8114260127390391</v>
      </c>
      <c r="E1429" s="16">
        <f t="shared" ref="E1429:E1438" si="383">(D1429-D1428)/D1428</f>
        <v>-3.9032166784303914E-2</v>
      </c>
      <c r="F1429" s="15">
        <f>IF(A1436=A1437,_xll.ciqfunctions.udf.CIQ(A1428,"IQ_DILUT_EPS_EXCL",IQ_FY-9), _xll.ciqfunctions.udf.CIQ(A1428, "IQ_DILUT_EPS_EXCL",IQ_FY-8))</f>
        <v>0.15820000000000001</v>
      </c>
      <c r="G1429" s="15">
        <f>IF(A1436=A1437,_xll.ciqfunctions.udf.CIQ(A1428,"IQ_EBITDA_MARGIN",IQ_FY-9), _xll.ciqfunctions.udf.CIQ(A1428, "IQ_EBITDA_MARGIN",IQ_FY-8))</f>
        <v>17.0121</v>
      </c>
      <c r="H1429" s="15">
        <f>IF(A1436=A1437,_xll.ciqfunctions.udf.CIQ(A1428,"IQ_TOTAL_DIV_PAID_CF",IQ_FY-9)/-I1429, _xll.ciqfunctions.udf.CIQ(A1428, "IQ_TOTAL_DIV_PAID_CF",IQ_FY-8)/-I1429)</f>
        <v>0.59935839565154903</v>
      </c>
      <c r="I1429" s="17">
        <f>IF(A1436=A1437,_xll.ciqfunctions.udf.CIQ(A1428,"IQ_TOTAL_OUTSTANDING_FILING_DATE",IQ_FY-9), _xll.ciqfunctions.udf.CIQ(A1428, "IQ_TOTAL_OUTSTANDING_FILING_DATE",IQ_FY-8))</f>
        <v>680.72793000000001</v>
      </c>
      <c r="J1429" s="17">
        <f>IF(A1436=A1437,_xll.ciqfunctions.udf.CIQ(A1428,"IQ_CASH_OPER",IQ_FY-9), _xll.ciqfunctions.udf.CIQ(A1428, "IQ_CASH_OPER",IQ_FY-8))</f>
        <v>1312</v>
      </c>
      <c r="K1429" s="17">
        <f>IF(A1436=A1437,_xll.ciqfunctions.udf.CIQ(A1428,"IQ_CAPEX",IQ_FY-9), _xll.ciqfunctions.udf.CIQ(A1428, "IQ_CAPEX",IQ_FY-8))</f>
        <v>-303</v>
      </c>
      <c r="L1429" s="15">
        <f t="shared" si="380"/>
        <v>1.4822368166970907</v>
      </c>
      <c r="M1429" s="17">
        <f>IF(A1436=A1437,_xll.ciqfunctions.udf.CIQ(A1428,"IQ_TOTAL_DEBT_ISSUED",IQ_FY-9), _xll.ciqfunctions.udf.CIQ(A1428, "IQ_TOTAL_DEBT_ISSUED",IQ_FY-8))</f>
        <v>0</v>
      </c>
      <c r="N1429" s="17">
        <f>IF(A1436=A1437,_xll.ciqfunctions.udf.CIQ(A1428,"IQ_TOTAL_DEBT_REPAID",IQ_FY-9), _xll.ciqfunctions.udf.CIQ(A1428, "IQ_TOTAL_DEBT_REPAID",IQ_FY-8))</f>
        <v>-21</v>
      </c>
      <c r="O1429" s="15">
        <f t="shared" si="381"/>
        <v>-3.0849329187947378E-2</v>
      </c>
      <c r="P1429" s="15">
        <f t="shared" si="382"/>
        <v>1.4513874875091433</v>
      </c>
      <c r="Q1429" s="25" t="s">
        <v>18</v>
      </c>
      <c r="R1429" s="39" t="s">
        <v>19</v>
      </c>
      <c r="S1429" s="1">
        <f>R1427/((AVERAGE(P1433:P1438))*(1+E1439)^3)</f>
        <v>9.8212045350448243</v>
      </c>
      <c r="U1429" s="25" t="s">
        <v>48</v>
      </c>
      <c r="V1429" s="39" t="s">
        <v>19</v>
      </c>
      <c r="W1429" s="1">
        <f>V1427/((AVERAGE(P1433:P1438))*(1+E1439)^3)</f>
        <v>9.8212045350448243</v>
      </c>
      <c r="Y1429" s="25" t="s">
        <v>39</v>
      </c>
      <c r="Z1429" s="39" t="s">
        <v>19</v>
      </c>
      <c r="AA1429" s="1">
        <f>Z1427/((AVERAGE(P1433:P1438))*(1+E1439)^3)</f>
        <v>9.8212045350448243</v>
      </c>
    </row>
    <row r="1430" spans="1:27">
      <c r="B1430" s="13">
        <v>3</v>
      </c>
      <c r="C1430" s="14" t="s">
        <v>20</v>
      </c>
      <c r="D1430" s="15" cm="1">
        <f t="array" ref="D1430">_xlfn.SINGLE(IF(A1436=A1437,_xll.ciqfunctions.udf.CIQ(A1428,"IQ_TOTAL_REV",IQ_FY-8)/I1430, _xll.ciqfunctions.udf.CIQ(A1428, "IQ_TOTAL_REV",IQ_FY-7)/I1430))</f>
        <v>5.8795468025726088</v>
      </c>
      <c r="E1430" s="16">
        <f t="shared" si="383"/>
        <v>1.1721871651509326E-2</v>
      </c>
      <c r="F1430" s="15">
        <f>IF(A1436=A1437,_xll.ciqfunctions.udf.CIQ(A1428,"IQ_DILUT_EPS_EXCL",IQ_FY-8), _xll.ciqfunctions.udf.CIQ(A1428, "IQ_DILUT_EPS_EXCL",IQ_FY-7))</f>
        <v>-1.23</v>
      </c>
      <c r="G1430" s="15">
        <f>IF(A1436=A1437,_xll.ciqfunctions.udf.CIQ(A1428,"IQ_EBITDA_MARGIN",IQ_FY-8), _xll.ciqfunctions.udf.CIQ(A1428, "IQ_EBITDA_MARGIN",IQ_FY-7))</f>
        <v>24</v>
      </c>
      <c r="H1430" s="15">
        <f>IF(A1436=A1437,_xll.ciqfunctions.udf.CIQ(A1428,"IQ_TOTAL_DIV_PAID_CF",IQ_FY-8)/-I1430, _xll.ciqfunctions.udf.CIQ(A1428, "IQ_TOTAL_DIV_PAID_CF",IQ_FY-7)/-I1430)</f>
        <v>0.64334164434494001</v>
      </c>
      <c r="I1430" s="17">
        <f>IF(A1436=A1437,_xll.ciqfunctions.udf.CIQ(A1428,"IQ_TOTAL_OUTSTANDING_FILING_DATE",IQ_FY-8), _xll.ciqfunctions.udf.CIQ(A1428, "IQ_TOTAL_OUTSTANDING_FILING_DATE",IQ_FY-7))</f>
        <v>612.29209000000003</v>
      </c>
      <c r="J1430" s="17">
        <f>IF(A1436=A1437,_xll.ciqfunctions.udf.CIQ(A1428,"IQ_CASH_OPER",IQ_FY-8), _xll.ciqfunctions.udf.CIQ(A1428, "IQ_CASH_OPER",IQ_FY-7))</f>
        <v>802</v>
      </c>
      <c r="K1430" s="17">
        <f>IF(A1436=A1437,_xll.ciqfunctions.udf.CIQ(A1428,"IQ_CAPEX",IQ_FY-8), _xll.ciqfunctions.udf.CIQ(A1428, "IQ_CAPEX",IQ_FY-7))</f>
        <v>-272</v>
      </c>
      <c r="L1430" s="15">
        <f t="shared" si="380"/>
        <v>0.86559994593430067</v>
      </c>
      <c r="M1430" s="17">
        <f>IF(A1436=A1437,_xll.ciqfunctions.udf.CIQ(A1428,"IQ_TOTAL_DEBT_ISSUED",IQ_FY-8), _xll.ciqfunctions.udf.CIQ(A1428, "IQ_TOTAL_DEBT_ISSUED",IQ_FY-7))</f>
        <v>500</v>
      </c>
      <c r="N1430" s="17">
        <f>IF(A1436=A1437,_xll.ciqfunctions.udf.CIQ(A1428,"IQ_TOTAL_DEBT_REPAID",IQ_FY-8), _xll.ciqfunctions.udf.CIQ(A1428, "IQ_TOTAL_DEBT_REPAID",IQ_FY-7))</f>
        <v>-350</v>
      </c>
      <c r="O1430" s="15">
        <f t="shared" si="381"/>
        <v>0.2449811167738587</v>
      </c>
      <c r="P1430" s="15">
        <f t="shared" si="382"/>
        <v>1.1105810627081594</v>
      </c>
      <c r="Q1430" s="25" t="s">
        <v>21</v>
      </c>
      <c r="R1430" s="38" t="s">
        <v>49</v>
      </c>
      <c r="S1430" s="2">
        <f>(R1427*I1438)/1000</f>
        <v>13.708103201650001</v>
      </c>
      <c r="U1430" s="25" t="s">
        <v>59</v>
      </c>
      <c r="V1430" s="38" t="s">
        <v>49</v>
      </c>
      <c r="W1430" s="2">
        <f>(V1427*I1438)/1000</f>
        <v>13.708103201650001</v>
      </c>
      <c r="Y1430" s="25" t="s">
        <v>46</v>
      </c>
      <c r="Z1430" s="38" t="s">
        <v>49</v>
      </c>
      <c r="AA1430" s="2">
        <f>(Z1427*I1438)/1000</f>
        <v>13.708103201650001</v>
      </c>
    </row>
    <row r="1431" spans="1:27">
      <c r="A1431" s="18"/>
      <c r="B1431" s="13">
        <v>4</v>
      </c>
      <c r="C1431" s="14" t="s">
        <v>22</v>
      </c>
      <c r="D1431" s="15" cm="1">
        <f t="array" ref="D1431">_xlfn.SINGLE(IF(A1436=A1437,_xll.ciqfunctions.udf.CIQ(A1428,"IQ_TOTAL_REV",IQ_FY-7)/I1431, _xll.ciqfunctions.udf.CIQ(A1428, "IQ_TOTAL_REV",IQ_FY-6)/I1431))</f>
        <v>6.6075858505265099</v>
      </c>
      <c r="E1431" s="16">
        <f t="shared" si="383"/>
        <v>0.12382570840925121</v>
      </c>
      <c r="F1431" s="15">
        <f>IF(A1436=A1437,_xll.ciqfunctions.udf.CIQ(A1428,"IQ_DILUT_EPS_EXCL",IQ_FY-7), _xll.ciqfunctions.udf.CIQ(A1428, "IQ_DILUT_EPS_EXCL",IQ_FY-6))</f>
        <v>-0.38188</v>
      </c>
      <c r="G1431" s="15">
        <f>IF(A1436=A1437,_xll.ciqfunctions.udf.CIQ(A1428,"IQ_EBITDA_MARGIN",IQ_FY-7), _xll.ciqfunctions.udf.CIQ(A1428, "IQ_EBITDA_MARGIN",IQ_FY-6))</f>
        <v>12.938499999999999</v>
      </c>
      <c r="H1431" s="15">
        <f>IF(A1436=A1437,_xll.ciqfunctions.udf.CIQ(A1428,"IQ_TOTAL_DIV_PAID_CF",IQ_FY-7)/-I1431, _xll.ciqfunctions.udf.CIQ(A1428, "IQ_TOTAL_DIV_PAID_CF",IQ_FY-6)/-I1431)</f>
        <v>0.36498732491089458</v>
      </c>
      <c r="I1431" s="17">
        <f>IF(A1436=A1437,_xll.ciqfunctions.udf.CIQ(A1428,"IQ_TOTAL_OUTSTANDING_FILING_DATE",IQ_FY-7), _xll.ciqfunctions.udf.CIQ(A1428, "IQ_TOTAL_OUTSTANDING_FILING_DATE",IQ_FY-6))</f>
        <v>608.24030000000005</v>
      </c>
      <c r="J1431" s="17">
        <f>IF(A1436=A1437,_xll.ciqfunctions.udf.CIQ(A1428,"IQ_CASH_OPER",IQ_FY-7), _xll.ciqfunctions.udf.CIQ(A1428, "IQ_CASH_OPER",IQ_FY-6))</f>
        <v>-209</v>
      </c>
      <c r="K1431" s="17">
        <f>IF(A1436=A1437,_xll.ciqfunctions.udf.CIQ(A1428,"IQ_CAPEX",IQ_FY-7), _xll.ciqfunctions.udf.CIQ(A1428, "IQ_CAPEX",IQ_FY-6))</f>
        <v>-70</v>
      </c>
      <c r="L1431" s="15">
        <f t="shared" si="380"/>
        <v>-0.45870028671234048</v>
      </c>
      <c r="M1431" s="17">
        <f>IF(A1436=A1437,_xll.ciqfunctions.udf.CIQ(A1428,"IQ_TOTAL_DEBT_ISSUED",IQ_FY-7), _xll.ciqfunctions.udf.CIQ(A1428, "IQ_TOTAL_DEBT_ISSUED",IQ_FY-6))</f>
        <v>6069</v>
      </c>
      <c r="N1431" s="17">
        <f>IF(A1436=A1437,_xll.ciqfunctions.udf.CIQ(A1428,"IQ_TOTAL_DEBT_REPAID",IQ_FY-7), _xll.ciqfunctions.udf.CIQ(A1428, "IQ_TOTAL_DEBT_REPAID",IQ_FY-6))</f>
        <v>-90</v>
      </c>
      <c r="O1431" s="15">
        <f t="shared" si="381"/>
        <v>9.8299964668569313</v>
      </c>
      <c r="P1431" s="15">
        <f t="shared" si="382"/>
        <v>9.37129618014459</v>
      </c>
      <c r="Q1431" s="25" t="s">
        <v>23</v>
      </c>
      <c r="R1431" s="38" t="s">
        <v>24</v>
      </c>
      <c r="S1431" s="1">
        <f>R1427/(AVERAGE(H1433:H1438)*(1+H1439)/(0.5-H1439))</f>
        <v>17.169983507062156</v>
      </c>
      <c r="U1431" s="25" t="s">
        <v>40</v>
      </c>
      <c r="V1431" s="38" t="s">
        <v>24</v>
      </c>
      <c r="W1431" s="1">
        <f>V1427/(AVERAGE(H1433:H1438)*(1+H1439)/(0.5-H1439))</f>
        <v>17.169983507062156</v>
      </c>
      <c r="Y1431" s="25" t="s">
        <v>47</v>
      </c>
      <c r="Z1431" s="38" t="s">
        <v>24</v>
      </c>
      <c r="AA1431" s="1">
        <f>Z1427/(AVERAGE(H1433:H1438)*(1+H1439)/(0.5-H1439))</f>
        <v>17.169983507062156</v>
      </c>
    </row>
    <row r="1432" spans="1:27">
      <c r="B1432" s="13">
        <v>5</v>
      </c>
      <c r="C1432" s="14" t="s">
        <v>25</v>
      </c>
      <c r="D1432" s="15" cm="1">
        <f t="array" ref="D1432">_xlfn.SINGLE(IF(A1436=A1437,_xll.ciqfunctions.udf.CIQ(A1428,"IQ_TOTAL_REV",IQ_FY-6)/I1432, _xll.ciqfunctions.udf.CIQ(A1428, "IQ_TOTAL_REV",IQ_FY-5)/I1432))</f>
        <v>4.0059477130680072</v>
      </c>
      <c r="E1432" s="16">
        <f t="shared" si="383"/>
        <v>-0.39373504882289156</v>
      </c>
      <c r="F1432" s="15">
        <f>IF(A1436=A1437,_xll.ciqfunctions.udf.CIQ(A1428,"IQ_DILUT_EPS_EXCL",IQ_FY-6), _xll.ciqfunctions.udf.CIQ(A1428, "IQ_DILUT_EPS_EXCL",IQ_FY-5))</f>
        <v>1.44</v>
      </c>
      <c r="G1432" s="15">
        <f>IF(A1436=A1437,_xll.ciqfunctions.udf.CIQ(A1428,"IQ_EBITDA_MARGIN",IQ_FY-6), _xll.ciqfunctions.udf.CIQ(A1428, "IQ_EBITDA_MARGIN",IQ_FY-5))</f>
        <v>18.171099999999999</v>
      </c>
      <c r="H1432" s="15">
        <f>IF(A1436=A1437,_xll.ciqfunctions.udf.CIQ(A1428,"IQ_TOTAL_DIV_PAID_CF",IQ_FY-6)/-I1432, _xll.ciqfunctions.udf.CIQ(A1428, "IQ_TOTAL_DIV_PAID_CF",IQ_FY-5)/-I1432)</f>
        <v>0.33030674773636165</v>
      </c>
      <c r="I1432" s="17">
        <f>IF(A1436=A1437,_xll.ciqfunctions.udf.CIQ(A1428,"IQ_TOTAL_OUTSTANDING_FILING_DATE",IQ_FY-6), _xll.ciqfunctions.udf.CIQ(A1428, "IQ_TOTAL_OUTSTANDING_FILING_DATE",IQ_FY-5))</f>
        <v>638.80015000000003</v>
      </c>
      <c r="J1432" s="17">
        <f>IF(A1436=A1437,_xll.ciqfunctions.udf.CIQ(A1428,"IQ_CASH_OPER",IQ_FY-6), _xll.ciqfunctions.udf.CIQ(A1428, "IQ_CASH_OPER",IQ_FY-5))</f>
        <v>950</v>
      </c>
      <c r="K1432" s="17">
        <f>IF(A1436=A1437,_xll.ciqfunctions.udf.CIQ(A1428,"IQ_CAPEX",IQ_FY-6), _xll.ciqfunctions.udf.CIQ(A1428, "IQ_CAPEX",IQ_FY-5))</f>
        <v>-142</v>
      </c>
      <c r="L1432" s="15">
        <f t="shared" si="380"/>
        <v>1.2648713373032239</v>
      </c>
      <c r="M1432" s="17">
        <f>IF(A1436=A1437,_xll.ciqfunctions.udf.CIQ(A1428,"IQ_TOTAL_DEBT_ISSUED",IQ_FY-6), _xll.ciqfunctions.udf.CIQ(A1428, "IQ_TOTAL_DEBT_ISSUED",IQ_FY-5))</f>
        <v>0</v>
      </c>
      <c r="N1432" s="17">
        <f>IF(A1436=A1437,_xll.ciqfunctions.udf.CIQ(A1428,"IQ_TOTAL_DEBT_REPAID",IQ_FY-6), _xll.ciqfunctions.udf.CIQ(A1428, "IQ_TOTAL_DEBT_REPAID",IQ_FY-5))</f>
        <v>-3210</v>
      </c>
      <c r="O1432" s="15">
        <f t="shared" si="381"/>
        <v>-5.0250457830982036</v>
      </c>
      <c r="P1432" s="15">
        <f t="shared" si="382"/>
        <v>-3.7601744457949797</v>
      </c>
      <c r="Q1432" s="18"/>
      <c r="R1432" s="38" t="s">
        <v>50</v>
      </c>
      <c r="S1432" s="3">
        <f>I1439</f>
        <v>7.182276052271952E-3</v>
      </c>
      <c r="U1432" s="18"/>
      <c r="V1432" s="38" t="s">
        <v>50</v>
      </c>
      <c r="W1432" s="3">
        <f>I1439</f>
        <v>7.182276052271952E-3</v>
      </c>
      <c r="Y1432" s="18"/>
      <c r="Z1432" s="38" t="s">
        <v>50</v>
      </c>
      <c r="AA1432" s="3">
        <f>I1439</f>
        <v>7.182276052271952E-3</v>
      </c>
    </row>
    <row r="1433" spans="1:27">
      <c r="B1433" s="13">
        <v>6</v>
      </c>
      <c r="C1433" s="14" t="s">
        <v>26</v>
      </c>
      <c r="D1433" s="15" cm="1">
        <f t="array" ref="D1433">_xlfn.SINGLE(IF(A1436=A1437,_xll.ciqfunctions.udf.CIQ(A1428,"IQ_TOTAL_REV",IQ_FY-5)/I1433, _xll.ciqfunctions.udf.CIQ(A1428, "IQ_TOTAL_REV",IQ_FY-4)/I1433))</f>
        <v>3.9728636588896671</v>
      </c>
      <c r="E1433" s="16">
        <f t="shared" si="383"/>
        <v>-8.2587334004422877E-3</v>
      </c>
      <c r="F1433" s="15">
        <f>IF(A1436=A1437,_xll.ciqfunctions.udf.CIQ(A1428,"IQ_DILUT_EPS_EXCL",IQ_FY-5), _xll.ciqfunctions.udf.CIQ(A1428, "IQ_DILUT_EPS_EXCL",IQ_FY-4))</f>
        <v>-0.17405000000000001</v>
      </c>
      <c r="G1433" s="15">
        <f>IF(A1436=A1437,_xll.ciqfunctions.udf.CIQ(A1428,"IQ_EBITDA_MARGIN",IQ_FY-5), _xll.ciqfunctions.udf.CIQ(A1428, "IQ_EBITDA_MARGIN",IQ_FY-4))</f>
        <v>24.267099999999999</v>
      </c>
      <c r="H1433" s="15">
        <f>IF(A1436=A1437,_xll.ciqfunctions.udf.CIQ(A1428,"IQ_TOTAL_DIV_PAID_CF",IQ_FY-5)/-I1433, _xll.ciqfunctions.udf.CIQ(A1428, "IQ_TOTAL_DIV_PAID_CF",IQ_FY-4)/-I1433)</f>
        <v>0.35102256269505611</v>
      </c>
      <c r="I1433" s="17">
        <f>IF(A1436=A1437,_xll.ciqfunctions.udf.CIQ(A1428,"IQ_TOTAL_OUTSTANDING_FILING_DATE",IQ_FY-5), _xll.ciqfunctions.udf.CIQ(A1428, "IQ_TOTAL_OUTSTANDING_FILING_DATE",IQ_FY-4))</f>
        <v>618.19388000000004</v>
      </c>
      <c r="J1433" s="17">
        <f>IF(A1436=A1437,_xll.ciqfunctions.udf.CIQ(A1428,"IQ_CASH_OPER",IQ_FY-5), _xll.ciqfunctions.udf.CIQ(A1428, "IQ_CASH_OPER",IQ_FY-4))</f>
        <v>1495</v>
      </c>
      <c r="K1433" s="17">
        <f>IF(A1436=A1437,_xll.ciqfunctions.udf.CIQ(A1428,"IQ_CAPEX",IQ_FY-5), _xll.ciqfunctions.udf.CIQ(A1428, "IQ_CAPEX",IQ_FY-4))</f>
        <v>-207</v>
      </c>
      <c r="L1433" s="15">
        <f t="shared" si="380"/>
        <v>2.0834887592222686</v>
      </c>
      <c r="M1433" s="17">
        <f>IF(A1436=A1437,_xll.ciqfunctions.udf.CIQ(A1428,"IQ_TOTAL_DEBT_ISSUED",IQ_FY-5), _xll.ciqfunctions.udf.CIQ(A1428, "IQ_TOTAL_DEBT_ISSUED",IQ_FY-4))</f>
        <v>0</v>
      </c>
      <c r="N1433" s="17">
        <f>IF(A1436=A1437,_xll.ciqfunctions.udf.CIQ(A1428,"IQ_TOTAL_DEBT_REPAID",IQ_FY-5), _xll.ciqfunctions.udf.CIQ(A1428, "IQ_TOTAL_DEBT_REPAID",IQ_FY-4))</f>
        <v>-600</v>
      </c>
      <c r="O1433" s="15">
        <f t="shared" si="381"/>
        <v>-0.97056929777434864</v>
      </c>
      <c r="P1433" s="15">
        <f t="shared" si="382"/>
        <v>1.1129194614479201</v>
      </c>
      <c r="Q1433" s="25" t="s">
        <v>27</v>
      </c>
      <c r="R1433" s="38" t="s">
        <v>51</v>
      </c>
      <c r="S1433" s="4">
        <f>AVERAGE(F1433:F1438)/AVERAGE(D1433:D1438)</f>
        <v>0.26791498796511864</v>
      </c>
      <c r="U1433" s="25" t="s">
        <v>58</v>
      </c>
      <c r="V1433" s="38" t="s">
        <v>51</v>
      </c>
      <c r="W1433" s="4">
        <f>AVERAGE(F1433:F1438)/AVERAGE(D1433:D1438)</f>
        <v>0.26791498796511864</v>
      </c>
      <c r="Y1433" s="25" t="s">
        <v>56</v>
      </c>
      <c r="Z1433" s="38" t="s">
        <v>51</v>
      </c>
      <c r="AA1433" s="4">
        <f>AVERAGE(F1433:F1438)/AVERAGE(D1433:D1438)</f>
        <v>0.26791498796511864</v>
      </c>
    </row>
    <row r="1434" spans="1:27">
      <c r="A1434" s="18"/>
      <c r="B1434" s="13">
        <v>7</v>
      </c>
      <c r="C1434" s="14" t="s">
        <v>28</v>
      </c>
      <c r="D1434" s="15" cm="1">
        <f t="array" ref="D1434">_xlfn.SINGLE(IF(A1436=A1437,_xll.ciqfunctions.udf.CIQ(A1428,"IQ_TOTAL_REV",IQ_FY-4)/I1434, _xll.ciqfunctions.udf.CIQ(A1428, "IQ_TOTAL_REV",IQ_FY-3)/I1434))</f>
        <v>4.2272981906094182</v>
      </c>
      <c r="E1434" s="16">
        <f t="shared" si="383"/>
        <v>6.4043106828101007E-2</v>
      </c>
      <c r="F1434" s="15">
        <f>IF(A1436=A1437,_xll.ciqfunctions.udf.CIQ(A1428,"IQ_DILUT_EPS_EXCL",IQ_FY-4), _xll.ciqfunctions.udf.CIQ(A1428, "IQ_DILUT_EPS_EXCL",IQ_FY-3))</f>
        <v>0.9</v>
      </c>
      <c r="G1434" s="15">
        <f>IF(A1436=A1437,_xll.ciqfunctions.udf.CIQ(A1428,"IQ_EBITDA_MARGIN",IQ_FY-4), _xll.ciqfunctions.udf.CIQ(A1428, "IQ_EBITDA_MARGIN",IQ_FY-3))</f>
        <v>32.971800000000002</v>
      </c>
      <c r="H1434" s="15">
        <f>IF(A1436=A1437,_xll.ciqfunctions.udf.CIQ(A1428,"IQ_TOTAL_DIV_PAID_CF",IQ_FY-4)/-I1434, _xll.ciqfunctions.udf.CIQ(A1428, "IQ_TOTAL_DIV_PAID_CF",IQ_FY-3)/-I1434)</f>
        <v>0.42833056473597014</v>
      </c>
      <c r="I1434" s="17">
        <f>IF(A1436=A1437,_xll.ciqfunctions.udf.CIQ(A1428,"IQ_TOTAL_OUTSTANDING_FILING_DATE",IQ_FY-4), _xll.ciqfunctions.udf.CIQ(A1428, "IQ_TOTAL_OUTSTANDING_FILING_DATE",IQ_FY-3))</f>
        <v>589.02871000000005</v>
      </c>
      <c r="J1434" s="17">
        <f>IF(A1436=A1437,_xll.ciqfunctions.udf.CIQ(A1428,"IQ_CASH_OPER",IQ_FY-4), _xll.ciqfunctions.udf.CIQ(A1428, "IQ_CASH_OPER",IQ_FY-3))</f>
        <v>-861</v>
      </c>
      <c r="K1434" s="17">
        <f>IF(A1436=A1437,_xll.ciqfunctions.udf.CIQ(A1428,"IQ_CAPEX",IQ_FY-4), _xll.ciqfunctions.udf.CIQ(A1428, "IQ_CAPEX",IQ_FY-3))</f>
        <v>-89</v>
      </c>
      <c r="L1434" s="15">
        <f t="shared" si="380"/>
        <v>-1.6128246108750792</v>
      </c>
      <c r="M1434" s="17">
        <f>IF(A1436=A1437,_xll.ciqfunctions.udf.CIQ(A1428,"IQ_TOTAL_DEBT_ISSUED",IQ_FY-4), _xll.ciqfunctions.udf.CIQ(A1428, "IQ_TOTAL_DEBT_ISSUED",IQ_FY-3))</f>
        <v>300</v>
      </c>
      <c r="N1434" s="17">
        <f>IF(A1436=A1437,_xll.ciqfunctions.udf.CIQ(A1428,"IQ_TOTAL_DEBT_REPAID",IQ_FY-4), _xll.ciqfunctions.udf.CIQ(A1428, "IQ_TOTAL_DEBT_REPAID",IQ_FY-3))</f>
        <v>-868</v>
      </c>
      <c r="O1434" s="15">
        <f t="shared" si="381"/>
        <v>-0.96429934629162639</v>
      </c>
      <c r="P1434" s="15">
        <f t="shared" si="382"/>
        <v>-2.5771239571667057</v>
      </c>
      <c r="Q1434" s="18"/>
      <c r="R1434" s="38" t="s">
        <v>29</v>
      </c>
      <c r="S1434" s="4">
        <f>(AVERAGE(P1433:P1438)/_xlfn.STDEV.P(P1433:P1438))/(IF(A1436=A1437,(_xlfn.SINGLE(_xll.ciqfunctions.udf.CIQ(A1428,"IQ_total_assets",IQ_FY)) - _xlfn.SINGLE(_xll.ciqfunctions.udf.CIQ(A1428,"iq_gw_intan", IQ_FY)))/I1438, (_xlfn.SINGLE(_xll.ciqfunctions.udf.CIQ(A1428, "IQ_total_assets",IQ_LTM))-_xlfn.SINGLE(_xll.ciqfunctions.udf.CIQ(A1428,"iq_gw_intan",IQ_LTM)))/I1438))</f>
        <v>7.9742928784054659E-2</v>
      </c>
      <c r="U1434" s="18"/>
      <c r="V1434" s="38" t="s">
        <v>29</v>
      </c>
      <c r="W1434" s="4">
        <f>(AVERAGE(P1433:P1438)/_xlfn.STDEV.P(P1433:P1438))/(IF(A1436=A1437,(_xlfn.SINGLE(_xll.ciqfunctions.udf.CIQ(A1428,"IQ_total_assets",IQ_FY)) - _xlfn.SINGLE(_xll.ciqfunctions.udf.CIQ(A1428,"iq_gw_intan", IQ_FY)))/I1438, (_xlfn.SINGLE(_xll.ciqfunctions.udf.CIQ(A1428, "IQ_total_assets",IQ_LTM))-_xlfn.SINGLE(_xll.ciqfunctions.udf.CIQ(A1428,"iq_gw_intan",IQ_LTM)))/I1438))</f>
        <v>7.9742928784054659E-2</v>
      </c>
      <c r="Y1434" s="18"/>
      <c r="Z1434" s="38" t="s">
        <v>29</v>
      </c>
      <c r="AA1434" s="4">
        <f>(AVERAGE(P1433:P1438)/_xlfn.STDEV.P(P1433:P1438))/(IF(A1436=A1437,(_xlfn.SINGLE(_xll.ciqfunctions.udf.CIQ(A1428,"IQ_total_assets",IQ_FY)) - _xlfn.SINGLE(_xll.ciqfunctions.udf.CIQ(A1428,"iq_gw_intan", IQ_FY)))/I1438, (_xlfn.SINGLE(_xll.ciqfunctions.udf.CIQ(A1428, "IQ_total_assets",IQ_LTM))-_xlfn.SINGLE(_xll.ciqfunctions.udf.CIQ(A1428,"iq_gw_intan",IQ_LTM)))/I1438))</f>
        <v>7.9742928784054659E-2</v>
      </c>
    </row>
    <row r="1435" spans="1:27">
      <c r="A1435" s="18"/>
      <c r="B1435" s="13">
        <v>8</v>
      </c>
      <c r="C1435" s="14" t="s">
        <v>30</v>
      </c>
      <c r="D1435" s="15" cm="1">
        <f t="array" ref="D1435">_xlfn.SINGLE(IF(A1436=A1437,_xll.ciqfunctions.udf.CIQ(A1428,"IQ_TOTAL_REV",IQ_FY-3)/I1435, _xll.ciqfunctions.udf.CIQ(A1428, "IQ_TOTAL_REV",IQ_FY-2)/I1435))</f>
        <v>4.3986934345870834</v>
      </c>
      <c r="E1435" s="16">
        <f t="shared" si="383"/>
        <v>4.0544867253132284E-2</v>
      </c>
      <c r="F1435" s="15">
        <f>IF(A1436=A1437,_xll.ciqfunctions.udf.CIQ(A1428,"IQ_DILUT_EPS_EXCL",IQ_FY-3), _xll.ciqfunctions.udf.CIQ(A1428, "IQ_DILUT_EPS_EXCL",IQ_FY-2))</f>
        <v>1.1599999999999999</v>
      </c>
      <c r="G1435" s="15">
        <f>IF(A1436=A1437,_xll.ciqfunctions.udf.CIQ(A1428,"IQ_EBITDA_MARGIN",IQ_FY-3), _xll.ciqfunctions.udf.CIQ(A1428, "IQ_EBITDA_MARGIN",IQ_FY-2))</f>
        <v>46.1387</v>
      </c>
      <c r="H1435" s="15">
        <f>IF(A1436=A1437,_xll.ciqfunctions.udf.CIQ(A1428,"IQ_TOTAL_DIV_PAID_CF",IQ_FY-3)/-I1435, _xll.ciqfunctions.udf.CIQ(A1428, "IQ_TOTAL_DIV_PAID_CF",IQ_FY-2)/-I1435)</f>
        <v>0.64316450454762142</v>
      </c>
      <c r="I1435" s="17">
        <f>IF(A1436=A1437,_xll.ciqfunctions.udf.CIQ(A1428,"IQ_TOTAL_OUTSTANDING_FILING_DATE",IQ_FY-3), _xll.ciqfunctions.udf.CIQ(A1428, "IQ_TOTAL_OUTSTANDING_FILING_DATE",IQ_FY-2))</f>
        <v>579.94493999999997</v>
      </c>
      <c r="J1435" s="17">
        <f>IF(A1436=A1437,_xll.ciqfunctions.udf.CIQ(A1428,"IQ_CASH_OPER",IQ_FY-3), _xll.ciqfunctions.udf.CIQ(A1428, "IQ_CASH_OPER",IQ_FY-2))</f>
        <v>706</v>
      </c>
      <c r="K1435" s="17">
        <f>IF(A1436=A1437,_xll.ciqfunctions.udf.CIQ(A1428,"IQ_CAPEX",IQ_FY-3), _xll.ciqfunctions.udf.CIQ(A1428, "IQ_CAPEX",IQ_FY-2))</f>
        <v>-6</v>
      </c>
      <c r="L1435" s="15">
        <f t="shared" si="380"/>
        <v>1.207011134539772</v>
      </c>
      <c r="M1435" s="17">
        <f>IF(A1436=A1437,_xll.ciqfunctions.udf.CIQ(A1428,"IQ_TOTAL_DEBT_ISSUED",IQ_FY-3), _xll.ciqfunctions.udf.CIQ(A1428, "IQ_TOTAL_DEBT_ISSUED",IQ_FY-2))</f>
        <v>750</v>
      </c>
      <c r="N1435" s="17">
        <f>IF(A1436=A1437,_xll.ciqfunctions.udf.CIQ(A1428,"IQ_TOTAL_DEBT_REPAID",IQ_FY-3), _xll.ciqfunctions.udf.CIQ(A1428, "IQ_TOTAL_DEBT_REPAID",IQ_FY-2))</f>
        <v>-1941</v>
      </c>
      <c r="O1435" s="15">
        <f t="shared" si="381"/>
        <v>-2.0536432303383836</v>
      </c>
      <c r="P1435" s="15">
        <f t="shared" si="382"/>
        <v>-0.84663209579861154</v>
      </c>
      <c r="Q1435" s="18"/>
      <c r="R1435" s="39" t="s">
        <v>31</v>
      </c>
      <c r="S1435" s="5">
        <f>IF(NOT(D1428&gt;0),FALSE,SLOPE(G1428:G1438,B1428:B1438))</f>
        <v>3.8672700000000004</v>
      </c>
      <c r="U1435" s="18"/>
      <c r="V1435" s="39" t="s">
        <v>31</v>
      </c>
      <c r="W1435" s="5">
        <f>IF(NOT(D1428&gt;0),FALSE,SLOPE(G1428:G1438,B1428:B1438))</f>
        <v>3.8672700000000004</v>
      </c>
      <c r="Y1435" s="18"/>
      <c r="Z1435" s="39" t="s">
        <v>31</v>
      </c>
      <c r="AA1435" s="5">
        <f>IF(NOT(L1428&gt;0),FALSE,SLOPE(O1428:O1438,J1428:J1438))</f>
        <v>-2.1886313341568614E-3</v>
      </c>
    </row>
    <row r="1436" spans="1:27">
      <c r="A1436" s="19">
        <f>_xll.ciqfunctions.udf.CIQ(A1428,"IQ_TOTAL_REV",IQ_FY)</f>
        <v>3338</v>
      </c>
      <c r="B1436" s="13">
        <v>9</v>
      </c>
      <c r="C1436" s="14" t="s">
        <v>32</v>
      </c>
      <c r="D1436" s="15" cm="1">
        <f t="array" ref="D1436">_xlfn.SINGLE(IF(A1436=A1437,_xll.ciqfunctions.udf.CIQ(A1428,"IQ_TOTAL_REV",IQ_FY-2)/I1436, _xll.ciqfunctions.udf.CIQ(A1428, "IQ_TOTAL_REV",IQ_FY-1)/I1436))</f>
        <v>4.8201571940147918</v>
      </c>
      <c r="E1436" s="16">
        <f t="shared" si="383"/>
        <v>9.5815670197364478E-2</v>
      </c>
      <c r="F1436" s="15">
        <f>IF(A1436=A1437,_xll.ciqfunctions.udf.CIQ(A1428,"IQ_DILUT_EPS_EXCL",IQ_FY-2), _xll.ciqfunctions.udf.CIQ(A1428, "IQ_DILUT_EPS_EXCL",IQ_FY-1))</f>
        <v>1.41</v>
      </c>
      <c r="G1436" s="15">
        <f>IF(A1436=A1437,_xll.ciqfunctions.udf.CIQ(A1428,"IQ_EBITDA_MARGIN",IQ_FY-2), _xll.ciqfunctions.udf.CIQ(A1428, "IQ_EBITDA_MARGIN",IQ_FY-1))</f>
        <v>48.5336</v>
      </c>
      <c r="H1436" s="15">
        <f>IF(A1436=A1437,_xll.ciqfunctions.udf.CIQ(A1428,"IQ_TOTAL_DIV_PAID_CF",IQ_FY-2)/-I1436, _xll.ciqfunctions.udf.CIQ(A1428, "IQ_TOTAL_DIV_PAID_CF",IQ_FY-1)/-I1436)</f>
        <v>0.5223560907676974</v>
      </c>
      <c r="I1436" s="17">
        <f>IF(A1436=A1437,_xll.ciqfunctions.udf.CIQ(A1428,"IQ_TOTAL_OUTSTANDING_FILING_DATE",IQ_FY-2), _xll.ciqfunctions.udf.CIQ(A1428, "IQ_TOTAL_OUTSTANDING_FILING_DATE",IQ_FY-1))</f>
        <v>580.06407000000002</v>
      </c>
      <c r="J1436" s="17">
        <f>IF(A1436=A1437,_xll.ciqfunctions.udf.CIQ(A1428,"IQ_CASH_OPER",IQ_FY-2), _xll.ciqfunctions.udf.CIQ(A1428, "IQ_CASH_OPER",IQ_FY-1))</f>
        <v>974</v>
      </c>
      <c r="K1436" s="17">
        <f>IF(A1436=A1437,_xll.ciqfunctions.udf.CIQ(A1428,"IQ_CAPEX",IQ_FY-2), _xll.ciqfunctions.udf.CIQ(A1428, "IQ_CAPEX",IQ_FY-1))</f>
        <v>-6</v>
      </c>
      <c r="L1436" s="15">
        <f t="shared" si="380"/>
        <v>1.6687811744657792</v>
      </c>
      <c r="M1436" s="17">
        <f>IF(A1436=A1437,_xll.ciqfunctions.udf.CIQ(A1428,"IQ_TOTAL_DEBT_ISSUED",IQ_FY-2), _xll.ciqfunctions.udf.CIQ(A1428, "IQ_TOTAL_DEBT_ISSUED",IQ_FY-1))</f>
        <v>512</v>
      </c>
      <c r="N1436" s="17">
        <f>IF(A1436=A1437,_xll.ciqfunctions.udf.CIQ(A1428,"IQ_TOTAL_DEBT_REPAID",IQ_FY-2), _xll.ciqfunctions.udf.CIQ(A1428, "IQ_TOTAL_DEBT_REPAID",IQ_FY-1))</f>
        <v>-541</v>
      </c>
      <c r="O1436" s="15">
        <f t="shared" si="381"/>
        <v>-4.9994477334202064E-2</v>
      </c>
      <c r="P1436" s="15">
        <f t="shared" si="382"/>
        <v>1.6187866971315772</v>
      </c>
      <c r="Q1436" s="25" t="s">
        <v>33</v>
      </c>
      <c r="R1436" s="38" t="s">
        <v>52</v>
      </c>
      <c r="S1436" s="4">
        <f>(AVERAGE(O1433:O1438)/AVERAGE(P1433:P1438))</f>
        <v>0.41518375944989588</v>
      </c>
      <c r="U1436" s="25" t="s">
        <v>54</v>
      </c>
      <c r="V1436" s="38" t="s">
        <v>52</v>
      </c>
      <c r="W1436" s="4">
        <f>(AVERAGE(O1433:O1438)/AVERAGE(P1433:P1438))</f>
        <v>0.41518375944989588</v>
      </c>
      <c r="Y1436" s="25" t="s">
        <v>60</v>
      </c>
      <c r="Z1436" s="38" t="s">
        <v>52</v>
      </c>
      <c r="AA1436" s="4">
        <f>(AVERAGE(O1433:O1438)/AVERAGE(P1433:P1438))</f>
        <v>0.41518375944989588</v>
      </c>
    </row>
    <row r="1437" spans="1:27">
      <c r="A1437" s="19">
        <f>_xll.ciqfunctions.udf.CIQ(A1428,"IQ_TOTAL_REV",IQ_LTM)</f>
        <v>3777</v>
      </c>
      <c r="B1437" s="13">
        <v>10</v>
      </c>
      <c r="C1437" s="14" t="s">
        <v>34</v>
      </c>
      <c r="D1437" s="15" cm="1">
        <f t="array" ref="D1437">_xlfn.SINGLE(IF(A1436=A1437,_xll.ciqfunctions.udf.CIQ(A1428,"IQ_TOTAL_REV",IQ_FY-1)/I1437, _xll.ciqfunctions.udf.CIQ(A1428, "IQ_TOTAL_REV",IQ_FY)/I1437))</f>
        <v>5.2093522073771634</v>
      </c>
      <c r="E1437" s="16">
        <f t="shared" si="383"/>
        <v>8.0743220126853241E-2</v>
      </c>
      <c r="F1437" s="15">
        <f>IF(A1436=A1437,_xll.ciqfunctions.udf.CIQ(A1428,"IQ_DILUT_EPS_EXCL",IQ_FY-1), _xll.ciqfunctions.udf.CIQ(A1428, "IQ_DILUT_EPS_EXCL",IQ_FY))</f>
        <v>2.16</v>
      </c>
      <c r="G1437" s="15">
        <f>IF(A1436=A1437,_xll.ciqfunctions.udf.CIQ(A1428,"IQ_EBITDA_MARGIN",IQ_FY-1), _xll.ciqfunctions.udf.CIQ(A1428, "IQ_EBITDA_MARGIN",IQ_FY))</f>
        <v>46.914299999999997</v>
      </c>
      <c r="H1437" s="15">
        <f>IF(A1436=A1437,_xll.ciqfunctions.udf.CIQ(A1428,"IQ_TOTAL_DIV_PAID_CF",IQ_FY-1)/-I1437, _xll.ciqfunctions.udf.CIQ(A1428, "IQ_TOTAL_DIV_PAID_CF",IQ_FY)/-I1437)</f>
        <v>0.49003492903428081</v>
      </c>
      <c r="I1437" s="17">
        <f>IF(A1436=A1437,_xll.ciqfunctions.udf.CIQ(A1428,"IQ_TOTAL_OUTSTANDING_FILING_DATE",IQ_FY-1), _xll.ciqfunctions.udf.CIQ(A1428, "IQ_TOTAL_OUTSTANDING_FILING_DATE",IQ_FY))</f>
        <v>640.77065000000005</v>
      </c>
      <c r="J1437" s="17">
        <f>IF(A1436=A1437,_xll.ciqfunctions.udf.CIQ(A1428,"IQ_CASH_OPER",IQ_FY-1), _xll.ciqfunctions.udf.CIQ(A1428, "IQ_CASH_OPER",IQ_FY))</f>
        <v>757</v>
      </c>
      <c r="K1437" s="17">
        <f>IF(A1436=A1437,_xll.ciqfunctions.udf.CIQ(A1428,"IQ_CAPEX",IQ_FY-1), _xll.ciqfunctions.udf.CIQ(A1428, "IQ_CAPEX",IQ_FY))</f>
        <v>-6</v>
      </c>
      <c r="L1437" s="15">
        <f t="shared" si="380"/>
        <v>1.1720262156202066</v>
      </c>
      <c r="M1437" s="17">
        <f>IF(A1436=A1437,_xll.ciqfunctions.udf.CIQ(A1428,"IQ_TOTAL_DEBT_ISSUED",IQ_FY-1), _xll.ciqfunctions.udf.CIQ(A1428, "IQ_TOTAL_DEBT_ISSUED",IQ_FY))</f>
        <v>8954</v>
      </c>
      <c r="N1437" s="17">
        <f>IF(A1436=A1437,_xll.ciqfunctions.udf.CIQ(A1428,"IQ_TOTAL_DEBT_REPAID",IQ_FY-1), _xll.ciqfunctions.udf.CIQ(A1428, "IQ_TOTAL_DEBT_REPAID",IQ_FY))</f>
        <v>-3047</v>
      </c>
      <c r="O1437" s="15">
        <f t="shared" si="381"/>
        <v>9.2185870248582695</v>
      </c>
      <c r="P1437" s="15">
        <f t="shared" si="382"/>
        <v>10.390613240478476</v>
      </c>
      <c r="Q1437" s="25" t="s">
        <v>44</v>
      </c>
      <c r="R1437" s="38" t="s">
        <v>35</v>
      </c>
      <c r="S1437" s="1">
        <f>_xll.ciqfunctions.udf.CIQ(A1428,"IQ_TEV_EBITDA")</f>
        <v>12.19298</v>
      </c>
      <c r="U1437" s="25" t="s">
        <v>55</v>
      </c>
      <c r="V1437" s="38" t="s">
        <v>53</v>
      </c>
      <c r="W1437" s="1">
        <f>V1427/(AVERAGE(D1433:D1438)/_xlfn.STDEV.P(E1433:E1438))</f>
        <v>0.19759301742033902</v>
      </c>
      <c r="Y1437" s="25" t="s">
        <v>57</v>
      </c>
      <c r="Z1437" s="38" t="s">
        <v>53</v>
      </c>
      <c r="AA1437" s="1">
        <f>Z1427/(AVERAGE(D1433:D1438)/_xlfn.STDEV.P(E1433:E1438))</f>
        <v>0.19759301742033902</v>
      </c>
    </row>
    <row r="1438" spans="1:27">
      <c r="B1438" s="13">
        <v>11</v>
      </c>
      <c r="C1438" s="20" t="s">
        <v>36</v>
      </c>
      <c r="D1438" s="21" cm="1">
        <f t="array" ref="D1438">_xlfn.SINGLE(IF(A1436=A1437,_xll.ciqfunctions.udf.CIQ(A1428,"IQ_TOTAL_REV",IQ_FY)/I1438, _xll.ciqfunctions.udf.CIQ(A1428, "IQ_TOTAL_REV",IQ_LTM)/I1438))</f>
        <v>5.8949742215446177</v>
      </c>
      <c r="E1438" s="22">
        <f t="shared" si="383"/>
        <v>0.13161367994978698</v>
      </c>
      <c r="F1438" s="21">
        <f>IF(A1436=A1437,_xll.ciqfunctions.udf.CIQ(A1428,"IQ_DILUT_EPS_EXCL",IQ_FY), _xll.ciqfunctions.udf.CIQ(A1428, "IQ_DILUT_EPS_EXCL",IQ_LTM))</f>
        <v>2.18588</v>
      </c>
      <c r="G1438" s="21">
        <f>IF(A1436=A1437,_xll.ciqfunctions.udf.CIQ(A1428,"IQ_EBITDA_MARGIN",IQ_FY), _xll.ciqfunctions.udf.CIQ(A1428, "IQ_EBITDA_MARGIN",IQ_LTM))</f>
        <v>48.3187</v>
      </c>
      <c r="H1438" s="21">
        <f>IF(A1436=A1437,_xll.ciqfunctions.udf.CIQ(A1428,"IQ_TOTAL_DIV_PAID_CF",IQ_FY)/-I1438, _xll.ciqfunctions.udf.CIQ(A1428, "IQ_TOTAL_DIV_PAID_CF",IQ_LTM)/-I1438)</f>
        <v>0.5072455975647342</v>
      </c>
      <c r="I1438" s="23">
        <f>IF(A1436=A1437,_xll.ciqfunctions.udf.CIQ(A1428,"IQ_TOTAL_OUTSTANDING_FILING_DATE",IQ_FY),_xll.ciqfunctions.udf.CIQ(A1428,"IQ_sharesoutstanding"))</f>
        <v>640.71527000000003</v>
      </c>
      <c r="J1438" s="23">
        <f>IF(A1436=A1437,_xll.ciqfunctions.udf.CIQ(A1428,"IQ_CASH_OPER",IQ_FY), _xll.ciqfunctions.udf.CIQ(A1428, "IQ_CASH_OPER",IQ_LTM))</f>
        <v>981</v>
      </c>
      <c r="K1438" s="23">
        <f>IF(A1436=A1437,_xll.ciqfunctions.udf.CIQ(A1428,"IQ_CAPEX",IQ_FY), _xll.ciqfunctions.udf.CIQ(A1428, "IQ_CAPEX",IQ_LTM))</f>
        <v>-11</v>
      </c>
      <c r="L1438" s="21">
        <f t="shared" si="380"/>
        <v>1.5139330142701297</v>
      </c>
      <c r="M1438" s="23">
        <f>IF(A1436=A1437,_xll.ciqfunctions.udf.CIQ(A1428,"IQ_TOTAL_DEBT_ISSUED",IQ_FY), _xll.ciqfunctions.udf.CIQ(A1428, "IQ_TOTAL_DEBT_ISSUED",IQ_LTM))</f>
        <v>0</v>
      </c>
      <c r="N1438" s="23">
        <f>IF(A1436=A1437,_xll.ciqfunctions.udf.CIQ(A1428,"IQ_TOTAL_DEBT_REPAID",IQ_FY), _xll.ciqfunctions.udf.CIQ(A1428, "IQ_TOTAL_DEBT_REPAID",IQ_LTM))</f>
        <v>-575</v>
      </c>
      <c r="O1438" s="21">
        <f t="shared" si="381"/>
        <v>-0.89743451876837577</v>
      </c>
      <c r="P1438" s="21">
        <f t="shared" si="382"/>
        <v>0.61649849550175395</v>
      </c>
      <c r="Q1438" s="25" t="s">
        <v>45</v>
      </c>
      <c r="S1438" s="45"/>
      <c r="U1438" s="25"/>
      <c r="W1438" s="45"/>
      <c r="Y1438" s="25"/>
      <c r="AA1438" s="45"/>
    </row>
    <row r="1439" spans="1:27">
      <c r="B1439" s="24"/>
      <c r="C1439" s="25" t="s">
        <v>37</v>
      </c>
      <c r="E1439" s="26">
        <f>((D1438/D1433)^(1/5))-1</f>
        <v>8.2120563068984964E-2</v>
      </c>
      <c r="F1439" s="27">
        <f>((F1438/F1433)^(1/5))-1</f>
        <v>-2.658786368447938</v>
      </c>
      <c r="G1439" s="28"/>
      <c r="H1439" s="27">
        <f>((H1438/H1433)^(1/5))-1</f>
        <v>7.6407340579630167E-2</v>
      </c>
      <c r="I1439" s="27">
        <f>((I1438/I1433)^(1/5))-1</f>
        <v>7.182276052271952E-3</v>
      </c>
      <c r="J1439" s="27"/>
      <c r="K1439" s="27"/>
      <c r="L1439" s="26">
        <f>((L1438/L1433)^(1/5))-1</f>
        <v>-6.1869837281832707E-2</v>
      </c>
      <c r="M1439" s="26"/>
      <c r="N1439" s="26"/>
      <c r="O1439" s="26"/>
      <c r="P1439" s="26">
        <f>((P1438/P1433)^(1/5))-1</f>
        <v>-0.11142588673731102</v>
      </c>
      <c r="Q1439" s="18"/>
      <c r="R1439" s="36"/>
      <c r="S1439" s="45"/>
      <c r="U1439" s="18"/>
      <c r="V1439" s="36"/>
      <c r="W1439" s="45"/>
      <c r="Y1439" s="18"/>
      <c r="Z1439" s="36"/>
      <c r="AA1439" s="45"/>
    </row>
    <row r="1440" spans="1:27">
      <c r="A1440" s="29"/>
      <c r="B1440" s="30"/>
      <c r="C1440" s="31" t="s">
        <v>38</v>
      </c>
      <c r="D1440" s="29"/>
      <c r="E1440" s="32">
        <f>((D1438/D1428)^(1/10))-1</f>
        <v>-2.5507576318070102E-3</v>
      </c>
      <c r="F1440" s="33">
        <f>((F1438/F1428)^(1/10))-1</f>
        <v>0.32607563777431681</v>
      </c>
      <c r="G1440" s="34"/>
      <c r="H1440" s="33">
        <f>((H1438/H1428)^(1/10))-1</f>
        <v>-1.735737119073244E-2</v>
      </c>
      <c r="I1440" s="33">
        <f>((I1438/I1428)^(1/10))-1</f>
        <v>-7.6266171525410931E-3</v>
      </c>
      <c r="J1440" s="33"/>
      <c r="K1440" s="33"/>
      <c r="L1440" s="32">
        <f>((L1438/L1428)^(1/10))-1</f>
        <v>-3.7252769210124326E-3</v>
      </c>
      <c r="M1440" s="32"/>
      <c r="N1440" s="32"/>
      <c r="O1440" s="32"/>
      <c r="P1440" s="32" t="e">
        <f>((P1438/P1428)^(1/10))-1</f>
        <v>#NUM!</v>
      </c>
      <c r="Q1440" s="40"/>
      <c r="R1440" s="41"/>
      <c r="S1440" s="46"/>
      <c r="U1440" s="40"/>
      <c r="V1440" s="41"/>
      <c r="W1440" s="46"/>
      <c r="Y1440" s="40"/>
      <c r="Z1440" s="41"/>
      <c r="AA1440" s="46"/>
    </row>
    <row r="1441" spans="1:27">
      <c r="B1441" s="24"/>
      <c r="C1441" s="25"/>
      <c r="E1441" s="26"/>
      <c r="F1441" s="27"/>
      <c r="G1441" s="28"/>
      <c r="H1441" s="27"/>
      <c r="I1441" s="27"/>
      <c r="J1441" s="27"/>
      <c r="K1441" s="27"/>
      <c r="L1441" s="26"/>
      <c r="M1441" s="17"/>
      <c r="N1441" s="17"/>
      <c r="O1441" s="17"/>
      <c r="P1441" s="35"/>
      <c r="Q1441" s="18"/>
      <c r="R1441" s="36"/>
    </row>
    <row r="1442" spans="1:27">
      <c r="A1442" s="9" t="s">
        <v>0</v>
      </c>
      <c r="B1442" s="10"/>
      <c r="C1442" s="9" t="s">
        <v>1</v>
      </c>
      <c r="D1442" s="9" t="s">
        <v>2</v>
      </c>
      <c r="E1442" s="9" t="s">
        <v>3</v>
      </c>
      <c r="F1442" s="11" t="s">
        <v>4</v>
      </c>
      <c r="G1442" s="11" t="s">
        <v>5</v>
      </c>
      <c r="H1442" s="9" t="s">
        <v>6</v>
      </c>
      <c r="I1442" s="11" t="s">
        <v>7</v>
      </c>
      <c r="J1442" s="11" t="s">
        <v>8</v>
      </c>
      <c r="K1442" s="11" t="s">
        <v>9</v>
      </c>
      <c r="L1442" s="11" t="s">
        <v>10</v>
      </c>
      <c r="M1442" s="11" t="s">
        <v>11</v>
      </c>
      <c r="N1442" s="11" t="s">
        <v>12</v>
      </c>
      <c r="O1442" s="11" t="s">
        <v>13</v>
      </c>
      <c r="P1442" s="11" t="s">
        <v>14</v>
      </c>
      <c r="Q1442" s="37" t="s">
        <v>15</v>
      </c>
      <c r="R1442" s="42">
        <f>_xll.ciqfunctions.udf.CIQ(A1443,("IQ_LASTSALEPRICE"))</f>
        <v>181.76</v>
      </c>
      <c r="S1442" s="44"/>
      <c r="U1442" s="37" t="s">
        <v>15</v>
      </c>
      <c r="V1442" s="42">
        <f>_xll.ciqfunctions.udf.CIQ(A1443,("IQ_LASTSALEPRICE"))</f>
        <v>181.76</v>
      </c>
      <c r="W1442" s="44"/>
      <c r="Y1442" s="37" t="s">
        <v>15</v>
      </c>
      <c r="Z1442" s="42">
        <f>_xll.ciqfunctions.udf.CIQ(A1443,("IQ_LASTSALEPRICE"))</f>
        <v>181.76</v>
      </c>
      <c r="AA1442" s="44"/>
    </row>
    <row r="1443" spans="1:27">
      <c r="A1443" s="12" t="str">
        <f>Analysis!B98</f>
        <v>NasdaqGS:QLYS</v>
      </c>
      <c r="B1443" s="13">
        <v>1</v>
      </c>
      <c r="C1443" s="14" t="s">
        <v>16</v>
      </c>
      <c r="D1443" s="15">
        <f>IF(A1451=A1452,_xll.ciqfunctions.udf.CIQ(A1443,"IQ_TOTAL_REV",IQ_FY-10)/I1443,_xll.ciqfunctions.udf.CIQ(A1443, "IQ_TOTAL_REV",IQ_FY-9)/I1443)</f>
        <v>3.32685908227106</v>
      </c>
      <c r="E1443" s="16"/>
      <c r="F1443" s="15">
        <f>IF(A1451=A1452,_xll.ciqfunctions.udf.CIQ(A1443,"IQ_DILUT_EPS_EXCL",IQ_FY-10), _xll.ciqfunctions.udf.CIQ(A1443, "IQ_DILUT_EPS_EXCL",IQ_FY-9))</f>
        <v>0.04</v>
      </c>
      <c r="G1443" s="15">
        <f>IF(A1451=A1452,_xll.ciqfunctions.udf.CIQ(A1443,"IQ_EBITDA_MARGIN",IQ_FY-10), _xll.ciqfunctions.udf.CIQ(A1443, "IQ_EBITDA_MARGIN",IQ_FY-9))</f>
        <v>11.0418</v>
      </c>
      <c r="H1443" s="15">
        <f>IF(A1451=A1452,_xll.ciqfunctions.udf.CIQ(A1443,"IQ_TOTAL_DIV_PAID_CF",IQ_FY-10)/-I1443, _xll.ciqfunctions.udf.CIQ(A1443, "IQ_TOTAL_DIV_PAID_CF",IQ_FY-9)/-I1443)</f>
        <v>0</v>
      </c>
      <c r="I1443" s="17">
        <f>IF(A1451=A1452,_xll.ciqfunctions.udf.CIQ(A1443,"IQ_TOTAL_OUTSTANDING_FILING_DATE",IQ_FY-10), _xll.ciqfunctions.udf.CIQ(A1443, "IQ_TOTAL_OUTSTANDING_FILING_DATE",IQ_FY-9))</f>
        <v>32.451630000000002</v>
      </c>
      <c r="J1443" s="17">
        <f>IF(A1451=A1452,_xll.ciqfunctions.udf.CIQ(A1443,"IQ_CASH_OPER",IQ_FY-10), _xll.ciqfunctions.udf.CIQ(A1443, "IQ_CASH_OPER",IQ_FY-9))</f>
        <v>25.081</v>
      </c>
      <c r="K1443" s="17">
        <f>IF(A1451=A1452,_xll.ciqfunctions.udf.CIQ(A1443,"IQ_CAPEX",IQ_FY-10), _xll.ciqfunctions.udf.CIQ(A1443, "IQ_CAPEX",IQ_FY-9))</f>
        <v>-13.65</v>
      </c>
      <c r="L1443" s="15">
        <f t="shared" ref="L1443:L1453" si="384">(J1443+K1443)/I1443</f>
        <v>0.35224732933291791</v>
      </c>
      <c r="M1443" s="17">
        <f>IF(A1451=A1452,_xll.ciqfunctions.udf.CIQ(A1443,"IQ_TOTAL_DEBT_ISSUED",IQ_FY-10), _xll.ciqfunctions.udf.CIQ(A1443, "IQ_TOTAL_DEBT_ISSUED",IQ_FY-9))</f>
        <v>0</v>
      </c>
      <c r="N1443" s="17">
        <f>IF(A1451=A1452,_xll.ciqfunctions.udf.CIQ(A1443,"IQ_TOTAL_DEBT_REPAID",IQ_FY-10), _xll.ciqfunctions.udf.CIQ(A1443, "IQ_TOTAL_DEBT_REPAID",IQ_FY-9))</f>
        <v>-1.1859999999999999</v>
      </c>
      <c r="O1443" s="15">
        <f t="shared" ref="O1443:O1453" si="385">(M1443+N1443)/I1443</f>
        <v>-3.6546700427682675E-2</v>
      </c>
      <c r="P1443" s="15">
        <f t="shared" ref="P1443:P1453" si="386">L1443+O1443</f>
        <v>0.31570062890523526</v>
      </c>
      <c r="W1443" s="43"/>
      <c r="AA1443" s="43"/>
    </row>
    <row r="1444" spans="1:27">
      <c r="A1444" s="18" t="str">
        <f>_xll.ciqfunctions.udf.CIQ(A1443,"IQ_COMPANY_NAME")</f>
        <v>Qualys, Inc.</v>
      </c>
      <c r="B1444" s="13">
        <v>2</v>
      </c>
      <c r="C1444" s="14" t="s">
        <v>17</v>
      </c>
      <c r="D1444" s="15">
        <f>IF(A1451=A1452,_xll.ciqfunctions.udf.CIQ(A1443,"IQ_TOTAL_REV",IQ_FY-9)/I1444, _xll.ciqfunctions.udf.CIQ(A1443, "IQ_TOTAL_REV",IQ_FY-8)/I1444)</f>
        <v>3.9386267835702777</v>
      </c>
      <c r="E1444" s="16">
        <f t="shared" ref="E1444:E1453" si="387">(D1444-D1443)/D1443</f>
        <v>0.1838874704851034</v>
      </c>
      <c r="F1444" s="15">
        <f>IF(A1451=A1452,_xll.ciqfunctions.udf.CIQ(A1443,"IQ_DILUT_EPS_EXCL",IQ_FY-9), _xll.ciqfunctions.udf.CIQ(A1443, "IQ_DILUT_EPS_EXCL",IQ_FY-8))</f>
        <v>0.81</v>
      </c>
      <c r="G1444" s="15">
        <f>IF(A1451=A1452,_xll.ciqfunctions.udf.CIQ(A1443,"IQ_EBITDA_MARGIN",IQ_FY-9), _xll.ciqfunctions.udf.CIQ(A1443, "IQ_EBITDA_MARGIN",IQ_FY-8))</f>
        <v>15.828799999999999</v>
      </c>
      <c r="H1444" s="15">
        <f>IF(A1451=A1452,_xll.ciqfunctions.udf.CIQ(A1443,"IQ_TOTAL_DIV_PAID_CF",IQ_FY-9)/-I1444, _xll.ciqfunctions.udf.CIQ(A1443, "IQ_TOTAL_DIV_PAID_CF",IQ_FY-8)/-I1444)</f>
        <v>0</v>
      </c>
      <c r="I1444" s="17">
        <f>IF(A1451=A1452,_xll.ciqfunctions.udf.CIQ(A1443,"IQ_TOTAL_OUTSTANDING_FILING_DATE",IQ_FY-9), _xll.ciqfunctions.udf.CIQ(A1443, "IQ_TOTAL_OUTSTANDING_FILING_DATE",IQ_FY-8))</f>
        <v>33.915120000000002</v>
      </c>
      <c r="J1444" s="17">
        <f>IF(A1451=A1452,_xll.ciqfunctions.udf.CIQ(A1443,"IQ_CASH_OPER",IQ_FY-9), _xll.ciqfunctions.udf.CIQ(A1443, "IQ_CASH_OPER",IQ_FY-8))</f>
        <v>41.423000000000002</v>
      </c>
      <c r="K1444" s="17">
        <f>IF(A1451=A1452,_xll.ciqfunctions.udf.CIQ(A1443,"IQ_CAPEX",IQ_FY-9), _xll.ciqfunctions.udf.CIQ(A1443, "IQ_CAPEX",IQ_FY-8))</f>
        <v>-13.914</v>
      </c>
      <c r="L1444" s="15">
        <f t="shared" si="384"/>
        <v>0.81111315543038032</v>
      </c>
      <c r="M1444" s="17">
        <f>IF(A1451=A1452,_xll.ciqfunctions.udf.CIQ(A1443,"IQ_TOTAL_DEBT_ISSUED",IQ_FY-9), _xll.ciqfunctions.udf.CIQ(A1443, "IQ_TOTAL_DEBT_ISSUED",IQ_FY-8))</f>
        <v>0</v>
      </c>
      <c r="N1444" s="17">
        <f>IF(A1451=A1452,_xll.ciqfunctions.udf.CIQ(A1443,"IQ_TOTAL_DEBT_REPAID",IQ_FY-9), _xll.ciqfunctions.udf.CIQ(A1443, "IQ_TOTAL_DEBT_REPAID",IQ_FY-8))</f>
        <v>-0.80500000000000005</v>
      </c>
      <c r="O1444" s="15">
        <f t="shared" si="385"/>
        <v>-2.3735726130410272E-2</v>
      </c>
      <c r="P1444" s="15">
        <f t="shared" si="386"/>
        <v>0.78737742929997001</v>
      </c>
      <c r="Q1444" s="25" t="s">
        <v>18</v>
      </c>
      <c r="R1444" s="39" t="s">
        <v>19</v>
      </c>
      <c r="S1444" s="1">
        <f>R1442/((AVERAGE(P1448:P1453))*(1+E1454)^3)</f>
        <v>27.325352798967881</v>
      </c>
      <c r="U1444" s="25" t="s">
        <v>48</v>
      </c>
      <c r="V1444" s="39" t="s">
        <v>19</v>
      </c>
      <c r="W1444" s="1">
        <f>V1442/((AVERAGE(P1448:P1453))*(1+E1454)^3)</f>
        <v>27.325352798967881</v>
      </c>
      <c r="Y1444" s="25" t="s">
        <v>39</v>
      </c>
      <c r="Z1444" s="39" t="s">
        <v>19</v>
      </c>
      <c r="AA1444" s="1">
        <f>Z1442/((AVERAGE(P1448:P1453))*(1+E1454)^3)</f>
        <v>27.325352798967881</v>
      </c>
    </row>
    <row r="1445" spans="1:27">
      <c r="B1445" s="13">
        <v>3</v>
      </c>
      <c r="C1445" s="14" t="s">
        <v>20</v>
      </c>
      <c r="D1445" s="15" cm="1">
        <f t="array" ref="D1445">_xlfn.SINGLE(IF(A1451=A1452,_xll.ciqfunctions.udf.CIQ(A1443,"IQ_TOTAL_REV",IQ_FY-8)/I1445, _xll.ciqfunctions.udf.CIQ(A1443, "IQ_TOTAL_REV",IQ_FY-7)/I1445))</f>
        <v>4.7712080231479854</v>
      </c>
      <c r="E1445" s="16">
        <f t="shared" si="387"/>
        <v>0.21138871117486061</v>
      </c>
      <c r="F1445" s="15">
        <f>IF(A1451=A1452,_xll.ciqfunctions.udf.CIQ(A1443,"IQ_DILUT_EPS_EXCL",IQ_FY-8), _xll.ciqfunctions.udf.CIQ(A1443, "IQ_DILUT_EPS_EXCL",IQ_FY-7))</f>
        <v>0.42</v>
      </c>
      <c r="G1445" s="15">
        <f>IF(A1451=A1452,_xll.ciqfunctions.udf.CIQ(A1443,"IQ_EBITDA_MARGIN",IQ_FY-8), _xll.ciqfunctions.udf.CIQ(A1443, "IQ_EBITDA_MARGIN",IQ_FY-7))</f>
        <v>23.840399999999999</v>
      </c>
      <c r="H1445" s="15">
        <f>IF(A1451=A1452,_xll.ciqfunctions.udf.CIQ(A1443,"IQ_TOTAL_DIV_PAID_CF",IQ_FY-8)/-I1445, _xll.ciqfunctions.udf.CIQ(A1443, "IQ_TOTAL_DIV_PAID_CF",IQ_FY-7)/-I1445)</f>
        <v>0</v>
      </c>
      <c r="I1445" s="17">
        <f>IF(A1451=A1452,_xll.ciqfunctions.udf.CIQ(A1443,"IQ_TOTAL_OUTSTANDING_FILING_DATE",IQ_FY-8), _xll.ciqfunctions.udf.CIQ(A1443, "IQ_TOTAL_OUTSTANDING_FILING_DATE",IQ_FY-7))</f>
        <v>34.432369999999999</v>
      </c>
      <c r="J1445" s="17">
        <f>IF(A1451=A1452,_xll.ciqfunctions.udf.CIQ(A1443,"IQ_CASH_OPER",IQ_FY-8), _xll.ciqfunctions.udf.CIQ(A1443, "IQ_CASH_OPER",IQ_FY-7))</f>
        <v>65.959999999999994</v>
      </c>
      <c r="K1445" s="17">
        <f>IF(A1451=A1452,_xll.ciqfunctions.udf.CIQ(A1443,"IQ_CAPEX",IQ_FY-8), _xll.ciqfunctions.udf.CIQ(A1443, "IQ_CAPEX",IQ_FY-7))</f>
        <v>-20.050999999999998</v>
      </c>
      <c r="L1445" s="15">
        <f t="shared" si="384"/>
        <v>1.3333093249172216</v>
      </c>
      <c r="M1445" s="17">
        <f>IF(A1451=A1452,_xll.ciqfunctions.udf.CIQ(A1443,"IQ_TOTAL_DEBT_ISSUED",IQ_FY-8), _xll.ciqfunctions.udf.CIQ(A1443, "IQ_TOTAL_DEBT_ISSUED",IQ_FY-7))</f>
        <v>0</v>
      </c>
      <c r="N1445" s="17">
        <f>IF(A1451=A1452,_xll.ciqfunctions.udf.CIQ(A1443,"IQ_TOTAL_DEBT_REPAID",IQ_FY-8), _xll.ciqfunctions.udf.CIQ(A1443, "IQ_TOTAL_DEBT_REPAID",IQ_FY-7))</f>
        <v>0</v>
      </c>
      <c r="O1445" s="15">
        <f t="shared" si="385"/>
        <v>0</v>
      </c>
      <c r="P1445" s="15">
        <f t="shared" si="386"/>
        <v>1.3333093249172216</v>
      </c>
      <c r="Q1445" s="25" t="s">
        <v>21</v>
      </c>
      <c r="R1445" s="38" t="s">
        <v>49</v>
      </c>
      <c r="S1445" s="2">
        <f>(R1442*I1453)/1000</f>
        <v>6.6861252096000001</v>
      </c>
      <c r="U1445" s="25" t="s">
        <v>59</v>
      </c>
      <c r="V1445" s="38" t="s">
        <v>49</v>
      </c>
      <c r="W1445" s="2">
        <f>(V1442*I1453)/1000</f>
        <v>6.6861252096000001</v>
      </c>
      <c r="Y1445" s="25" t="s">
        <v>46</v>
      </c>
      <c r="Z1445" s="38" t="s">
        <v>49</v>
      </c>
      <c r="AA1445" s="2">
        <f>(Z1442*I1453)/1000</f>
        <v>6.6861252096000001</v>
      </c>
    </row>
    <row r="1446" spans="1:27">
      <c r="A1446" s="18"/>
      <c r="B1446" s="13">
        <v>4</v>
      </c>
      <c r="C1446" s="14" t="s">
        <v>22</v>
      </c>
      <c r="D1446" s="15" cm="1">
        <f t="array" ref="D1446">_xlfn.SINGLE(IF(A1451=A1452,_xll.ciqfunctions.udf.CIQ(A1443,"IQ_TOTAL_REV",IQ_FY-7)/I1446, _xll.ciqfunctions.udf.CIQ(A1443, "IQ_TOTAL_REV",IQ_FY-6)/I1446))</f>
        <v>5.4435806590548674</v>
      </c>
      <c r="E1446" s="16">
        <f t="shared" si="387"/>
        <v>0.14092293453666241</v>
      </c>
      <c r="F1446" s="15">
        <f>IF(A1451=A1452,_xll.ciqfunctions.udf.CIQ(A1443,"IQ_DILUT_EPS_EXCL",IQ_FY-7), _xll.ciqfunctions.udf.CIQ(A1443, "IQ_DILUT_EPS_EXCL",IQ_FY-6))</f>
        <v>0.5</v>
      </c>
      <c r="G1446" s="15">
        <f>IF(A1451=A1452,_xll.ciqfunctions.udf.CIQ(A1443,"IQ_EBITDA_MARGIN",IQ_FY-7), _xll.ciqfunctions.udf.CIQ(A1443, "IQ_EBITDA_MARGIN",IQ_FY-6))</f>
        <v>23.7973</v>
      </c>
      <c r="H1446" s="15">
        <f>IF(A1451=A1452,_xll.ciqfunctions.udf.CIQ(A1443,"IQ_TOTAL_DIV_PAID_CF",IQ_FY-7)/-I1446, _xll.ciqfunctions.udf.CIQ(A1443, "IQ_TOTAL_DIV_PAID_CF",IQ_FY-6)/-I1446)</f>
        <v>0</v>
      </c>
      <c r="I1446" s="17">
        <f>IF(A1451=A1452,_xll.ciqfunctions.udf.CIQ(A1443,"IQ_TOTAL_OUTSTANDING_FILING_DATE",IQ_FY-7), _xll.ciqfunctions.udf.CIQ(A1443, "IQ_TOTAL_OUTSTANDING_FILING_DATE",IQ_FY-6))</f>
        <v>36.359340000000003</v>
      </c>
      <c r="J1446" s="17">
        <f>IF(A1451=A1452,_xll.ciqfunctions.udf.CIQ(A1443,"IQ_CASH_OPER",IQ_FY-7), _xll.ciqfunctions.udf.CIQ(A1443, "IQ_CASH_OPER",IQ_FY-6))</f>
        <v>69.31</v>
      </c>
      <c r="K1446" s="17">
        <f>IF(A1451=A1452,_xll.ciqfunctions.udf.CIQ(A1443,"IQ_CAPEX",IQ_FY-7), _xll.ciqfunctions.udf.CIQ(A1443, "IQ_CAPEX",IQ_FY-6))</f>
        <v>-23.245000000000001</v>
      </c>
      <c r="L1446" s="15">
        <f t="shared" si="384"/>
        <v>1.2669371886288363</v>
      </c>
      <c r="M1446" s="17">
        <f>IF(A1451=A1452,_xll.ciqfunctions.udf.CIQ(A1443,"IQ_TOTAL_DEBT_ISSUED",IQ_FY-7), _xll.ciqfunctions.udf.CIQ(A1443, "IQ_TOTAL_DEBT_ISSUED",IQ_FY-6))</f>
        <v>0</v>
      </c>
      <c r="N1446" s="17">
        <f>IF(A1451=A1452,_xll.ciqfunctions.udf.CIQ(A1443,"IQ_TOTAL_DEBT_REPAID",IQ_FY-7), _xll.ciqfunctions.udf.CIQ(A1443, "IQ_TOTAL_DEBT_REPAID",IQ_FY-6))</f>
        <v>0</v>
      </c>
      <c r="O1446" s="15">
        <f t="shared" si="385"/>
        <v>0</v>
      </c>
      <c r="P1446" s="15">
        <f t="shared" si="386"/>
        <v>1.2669371886288363</v>
      </c>
      <c r="Q1446" s="25" t="s">
        <v>23</v>
      </c>
      <c r="R1446" s="38" t="s">
        <v>24</v>
      </c>
      <c r="S1446" s="1" t="e">
        <f>R1442/(AVERAGE(H1448:H1453)*(1+H1454)/(0.5-H1454))</f>
        <v>#DIV/0!</v>
      </c>
      <c r="U1446" s="25" t="s">
        <v>40</v>
      </c>
      <c r="V1446" s="38" t="s">
        <v>24</v>
      </c>
      <c r="W1446" s="1" t="e">
        <f>V1442/(AVERAGE(H1448:H1453)*(1+H1454)/(0.5-H1454))</f>
        <v>#DIV/0!</v>
      </c>
      <c r="Y1446" s="25" t="s">
        <v>47</v>
      </c>
      <c r="Z1446" s="38" t="s">
        <v>24</v>
      </c>
      <c r="AA1446" s="1" t="e">
        <f>Z1442/(AVERAGE(H1448:H1453)*(1+H1454)/(0.5-H1454))</f>
        <v>#DIV/0!</v>
      </c>
    </row>
    <row r="1447" spans="1:27">
      <c r="B1447" s="13">
        <v>5</v>
      </c>
      <c r="C1447" s="14" t="s">
        <v>25</v>
      </c>
      <c r="D1447" s="15" cm="1">
        <f t="array" ref="D1447">_xlfn.SINGLE(IF(A1451=A1452,_xll.ciqfunctions.udf.CIQ(A1443,"IQ_TOTAL_REV",IQ_FY-6)/I1447, _xll.ciqfunctions.udf.CIQ(A1443, "IQ_TOTAL_REV",IQ_FY-5)/I1447))</f>
        <v>5.9755972542510136</v>
      </c>
      <c r="E1447" s="16">
        <f t="shared" si="387"/>
        <v>9.7732839562354665E-2</v>
      </c>
      <c r="F1447" s="15">
        <f>IF(A1451=A1452,_xll.ciqfunctions.udf.CIQ(A1443,"IQ_DILUT_EPS_EXCL",IQ_FY-6), _xll.ciqfunctions.udf.CIQ(A1443, "IQ_DILUT_EPS_EXCL",IQ_FY-5))</f>
        <v>1.01</v>
      </c>
      <c r="G1447" s="15">
        <f>IF(A1451=A1452,_xll.ciqfunctions.udf.CIQ(A1443,"IQ_EBITDA_MARGIN",IQ_FY-6), _xll.ciqfunctions.udf.CIQ(A1443, "IQ_EBITDA_MARGIN",IQ_FY-5))</f>
        <v>25.0745</v>
      </c>
      <c r="H1447" s="15">
        <f>IF(A1451=A1452,_xll.ciqfunctions.udf.CIQ(A1443,"IQ_TOTAL_DIV_PAID_CF",IQ_FY-6)/-I1447, _xll.ciqfunctions.udf.CIQ(A1443, "IQ_TOTAL_DIV_PAID_CF",IQ_FY-5)/-I1447)</f>
        <v>0</v>
      </c>
      <c r="I1447" s="17">
        <f>IF(A1451=A1452,_xll.ciqfunctions.udf.CIQ(A1443,"IQ_TOTAL_OUTSTANDING_FILING_DATE",IQ_FY-6), _xll.ciqfunctions.udf.CIQ(A1443, "IQ_TOTAL_OUTSTANDING_FILING_DATE",IQ_FY-5))</f>
        <v>38.628439999999998</v>
      </c>
      <c r="J1447" s="17">
        <f>IF(A1451=A1452,_xll.ciqfunctions.udf.CIQ(A1443,"IQ_CASH_OPER",IQ_FY-6), _xll.ciqfunctions.udf.CIQ(A1443, "IQ_CASH_OPER",IQ_FY-5))</f>
        <v>107.646</v>
      </c>
      <c r="K1447" s="17">
        <f>IF(A1451=A1452,_xll.ciqfunctions.udf.CIQ(A1443,"IQ_CAPEX",IQ_FY-6), _xll.ciqfunctions.udf.CIQ(A1443, "IQ_CAPEX",IQ_FY-5))</f>
        <v>-37.817999999999998</v>
      </c>
      <c r="L1447" s="15">
        <f t="shared" si="384"/>
        <v>1.8076836651959025</v>
      </c>
      <c r="M1447" s="17">
        <f>IF(A1451=A1452,_xll.ciqfunctions.udf.CIQ(A1443,"IQ_TOTAL_DEBT_ISSUED",IQ_FY-6), _xll.ciqfunctions.udf.CIQ(A1443, "IQ_TOTAL_DEBT_ISSUED",IQ_FY-5))</f>
        <v>0</v>
      </c>
      <c r="N1447" s="17">
        <f>IF(A1451=A1452,_xll.ciqfunctions.udf.CIQ(A1443,"IQ_TOTAL_DEBT_REPAID",IQ_FY-6), _xll.ciqfunctions.udf.CIQ(A1443, "IQ_TOTAL_DEBT_REPAID",IQ_FY-5))</f>
        <v>0</v>
      </c>
      <c r="O1447" s="15">
        <f t="shared" si="385"/>
        <v>0</v>
      </c>
      <c r="P1447" s="15">
        <f t="shared" si="386"/>
        <v>1.8076836651959025</v>
      </c>
      <c r="Q1447" s="18"/>
      <c r="R1447" s="38" t="s">
        <v>50</v>
      </c>
      <c r="S1447" s="3">
        <f>I1454</f>
        <v>-1.1817524509066146E-2</v>
      </c>
      <c r="U1447" s="18"/>
      <c r="V1447" s="38" t="s">
        <v>50</v>
      </c>
      <c r="W1447" s="3">
        <f>I1454</f>
        <v>-1.1817524509066146E-2</v>
      </c>
      <c r="Y1447" s="18"/>
      <c r="Z1447" s="38" t="s">
        <v>50</v>
      </c>
      <c r="AA1447" s="3">
        <f>I1454</f>
        <v>-1.1817524509066146E-2</v>
      </c>
    </row>
    <row r="1448" spans="1:27">
      <c r="B1448" s="13">
        <v>6</v>
      </c>
      <c r="C1448" s="14" t="s">
        <v>26</v>
      </c>
      <c r="D1448" s="15" cm="1">
        <f t="array" ref="D1448">_xlfn.SINGLE(IF(A1451=A1452,_xll.ciqfunctions.udf.CIQ(A1443,"IQ_TOTAL_REV",IQ_FY-5)/I1448, _xll.ciqfunctions.udf.CIQ(A1443, "IQ_TOTAL_REV",IQ_FY-4)/I1448))</f>
        <v>7.1439915610992912</v>
      </c>
      <c r="E1448" s="16">
        <f t="shared" si="387"/>
        <v>0.19552761960607151</v>
      </c>
      <c r="F1448" s="15">
        <f>IF(A1451=A1452,_xll.ciqfunctions.udf.CIQ(A1443,"IQ_DILUT_EPS_EXCL",IQ_FY-5), _xll.ciqfunctions.udf.CIQ(A1443, "IQ_DILUT_EPS_EXCL",IQ_FY-4))</f>
        <v>1.37</v>
      </c>
      <c r="G1448" s="15">
        <f>IF(A1451=A1452,_xll.ciqfunctions.udf.CIQ(A1443,"IQ_EBITDA_MARGIN",IQ_FY-5), _xll.ciqfunctions.udf.CIQ(A1443, "IQ_EBITDA_MARGIN",IQ_FY-4))</f>
        <v>28.421700000000001</v>
      </c>
      <c r="H1448" s="15">
        <f>IF(A1451=A1452,_xll.ciqfunctions.udf.CIQ(A1443,"IQ_TOTAL_DIV_PAID_CF",IQ_FY-5)/-I1448, _xll.ciqfunctions.udf.CIQ(A1443, "IQ_TOTAL_DIV_PAID_CF",IQ_FY-4)/-I1448)</f>
        <v>0</v>
      </c>
      <c r="I1448" s="17">
        <f>IF(A1451=A1452,_xll.ciqfunctions.udf.CIQ(A1443,"IQ_TOTAL_OUTSTANDING_FILING_DATE",IQ_FY-5), _xll.ciqfunctions.udf.CIQ(A1443, "IQ_TOTAL_OUTSTANDING_FILING_DATE",IQ_FY-4))</f>
        <v>39.038260000000001</v>
      </c>
      <c r="J1448" s="17">
        <f>IF(A1451=A1452,_xll.ciqfunctions.udf.CIQ(A1443,"IQ_CASH_OPER",IQ_FY-5), _xll.ciqfunctions.udf.CIQ(A1443, "IQ_CASH_OPER",IQ_FY-4))</f>
        <v>125.464</v>
      </c>
      <c r="K1448" s="17">
        <f>IF(A1451=A1452,_xll.ciqfunctions.udf.CIQ(A1443,"IQ_CAPEX",IQ_FY-5), _xll.ciqfunctions.udf.CIQ(A1443, "IQ_CAPEX",IQ_FY-4))</f>
        <v>-22.774999999999999</v>
      </c>
      <c r="L1448" s="15">
        <f t="shared" si="384"/>
        <v>2.6304707228242239</v>
      </c>
      <c r="M1448" s="17">
        <f>IF(A1451=A1452,_xll.ciqfunctions.udf.CIQ(A1443,"IQ_TOTAL_DEBT_ISSUED",IQ_FY-5), _xll.ciqfunctions.udf.CIQ(A1443, "IQ_TOTAL_DEBT_ISSUED",IQ_FY-4))</f>
        <v>0</v>
      </c>
      <c r="N1448" s="17">
        <f>IF(A1451=A1452,_xll.ciqfunctions.udf.CIQ(A1443,"IQ_TOTAL_DEBT_REPAID",IQ_FY-5), _xll.ciqfunctions.udf.CIQ(A1443, "IQ_TOTAL_DEBT_REPAID",IQ_FY-4))</f>
        <v>-1.617</v>
      </c>
      <c r="O1448" s="15">
        <f t="shared" si="385"/>
        <v>-4.1420903493137241E-2</v>
      </c>
      <c r="P1448" s="15">
        <f t="shared" si="386"/>
        <v>2.5890498193310867</v>
      </c>
      <c r="Q1448" s="25" t="s">
        <v>27</v>
      </c>
      <c r="R1448" s="38" t="s">
        <v>51</v>
      </c>
      <c r="S1448" s="4">
        <f>AVERAGE(F1448:F1453)/AVERAGE(D1448:D1453)</f>
        <v>0.21390659333483766</v>
      </c>
      <c r="U1448" s="25" t="s">
        <v>58</v>
      </c>
      <c r="V1448" s="38" t="s">
        <v>51</v>
      </c>
      <c r="W1448" s="4">
        <f>AVERAGE(F1448:F1453)/AVERAGE(D1448:D1453)</f>
        <v>0.21390659333483766</v>
      </c>
      <c r="Y1448" s="25" t="s">
        <v>56</v>
      </c>
      <c r="Z1448" s="38" t="s">
        <v>51</v>
      </c>
      <c r="AA1448" s="4">
        <f>AVERAGE(F1448:F1453)/AVERAGE(D1448:D1453)</f>
        <v>0.21390659333483766</v>
      </c>
    </row>
    <row r="1449" spans="1:27">
      <c r="A1449" s="18"/>
      <c r="B1449" s="13">
        <v>7</v>
      </c>
      <c r="C1449" s="14" t="s">
        <v>28</v>
      </c>
      <c r="D1449" s="15" cm="1">
        <f t="array" ref="D1449">_xlfn.SINGLE(IF(A1451=A1452,_xll.ciqfunctions.udf.CIQ(A1443,"IQ_TOTAL_REV",IQ_FY-4)/I1449, _xll.ciqfunctions.udf.CIQ(A1443, "IQ_TOTAL_REV",IQ_FY-3)/I1449))</f>
        <v>8.2268336281900023</v>
      </c>
      <c r="E1449" s="16">
        <f t="shared" si="387"/>
        <v>0.15157381665832864</v>
      </c>
      <c r="F1449" s="15">
        <f>IF(A1451=A1452,_xll.ciqfunctions.udf.CIQ(A1443,"IQ_DILUT_EPS_EXCL",IQ_FY-4), _xll.ciqfunctions.udf.CIQ(A1443, "IQ_DILUT_EPS_EXCL",IQ_FY-3))</f>
        <v>1.68</v>
      </c>
      <c r="G1449" s="15">
        <f>IF(A1451=A1452,_xll.ciqfunctions.udf.CIQ(A1443,"IQ_EBITDA_MARGIN",IQ_FY-4), _xll.ciqfunctions.udf.CIQ(A1443, "IQ_EBITDA_MARGIN",IQ_FY-3))</f>
        <v>32.1678</v>
      </c>
      <c r="H1449" s="15">
        <f>IF(A1451=A1452,_xll.ciqfunctions.udf.CIQ(A1443,"IQ_TOTAL_DIV_PAID_CF",IQ_FY-4)/-I1449, _xll.ciqfunctions.udf.CIQ(A1443, "IQ_TOTAL_DIV_PAID_CF",IQ_FY-3)/-I1449)</f>
        <v>0</v>
      </c>
      <c r="I1449" s="17">
        <f>IF(A1451=A1452,_xll.ciqfunctions.udf.CIQ(A1443,"IQ_TOTAL_OUTSTANDING_FILING_DATE",IQ_FY-4), _xll.ciqfunctions.udf.CIQ(A1443, "IQ_TOTAL_OUTSTANDING_FILING_DATE",IQ_FY-3))</f>
        <v>39.092440000000003</v>
      </c>
      <c r="J1449" s="17">
        <f>IF(A1451=A1452,_xll.ciqfunctions.udf.CIQ(A1443,"IQ_CASH_OPER",IQ_FY-4), _xll.ciqfunctions.udf.CIQ(A1443, "IQ_CASH_OPER",IQ_FY-3))</f>
        <v>160.607</v>
      </c>
      <c r="K1449" s="17">
        <f>IF(A1451=A1452,_xll.ciqfunctions.udf.CIQ(A1443,"IQ_CAPEX",IQ_FY-4), _xll.ciqfunctions.udf.CIQ(A1443, "IQ_CAPEX",IQ_FY-3))</f>
        <v>-27.573</v>
      </c>
      <c r="L1449" s="15">
        <f t="shared" si="384"/>
        <v>3.4030620754294176</v>
      </c>
      <c r="M1449" s="17">
        <f>IF(A1451=A1452,_xll.ciqfunctions.udf.CIQ(A1443,"IQ_TOTAL_DEBT_ISSUED",IQ_FY-4), _xll.ciqfunctions.udf.CIQ(A1443, "IQ_TOTAL_DEBT_ISSUED",IQ_FY-3))</f>
        <v>0</v>
      </c>
      <c r="N1449" s="17">
        <f>IF(A1451=A1452,_xll.ciqfunctions.udf.CIQ(A1443,"IQ_TOTAL_DEBT_REPAID",IQ_FY-4), _xll.ciqfunctions.udf.CIQ(A1443, "IQ_TOTAL_DEBT_REPAID",IQ_FY-3))</f>
        <v>-1.7090000000000001</v>
      </c>
      <c r="O1449" s="15">
        <f t="shared" si="385"/>
        <v>-4.3716892575648897E-2</v>
      </c>
      <c r="P1449" s="15">
        <f t="shared" si="386"/>
        <v>3.3593451828537688</v>
      </c>
      <c r="Q1449" s="18"/>
      <c r="R1449" s="38" t="s">
        <v>29</v>
      </c>
      <c r="S1449" s="4">
        <f>(AVERAGE(P1448:P1453)/_xlfn.STDEV.P(P1448:P1453))/(IF(A1451=A1452,(_xlfn.SINGLE(_xll.ciqfunctions.udf.CIQ(A1443,"IQ_total_assets",IQ_FY)) - _xlfn.SINGLE(_xll.ciqfunctions.udf.CIQ(A1443,"iq_gw_intan", IQ_FY)))/I1453, (_xlfn.SINGLE(_xll.ciqfunctions.udf.CIQ(A1443, "IQ_total_assets",IQ_LTM))-_xlfn.SINGLE(_xll.ciqfunctions.udf.CIQ(A1443,"iq_gw_intan",IQ_LTM)))/I1453))</f>
        <v>0.16744426778448704</v>
      </c>
      <c r="U1449" s="18"/>
      <c r="V1449" s="38" t="s">
        <v>29</v>
      </c>
      <c r="W1449" s="4">
        <f>(AVERAGE(P1448:P1453)/_xlfn.STDEV.P(P1448:P1453))/(IF(A1451=A1452,(_xlfn.SINGLE(_xll.ciqfunctions.udf.CIQ(A1443,"IQ_total_assets",IQ_FY)) - _xlfn.SINGLE(_xll.ciqfunctions.udf.CIQ(A1443,"iq_gw_intan", IQ_FY)))/I1453, (_xlfn.SINGLE(_xll.ciqfunctions.udf.CIQ(A1443, "IQ_total_assets",IQ_LTM))-_xlfn.SINGLE(_xll.ciqfunctions.udf.CIQ(A1443,"iq_gw_intan",IQ_LTM)))/I1453))</f>
        <v>0.16744426778448704</v>
      </c>
      <c r="Y1449" s="18"/>
      <c r="Z1449" s="38" t="s">
        <v>29</v>
      </c>
      <c r="AA1449" s="4">
        <f>(AVERAGE(P1448:P1453)/_xlfn.STDEV.P(P1448:P1453))/(IF(A1451=A1452,(_xlfn.SINGLE(_xll.ciqfunctions.udf.CIQ(A1443,"IQ_total_assets",IQ_FY)) - _xlfn.SINGLE(_xll.ciqfunctions.udf.CIQ(A1443,"iq_gw_intan", IQ_FY)))/I1453, (_xlfn.SINGLE(_xll.ciqfunctions.udf.CIQ(A1443, "IQ_total_assets",IQ_LTM))-_xlfn.SINGLE(_xll.ciqfunctions.udf.CIQ(A1443,"iq_gw_intan",IQ_LTM)))/I1453))</f>
        <v>0.16744426778448704</v>
      </c>
    </row>
    <row r="1450" spans="1:27">
      <c r="A1450" s="18"/>
      <c r="B1450" s="13">
        <v>8</v>
      </c>
      <c r="C1450" s="14" t="s">
        <v>30</v>
      </c>
      <c r="D1450" s="15" cm="1">
        <f t="array" ref="D1450">_xlfn.SINGLE(IF(A1451=A1452,_xll.ciqfunctions.udf.CIQ(A1443,"IQ_TOTAL_REV",IQ_FY-3)/I1450, _xll.ciqfunctions.udf.CIQ(A1443, "IQ_TOTAL_REV",IQ_FY-2)/I1450))</f>
        <v>9.2574323335137407</v>
      </c>
      <c r="E1450" s="16">
        <f t="shared" si="387"/>
        <v>0.12527282693456898</v>
      </c>
      <c r="F1450" s="15">
        <f>IF(A1451=A1452,_xll.ciqfunctions.udf.CIQ(A1443,"IQ_DILUT_EPS_EXCL",IQ_FY-3), _xll.ciqfunctions.udf.CIQ(A1443, "IQ_DILUT_EPS_EXCL",IQ_FY-2))</f>
        <v>2.25</v>
      </c>
      <c r="G1450" s="15">
        <f>IF(A1451=A1452,_xll.ciqfunctions.udf.CIQ(A1443,"IQ_EBITDA_MARGIN",IQ_FY-3), _xll.ciqfunctions.udf.CIQ(A1443, "IQ_EBITDA_MARGIN",IQ_FY-2))</f>
        <v>35.678199999999997</v>
      </c>
      <c r="H1450" s="15">
        <f>IF(A1451=A1452,_xll.ciqfunctions.udf.CIQ(A1443,"IQ_TOTAL_DIV_PAID_CF",IQ_FY-3)/-I1450, _xll.ciqfunctions.udf.CIQ(A1443, "IQ_TOTAL_DIV_PAID_CF",IQ_FY-2)/-I1450)</f>
        <v>0</v>
      </c>
      <c r="I1450" s="17">
        <f>IF(A1451=A1452,_xll.ciqfunctions.udf.CIQ(A1443,"IQ_TOTAL_OUTSTANDING_FILING_DATE",IQ_FY-3), _xll.ciqfunctions.udf.CIQ(A1443, "IQ_TOTAL_OUTSTANDING_FILING_DATE",IQ_FY-2))</f>
        <v>39.207740000000001</v>
      </c>
      <c r="J1450" s="17">
        <f>IF(A1451=A1452,_xll.ciqfunctions.udf.CIQ(A1443,"IQ_CASH_OPER",IQ_FY-3), _xll.ciqfunctions.udf.CIQ(A1443, "IQ_CASH_OPER",IQ_FY-2))</f>
        <v>180.08600000000001</v>
      </c>
      <c r="K1450" s="17">
        <f>IF(A1451=A1452,_xll.ciqfunctions.udf.CIQ(A1443,"IQ_CAPEX",IQ_FY-3), _xll.ciqfunctions.udf.CIQ(A1443, "IQ_CAPEX",IQ_FY-2))</f>
        <v>-30.036999999999999</v>
      </c>
      <c r="L1450" s="15">
        <f t="shared" si="384"/>
        <v>3.8270249700696852</v>
      </c>
      <c r="M1450" s="17">
        <f>IF(A1451=A1452,_xll.ciqfunctions.udf.CIQ(A1443,"IQ_TOTAL_DEBT_ISSUED",IQ_FY-3), _xll.ciqfunctions.udf.CIQ(A1443, "IQ_TOTAL_DEBT_ISSUED",IQ_FY-2))</f>
        <v>0</v>
      </c>
      <c r="N1450" s="17">
        <f>IF(A1451=A1452,_xll.ciqfunctions.udf.CIQ(A1443,"IQ_TOTAL_DEBT_REPAID",IQ_FY-3), _xll.ciqfunctions.udf.CIQ(A1443, "IQ_TOTAL_DEBT_REPAID",IQ_FY-2))</f>
        <v>-0.114</v>
      </c>
      <c r="O1450" s="15">
        <f t="shared" si="385"/>
        <v>-2.9075891647924617E-3</v>
      </c>
      <c r="P1450" s="15">
        <f t="shared" si="386"/>
        <v>3.8241173809048927</v>
      </c>
      <c r="Q1450" s="18"/>
      <c r="R1450" s="39" t="s">
        <v>31</v>
      </c>
      <c r="S1450" s="5">
        <f>IF(NOT(D1443&gt;0),FALSE,SLOPE(G1443:G1453,B1443:B1453))</f>
        <v>2.3121272727272726</v>
      </c>
      <c r="U1450" s="18"/>
      <c r="V1450" s="39" t="s">
        <v>31</v>
      </c>
      <c r="W1450" s="5">
        <f>IF(NOT(D1443&gt;0),FALSE,SLOPE(G1443:G1453,B1443:B1453))</f>
        <v>2.3121272727272726</v>
      </c>
      <c r="Y1450" s="18"/>
      <c r="Z1450" s="39" t="s">
        <v>31</v>
      </c>
      <c r="AA1450" s="5">
        <f>IF(NOT(L1443&gt;0),FALSE,SLOPE(O1443:O1453,J1443:J1453))</f>
        <v>8.0086546153644843E-5</v>
      </c>
    </row>
    <row r="1451" spans="1:27">
      <c r="A1451" s="19">
        <f>_xll.ciqfunctions.udf.CIQ(A1443,"IQ_TOTAL_REV",IQ_FY)</f>
        <v>489.72300000000001</v>
      </c>
      <c r="B1451" s="13">
        <v>9</v>
      </c>
      <c r="C1451" s="14" t="s">
        <v>32</v>
      </c>
      <c r="D1451" s="15" cm="1">
        <f t="array" ref="D1451">_xlfn.SINGLE(IF(A1451=A1452,_xll.ciqfunctions.udf.CIQ(A1443,"IQ_TOTAL_REV",IQ_FY-2)/I1451, _xll.ciqfunctions.udf.CIQ(A1443, "IQ_TOTAL_REV",IQ_FY-1)/I1451))</f>
        <v>10.534924679895321</v>
      </c>
      <c r="E1451" s="16">
        <f t="shared" si="387"/>
        <v>0.13799640120044998</v>
      </c>
      <c r="F1451" s="15">
        <f>IF(A1451=A1452,_xll.ciqfunctions.udf.CIQ(A1443,"IQ_DILUT_EPS_EXCL",IQ_FY-2), _xll.ciqfunctions.udf.CIQ(A1443, "IQ_DILUT_EPS_EXCL",IQ_FY-1))</f>
        <v>1.77</v>
      </c>
      <c r="G1451" s="15">
        <f>IF(A1451=A1452,_xll.ciqfunctions.udf.CIQ(A1443,"IQ_EBITDA_MARGIN",IQ_FY-2), _xll.ciqfunctions.udf.CIQ(A1443, "IQ_EBITDA_MARGIN",IQ_FY-1))</f>
        <v>36.695099999999996</v>
      </c>
      <c r="H1451" s="15">
        <f>IF(A1451=A1452,_xll.ciqfunctions.udf.CIQ(A1443,"IQ_TOTAL_DIV_PAID_CF",IQ_FY-2)/-I1451, _xll.ciqfunctions.udf.CIQ(A1443, "IQ_TOTAL_DIV_PAID_CF",IQ_FY-1)/-I1451)</f>
        <v>0</v>
      </c>
      <c r="I1451" s="17">
        <f>IF(A1451=A1452,_xll.ciqfunctions.udf.CIQ(A1443,"IQ_TOTAL_OUTSTANDING_FILING_DATE",IQ_FY-2), _xll.ciqfunctions.udf.CIQ(A1443, "IQ_TOTAL_OUTSTANDING_FILING_DATE",IQ_FY-1))</f>
        <v>39.029420000000002</v>
      </c>
      <c r="J1451" s="17">
        <f>IF(A1451=A1452,_xll.ciqfunctions.udf.CIQ(A1443,"IQ_CASH_OPER",IQ_FY-2), _xll.ciqfunctions.udf.CIQ(A1443, "IQ_CASH_OPER",IQ_FY-1))</f>
        <v>200.61600000000001</v>
      </c>
      <c r="K1451" s="17">
        <f>IF(A1451=A1452,_xll.ciqfunctions.udf.CIQ(A1443,"IQ_CAPEX",IQ_FY-2), _xll.ciqfunctions.udf.CIQ(A1443, "IQ_CAPEX",IQ_FY-1))</f>
        <v>-24.423999999999999</v>
      </c>
      <c r="L1451" s="15">
        <f t="shared" si="384"/>
        <v>4.5143381582406299</v>
      </c>
      <c r="M1451" s="17">
        <f>IF(A1451=A1452,_xll.ciqfunctions.udf.CIQ(A1443,"IQ_TOTAL_DEBT_ISSUED",IQ_FY-2), _xll.ciqfunctions.udf.CIQ(A1443, "IQ_TOTAL_DEBT_ISSUED",IQ_FY-1))</f>
        <v>0</v>
      </c>
      <c r="N1451" s="17">
        <f>IF(A1451=A1452,_xll.ciqfunctions.udf.CIQ(A1443,"IQ_TOTAL_DEBT_REPAID",IQ_FY-2), _xll.ciqfunctions.udf.CIQ(A1443, "IQ_TOTAL_DEBT_REPAID",IQ_FY-1))</f>
        <v>-0.09</v>
      </c>
      <c r="O1451" s="15">
        <f t="shared" si="385"/>
        <v>-2.305952791509584E-3</v>
      </c>
      <c r="P1451" s="15">
        <f t="shared" si="386"/>
        <v>4.5120322054491204</v>
      </c>
      <c r="Q1451" s="25" t="s">
        <v>33</v>
      </c>
      <c r="R1451" s="38" t="s">
        <v>52</v>
      </c>
      <c r="S1451" s="4">
        <f>(AVERAGE(O1448:O1453)/AVERAGE(P1448:P1453))</f>
        <v>-3.4903757270507429E-3</v>
      </c>
      <c r="U1451" s="25" t="s">
        <v>54</v>
      </c>
      <c r="V1451" s="38" t="s">
        <v>52</v>
      </c>
      <c r="W1451" s="4">
        <f>(AVERAGE(O1448:O1453)/AVERAGE(P1448:P1453))</f>
        <v>-3.4903757270507429E-3</v>
      </c>
      <c r="Y1451" s="25" t="s">
        <v>60</v>
      </c>
      <c r="Z1451" s="38" t="s">
        <v>52</v>
      </c>
      <c r="AA1451" s="4">
        <f>(AVERAGE(O1448:O1453)/AVERAGE(P1448:P1453))</f>
        <v>-3.4903757270507429E-3</v>
      </c>
    </row>
    <row r="1452" spans="1:27">
      <c r="A1452" s="19">
        <f>_xll.ciqfunctions.udf.CIQ(A1443,"IQ_TOTAL_REV",IQ_LTM)</f>
        <v>540.73699999999997</v>
      </c>
      <c r="B1452" s="13">
        <v>10</v>
      </c>
      <c r="C1452" s="14" t="s">
        <v>34</v>
      </c>
      <c r="D1452" s="15" cm="1">
        <f t="array" ref="D1452">_xlfn.SINGLE(IF(A1451=A1452,_xll.ciqfunctions.udf.CIQ(A1443,"IQ_TOTAL_REV",IQ_FY-1)/I1452, _xll.ciqfunctions.udf.CIQ(A1443, "IQ_TOTAL_REV",IQ_FY)/I1452))</f>
        <v>13.232366409903625</v>
      </c>
      <c r="E1452" s="16">
        <f t="shared" si="387"/>
        <v>0.25604755724130218</v>
      </c>
      <c r="F1452" s="15">
        <f>IF(A1451=A1452,_xll.ciqfunctions.udf.CIQ(A1443,"IQ_DILUT_EPS_EXCL",IQ_FY-1), _xll.ciqfunctions.udf.CIQ(A1443, "IQ_DILUT_EPS_EXCL",IQ_FY))</f>
        <v>2.74</v>
      </c>
      <c r="G1452" s="15">
        <f>IF(A1451=A1452,_xll.ciqfunctions.udf.CIQ(A1443,"IQ_EBITDA_MARGIN",IQ_FY-1), _xll.ciqfunctions.udf.CIQ(A1443, "IQ_EBITDA_MARGIN",IQ_FY))</f>
        <v>33.726999999999997</v>
      </c>
      <c r="H1452" s="15">
        <f>IF(A1451=A1452,_xll.ciqfunctions.udf.CIQ(A1443,"IQ_TOTAL_DIV_PAID_CF",IQ_FY-1)/-I1452, _xll.ciqfunctions.udf.CIQ(A1443, "IQ_TOTAL_DIV_PAID_CF",IQ_FY)/-I1452)</f>
        <v>0</v>
      </c>
      <c r="I1452" s="17">
        <f>IF(A1451=A1452,_xll.ciqfunctions.udf.CIQ(A1443,"IQ_TOTAL_OUTSTANDING_FILING_DATE",IQ_FY-1), _xll.ciqfunctions.udf.CIQ(A1443, "IQ_TOTAL_OUTSTANDING_FILING_DATE",IQ_FY))</f>
        <v>37.009480000000003</v>
      </c>
      <c r="J1452" s="17">
        <f>IF(A1451=A1452,_xll.ciqfunctions.udf.CIQ(A1443,"IQ_CASH_OPER",IQ_FY-1), _xll.ciqfunctions.udf.CIQ(A1443, "IQ_CASH_OPER",IQ_FY))</f>
        <v>198.85400000000001</v>
      </c>
      <c r="K1452" s="17">
        <f>IF(A1451=A1452,_xll.ciqfunctions.udf.CIQ(A1443,"IQ_CAPEX",IQ_FY-1), _xll.ciqfunctions.udf.CIQ(A1443, "IQ_CAPEX",IQ_FY))</f>
        <v>-15.361000000000001</v>
      </c>
      <c r="L1452" s="15">
        <f t="shared" si="384"/>
        <v>4.9579999502830088</v>
      </c>
      <c r="M1452" s="17">
        <f>IF(A1451=A1452,_xll.ciqfunctions.udf.CIQ(A1443,"IQ_TOTAL_DEBT_ISSUED",IQ_FY-1), _xll.ciqfunctions.udf.CIQ(A1443, "IQ_TOTAL_DEBT_ISSUED",IQ_FY))</f>
        <v>0</v>
      </c>
      <c r="N1452" s="17">
        <f>IF(A1451=A1452,_xll.ciqfunctions.udf.CIQ(A1443,"IQ_TOTAL_DEBT_REPAID",IQ_FY-1), _xll.ciqfunctions.udf.CIQ(A1443, "IQ_TOTAL_DEBT_REPAID",IQ_FY))</f>
        <v>0</v>
      </c>
      <c r="O1452" s="15">
        <f t="shared" si="385"/>
        <v>0</v>
      </c>
      <c r="P1452" s="15">
        <f t="shared" si="386"/>
        <v>4.9579999502830088</v>
      </c>
      <c r="Q1452" s="25" t="s">
        <v>44</v>
      </c>
      <c r="R1452" s="38" t="s">
        <v>35</v>
      </c>
      <c r="S1452" s="1">
        <f>_xll.ciqfunctions.udf.CIQ(A1443,"IQ_TEV_EBITDA")</f>
        <v>31.335850000000001</v>
      </c>
      <c r="U1452" s="25" t="s">
        <v>55</v>
      </c>
      <c r="V1452" s="38" t="s">
        <v>53</v>
      </c>
      <c r="W1452" s="1">
        <f>V1442/(AVERAGE(D1448:D1453)/_xlfn.STDEV.P(E1448:E1453))</f>
        <v>0.85290752152758031</v>
      </c>
      <c r="Y1452" s="25" t="s">
        <v>57</v>
      </c>
      <c r="Z1452" s="38" t="s">
        <v>53</v>
      </c>
      <c r="AA1452" s="1">
        <f>Z1442/(AVERAGE(D1448:D1453)/_xlfn.STDEV.P(E1448:E1453))</f>
        <v>0.85290752152758031</v>
      </c>
    </row>
    <row r="1453" spans="1:27">
      <c r="B1453" s="13">
        <v>11</v>
      </c>
      <c r="C1453" s="20" t="s">
        <v>36</v>
      </c>
      <c r="D1453" s="21" cm="1">
        <f t="array" ref="D1453">_xlfn.SINGLE(IF(A1451=A1452,_xll.ciqfunctions.udf.CIQ(A1443,"IQ_TOTAL_REV",IQ_FY)/I1453, _xll.ciqfunctions.udf.CIQ(A1443, "IQ_TOTAL_REV",IQ_LTM)/I1453))</f>
        <v>14.699748215735237</v>
      </c>
      <c r="E1453" s="22">
        <f t="shared" si="387"/>
        <v>0.11089337767531635</v>
      </c>
      <c r="F1453" s="21">
        <f>IF(A1451=A1452,_xll.ciqfunctions.udf.CIQ(A1443,"IQ_DILUT_EPS_EXCL",IQ_FY), _xll.ciqfunctions.udf.CIQ(A1443, "IQ_DILUT_EPS_EXCL",IQ_LTM))</f>
        <v>3.6865000000000001</v>
      </c>
      <c r="G1453" s="21">
        <f>IF(A1451=A1452,_xll.ciqfunctions.udf.CIQ(A1443,"IQ_EBITDA_MARGIN",IQ_FY), _xll.ciqfunctions.udf.CIQ(A1443, "IQ_EBITDA_MARGIN",IQ_LTM))</f>
        <v>33.706200000000003</v>
      </c>
      <c r="H1453" s="21">
        <f>IF(A1451=A1452,_xll.ciqfunctions.udf.CIQ(A1443,"IQ_TOTAL_DIV_PAID_CF",IQ_FY)/-I1453, _xll.ciqfunctions.udf.CIQ(A1443, "IQ_TOTAL_DIV_PAID_CF",IQ_LTM)/-I1453)</f>
        <v>0</v>
      </c>
      <c r="I1453" s="23">
        <f>IF(A1451=A1452,_xll.ciqfunctions.udf.CIQ(A1443,"IQ_TOTAL_OUTSTANDING_FILING_DATE",IQ_FY),_xll.ciqfunctions.udf.CIQ(A1443,"IQ_sharesoutstanding"))</f>
        <v>36.78546</v>
      </c>
      <c r="J1453" s="23">
        <f>IF(A1451=A1452,_xll.ciqfunctions.udf.CIQ(A1443,"IQ_CASH_OPER",IQ_FY), _xll.ciqfunctions.udf.CIQ(A1443, "IQ_CASH_OPER",IQ_LTM))</f>
        <v>254.61</v>
      </c>
      <c r="K1453" s="23">
        <f>IF(A1451=A1452,_xll.ciqfunctions.udf.CIQ(A1443,"IQ_CAPEX",IQ_FY), _xll.ciqfunctions.udf.CIQ(A1443, "IQ_CAPEX",IQ_LTM))</f>
        <v>-10.233000000000001</v>
      </c>
      <c r="L1453" s="21">
        <f t="shared" si="384"/>
        <v>6.6433041750735207</v>
      </c>
      <c r="M1453" s="23">
        <f>IF(A1451=A1452,_xll.ciqfunctions.udf.CIQ(A1443,"IQ_TOTAL_DEBT_ISSUED",IQ_FY), _xll.ciqfunctions.udf.CIQ(A1443, "IQ_TOTAL_DEBT_ISSUED",IQ_LTM))</f>
        <v>0</v>
      </c>
      <c r="N1453" s="23">
        <f>IF(A1451=A1452,_xll.ciqfunctions.udf.CIQ(A1443,"IQ_TOTAL_DEBT_REPAID",IQ_FY), _xll.ciqfunctions.udf.CIQ(A1443, "IQ_TOTAL_DEBT_REPAID",IQ_LTM))</f>
        <v>0</v>
      </c>
      <c r="O1453" s="21">
        <f t="shared" si="385"/>
        <v>0</v>
      </c>
      <c r="P1453" s="21">
        <f t="shared" si="386"/>
        <v>6.6433041750735207</v>
      </c>
      <c r="Q1453" s="25" t="s">
        <v>45</v>
      </c>
      <c r="S1453" s="45"/>
      <c r="U1453" s="25"/>
      <c r="W1453" s="45"/>
      <c r="Y1453" s="25"/>
      <c r="AA1453" s="45"/>
    </row>
    <row r="1454" spans="1:27">
      <c r="B1454" s="24"/>
      <c r="C1454" s="25" t="s">
        <v>37</v>
      </c>
      <c r="E1454" s="26">
        <f>((D1453/D1448)^(1/5))-1</f>
        <v>0.155244188945179</v>
      </c>
      <c r="F1454" s="27">
        <f>((F1453/F1448)^(1/5))-1</f>
        <v>0.21892991100510706</v>
      </c>
      <c r="G1454" s="28"/>
      <c r="H1454" s="27" t="e">
        <f>((H1453/H1448)^(1/5))-1</f>
        <v>#DIV/0!</v>
      </c>
      <c r="I1454" s="27">
        <f>((I1453/I1448)^(1/5))-1</f>
        <v>-1.1817524509066146E-2</v>
      </c>
      <c r="J1454" s="27"/>
      <c r="K1454" s="27"/>
      <c r="L1454" s="26">
        <f>((L1453/L1448)^(1/5))-1</f>
        <v>0.20356661629178041</v>
      </c>
      <c r="M1454" s="26"/>
      <c r="N1454" s="26"/>
      <c r="O1454" s="26"/>
      <c r="P1454" s="26">
        <f>((P1453/P1448)^(1/5))-1</f>
        <v>0.20739325699611055</v>
      </c>
      <c r="Q1454" s="18"/>
      <c r="R1454" s="36"/>
      <c r="S1454" s="45"/>
      <c r="U1454" s="18"/>
      <c r="V1454" s="36"/>
      <c r="W1454" s="45"/>
      <c r="Y1454" s="18"/>
      <c r="Z1454" s="36"/>
      <c r="AA1454" s="45"/>
    </row>
    <row r="1455" spans="1:27">
      <c r="A1455" s="29"/>
      <c r="B1455" s="30"/>
      <c r="C1455" s="31" t="s">
        <v>38</v>
      </c>
      <c r="D1455" s="29"/>
      <c r="E1455" s="32">
        <f>((D1453/D1443)^(1/10))-1</f>
        <v>0.16018580905568647</v>
      </c>
      <c r="F1455" s="33">
        <f>((F1453/F1443)^(1/10))-1</f>
        <v>0.57201043548084862</v>
      </c>
      <c r="G1455" s="34"/>
      <c r="H1455" s="33" t="e">
        <f>((H1453/H1443)^(1/10))-1</f>
        <v>#DIV/0!</v>
      </c>
      <c r="I1455" s="33">
        <f>((I1453/I1443)^(1/10))-1</f>
        <v>1.2614093450005193E-2</v>
      </c>
      <c r="J1455" s="33"/>
      <c r="K1455" s="33"/>
      <c r="L1455" s="32">
        <f>((L1453/L1443)^(1/10))-1</f>
        <v>0.34138560948176822</v>
      </c>
      <c r="M1455" s="32"/>
      <c r="N1455" s="32"/>
      <c r="O1455" s="32"/>
      <c r="P1455" s="32">
        <f>((P1453/P1443)^(1/10))-1</f>
        <v>0.35615980758684129</v>
      </c>
      <c r="Q1455" s="40"/>
      <c r="R1455" s="41"/>
      <c r="S1455" s="46"/>
      <c r="U1455" s="40"/>
      <c r="V1455" s="41"/>
      <c r="W1455" s="46"/>
      <c r="Y1455" s="40"/>
      <c r="Z1455" s="41"/>
      <c r="AA1455" s="46"/>
    </row>
    <row r="1456" spans="1:27">
      <c r="B1456" s="24"/>
      <c r="C1456" s="25"/>
      <c r="E1456" s="26"/>
      <c r="F1456" s="27"/>
      <c r="G1456" s="28"/>
      <c r="H1456" s="27"/>
      <c r="I1456" s="27"/>
      <c r="J1456" s="27"/>
      <c r="K1456" s="27"/>
      <c r="L1456" s="26"/>
      <c r="M1456" s="17"/>
      <c r="N1456" s="17"/>
      <c r="O1456" s="17"/>
      <c r="P1456" s="35"/>
      <c r="Q1456" s="18"/>
      <c r="R1456" s="36"/>
    </row>
    <row r="1457" spans="1:27">
      <c r="A1457" s="9" t="s">
        <v>0</v>
      </c>
      <c r="B1457" s="10"/>
      <c r="C1457" s="9" t="s">
        <v>1</v>
      </c>
      <c r="D1457" s="9" t="s">
        <v>2</v>
      </c>
      <c r="E1457" s="9" t="s">
        <v>3</v>
      </c>
      <c r="F1457" s="11" t="s">
        <v>4</v>
      </c>
      <c r="G1457" s="11" t="s">
        <v>5</v>
      </c>
      <c r="H1457" s="9" t="s">
        <v>6</v>
      </c>
      <c r="I1457" s="11" t="s">
        <v>7</v>
      </c>
      <c r="J1457" s="11" t="s">
        <v>8</v>
      </c>
      <c r="K1457" s="11" t="s">
        <v>9</v>
      </c>
      <c r="L1457" s="11" t="s">
        <v>10</v>
      </c>
      <c r="M1457" s="11" t="s">
        <v>11</v>
      </c>
      <c r="N1457" s="11" t="s">
        <v>12</v>
      </c>
      <c r="O1457" s="11" t="s">
        <v>13</v>
      </c>
      <c r="P1457" s="11" t="s">
        <v>14</v>
      </c>
      <c r="Q1457" s="37" t="s">
        <v>15</v>
      </c>
      <c r="R1457" s="42">
        <f>_xll.ciqfunctions.udf.CIQ(A1458,("IQ_LASTSALEPRICE"))</f>
        <v>86.547799999999995</v>
      </c>
      <c r="S1457" s="44"/>
      <c r="U1457" s="37" t="s">
        <v>15</v>
      </c>
      <c r="V1457" s="42">
        <f>_xll.ciqfunctions.udf.CIQ(A1458,("IQ_LASTSALEPRICE"))</f>
        <v>86.547799999999995</v>
      </c>
      <c r="W1457" s="44"/>
      <c r="Y1457" s="37" t="s">
        <v>15</v>
      </c>
      <c r="Z1457" s="42">
        <f>_xll.ciqfunctions.udf.CIQ(A1458,("IQ_LASTSALEPRICE"))</f>
        <v>86.547799999999995</v>
      </c>
      <c r="AA1457" s="44"/>
    </row>
    <row r="1458" spans="1:27">
      <c r="A1458" s="12" t="str">
        <f>Analysis!B99</f>
        <v>NYSE:DLB</v>
      </c>
      <c r="B1458" s="13">
        <v>1</v>
      </c>
      <c r="C1458" s="14" t="s">
        <v>16</v>
      </c>
      <c r="D1458" s="15">
        <f>IF(A1466=A1467,_xll.ciqfunctions.udf.CIQ(A1458,"IQ_TOTAL_REV",IQ_FY-10)/I1458,_xll.ciqfunctions.udf.CIQ(A1458, "IQ_TOTAL_REV",IQ_FY-9)/I1458)</f>
        <v>8.9391789261653027</v>
      </c>
      <c r="E1458" s="16"/>
      <c r="F1458" s="15">
        <f>IF(A1466=A1467,_xll.ciqfunctions.udf.CIQ(A1458,"IQ_DILUT_EPS_EXCL",IQ_FY-10), _xll.ciqfunctions.udf.CIQ(A1458, "IQ_DILUT_EPS_EXCL",IQ_FY-9))</f>
        <v>1.84</v>
      </c>
      <c r="G1458" s="15">
        <f>IF(A1466=A1467,_xll.ciqfunctions.udf.CIQ(A1458,"IQ_EBITDA_MARGIN",IQ_FY-10), _xll.ciqfunctions.udf.CIQ(A1458, "IQ_EBITDA_MARGIN",IQ_FY-9))</f>
        <v>33.4604</v>
      </c>
      <c r="H1458" s="15">
        <f>IF(A1466=A1467,_xll.ciqfunctions.udf.CIQ(A1458,"IQ_TOTAL_DIV_PAID_CF",IQ_FY-10)/-I1458, _xll.ciqfunctions.udf.CIQ(A1458, "IQ_TOTAL_DIV_PAID_CF",IQ_FY-9)/-I1458)</f>
        <v>0</v>
      </c>
      <c r="I1458" s="17">
        <f>IF(A1466=A1467,_xll.ciqfunctions.udf.CIQ(A1458,"IQ_TOTAL_OUTSTANDING_FILING_DATE",IQ_FY-10), _xll.ciqfunctions.udf.CIQ(A1458, "IQ_TOTAL_OUTSTANDING_FILING_DATE",IQ_FY-9))</f>
        <v>101.76259</v>
      </c>
      <c r="J1458" s="17">
        <f>IF(A1466=A1467,_xll.ciqfunctions.udf.CIQ(A1458,"IQ_CASH_OPER",IQ_FY-10), _xll.ciqfunctions.udf.CIQ(A1458, "IQ_CASH_OPER",IQ_FY-9))</f>
        <v>276.50099999999998</v>
      </c>
      <c r="K1458" s="17">
        <f>IF(A1466=A1467,_xll.ciqfunctions.udf.CIQ(A1458,"IQ_CAPEX",IQ_FY-10), _xll.ciqfunctions.udf.CIQ(A1458, "IQ_CAPEX",IQ_FY-9))</f>
        <v>-26.710999999999999</v>
      </c>
      <c r="L1458" s="15">
        <f t="shared" ref="L1458:L1468" si="388">(J1458+K1458)/I1458</f>
        <v>2.4546348515697169</v>
      </c>
      <c r="M1458" s="17">
        <f>IF(A1466=A1467,_xll.ciqfunctions.udf.CIQ(A1458,"IQ_TOTAL_DEBT_ISSUED",IQ_FY-10), _xll.ciqfunctions.udf.CIQ(A1458, "IQ_TOTAL_DEBT_ISSUED",IQ_FY-9))</f>
        <v>0</v>
      </c>
      <c r="N1458" s="17">
        <f>IF(A1466=A1467,_xll.ciqfunctions.udf.CIQ(A1458,"IQ_TOTAL_DEBT_REPAID",IQ_FY-10), _xll.ciqfunctions.udf.CIQ(A1458, "IQ_TOTAL_DEBT_REPAID",IQ_FY-9))</f>
        <v>-7.9000000000000001E-2</v>
      </c>
      <c r="O1458" s="15">
        <f t="shared" ref="O1458:O1468" si="389">(M1458+N1458)/I1458</f>
        <v>-7.7631671914010834E-4</v>
      </c>
      <c r="P1458" s="15">
        <f t="shared" ref="P1458:P1468" si="390">L1458+O1458</f>
        <v>2.453858534850577</v>
      </c>
      <c r="W1458" s="43"/>
      <c r="AA1458" s="43"/>
    </row>
    <row r="1459" spans="1:27">
      <c r="A1459" s="18" t="str">
        <f>_xll.ciqfunctions.udf.CIQ(A1458,"IQ_COMPANY_NAME")</f>
        <v>Dolby Laboratories, Inc.</v>
      </c>
      <c r="B1459" s="13">
        <v>2</v>
      </c>
      <c r="C1459" s="14" t="s">
        <v>17</v>
      </c>
      <c r="D1459" s="15">
        <f>IF(A1466=A1467,_xll.ciqfunctions.udf.CIQ(A1458,"IQ_TOTAL_REV",IQ_FY-9)/I1459, _xll.ciqfunctions.udf.CIQ(A1458, "IQ_TOTAL_REV",IQ_FY-8)/I1459)</f>
        <v>9.3871050684008779</v>
      </c>
      <c r="E1459" s="16">
        <f t="shared" ref="E1459:E1468" si="391">(D1459-D1458)/D1458</f>
        <v>5.0108197401047536E-2</v>
      </c>
      <c r="F1459" s="15">
        <f>IF(A1466=A1467,_xll.ciqfunctions.udf.CIQ(A1458,"IQ_DILUT_EPS_EXCL",IQ_FY-9), _xll.ciqfunctions.udf.CIQ(A1458, "IQ_DILUT_EPS_EXCL",IQ_FY-8))</f>
        <v>1.99</v>
      </c>
      <c r="G1459" s="15">
        <f>IF(A1466=A1467,_xll.ciqfunctions.udf.CIQ(A1458,"IQ_EBITDA_MARGIN",IQ_FY-9), _xll.ciqfunctions.udf.CIQ(A1458, "IQ_EBITDA_MARGIN",IQ_FY-8))</f>
        <v>34.920499999999997</v>
      </c>
      <c r="H1459" s="15">
        <f>IF(A1466=A1467,_xll.ciqfunctions.udf.CIQ(A1458,"IQ_TOTAL_DIV_PAID_CF",IQ_FY-9)/-I1459, _xll.ciqfunctions.udf.CIQ(A1458, "IQ_TOTAL_DIV_PAID_CF",IQ_FY-8)/-I1459)</f>
        <v>0</v>
      </c>
      <c r="I1459" s="17">
        <f>IF(A1466=A1467,_xll.ciqfunctions.udf.CIQ(A1458,"IQ_TOTAL_OUTSTANDING_FILING_DATE",IQ_FY-9), _xll.ciqfunctions.udf.CIQ(A1458, "IQ_TOTAL_OUTSTANDING_FILING_DATE",IQ_FY-8))</f>
        <v>102.2867</v>
      </c>
      <c r="J1459" s="17">
        <f>IF(A1466=A1467,_xll.ciqfunctions.udf.CIQ(A1458,"IQ_CASH_OPER",IQ_FY-9), _xll.ciqfunctions.udf.CIQ(A1458, "IQ_CASH_OPER",IQ_FY-8))</f>
        <v>361.54700000000003</v>
      </c>
      <c r="K1459" s="17">
        <f>IF(A1466=A1467,_xll.ciqfunctions.udf.CIQ(A1458,"IQ_CAPEX",IQ_FY-9), _xll.ciqfunctions.udf.CIQ(A1458, "IQ_CAPEX",IQ_FY-8))</f>
        <v>-75.363</v>
      </c>
      <c r="L1459" s="15">
        <f t="shared" si="388"/>
        <v>2.7978613055265251</v>
      </c>
      <c r="M1459" s="17">
        <f>IF(A1466=A1467,_xll.ciqfunctions.udf.CIQ(A1458,"IQ_TOTAL_DEBT_ISSUED",IQ_FY-9), _xll.ciqfunctions.udf.CIQ(A1458, "IQ_TOTAL_DEBT_ISSUED",IQ_FY-8))</f>
        <v>0</v>
      </c>
      <c r="N1459" s="17">
        <f>IF(A1466=A1467,_xll.ciqfunctions.udf.CIQ(A1458,"IQ_TOTAL_DEBT_REPAID",IQ_FY-9), _xll.ciqfunctions.udf.CIQ(A1458, "IQ_TOTAL_DEBT_REPAID",IQ_FY-8))</f>
        <v>0</v>
      </c>
      <c r="O1459" s="15">
        <f t="shared" si="389"/>
        <v>0</v>
      </c>
      <c r="P1459" s="15">
        <f t="shared" si="390"/>
        <v>2.7978613055265251</v>
      </c>
      <c r="Q1459" s="25" t="s">
        <v>18</v>
      </c>
      <c r="R1459" s="39" t="s">
        <v>19</v>
      </c>
      <c r="S1459" s="1">
        <f>R1457/((AVERAGE(P1463:P1468))*(1+E1469)^3)</f>
        <v>24.218149727463334</v>
      </c>
      <c r="U1459" s="25" t="s">
        <v>48</v>
      </c>
      <c r="V1459" s="39" t="s">
        <v>19</v>
      </c>
      <c r="W1459" s="1">
        <f>V1457/((AVERAGE(P1463:P1468))*(1+E1469)^3)</f>
        <v>24.218149727463334</v>
      </c>
      <c r="Y1459" s="25" t="s">
        <v>39</v>
      </c>
      <c r="Z1459" s="39" t="s">
        <v>19</v>
      </c>
      <c r="AA1459" s="1">
        <f>Z1457/((AVERAGE(P1463:P1468))*(1+E1469)^3)</f>
        <v>24.218149727463334</v>
      </c>
    </row>
    <row r="1460" spans="1:27">
      <c r="B1460" s="13">
        <v>3</v>
      </c>
      <c r="C1460" s="14" t="s">
        <v>20</v>
      </c>
      <c r="D1460" s="15" cm="1">
        <f t="array" ref="D1460">_xlfn.SINGLE(IF(A1466=A1467,_xll.ciqfunctions.udf.CIQ(A1458,"IQ_TOTAL_REV",IQ_FY-8)/I1460, _xll.ciqfunctions.udf.CIQ(A1458, "IQ_TOTAL_REV",IQ_FY-7)/I1460))</f>
        <v>9.6244518535962627</v>
      </c>
      <c r="E1460" s="16">
        <f t="shared" si="391"/>
        <v>2.5284343092562989E-2</v>
      </c>
      <c r="F1460" s="15">
        <f>IF(A1466=A1467,_xll.ciqfunctions.udf.CIQ(A1458,"IQ_DILUT_EPS_EXCL",IQ_FY-8), _xll.ciqfunctions.udf.CIQ(A1458, "IQ_DILUT_EPS_EXCL",IQ_FY-7))</f>
        <v>1.75</v>
      </c>
      <c r="G1460" s="15">
        <f>IF(A1466=A1467,_xll.ciqfunctions.udf.CIQ(A1458,"IQ_EBITDA_MARGIN",IQ_FY-8), _xll.ciqfunctions.udf.CIQ(A1458, "IQ_EBITDA_MARGIN",IQ_FY-7))</f>
        <v>29.123200000000001</v>
      </c>
      <c r="H1460" s="15">
        <f>IF(A1466=A1467,_xll.ciqfunctions.udf.CIQ(A1458,"IQ_TOTAL_DIV_PAID_CF",IQ_FY-8)/-I1460, _xll.ciqfunctions.udf.CIQ(A1458, "IQ_TOTAL_DIV_PAID_CF",IQ_FY-7)/-I1460)</f>
        <v>0.4067178146031904</v>
      </c>
      <c r="I1460" s="17">
        <f>IF(A1466=A1467,_xll.ciqfunctions.udf.CIQ(A1458,"IQ_TOTAL_OUTSTANDING_FILING_DATE",IQ_FY-8), _xll.ciqfunctions.udf.CIQ(A1458, "IQ_TOTAL_OUTSTANDING_FILING_DATE",IQ_FY-7))</f>
        <v>100.85124999999999</v>
      </c>
      <c r="J1460" s="17">
        <f>IF(A1466=A1467,_xll.ciqfunctions.udf.CIQ(A1458,"IQ_CASH_OPER",IQ_FY-8), _xll.ciqfunctions.udf.CIQ(A1458, "IQ_CASH_OPER",IQ_FY-7))</f>
        <v>309.37700000000001</v>
      </c>
      <c r="K1460" s="17">
        <f>IF(A1466=A1467,_xll.ciqfunctions.udf.CIQ(A1458,"IQ_CAPEX",IQ_FY-8), _xll.ciqfunctions.udf.CIQ(A1458, "IQ_CAPEX",IQ_FY-7))</f>
        <v>-157.52600000000001</v>
      </c>
      <c r="L1460" s="15">
        <f t="shared" si="388"/>
        <v>1.5056927901240689</v>
      </c>
      <c r="M1460" s="17">
        <f>IF(A1466=A1467,_xll.ciqfunctions.udf.CIQ(A1458,"IQ_TOTAL_DEBT_ISSUED",IQ_FY-8), _xll.ciqfunctions.udf.CIQ(A1458, "IQ_TOTAL_DEBT_ISSUED",IQ_FY-7))</f>
        <v>0</v>
      </c>
      <c r="N1460" s="17">
        <f>IF(A1466=A1467,_xll.ciqfunctions.udf.CIQ(A1458,"IQ_TOTAL_DEBT_REPAID",IQ_FY-8), _xll.ciqfunctions.udf.CIQ(A1458, "IQ_TOTAL_DEBT_REPAID",IQ_FY-7))</f>
        <v>0</v>
      </c>
      <c r="O1460" s="15">
        <f t="shared" si="389"/>
        <v>0</v>
      </c>
      <c r="P1460" s="15">
        <f t="shared" si="390"/>
        <v>1.5056927901240689</v>
      </c>
      <c r="Q1460" s="25" t="s">
        <v>21</v>
      </c>
      <c r="R1460" s="38" t="s">
        <v>49</v>
      </c>
      <c r="S1460" s="2">
        <f>(R1457*I1468)/1000</f>
        <v>8.2459281927999992</v>
      </c>
      <c r="U1460" s="25" t="s">
        <v>59</v>
      </c>
      <c r="V1460" s="38" t="s">
        <v>49</v>
      </c>
      <c r="W1460" s="2">
        <f>(V1457*I1468)/1000</f>
        <v>8.2459281927999992</v>
      </c>
      <c r="Y1460" s="25" t="s">
        <v>46</v>
      </c>
      <c r="Z1460" s="38" t="s">
        <v>49</v>
      </c>
      <c r="AA1460" s="2">
        <f>(Z1457*I1468)/1000</f>
        <v>8.2459281927999992</v>
      </c>
    </row>
    <row r="1461" spans="1:27">
      <c r="A1461" s="18"/>
      <c r="B1461" s="13">
        <v>4</v>
      </c>
      <c r="C1461" s="14" t="s">
        <v>22</v>
      </c>
      <c r="D1461" s="15" cm="1">
        <f t="array" ref="D1461">_xlfn.SINGLE(IF(A1466=A1467,_xll.ciqfunctions.udf.CIQ(A1458,"IQ_TOTAL_REV",IQ_FY-7)/I1461, _xll.ciqfunctions.udf.CIQ(A1458, "IQ_TOTAL_REV",IQ_FY-6)/I1461))</f>
        <v>10.107427220499392</v>
      </c>
      <c r="E1461" s="16">
        <f t="shared" si="391"/>
        <v>5.0182116784413207E-2</v>
      </c>
      <c r="F1461" s="15">
        <f>IF(A1466=A1467,_xll.ciqfunctions.udf.CIQ(A1458,"IQ_DILUT_EPS_EXCL",IQ_FY-7), _xll.ciqfunctions.udf.CIQ(A1458, "IQ_DILUT_EPS_EXCL",IQ_FY-6))</f>
        <v>1.81</v>
      </c>
      <c r="G1461" s="15">
        <f>IF(A1466=A1467,_xll.ciqfunctions.udf.CIQ(A1458,"IQ_EBITDA_MARGIN",IQ_FY-7), _xll.ciqfunctions.udf.CIQ(A1458, "IQ_EBITDA_MARGIN",IQ_FY-6))</f>
        <v>31.019600000000001</v>
      </c>
      <c r="H1461" s="15">
        <f>IF(A1466=A1467,_xll.ciqfunctions.udf.CIQ(A1458,"IQ_TOTAL_DIV_PAID_CF",IQ_FY-7)/-I1461, _xll.ciqfunctions.udf.CIQ(A1458, "IQ_TOTAL_DIV_PAID_CF",IQ_FY-6)/-I1461)</f>
        <v>0.4768948359040116</v>
      </c>
      <c r="I1461" s="17">
        <f>IF(A1466=A1467,_xll.ciqfunctions.udf.CIQ(A1458,"IQ_TOTAL_OUTSTANDING_FILING_DATE",IQ_FY-7), _xll.ciqfunctions.udf.CIQ(A1458, "IQ_TOTAL_OUTSTANDING_FILING_DATE",IQ_FY-6))</f>
        <v>101.48359000000001</v>
      </c>
      <c r="J1461" s="17">
        <f>IF(A1466=A1467,_xll.ciqfunctions.udf.CIQ(A1458,"IQ_CASH_OPER",IQ_FY-7), _xll.ciqfunctions.udf.CIQ(A1458, "IQ_CASH_OPER",IQ_FY-6))</f>
        <v>360.06400000000002</v>
      </c>
      <c r="K1461" s="17">
        <f>IF(A1466=A1467,_xll.ciqfunctions.udf.CIQ(A1458,"IQ_CAPEX",IQ_FY-7), _xll.ciqfunctions.udf.CIQ(A1458, "IQ_CAPEX",IQ_FY-6))</f>
        <v>-100.762</v>
      </c>
      <c r="L1461" s="15">
        <f t="shared" si="388"/>
        <v>2.5551126049048913</v>
      </c>
      <c r="M1461" s="17">
        <f>IF(A1466=A1467,_xll.ciqfunctions.udf.CIQ(A1458,"IQ_TOTAL_DEBT_ISSUED",IQ_FY-7), _xll.ciqfunctions.udf.CIQ(A1458, "IQ_TOTAL_DEBT_ISSUED",IQ_FY-6))</f>
        <v>0</v>
      </c>
      <c r="N1461" s="17">
        <f>IF(A1466=A1467,_xll.ciqfunctions.udf.CIQ(A1458,"IQ_TOTAL_DEBT_REPAID",IQ_FY-7), _xll.ciqfunctions.udf.CIQ(A1458, "IQ_TOTAL_DEBT_REPAID",IQ_FY-6))</f>
        <v>0</v>
      </c>
      <c r="O1461" s="15">
        <f t="shared" si="389"/>
        <v>0</v>
      </c>
      <c r="P1461" s="15">
        <f t="shared" si="390"/>
        <v>2.5551126049048913</v>
      </c>
      <c r="Q1461" s="25" t="s">
        <v>23</v>
      </c>
      <c r="R1461" s="38" t="s">
        <v>24</v>
      </c>
      <c r="S1461" s="1">
        <f>R1457/(AVERAGE(H1463:H1468)*(1+H1469)/(0.5-H1469))</f>
        <v>34.241090275509244</v>
      </c>
      <c r="U1461" s="25" t="s">
        <v>40</v>
      </c>
      <c r="V1461" s="38" t="s">
        <v>24</v>
      </c>
      <c r="W1461" s="1">
        <f>V1457/(AVERAGE(H1463:H1468)*(1+H1469)/(0.5-H1469))</f>
        <v>34.241090275509244</v>
      </c>
      <c r="Y1461" s="25" t="s">
        <v>47</v>
      </c>
      <c r="Z1461" s="38" t="s">
        <v>24</v>
      </c>
      <c r="AA1461" s="1">
        <f>Z1457/(AVERAGE(H1463:H1468)*(1+H1469)/(0.5-H1469))</f>
        <v>34.241090275509244</v>
      </c>
    </row>
    <row r="1462" spans="1:27">
      <c r="B1462" s="13">
        <v>5</v>
      </c>
      <c r="C1462" s="14" t="s">
        <v>25</v>
      </c>
      <c r="D1462" s="15" cm="1">
        <f t="array" ref="D1462">_xlfn.SINGLE(IF(A1466=A1467,_xll.ciqfunctions.udf.CIQ(A1458,"IQ_TOTAL_REV",IQ_FY-6)/I1462, _xll.ciqfunctions.udf.CIQ(A1458, "IQ_TOTAL_REV",IQ_FY-5)/I1462))</f>
        <v>10.560009150508263</v>
      </c>
      <c r="E1462" s="16">
        <f t="shared" si="391"/>
        <v>4.4777164369876991E-2</v>
      </c>
      <c r="F1462" s="15">
        <f>IF(A1466=A1467,_xll.ciqfunctions.udf.CIQ(A1458,"IQ_DILUT_EPS_EXCL",IQ_FY-6), _xll.ciqfunctions.udf.CIQ(A1458, "IQ_DILUT_EPS_EXCL",IQ_FY-5))</f>
        <v>2</v>
      </c>
      <c r="G1462" s="15">
        <f>IF(A1466=A1467,_xll.ciqfunctions.udf.CIQ(A1458,"IQ_EBITDA_MARGIN",IQ_FY-6), _xll.ciqfunctions.udf.CIQ(A1458, "IQ_EBITDA_MARGIN",IQ_FY-5))</f>
        <v>31.874099999999999</v>
      </c>
      <c r="H1462" s="15">
        <f>IF(A1466=A1467,_xll.ciqfunctions.udf.CIQ(A1458,"IQ_TOTAL_DIV_PAID_CF",IQ_FY-6)/-I1462, _xll.ciqfunctions.udf.CIQ(A1458, "IQ_TOTAL_DIV_PAID_CF",IQ_FY-5)/-I1462)</f>
        <v>0.55781928528273694</v>
      </c>
      <c r="I1462" s="17">
        <f>IF(A1466=A1467,_xll.ciqfunctions.udf.CIQ(A1458,"IQ_TOTAL_OUTSTANDING_FILING_DATE",IQ_FY-6), _xll.ciqfunctions.udf.CIQ(A1458, "IQ_TOTAL_OUTSTANDING_FILING_DATE",IQ_FY-5))</f>
        <v>102.2894</v>
      </c>
      <c r="J1462" s="17">
        <f>IF(A1466=A1467,_xll.ciqfunctions.udf.CIQ(A1458,"IQ_CASH_OPER",IQ_FY-6), _xll.ciqfunctions.udf.CIQ(A1458, "IQ_CASH_OPER",IQ_FY-5))</f>
        <v>377.79300000000001</v>
      </c>
      <c r="K1462" s="17">
        <f>IF(A1466=A1467,_xll.ciqfunctions.udf.CIQ(A1458,"IQ_CAPEX",IQ_FY-6), _xll.ciqfunctions.udf.CIQ(A1458, "IQ_CAPEX",IQ_FY-5))</f>
        <v>-99.617000000000004</v>
      </c>
      <c r="L1462" s="15">
        <f t="shared" si="388"/>
        <v>2.7194997722149115</v>
      </c>
      <c r="M1462" s="17">
        <f>IF(A1466=A1467,_xll.ciqfunctions.udf.CIQ(A1458,"IQ_TOTAL_DEBT_ISSUED",IQ_FY-6), _xll.ciqfunctions.udf.CIQ(A1458, "IQ_TOTAL_DEBT_ISSUED",IQ_FY-5))</f>
        <v>0</v>
      </c>
      <c r="N1462" s="17">
        <f>IF(A1466=A1467,_xll.ciqfunctions.udf.CIQ(A1458,"IQ_TOTAL_DEBT_REPAID",IQ_FY-6), _xll.ciqfunctions.udf.CIQ(A1458, "IQ_TOTAL_DEBT_REPAID",IQ_FY-5))</f>
        <v>0</v>
      </c>
      <c r="O1462" s="15">
        <f t="shared" si="389"/>
        <v>0</v>
      </c>
      <c r="P1462" s="15">
        <f t="shared" si="390"/>
        <v>2.7194997722149115</v>
      </c>
      <c r="Q1462" s="18"/>
      <c r="R1462" s="38" t="s">
        <v>50</v>
      </c>
      <c r="S1462" s="3">
        <f>I1469</f>
        <v>-1.5971493339155041E-2</v>
      </c>
      <c r="U1462" s="18"/>
      <c r="V1462" s="38" t="s">
        <v>50</v>
      </c>
      <c r="W1462" s="3">
        <f>I1469</f>
        <v>-1.5971493339155041E-2</v>
      </c>
      <c r="Y1462" s="18"/>
      <c r="Z1462" s="38" t="s">
        <v>50</v>
      </c>
      <c r="AA1462" s="3">
        <f>I1469</f>
        <v>-1.5971493339155041E-2</v>
      </c>
    </row>
    <row r="1463" spans="1:27">
      <c r="B1463" s="13">
        <v>6</v>
      </c>
      <c r="C1463" s="14" t="s">
        <v>26</v>
      </c>
      <c r="D1463" s="15" cm="1">
        <f t="array" ref="D1463">_xlfn.SINGLE(IF(A1466=A1467,_xll.ciqfunctions.udf.CIQ(A1458,"IQ_TOTAL_REV",IQ_FY-5)/I1463, _xll.ciqfunctions.udf.CIQ(A1458, "IQ_TOTAL_REV",IQ_FY-4)/I1463))</f>
        <v>10.212748814702328</v>
      </c>
      <c r="E1463" s="16">
        <f t="shared" si="391"/>
        <v>-3.288447300154286E-2</v>
      </c>
      <c r="F1463" s="15">
        <f>IF(A1466=A1467,_xll.ciqfunctions.udf.CIQ(A1458,"IQ_DILUT_EPS_EXCL",IQ_FY-5), _xll.ciqfunctions.udf.CIQ(A1458, "IQ_DILUT_EPS_EXCL",IQ_FY-4))</f>
        <v>0.39</v>
      </c>
      <c r="G1463" s="15">
        <f>IF(A1466=A1467,_xll.ciqfunctions.udf.CIQ(A1458,"IQ_EBITDA_MARGIN",IQ_FY-5), _xll.ciqfunctions.udf.CIQ(A1458, "IQ_EBITDA_MARGIN",IQ_FY-4))</f>
        <v>25.0656</v>
      </c>
      <c r="H1463" s="15">
        <f>IF(A1466=A1467,_xll.ciqfunctions.udf.CIQ(A1458,"IQ_TOTAL_DIV_PAID_CF",IQ_FY-5)/-I1463, _xll.ciqfunctions.udf.CIQ(A1458, "IQ_TOTAL_DIV_PAID_CF",IQ_FY-4)/-I1463)</f>
        <v>0.64064517147414435</v>
      </c>
      <c r="I1463" s="17">
        <f>IF(A1466=A1467,_xll.ciqfunctions.udf.CIQ(A1458,"IQ_TOTAL_OUTSTANDING_FILING_DATE",IQ_FY-5), _xll.ciqfunctions.udf.CIQ(A1458, "IQ_TOTAL_OUTSTANDING_FILING_DATE",IQ_FY-4))</f>
        <v>103.26309000000001</v>
      </c>
      <c r="J1463" s="17">
        <f>IF(A1466=A1467,_xll.ciqfunctions.udf.CIQ(A1458,"IQ_CASH_OPER",IQ_FY-5), _xll.ciqfunctions.udf.CIQ(A1458, "IQ_CASH_OPER",IQ_FY-4))</f>
        <v>352.202</v>
      </c>
      <c r="K1463" s="17">
        <f>IF(A1466=A1467,_xll.ciqfunctions.udf.CIQ(A1458,"IQ_CAPEX",IQ_FY-5), _xll.ciqfunctions.udf.CIQ(A1458, "IQ_CAPEX",IQ_FY-4))</f>
        <v>-72.813999999999993</v>
      </c>
      <c r="L1463" s="15">
        <f t="shared" si="388"/>
        <v>2.7055940317106528</v>
      </c>
      <c r="M1463" s="17">
        <f>IF(A1466=A1467,_xll.ciqfunctions.udf.CIQ(A1458,"IQ_TOTAL_DEBT_ISSUED",IQ_FY-5), _xll.ciqfunctions.udf.CIQ(A1458, "IQ_TOTAL_DEBT_ISSUED",IQ_FY-4))</f>
        <v>0</v>
      </c>
      <c r="N1463" s="17">
        <f>IF(A1466=A1467,_xll.ciqfunctions.udf.CIQ(A1458,"IQ_TOTAL_DEBT_REPAID",IQ_FY-5), _xll.ciqfunctions.udf.CIQ(A1458, "IQ_TOTAL_DEBT_REPAID",IQ_FY-4))</f>
        <v>0</v>
      </c>
      <c r="O1463" s="15">
        <f t="shared" si="389"/>
        <v>0</v>
      </c>
      <c r="P1463" s="15">
        <f t="shared" si="390"/>
        <v>2.7055940317106528</v>
      </c>
      <c r="Q1463" s="25" t="s">
        <v>27</v>
      </c>
      <c r="R1463" s="38" t="s">
        <v>51</v>
      </c>
      <c r="S1463" s="4">
        <f>AVERAGE(F1463:F1468)/AVERAGE(D1463:D1468)</f>
        <v>0.16191930085343983</v>
      </c>
      <c r="U1463" s="25" t="s">
        <v>58</v>
      </c>
      <c r="V1463" s="38" t="s">
        <v>51</v>
      </c>
      <c r="W1463" s="4">
        <f>AVERAGE(F1463:F1468)/AVERAGE(D1463:D1468)</f>
        <v>0.16191930085343983</v>
      </c>
      <c r="Y1463" s="25" t="s">
        <v>56</v>
      </c>
      <c r="Z1463" s="38" t="s">
        <v>51</v>
      </c>
      <c r="AA1463" s="4">
        <f>AVERAGE(F1463:F1468)/AVERAGE(D1463:D1468)</f>
        <v>0.16191930085343983</v>
      </c>
    </row>
    <row r="1464" spans="1:27">
      <c r="A1464" s="18"/>
      <c r="B1464" s="13">
        <v>7</v>
      </c>
      <c r="C1464" s="14" t="s">
        <v>28</v>
      </c>
      <c r="D1464" s="15" cm="1">
        <f t="array" ref="D1464">_xlfn.SINGLE(IF(A1466=A1467,_xll.ciqfunctions.udf.CIQ(A1458,"IQ_TOTAL_REV",IQ_FY-4)/I1464, _xll.ciqfunctions.udf.CIQ(A1458, "IQ_TOTAL_REV",IQ_FY-3)/I1464))</f>
        <v>12.391276187077311</v>
      </c>
      <c r="E1464" s="16">
        <f t="shared" si="391"/>
        <v>0.21331449660631654</v>
      </c>
      <c r="F1464" s="15">
        <f>IF(A1466=A1467,_xll.ciqfunctions.udf.CIQ(A1458,"IQ_DILUT_EPS_EXCL",IQ_FY-4), _xll.ciqfunctions.udf.CIQ(A1458, "IQ_DILUT_EPS_EXCL",IQ_FY-3))</f>
        <v>2.44</v>
      </c>
      <c r="G1464" s="15">
        <f>IF(A1466=A1467,_xll.ciqfunctions.udf.CIQ(A1458,"IQ_EBITDA_MARGIN",IQ_FY-4), _xll.ciqfunctions.udf.CIQ(A1458, "IQ_EBITDA_MARGIN",IQ_FY-3))</f>
        <v>30.505099999999999</v>
      </c>
      <c r="H1464" s="15">
        <f>IF(A1466=A1467,_xll.ciqfunctions.udf.CIQ(A1458,"IQ_TOTAL_DIV_PAID_CF",IQ_FY-4)/-I1464, _xll.ciqfunctions.udf.CIQ(A1458, "IQ_TOTAL_DIV_PAID_CF",IQ_FY-3)/-I1464)</f>
        <v>0.77340437444124888</v>
      </c>
      <c r="I1464" s="17">
        <f>IF(A1466=A1467,_xll.ciqfunctions.udf.CIQ(A1458,"IQ_TOTAL_OUTSTANDING_FILING_DATE",IQ_FY-4), _xll.ciqfunctions.udf.CIQ(A1458, "IQ_TOTAL_OUTSTANDING_FILING_DATE",IQ_FY-3))</f>
        <v>100.20114</v>
      </c>
      <c r="J1464" s="17">
        <f>IF(A1466=A1467,_xll.ciqfunctions.udf.CIQ(A1458,"IQ_CASH_OPER",IQ_FY-4), _xll.ciqfunctions.udf.CIQ(A1458, "IQ_CASH_OPER",IQ_FY-3))</f>
        <v>327.67399999999998</v>
      </c>
      <c r="K1464" s="17">
        <f>IF(A1466=A1467,_xll.ciqfunctions.udf.CIQ(A1458,"IQ_CAPEX",IQ_FY-4), _xll.ciqfunctions.udf.CIQ(A1458, "IQ_CAPEX",IQ_FY-3))</f>
        <v>-96.281000000000006</v>
      </c>
      <c r="L1464" s="15">
        <f t="shared" si="388"/>
        <v>2.3092851039419311</v>
      </c>
      <c r="M1464" s="17">
        <f>IF(A1466=A1467,_xll.ciqfunctions.udf.CIQ(A1458,"IQ_TOTAL_DEBT_ISSUED",IQ_FY-4), _xll.ciqfunctions.udf.CIQ(A1458, "IQ_TOTAL_DEBT_ISSUED",IQ_FY-3))</f>
        <v>0</v>
      </c>
      <c r="N1464" s="17">
        <f>IF(A1466=A1467,_xll.ciqfunctions.udf.CIQ(A1458,"IQ_TOTAL_DEBT_REPAID",IQ_FY-4), _xll.ciqfunctions.udf.CIQ(A1458, "IQ_TOTAL_DEBT_REPAID",IQ_FY-3))</f>
        <v>0</v>
      </c>
      <c r="O1464" s="15">
        <f t="shared" si="389"/>
        <v>0</v>
      </c>
      <c r="P1464" s="15">
        <f t="shared" si="390"/>
        <v>2.3092851039419311</v>
      </c>
      <c r="Q1464" s="18"/>
      <c r="R1464" s="38" t="s">
        <v>29</v>
      </c>
      <c r="S1464" s="4">
        <f>(AVERAGE(P1463:P1468)/_xlfn.STDEV.P(P1463:P1468))/(IF(A1466=A1467,(_xlfn.SINGLE(_xll.ciqfunctions.udf.CIQ(A1458,"IQ_total_assets",IQ_FY)) - _xlfn.SINGLE(_xll.ciqfunctions.udf.CIQ(A1458,"iq_gw_intan", IQ_FY)))/I1468, (_xlfn.SINGLE(_xll.ciqfunctions.udf.CIQ(A1458, "IQ_total_assets",IQ_LTM))-_xlfn.SINGLE(_xll.ciqfunctions.udf.CIQ(A1458,"iq_gw_intan",IQ_LTM)))/I1468))</f>
        <v>0.22204504964084551</v>
      </c>
      <c r="U1464" s="18"/>
      <c r="V1464" s="38" t="s">
        <v>29</v>
      </c>
      <c r="W1464" s="4">
        <f>(AVERAGE(P1463:P1468)/_xlfn.STDEV.P(P1463:P1468))/(IF(A1466=A1467,(_xlfn.SINGLE(_xll.ciqfunctions.udf.CIQ(A1458,"IQ_total_assets",IQ_FY)) - _xlfn.SINGLE(_xll.ciqfunctions.udf.CIQ(A1458,"iq_gw_intan", IQ_FY)))/I1468, (_xlfn.SINGLE(_xll.ciqfunctions.udf.CIQ(A1458, "IQ_total_assets",IQ_LTM))-_xlfn.SINGLE(_xll.ciqfunctions.udf.CIQ(A1458,"iq_gw_intan",IQ_LTM)))/I1468))</f>
        <v>0.22204504964084551</v>
      </c>
      <c r="Y1464" s="18"/>
      <c r="Z1464" s="38" t="s">
        <v>29</v>
      </c>
      <c r="AA1464" s="4">
        <f>(AVERAGE(P1463:P1468)/_xlfn.STDEV.P(P1463:P1468))/(IF(A1466=A1467,(_xlfn.SINGLE(_xll.ciqfunctions.udf.CIQ(A1458,"IQ_total_assets",IQ_FY)) - _xlfn.SINGLE(_xll.ciqfunctions.udf.CIQ(A1458,"iq_gw_intan", IQ_FY)))/I1468, (_xlfn.SINGLE(_xll.ciqfunctions.udf.CIQ(A1458, "IQ_total_assets",IQ_LTM))-_xlfn.SINGLE(_xll.ciqfunctions.udf.CIQ(A1458,"iq_gw_intan",IQ_LTM)))/I1468))</f>
        <v>0.22204504964084551</v>
      </c>
    </row>
    <row r="1465" spans="1:27">
      <c r="A1465" s="18"/>
      <c r="B1465" s="13">
        <v>8</v>
      </c>
      <c r="C1465" s="14" t="s">
        <v>30</v>
      </c>
      <c r="D1465" s="15" cm="1">
        <f t="array" ref="D1465">_xlfn.SINGLE(IF(A1466=A1467,_xll.ciqfunctions.udf.CIQ(A1458,"IQ_TOTAL_REV",IQ_FY-3)/I1465, _xll.ciqfunctions.udf.CIQ(A1458, "IQ_TOTAL_REV",IQ_FY-2)/I1465))</f>
        <v>11.577557162464499</v>
      </c>
      <c r="E1465" s="16">
        <f t="shared" si="391"/>
        <v>-6.5668702103616111E-2</v>
      </c>
      <c r="F1465" s="15">
        <f>IF(A1466=A1467,_xll.ciqfunctions.udf.CIQ(A1458,"IQ_DILUT_EPS_EXCL",IQ_FY-3), _xll.ciqfunctions.udf.CIQ(A1458, "IQ_DILUT_EPS_EXCL",IQ_FY-2))</f>
        <v>2.25</v>
      </c>
      <c r="G1465" s="15">
        <f>IF(A1466=A1467,_xll.ciqfunctions.udf.CIQ(A1458,"IQ_EBITDA_MARGIN",IQ_FY-3), _xll.ciqfunctions.udf.CIQ(A1458, "IQ_EBITDA_MARGIN",IQ_FY-2))</f>
        <v>26.806899999999999</v>
      </c>
      <c r="H1465" s="15">
        <f>IF(A1466=A1467,_xll.ciqfunctions.udf.CIQ(A1458,"IQ_TOTAL_DIV_PAID_CF",IQ_FY-3)/-I1465, _xll.ciqfunctions.udf.CIQ(A1458, "IQ_TOTAL_DIV_PAID_CF",IQ_FY-2)/-I1465)</f>
        <v>0.8827325295821179</v>
      </c>
      <c r="I1465" s="17">
        <f>IF(A1466=A1467,_xll.ciqfunctions.udf.CIQ(A1458,"IQ_TOTAL_OUTSTANDING_FILING_DATE",IQ_FY-3), _xll.ciqfunctions.udf.CIQ(A1458, "IQ_TOTAL_OUTSTANDING_FILING_DATE",IQ_FY-2))</f>
        <v>100.34863</v>
      </c>
      <c r="J1465" s="17">
        <f>IF(A1466=A1467,_xll.ciqfunctions.udf.CIQ(A1458,"IQ_CASH_OPER",IQ_FY-3), _xll.ciqfunctions.udf.CIQ(A1458, "IQ_CASH_OPER",IQ_FY-2))</f>
        <v>343.84899999999999</v>
      </c>
      <c r="K1465" s="17">
        <f>IF(A1466=A1467,_xll.ciqfunctions.udf.CIQ(A1458,"IQ_CAPEX",IQ_FY-3), _xll.ciqfunctions.udf.CIQ(A1458, "IQ_CAPEX",IQ_FY-2))</f>
        <v>-66.346999999999994</v>
      </c>
      <c r="L1465" s="15">
        <f t="shared" si="388"/>
        <v>2.7653790589866549</v>
      </c>
      <c r="M1465" s="17">
        <f>IF(A1466=A1467,_xll.ciqfunctions.udf.CIQ(A1458,"IQ_TOTAL_DEBT_ISSUED",IQ_FY-3), _xll.ciqfunctions.udf.CIQ(A1458, "IQ_TOTAL_DEBT_ISSUED",IQ_FY-2))</f>
        <v>0</v>
      </c>
      <c r="N1465" s="17">
        <f>IF(A1466=A1467,_xll.ciqfunctions.udf.CIQ(A1458,"IQ_TOTAL_DEBT_REPAID",IQ_FY-3), _xll.ciqfunctions.udf.CIQ(A1458, "IQ_TOTAL_DEBT_REPAID",IQ_FY-2))</f>
        <v>0</v>
      </c>
      <c r="O1465" s="15">
        <f t="shared" si="389"/>
        <v>0</v>
      </c>
      <c r="P1465" s="15">
        <f t="shared" si="390"/>
        <v>2.7653790589866549</v>
      </c>
      <c r="Q1465" s="18"/>
      <c r="R1465" s="39" t="s">
        <v>31</v>
      </c>
      <c r="S1465" s="5">
        <f>IF(NOT(D1458&gt;0),FALSE,SLOPE(G1458:G1468,B1458:B1468))</f>
        <v>-0.65027181818181812</v>
      </c>
      <c r="U1465" s="18"/>
      <c r="V1465" s="39" t="s">
        <v>31</v>
      </c>
      <c r="W1465" s="5">
        <f>IF(NOT(D1458&gt;0),FALSE,SLOPE(G1458:G1468,B1458:B1468))</f>
        <v>-0.65027181818181812</v>
      </c>
      <c r="Y1465" s="18"/>
      <c r="Z1465" s="39" t="s">
        <v>31</v>
      </c>
      <c r="AA1465" s="5">
        <f>IF(NOT(L1458&gt;0),FALSE,SLOPE(O1458:O1468,J1458:J1468))</f>
        <v>2.9090481458676218E-6</v>
      </c>
    </row>
    <row r="1466" spans="1:27">
      <c r="A1466" s="19">
        <f>_xll.ciqfunctions.udf.CIQ(A1458,"IQ_TOTAL_REV",IQ_FY)</f>
        <v>1299.7439999999999</v>
      </c>
      <c r="B1466" s="13">
        <v>9</v>
      </c>
      <c r="C1466" s="14" t="s">
        <v>32</v>
      </c>
      <c r="D1466" s="15" cm="1">
        <f t="array" ref="D1466">_xlfn.SINGLE(IF(A1466=A1467,_xll.ciqfunctions.udf.CIQ(A1458,"IQ_TOTAL_REV",IQ_FY-2)/I1466, _xll.ciqfunctions.udf.CIQ(A1458, "IQ_TOTAL_REV",IQ_FY-1)/I1466))</f>
        <v>12.665574738601061</v>
      </c>
      <c r="E1466" s="16">
        <f t="shared" si="391"/>
        <v>9.3976437418423125E-2</v>
      </c>
      <c r="F1466" s="15">
        <f>IF(A1466=A1467,_xll.ciqfunctions.udf.CIQ(A1458,"IQ_DILUT_EPS_EXCL",IQ_FY-2), _xll.ciqfunctions.udf.CIQ(A1458, "IQ_DILUT_EPS_EXCL",IQ_FY-1))</f>
        <v>2.97</v>
      </c>
      <c r="G1466" s="15">
        <f>IF(A1466=A1467,_xll.ciqfunctions.udf.CIQ(A1458,"IQ_EBITDA_MARGIN",IQ_FY-2), _xll.ciqfunctions.udf.CIQ(A1458, "IQ_EBITDA_MARGIN",IQ_FY-1))</f>
        <v>34.077399999999997</v>
      </c>
      <c r="H1466" s="15">
        <f>IF(A1466=A1467,_xll.ciqfunctions.udf.CIQ(A1458,"IQ_TOTAL_DIV_PAID_CF",IQ_FY-2)/-I1466, _xll.ciqfunctions.udf.CIQ(A1458, "IQ_TOTAL_DIV_PAID_CF",IQ_FY-1)/-I1466)</f>
        <v>0.88149021787256698</v>
      </c>
      <c r="I1466" s="17">
        <f>IF(A1466=A1467,_xll.ciqfunctions.udf.CIQ(A1458,"IQ_TOTAL_OUTSTANDING_FILING_DATE",IQ_FY-2), _xll.ciqfunctions.udf.CIQ(A1458, "IQ_TOTAL_OUTSTANDING_FILING_DATE",IQ_FY-1))</f>
        <v>101.16051</v>
      </c>
      <c r="J1466" s="17">
        <f>IF(A1466=A1467,_xll.ciqfunctions.udf.CIQ(A1458,"IQ_CASH_OPER",IQ_FY-2), _xll.ciqfunctions.udf.CIQ(A1458, "IQ_CASH_OPER",IQ_FY-1))</f>
        <v>447.75299999999999</v>
      </c>
      <c r="K1466" s="17">
        <f>IF(A1466=A1467,_xll.ciqfunctions.udf.CIQ(A1458,"IQ_CAPEX",IQ_FY-2), _xll.ciqfunctions.udf.CIQ(A1458, "IQ_CAPEX",IQ_FY-1))</f>
        <v>-54.454000000000001</v>
      </c>
      <c r="L1466" s="15">
        <f t="shared" si="388"/>
        <v>3.8878708697692406</v>
      </c>
      <c r="M1466" s="17">
        <f>IF(A1466=A1467,_xll.ciqfunctions.udf.CIQ(A1458,"IQ_TOTAL_DEBT_ISSUED",IQ_FY-2), _xll.ciqfunctions.udf.CIQ(A1458, "IQ_TOTAL_DEBT_ISSUED",IQ_FY-1))</f>
        <v>0</v>
      </c>
      <c r="N1466" s="17">
        <f>IF(A1466=A1467,_xll.ciqfunctions.udf.CIQ(A1458,"IQ_TOTAL_DEBT_REPAID",IQ_FY-2), _xll.ciqfunctions.udf.CIQ(A1458, "IQ_TOTAL_DEBT_REPAID",IQ_FY-1))</f>
        <v>0</v>
      </c>
      <c r="O1466" s="15">
        <f t="shared" si="389"/>
        <v>0</v>
      </c>
      <c r="P1466" s="15">
        <f t="shared" si="390"/>
        <v>3.8878708697692406</v>
      </c>
      <c r="Q1466" s="25" t="s">
        <v>33</v>
      </c>
      <c r="R1466" s="38" t="s">
        <v>52</v>
      </c>
      <c r="S1466" s="4">
        <f>(AVERAGE(O1463:O1468)/AVERAGE(P1463:P1468))</f>
        <v>0</v>
      </c>
      <c r="U1466" s="25" t="s">
        <v>54</v>
      </c>
      <c r="V1466" s="38" t="s">
        <v>52</v>
      </c>
      <c r="W1466" s="4">
        <f>(AVERAGE(O1463:O1468)/AVERAGE(P1463:P1468))</f>
        <v>0</v>
      </c>
      <c r="Y1466" s="25" t="s">
        <v>60</v>
      </c>
      <c r="Z1466" s="38" t="s">
        <v>52</v>
      </c>
      <c r="AA1466" s="4">
        <f>(AVERAGE(O1463:O1468)/AVERAGE(P1463:P1468))</f>
        <v>0</v>
      </c>
    </row>
    <row r="1467" spans="1:27">
      <c r="A1467" s="19">
        <f>_xll.ciqfunctions.udf.CIQ(A1458,"IQ_TOTAL_REV",IQ_LTM)</f>
        <v>1299.7439999999999</v>
      </c>
      <c r="B1467" s="13">
        <v>10</v>
      </c>
      <c r="C1467" s="14" t="s">
        <v>34</v>
      </c>
      <c r="D1467" s="15" cm="1">
        <f t="array" ref="D1467">_xlfn.SINGLE(IF(A1466=A1467,_xll.ciqfunctions.udf.CIQ(A1458,"IQ_TOTAL_REV",IQ_FY-1)/I1467, _xll.ciqfunctions.udf.CIQ(A1458, "IQ_TOTAL_REV",IQ_FY)/I1467))</f>
        <v>13.066120063911587</v>
      </c>
      <c r="E1467" s="16">
        <f t="shared" si="391"/>
        <v>3.1624725571258783E-2</v>
      </c>
      <c r="F1467" s="15">
        <f>IF(A1466=A1467,_xll.ciqfunctions.udf.CIQ(A1458,"IQ_DILUT_EPS_EXCL",IQ_FY-1), _xll.ciqfunctions.udf.CIQ(A1458, "IQ_DILUT_EPS_EXCL",IQ_FY))</f>
        <v>1.81</v>
      </c>
      <c r="G1467" s="15">
        <f>IF(A1466=A1467,_xll.ciqfunctions.udf.CIQ(A1458,"IQ_EBITDA_MARGIN",IQ_FY-1), _xll.ciqfunctions.udf.CIQ(A1458, "IQ_EBITDA_MARGIN",IQ_FY))</f>
        <v>24.3811</v>
      </c>
      <c r="H1467" s="15">
        <f>IF(A1466=A1467,_xll.ciqfunctions.udf.CIQ(A1458,"IQ_TOTAL_DIV_PAID_CF",IQ_FY-1)/-I1467, _xll.ciqfunctions.udf.CIQ(A1458, "IQ_TOTAL_DIV_PAID_CF",IQ_FY)/-I1467)</f>
        <v>1.042825599150291</v>
      </c>
      <c r="I1467" s="17">
        <f>IF(A1466=A1467,_xll.ciqfunctions.udf.CIQ(A1458,"IQ_TOTAL_OUTSTANDING_FILING_DATE",IQ_FY-1), _xll.ciqfunctions.udf.CIQ(A1458, "IQ_TOTAL_OUTSTANDING_FILING_DATE",IQ_FY))</f>
        <v>95.957560000000001</v>
      </c>
      <c r="J1467" s="17">
        <f>IF(A1466=A1467,_xll.ciqfunctions.udf.CIQ(A1458,"IQ_CASH_OPER",IQ_FY-1), _xll.ciqfunctions.udf.CIQ(A1458, "IQ_CASH_OPER",IQ_FY))</f>
        <v>318.57600000000002</v>
      </c>
      <c r="K1467" s="17">
        <f>IF(A1466=A1467,_xll.ciqfunctions.udf.CIQ(A1458,"IQ_CAPEX",IQ_FY-1), _xll.ciqfunctions.udf.CIQ(A1458, "IQ_CAPEX",IQ_FY))</f>
        <v>-47.927999999999997</v>
      </c>
      <c r="L1467" s="15">
        <f t="shared" si="388"/>
        <v>2.8204968946688518</v>
      </c>
      <c r="M1467" s="17">
        <f>IF(A1466=A1467,_xll.ciqfunctions.udf.CIQ(A1458,"IQ_TOTAL_DEBT_ISSUED",IQ_FY-1), _xll.ciqfunctions.udf.CIQ(A1458, "IQ_TOTAL_DEBT_ISSUED",IQ_FY))</f>
        <v>0</v>
      </c>
      <c r="N1467" s="17">
        <f>IF(A1466=A1467,_xll.ciqfunctions.udf.CIQ(A1458,"IQ_TOTAL_DEBT_REPAID",IQ_FY-1), _xll.ciqfunctions.udf.CIQ(A1458, "IQ_TOTAL_DEBT_REPAID",IQ_FY))</f>
        <v>0</v>
      </c>
      <c r="O1467" s="15">
        <f t="shared" si="389"/>
        <v>0</v>
      </c>
      <c r="P1467" s="15">
        <f t="shared" si="390"/>
        <v>2.8204968946688518</v>
      </c>
      <c r="Q1467" s="25" t="s">
        <v>44</v>
      </c>
      <c r="R1467" s="38" t="s">
        <v>35</v>
      </c>
      <c r="S1467" s="1">
        <f>_xll.ciqfunctions.udf.CIQ(A1458,"IQ_TEV_EBITDA")</f>
        <v>20.23357</v>
      </c>
      <c r="U1467" s="25" t="s">
        <v>55</v>
      </c>
      <c r="V1467" s="38" t="s">
        <v>53</v>
      </c>
      <c r="W1467" s="1">
        <f>V1457/(AVERAGE(D1463:D1468)/_xlfn.STDEV.P(E1463:E1468))</f>
        <v>0.63921078002816323</v>
      </c>
      <c r="Y1467" s="25" t="s">
        <v>57</v>
      </c>
      <c r="Z1467" s="38" t="s">
        <v>53</v>
      </c>
      <c r="AA1467" s="1">
        <f>Z1457/(AVERAGE(D1463:D1468)/_xlfn.STDEV.P(E1463:E1468))</f>
        <v>0.63921078002816323</v>
      </c>
    </row>
    <row r="1468" spans="1:27">
      <c r="B1468" s="13">
        <v>11</v>
      </c>
      <c r="C1468" s="20" t="s">
        <v>36</v>
      </c>
      <c r="D1468" s="21" cm="1">
        <f t="array" ref="D1468">_xlfn.SINGLE(IF(A1466=A1467,_xll.ciqfunctions.udf.CIQ(A1458,"IQ_TOTAL_REV",IQ_FY)/I1468, _xll.ciqfunctions.udf.CIQ(A1458, "IQ_TOTAL_REV",IQ_LTM)/I1468))</f>
        <v>13.64188253075276</v>
      </c>
      <c r="E1468" s="22">
        <f t="shared" si="391"/>
        <v>4.4065297427613545E-2</v>
      </c>
      <c r="F1468" s="21">
        <f>IF(A1466=A1467,_xll.ciqfunctions.udf.CIQ(A1458,"IQ_DILUT_EPS_EXCL",IQ_FY), _xll.ciqfunctions.udf.CIQ(A1458, "IQ_DILUT_EPS_EXCL",IQ_LTM))</f>
        <v>2.0499999999999998</v>
      </c>
      <c r="G1468" s="21">
        <f>IF(A1466=A1467,_xll.ciqfunctions.udf.CIQ(A1458,"IQ_EBITDA_MARGIN",IQ_FY), _xll.ciqfunctions.udf.CIQ(A1458, "IQ_EBITDA_MARGIN",IQ_LTM))</f>
        <v>26.572299999999998</v>
      </c>
      <c r="H1468" s="21">
        <f>IF(A1466=A1467,_xll.ciqfunctions.udf.CIQ(A1458,"IQ_TOTAL_DIV_PAID_CF",IQ_FY)/-I1468, _xll.ciqfunctions.udf.CIQ(A1458, "IQ_TOTAL_DIV_PAID_CF",IQ_LTM)/-I1468)</f>
        <v>1.0853415340694403</v>
      </c>
      <c r="I1468" s="23">
        <f>IF(A1466=A1467,_xll.ciqfunctions.udf.CIQ(A1458,"IQ_TOTAL_OUTSTANDING_FILING_DATE",IQ_FY),_xll.ciqfunctions.udf.CIQ(A1458,"IQ_sharesoutstanding"))</f>
        <v>95.275999999999996</v>
      </c>
      <c r="J1468" s="23">
        <f>IF(A1466=A1467,_xll.ciqfunctions.udf.CIQ(A1458,"IQ_CASH_OPER",IQ_FY), _xll.ciqfunctions.udf.CIQ(A1458, "IQ_CASH_OPER",IQ_LTM))</f>
        <v>367.08100000000002</v>
      </c>
      <c r="K1468" s="23">
        <f>IF(A1466=A1467,_xll.ciqfunctions.udf.CIQ(A1458,"IQ_CAPEX",IQ_FY), _xll.ciqfunctions.udf.CIQ(A1458, "IQ_CAPEX",IQ_LTM))</f>
        <v>-30.338999999999999</v>
      </c>
      <c r="L1468" s="21">
        <f t="shared" si="388"/>
        <v>3.5343843150426135</v>
      </c>
      <c r="M1468" s="23">
        <f>IF(A1466=A1467,_xll.ciqfunctions.udf.CIQ(A1458,"IQ_TOTAL_DEBT_ISSUED",IQ_FY), _xll.ciqfunctions.udf.CIQ(A1458, "IQ_TOTAL_DEBT_ISSUED",IQ_LTM))</f>
        <v>0</v>
      </c>
      <c r="N1468" s="23">
        <f>IF(A1466=A1467,_xll.ciqfunctions.udf.CIQ(A1458,"IQ_TOTAL_DEBT_REPAID",IQ_FY), _xll.ciqfunctions.udf.CIQ(A1458, "IQ_TOTAL_DEBT_REPAID",IQ_LTM))</f>
        <v>0</v>
      </c>
      <c r="O1468" s="21">
        <f t="shared" si="389"/>
        <v>0</v>
      </c>
      <c r="P1468" s="21">
        <f t="shared" si="390"/>
        <v>3.5343843150426135</v>
      </c>
      <c r="Q1468" s="25" t="s">
        <v>45</v>
      </c>
      <c r="S1468" s="45"/>
      <c r="U1468" s="25"/>
      <c r="W1468" s="45"/>
      <c r="Y1468" s="25"/>
      <c r="AA1468" s="45"/>
    </row>
    <row r="1469" spans="1:27">
      <c r="B1469" s="24"/>
      <c r="C1469" s="25" t="s">
        <v>37</v>
      </c>
      <c r="E1469" s="26">
        <f>((D1468/D1463)^(1/5))-1</f>
        <v>5.9610689856958166E-2</v>
      </c>
      <c r="F1469" s="27">
        <f>((F1468/F1463)^(1/5))-1</f>
        <v>0.39359907950750728</v>
      </c>
      <c r="G1469" s="28"/>
      <c r="H1469" s="27">
        <f>((H1468/H1463)^(1/5))-1</f>
        <v>0.11119370686693353</v>
      </c>
      <c r="I1469" s="27">
        <f>((I1468/I1463)^(1/5))-1</f>
        <v>-1.5971493339155041E-2</v>
      </c>
      <c r="J1469" s="27"/>
      <c r="K1469" s="27"/>
      <c r="L1469" s="26">
        <f>((L1468/L1463)^(1/5))-1</f>
        <v>5.4897414251098731E-2</v>
      </c>
      <c r="M1469" s="26"/>
      <c r="N1469" s="26"/>
      <c r="O1469" s="26"/>
      <c r="P1469" s="26">
        <f>((P1468/P1463)^(1/5))-1</f>
        <v>5.4897414251098731E-2</v>
      </c>
      <c r="Q1469" s="18"/>
      <c r="R1469" s="36"/>
      <c r="S1469" s="45"/>
      <c r="U1469" s="18"/>
      <c r="V1469" s="36"/>
      <c r="W1469" s="45"/>
      <c r="Y1469" s="18"/>
      <c r="Z1469" s="36"/>
      <c r="AA1469" s="45"/>
    </row>
    <row r="1470" spans="1:27">
      <c r="A1470" s="29"/>
      <c r="B1470" s="30"/>
      <c r="C1470" s="31" t="s">
        <v>38</v>
      </c>
      <c r="D1470" s="29"/>
      <c r="E1470" s="32">
        <f>((D1468/D1458)^(1/10))-1</f>
        <v>4.317619384089233E-2</v>
      </c>
      <c r="F1470" s="33">
        <f>((F1468/F1458)^(1/10))-1</f>
        <v>1.0866033294556932E-2</v>
      </c>
      <c r="G1470" s="34"/>
      <c r="H1470" s="33" t="e">
        <f>((H1468/H1458)^(1/10))-1</f>
        <v>#DIV/0!</v>
      </c>
      <c r="I1470" s="33">
        <f>((I1468/I1458)^(1/10))-1</f>
        <v>-6.5648176774587563E-3</v>
      </c>
      <c r="J1470" s="33"/>
      <c r="K1470" s="33"/>
      <c r="L1470" s="32">
        <f>((L1468/L1458)^(1/10))-1</f>
        <v>3.7128783677332855E-2</v>
      </c>
      <c r="M1470" s="32"/>
      <c r="N1470" s="32"/>
      <c r="O1470" s="32"/>
      <c r="P1470" s="32">
        <f>((P1468/P1458)^(1/10))-1</f>
        <v>3.7161590206426842E-2</v>
      </c>
      <c r="Q1470" s="40"/>
      <c r="R1470" s="41"/>
      <c r="S1470" s="46"/>
      <c r="U1470" s="40"/>
      <c r="V1470" s="41"/>
      <c r="W1470" s="46"/>
      <c r="Y1470" s="40"/>
      <c r="Z1470" s="41"/>
      <c r="AA1470" s="46"/>
    </row>
    <row r="1471" spans="1:27">
      <c r="B1471" s="24"/>
      <c r="C1471" s="25"/>
      <c r="E1471" s="26"/>
      <c r="F1471" s="27"/>
      <c r="G1471" s="28"/>
      <c r="H1471" s="27"/>
      <c r="I1471" s="27"/>
      <c r="J1471" s="27"/>
      <c r="K1471" s="27"/>
      <c r="L1471" s="26"/>
      <c r="M1471" s="17"/>
      <c r="N1471" s="17"/>
      <c r="O1471" s="17"/>
      <c r="P1471" s="35"/>
      <c r="Q1471" s="18"/>
      <c r="R1471" s="36"/>
    </row>
    <row r="1472" spans="1:27">
      <c r="A1472" s="9" t="s">
        <v>0</v>
      </c>
      <c r="B1472" s="10"/>
      <c r="C1472" s="9" t="s">
        <v>1</v>
      </c>
      <c r="D1472" s="9" t="s">
        <v>2</v>
      </c>
      <c r="E1472" s="9" t="s">
        <v>3</v>
      </c>
      <c r="F1472" s="11" t="s">
        <v>4</v>
      </c>
      <c r="G1472" s="11" t="s">
        <v>5</v>
      </c>
      <c r="H1472" s="9" t="s">
        <v>6</v>
      </c>
      <c r="I1472" s="11" t="s">
        <v>7</v>
      </c>
      <c r="J1472" s="11" t="s">
        <v>8</v>
      </c>
      <c r="K1472" s="11" t="s">
        <v>9</v>
      </c>
      <c r="L1472" s="11" t="s">
        <v>10</v>
      </c>
      <c r="M1472" s="11" t="s">
        <v>11</v>
      </c>
      <c r="N1472" s="11" t="s">
        <v>12</v>
      </c>
      <c r="O1472" s="11" t="s">
        <v>13</v>
      </c>
      <c r="P1472" s="11" t="s">
        <v>14</v>
      </c>
      <c r="Q1472" s="37" t="s">
        <v>15</v>
      </c>
      <c r="R1472" s="42">
        <f>_xll.ciqfunctions.udf.CIQ(A1473,("IQ_LASTSALEPRICE"))</f>
        <v>28.524999999999999</v>
      </c>
      <c r="S1472" s="44"/>
      <c r="U1472" s="37" t="s">
        <v>15</v>
      </c>
      <c r="V1472" s="42">
        <f>_xll.ciqfunctions.udf.CIQ(A1473,("IQ_LASTSALEPRICE"))</f>
        <v>28.524999999999999</v>
      </c>
      <c r="W1472" s="44"/>
      <c r="Y1472" s="37" t="s">
        <v>15</v>
      </c>
      <c r="Z1472" s="42">
        <f>_xll.ciqfunctions.udf.CIQ(A1473,("IQ_LASTSALEPRICE"))</f>
        <v>28.524999999999999</v>
      </c>
      <c r="AA1472" s="44"/>
    </row>
    <row r="1473" spans="1:27">
      <c r="A1473" s="12" t="str">
        <f>Analysis!B100</f>
        <v>NasdaqGS:DBX</v>
      </c>
      <c r="B1473" s="13">
        <v>1</v>
      </c>
      <c r="C1473" s="14" t="s">
        <v>16</v>
      </c>
      <c r="D1473" s="15" t="e">
        <f>IF(A1481=A1482,_xll.ciqfunctions.udf.CIQ(A1473,"IQ_TOTAL_REV",IQ_FY-10)/I1473,_xll.ciqfunctions.udf.CIQ(A1473, "IQ_TOTAL_REV",IQ_FY-9)/I1473)</f>
        <v>#DIV/0!</v>
      </c>
      <c r="E1473" s="16"/>
      <c r="F1473" s="15">
        <f>IF(A1481=A1482,_xll.ciqfunctions.udf.CIQ(A1473,"IQ_DILUT_EPS_EXCL",IQ_FY-10), _xll.ciqfunctions.udf.CIQ(A1473, "IQ_DILUT_EPS_EXCL",IQ_FY-9))</f>
        <v>0</v>
      </c>
      <c r="G1473" s="15">
        <f>IF(A1481=A1482,_xll.ciqfunctions.udf.CIQ(A1473,"IQ_EBITDA_MARGIN",IQ_FY-10), _xll.ciqfunctions.udf.CIQ(A1473, "IQ_EBITDA_MARGIN",IQ_FY-9))</f>
        <v>0</v>
      </c>
      <c r="H1473" s="15" t="e">
        <f>IF(A1481=A1482,_xll.ciqfunctions.udf.CIQ(A1473,"IQ_TOTAL_DIV_PAID_CF",IQ_FY-10)/-I1473, _xll.ciqfunctions.udf.CIQ(A1473, "IQ_TOTAL_DIV_PAID_CF",IQ_FY-9)/-I1473)</f>
        <v>#DIV/0!</v>
      </c>
      <c r="I1473" s="17">
        <f>IF(A1481=A1482,_xll.ciqfunctions.udf.CIQ(A1473,"IQ_TOTAL_OUTSTANDING_FILING_DATE",IQ_FY-10), _xll.ciqfunctions.udf.CIQ(A1473, "IQ_TOTAL_OUTSTANDING_FILING_DATE",IQ_FY-9))</f>
        <v>0</v>
      </c>
      <c r="J1473" s="17">
        <f>IF(A1481=A1482,_xll.ciqfunctions.udf.CIQ(A1473,"IQ_CASH_OPER",IQ_FY-10), _xll.ciqfunctions.udf.CIQ(A1473, "IQ_CASH_OPER",IQ_FY-9))</f>
        <v>0</v>
      </c>
      <c r="K1473" s="17">
        <f>IF(A1481=A1482,_xll.ciqfunctions.udf.CIQ(A1473,"IQ_CAPEX",IQ_FY-10), _xll.ciqfunctions.udf.CIQ(A1473, "IQ_CAPEX",IQ_FY-9))</f>
        <v>0</v>
      </c>
      <c r="L1473" s="15" t="e">
        <f t="shared" ref="L1473:L1483" si="392">(J1473+K1473)/I1473</f>
        <v>#DIV/0!</v>
      </c>
      <c r="M1473" s="17">
        <f>IF(A1481=A1482,_xll.ciqfunctions.udf.CIQ(A1473,"IQ_TOTAL_DEBT_ISSUED",IQ_FY-10), _xll.ciqfunctions.udf.CIQ(A1473, "IQ_TOTAL_DEBT_ISSUED",IQ_FY-9))</f>
        <v>0</v>
      </c>
      <c r="N1473" s="17">
        <f>IF(A1481=A1482,_xll.ciqfunctions.udf.CIQ(A1473,"IQ_TOTAL_DEBT_REPAID",IQ_FY-10), _xll.ciqfunctions.udf.CIQ(A1473, "IQ_TOTAL_DEBT_REPAID",IQ_FY-9))</f>
        <v>0</v>
      </c>
      <c r="O1473" s="15" t="e">
        <f t="shared" ref="O1473:O1483" si="393">(M1473+N1473)/I1473</f>
        <v>#DIV/0!</v>
      </c>
      <c r="P1473" s="15" t="e">
        <f t="shared" ref="P1473:P1483" si="394">L1473+O1473</f>
        <v>#DIV/0!</v>
      </c>
      <c r="W1473" s="43"/>
      <c r="AA1473" s="43"/>
    </row>
    <row r="1474" spans="1:27">
      <c r="A1474" s="18" t="str">
        <f>_xll.ciqfunctions.udf.CIQ(A1473,"IQ_COMPANY_NAME")</f>
        <v>Dropbox, Inc.</v>
      </c>
      <c r="B1474" s="13">
        <v>2</v>
      </c>
      <c r="C1474" s="14" t="s">
        <v>17</v>
      </c>
      <c r="D1474" s="15" t="e">
        <f>IF(A1481=A1482,_xll.ciqfunctions.udf.CIQ(A1473,"IQ_TOTAL_REV",IQ_FY-9)/I1474, _xll.ciqfunctions.udf.CIQ(A1473, "IQ_TOTAL_REV",IQ_FY-8)/I1474)</f>
        <v>#DIV/0!</v>
      </c>
      <c r="E1474" s="16" t="e">
        <f t="shared" ref="E1474:E1483" si="395">(D1474-D1473)/D1473</f>
        <v>#DIV/0!</v>
      </c>
      <c r="F1474" s="15">
        <f>IF(A1481=A1482,_xll.ciqfunctions.udf.CIQ(A1473,"IQ_DILUT_EPS_EXCL",IQ_FY-9), _xll.ciqfunctions.udf.CIQ(A1473, "IQ_DILUT_EPS_EXCL",IQ_FY-8))</f>
        <v>0</v>
      </c>
      <c r="G1474" s="15">
        <f>IF(A1481=A1482,_xll.ciqfunctions.udf.CIQ(A1473,"IQ_EBITDA_MARGIN",IQ_FY-9), _xll.ciqfunctions.udf.CIQ(A1473, "IQ_EBITDA_MARGIN",IQ_FY-8))</f>
        <v>0</v>
      </c>
      <c r="H1474" s="15" t="e">
        <f>IF(A1481=A1482,_xll.ciqfunctions.udf.CIQ(A1473,"IQ_TOTAL_DIV_PAID_CF",IQ_FY-9)/-I1474, _xll.ciqfunctions.udf.CIQ(A1473, "IQ_TOTAL_DIV_PAID_CF",IQ_FY-8)/-I1474)</f>
        <v>#DIV/0!</v>
      </c>
      <c r="I1474" s="17">
        <f>IF(A1481=A1482,_xll.ciqfunctions.udf.CIQ(A1473,"IQ_TOTAL_OUTSTANDING_FILING_DATE",IQ_FY-9), _xll.ciqfunctions.udf.CIQ(A1473, "IQ_TOTAL_OUTSTANDING_FILING_DATE",IQ_FY-8))</f>
        <v>0</v>
      </c>
      <c r="J1474" s="17">
        <f>IF(A1481=A1482,_xll.ciqfunctions.udf.CIQ(A1473,"IQ_CASH_OPER",IQ_FY-9), _xll.ciqfunctions.udf.CIQ(A1473, "IQ_CASH_OPER",IQ_FY-8))</f>
        <v>0</v>
      </c>
      <c r="K1474" s="17">
        <f>IF(A1481=A1482,_xll.ciqfunctions.udf.CIQ(A1473,"IQ_CAPEX",IQ_FY-9), _xll.ciqfunctions.udf.CIQ(A1473, "IQ_CAPEX",IQ_FY-8))</f>
        <v>0</v>
      </c>
      <c r="L1474" s="15" t="e">
        <f t="shared" si="392"/>
        <v>#DIV/0!</v>
      </c>
      <c r="M1474" s="17">
        <f>IF(A1481=A1482,_xll.ciqfunctions.udf.CIQ(A1473,"IQ_TOTAL_DEBT_ISSUED",IQ_FY-9), _xll.ciqfunctions.udf.CIQ(A1473, "IQ_TOTAL_DEBT_ISSUED",IQ_FY-8))</f>
        <v>0</v>
      </c>
      <c r="N1474" s="17">
        <f>IF(A1481=A1482,_xll.ciqfunctions.udf.CIQ(A1473,"IQ_TOTAL_DEBT_REPAID",IQ_FY-9), _xll.ciqfunctions.udf.CIQ(A1473, "IQ_TOTAL_DEBT_REPAID",IQ_FY-8))</f>
        <v>0</v>
      </c>
      <c r="O1474" s="15" t="e">
        <f t="shared" si="393"/>
        <v>#DIV/0!</v>
      </c>
      <c r="P1474" s="15" t="e">
        <f t="shared" si="394"/>
        <v>#DIV/0!</v>
      </c>
      <c r="Q1474" s="25" t="s">
        <v>18</v>
      </c>
      <c r="R1474" s="39" t="s">
        <v>19</v>
      </c>
      <c r="S1474" s="1">
        <f>R1472/((AVERAGE(P1478:P1483))*(1+E1484)^3)</f>
        <v>9.8720941171177419</v>
      </c>
      <c r="U1474" s="25" t="s">
        <v>48</v>
      </c>
      <c r="V1474" s="39" t="s">
        <v>19</v>
      </c>
      <c r="W1474" s="1">
        <f>V1472/((AVERAGE(P1478:P1483))*(1+E1484)^3)</f>
        <v>9.8720941171177419</v>
      </c>
      <c r="Y1474" s="25" t="s">
        <v>39</v>
      </c>
      <c r="Z1474" s="39" t="s">
        <v>19</v>
      </c>
      <c r="AA1474" s="1">
        <f>Z1472/((AVERAGE(P1478:P1483))*(1+E1484)^3)</f>
        <v>9.8720941171177419</v>
      </c>
    </row>
    <row r="1475" spans="1:27">
      <c r="B1475" s="13">
        <v>3</v>
      </c>
      <c r="C1475" s="14" t="s">
        <v>20</v>
      </c>
      <c r="D1475" s="15" cm="1">
        <f t="array" ref="D1475">_xlfn.SINGLE(IF(A1481=A1482,_xll.ciqfunctions.udf.CIQ(A1473,"IQ_TOTAL_REV",IQ_FY-8)/I1475, _xll.ciqfunctions.udf.CIQ(A1473, "IQ_TOTAL_REV",IQ_FY-7)/I1475))</f>
        <v>3.2219850586979719</v>
      </c>
      <c r="E1475" s="16" t="e">
        <f t="shared" si="395"/>
        <v>#DIV/0!</v>
      </c>
      <c r="F1475" s="15">
        <f>IF(A1481=A1482,_xll.ciqfunctions.udf.CIQ(A1473,"IQ_DILUT_EPS_EXCL",IQ_FY-8), _xll.ciqfunctions.udf.CIQ(A1473, "IQ_DILUT_EPS_EXCL",IQ_FY-7))</f>
        <v>-1.7660800000000001</v>
      </c>
      <c r="G1475" s="15">
        <f>IF(A1481=A1482,_xll.ciqfunctions.udf.CIQ(A1473,"IQ_EBITDA_MARGIN",IQ_FY-8), _xll.ciqfunctions.udf.CIQ(A1473, "IQ_EBITDA_MARGIN",IQ_FY-7))</f>
        <v>-25.935700000000001</v>
      </c>
      <c r="H1475" s="15">
        <f>IF(A1481=A1482,_xll.ciqfunctions.udf.CIQ(A1473,"IQ_TOTAL_DIV_PAID_CF",IQ_FY-8)/-I1475, _xll.ciqfunctions.udf.CIQ(A1473, "IQ_TOTAL_DIV_PAID_CF",IQ_FY-7)/-I1475)</f>
        <v>0</v>
      </c>
      <c r="I1475" s="17">
        <f>IF(A1481=A1482,_xll.ciqfunctions.udf.CIQ(A1473,"IQ_TOTAL_OUTSTANDING_FILING_DATE",IQ_FY-8), _xll.ciqfunctions.udf.CIQ(A1473, "IQ_TOTAL_OUTSTANDING_FILING_DATE",IQ_FY-7))</f>
        <v>187.4</v>
      </c>
      <c r="J1475" s="17">
        <f>IF(A1481=A1482,_xll.ciqfunctions.udf.CIQ(A1473,"IQ_CASH_OPER",IQ_FY-8), _xll.ciqfunctions.udf.CIQ(A1473, "IQ_CASH_OPER",IQ_FY-7))</f>
        <v>14.8</v>
      </c>
      <c r="K1475" s="17">
        <f>IF(A1481=A1482,_xll.ciqfunctions.udf.CIQ(A1473,"IQ_CAPEX",IQ_FY-8), _xll.ciqfunctions.udf.CIQ(A1473, "IQ_CAPEX",IQ_FY-7))</f>
        <v>-78.7</v>
      </c>
      <c r="L1475" s="15">
        <f t="shared" si="392"/>
        <v>-0.3409818569903949</v>
      </c>
      <c r="M1475" s="17">
        <f>IF(A1481=A1482,_xll.ciqfunctions.udf.CIQ(A1473,"IQ_TOTAL_DEBT_ISSUED",IQ_FY-8), _xll.ciqfunctions.udf.CIQ(A1473, "IQ_TOTAL_DEBT_ISSUED",IQ_FY-7))</f>
        <v>11.9</v>
      </c>
      <c r="N1475" s="17">
        <f>IF(A1481=A1482,_xll.ciqfunctions.udf.CIQ(A1473,"IQ_TOTAL_DEBT_REPAID",IQ_FY-8), _xll.ciqfunctions.udf.CIQ(A1473, "IQ_TOTAL_DEBT_REPAID",IQ_FY-7))</f>
        <v>-103</v>
      </c>
      <c r="O1475" s="15">
        <f t="shared" si="393"/>
        <v>-0.4861259338313767</v>
      </c>
      <c r="P1475" s="15">
        <f t="shared" si="394"/>
        <v>-0.82710779082177166</v>
      </c>
      <c r="Q1475" s="25" t="s">
        <v>21</v>
      </c>
      <c r="R1475" s="38" t="s">
        <v>49</v>
      </c>
      <c r="S1475" s="2">
        <f>(R1472*I1483)/1000</f>
        <v>9.8627577894999998</v>
      </c>
      <c r="U1475" s="25" t="s">
        <v>59</v>
      </c>
      <c r="V1475" s="38" t="s">
        <v>49</v>
      </c>
      <c r="W1475" s="2">
        <f>(V1472*I1483)/1000</f>
        <v>9.8627577894999998</v>
      </c>
      <c r="Y1475" s="25" t="s">
        <v>46</v>
      </c>
      <c r="Z1475" s="38" t="s">
        <v>49</v>
      </c>
      <c r="AA1475" s="2">
        <f>(Z1472*I1483)/1000</f>
        <v>9.8627577894999998</v>
      </c>
    </row>
    <row r="1476" spans="1:27">
      <c r="A1476" s="18"/>
      <c r="B1476" s="13">
        <v>4</v>
      </c>
      <c r="C1476" s="14" t="s">
        <v>22</v>
      </c>
      <c r="D1476" s="15" cm="1">
        <f t="array" ref="D1476">_xlfn.SINGLE(IF(A1481=A1482,_xll.ciqfunctions.udf.CIQ(A1473,"IQ_TOTAL_REV",IQ_FY-7)/I1476, _xll.ciqfunctions.udf.CIQ(A1473, "IQ_TOTAL_REV",IQ_FY-6)/I1476))</f>
        <v>4.5128205128205128</v>
      </c>
      <c r="E1476" s="16">
        <f t="shared" si="395"/>
        <v>0.40063359407513116</v>
      </c>
      <c r="F1476" s="15">
        <f>IF(A1481=A1482,_xll.ciqfunctions.udf.CIQ(A1473,"IQ_DILUT_EPS_EXCL",IQ_FY-7), _xll.ciqfunctions.udf.CIQ(A1473, "IQ_DILUT_EPS_EXCL",IQ_FY-6))</f>
        <v>-1.11158</v>
      </c>
      <c r="G1476" s="15">
        <f>IF(A1481=A1482,_xll.ciqfunctions.udf.CIQ(A1473,"IQ_EBITDA_MARGIN",IQ_FY-7), _xll.ciqfunctions.udf.CIQ(A1473, "IQ_EBITDA_MARGIN",IQ_FY-6))</f>
        <v>-0.22489999999999999</v>
      </c>
      <c r="H1476" s="15">
        <f>IF(A1481=A1482,_xll.ciqfunctions.udf.CIQ(A1473,"IQ_TOTAL_DIV_PAID_CF",IQ_FY-7)/-I1476, _xll.ciqfunctions.udf.CIQ(A1473, "IQ_TOTAL_DIV_PAID_CF",IQ_FY-6)/-I1476)</f>
        <v>0</v>
      </c>
      <c r="I1476" s="17">
        <f>IF(A1481=A1482,_xll.ciqfunctions.udf.CIQ(A1473,"IQ_TOTAL_OUTSTANDING_FILING_DATE",IQ_FY-7), _xll.ciqfunctions.udf.CIQ(A1473, "IQ_TOTAL_OUTSTANDING_FILING_DATE",IQ_FY-6))</f>
        <v>187.2</v>
      </c>
      <c r="J1476" s="17">
        <f>IF(A1481=A1482,_xll.ciqfunctions.udf.CIQ(A1473,"IQ_CASH_OPER",IQ_FY-7), _xll.ciqfunctions.udf.CIQ(A1473, "IQ_CASH_OPER",IQ_FY-6))</f>
        <v>252.6</v>
      </c>
      <c r="K1476" s="17">
        <f>IF(A1481=A1482,_xll.ciqfunctions.udf.CIQ(A1473,"IQ_CAPEX",IQ_FY-7), _xll.ciqfunctions.udf.CIQ(A1473, "IQ_CAPEX",IQ_FY-6))</f>
        <v>-115.2</v>
      </c>
      <c r="L1476" s="15">
        <f t="shared" si="392"/>
        <v>0.73397435897435892</v>
      </c>
      <c r="M1476" s="17">
        <f>IF(A1481=A1482,_xll.ciqfunctions.udf.CIQ(A1473,"IQ_TOTAL_DEBT_ISSUED",IQ_FY-7), _xll.ciqfunctions.udf.CIQ(A1473, "IQ_TOTAL_DEBT_ISSUED",IQ_FY-6))</f>
        <v>8.8000000000000007</v>
      </c>
      <c r="N1476" s="17">
        <f>IF(A1481=A1482,_xll.ciqfunctions.udf.CIQ(A1473,"IQ_TOTAL_DEBT_REPAID",IQ_FY-7), _xll.ciqfunctions.udf.CIQ(A1473, "IQ_TOTAL_DEBT_REPAID",IQ_FY-6))</f>
        <v>-141.69999999999999</v>
      </c>
      <c r="O1476" s="15">
        <f t="shared" si="393"/>
        <v>-0.70993589743589736</v>
      </c>
      <c r="P1476" s="15">
        <f t="shared" si="394"/>
        <v>2.4038461538461564E-2</v>
      </c>
      <c r="Q1476" s="25" t="s">
        <v>23</v>
      </c>
      <c r="R1476" s="38" t="s">
        <v>24</v>
      </c>
      <c r="S1476" s="1" t="e">
        <f>R1472/(AVERAGE(H1478:H1483)*(1+H1484)/(0.5-H1484))</f>
        <v>#DIV/0!</v>
      </c>
      <c r="U1476" s="25" t="s">
        <v>40</v>
      </c>
      <c r="V1476" s="38" t="s">
        <v>24</v>
      </c>
      <c r="W1476" s="1" t="e">
        <f>V1472/(AVERAGE(H1478:H1483)*(1+H1484)/(0.5-H1484))</f>
        <v>#DIV/0!</v>
      </c>
      <c r="Y1476" s="25" t="s">
        <v>47</v>
      </c>
      <c r="Z1476" s="38" t="s">
        <v>24</v>
      </c>
      <c r="AA1476" s="1" t="e">
        <f>Z1472/(AVERAGE(H1478:H1483)*(1+H1484)/(0.5-H1484))</f>
        <v>#DIV/0!</v>
      </c>
    </row>
    <row r="1477" spans="1:27">
      <c r="B1477" s="13">
        <v>5</v>
      </c>
      <c r="C1477" s="14" t="s">
        <v>25</v>
      </c>
      <c r="D1477" s="15" cm="1">
        <f t="array" ref="D1477">_xlfn.SINGLE(IF(A1481=A1482,_xll.ciqfunctions.udf.CIQ(A1473,"IQ_TOTAL_REV",IQ_FY-6)/I1477, _xll.ciqfunctions.udf.CIQ(A1473, "IQ_TOTAL_REV",IQ_FY-5)/I1477))</f>
        <v>5.6239837398373975</v>
      </c>
      <c r="E1477" s="16">
        <f t="shared" si="395"/>
        <v>0.24622366962305969</v>
      </c>
      <c r="F1477" s="15">
        <f>IF(A1481=A1482,_xll.ciqfunctions.udf.CIQ(A1473,"IQ_DILUT_EPS_EXCL",IQ_FY-6), _xll.ciqfunctions.udf.CIQ(A1473, "IQ_DILUT_EPS_EXCL",IQ_FY-5))</f>
        <v>-0.57018999999999997</v>
      </c>
      <c r="G1477" s="15">
        <f>IF(A1481=A1482,_xll.ciqfunctions.udf.CIQ(A1473,"IQ_EBITDA_MARGIN",IQ_FY-6), _xll.ciqfunctions.udf.CIQ(A1473, "IQ_EBITDA_MARGIN",IQ_FY-5))</f>
        <v>6.1528</v>
      </c>
      <c r="H1477" s="15">
        <f>IF(A1481=A1482,_xll.ciqfunctions.udf.CIQ(A1473,"IQ_TOTAL_DIV_PAID_CF",IQ_FY-6)/-I1477, _xll.ciqfunctions.udf.CIQ(A1473, "IQ_TOTAL_DIV_PAID_CF",IQ_FY-5)/-I1477)</f>
        <v>0</v>
      </c>
      <c r="I1477" s="17">
        <f>IF(A1481=A1482,_xll.ciqfunctions.udf.CIQ(A1473,"IQ_TOTAL_OUTSTANDING_FILING_DATE",IQ_FY-6), _xll.ciqfunctions.udf.CIQ(A1473, "IQ_TOTAL_OUTSTANDING_FILING_DATE",IQ_FY-5))</f>
        <v>196.8</v>
      </c>
      <c r="J1477" s="17">
        <f>IF(A1481=A1482,_xll.ciqfunctions.udf.CIQ(A1473,"IQ_CASH_OPER",IQ_FY-6), _xll.ciqfunctions.udf.CIQ(A1473, "IQ_CASH_OPER",IQ_FY-5))</f>
        <v>330.3</v>
      </c>
      <c r="K1477" s="17">
        <f>IF(A1481=A1482,_xll.ciqfunctions.udf.CIQ(A1473,"IQ_CAPEX",IQ_FY-6), _xll.ciqfunctions.udf.CIQ(A1473, "IQ_CAPEX",IQ_FY-5))</f>
        <v>-25.3</v>
      </c>
      <c r="L1477" s="15">
        <f t="shared" si="392"/>
        <v>1.5497967479674797</v>
      </c>
      <c r="M1477" s="17">
        <f>IF(A1481=A1482,_xll.ciqfunctions.udf.CIQ(A1473,"IQ_TOTAL_DEBT_ISSUED",IQ_FY-6), _xll.ciqfunctions.udf.CIQ(A1473, "IQ_TOTAL_DEBT_ISSUED",IQ_FY-5))</f>
        <v>0</v>
      </c>
      <c r="N1477" s="17">
        <f>IF(A1481=A1482,_xll.ciqfunctions.udf.CIQ(A1473,"IQ_TOTAL_DEBT_REPAID",IQ_FY-6), _xll.ciqfunctions.udf.CIQ(A1473, "IQ_TOTAL_DEBT_REPAID",IQ_FY-5))</f>
        <v>-133</v>
      </c>
      <c r="O1477" s="15">
        <f t="shared" si="393"/>
        <v>-0.67581300813008127</v>
      </c>
      <c r="P1477" s="15">
        <f t="shared" si="394"/>
        <v>0.87398373983739841</v>
      </c>
      <c r="Q1477" s="18"/>
      <c r="R1477" s="38" t="s">
        <v>50</v>
      </c>
      <c r="S1477" s="3">
        <f>I1484</f>
        <v>-3.4108541146084081E-2</v>
      </c>
      <c r="U1477" s="18"/>
      <c r="V1477" s="38" t="s">
        <v>50</v>
      </c>
      <c r="W1477" s="3">
        <f>I1484</f>
        <v>-3.4108541146084081E-2</v>
      </c>
      <c r="Y1477" s="18"/>
      <c r="Z1477" s="38" t="s">
        <v>50</v>
      </c>
      <c r="AA1477" s="3">
        <f>I1484</f>
        <v>-3.4108541146084081E-2</v>
      </c>
    </row>
    <row r="1478" spans="1:27">
      <c r="B1478" s="13">
        <v>6</v>
      </c>
      <c r="C1478" s="14" t="s">
        <v>26</v>
      </c>
      <c r="D1478" s="15" cm="1">
        <f t="array" ref="D1478">_xlfn.SINGLE(IF(A1481=A1482,_xll.ciqfunctions.udf.CIQ(A1473,"IQ_TOTAL_REV",IQ_FY-5)/I1478, _xll.ciqfunctions.udf.CIQ(A1473, "IQ_TOTAL_REV",IQ_FY-4)/I1478))</f>
        <v>3.3838767863280581</v>
      </c>
      <c r="E1478" s="16">
        <f t="shared" si="395"/>
        <v>-0.39831319881698418</v>
      </c>
      <c r="F1478" s="15">
        <f>IF(A1481=A1482,_xll.ciqfunctions.udf.CIQ(A1473,"IQ_DILUT_EPS_EXCL",IQ_FY-5), _xll.ciqfunctions.udf.CIQ(A1473, "IQ_DILUT_EPS_EXCL",IQ_FY-4))</f>
        <v>-1.3522000000000001</v>
      </c>
      <c r="G1478" s="15">
        <f>IF(A1481=A1482,_xll.ciqfunctions.udf.CIQ(A1473,"IQ_EBITDA_MARGIN",IQ_FY-5), _xll.ciqfunctions.udf.CIQ(A1473, "IQ_EBITDA_MARGIN",IQ_FY-4))</f>
        <v>-23.5108</v>
      </c>
      <c r="H1478" s="15">
        <f>IF(A1481=A1482,_xll.ciqfunctions.udf.CIQ(A1473,"IQ_TOTAL_DIV_PAID_CF",IQ_FY-5)/-I1478, _xll.ciqfunctions.udf.CIQ(A1473, "IQ_TOTAL_DIV_PAID_CF",IQ_FY-4)/-I1478)</f>
        <v>0</v>
      </c>
      <c r="I1478" s="17">
        <f>IF(A1481=A1482,_xll.ciqfunctions.udf.CIQ(A1473,"IQ_TOTAL_OUTSTANDING_FILING_DATE",IQ_FY-5), _xll.ciqfunctions.udf.CIQ(A1473, "IQ_TOTAL_OUTSTANDING_FILING_DATE",IQ_FY-4))</f>
        <v>411.27384000000001</v>
      </c>
      <c r="J1478" s="17">
        <f>IF(A1481=A1482,_xll.ciqfunctions.udf.CIQ(A1473,"IQ_CASH_OPER",IQ_FY-5), _xll.ciqfunctions.udf.CIQ(A1473, "IQ_CASH_OPER",IQ_FY-4))</f>
        <v>425.4</v>
      </c>
      <c r="K1478" s="17">
        <f>IF(A1481=A1482,_xll.ciqfunctions.udf.CIQ(A1473,"IQ_CAPEX",IQ_FY-5), _xll.ciqfunctions.udf.CIQ(A1473, "IQ_CAPEX",IQ_FY-4))</f>
        <v>-63</v>
      </c>
      <c r="L1478" s="15">
        <f t="shared" si="392"/>
        <v>0.88116472470021423</v>
      </c>
      <c r="M1478" s="17">
        <f>IF(A1481=A1482,_xll.ciqfunctions.udf.CIQ(A1473,"IQ_TOTAL_DEBT_ISSUED",IQ_FY-5), _xll.ciqfunctions.udf.CIQ(A1473, "IQ_TOTAL_DEBT_ISSUED",IQ_FY-4))</f>
        <v>0</v>
      </c>
      <c r="N1478" s="17">
        <f>IF(A1481=A1482,_xll.ciqfunctions.udf.CIQ(A1473,"IQ_TOTAL_DEBT_REPAID",IQ_FY-5), _xll.ciqfunctions.udf.CIQ(A1473, "IQ_TOTAL_DEBT_REPAID",IQ_FY-4))</f>
        <v>-109.1</v>
      </c>
      <c r="O1478" s="15">
        <f t="shared" si="393"/>
        <v>-0.26527337600660422</v>
      </c>
      <c r="P1478" s="15">
        <f t="shared" si="394"/>
        <v>0.61589134869360995</v>
      </c>
      <c r="Q1478" s="25" t="s">
        <v>27</v>
      </c>
      <c r="R1478" s="38" t="s">
        <v>51</v>
      </c>
      <c r="S1478" s="4">
        <f>AVERAGE(F1478:F1483)/AVERAGE(D1478:D1483)</f>
        <v>6.0893924151912235E-2</v>
      </c>
      <c r="U1478" s="25" t="s">
        <v>58</v>
      </c>
      <c r="V1478" s="38" t="s">
        <v>51</v>
      </c>
      <c r="W1478" s="4">
        <f>AVERAGE(F1478:F1483)/AVERAGE(D1478:D1483)</f>
        <v>6.0893924151912235E-2</v>
      </c>
      <c r="Y1478" s="25" t="s">
        <v>56</v>
      </c>
      <c r="Z1478" s="38" t="s">
        <v>51</v>
      </c>
      <c r="AA1478" s="4">
        <f>AVERAGE(F1478:F1483)/AVERAGE(D1478:D1483)</f>
        <v>6.0893924151912235E-2</v>
      </c>
    </row>
    <row r="1479" spans="1:27">
      <c r="A1479" s="18"/>
      <c r="B1479" s="13">
        <v>7</v>
      </c>
      <c r="C1479" s="14" t="s">
        <v>28</v>
      </c>
      <c r="D1479" s="15" cm="1">
        <f t="array" ref="D1479">_xlfn.SINGLE(IF(A1481=A1482,_xll.ciqfunctions.udf.CIQ(A1473,"IQ_TOTAL_REV",IQ_FY-4)/I1479, _xll.ciqfunctions.udf.CIQ(A1473, "IQ_TOTAL_REV",IQ_FY-3)/I1479))</f>
        <v>3.9662930270453289</v>
      </c>
      <c r="E1479" s="16">
        <f t="shared" si="395"/>
        <v>0.17211508500262723</v>
      </c>
      <c r="F1479" s="15">
        <f>IF(A1481=A1482,_xll.ciqfunctions.udf.CIQ(A1473,"IQ_DILUT_EPS_EXCL",IQ_FY-4), _xll.ciqfunctions.udf.CIQ(A1473, "IQ_DILUT_EPS_EXCL",IQ_FY-3))</f>
        <v>-0.13</v>
      </c>
      <c r="G1479" s="15">
        <f>IF(A1481=A1482,_xll.ciqfunctions.udf.CIQ(A1473,"IQ_EBITDA_MARGIN",IQ_FY-4), _xll.ciqfunctions.udf.CIQ(A1473, "IQ_EBITDA_MARGIN",IQ_FY-3))</f>
        <v>5.5979999999999999</v>
      </c>
      <c r="H1479" s="15">
        <f>IF(A1481=A1482,_xll.ciqfunctions.udf.CIQ(A1473,"IQ_TOTAL_DIV_PAID_CF",IQ_FY-4)/-I1479, _xll.ciqfunctions.udf.CIQ(A1473, "IQ_TOTAL_DIV_PAID_CF",IQ_FY-3)/-I1479)</f>
        <v>0</v>
      </c>
      <c r="I1479" s="17">
        <f>IF(A1481=A1482,_xll.ciqfunctions.udf.CIQ(A1473,"IQ_TOTAL_OUTSTANDING_FILING_DATE",IQ_FY-4), _xll.ciqfunctions.udf.CIQ(A1473, "IQ_TOTAL_OUTSTANDING_FILING_DATE",IQ_FY-3))</f>
        <v>418.85458</v>
      </c>
      <c r="J1479" s="17">
        <f>IF(A1481=A1482,_xll.ciqfunctions.udf.CIQ(A1473,"IQ_CASH_OPER",IQ_FY-4), _xll.ciqfunctions.udf.CIQ(A1473, "IQ_CASH_OPER",IQ_FY-3))</f>
        <v>528.5</v>
      </c>
      <c r="K1479" s="17">
        <f>IF(A1481=A1482,_xll.ciqfunctions.udf.CIQ(A1473,"IQ_CAPEX",IQ_FY-4), _xll.ciqfunctions.udf.CIQ(A1473, "IQ_CAPEX",IQ_FY-3))</f>
        <v>-136.1</v>
      </c>
      <c r="L1479" s="15">
        <f t="shared" si="392"/>
        <v>0.93684065720374832</v>
      </c>
      <c r="M1479" s="17">
        <f>IF(A1481=A1482,_xll.ciqfunctions.udf.CIQ(A1473,"IQ_TOTAL_DEBT_ISSUED",IQ_FY-4), _xll.ciqfunctions.udf.CIQ(A1473, "IQ_TOTAL_DEBT_ISSUED",IQ_FY-3))</f>
        <v>0</v>
      </c>
      <c r="N1479" s="17">
        <f>IF(A1481=A1482,_xll.ciqfunctions.udf.CIQ(A1473,"IQ_TOTAL_DEBT_REPAID",IQ_FY-4), _xll.ciqfunctions.udf.CIQ(A1473, "IQ_TOTAL_DEBT_REPAID",IQ_FY-3))</f>
        <v>-92.9</v>
      </c>
      <c r="O1479" s="15">
        <f t="shared" si="393"/>
        <v>-0.22179535436857348</v>
      </c>
      <c r="P1479" s="15">
        <f t="shared" si="394"/>
        <v>0.71504530283517487</v>
      </c>
      <c r="Q1479" s="18"/>
      <c r="R1479" s="38" t="s">
        <v>29</v>
      </c>
      <c r="S1479" s="4">
        <f>(AVERAGE(P1478:P1483)/_xlfn.STDEV.P(P1478:P1483))/(IF(A1481=A1482,(_xlfn.SINGLE(_xll.ciqfunctions.udf.CIQ(A1473,"IQ_total_assets",IQ_FY)) - _xlfn.SINGLE(_xll.ciqfunctions.udf.CIQ(A1473,"iq_gw_intan", IQ_FY)))/I1483, (_xlfn.SINGLE(_xll.ciqfunctions.udf.CIQ(A1473, "IQ_total_assets",IQ_LTM))-_xlfn.SINGLE(_xll.ciqfunctions.udf.CIQ(A1473,"iq_gw_intan",IQ_LTM)))/I1483))</f>
        <v>0.15958509616284353</v>
      </c>
      <c r="U1479" s="18"/>
      <c r="V1479" s="38" t="s">
        <v>29</v>
      </c>
      <c r="W1479" s="4">
        <f>(AVERAGE(P1478:P1483)/_xlfn.STDEV.P(P1478:P1483))/(IF(A1481=A1482,(_xlfn.SINGLE(_xll.ciqfunctions.udf.CIQ(A1473,"IQ_total_assets",IQ_FY)) - _xlfn.SINGLE(_xll.ciqfunctions.udf.CIQ(A1473,"iq_gw_intan", IQ_FY)))/I1483, (_xlfn.SINGLE(_xll.ciqfunctions.udf.CIQ(A1473, "IQ_total_assets",IQ_LTM))-_xlfn.SINGLE(_xll.ciqfunctions.udf.CIQ(A1473,"iq_gw_intan",IQ_LTM)))/I1483))</f>
        <v>0.15958509616284353</v>
      </c>
      <c r="Y1479" s="18"/>
      <c r="Z1479" s="38" t="s">
        <v>29</v>
      </c>
      <c r="AA1479" s="4">
        <f>(AVERAGE(P1478:P1483)/_xlfn.STDEV.P(P1478:P1483))/(IF(A1481=A1482,(_xlfn.SINGLE(_xll.ciqfunctions.udf.CIQ(A1473,"IQ_total_assets",IQ_FY)) - _xlfn.SINGLE(_xll.ciqfunctions.udf.CIQ(A1473,"iq_gw_intan", IQ_FY)))/I1483, (_xlfn.SINGLE(_xll.ciqfunctions.udf.CIQ(A1473, "IQ_total_assets",IQ_LTM))-_xlfn.SINGLE(_xll.ciqfunctions.udf.CIQ(A1473,"iq_gw_intan",IQ_LTM)))/I1483))</f>
        <v>0.15958509616284353</v>
      </c>
    </row>
    <row r="1480" spans="1:27">
      <c r="A1480" s="18"/>
      <c r="B1480" s="13">
        <v>8</v>
      </c>
      <c r="C1480" s="14" t="s">
        <v>30</v>
      </c>
      <c r="D1480" s="15" cm="1">
        <f t="array" ref="D1480">_xlfn.SINGLE(IF(A1481=A1482,_xll.ciqfunctions.udf.CIQ(A1473,"IQ_TOTAL_REV",IQ_FY-3)/I1480, _xll.ciqfunctions.udf.CIQ(A1473, "IQ_TOTAL_REV",IQ_FY-2)/I1480))</f>
        <v>4.6149548505311877</v>
      </c>
      <c r="E1480" s="16">
        <f t="shared" si="395"/>
        <v>0.16354359576127342</v>
      </c>
      <c r="F1480" s="15">
        <f>IF(A1481=A1482,_xll.ciqfunctions.udf.CIQ(A1473,"IQ_DILUT_EPS_EXCL",IQ_FY-3), _xll.ciqfunctions.udf.CIQ(A1473, "IQ_DILUT_EPS_EXCL",IQ_FY-2))</f>
        <v>-0.62</v>
      </c>
      <c r="G1480" s="15">
        <f>IF(A1481=A1482,_xll.ciqfunctions.udf.CIQ(A1473,"IQ_EBITDA_MARGIN",IQ_FY-3), _xll.ciqfunctions.udf.CIQ(A1473, "IQ_EBITDA_MARGIN",IQ_FY-2))</f>
        <v>14.655900000000001</v>
      </c>
      <c r="H1480" s="15">
        <f>IF(A1481=A1482,_xll.ciqfunctions.udf.CIQ(A1473,"IQ_TOTAL_DIV_PAID_CF",IQ_FY-3)/-I1480, _xll.ciqfunctions.udf.CIQ(A1473, "IQ_TOTAL_DIV_PAID_CF",IQ_FY-2)/-I1480)</f>
        <v>0</v>
      </c>
      <c r="I1480" s="17">
        <f>IF(A1481=A1482,_xll.ciqfunctions.udf.CIQ(A1473,"IQ_TOTAL_OUTSTANDING_FILING_DATE",IQ_FY-3), _xll.ciqfunctions.udf.CIQ(A1473, "IQ_TOTAL_OUTSTANDING_FILING_DATE",IQ_FY-2))</f>
        <v>414.71695</v>
      </c>
      <c r="J1480" s="17">
        <f>IF(A1481=A1482,_xll.ciqfunctions.udf.CIQ(A1473,"IQ_CASH_OPER",IQ_FY-3), _xll.ciqfunctions.udf.CIQ(A1473, "IQ_CASH_OPER",IQ_FY-2))</f>
        <v>570.79999999999995</v>
      </c>
      <c r="K1480" s="17">
        <f>IF(A1481=A1482,_xll.ciqfunctions.udf.CIQ(A1473,"IQ_CAPEX",IQ_FY-3), _xll.ciqfunctions.udf.CIQ(A1473, "IQ_CAPEX",IQ_FY-2))</f>
        <v>-80.099999999999994</v>
      </c>
      <c r="L1480" s="15">
        <f t="shared" si="392"/>
        <v>1.1832166493315499</v>
      </c>
      <c r="M1480" s="17">
        <f>IF(A1481=A1482,_xll.ciqfunctions.udf.CIQ(A1473,"IQ_TOTAL_DEBT_ISSUED",IQ_FY-3), _xll.ciqfunctions.udf.CIQ(A1473, "IQ_TOTAL_DEBT_ISSUED",IQ_FY-2))</f>
        <v>0</v>
      </c>
      <c r="N1480" s="17">
        <f>IF(A1481=A1482,_xll.ciqfunctions.udf.CIQ(A1473,"IQ_TOTAL_DEBT_REPAID",IQ_FY-3), _xll.ciqfunctions.udf.CIQ(A1473, "IQ_TOTAL_DEBT_REPAID",IQ_FY-2))</f>
        <v>-89.5</v>
      </c>
      <c r="O1480" s="15">
        <f t="shared" si="393"/>
        <v>-0.21580984331602554</v>
      </c>
      <c r="P1480" s="15">
        <f t="shared" si="394"/>
        <v>0.96740680601552431</v>
      </c>
      <c r="Q1480" s="18"/>
      <c r="R1480" s="39" t="s">
        <v>31</v>
      </c>
      <c r="S1480" s="5" t="e">
        <f>IF(NOT(D1473&gt;0),FALSE,SLOPE(G1473:G1483,B1473:B1483))</f>
        <v>#DIV/0!</v>
      </c>
      <c r="U1480" s="18"/>
      <c r="V1480" s="39" t="s">
        <v>31</v>
      </c>
      <c r="W1480" s="5" t="e">
        <f>IF(NOT(D1473&gt;0),FALSE,SLOPE(G1473:G1483,B1473:B1483))</f>
        <v>#DIV/0!</v>
      </c>
      <c r="Y1480" s="18"/>
      <c r="Z1480" s="39" t="s">
        <v>31</v>
      </c>
      <c r="AA1480" s="5" t="e">
        <f>IF(NOT(L1473&gt;0),FALSE,SLOPE(O1473:O1483,J1473:J1483))</f>
        <v>#DIV/0!</v>
      </c>
    </row>
    <row r="1481" spans="1:27">
      <c r="A1481" s="19">
        <f>_xll.ciqfunctions.udf.CIQ(A1473,"IQ_TOTAL_REV",IQ_FY)</f>
        <v>2324.9</v>
      </c>
      <c r="B1481" s="13">
        <v>9</v>
      </c>
      <c r="C1481" s="14" t="s">
        <v>32</v>
      </c>
      <c r="D1481" s="15" cm="1">
        <f t="array" ref="D1481">_xlfn.SINGLE(IF(A1481=A1482,_xll.ciqfunctions.udf.CIQ(A1473,"IQ_TOTAL_REV",IQ_FY-2)/I1481, _xll.ciqfunctions.udf.CIQ(A1473, "IQ_TOTAL_REV",IQ_FY-1)/I1481))</f>
        <v>5.6540600351181087</v>
      </c>
      <c r="E1481" s="16">
        <f t="shared" si="395"/>
        <v>0.22516042263497305</v>
      </c>
      <c r="F1481" s="15">
        <f>IF(A1481=A1482,_xll.ciqfunctions.udf.CIQ(A1473,"IQ_DILUT_EPS_EXCL",IQ_FY-2), _xll.ciqfunctions.udf.CIQ(A1473, "IQ_DILUT_EPS_EXCL",IQ_FY-1))</f>
        <v>0.86546000000000001</v>
      </c>
      <c r="G1481" s="15">
        <f>IF(A1481=A1482,_xll.ciqfunctions.udf.CIQ(A1473,"IQ_EBITDA_MARGIN",IQ_FY-2), _xll.ciqfunctions.udf.CIQ(A1473, "IQ_EBITDA_MARGIN",IQ_FY-1))</f>
        <v>21.238199999999999</v>
      </c>
      <c r="H1481" s="15">
        <f>IF(A1481=A1482,_xll.ciqfunctions.udf.CIQ(A1473,"IQ_TOTAL_DIV_PAID_CF",IQ_FY-2)/-I1481, _xll.ciqfunctions.udf.CIQ(A1473, "IQ_TOTAL_DIV_PAID_CF",IQ_FY-1)/-I1481)</f>
        <v>0</v>
      </c>
      <c r="I1481" s="17">
        <f>IF(A1481=A1482,_xll.ciqfunctions.udf.CIQ(A1473,"IQ_TOTAL_OUTSTANDING_FILING_DATE",IQ_FY-2), _xll.ciqfunctions.udf.CIQ(A1473, "IQ_TOTAL_OUTSTANDING_FILING_DATE",IQ_FY-1))</f>
        <v>381.65494999999999</v>
      </c>
      <c r="J1481" s="17">
        <f>IF(A1481=A1482,_xll.ciqfunctions.udf.CIQ(A1473,"IQ_CASH_OPER",IQ_FY-2), _xll.ciqfunctions.udf.CIQ(A1473, "IQ_CASH_OPER",IQ_FY-1))</f>
        <v>729.8</v>
      </c>
      <c r="K1481" s="17">
        <f>IF(A1481=A1482,_xll.ciqfunctions.udf.CIQ(A1473,"IQ_CAPEX",IQ_FY-2), _xll.ciqfunctions.udf.CIQ(A1473, "IQ_CAPEX",IQ_FY-1))</f>
        <v>-22.1</v>
      </c>
      <c r="L1481" s="15">
        <f t="shared" si="392"/>
        <v>1.8542927322179366</v>
      </c>
      <c r="M1481" s="17">
        <f>IF(A1481=A1482,_xll.ciqfunctions.udf.CIQ(A1473,"IQ_TOTAL_DEBT_ISSUED",IQ_FY-2), _xll.ciqfunctions.udf.CIQ(A1473, "IQ_TOTAL_DEBT_ISSUED",IQ_FY-1))</f>
        <v>1389.1</v>
      </c>
      <c r="N1481" s="17">
        <f>IF(A1481=A1482,_xll.ciqfunctions.udf.CIQ(A1473,"IQ_TOTAL_DEBT_REPAID",IQ_FY-2), _xll.ciqfunctions.udf.CIQ(A1473, "IQ_TOTAL_DEBT_REPAID",IQ_FY-1))</f>
        <v>-110.4</v>
      </c>
      <c r="O1481" s="15">
        <f t="shared" si="393"/>
        <v>3.3504085300085849</v>
      </c>
      <c r="P1481" s="15">
        <f t="shared" si="394"/>
        <v>5.2047012622265214</v>
      </c>
      <c r="Q1481" s="25" t="s">
        <v>33</v>
      </c>
      <c r="R1481" s="38" t="s">
        <v>52</v>
      </c>
      <c r="S1481" s="4">
        <f>(AVERAGE(O1478:O1483)/AVERAGE(P1478:P1483))</f>
        <v>0.17363557643031077</v>
      </c>
      <c r="U1481" s="25" t="s">
        <v>54</v>
      </c>
      <c r="V1481" s="38" t="s">
        <v>52</v>
      </c>
      <c r="W1481" s="4">
        <f>(AVERAGE(O1478:O1483)/AVERAGE(P1478:P1483))</f>
        <v>0.17363557643031077</v>
      </c>
      <c r="Y1481" s="25" t="s">
        <v>60</v>
      </c>
      <c r="Z1481" s="38" t="s">
        <v>52</v>
      </c>
      <c r="AA1481" s="4">
        <f>(AVERAGE(O1478:O1483)/AVERAGE(P1478:P1483))</f>
        <v>0.17363557643031077</v>
      </c>
    </row>
    <row r="1482" spans="1:27">
      <c r="A1482" s="19">
        <f>_xll.ciqfunctions.udf.CIQ(A1473,"IQ_TOTAL_REV",IQ_LTM)</f>
        <v>2465.4</v>
      </c>
      <c r="B1482" s="13">
        <v>10</v>
      </c>
      <c r="C1482" s="14" t="s">
        <v>34</v>
      </c>
      <c r="D1482" s="15" cm="1">
        <f t="array" ref="D1482">_xlfn.SINGLE(IF(A1481=A1482,_xll.ciqfunctions.udf.CIQ(A1473,"IQ_TOTAL_REV",IQ_FY-1)/I1482, _xll.ciqfunctions.udf.CIQ(A1473, "IQ_TOTAL_REV",IQ_FY)/I1482))</f>
        <v>6.4967053580507885</v>
      </c>
      <c r="E1482" s="16">
        <f t="shared" si="395"/>
        <v>0.14903367097252224</v>
      </c>
      <c r="F1482" s="15">
        <f>IF(A1481=A1482,_xll.ciqfunctions.udf.CIQ(A1473,"IQ_DILUT_EPS_EXCL",IQ_FY-1), _xll.ciqfunctions.udf.CIQ(A1473, "IQ_DILUT_EPS_EXCL",IQ_FY))</f>
        <v>1.53156</v>
      </c>
      <c r="G1482" s="15">
        <f>IF(A1481=A1482,_xll.ciqfunctions.udf.CIQ(A1473,"IQ_EBITDA_MARGIN",IQ_FY-1), _xll.ciqfunctions.udf.CIQ(A1473, "IQ_EBITDA_MARGIN",IQ_FY))</f>
        <v>22.147099999999998</v>
      </c>
      <c r="H1482" s="15">
        <f>IF(A1481=A1482,_xll.ciqfunctions.udf.CIQ(A1473,"IQ_TOTAL_DIV_PAID_CF",IQ_FY-1)/-I1482, _xll.ciqfunctions.udf.CIQ(A1473, "IQ_TOTAL_DIV_PAID_CF",IQ_FY)/-I1482)</f>
        <v>0</v>
      </c>
      <c r="I1482" s="17">
        <f>IF(A1481=A1482,_xll.ciqfunctions.udf.CIQ(A1473,"IQ_TOTAL_OUTSTANDING_FILING_DATE",IQ_FY-1), _xll.ciqfunctions.udf.CIQ(A1473, "IQ_TOTAL_OUTSTANDING_FILING_DATE",IQ_FY))</f>
        <v>357.85831000000002</v>
      </c>
      <c r="J1482" s="17">
        <f>IF(A1481=A1482,_xll.ciqfunctions.udf.CIQ(A1473,"IQ_CASH_OPER",IQ_FY-1), _xll.ciqfunctions.udf.CIQ(A1473, "IQ_CASH_OPER",IQ_FY))</f>
        <v>797.3</v>
      </c>
      <c r="K1482" s="17">
        <f>IF(A1481=A1482,_xll.ciqfunctions.udf.CIQ(A1473,"IQ_CAPEX",IQ_FY-1), _xll.ciqfunctions.udf.CIQ(A1473, "IQ_CAPEX",IQ_FY))</f>
        <v>-33.799999999999997</v>
      </c>
      <c r="L1482" s="15">
        <f t="shared" si="392"/>
        <v>2.1335259756857399</v>
      </c>
      <c r="M1482" s="17">
        <f>IF(A1481=A1482,_xll.ciqfunctions.udf.CIQ(A1473,"IQ_TOTAL_DEBT_ISSUED",IQ_FY-1), _xll.ciqfunctions.udf.CIQ(A1473, "IQ_TOTAL_DEBT_ISSUED",IQ_FY))</f>
        <v>0</v>
      </c>
      <c r="N1482" s="17">
        <f>IF(A1481=A1482,_xll.ciqfunctions.udf.CIQ(A1473,"IQ_TOTAL_DEBT_REPAID",IQ_FY-1), _xll.ciqfunctions.udf.CIQ(A1473, "IQ_TOTAL_DEBT_REPAID",IQ_FY))</f>
        <v>-127.5</v>
      </c>
      <c r="O1482" s="15">
        <f t="shared" si="393"/>
        <v>-0.3562862631302316</v>
      </c>
      <c r="P1482" s="15">
        <f t="shared" si="394"/>
        <v>1.7772397125555082</v>
      </c>
      <c r="Q1482" s="25" t="s">
        <v>44</v>
      </c>
      <c r="R1482" s="38" t="s">
        <v>35</v>
      </c>
      <c r="S1482" s="1">
        <f>_xll.ciqfunctions.udf.CIQ(A1473,"IQ_TEV_EBITDA")</f>
        <v>18.612380000000002</v>
      </c>
      <c r="U1482" s="25" t="s">
        <v>55</v>
      </c>
      <c r="V1482" s="38" t="s">
        <v>53</v>
      </c>
      <c r="W1482" s="1">
        <f>V1472/(AVERAGE(D1478:D1483)/_xlfn.STDEV.P(E1478:E1483))</f>
        <v>1.1609842077173398</v>
      </c>
      <c r="Y1482" s="25" t="s">
        <v>57</v>
      </c>
      <c r="Z1482" s="38" t="s">
        <v>53</v>
      </c>
      <c r="AA1482" s="1">
        <f>Z1472/(AVERAGE(D1478:D1483)/_xlfn.STDEV.P(E1478:E1483))</f>
        <v>1.1609842077173398</v>
      </c>
    </row>
    <row r="1483" spans="1:27">
      <c r="B1483" s="13">
        <v>11</v>
      </c>
      <c r="C1483" s="20" t="s">
        <v>36</v>
      </c>
      <c r="D1483" s="21" cm="1">
        <f t="array" ref="D1483">_xlfn.SINGLE(IF(A1481=A1482,_xll.ciqfunctions.udf.CIQ(A1473,"IQ_TOTAL_REV",IQ_FY)/I1483, _xll.ciqfunctions.udf.CIQ(A1473, "IQ_TOTAL_REV",IQ_LTM)/I1483))</f>
        <v>7.1304128622999681</v>
      </c>
      <c r="E1483" s="22">
        <f t="shared" si="395"/>
        <v>9.7542903567864936E-2</v>
      </c>
      <c r="F1483" s="21">
        <f>IF(A1481=A1482,_xll.ciqfunctions.udf.CIQ(A1473,"IQ_DILUT_EPS_EXCL",IQ_FY), _xll.ciqfunctions.udf.CIQ(A1473, "IQ_DILUT_EPS_EXCL",IQ_LTM))</f>
        <v>1.60789</v>
      </c>
      <c r="G1483" s="21">
        <f>IF(A1481=A1482,_xll.ciqfunctions.udf.CIQ(A1473,"IQ_EBITDA_MARGIN",IQ_FY), _xll.ciqfunctions.udf.CIQ(A1473, "IQ_EBITDA_MARGIN",IQ_LTM))</f>
        <v>21.233799999999999</v>
      </c>
      <c r="H1483" s="21">
        <f>IF(A1481=A1482,_xll.ciqfunctions.udf.CIQ(A1473,"IQ_TOTAL_DIV_PAID_CF",IQ_FY)/-I1483, _xll.ciqfunctions.udf.CIQ(A1473, "IQ_TOTAL_DIV_PAID_CF",IQ_LTM)/-I1483)</f>
        <v>0</v>
      </c>
      <c r="I1483" s="23">
        <f>IF(A1481=A1482,_xll.ciqfunctions.udf.CIQ(A1473,"IQ_TOTAL_OUTSTANDING_FILING_DATE",IQ_FY),_xll.ciqfunctions.udf.CIQ(A1473,"IQ_sharesoutstanding"))</f>
        <v>345.75837999999999</v>
      </c>
      <c r="J1483" s="23">
        <f>IF(A1481=A1482,_xll.ciqfunctions.udf.CIQ(A1473,"IQ_CASH_OPER",IQ_FY), _xll.ciqfunctions.udf.CIQ(A1473, "IQ_CASH_OPER",IQ_LTM))</f>
        <v>778</v>
      </c>
      <c r="K1483" s="23">
        <f>IF(A1481=A1482,_xll.ciqfunctions.udf.CIQ(A1473,"IQ_CAPEX",IQ_FY), _xll.ciqfunctions.udf.CIQ(A1473, "IQ_CAPEX",IQ_LTM))</f>
        <v>-27.2</v>
      </c>
      <c r="L1483" s="21">
        <f t="shared" si="392"/>
        <v>2.1714585775187865</v>
      </c>
      <c r="M1483" s="23">
        <f>IF(A1481=A1482,_xll.ciqfunctions.udf.CIQ(A1473,"IQ_TOTAL_DEBT_ISSUED",IQ_FY), _xll.ciqfunctions.udf.CIQ(A1473, "IQ_TOTAL_DEBT_ISSUED",IQ_LTM))</f>
        <v>0</v>
      </c>
      <c r="N1483" s="23">
        <f>IF(A1481=A1482,_xll.ciqfunctions.udf.CIQ(A1473,"IQ_TOTAL_DEBT_REPAID",IQ_FY), _xll.ciqfunctions.udf.CIQ(A1473, "IQ_TOTAL_DEBT_REPAID",IQ_LTM))</f>
        <v>-126.7</v>
      </c>
      <c r="O1483" s="21">
        <f t="shared" si="393"/>
        <v>-0.3664408654390387</v>
      </c>
      <c r="P1483" s="21">
        <f t="shared" si="394"/>
        <v>1.8050177120797477</v>
      </c>
      <c r="Q1483" s="25" t="s">
        <v>45</v>
      </c>
      <c r="S1483" s="45"/>
      <c r="U1483" s="25"/>
      <c r="W1483" s="45"/>
      <c r="Y1483" s="25"/>
      <c r="AA1483" s="45"/>
    </row>
    <row r="1484" spans="1:27">
      <c r="B1484" s="24"/>
      <c r="C1484" s="25" t="s">
        <v>37</v>
      </c>
      <c r="E1484" s="26">
        <f>((D1483/D1478)^(1/5))-1</f>
        <v>0.16075356761464166</v>
      </c>
      <c r="F1484" s="27">
        <f>((F1483/F1478)^(1/5))-1</f>
        <v>-2.0352448543160193</v>
      </c>
      <c r="G1484" s="28"/>
      <c r="H1484" s="27" t="e">
        <f>((H1483/H1478)^(1/5))-1</f>
        <v>#DIV/0!</v>
      </c>
      <c r="I1484" s="27">
        <f>((I1483/I1478)^(1/5))-1</f>
        <v>-3.4108541146084081E-2</v>
      </c>
      <c r="J1484" s="27"/>
      <c r="K1484" s="27"/>
      <c r="L1484" s="26">
        <f>((L1483/L1478)^(1/5))-1</f>
        <v>0.19767473796467994</v>
      </c>
      <c r="M1484" s="26"/>
      <c r="N1484" s="26"/>
      <c r="O1484" s="26"/>
      <c r="P1484" s="26">
        <f>((P1483/P1478)^(1/5))-1</f>
        <v>0.23992516067845227</v>
      </c>
      <c r="Q1484" s="18"/>
      <c r="R1484" s="36"/>
      <c r="S1484" s="45"/>
      <c r="U1484" s="18"/>
      <c r="V1484" s="36"/>
      <c r="W1484" s="45"/>
      <c r="Y1484" s="18"/>
      <c r="Z1484" s="36"/>
      <c r="AA1484" s="45"/>
    </row>
    <row r="1485" spans="1:27">
      <c r="A1485" s="29"/>
      <c r="B1485" s="30"/>
      <c r="C1485" s="31" t="s">
        <v>38</v>
      </c>
      <c r="D1485" s="29"/>
      <c r="E1485" s="32" t="e">
        <f>((D1483/D1473)^(1/10))-1</f>
        <v>#DIV/0!</v>
      </c>
      <c r="F1485" s="33" t="e">
        <f>((F1483/F1473)^(1/10))-1</f>
        <v>#DIV/0!</v>
      </c>
      <c r="G1485" s="34"/>
      <c r="H1485" s="33" t="e">
        <f>((H1483/H1473)^(1/10))-1</f>
        <v>#DIV/0!</v>
      </c>
      <c r="I1485" s="33" t="e">
        <f>((I1483/I1473)^(1/10))-1</f>
        <v>#DIV/0!</v>
      </c>
      <c r="J1485" s="33"/>
      <c r="K1485" s="33"/>
      <c r="L1485" s="32" t="e">
        <f>((L1483/L1473)^(1/10))-1</f>
        <v>#DIV/0!</v>
      </c>
      <c r="M1485" s="32"/>
      <c r="N1485" s="32"/>
      <c r="O1485" s="32"/>
      <c r="P1485" s="32" t="e">
        <f>((P1483/P1473)^(1/10))-1</f>
        <v>#DIV/0!</v>
      </c>
      <c r="Q1485" s="40"/>
      <c r="R1485" s="41"/>
      <c r="S1485" s="46"/>
      <c r="U1485" s="40"/>
      <c r="V1485" s="41"/>
      <c r="W1485" s="46"/>
      <c r="Y1485" s="40"/>
      <c r="Z1485" s="41"/>
      <c r="AA1485" s="46"/>
    </row>
    <row r="1486" spans="1:27">
      <c r="B1486" s="24"/>
      <c r="C1486" s="25"/>
      <c r="E1486" s="26"/>
      <c r="F1486" s="27"/>
      <c r="G1486" s="28"/>
      <c r="H1486" s="27"/>
      <c r="I1486" s="27"/>
      <c r="J1486" s="27"/>
      <c r="K1486" s="27"/>
      <c r="L1486" s="26"/>
      <c r="M1486" s="17"/>
      <c r="N1486" s="17"/>
      <c r="O1486" s="17"/>
      <c r="P1486" s="35"/>
      <c r="Q1486" s="18"/>
      <c r="R1486" s="36"/>
    </row>
    <row r="1487" spans="1:27">
      <c r="A1487" s="9" t="s">
        <v>0</v>
      </c>
      <c r="B1487" s="10"/>
      <c r="C1487" s="9" t="s">
        <v>1</v>
      </c>
      <c r="D1487" s="9" t="s">
        <v>2</v>
      </c>
      <c r="E1487" s="9" t="s">
        <v>3</v>
      </c>
      <c r="F1487" s="11" t="s">
        <v>4</v>
      </c>
      <c r="G1487" s="11" t="s">
        <v>5</v>
      </c>
      <c r="H1487" s="9" t="s">
        <v>6</v>
      </c>
      <c r="I1487" s="11" t="s">
        <v>7</v>
      </c>
      <c r="J1487" s="11" t="s">
        <v>8</v>
      </c>
      <c r="K1487" s="11" t="s">
        <v>9</v>
      </c>
      <c r="L1487" s="11" t="s">
        <v>10</v>
      </c>
      <c r="M1487" s="11" t="s">
        <v>11</v>
      </c>
      <c r="N1487" s="11" t="s">
        <v>12</v>
      </c>
      <c r="O1487" s="11" t="s">
        <v>13</v>
      </c>
      <c r="P1487" s="11" t="s">
        <v>14</v>
      </c>
      <c r="Q1487" s="37" t="s">
        <v>15</v>
      </c>
      <c r="R1487" s="42">
        <f>_xll.ciqfunctions.udf.CIQ(A1488,("IQ_LASTSALEPRICE"))</f>
        <v>177.155</v>
      </c>
      <c r="S1487" s="44"/>
      <c r="U1487" s="37" t="s">
        <v>15</v>
      </c>
      <c r="V1487" s="42">
        <f>_xll.ciqfunctions.udf.CIQ(A1488,("IQ_LASTSALEPRICE"))</f>
        <v>177.155</v>
      </c>
      <c r="W1487" s="44"/>
      <c r="Y1487" s="37" t="s">
        <v>15</v>
      </c>
      <c r="Z1487" s="42">
        <f>_xll.ciqfunctions.udf.CIQ(A1488,("IQ_LASTSALEPRICE"))</f>
        <v>177.155</v>
      </c>
      <c r="AA1487" s="44"/>
    </row>
    <row r="1488" spans="1:27">
      <c r="A1488" s="12" t="str">
        <f>Analysis!B101</f>
        <v>NasdaqGS:SPSC</v>
      </c>
      <c r="B1488" s="13">
        <v>1</v>
      </c>
      <c r="C1488" s="14" t="s">
        <v>16</v>
      </c>
      <c r="D1488" s="15">
        <f>IF(A1496=A1497,_xll.ciqfunctions.udf.CIQ(A1488,"IQ_TOTAL_REV",IQ_FY-10)/I1488,_xll.ciqfunctions.udf.CIQ(A1488, "IQ_TOTAL_REV",IQ_FY-9)/I1488)</f>
        <v>3.2346764905196288</v>
      </c>
      <c r="E1488" s="16"/>
      <c r="F1488" s="15">
        <f>IF(A1496=A1497,_xll.ciqfunctions.udf.CIQ(A1488,"IQ_DILUT_EPS_EXCL",IQ_FY-10), _xll.ciqfunctions.udf.CIQ(A1488, "IQ_DILUT_EPS_EXCL",IQ_FY-9))</f>
        <v>3.4569999999999997E-2</v>
      </c>
      <c r="G1488" s="15">
        <f>IF(A1496=A1497,_xll.ciqfunctions.udf.CIQ(A1488,"IQ_EBITDA_MARGIN",IQ_FY-10), _xll.ciqfunctions.udf.CIQ(A1488, "IQ_EBITDA_MARGIN",IQ_FY-9))</f>
        <v>9.4098000000000006</v>
      </c>
      <c r="H1488" s="15">
        <f>IF(A1496=A1497,_xll.ciqfunctions.udf.CIQ(A1488,"IQ_TOTAL_DIV_PAID_CF",IQ_FY-10)/-I1488, _xll.ciqfunctions.udf.CIQ(A1488, "IQ_TOTAL_DIV_PAID_CF",IQ_FY-9)/-I1488)</f>
        <v>0</v>
      </c>
      <c r="I1488" s="17">
        <f>IF(A1496=A1497,_xll.ciqfunctions.udf.CIQ(A1488,"IQ_TOTAL_OUTSTANDING_FILING_DATE",IQ_FY-10), _xll.ciqfunctions.udf.CIQ(A1488, "IQ_TOTAL_OUTSTANDING_FILING_DATE",IQ_FY-9))</f>
        <v>32.272469999999998</v>
      </c>
      <c r="J1488" s="17">
        <f>IF(A1496=A1497,_xll.ciqfunctions.udf.CIQ(A1488,"IQ_CASH_OPER",IQ_FY-10), _xll.ciqfunctions.udf.CIQ(A1488, "IQ_CASH_OPER",IQ_FY-9))</f>
        <v>18.242999999999999</v>
      </c>
      <c r="K1488" s="17">
        <f>IF(A1496=A1497,_xll.ciqfunctions.udf.CIQ(A1488,"IQ_CAPEX",IQ_FY-10), _xll.ciqfunctions.udf.CIQ(A1488, "IQ_CAPEX",IQ_FY-9))</f>
        <v>-5.7009999999999996</v>
      </c>
      <c r="L1488" s="15">
        <f t="shared" ref="L1488:L1498" si="396">(J1488+K1488)/I1488</f>
        <v>0.3886284501929973</v>
      </c>
      <c r="M1488" s="17">
        <f>IF(A1496=A1497,_xll.ciqfunctions.udf.CIQ(A1488,"IQ_TOTAL_DEBT_ISSUED",IQ_FY-10), _xll.ciqfunctions.udf.CIQ(A1488, "IQ_TOTAL_DEBT_ISSUED",IQ_FY-9))</f>
        <v>0</v>
      </c>
      <c r="N1488" s="17">
        <f>IF(A1496=A1497,_xll.ciqfunctions.udf.CIQ(A1488,"IQ_TOTAL_DEBT_REPAID",IQ_FY-10), _xll.ciqfunctions.udf.CIQ(A1488, "IQ_TOTAL_DEBT_REPAID",IQ_FY-9))</f>
        <v>0</v>
      </c>
      <c r="O1488" s="15">
        <f t="shared" ref="O1488:O1498" si="397">(M1488+N1488)/I1488</f>
        <v>0</v>
      </c>
      <c r="P1488" s="15">
        <f t="shared" ref="P1488:P1498" si="398">L1488+O1488</f>
        <v>0.3886284501929973</v>
      </c>
      <c r="W1488" s="43"/>
      <c r="AA1488" s="43"/>
    </row>
    <row r="1489" spans="1:27">
      <c r="A1489" s="18" t="str">
        <f>_xll.ciqfunctions.udf.CIQ(A1488,"IQ_COMPANY_NAME")</f>
        <v>SPS Commerce, Inc.</v>
      </c>
      <c r="B1489" s="13">
        <v>2</v>
      </c>
      <c r="C1489" s="14" t="s">
        <v>17</v>
      </c>
      <c r="D1489" s="15">
        <f>IF(A1496=A1497,_xll.ciqfunctions.udf.CIQ(A1488,"IQ_TOTAL_REV",IQ_FY-9)/I1489, _xll.ciqfunctions.udf.CIQ(A1488, "IQ_TOTAL_REV",IQ_FY-8)/I1489)</f>
        <v>3.9129784565529935</v>
      </c>
      <c r="E1489" s="16">
        <f t="shared" ref="E1489:E1498" si="399">(D1489-D1488)/D1488</f>
        <v>0.20969700309176825</v>
      </c>
      <c r="F1489" s="15">
        <f>IF(A1496=A1497,_xll.ciqfunctions.udf.CIQ(A1488,"IQ_DILUT_EPS_EXCL",IQ_FY-9), _xll.ciqfunctions.udf.CIQ(A1488, "IQ_DILUT_EPS_EXCL",IQ_FY-8))</f>
        <v>0.08</v>
      </c>
      <c r="G1489" s="15">
        <f>IF(A1496=A1497,_xll.ciqfunctions.udf.CIQ(A1488,"IQ_EBITDA_MARGIN",IQ_FY-9), _xll.ciqfunctions.udf.CIQ(A1488, "IQ_EBITDA_MARGIN",IQ_FY-8))</f>
        <v>10.123699999999999</v>
      </c>
      <c r="H1489" s="15">
        <f>IF(A1496=A1497,_xll.ciqfunctions.udf.CIQ(A1488,"IQ_TOTAL_DIV_PAID_CF",IQ_FY-9)/-I1489, _xll.ciqfunctions.udf.CIQ(A1488, "IQ_TOTAL_DIV_PAID_CF",IQ_FY-8)/-I1489)</f>
        <v>0</v>
      </c>
      <c r="I1489" s="17">
        <f>IF(A1496=A1497,_xll.ciqfunctions.udf.CIQ(A1488,"IQ_TOTAL_OUTSTANDING_FILING_DATE",IQ_FY-9), _xll.ciqfunctions.udf.CIQ(A1488, "IQ_TOTAL_OUTSTANDING_FILING_DATE",IQ_FY-8))</f>
        <v>32.69811</v>
      </c>
      <c r="J1489" s="17">
        <f>IF(A1496=A1497,_xll.ciqfunctions.udf.CIQ(A1488,"IQ_CASH_OPER",IQ_FY-9), _xll.ciqfunctions.udf.CIQ(A1488, "IQ_CASH_OPER",IQ_FY-8))</f>
        <v>16.788</v>
      </c>
      <c r="K1489" s="17">
        <f>IF(A1496=A1497,_xll.ciqfunctions.udf.CIQ(A1488,"IQ_CAPEX",IQ_FY-9), _xll.ciqfunctions.udf.CIQ(A1488, "IQ_CAPEX",IQ_FY-8))</f>
        <v>-7.5819999999999999</v>
      </c>
      <c r="L1489" s="15">
        <f t="shared" si="396"/>
        <v>0.28154532479094357</v>
      </c>
      <c r="M1489" s="17">
        <f>IF(A1496=A1497,_xll.ciqfunctions.udf.CIQ(A1488,"IQ_TOTAL_DEBT_ISSUED",IQ_FY-9), _xll.ciqfunctions.udf.CIQ(A1488, "IQ_TOTAL_DEBT_ISSUED",IQ_FY-8))</f>
        <v>0</v>
      </c>
      <c r="N1489" s="17">
        <f>IF(A1496=A1497,_xll.ciqfunctions.udf.CIQ(A1488,"IQ_TOTAL_DEBT_REPAID",IQ_FY-9), _xll.ciqfunctions.udf.CIQ(A1488, "IQ_TOTAL_DEBT_REPAID",IQ_FY-8))</f>
        <v>0</v>
      </c>
      <c r="O1489" s="15">
        <f t="shared" si="397"/>
        <v>0</v>
      </c>
      <c r="P1489" s="15">
        <f t="shared" si="398"/>
        <v>0.28154532479094357</v>
      </c>
      <c r="Q1489" s="25" t="s">
        <v>18</v>
      </c>
      <c r="R1489" s="39" t="s">
        <v>19</v>
      </c>
      <c r="S1489" s="1">
        <f>R1487/((AVERAGE(P1493:P1498))*(1+E1499)^3)</f>
        <v>56.367971199082973</v>
      </c>
      <c r="U1489" s="25" t="s">
        <v>48</v>
      </c>
      <c r="V1489" s="39" t="s">
        <v>19</v>
      </c>
      <c r="W1489" s="1">
        <f>V1487/((AVERAGE(P1493:P1498))*(1+E1499)^3)</f>
        <v>56.367971199082973</v>
      </c>
      <c r="Y1489" s="25" t="s">
        <v>39</v>
      </c>
      <c r="Z1489" s="39" t="s">
        <v>19</v>
      </c>
      <c r="AA1489" s="1">
        <f>Z1487/((AVERAGE(P1493:P1498))*(1+E1499)^3)</f>
        <v>56.367971199082973</v>
      </c>
    </row>
    <row r="1490" spans="1:27">
      <c r="B1490" s="13">
        <v>3</v>
      </c>
      <c r="C1490" s="14" t="s">
        <v>20</v>
      </c>
      <c r="D1490" s="15" cm="1">
        <f t="array" ref="D1490">_xlfn.SINGLE(IF(A1496=A1497,_xll.ciqfunctions.udf.CIQ(A1488,"IQ_TOTAL_REV",IQ_FY-8)/I1490, _xll.ciqfunctions.udf.CIQ(A1488, "IQ_TOTAL_REV",IQ_FY-7)/I1490))</f>
        <v>4.705630203806348</v>
      </c>
      <c r="E1490" s="16">
        <f t="shared" si="399"/>
        <v>0.2025699236666931</v>
      </c>
      <c r="F1490" s="15">
        <f>IF(A1496=A1497,_xll.ciqfunctions.udf.CIQ(A1488,"IQ_DILUT_EPS_EXCL",IQ_FY-8), _xll.ciqfunctions.udf.CIQ(A1488, "IQ_DILUT_EPS_EXCL",IQ_FY-7))</f>
        <v>0.13500000000000001</v>
      </c>
      <c r="G1490" s="15">
        <f>IF(A1496=A1497,_xll.ciqfunctions.udf.CIQ(A1488,"IQ_EBITDA_MARGIN",IQ_FY-8), _xll.ciqfunctions.udf.CIQ(A1488, "IQ_EBITDA_MARGIN",IQ_FY-7))</f>
        <v>10.4688</v>
      </c>
      <c r="H1490" s="15">
        <f>IF(A1496=A1497,_xll.ciqfunctions.udf.CIQ(A1488,"IQ_TOTAL_DIV_PAID_CF",IQ_FY-8)/-I1490, _xll.ciqfunctions.udf.CIQ(A1488, "IQ_TOTAL_DIV_PAID_CF",IQ_FY-7)/-I1490)</f>
        <v>0</v>
      </c>
      <c r="I1490" s="17">
        <f>IF(A1496=A1497,_xll.ciqfunctions.udf.CIQ(A1488,"IQ_TOTAL_OUTSTANDING_FILING_DATE",IQ_FY-8), _xll.ciqfunctions.udf.CIQ(A1488, "IQ_TOTAL_OUTSTANDING_FILING_DATE",IQ_FY-7))</f>
        <v>33.686880000000002</v>
      </c>
      <c r="J1490" s="17">
        <f>IF(A1496=A1497,_xll.ciqfunctions.udf.CIQ(A1488,"IQ_CASH_OPER",IQ_FY-8), _xll.ciqfunctions.udf.CIQ(A1488, "IQ_CASH_OPER",IQ_FY-7))</f>
        <v>14.429</v>
      </c>
      <c r="K1490" s="17">
        <f>IF(A1496=A1497,_xll.ciqfunctions.udf.CIQ(A1488,"IQ_CAPEX",IQ_FY-8), _xll.ciqfunctions.udf.CIQ(A1488, "IQ_CAPEX",IQ_FY-7))</f>
        <v>-8.7569999999999997</v>
      </c>
      <c r="L1490" s="15">
        <f t="shared" si="396"/>
        <v>0.16837415634810943</v>
      </c>
      <c r="M1490" s="17">
        <f>IF(A1496=A1497,_xll.ciqfunctions.udf.CIQ(A1488,"IQ_TOTAL_DEBT_ISSUED",IQ_FY-8), _xll.ciqfunctions.udf.CIQ(A1488, "IQ_TOTAL_DEBT_ISSUED",IQ_FY-7))</f>
        <v>0</v>
      </c>
      <c r="N1490" s="17">
        <f>IF(A1496=A1497,_xll.ciqfunctions.udf.CIQ(A1488,"IQ_TOTAL_DEBT_REPAID",IQ_FY-8), _xll.ciqfunctions.udf.CIQ(A1488, "IQ_TOTAL_DEBT_REPAID",IQ_FY-7))</f>
        <v>0</v>
      </c>
      <c r="O1490" s="15">
        <f t="shared" si="397"/>
        <v>0</v>
      </c>
      <c r="P1490" s="15">
        <f t="shared" si="398"/>
        <v>0.16837415634810943</v>
      </c>
      <c r="Q1490" s="25" t="s">
        <v>21</v>
      </c>
      <c r="R1490" s="38" t="s">
        <v>49</v>
      </c>
      <c r="S1490" s="2">
        <f>(R1487*I1498)/1000</f>
        <v>6.5011650995499997</v>
      </c>
      <c r="U1490" s="25" t="s">
        <v>59</v>
      </c>
      <c r="V1490" s="38" t="s">
        <v>49</v>
      </c>
      <c r="W1490" s="2">
        <f>(V1487*I1498)/1000</f>
        <v>6.5011650995499997</v>
      </c>
      <c r="Y1490" s="25" t="s">
        <v>46</v>
      </c>
      <c r="Z1490" s="38" t="s">
        <v>49</v>
      </c>
      <c r="AA1490" s="2">
        <f>(Z1487*I1498)/1000</f>
        <v>6.5011650995499997</v>
      </c>
    </row>
    <row r="1491" spans="1:27">
      <c r="A1491" s="18"/>
      <c r="B1491" s="13">
        <v>4</v>
      </c>
      <c r="C1491" s="14" t="s">
        <v>22</v>
      </c>
      <c r="D1491" s="15" cm="1">
        <f t="array" ref="D1491">_xlfn.SINGLE(IF(A1496=A1497,_xll.ciqfunctions.udf.CIQ(A1488,"IQ_TOTAL_REV",IQ_FY-7)/I1491, _xll.ciqfunctions.udf.CIQ(A1488, "IQ_TOTAL_REV",IQ_FY-6)/I1491))</f>
        <v>5.6212366819648842</v>
      </c>
      <c r="E1491" s="16">
        <f t="shared" si="399"/>
        <v>0.19457680236281832</v>
      </c>
      <c r="F1491" s="15">
        <f>IF(A1496=A1497,_xll.ciqfunctions.udf.CIQ(A1488,"IQ_DILUT_EPS_EXCL",IQ_FY-7), _xll.ciqfunctions.udf.CIQ(A1488, "IQ_DILUT_EPS_EXCL",IQ_FY-6))</f>
        <v>0.14499999999999999</v>
      </c>
      <c r="G1491" s="15">
        <f>IF(A1496=A1497,_xll.ciqfunctions.udf.CIQ(A1488,"IQ_EBITDA_MARGIN",IQ_FY-7), _xll.ciqfunctions.udf.CIQ(A1488, "IQ_EBITDA_MARGIN",IQ_FY-6))</f>
        <v>9.1745000000000001</v>
      </c>
      <c r="H1491" s="15">
        <f>IF(A1496=A1497,_xll.ciqfunctions.udf.CIQ(A1488,"IQ_TOTAL_DIV_PAID_CF",IQ_FY-7)/-I1491, _xll.ciqfunctions.udf.CIQ(A1488, "IQ_TOTAL_DIV_PAID_CF",IQ_FY-6)/-I1491)</f>
        <v>0</v>
      </c>
      <c r="I1491" s="17">
        <f>IF(A1496=A1497,_xll.ciqfunctions.udf.CIQ(A1488,"IQ_TOTAL_OUTSTANDING_FILING_DATE",IQ_FY-7), _xll.ciqfunctions.udf.CIQ(A1488, "IQ_TOTAL_OUTSTANDING_FILING_DATE",IQ_FY-6))</f>
        <v>34.3613</v>
      </c>
      <c r="J1491" s="17">
        <f>IF(A1496=A1497,_xll.ciqfunctions.udf.CIQ(A1488,"IQ_CASH_OPER",IQ_FY-7), _xll.ciqfunctions.udf.CIQ(A1488, "IQ_CASH_OPER",IQ_FY-6))</f>
        <v>18.765000000000001</v>
      </c>
      <c r="K1491" s="17">
        <f>IF(A1496=A1497,_xll.ciqfunctions.udf.CIQ(A1488,"IQ_CAPEX",IQ_FY-7), _xll.ciqfunctions.udf.CIQ(A1488, "IQ_CAPEX",IQ_FY-6))</f>
        <v>-8.0079999999999991</v>
      </c>
      <c r="L1491" s="15">
        <f t="shared" si="396"/>
        <v>0.31305567600760159</v>
      </c>
      <c r="M1491" s="17">
        <f>IF(A1496=A1497,_xll.ciqfunctions.udf.CIQ(A1488,"IQ_TOTAL_DEBT_ISSUED",IQ_FY-7), _xll.ciqfunctions.udf.CIQ(A1488, "IQ_TOTAL_DEBT_ISSUED",IQ_FY-6))</f>
        <v>0</v>
      </c>
      <c r="N1491" s="17">
        <f>IF(A1496=A1497,_xll.ciqfunctions.udf.CIQ(A1488,"IQ_TOTAL_DEBT_REPAID",IQ_FY-7), _xll.ciqfunctions.udf.CIQ(A1488, "IQ_TOTAL_DEBT_REPAID",IQ_FY-6))</f>
        <v>0</v>
      </c>
      <c r="O1491" s="15">
        <f t="shared" si="397"/>
        <v>0</v>
      </c>
      <c r="P1491" s="15">
        <f t="shared" si="398"/>
        <v>0.31305567600760159</v>
      </c>
      <c r="Q1491" s="25" t="s">
        <v>23</v>
      </c>
      <c r="R1491" s="38" t="s">
        <v>24</v>
      </c>
      <c r="S1491" s="1" t="e">
        <f>R1487/(AVERAGE(H1493:H1498)*(1+H1499)/(0.5-H1499))</f>
        <v>#DIV/0!</v>
      </c>
      <c r="U1491" s="25" t="s">
        <v>40</v>
      </c>
      <c r="V1491" s="38" t="s">
        <v>24</v>
      </c>
      <c r="W1491" s="1" t="e">
        <f>V1487/(AVERAGE(H1493:H1498)*(1+H1499)/(0.5-H1499))</f>
        <v>#DIV/0!</v>
      </c>
      <c r="Y1491" s="25" t="s">
        <v>47</v>
      </c>
      <c r="Z1491" s="38" t="s">
        <v>24</v>
      </c>
      <c r="AA1491" s="1" t="e">
        <f>Z1487/(AVERAGE(H1493:H1498)*(1+H1499)/(0.5-H1499))</f>
        <v>#DIV/0!</v>
      </c>
    </row>
    <row r="1492" spans="1:27">
      <c r="B1492" s="13">
        <v>5</v>
      </c>
      <c r="C1492" s="14" t="s">
        <v>25</v>
      </c>
      <c r="D1492" s="15" cm="1">
        <f t="array" ref="D1492">_xlfn.SINGLE(IF(A1496=A1497,_xll.ciqfunctions.udf.CIQ(A1488,"IQ_TOTAL_REV",IQ_FY-6)/I1492, _xll.ciqfunctions.udf.CIQ(A1488, "IQ_TOTAL_REV",IQ_FY-5)/I1492))</f>
        <v>6.3790294461112076</v>
      </c>
      <c r="E1492" s="16">
        <f t="shared" si="399"/>
        <v>0.13480890541001725</v>
      </c>
      <c r="F1492" s="15">
        <f>IF(A1496=A1497,_xll.ciqfunctions.udf.CIQ(A1488,"IQ_DILUT_EPS_EXCL",IQ_FY-6), _xll.ciqfunctions.udf.CIQ(A1488, "IQ_DILUT_EPS_EXCL",IQ_FY-5))</f>
        <v>0.01</v>
      </c>
      <c r="G1492" s="15">
        <f>IF(A1496=A1497,_xll.ciqfunctions.udf.CIQ(A1488,"IQ_EBITDA_MARGIN",IQ_FY-6), _xll.ciqfunctions.udf.CIQ(A1488, "IQ_EBITDA_MARGIN",IQ_FY-5))</f>
        <v>9.8884000000000007</v>
      </c>
      <c r="H1492" s="15">
        <f>IF(A1496=A1497,_xll.ciqfunctions.udf.CIQ(A1488,"IQ_TOTAL_DIV_PAID_CF",IQ_FY-6)/-I1492, _xll.ciqfunctions.udf.CIQ(A1488, "IQ_TOTAL_DIV_PAID_CF",IQ_FY-5)/-I1492)</f>
        <v>0</v>
      </c>
      <c r="I1492" s="17">
        <f>IF(A1496=A1497,_xll.ciqfunctions.udf.CIQ(A1488,"IQ_TOTAL_OUTSTANDING_FILING_DATE",IQ_FY-6), _xll.ciqfunctions.udf.CIQ(A1488, "IQ_TOTAL_OUTSTANDING_FILING_DATE",IQ_FY-5))</f>
        <v>34.501330000000003</v>
      </c>
      <c r="J1492" s="17">
        <f>IF(A1496=A1497,_xll.ciqfunctions.udf.CIQ(A1488,"IQ_CASH_OPER",IQ_FY-6), _xll.ciqfunctions.udf.CIQ(A1488, "IQ_CASH_OPER",IQ_FY-5))</f>
        <v>31.05</v>
      </c>
      <c r="K1492" s="17">
        <f>IF(A1496=A1497,_xll.ciqfunctions.udf.CIQ(A1488,"IQ_CAPEX",IQ_FY-6), _xll.ciqfunctions.udf.CIQ(A1488, "IQ_CAPEX",IQ_FY-5))</f>
        <v>-7.2709999999999999</v>
      </c>
      <c r="L1492" s="15">
        <f t="shared" si="396"/>
        <v>0.68921980688860396</v>
      </c>
      <c r="M1492" s="17">
        <f>IF(A1496=A1497,_xll.ciqfunctions.udf.CIQ(A1488,"IQ_TOTAL_DEBT_ISSUED",IQ_FY-6), _xll.ciqfunctions.udf.CIQ(A1488, "IQ_TOTAL_DEBT_ISSUED",IQ_FY-5))</f>
        <v>0</v>
      </c>
      <c r="N1492" s="17">
        <f>IF(A1496=A1497,_xll.ciqfunctions.udf.CIQ(A1488,"IQ_TOTAL_DEBT_REPAID",IQ_FY-6), _xll.ciqfunctions.udf.CIQ(A1488, "IQ_TOTAL_DEBT_REPAID",IQ_FY-5))</f>
        <v>0</v>
      </c>
      <c r="O1492" s="15">
        <f t="shared" si="397"/>
        <v>0</v>
      </c>
      <c r="P1492" s="15">
        <f t="shared" si="398"/>
        <v>0.68921980688860396</v>
      </c>
      <c r="Q1492" s="18"/>
      <c r="R1492" s="38" t="s">
        <v>50</v>
      </c>
      <c r="S1492" s="3">
        <f>I1499</f>
        <v>6.5444077958927149E-3</v>
      </c>
      <c r="U1492" s="18"/>
      <c r="V1492" s="38" t="s">
        <v>50</v>
      </c>
      <c r="W1492" s="3">
        <f>I1499</f>
        <v>6.5444077958927149E-3</v>
      </c>
      <c r="Y1492" s="18"/>
      <c r="Z1492" s="38" t="s">
        <v>50</v>
      </c>
      <c r="AA1492" s="3">
        <f>I1499</f>
        <v>6.5444077958927149E-3</v>
      </c>
    </row>
    <row r="1493" spans="1:27">
      <c r="B1493" s="13">
        <v>6</v>
      </c>
      <c r="C1493" s="14" t="s">
        <v>26</v>
      </c>
      <c r="D1493" s="15" cm="1">
        <f t="array" ref="D1493">_xlfn.SINGLE(IF(A1496=A1497,_xll.ciqfunctions.udf.CIQ(A1488,"IQ_TOTAL_REV",IQ_FY-5)/I1493, _xll.ciqfunctions.udf.CIQ(A1488, "IQ_TOTAL_REV",IQ_FY-4)/I1493))</f>
        <v>6.9887367711889725</v>
      </c>
      <c r="E1493" s="16">
        <f t="shared" si="399"/>
        <v>9.5579951500216934E-2</v>
      </c>
      <c r="F1493" s="15">
        <f>IF(A1496=A1497,_xll.ciqfunctions.udf.CIQ(A1488,"IQ_DILUT_EPS_EXCL",IQ_FY-5), _xll.ciqfunctions.udf.CIQ(A1488, "IQ_DILUT_EPS_EXCL",IQ_FY-4))</f>
        <v>0.68</v>
      </c>
      <c r="G1493" s="15">
        <f>IF(A1496=A1497,_xll.ciqfunctions.udf.CIQ(A1488,"IQ_EBITDA_MARGIN",IQ_FY-5), _xll.ciqfunctions.udf.CIQ(A1488, "IQ_EBITDA_MARGIN",IQ_FY-4))</f>
        <v>15.878500000000001</v>
      </c>
      <c r="H1493" s="15">
        <f>IF(A1496=A1497,_xll.ciqfunctions.udf.CIQ(A1488,"IQ_TOTAL_DIV_PAID_CF",IQ_FY-5)/-I1493, _xll.ciqfunctions.udf.CIQ(A1488, "IQ_TOTAL_DIV_PAID_CF",IQ_FY-4)/-I1493)</f>
        <v>0</v>
      </c>
      <c r="I1493" s="17">
        <f>IF(A1496=A1497,_xll.ciqfunctions.udf.CIQ(A1488,"IQ_TOTAL_OUTSTANDING_FILING_DATE",IQ_FY-5), _xll.ciqfunctions.udf.CIQ(A1488, "IQ_TOTAL_OUTSTANDING_FILING_DATE",IQ_FY-4))</f>
        <v>35.520009999999999</v>
      </c>
      <c r="J1493" s="17">
        <f>IF(A1496=A1497,_xll.ciqfunctions.udf.CIQ(A1488,"IQ_CASH_OPER",IQ_FY-5), _xll.ciqfunctions.udf.CIQ(A1488, "IQ_CASH_OPER",IQ_FY-4))</f>
        <v>55.015000000000001</v>
      </c>
      <c r="K1493" s="17">
        <f>IF(A1496=A1497,_xll.ciqfunctions.udf.CIQ(A1488,"IQ_CAPEX",IQ_FY-5), _xll.ciqfunctions.udf.CIQ(A1488, "IQ_CAPEX",IQ_FY-4))</f>
        <v>-13.75</v>
      </c>
      <c r="L1493" s="15">
        <f t="shared" si="396"/>
        <v>1.1617395377985535</v>
      </c>
      <c r="M1493" s="17">
        <f>IF(A1496=A1497,_xll.ciqfunctions.udf.CIQ(A1488,"IQ_TOTAL_DEBT_ISSUED",IQ_FY-5), _xll.ciqfunctions.udf.CIQ(A1488, "IQ_TOTAL_DEBT_ISSUED",IQ_FY-4))</f>
        <v>0</v>
      </c>
      <c r="N1493" s="17">
        <f>IF(A1496=A1497,_xll.ciqfunctions.udf.CIQ(A1488,"IQ_TOTAL_DEBT_REPAID",IQ_FY-5), _xll.ciqfunctions.udf.CIQ(A1488, "IQ_TOTAL_DEBT_REPAID",IQ_FY-4))</f>
        <v>0</v>
      </c>
      <c r="O1493" s="15">
        <f t="shared" si="397"/>
        <v>0</v>
      </c>
      <c r="P1493" s="15">
        <f t="shared" si="398"/>
        <v>1.1617395377985535</v>
      </c>
      <c r="Q1493" s="25" t="s">
        <v>27</v>
      </c>
      <c r="R1493" s="38" t="s">
        <v>51</v>
      </c>
      <c r="S1493" s="4">
        <f>AVERAGE(F1493:F1498)/AVERAGE(D1493:D1498)</f>
        <v>0.11920204360675461</v>
      </c>
      <c r="U1493" s="25" t="s">
        <v>58</v>
      </c>
      <c r="V1493" s="38" t="s">
        <v>51</v>
      </c>
      <c r="W1493" s="4">
        <f>AVERAGE(F1493:F1498)/AVERAGE(D1493:D1498)</f>
        <v>0.11920204360675461</v>
      </c>
      <c r="Y1493" s="25" t="s">
        <v>56</v>
      </c>
      <c r="Z1493" s="38" t="s">
        <v>51</v>
      </c>
      <c r="AA1493" s="4">
        <f>AVERAGE(F1493:F1498)/AVERAGE(D1493:D1498)</f>
        <v>0.11920204360675461</v>
      </c>
    </row>
    <row r="1494" spans="1:27">
      <c r="A1494" s="18"/>
      <c r="B1494" s="13">
        <v>7</v>
      </c>
      <c r="C1494" s="14" t="s">
        <v>28</v>
      </c>
      <c r="D1494" s="15" cm="1">
        <f t="array" ref="D1494">_xlfn.SINGLE(IF(A1496=A1497,_xll.ciqfunctions.udf.CIQ(A1488,"IQ_TOTAL_REV",IQ_FY-4)/I1494, _xll.ciqfunctions.udf.CIQ(A1488, "IQ_TOTAL_REV",IQ_FY-3)/I1494))</f>
        <v>8.0064665805373831</v>
      </c>
      <c r="E1494" s="16">
        <f t="shared" si="399"/>
        <v>0.14562428700190796</v>
      </c>
      <c r="F1494" s="15">
        <f>IF(A1496=A1497,_xll.ciqfunctions.udf.CIQ(A1488,"IQ_DILUT_EPS_EXCL",IQ_FY-4), _xll.ciqfunctions.udf.CIQ(A1488, "IQ_DILUT_EPS_EXCL",IQ_FY-3))</f>
        <v>0.94</v>
      </c>
      <c r="G1494" s="15">
        <f>IF(A1496=A1497,_xll.ciqfunctions.udf.CIQ(A1488,"IQ_EBITDA_MARGIN",IQ_FY-4), _xll.ciqfunctions.udf.CIQ(A1488, "IQ_EBITDA_MARGIN",IQ_FY-3))</f>
        <v>19.648599999999998</v>
      </c>
      <c r="H1494" s="15">
        <f>IF(A1496=A1497,_xll.ciqfunctions.udf.CIQ(A1488,"IQ_TOTAL_DIV_PAID_CF",IQ_FY-4)/-I1494, _xll.ciqfunctions.udf.CIQ(A1488, "IQ_TOTAL_DIV_PAID_CF",IQ_FY-3)/-I1494)</f>
        <v>0</v>
      </c>
      <c r="I1494" s="17">
        <f>IF(A1496=A1497,_xll.ciqfunctions.udf.CIQ(A1488,"IQ_TOTAL_OUTSTANDING_FILING_DATE",IQ_FY-4), _xll.ciqfunctions.udf.CIQ(A1488, "IQ_TOTAL_OUTSTANDING_FILING_DATE",IQ_FY-3))</f>
        <v>34.862319999999997</v>
      </c>
      <c r="J1494" s="17">
        <f>IF(A1496=A1497,_xll.ciqfunctions.udf.CIQ(A1488,"IQ_CASH_OPER",IQ_FY-4), _xll.ciqfunctions.udf.CIQ(A1488, "IQ_CASH_OPER",IQ_FY-3))</f>
        <v>71.793999999999997</v>
      </c>
      <c r="K1494" s="17">
        <f>IF(A1496=A1497,_xll.ciqfunctions.udf.CIQ(A1488,"IQ_CAPEX",IQ_FY-4), _xll.ciqfunctions.udf.CIQ(A1488, "IQ_CAPEX",IQ_FY-3))</f>
        <v>-13.585000000000001</v>
      </c>
      <c r="L1494" s="15">
        <f t="shared" si="396"/>
        <v>1.669682338983751</v>
      </c>
      <c r="M1494" s="17">
        <f>IF(A1496=A1497,_xll.ciqfunctions.udf.CIQ(A1488,"IQ_TOTAL_DEBT_ISSUED",IQ_FY-4), _xll.ciqfunctions.udf.CIQ(A1488, "IQ_TOTAL_DEBT_ISSUED",IQ_FY-3))</f>
        <v>0</v>
      </c>
      <c r="N1494" s="17">
        <f>IF(A1496=A1497,_xll.ciqfunctions.udf.CIQ(A1488,"IQ_TOTAL_DEBT_REPAID",IQ_FY-4), _xll.ciqfunctions.udf.CIQ(A1488, "IQ_TOTAL_DEBT_REPAID",IQ_FY-3))</f>
        <v>0</v>
      </c>
      <c r="O1494" s="15">
        <f t="shared" si="397"/>
        <v>0</v>
      </c>
      <c r="P1494" s="15">
        <f t="shared" si="398"/>
        <v>1.669682338983751</v>
      </c>
      <c r="Q1494" s="18"/>
      <c r="R1494" s="38" t="s">
        <v>29</v>
      </c>
      <c r="S1494" s="4">
        <f>(AVERAGE(P1493:P1498)/_xlfn.STDEV.P(P1493:P1498))/(IF(A1496=A1497,(_xlfn.SINGLE(_xll.ciqfunctions.udf.CIQ(A1488,"IQ_total_assets",IQ_FY)) - _xlfn.SINGLE(_xll.ciqfunctions.udf.CIQ(A1488,"iq_gw_intan", IQ_FY)))/I1498, (_xlfn.SINGLE(_xll.ciqfunctions.udf.CIQ(A1488, "IQ_total_assets",IQ_LTM))-_xlfn.SINGLE(_xll.ciqfunctions.udf.CIQ(A1488,"iq_gw_intan",IQ_LTM)))/I1498))</f>
        <v>0.3243537036782041</v>
      </c>
      <c r="U1494" s="18"/>
      <c r="V1494" s="38" t="s">
        <v>29</v>
      </c>
      <c r="W1494" s="4">
        <f>(AVERAGE(P1493:P1498)/_xlfn.STDEV.P(P1493:P1498))/(IF(A1496=A1497,(_xlfn.SINGLE(_xll.ciqfunctions.udf.CIQ(A1488,"IQ_total_assets",IQ_FY)) - _xlfn.SINGLE(_xll.ciqfunctions.udf.CIQ(A1488,"iq_gw_intan", IQ_FY)))/I1498, (_xlfn.SINGLE(_xll.ciqfunctions.udf.CIQ(A1488, "IQ_total_assets",IQ_LTM))-_xlfn.SINGLE(_xll.ciqfunctions.udf.CIQ(A1488,"iq_gw_intan",IQ_LTM)))/I1498))</f>
        <v>0.3243537036782041</v>
      </c>
      <c r="Y1494" s="18"/>
      <c r="Z1494" s="38" t="s">
        <v>29</v>
      </c>
      <c r="AA1494" s="4">
        <f>(AVERAGE(P1493:P1498)/_xlfn.STDEV.P(P1493:P1498))/(IF(A1496=A1497,(_xlfn.SINGLE(_xll.ciqfunctions.udf.CIQ(A1488,"IQ_total_assets",IQ_FY)) - _xlfn.SINGLE(_xll.ciqfunctions.udf.CIQ(A1488,"iq_gw_intan", IQ_FY)))/I1498, (_xlfn.SINGLE(_xll.ciqfunctions.udf.CIQ(A1488, "IQ_total_assets",IQ_LTM))-_xlfn.SINGLE(_xll.ciqfunctions.udf.CIQ(A1488,"iq_gw_intan",IQ_LTM)))/I1498))</f>
        <v>0.3243537036782041</v>
      </c>
    </row>
    <row r="1495" spans="1:27">
      <c r="A1495" s="18"/>
      <c r="B1495" s="13">
        <v>8</v>
      </c>
      <c r="C1495" s="14" t="s">
        <v>30</v>
      </c>
      <c r="D1495" s="15" cm="1">
        <f t="array" ref="D1495">_xlfn.SINGLE(IF(A1496=A1497,_xll.ciqfunctions.udf.CIQ(A1488,"IQ_TOTAL_REV",IQ_FY-3)/I1495, _xll.ciqfunctions.udf.CIQ(A1488, "IQ_TOTAL_REV",IQ_FY-2)/I1495))</f>
        <v>8.7856951358448381</v>
      </c>
      <c r="E1495" s="16">
        <f t="shared" si="399"/>
        <v>9.7324899500817519E-2</v>
      </c>
      <c r="F1495" s="15">
        <f>IF(A1496=A1497,_xll.ciqfunctions.udf.CIQ(A1488,"IQ_DILUT_EPS_EXCL",IQ_FY-3), _xll.ciqfunctions.udf.CIQ(A1488, "IQ_DILUT_EPS_EXCL",IQ_FY-2))</f>
        <v>1.26</v>
      </c>
      <c r="G1495" s="15">
        <f>IF(A1496=A1497,_xll.ciqfunctions.udf.CIQ(A1488,"IQ_EBITDA_MARGIN",IQ_FY-3), _xll.ciqfunctions.udf.CIQ(A1488, "IQ_EBITDA_MARGIN",IQ_FY-2))</f>
        <v>22.014199999999999</v>
      </c>
      <c r="H1495" s="15">
        <f>IF(A1496=A1497,_xll.ciqfunctions.udf.CIQ(A1488,"IQ_TOTAL_DIV_PAID_CF",IQ_FY-3)/-I1495, _xll.ciqfunctions.udf.CIQ(A1488, "IQ_TOTAL_DIV_PAID_CF",IQ_FY-2)/-I1495)</f>
        <v>0</v>
      </c>
      <c r="I1495" s="17">
        <f>IF(A1496=A1497,_xll.ciqfunctions.udf.CIQ(A1488,"IQ_TOTAL_OUTSTANDING_FILING_DATE",IQ_FY-3), _xll.ciqfunctions.udf.CIQ(A1488, "IQ_TOTAL_OUTSTANDING_FILING_DATE",IQ_FY-2))</f>
        <v>35.583979999999997</v>
      </c>
      <c r="J1495" s="17">
        <f>IF(A1496=A1497,_xll.ciqfunctions.udf.CIQ(A1488,"IQ_CASH_OPER",IQ_FY-3), _xll.ciqfunctions.udf.CIQ(A1488, "IQ_CASH_OPER",IQ_FY-2))</f>
        <v>88.561999999999998</v>
      </c>
      <c r="K1495" s="17">
        <f>IF(A1496=A1497,_xll.ciqfunctions.udf.CIQ(A1488,"IQ_CAPEX",IQ_FY-3), _xll.ciqfunctions.udf.CIQ(A1488, "IQ_CAPEX",IQ_FY-2))</f>
        <v>-16.466999999999999</v>
      </c>
      <c r="L1495" s="15">
        <f t="shared" si="396"/>
        <v>2.0260521729160148</v>
      </c>
      <c r="M1495" s="17">
        <f>IF(A1496=A1497,_xll.ciqfunctions.udf.CIQ(A1488,"IQ_TOTAL_DEBT_ISSUED",IQ_FY-3), _xll.ciqfunctions.udf.CIQ(A1488, "IQ_TOTAL_DEBT_ISSUED",IQ_FY-2))</f>
        <v>0</v>
      </c>
      <c r="N1495" s="17">
        <f>IF(A1496=A1497,_xll.ciqfunctions.udf.CIQ(A1488,"IQ_TOTAL_DEBT_REPAID",IQ_FY-3), _xll.ciqfunctions.udf.CIQ(A1488, "IQ_TOTAL_DEBT_REPAID",IQ_FY-2))</f>
        <v>0</v>
      </c>
      <c r="O1495" s="15">
        <f t="shared" si="397"/>
        <v>0</v>
      </c>
      <c r="P1495" s="15">
        <f t="shared" si="398"/>
        <v>2.0260521729160148</v>
      </c>
      <c r="Q1495" s="18"/>
      <c r="R1495" s="39" t="s">
        <v>31</v>
      </c>
      <c r="S1495" s="5">
        <f>IF(NOT(D1488&gt;0),FALSE,SLOPE(G1488:G1498,B1488:B1498))</f>
        <v>1.55244</v>
      </c>
      <c r="U1495" s="18"/>
      <c r="V1495" s="39" t="s">
        <v>31</v>
      </c>
      <c r="W1495" s="5">
        <f>IF(NOT(D1488&gt;0),FALSE,SLOPE(G1488:G1498,B1488:B1498))</f>
        <v>1.55244</v>
      </c>
      <c r="Y1495" s="18"/>
      <c r="Z1495" s="39" t="s">
        <v>31</v>
      </c>
      <c r="AA1495" s="5">
        <f>IF(NOT(L1488&gt;0),FALSE,SLOPE(O1488:O1498,J1488:J1498))</f>
        <v>0</v>
      </c>
    </row>
    <row r="1496" spans="1:27">
      <c r="A1496" s="19">
        <f>_xll.ciqfunctions.udf.CIQ(A1488,"IQ_TOTAL_REV",IQ_FY)</f>
        <v>450.875</v>
      </c>
      <c r="B1496" s="13">
        <v>9</v>
      </c>
      <c r="C1496" s="14" t="s">
        <v>32</v>
      </c>
      <c r="D1496" s="15" cm="1">
        <f t="array" ref="D1496">_xlfn.SINGLE(IF(A1496=A1497,_xll.ciqfunctions.udf.CIQ(A1488,"IQ_TOTAL_REV",IQ_FY-2)/I1496, _xll.ciqfunctions.udf.CIQ(A1488, "IQ_TOTAL_REV",IQ_FY-1)/I1496))</f>
        <v>10.700621941224291</v>
      </c>
      <c r="E1496" s="16">
        <f t="shared" si="399"/>
        <v>0.21795962365763477</v>
      </c>
      <c r="F1496" s="15">
        <f>IF(A1496=A1497,_xll.ciqfunctions.udf.CIQ(A1488,"IQ_DILUT_EPS_EXCL",IQ_FY-2), _xll.ciqfunctions.udf.CIQ(A1488, "IQ_DILUT_EPS_EXCL",IQ_FY-1))</f>
        <v>1.21</v>
      </c>
      <c r="G1496" s="15">
        <f>IF(A1496=A1497,_xll.ciqfunctions.udf.CIQ(A1488,"IQ_EBITDA_MARGIN",IQ_FY-2), _xll.ciqfunctions.udf.CIQ(A1488, "IQ_EBITDA_MARGIN",IQ_FY-1))</f>
        <v>20.763999999999999</v>
      </c>
      <c r="H1496" s="15">
        <f>IF(A1496=A1497,_xll.ciqfunctions.udf.CIQ(A1488,"IQ_TOTAL_DIV_PAID_CF",IQ_FY-2)/-I1496, _xll.ciqfunctions.udf.CIQ(A1488, "IQ_TOTAL_DIV_PAID_CF",IQ_FY-1)/-I1496)</f>
        <v>0</v>
      </c>
      <c r="I1496" s="17">
        <f>IF(A1496=A1497,_xll.ciqfunctions.udf.CIQ(A1488,"IQ_TOTAL_OUTSTANDING_FILING_DATE",IQ_FY-2), _xll.ciqfunctions.udf.CIQ(A1488, "IQ_TOTAL_OUTSTANDING_FILING_DATE",IQ_FY-1))</f>
        <v>36.005009999999999</v>
      </c>
      <c r="J1496" s="17">
        <f>IF(A1496=A1497,_xll.ciqfunctions.udf.CIQ(A1488,"IQ_CASH_OPER",IQ_FY-2), _xll.ciqfunctions.udf.CIQ(A1488, "IQ_CASH_OPER",IQ_FY-1))</f>
        <v>112.893</v>
      </c>
      <c r="K1496" s="17">
        <f>IF(A1496=A1497,_xll.ciqfunctions.udf.CIQ(A1488,"IQ_CAPEX",IQ_FY-2), _xll.ciqfunctions.udf.CIQ(A1488, "IQ_CAPEX",IQ_FY-1))</f>
        <v>-19.588000000000001</v>
      </c>
      <c r="L1496" s="15">
        <f t="shared" si="396"/>
        <v>2.5914449128051906</v>
      </c>
      <c r="M1496" s="17">
        <f>IF(A1496=A1497,_xll.ciqfunctions.udf.CIQ(A1488,"IQ_TOTAL_DEBT_ISSUED",IQ_FY-2), _xll.ciqfunctions.udf.CIQ(A1488, "IQ_TOTAL_DEBT_ISSUED",IQ_FY-1))</f>
        <v>0</v>
      </c>
      <c r="N1496" s="17">
        <f>IF(A1496=A1497,_xll.ciqfunctions.udf.CIQ(A1488,"IQ_TOTAL_DEBT_REPAID",IQ_FY-2), _xll.ciqfunctions.udf.CIQ(A1488, "IQ_TOTAL_DEBT_REPAID",IQ_FY-1))</f>
        <v>0</v>
      </c>
      <c r="O1496" s="15">
        <f t="shared" si="397"/>
        <v>0</v>
      </c>
      <c r="P1496" s="15">
        <f t="shared" si="398"/>
        <v>2.5914449128051906</v>
      </c>
      <c r="Q1496" s="25" t="s">
        <v>33</v>
      </c>
      <c r="R1496" s="38" t="s">
        <v>52</v>
      </c>
      <c r="S1496" s="4">
        <f>(AVERAGE(O1493:O1498)/AVERAGE(P1493:P1498))</f>
        <v>0</v>
      </c>
      <c r="U1496" s="25" t="s">
        <v>54</v>
      </c>
      <c r="V1496" s="38" t="s">
        <v>52</v>
      </c>
      <c r="W1496" s="4">
        <f>(AVERAGE(O1493:O1498)/AVERAGE(P1493:P1498))</f>
        <v>0</v>
      </c>
      <c r="Y1496" s="25" t="s">
        <v>60</v>
      </c>
      <c r="Z1496" s="38" t="s">
        <v>52</v>
      </c>
      <c r="AA1496" s="4">
        <f>(AVERAGE(O1493:O1498)/AVERAGE(P1493:P1498))</f>
        <v>0</v>
      </c>
    </row>
    <row r="1497" spans="1:27">
      <c r="A1497" s="19">
        <f>_xll.ciqfunctions.udf.CIQ(A1488,"IQ_TOTAL_REV",IQ_LTM)</f>
        <v>513.96299999999997</v>
      </c>
      <c r="B1497" s="13">
        <v>10</v>
      </c>
      <c r="C1497" s="14" t="s">
        <v>34</v>
      </c>
      <c r="D1497" s="15" cm="1">
        <f t="array" ref="D1497">_xlfn.SINGLE(IF(A1496=A1497,_xll.ciqfunctions.udf.CIQ(A1488,"IQ_TOTAL_REV",IQ_FY-1)/I1497, _xll.ciqfunctions.udf.CIQ(A1488, "IQ_TOTAL_REV",IQ_FY)/I1497))</f>
        <v>12.416612139598106</v>
      </c>
      <c r="E1497" s="16">
        <f t="shared" si="399"/>
        <v>0.16036359454612065</v>
      </c>
      <c r="F1497" s="15">
        <f>IF(A1496=A1497,_xll.ciqfunctions.udf.CIQ(A1488,"IQ_DILUT_EPS_EXCL",IQ_FY-1), _xll.ciqfunctions.udf.CIQ(A1488, "IQ_DILUT_EPS_EXCL",IQ_FY))</f>
        <v>1.49</v>
      </c>
      <c r="G1497" s="15">
        <f>IF(A1496=A1497,_xll.ciqfunctions.udf.CIQ(A1488,"IQ_EBITDA_MARGIN",IQ_FY-1), _xll.ciqfunctions.udf.CIQ(A1488, "IQ_EBITDA_MARGIN",IQ_FY))</f>
        <v>22.0395</v>
      </c>
      <c r="H1497" s="15">
        <f>IF(A1496=A1497,_xll.ciqfunctions.udf.CIQ(A1488,"IQ_TOTAL_DIV_PAID_CF",IQ_FY-1)/-I1497, _xll.ciqfunctions.udf.CIQ(A1488, "IQ_TOTAL_DIV_PAID_CF",IQ_FY)/-I1497)</f>
        <v>0</v>
      </c>
      <c r="I1497" s="17">
        <f>IF(A1496=A1497,_xll.ciqfunctions.udf.CIQ(A1488,"IQ_TOTAL_OUTSTANDING_FILING_DATE",IQ_FY-1), _xll.ciqfunctions.udf.CIQ(A1488, "IQ_TOTAL_OUTSTANDING_FILING_DATE",IQ_FY))</f>
        <v>36.312240000000003</v>
      </c>
      <c r="J1497" s="17">
        <f>IF(A1496=A1497,_xll.ciqfunctions.udf.CIQ(A1488,"IQ_CASH_OPER",IQ_FY-1), _xll.ciqfunctions.udf.CIQ(A1488, "IQ_CASH_OPER",IQ_FY))</f>
        <v>100.05200000000001</v>
      </c>
      <c r="K1497" s="17">
        <f>IF(A1496=A1497,_xll.ciqfunctions.udf.CIQ(A1488,"IQ_CAPEX",IQ_FY-1), _xll.ciqfunctions.udf.CIQ(A1488, "IQ_CAPEX",IQ_FY))</f>
        <v>-19.88</v>
      </c>
      <c r="L1497" s="15">
        <f t="shared" si="396"/>
        <v>2.2078505760041245</v>
      </c>
      <c r="M1497" s="17">
        <f>IF(A1496=A1497,_xll.ciqfunctions.udf.CIQ(A1488,"IQ_TOTAL_DEBT_ISSUED",IQ_FY-1), _xll.ciqfunctions.udf.CIQ(A1488, "IQ_TOTAL_DEBT_ISSUED",IQ_FY))</f>
        <v>0</v>
      </c>
      <c r="N1497" s="17">
        <f>IF(A1496=A1497,_xll.ciqfunctions.udf.CIQ(A1488,"IQ_TOTAL_DEBT_REPAID",IQ_FY-1), _xll.ciqfunctions.udf.CIQ(A1488, "IQ_TOTAL_DEBT_REPAID",IQ_FY))</f>
        <v>0</v>
      </c>
      <c r="O1497" s="15">
        <f t="shared" si="397"/>
        <v>0</v>
      </c>
      <c r="P1497" s="15">
        <f t="shared" si="398"/>
        <v>2.2078505760041245</v>
      </c>
      <c r="Q1497" s="25" t="s">
        <v>44</v>
      </c>
      <c r="R1497" s="38" t="s">
        <v>35</v>
      </c>
      <c r="S1497" s="1">
        <f>_xll.ciqfunctions.udf.CIQ(A1488,"IQ_TEV_EBITDA")</f>
        <v>54.625889999999998</v>
      </c>
      <c r="U1497" s="25" t="s">
        <v>55</v>
      </c>
      <c r="V1497" s="38" t="s">
        <v>53</v>
      </c>
      <c r="W1497" s="1">
        <f>V1487/(AVERAGE(D1493:D1498)/_xlfn.STDEV.P(E1493:E1498))</f>
        <v>0.72869274706133846</v>
      </c>
      <c r="Y1497" s="25" t="s">
        <v>57</v>
      </c>
      <c r="Z1497" s="38" t="s">
        <v>53</v>
      </c>
      <c r="AA1497" s="1">
        <f>Z1487/(AVERAGE(D1493:D1498)/_xlfn.STDEV.P(E1493:E1498))</f>
        <v>0.72869274706133846</v>
      </c>
    </row>
    <row r="1498" spans="1:27">
      <c r="B1498" s="13">
        <v>11</v>
      </c>
      <c r="C1498" s="20" t="s">
        <v>36</v>
      </c>
      <c r="D1498" s="21" cm="1">
        <f t="array" ref="D1498">_xlfn.SINGLE(IF(A1496=A1497,_xll.ciqfunctions.udf.CIQ(A1488,"IQ_TOTAL_REV",IQ_FY)/I1498, _xll.ciqfunctions.udf.CIQ(A1488, "IQ_TOTAL_REV",IQ_LTM)/I1498))</f>
        <v>14.005353482147747</v>
      </c>
      <c r="E1498" s="22">
        <f t="shared" si="399"/>
        <v>0.12795288478754593</v>
      </c>
      <c r="F1498" s="21">
        <f>IF(A1496=A1497,_xll.ciqfunctions.udf.CIQ(A1488,"IQ_DILUT_EPS_EXCL",IQ_FY), _xll.ciqfunctions.udf.CIQ(A1488, "IQ_DILUT_EPS_EXCL",IQ_LTM))</f>
        <v>1.6798200000000001</v>
      </c>
      <c r="G1498" s="21">
        <f>IF(A1496=A1497,_xll.ciqfunctions.udf.CIQ(A1488,"IQ_EBITDA_MARGIN",IQ_FY), _xll.ciqfunctions.udf.CIQ(A1488, "IQ_EBITDA_MARGIN",IQ_LTM))</f>
        <v>20.765799999999999</v>
      </c>
      <c r="H1498" s="21">
        <f>IF(A1496=A1497,_xll.ciqfunctions.udf.CIQ(A1488,"IQ_TOTAL_DIV_PAID_CF",IQ_FY)/-I1498, _xll.ciqfunctions.udf.CIQ(A1488, "IQ_TOTAL_DIV_PAID_CF",IQ_LTM)/-I1498)</f>
        <v>0</v>
      </c>
      <c r="I1498" s="23">
        <f>IF(A1496=A1497,_xll.ciqfunctions.udf.CIQ(A1488,"IQ_TOTAL_OUTSTANDING_FILING_DATE",IQ_FY),_xll.ciqfunctions.udf.CIQ(A1488,"IQ_sharesoutstanding"))</f>
        <v>36.697609999999997</v>
      </c>
      <c r="J1498" s="23">
        <f>IF(A1496=A1497,_xll.ciqfunctions.udf.CIQ(A1488,"IQ_CASH_OPER",IQ_FY), _xll.ciqfunctions.udf.CIQ(A1488, "IQ_CASH_OPER",IQ_LTM))</f>
        <v>123.081</v>
      </c>
      <c r="K1498" s="23">
        <f>IF(A1496=A1497,_xll.ciqfunctions.udf.CIQ(A1488,"IQ_CAPEX",IQ_FY), _xll.ciqfunctions.udf.CIQ(A1488, "IQ_CAPEX",IQ_LTM))</f>
        <v>-21.452999999999999</v>
      </c>
      <c r="L1498" s="21">
        <f t="shared" si="396"/>
        <v>2.7693356597336996</v>
      </c>
      <c r="M1498" s="23">
        <f>IF(A1496=A1497,_xll.ciqfunctions.udf.CIQ(A1488,"IQ_TOTAL_DEBT_ISSUED",IQ_FY), _xll.ciqfunctions.udf.CIQ(A1488, "IQ_TOTAL_DEBT_ISSUED",IQ_LTM))</f>
        <v>0</v>
      </c>
      <c r="N1498" s="23">
        <f>IF(A1496=A1497,_xll.ciqfunctions.udf.CIQ(A1488,"IQ_TOTAL_DEBT_REPAID",IQ_FY), _xll.ciqfunctions.udf.CIQ(A1488, "IQ_TOTAL_DEBT_REPAID",IQ_LTM))</f>
        <v>0</v>
      </c>
      <c r="O1498" s="21">
        <f t="shared" si="397"/>
        <v>0</v>
      </c>
      <c r="P1498" s="21">
        <f t="shared" si="398"/>
        <v>2.7693356597336996</v>
      </c>
      <c r="Q1498" s="25" t="s">
        <v>45</v>
      </c>
      <c r="S1498" s="45"/>
      <c r="U1498" s="25"/>
      <c r="W1498" s="45"/>
      <c r="Y1498" s="25"/>
      <c r="AA1498" s="45"/>
    </row>
    <row r="1499" spans="1:27">
      <c r="B1499" s="24"/>
      <c r="C1499" s="25" t="s">
        <v>37</v>
      </c>
      <c r="E1499" s="26">
        <f>((D1498/D1493)^(1/5))-1</f>
        <v>0.14915623631045127</v>
      </c>
      <c r="F1499" s="27">
        <f>((F1498/F1493)^(1/5))-1</f>
        <v>0.19825918590161873</v>
      </c>
      <c r="G1499" s="28"/>
      <c r="H1499" s="27" t="e">
        <f>((H1498/H1493)^(1/5))-1</f>
        <v>#DIV/0!</v>
      </c>
      <c r="I1499" s="27">
        <f>((I1498/I1493)^(1/5))-1</f>
        <v>6.5444077958927149E-3</v>
      </c>
      <c r="J1499" s="27"/>
      <c r="K1499" s="27"/>
      <c r="L1499" s="26">
        <f>((L1498/L1493)^(1/5))-1</f>
        <v>0.18974356797159375</v>
      </c>
      <c r="M1499" s="26"/>
      <c r="N1499" s="26"/>
      <c r="O1499" s="26"/>
      <c r="P1499" s="26">
        <f>((P1498/P1493)^(1/5))-1</f>
        <v>0.18974356797159375</v>
      </c>
      <c r="Q1499" s="18"/>
      <c r="R1499" s="36"/>
      <c r="S1499" s="45"/>
      <c r="U1499" s="18"/>
      <c r="V1499" s="36"/>
      <c r="W1499" s="45"/>
      <c r="Y1499" s="18"/>
      <c r="Z1499" s="36"/>
      <c r="AA1499" s="45"/>
    </row>
    <row r="1500" spans="1:27">
      <c r="A1500" s="29"/>
      <c r="B1500" s="30"/>
      <c r="C1500" s="31" t="s">
        <v>38</v>
      </c>
      <c r="D1500" s="29"/>
      <c r="E1500" s="32">
        <f>((D1498/D1488)^(1/10))-1</f>
        <v>0.15783406314551329</v>
      </c>
      <c r="F1500" s="33">
        <f>((F1498/F1488)^(1/10))-1</f>
        <v>0.47453924834082795</v>
      </c>
      <c r="G1500" s="34"/>
      <c r="H1500" s="33" t="e">
        <f>((H1498/H1488)^(1/10))-1</f>
        <v>#DIV/0!</v>
      </c>
      <c r="I1500" s="33">
        <f>((I1498/I1488)^(1/10))-1</f>
        <v>1.2932620808084216E-2</v>
      </c>
      <c r="J1500" s="33"/>
      <c r="K1500" s="33"/>
      <c r="L1500" s="32">
        <f>((L1498/L1488)^(1/10))-1</f>
        <v>0.21698184858558123</v>
      </c>
      <c r="M1500" s="32"/>
      <c r="N1500" s="32"/>
      <c r="O1500" s="32"/>
      <c r="P1500" s="32">
        <f>((P1498/P1488)^(1/10))-1</f>
        <v>0.21698184858558123</v>
      </c>
      <c r="Q1500" s="40"/>
      <c r="R1500" s="41"/>
      <c r="S1500" s="46"/>
      <c r="U1500" s="40"/>
      <c r="V1500" s="41"/>
      <c r="W1500" s="46"/>
      <c r="Y1500" s="40"/>
      <c r="Z1500" s="41"/>
      <c r="AA1500" s="46"/>
    </row>
    <row r="1501" spans="1:27">
      <c r="B1501" s="24"/>
      <c r="C1501" s="25"/>
      <c r="E1501" s="26"/>
      <c r="F1501" s="27"/>
      <c r="G1501" s="28"/>
      <c r="H1501" s="27"/>
      <c r="I1501" s="27"/>
      <c r="J1501" s="27"/>
      <c r="K1501" s="27"/>
      <c r="L1501" s="26"/>
      <c r="M1501" s="17"/>
      <c r="N1501" s="17"/>
      <c r="O1501" s="17"/>
      <c r="P1501" s="35"/>
      <c r="Q1501" s="18"/>
      <c r="R1501" s="36"/>
    </row>
    <row r="1502" spans="1:27">
      <c r="A1502" s="9" t="s">
        <v>0</v>
      </c>
      <c r="B1502" s="10"/>
      <c r="C1502" s="9" t="s">
        <v>1</v>
      </c>
      <c r="D1502" s="9" t="s">
        <v>2</v>
      </c>
      <c r="E1502" s="9" t="s">
        <v>3</v>
      </c>
      <c r="F1502" s="11" t="s">
        <v>4</v>
      </c>
      <c r="G1502" s="11" t="s">
        <v>5</v>
      </c>
      <c r="H1502" s="9" t="s">
        <v>6</v>
      </c>
      <c r="I1502" s="11" t="s">
        <v>7</v>
      </c>
      <c r="J1502" s="11" t="s">
        <v>8</v>
      </c>
      <c r="K1502" s="11" t="s">
        <v>9</v>
      </c>
      <c r="L1502" s="11" t="s">
        <v>10</v>
      </c>
      <c r="M1502" s="11" t="s">
        <v>11</v>
      </c>
      <c r="N1502" s="11" t="s">
        <v>12</v>
      </c>
      <c r="O1502" s="11" t="s">
        <v>13</v>
      </c>
      <c r="P1502" s="11" t="s">
        <v>14</v>
      </c>
      <c r="Q1502" s="37" t="s">
        <v>15</v>
      </c>
      <c r="R1502" s="42">
        <f>_xll.ciqfunctions.udf.CIQ(A1503,("IQ_LASTSALEPRICE"))</f>
        <v>0</v>
      </c>
      <c r="S1502" s="44"/>
      <c r="U1502" s="37" t="s">
        <v>15</v>
      </c>
      <c r="V1502" s="42">
        <f>_xll.ciqfunctions.udf.CIQ(A1503,("IQ_LASTSALEPRICE"))</f>
        <v>0</v>
      </c>
      <c r="W1502" s="44"/>
      <c r="Y1502" s="37" t="s">
        <v>15</v>
      </c>
      <c r="Z1502" s="42">
        <f>_xll.ciqfunctions.udf.CIQ(A1503,("IQ_LASTSALEPRICE"))</f>
        <v>0</v>
      </c>
      <c r="AA1502" s="44"/>
    </row>
    <row r="1503" spans="1:27">
      <c r="A1503" s="12" t="s">
        <v>675</v>
      </c>
      <c r="B1503" s="13">
        <v>1</v>
      </c>
      <c r="C1503" s="14" t="s">
        <v>16</v>
      </c>
      <c r="D1503" s="15">
        <f>IF(A1511=A1512,_xll.ciqfunctions.udf.CIQ(A1503,"IQ_TOTAL_REV",IQ_FY-10)/I1503,_xll.ciqfunctions.udf.CIQ(A1503, "IQ_TOTAL_REV",IQ_FY-9)/I1503)</f>
        <v>9.3035585521538433</v>
      </c>
      <c r="E1503" s="16"/>
      <c r="F1503" s="15">
        <f>IF(A1511=A1512,_xll.ciqfunctions.udf.CIQ(A1503,"IQ_DILUT_EPS_EXCL",IQ_FY-10), _xll.ciqfunctions.udf.CIQ(A1503, "IQ_DILUT_EPS_EXCL",IQ_FY-9))</f>
        <v>0.64</v>
      </c>
      <c r="G1503" s="15">
        <f>IF(A1511=A1512,_xll.ciqfunctions.udf.CIQ(A1503,"IQ_EBITDA_MARGIN",IQ_FY-10), _xll.ciqfunctions.udf.CIQ(A1503, "IQ_EBITDA_MARGIN",IQ_FY-9))</f>
        <v>12.901199999999999</v>
      </c>
      <c r="H1503" s="15">
        <f>IF(A1511=A1512,_xll.ciqfunctions.udf.CIQ(A1503,"IQ_TOTAL_DIV_PAID_CF",IQ_FY-10)/-I1503, _xll.ciqfunctions.udf.CIQ(A1503, "IQ_TOTAL_DIV_PAID_CF",IQ_FY-9)/-I1503)</f>
        <v>0.55363154874648979</v>
      </c>
      <c r="I1503" s="17">
        <f>IF(A1511=A1512,_xll.ciqfunctions.udf.CIQ(A1503,"IQ_TOTAL_OUTSTANDING_FILING_DATE",IQ_FY-10), _xll.ciqfunctions.udf.CIQ(A1503, "IQ_TOTAL_OUTSTANDING_FILING_DATE",IQ_FY-9))</f>
        <v>126.03328</v>
      </c>
      <c r="J1503" s="17">
        <f>IF(A1511=A1512,_xll.ciqfunctions.udf.CIQ(A1503,"IQ_CASH_OPER",IQ_FY-10), _xll.ciqfunctions.udf.CIQ(A1503, "IQ_CASH_OPER",IQ_FY-9))</f>
        <v>169.47900000000001</v>
      </c>
      <c r="K1503" s="17">
        <f>IF(A1511=A1512,_xll.ciqfunctions.udf.CIQ(A1503,"IQ_CAPEX",IQ_FY-10), _xll.ciqfunctions.udf.CIQ(A1503, "IQ_CAPEX",IQ_FY-9))</f>
        <v>-47.795999999999999</v>
      </c>
      <c r="L1503" s="15">
        <f t="shared" ref="L1503:L1513" si="400">(J1503+K1503)/I1503</f>
        <v>0.96548308510260161</v>
      </c>
      <c r="M1503" s="17">
        <f>IF(A1511=A1512,_xll.ciqfunctions.udf.CIQ(A1503,"IQ_TOTAL_DEBT_ISSUED",IQ_FY-10), _xll.ciqfunctions.udf.CIQ(A1503, "IQ_TOTAL_DEBT_ISSUED",IQ_FY-9))</f>
        <v>0</v>
      </c>
      <c r="N1503" s="17">
        <f>IF(A1511=A1512,_xll.ciqfunctions.udf.CIQ(A1503,"IQ_TOTAL_DEBT_REPAID",IQ_FY-10), _xll.ciqfunctions.udf.CIQ(A1503, "IQ_TOTAL_DEBT_REPAID",IQ_FY-9))</f>
        <v>0</v>
      </c>
      <c r="O1503" s="15">
        <f t="shared" ref="O1503:O1513" si="401">(M1503+N1503)/I1503</f>
        <v>0</v>
      </c>
      <c r="P1503" s="15">
        <f t="shared" ref="P1503:P1513" si="402">L1503+O1503</f>
        <v>0.96548308510260161</v>
      </c>
      <c r="W1503" s="43"/>
      <c r="AA1503" s="43"/>
    </row>
    <row r="1504" spans="1:27">
      <c r="A1504" s="18" t="str">
        <f>_xll.ciqfunctions.udf.CIQ(A1503,"IQ_COMPANY_NAME")</f>
        <v>National Instruments Corporation</v>
      </c>
      <c r="B1504" s="13">
        <v>2</v>
      </c>
      <c r="C1504" s="14" t="s">
        <v>17</v>
      </c>
      <c r="D1504" s="15">
        <f>IF(A1511=A1512,_xll.ciqfunctions.udf.CIQ(A1503,"IQ_TOTAL_REV",IQ_FY-9)/I1504, _xll.ciqfunctions.udf.CIQ(A1503, "IQ_TOTAL_REV",IQ_FY-8)/I1504)</f>
        <v>9.7072509893870986</v>
      </c>
      <c r="E1504" s="16">
        <f t="shared" ref="E1504:E1513" si="403">(D1504-D1503)/D1503</f>
        <v>4.3391185745780846E-2</v>
      </c>
      <c r="F1504" s="15">
        <f>IF(A1511=A1512,_xll.ciqfunctions.udf.CIQ(A1503,"IQ_DILUT_EPS_EXCL",IQ_FY-9), _xll.ciqfunctions.udf.CIQ(A1503, "IQ_DILUT_EPS_EXCL",IQ_FY-8))</f>
        <v>0.99</v>
      </c>
      <c r="G1504" s="15">
        <f>IF(A1511=A1512,_xll.ciqfunctions.udf.CIQ(A1503,"IQ_EBITDA_MARGIN",IQ_FY-9), _xll.ciqfunctions.udf.CIQ(A1503, "IQ_EBITDA_MARGIN",IQ_FY-8))</f>
        <v>16.110499999999998</v>
      </c>
      <c r="H1504" s="15">
        <f>IF(A1511=A1512,_xll.ciqfunctions.udf.CIQ(A1503,"IQ_TOTAL_DIV_PAID_CF",IQ_FY-9)/-I1504, _xll.ciqfunctions.udf.CIQ(A1503, "IQ_TOTAL_DIV_PAID_CF",IQ_FY-8)/-I1504)</f>
        <v>0.5953530666805269</v>
      </c>
      <c r="I1504" s="17">
        <f>IF(A1511=A1512,_xll.ciqfunctions.udf.CIQ(A1503,"IQ_TOTAL_OUTSTANDING_FILING_DATE",IQ_FY-9), _xll.ciqfunctions.udf.CIQ(A1503, "IQ_TOTAL_OUTSTANDING_FILING_DATE",IQ_FY-8))</f>
        <v>128.13740999999999</v>
      </c>
      <c r="J1504" s="17">
        <f>IF(A1511=A1512,_xll.ciqfunctions.udf.CIQ(A1503,"IQ_CASH_OPER",IQ_FY-9), _xll.ciqfunctions.udf.CIQ(A1503, "IQ_CASH_OPER",IQ_FY-8))</f>
        <v>195.11</v>
      </c>
      <c r="K1504" s="17">
        <f>IF(A1511=A1512,_xll.ciqfunctions.udf.CIQ(A1503,"IQ_CAPEX",IQ_FY-9), _xll.ciqfunctions.udf.CIQ(A1503, "IQ_CAPEX",IQ_FY-8))</f>
        <v>-44.944000000000003</v>
      </c>
      <c r="L1504" s="15">
        <f t="shared" si="400"/>
        <v>1.1719138072167996</v>
      </c>
      <c r="M1504" s="17">
        <f>IF(A1511=A1512,_xll.ciqfunctions.udf.CIQ(A1503,"IQ_TOTAL_DEBT_ISSUED",IQ_FY-9), _xll.ciqfunctions.udf.CIQ(A1503, "IQ_TOTAL_DEBT_ISSUED",IQ_FY-8))</f>
        <v>0</v>
      </c>
      <c r="N1504" s="17">
        <f>IF(A1511=A1512,_xll.ciqfunctions.udf.CIQ(A1503,"IQ_TOTAL_DEBT_REPAID",IQ_FY-9), _xll.ciqfunctions.udf.CIQ(A1503, "IQ_TOTAL_DEBT_REPAID",IQ_FY-8))</f>
        <v>0</v>
      </c>
      <c r="O1504" s="15">
        <f t="shared" si="401"/>
        <v>0</v>
      </c>
      <c r="P1504" s="15">
        <f t="shared" si="402"/>
        <v>1.1719138072167996</v>
      </c>
      <c r="Q1504" s="25" t="s">
        <v>18</v>
      </c>
      <c r="R1504" s="39" t="s">
        <v>19</v>
      </c>
      <c r="S1504" s="1" t="e">
        <f>R1502/((AVERAGE(P1508:P1513))*(1+E1514)^3)</f>
        <v>#DIV/0!</v>
      </c>
      <c r="U1504" s="25" t="s">
        <v>48</v>
      </c>
      <c r="V1504" s="39" t="s">
        <v>19</v>
      </c>
      <c r="W1504" s="1" t="e">
        <f>V1502/((AVERAGE(P1508:P1513))*(1+E1514)^3)</f>
        <v>#DIV/0!</v>
      </c>
      <c r="Y1504" s="25" t="s">
        <v>39</v>
      </c>
      <c r="Z1504" s="39" t="s">
        <v>19</v>
      </c>
      <c r="AA1504" s="1" t="e">
        <f>Z1502/((AVERAGE(P1508:P1513))*(1+E1514)^3)</f>
        <v>#DIV/0!</v>
      </c>
    </row>
    <row r="1505" spans="1:27">
      <c r="B1505" s="13">
        <v>3</v>
      </c>
      <c r="C1505" s="14" t="s">
        <v>20</v>
      </c>
      <c r="D1505" s="15" cm="1">
        <f t="array" ref="D1505">_xlfn.SINGLE(IF(A1511=A1512,_xll.ciqfunctions.udf.CIQ(A1503,"IQ_TOTAL_REV",IQ_FY-8)/I1505, _xll.ciqfunctions.udf.CIQ(A1503, "IQ_TOTAL_REV",IQ_FY-7)/I1505))</f>
        <v>9.5905032843272711</v>
      </c>
      <c r="E1505" s="16">
        <f t="shared" si="403"/>
        <v>-1.2026855511150108E-2</v>
      </c>
      <c r="F1505" s="15">
        <f>IF(A1511=A1512,_xll.ciqfunctions.udf.CIQ(A1503,"IQ_DILUT_EPS_EXCL",IQ_FY-8), _xll.ciqfunctions.udf.CIQ(A1503, "IQ_DILUT_EPS_EXCL",IQ_FY-7))</f>
        <v>0.74</v>
      </c>
      <c r="G1505" s="15">
        <f>IF(A1511=A1512,_xll.ciqfunctions.udf.CIQ(A1503,"IQ_EBITDA_MARGIN",IQ_FY-8), _xll.ciqfunctions.udf.CIQ(A1503, "IQ_EBITDA_MARGIN",IQ_FY-7))</f>
        <v>15.708500000000001</v>
      </c>
      <c r="H1505" s="15">
        <f>IF(A1511=A1512,_xll.ciqfunctions.udf.CIQ(A1503,"IQ_TOTAL_DIV_PAID_CF",IQ_FY-8)/-I1505, _xll.ciqfunctions.udf.CIQ(A1503, "IQ_TOTAL_DIV_PAID_CF",IQ_FY-7)/-I1505)</f>
        <v>0.7641608610929872</v>
      </c>
      <c r="I1505" s="17">
        <f>IF(A1511=A1512,_xll.ciqfunctions.udf.CIQ(A1503,"IQ_TOTAL_OUTSTANDING_FILING_DATE",IQ_FY-8), _xll.ciqfunctions.udf.CIQ(A1503, "IQ_TOTAL_OUTSTANDING_FILING_DATE",IQ_FY-7))</f>
        <v>127.77807</v>
      </c>
      <c r="J1505" s="17">
        <f>IF(A1511=A1512,_xll.ciqfunctions.udf.CIQ(A1503,"IQ_CASH_OPER",IQ_FY-8), _xll.ciqfunctions.udf.CIQ(A1503, "IQ_CASH_OPER",IQ_FY-7))</f>
        <v>169.065</v>
      </c>
      <c r="K1505" s="17">
        <f>IF(A1511=A1512,_xll.ciqfunctions.udf.CIQ(A1503,"IQ_CAPEX",IQ_FY-8), _xll.ciqfunctions.udf.CIQ(A1503, "IQ_CAPEX",IQ_FY-7))</f>
        <v>-33.987000000000002</v>
      </c>
      <c r="L1505" s="15">
        <f t="shared" si="400"/>
        <v>1.0571297563032529</v>
      </c>
      <c r="M1505" s="17">
        <f>IF(A1511=A1512,_xll.ciqfunctions.udf.CIQ(A1503,"IQ_TOTAL_DEBT_ISSUED",IQ_FY-8), _xll.ciqfunctions.udf.CIQ(A1503, "IQ_TOTAL_DEBT_ISSUED",IQ_FY-7))</f>
        <v>54</v>
      </c>
      <c r="N1505" s="17">
        <f>IF(A1511=A1512,_xll.ciqfunctions.udf.CIQ(A1503,"IQ_TOTAL_DEBT_REPAID",IQ_FY-8), _xll.ciqfunctions.udf.CIQ(A1503, "IQ_TOTAL_DEBT_REPAID",IQ_FY-7))</f>
        <v>-17</v>
      </c>
      <c r="O1505" s="15">
        <f t="shared" si="401"/>
        <v>0.28956455516975643</v>
      </c>
      <c r="P1505" s="15">
        <f t="shared" si="402"/>
        <v>1.3466943114730094</v>
      </c>
      <c r="Q1505" s="25" t="s">
        <v>21</v>
      </c>
      <c r="R1505" s="38" t="s">
        <v>49</v>
      </c>
      <c r="S1505" s="2">
        <f>(R1502*I1513)/1000</f>
        <v>0</v>
      </c>
      <c r="U1505" s="25" t="s">
        <v>59</v>
      </c>
      <c r="V1505" s="38" t="s">
        <v>49</v>
      </c>
      <c r="W1505" s="2">
        <f>(V1502*I1513)/1000</f>
        <v>0</v>
      </c>
      <c r="Y1505" s="25" t="s">
        <v>46</v>
      </c>
      <c r="Z1505" s="38" t="s">
        <v>49</v>
      </c>
      <c r="AA1505" s="2">
        <f>(Z1502*I1513)/1000</f>
        <v>0</v>
      </c>
    </row>
    <row r="1506" spans="1:27">
      <c r="A1506" s="18"/>
      <c r="B1506" s="13">
        <v>4</v>
      </c>
      <c r="C1506" s="14" t="s">
        <v>22</v>
      </c>
      <c r="D1506" s="15" cm="1">
        <f t="array" ref="D1506">_xlfn.SINGLE(IF(A1511=A1512,_xll.ciqfunctions.udf.CIQ(A1503,"IQ_TOTAL_REV",IQ_FY-7)/I1506, _xll.ciqfunctions.udf.CIQ(A1503, "IQ_TOTAL_REV",IQ_FY-6)/I1506))</f>
        <v>9.481866065000764</v>
      </c>
      <c r="E1506" s="16">
        <f t="shared" si="403"/>
        <v>-1.1327582724885897E-2</v>
      </c>
      <c r="F1506" s="15">
        <f>IF(A1511=A1512,_xll.ciqfunctions.udf.CIQ(A1503,"IQ_DILUT_EPS_EXCL",IQ_FY-7), _xll.ciqfunctions.udf.CIQ(A1503, "IQ_DILUT_EPS_EXCL",IQ_FY-6))</f>
        <v>0.64</v>
      </c>
      <c r="G1506" s="15">
        <f>IF(A1511=A1512,_xll.ciqfunctions.udf.CIQ(A1503,"IQ_EBITDA_MARGIN",IQ_FY-7), _xll.ciqfunctions.udf.CIQ(A1503, "IQ_EBITDA_MARGIN",IQ_FY-6))</f>
        <v>14.1767</v>
      </c>
      <c r="H1506" s="15">
        <f>IF(A1511=A1512,_xll.ciqfunctions.udf.CIQ(A1503,"IQ_TOTAL_DIV_PAID_CF",IQ_FY-7)/-I1506, _xll.ciqfunctions.udf.CIQ(A1503, "IQ_TOTAL_DIV_PAID_CF",IQ_FY-6)/-I1506)</f>
        <v>0.79439200026248913</v>
      </c>
      <c r="I1506" s="17">
        <f>IF(A1511=A1512,_xll.ciqfunctions.udf.CIQ(A1503,"IQ_TOTAL_OUTSTANDING_FILING_DATE",IQ_FY-7), _xll.ciqfunctions.udf.CIQ(A1503, "IQ_TOTAL_OUTSTANDING_FILING_DATE",IQ_FY-6))</f>
        <v>129.52924999999999</v>
      </c>
      <c r="J1506" s="17">
        <f>IF(A1511=A1512,_xll.ciqfunctions.udf.CIQ(A1503,"IQ_CASH_OPER",IQ_FY-7), _xll.ciqfunctions.udf.CIQ(A1503, "IQ_CASH_OPER",IQ_FY-6))</f>
        <v>200.19900000000001</v>
      </c>
      <c r="K1506" s="17">
        <f>IF(A1511=A1512,_xll.ciqfunctions.udf.CIQ(A1503,"IQ_CAPEX",IQ_FY-7), _xll.ciqfunctions.udf.CIQ(A1503, "IQ_CAPEX",IQ_FY-6))</f>
        <v>-44.424999999999997</v>
      </c>
      <c r="L1506" s="15">
        <f t="shared" si="400"/>
        <v>1.2026163974546291</v>
      </c>
      <c r="M1506" s="17">
        <f>IF(A1511=A1512,_xll.ciqfunctions.udf.CIQ(A1503,"IQ_TOTAL_DEBT_ISSUED",IQ_FY-7), _xll.ciqfunctions.udf.CIQ(A1503, "IQ_TOTAL_DEBT_ISSUED",IQ_FY-6))</f>
        <v>15</v>
      </c>
      <c r="N1506" s="17">
        <f>IF(A1511=A1512,_xll.ciqfunctions.udf.CIQ(A1503,"IQ_TOTAL_DEBT_REPAID",IQ_FY-7), _xll.ciqfunctions.udf.CIQ(A1503, "IQ_TOTAL_DEBT_REPAID",IQ_FY-6))</f>
        <v>-27</v>
      </c>
      <c r="O1506" s="15">
        <f t="shared" si="401"/>
        <v>-9.2643167469895801E-2</v>
      </c>
      <c r="P1506" s="15">
        <f t="shared" si="402"/>
        <v>1.1099732299847334</v>
      </c>
      <c r="Q1506" s="25" t="s">
        <v>23</v>
      </c>
      <c r="R1506" s="38" t="s">
        <v>24</v>
      </c>
      <c r="S1506" s="1" t="e">
        <f>R1502/(AVERAGE(H1508:H1513)*(1+H1514)/(0.5-H1514))</f>
        <v>#DIV/0!</v>
      </c>
      <c r="U1506" s="25" t="s">
        <v>40</v>
      </c>
      <c r="V1506" s="38" t="s">
        <v>24</v>
      </c>
      <c r="W1506" s="1" t="e">
        <f>V1502/(AVERAGE(H1508:H1513)*(1+H1514)/(0.5-H1514))</f>
        <v>#DIV/0!</v>
      </c>
      <c r="Y1506" s="25" t="s">
        <v>47</v>
      </c>
      <c r="Z1506" s="38" t="s">
        <v>24</v>
      </c>
      <c r="AA1506" s="1" t="e">
        <f>Z1502/(AVERAGE(H1508:H1513)*(1+H1514)/(0.5-H1514))</f>
        <v>#DIV/0!</v>
      </c>
    </row>
    <row r="1507" spans="1:27">
      <c r="B1507" s="13">
        <v>5</v>
      </c>
      <c r="C1507" s="14" t="s">
        <v>25</v>
      </c>
      <c r="D1507" s="15" cm="1">
        <f t="array" ref="D1507">_xlfn.SINGLE(IF(A1511=A1512,_xll.ciqfunctions.udf.CIQ(A1503,"IQ_TOTAL_REV",IQ_FY-6)/I1507, _xll.ciqfunctions.udf.CIQ(A1503, "IQ_TOTAL_REV",IQ_FY-5)/I1507))</f>
        <v>9.8272776605733938</v>
      </c>
      <c r="E1507" s="16">
        <f t="shared" si="403"/>
        <v>3.642865161822996E-2</v>
      </c>
      <c r="F1507" s="15">
        <f>IF(A1511=A1512,_xll.ciqfunctions.udf.CIQ(A1503,"IQ_DILUT_EPS_EXCL",IQ_FY-6), _xll.ciqfunctions.udf.CIQ(A1503, "IQ_DILUT_EPS_EXCL",IQ_FY-5))</f>
        <v>0.4</v>
      </c>
      <c r="G1507" s="15">
        <f>IF(A1511=A1512,_xll.ciqfunctions.udf.CIQ(A1503,"IQ_EBITDA_MARGIN",IQ_FY-6), _xll.ciqfunctions.udf.CIQ(A1503, "IQ_EBITDA_MARGIN",IQ_FY-5))</f>
        <v>16.5611</v>
      </c>
      <c r="H1507" s="15">
        <f>IF(A1511=A1512,_xll.ciqfunctions.udf.CIQ(A1503,"IQ_TOTAL_DIV_PAID_CF",IQ_FY-6)/-I1507, _xll.ciqfunctions.udf.CIQ(A1503, "IQ_TOTAL_DIV_PAID_CF",IQ_FY-5)/-I1507)</f>
        <v>0.83496183066473173</v>
      </c>
      <c r="I1507" s="17">
        <f>IF(A1511=A1512,_xll.ciqfunctions.udf.CIQ(A1503,"IQ_TOTAL_OUTSTANDING_FILING_DATE",IQ_FY-6), _xll.ciqfunctions.udf.CIQ(A1503, "IQ_TOTAL_OUTSTANDING_FILING_DATE",IQ_FY-5))</f>
        <v>131.20480000000001</v>
      </c>
      <c r="J1507" s="17">
        <f>IF(A1511=A1512,_xll.ciqfunctions.udf.CIQ(A1503,"IQ_CASH_OPER",IQ_FY-6), _xll.ciqfunctions.udf.CIQ(A1503, "IQ_CASH_OPER",IQ_FY-5))</f>
        <v>224.44200000000001</v>
      </c>
      <c r="K1507" s="17">
        <f>IF(A1511=A1512,_xll.ciqfunctions.udf.CIQ(A1503,"IQ_CAPEX",IQ_FY-6), _xll.ciqfunctions.udf.CIQ(A1503, "IQ_CAPEX",IQ_FY-5))</f>
        <v>-30.256</v>
      </c>
      <c r="L1507" s="15">
        <f t="shared" si="400"/>
        <v>1.4800220723632063</v>
      </c>
      <c r="M1507" s="17">
        <f>IF(A1511=A1512,_xll.ciqfunctions.udf.CIQ(A1503,"IQ_TOTAL_DEBT_ISSUED",IQ_FY-6), _xll.ciqfunctions.udf.CIQ(A1503, "IQ_TOTAL_DEBT_ISSUED",IQ_FY-5))</f>
        <v>0</v>
      </c>
      <c r="N1507" s="17">
        <f>IF(A1511=A1512,_xll.ciqfunctions.udf.CIQ(A1503,"IQ_TOTAL_DEBT_REPAID",IQ_FY-6), _xll.ciqfunctions.udf.CIQ(A1503, "IQ_TOTAL_DEBT_REPAID",IQ_FY-5))</f>
        <v>-25</v>
      </c>
      <c r="O1507" s="15">
        <f t="shared" si="401"/>
        <v>-0.19054180944599586</v>
      </c>
      <c r="P1507" s="15">
        <f t="shared" si="402"/>
        <v>1.2894802629172104</v>
      </c>
      <c r="Q1507" s="18"/>
      <c r="R1507" s="38" t="s">
        <v>50</v>
      </c>
      <c r="S1507" s="3">
        <f>I1514</f>
        <v>-1</v>
      </c>
      <c r="U1507" s="18"/>
      <c r="V1507" s="38" t="s">
        <v>50</v>
      </c>
      <c r="W1507" s="3">
        <f>I1514</f>
        <v>-1</v>
      </c>
      <c r="Y1507" s="18"/>
      <c r="Z1507" s="38" t="s">
        <v>50</v>
      </c>
      <c r="AA1507" s="3">
        <f>I1514</f>
        <v>-1</v>
      </c>
    </row>
    <row r="1508" spans="1:27">
      <c r="B1508" s="13">
        <v>6</v>
      </c>
      <c r="C1508" s="14" t="s">
        <v>26</v>
      </c>
      <c r="D1508" s="15" cm="1">
        <f t="array" ref="D1508">_xlfn.SINGLE(IF(A1511=A1512,_xll.ciqfunctions.udf.CIQ(A1503,"IQ_TOTAL_REV",IQ_FY-5)/I1508, _xll.ciqfunctions.udf.CIQ(A1503, "IQ_TOTAL_REV",IQ_FY-4)/I1508))</f>
        <v>10.277652669948946</v>
      </c>
      <c r="E1508" s="16">
        <f t="shared" si="403"/>
        <v>4.5829071379802043E-2</v>
      </c>
      <c r="F1508" s="15">
        <f>IF(A1511=A1512,_xll.ciqfunctions.udf.CIQ(A1503,"IQ_DILUT_EPS_EXCL",IQ_FY-5), _xll.ciqfunctions.udf.CIQ(A1503, "IQ_DILUT_EPS_EXCL",IQ_FY-4))</f>
        <v>1.1599999999999999</v>
      </c>
      <c r="G1508" s="15">
        <f>IF(A1511=A1512,_xll.ciqfunctions.udf.CIQ(A1503,"IQ_EBITDA_MARGIN",IQ_FY-5), _xll.ciqfunctions.udf.CIQ(A1503, "IQ_EBITDA_MARGIN",IQ_FY-4))</f>
        <v>16.969799999999999</v>
      </c>
      <c r="H1508" s="15">
        <f>IF(A1511=A1512,_xll.ciqfunctions.udf.CIQ(A1503,"IQ_TOTAL_DIV_PAID_CF",IQ_FY-5)/-I1508, _xll.ciqfunctions.udf.CIQ(A1503, "IQ_TOTAL_DIV_PAID_CF",IQ_FY-4)/-I1508)</f>
        <v>0.91905353751334307</v>
      </c>
      <c r="I1508" s="17">
        <f>IF(A1511=A1512,_xll.ciqfunctions.udf.CIQ(A1503,"IQ_TOTAL_OUTSTANDING_FILING_DATE",IQ_FY-5), _xll.ciqfunctions.udf.CIQ(A1503, "IQ_TOTAL_OUTSTANDING_FILING_DATE",IQ_FY-4))</f>
        <v>132.24148</v>
      </c>
      <c r="J1508" s="17">
        <f>IF(A1511=A1512,_xll.ciqfunctions.udf.CIQ(A1503,"IQ_CASH_OPER",IQ_FY-5), _xll.ciqfunctions.udf.CIQ(A1503, "IQ_CASH_OPER",IQ_FY-4))</f>
        <v>274.58</v>
      </c>
      <c r="K1508" s="17">
        <f>IF(A1511=A1512,_xll.ciqfunctions.udf.CIQ(A1503,"IQ_CAPEX",IQ_FY-5), _xll.ciqfunctions.udf.CIQ(A1503, "IQ_CAPEX",IQ_FY-4))</f>
        <v>-34.658999999999999</v>
      </c>
      <c r="L1508" s="15">
        <f t="shared" si="400"/>
        <v>1.8142643291651002</v>
      </c>
      <c r="M1508" s="17">
        <f>IF(A1511=A1512,_xll.ciqfunctions.udf.CIQ(A1503,"IQ_TOTAL_DEBT_ISSUED",IQ_FY-5), _xll.ciqfunctions.udf.CIQ(A1503, "IQ_TOTAL_DEBT_ISSUED",IQ_FY-4))</f>
        <v>0</v>
      </c>
      <c r="N1508" s="17">
        <f>IF(A1511=A1512,_xll.ciqfunctions.udf.CIQ(A1503,"IQ_TOTAL_DEBT_REPAID",IQ_FY-5), _xll.ciqfunctions.udf.CIQ(A1503, "IQ_TOTAL_DEBT_REPAID",IQ_FY-4))</f>
        <v>0</v>
      </c>
      <c r="O1508" s="15">
        <f t="shared" si="401"/>
        <v>0</v>
      </c>
      <c r="P1508" s="15">
        <f t="shared" si="402"/>
        <v>1.8142643291651002</v>
      </c>
      <c r="Q1508" s="25" t="s">
        <v>27</v>
      </c>
      <c r="R1508" s="38" t="s">
        <v>51</v>
      </c>
      <c r="S1508" s="4" t="e">
        <f>AVERAGE(F1508:F1513)/AVERAGE(D1508:D1513)</f>
        <v>#DIV/0!</v>
      </c>
      <c r="U1508" s="25" t="s">
        <v>58</v>
      </c>
      <c r="V1508" s="38" t="s">
        <v>51</v>
      </c>
      <c r="W1508" s="4" t="e">
        <f>AVERAGE(F1508:F1513)/AVERAGE(D1508:D1513)</f>
        <v>#DIV/0!</v>
      </c>
      <c r="Y1508" s="25" t="s">
        <v>56</v>
      </c>
      <c r="Z1508" s="38" t="s">
        <v>51</v>
      </c>
      <c r="AA1508" s="4" t="e">
        <f>AVERAGE(F1508:F1513)/AVERAGE(D1508:D1513)</f>
        <v>#DIV/0!</v>
      </c>
    </row>
    <row r="1509" spans="1:27">
      <c r="A1509" s="18"/>
      <c r="B1509" s="13">
        <v>7</v>
      </c>
      <c r="C1509" s="14" t="s">
        <v>28</v>
      </c>
      <c r="D1509" s="15" cm="1">
        <f t="array" ref="D1509">_xlfn.SINGLE(IF(A1511=A1512,_xll.ciqfunctions.udf.CIQ(A1503,"IQ_TOTAL_REV",IQ_FY-4)/I1509, _xll.ciqfunctions.udf.CIQ(A1503, "IQ_TOTAL_REV",IQ_FY-3)/I1509))</f>
        <v>10.348838881101939</v>
      </c>
      <c r="E1509" s="16">
        <f t="shared" si="403"/>
        <v>6.9263102615965766E-3</v>
      </c>
      <c r="F1509" s="15">
        <f>IF(A1511=A1512,_xll.ciqfunctions.udf.CIQ(A1503,"IQ_DILUT_EPS_EXCL",IQ_FY-4), _xll.ciqfunctions.udf.CIQ(A1503, "IQ_DILUT_EPS_EXCL",IQ_FY-3))</f>
        <v>1.22</v>
      </c>
      <c r="G1509" s="15">
        <f>IF(A1511=A1512,_xll.ciqfunctions.udf.CIQ(A1503,"IQ_EBITDA_MARGIN",IQ_FY-4), _xll.ciqfunctions.udf.CIQ(A1503, "IQ_EBITDA_MARGIN",IQ_FY-3))</f>
        <v>15.7637</v>
      </c>
      <c r="H1509" s="15">
        <f>IF(A1511=A1512,_xll.ciqfunctions.udf.CIQ(A1503,"IQ_TOTAL_DIV_PAID_CF",IQ_FY-4)/-I1509, _xll.ciqfunctions.udf.CIQ(A1503, "IQ_TOTAL_DIV_PAID_CF",IQ_FY-3)/-I1509)</f>
        <v>1.008373503595287</v>
      </c>
      <c r="I1509" s="17">
        <f>IF(A1511=A1512,_xll.ciqfunctions.udf.CIQ(A1503,"IQ_TOTAL_OUTSTANDING_FILING_DATE",IQ_FY-4), _xll.ciqfunctions.udf.CIQ(A1503, "IQ_TOTAL_OUTSTANDING_FILING_DATE",IQ_FY-3))</f>
        <v>130.76007999999999</v>
      </c>
      <c r="J1509" s="17">
        <f>IF(A1511=A1512,_xll.ciqfunctions.udf.CIQ(A1503,"IQ_CASH_OPER",IQ_FY-4), _xll.ciqfunctions.udf.CIQ(A1503, "IQ_CASH_OPER",IQ_FY-3))</f>
        <v>224.405</v>
      </c>
      <c r="K1509" s="17">
        <f>IF(A1511=A1512,_xll.ciqfunctions.udf.CIQ(A1503,"IQ_CAPEX",IQ_FY-4), _xll.ciqfunctions.udf.CIQ(A1503, "IQ_CAPEX",IQ_FY-3))</f>
        <v>-60.856999999999999</v>
      </c>
      <c r="L1509" s="15">
        <f t="shared" si="400"/>
        <v>1.2507486994501686</v>
      </c>
      <c r="M1509" s="17">
        <f>IF(A1511=A1512,_xll.ciqfunctions.udf.CIQ(A1503,"IQ_TOTAL_DEBT_ISSUED",IQ_FY-4), _xll.ciqfunctions.udf.CIQ(A1503, "IQ_TOTAL_DEBT_ISSUED",IQ_FY-3))</f>
        <v>0</v>
      </c>
      <c r="N1509" s="17">
        <f>IF(A1511=A1512,_xll.ciqfunctions.udf.CIQ(A1503,"IQ_TOTAL_DEBT_REPAID",IQ_FY-4), _xll.ciqfunctions.udf.CIQ(A1503, "IQ_TOTAL_DEBT_REPAID",IQ_FY-3))</f>
        <v>0</v>
      </c>
      <c r="O1509" s="15">
        <f t="shared" si="401"/>
        <v>0</v>
      </c>
      <c r="P1509" s="15">
        <f t="shared" si="402"/>
        <v>1.2507486994501686</v>
      </c>
      <c r="Q1509" s="18"/>
      <c r="R1509" s="38" t="s">
        <v>29</v>
      </c>
      <c r="S1509" s="4" t="e">
        <f>(AVERAGE(P1508:P1513)/_xlfn.STDEV.P(P1508:P1513))/(IF(A1511=A1512,(_xlfn.SINGLE(_xll.ciqfunctions.udf.CIQ(A1503,"IQ_total_assets",IQ_FY)) - _xlfn.SINGLE(_xll.ciqfunctions.udf.CIQ(A1503,"iq_gw_intan", IQ_FY)))/I1513, (_xlfn.SINGLE(_xll.ciqfunctions.udf.CIQ(A1503, "IQ_total_assets",IQ_LTM))-_xlfn.SINGLE(_xll.ciqfunctions.udf.CIQ(A1503,"iq_gw_intan",IQ_LTM)))/I1513))</f>
        <v>#DIV/0!</v>
      </c>
      <c r="U1509" s="18"/>
      <c r="V1509" s="38" t="s">
        <v>29</v>
      </c>
      <c r="W1509" s="4" t="e">
        <f>(AVERAGE(P1508:P1513)/_xlfn.STDEV.P(P1508:P1513))/(IF(A1511=A1512,(_xlfn.SINGLE(_xll.ciqfunctions.udf.CIQ(A1503,"IQ_total_assets",IQ_FY)) - _xlfn.SINGLE(_xll.ciqfunctions.udf.CIQ(A1503,"iq_gw_intan", IQ_FY)))/I1513, (_xlfn.SINGLE(_xll.ciqfunctions.udf.CIQ(A1503, "IQ_total_assets",IQ_LTM))-_xlfn.SINGLE(_xll.ciqfunctions.udf.CIQ(A1503,"iq_gw_intan",IQ_LTM)))/I1513))</f>
        <v>#DIV/0!</v>
      </c>
      <c r="Y1509" s="18"/>
      <c r="Z1509" s="38" t="s">
        <v>29</v>
      </c>
      <c r="AA1509" s="4" t="e">
        <f>(AVERAGE(P1508:P1513)/_xlfn.STDEV.P(P1508:P1513))/(IF(A1511=A1512,(_xlfn.SINGLE(_xll.ciqfunctions.udf.CIQ(A1503,"IQ_total_assets",IQ_FY)) - _xlfn.SINGLE(_xll.ciqfunctions.udf.CIQ(A1503,"iq_gw_intan", IQ_FY)))/I1513, (_xlfn.SINGLE(_xll.ciqfunctions.udf.CIQ(A1503, "IQ_total_assets",IQ_LTM))-_xlfn.SINGLE(_xll.ciqfunctions.udf.CIQ(A1503,"iq_gw_intan",IQ_LTM)))/I1513))</f>
        <v>#DIV/0!</v>
      </c>
    </row>
    <row r="1510" spans="1:27">
      <c r="A1510" s="18"/>
      <c r="B1510" s="13">
        <v>8</v>
      </c>
      <c r="C1510" s="14" t="s">
        <v>30</v>
      </c>
      <c r="D1510" s="15" cm="1">
        <f t="array" ref="D1510">_xlfn.SINGLE(IF(A1511=A1512,_xll.ciqfunctions.udf.CIQ(A1503,"IQ_TOTAL_REV",IQ_FY-3)/I1510, _xll.ciqfunctions.udf.CIQ(A1503, "IQ_TOTAL_REV",IQ_FY-2)/I1510))</f>
        <v>9.7766107684496575</v>
      </c>
      <c r="E1510" s="16">
        <f t="shared" si="403"/>
        <v>-5.5293943526092536E-2</v>
      </c>
      <c r="F1510" s="15">
        <f>IF(A1511=A1512,_xll.ciqfunctions.udf.CIQ(A1503,"IQ_DILUT_EPS_EXCL",IQ_FY-3), _xll.ciqfunctions.udf.CIQ(A1503, "IQ_DILUT_EPS_EXCL",IQ_FY-2))</f>
        <v>1.0900000000000001</v>
      </c>
      <c r="G1510" s="15">
        <f>IF(A1511=A1512,_xll.ciqfunctions.udf.CIQ(A1503,"IQ_EBITDA_MARGIN",IQ_FY-3), _xll.ciqfunctions.udf.CIQ(A1503, "IQ_EBITDA_MARGIN",IQ_FY-2))</f>
        <v>13.3764</v>
      </c>
      <c r="H1510" s="15">
        <f>IF(A1511=A1512,_xll.ciqfunctions.udf.CIQ(A1503,"IQ_TOTAL_DIV_PAID_CF",IQ_FY-3)/-I1510, _xll.ciqfunctions.udf.CIQ(A1503, "IQ_TOTAL_DIV_PAID_CF",IQ_FY-2)/-I1510)</f>
        <v>1.0375203275568954</v>
      </c>
      <c r="I1510" s="17">
        <f>IF(A1511=A1512,_xll.ciqfunctions.udf.CIQ(A1503,"IQ_TOTAL_OUTSTANDING_FILING_DATE",IQ_FY-3), _xll.ciqfunctions.udf.CIQ(A1503, "IQ_TOTAL_OUTSTANDING_FILING_DATE",IQ_FY-2))</f>
        <v>131.60705999999999</v>
      </c>
      <c r="J1510" s="17">
        <f>IF(A1511=A1512,_xll.ciqfunctions.udf.CIQ(A1503,"IQ_CASH_OPER",IQ_FY-3), _xll.ciqfunctions.udf.CIQ(A1503, "IQ_CASH_OPER",IQ_FY-2))</f>
        <v>180.767</v>
      </c>
      <c r="K1510" s="17">
        <f>IF(A1511=A1512,_xll.ciqfunctions.udf.CIQ(A1503,"IQ_CAPEX",IQ_FY-3), _xll.ciqfunctions.udf.CIQ(A1503, "IQ_CAPEX",IQ_FY-2))</f>
        <v>-49.652000000000001</v>
      </c>
      <c r="L1510" s="15">
        <f t="shared" si="400"/>
        <v>0.99626114282926781</v>
      </c>
      <c r="M1510" s="17">
        <f>IF(A1511=A1512,_xll.ciqfunctions.udf.CIQ(A1503,"IQ_TOTAL_DEBT_ISSUED",IQ_FY-3), _xll.ciqfunctions.udf.CIQ(A1503, "IQ_TOTAL_DEBT_ISSUED",IQ_FY-2))</f>
        <v>190</v>
      </c>
      <c r="N1510" s="17">
        <f>IF(A1511=A1512,_xll.ciqfunctions.udf.CIQ(A1503,"IQ_TOTAL_DEBT_REPAID",IQ_FY-3), _xll.ciqfunctions.udf.CIQ(A1503, "IQ_TOTAL_DEBT_REPAID",IQ_FY-2))</f>
        <v>-91.25</v>
      </c>
      <c r="O1510" s="15">
        <f t="shared" si="401"/>
        <v>0.75033968542417107</v>
      </c>
      <c r="P1510" s="15">
        <f t="shared" si="402"/>
        <v>1.7466008282534389</v>
      </c>
      <c r="Q1510" s="18"/>
      <c r="R1510" s="39" t="s">
        <v>31</v>
      </c>
      <c r="S1510" s="5">
        <f>IF(NOT(D1503&gt;0),FALSE,SLOPE(G1503:G1513,B1503:B1513))</f>
        <v>0.47121181818181812</v>
      </c>
      <c r="U1510" s="18"/>
      <c r="V1510" s="39" t="s">
        <v>31</v>
      </c>
      <c r="W1510" s="5">
        <f>IF(NOT(D1503&gt;0),FALSE,SLOPE(G1503:G1513,B1503:B1513))</f>
        <v>0.47121181818181812</v>
      </c>
      <c r="Y1510" s="18"/>
      <c r="Z1510" s="39" t="s">
        <v>31</v>
      </c>
      <c r="AA1510" s="5" t="e">
        <f>IF(NOT(L1503&gt;0),FALSE,SLOPE(O1503:O1513,J1503:J1513))</f>
        <v>#DIV/0!</v>
      </c>
    </row>
    <row r="1511" spans="1:27">
      <c r="A1511" s="19">
        <f>_xll.ciqfunctions.udf.CIQ(A1503,"IQ_TOTAL_REV",IQ_FY)</f>
        <v>1656.9749999999999</v>
      </c>
      <c r="B1511" s="13">
        <v>9</v>
      </c>
      <c r="C1511" s="14" t="s">
        <v>32</v>
      </c>
      <c r="D1511" s="15" cm="1">
        <f t="array" ref="D1511">_xlfn.SINGLE(IF(A1511=A1512,_xll.ciqfunctions.udf.CIQ(A1503,"IQ_TOTAL_REV",IQ_FY-2)/I1511, _xll.ciqfunctions.udf.CIQ(A1503, "IQ_TOTAL_REV",IQ_FY-1)/I1511))</f>
        <v>11.131697017602805</v>
      </c>
      <c r="E1511" s="16">
        <f t="shared" si="403"/>
        <v>0.13860490933383379</v>
      </c>
      <c r="F1511" s="15">
        <f>IF(A1511=A1512,_xll.ciqfunctions.udf.CIQ(A1503,"IQ_DILUT_EPS_EXCL",IQ_FY-2), _xll.ciqfunctions.udf.CIQ(A1503, "IQ_DILUT_EPS_EXCL",IQ_FY-1))</f>
        <v>0.67</v>
      </c>
      <c r="G1511" s="15">
        <f>IF(A1511=A1512,_xll.ciqfunctions.udf.CIQ(A1503,"IQ_EBITDA_MARGIN",IQ_FY-2), _xll.ciqfunctions.udf.CIQ(A1503, "IQ_EBITDA_MARGIN",IQ_FY-1))</f>
        <v>16.646999999999998</v>
      </c>
      <c r="H1511" s="15">
        <f>IF(A1511=A1512,_xll.ciqfunctions.udf.CIQ(A1503,"IQ_TOTAL_DIV_PAID_CF",IQ_FY-2)/-I1511, _xll.ciqfunctions.udf.CIQ(A1503, "IQ_TOTAL_DIV_PAID_CF",IQ_FY-1)/-I1511)</f>
        <v>1.0839703005483436</v>
      </c>
      <c r="I1511" s="17">
        <f>IF(A1511=A1512,_xll.ciqfunctions.udf.CIQ(A1503,"IQ_TOTAL_OUTSTANDING_FILING_DATE",IQ_FY-2), _xll.ciqfunctions.udf.CIQ(A1503, "IQ_TOTAL_OUTSTANDING_FILING_DATE",IQ_FY-1))</f>
        <v>132.02668</v>
      </c>
      <c r="J1511" s="17">
        <f>IF(A1511=A1512,_xll.ciqfunctions.udf.CIQ(A1503,"IQ_CASH_OPER",IQ_FY-2), _xll.ciqfunctions.udf.CIQ(A1503, "IQ_CASH_OPER",IQ_FY-1))</f>
        <v>143.499</v>
      </c>
      <c r="K1511" s="17">
        <f>IF(A1511=A1512,_xll.ciqfunctions.udf.CIQ(A1503,"IQ_CAPEX",IQ_FY-2), _xll.ciqfunctions.udf.CIQ(A1503, "IQ_CAPEX",IQ_FY-1))</f>
        <v>-40.975000000000001</v>
      </c>
      <c r="L1511" s="15">
        <f t="shared" si="400"/>
        <v>0.77654001448798082</v>
      </c>
      <c r="M1511" s="17">
        <f>IF(A1511=A1512,_xll.ciqfunctions.udf.CIQ(A1503,"IQ_TOTAL_DEBT_ISSUED",IQ_FY-2), _xll.ciqfunctions.udf.CIQ(A1503, "IQ_TOTAL_DEBT_ISSUED",IQ_FY-1))</f>
        <v>300</v>
      </c>
      <c r="N1511" s="17">
        <f>IF(A1511=A1512,_xll.ciqfunctions.udf.CIQ(A1503,"IQ_TOTAL_DEBT_REPAID",IQ_FY-2), _xll.ciqfunctions.udf.CIQ(A1503, "IQ_TOTAL_DEBT_REPAID",IQ_FY-1))</f>
        <v>-98.75</v>
      </c>
      <c r="O1511" s="15">
        <f t="shared" si="401"/>
        <v>1.5243131161065324</v>
      </c>
      <c r="P1511" s="15">
        <f t="shared" si="402"/>
        <v>2.300853130594513</v>
      </c>
      <c r="Q1511" s="25" t="s">
        <v>33</v>
      </c>
      <c r="R1511" s="38" t="s">
        <v>52</v>
      </c>
      <c r="S1511" s="4" t="e">
        <f>(AVERAGE(O1508:O1513)/AVERAGE(P1508:P1513))</f>
        <v>#DIV/0!</v>
      </c>
      <c r="U1511" s="25" t="s">
        <v>54</v>
      </c>
      <c r="V1511" s="38" t="s">
        <v>52</v>
      </c>
      <c r="W1511" s="4" t="e">
        <f>(AVERAGE(O1508:O1513)/AVERAGE(P1508:P1513))</f>
        <v>#DIV/0!</v>
      </c>
      <c r="Y1511" s="25" t="s">
        <v>60</v>
      </c>
      <c r="Z1511" s="38" t="s">
        <v>52</v>
      </c>
      <c r="AA1511" s="4" t="e">
        <f>(AVERAGE(O1508:O1513)/AVERAGE(P1508:P1513))</f>
        <v>#DIV/0!</v>
      </c>
    </row>
    <row r="1512" spans="1:27">
      <c r="A1512" s="19">
        <f>_xll.ciqfunctions.udf.CIQ(A1503,"IQ_TOTAL_REV",IQ_LTM)</f>
        <v>1729.8340000000001</v>
      </c>
      <c r="B1512" s="13">
        <v>10</v>
      </c>
      <c r="C1512" s="14" t="s">
        <v>34</v>
      </c>
      <c r="D1512" s="15" cm="1">
        <f t="array" ref="D1512">_xlfn.SINGLE(IF(A1511=A1512,_xll.ciqfunctions.udf.CIQ(A1503,"IQ_TOTAL_REV",IQ_FY-1)/I1512, _xll.ciqfunctions.udf.CIQ(A1503, "IQ_TOTAL_REV",IQ_FY)/I1512))</f>
        <v>12.602052880289413</v>
      </c>
      <c r="E1512" s="16">
        <f t="shared" si="403"/>
        <v>0.13208730531935076</v>
      </c>
      <c r="F1512" s="15">
        <f>IF(A1511=A1512,_xll.ciqfunctions.udf.CIQ(A1503,"IQ_DILUT_EPS_EXCL",IQ_FY-1), _xll.ciqfunctions.udf.CIQ(A1503, "IQ_DILUT_EPS_EXCL",IQ_FY))</f>
        <v>1.05</v>
      </c>
      <c r="G1512" s="15">
        <f>IF(A1511=A1512,_xll.ciqfunctions.udf.CIQ(A1503,"IQ_EBITDA_MARGIN",IQ_FY-1), _xll.ciqfunctions.udf.CIQ(A1503, "IQ_EBITDA_MARGIN",IQ_FY))</f>
        <v>17.559699999999999</v>
      </c>
      <c r="H1512" s="15">
        <f>IF(A1511=A1512,_xll.ciqfunctions.udf.CIQ(A1503,"IQ_TOTAL_DIV_PAID_CF",IQ_FY-1)/-I1512, _xll.ciqfunctions.udf.CIQ(A1503, "IQ_TOTAL_DIV_PAID_CF",IQ_FY)/-I1512)</f>
        <v>1.1243528040903368</v>
      </c>
      <c r="I1512" s="17">
        <f>IF(A1511=A1512,_xll.ciqfunctions.udf.CIQ(A1503,"IQ_TOTAL_OUTSTANDING_FILING_DATE",IQ_FY-1), _xll.ciqfunctions.udf.CIQ(A1503, "IQ_TOTAL_OUTSTANDING_FILING_DATE",IQ_FY))</f>
        <v>131.48453000000001</v>
      </c>
      <c r="J1512" s="17">
        <f>IF(A1511=A1512,_xll.ciqfunctions.udf.CIQ(A1503,"IQ_CASH_OPER",IQ_FY-1), _xll.ciqfunctions.udf.CIQ(A1503, "IQ_CASH_OPER",IQ_FY))</f>
        <v>42.963999999999999</v>
      </c>
      <c r="K1512" s="17">
        <f>IF(A1511=A1512,_xll.ciqfunctions.udf.CIQ(A1503,"IQ_CAPEX",IQ_FY-1), _xll.ciqfunctions.udf.CIQ(A1503, "IQ_CAPEX",IQ_FY))</f>
        <v>-48.192999999999998</v>
      </c>
      <c r="L1512" s="15">
        <f t="shared" si="400"/>
        <v>-3.9768937075715285E-2</v>
      </c>
      <c r="M1512" s="17">
        <f>IF(A1511=A1512,_xll.ciqfunctions.udf.CIQ(A1503,"IQ_TOTAL_DEBT_ISSUED",IQ_FY-1), _xll.ciqfunctions.udf.CIQ(A1503, "IQ_TOTAL_DEBT_ISSUED",IQ_FY))</f>
        <v>768</v>
      </c>
      <c r="N1512" s="17">
        <f>IF(A1511=A1512,_xll.ciqfunctions.udf.CIQ(A1503,"IQ_TOTAL_DEBT_REPAID",IQ_FY-1), _xll.ciqfunctions.udf.CIQ(A1503, "IQ_TOTAL_DEBT_REPAID",IQ_FY))</f>
        <v>-524.25</v>
      </c>
      <c r="O1512" s="15">
        <f t="shared" si="401"/>
        <v>1.8538302566849498</v>
      </c>
      <c r="P1512" s="15">
        <f t="shared" si="402"/>
        <v>1.8140613196092346</v>
      </c>
      <c r="Q1512" s="25" t="s">
        <v>44</v>
      </c>
      <c r="R1512" s="38" t="s">
        <v>35</v>
      </c>
      <c r="S1512" s="1">
        <f>_xll.ciqfunctions.udf.CIQ(A1503,"IQ_TEV_EBITDA")</f>
        <v>0</v>
      </c>
      <c r="U1512" s="25" t="s">
        <v>55</v>
      </c>
      <c r="V1512" s="38" t="s">
        <v>53</v>
      </c>
      <c r="W1512" s="1" t="e">
        <f>V1502/(AVERAGE(D1508:D1513)/_xlfn.STDEV.P(E1508:E1513))</f>
        <v>#DIV/0!</v>
      </c>
      <c r="Y1512" s="25" t="s">
        <v>57</v>
      </c>
      <c r="Z1512" s="38" t="s">
        <v>53</v>
      </c>
      <c r="AA1512" s="1" t="e">
        <f>Z1502/(AVERAGE(D1508:D1513)/_xlfn.STDEV.P(E1508:E1513))</f>
        <v>#DIV/0!</v>
      </c>
    </row>
    <row r="1513" spans="1:27">
      <c r="B1513" s="13">
        <v>11</v>
      </c>
      <c r="C1513" s="20" t="s">
        <v>36</v>
      </c>
      <c r="D1513" s="21" t="e" cm="1">
        <f t="array" ref="D1513">_xlfn.SINGLE(IF(A1511=A1512,_xll.ciqfunctions.udf.CIQ(A1503,"IQ_TOTAL_REV",IQ_FY)/I1513, _xll.ciqfunctions.udf.CIQ(A1503, "IQ_TOTAL_REV",IQ_LTM)/I1513))</f>
        <v>#DIV/0!</v>
      </c>
      <c r="E1513" s="22" t="e">
        <f t="shared" si="403"/>
        <v>#DIV/0!</v>
      </c>
      <c r="F1513" s="21">
        <f>IF(A1511=A1512,_xll.ciqfunctions.udf.CIQ(A1503,"IQ_DILUT_EPS_EXCL",IQ_FY), _xll.ciqfunctions.udf.CIQ(A1503, "IQ_DILUT_EPS_EXCL",IQ_LTM))</f>
        <v>1.3504</v>
      </c>
      <c r="G1513" s="21">
        <f>IF(A1511=A1512,_xll.ciqfunctions.udf.CIQ(A1503,"IQ_EBITDA_MARGIN",IQ_FY), _xll.ciqfunctions.udf.CIQ(A1503, "IQ_EBITDA_MARGIN",IQ_LTM))</f>
        <v>22.024999999999999</v>
      </c>
      <c r="H1513" s="21" t="e">
        <f>IF(A1511=A1512,_xll.ciqfunctions.udf.CIQ(A1503,"IQ_TOTAL_DIV_PAID_CF",IQ_FY)/-I1513, _xll.ciqfunctions.udf.CIQ(A1503, "IQ_TOTAL_DIV_PAID_CF",IQ_LTM)/-I1513)</f>
        <v>#DIV/0!</v>
      </c>
      <c r="I1513" s="23">
        <f>IF(A1511=A1512,_xll.ciqfunctions.udf.CIQ(A1503,"IQ_TOTAL_OUTSTANDING_FILING_DATE",IQ_FY),_xll.ciqfunctions.udf.CIQ(A1503,"IQ_sharesoutstanding"))</f>
        <v>0</v>
      </c>
      <c r="J1513" s="23">
        <f>IF(A1511=A1512,_xll.ciqfunctions.udf.CIQ(A1503,"IQ_CASH_OPER",IQ_FY), _xll.ciqfunctions.udf.CIQ(A1503, "IQ_CASH_OPER",IQ_LTM))</f>
        <v>162.739</v>
      </c>
      <c r="K1513" s="23">
        <f>IF(A1511=A1512,_xll.ciqfunctions.udf.CIQ(A1503,"IQ_CAPEX",IQ_FY), _xll.ciqfunctions.udf.CIQ(A1503, "IQ_CAPEX",IQ_LTM))</f>
        <v>-59.161000000000001</v>
      </c>
      <c r="L1513" s="21" t="e">
        <f t="shared" si="400"/>
        <v>#DIV/0!</v>
      </c>
      <c r="M1513" s="23">
        <f>IF(A1511=A1512,_xll.ciqfunctions.udf.CIQ(A1503,"IQ_TOTAL_DEBT_ISSUED",IQ_FY), _xll.ciqfunctions.udf.CIQ(A1503, "IQ_TOTAL_DEBT_ISSUED",IQ_LTM))</f>
        <v>713</v>
      </c>
      <c r="N1513" s="23">
        <f>IF(A1511=A1512,_xll.ciqfunctions.udf.CIQ(A1503,"IQ_TOTAL_DEBT_REPAID",IQ_FY), _xll.ciqfunctions.udf.CIQ(A1503, "IQ_TOTAL_DEBT_REPAID",IQ_LTM))</f>
        <v>-596.75</v>
      </c>
      <c r="O1513" s="21" t="e">
        <f t="shared" si="401"/>
        <v>#DIV/0!</v>
      </c>
      <c r="P1513" s="21" t="e">
        <f t="shared" si="402"/>
        <v>#DIV/0!</v>
      </c>
      <c r="Q1513" s="25" t="s">
        <v>45</v>
      </c>
      <c r="S1513" s="45"/>
      <c r="U1513" s="25"/>
      <c r="W1513" s="45"/>
      <c r="Y1513" s="25"/>
      <c r="AA1513" s="45"/>
    </row>
    <row r="1514" spans="1:27">
      <c r="B1514" s="24"/>
      <c r="C1514" s="25" t="s">
        <v>37</v>
      </c>
      <c r="E1514" s="26" t="e">
        <f>((D1513/D1508)^(1/5))-1</f>
        <v>#DIV/0!</v>
      </c>
      <c r="F1514" s="27">
        <f>((F1513/F1508)^(1/5))-1</f>
        <v>3.0862847887111133E-2</v>
      </c>
      <c r="G1514" s="28"/>
      <c r="H1514" s="27" t="e">
        <f>((H1513/H1508)^(1/5))-1</f>
        <v>#DIV/0!</v>
      </c>
      <c r="I1514" s="27">
        <f>((I1513/I1508)^(1/5))-1</f>
        <v>-1</v>
      </c>
      <c r="J1514" s="27"/>
      <c r="K1514" s="27"/>
      <c r="L1514" s="26" t="e">
        <f>((L1513/L1508)^(1/5))-1</f>
        <v>#DIV/0!</v>
      </c>
      <c r="M1514" s="26"/>
      <c r="N1514" s="26"/>
      <c r="O1514" s="26"/>
      <c r="P1514" s="26" t="e">
        <f>((P1513/P1508)^(1/5))-1</f>
        <v>#DIV/0!</v>
      </c>
      <c r="Q1514" s="18"/>
      <c r="R1514" s="36"/>
      <c r="S1514" s="45"/>
      <c r="U1514" s="18"/>
      <c r="V1514" s="36"/>
      <c r="W1514" s="45"/>
      <c r="Y1514" s="18"/>
      <c r="Z1514" s="36"/>
      <c r="AA1514" s="45"/>
    </row>
    <row r="1515" spans="1:27">
      <c r="A1515" s="29"/>
      <c r="B1515" s="30"/>
      <c r="C1515" s="31" t="s">
        <v>38</v>
      </c>
      <c r="D1515" s="29"/>
      <c r="E1515" s="32" t="e">
        <f>((D1513/D1503)^(1/10))-1</f>
        <v>#DIV/0!</v>
      </c>
      <c r="F1515" s="33">
        <f>((F1513/F1503)^(1/10))-1</f>
        <v>7.7527209107429051E-2</v>
      </c>
      <c r="G1515" s="34"/>
      <c r="H1515" s="33" t="e">
        <f>((H1513/H1503)^(1/10))-1</f>
        <v>#DIV/0!</v>
      </c>
      <c r="I1515" s="33">
        <f>((I1513/I1503)^(1/10))-1</f>
        <v>-1</v>
      </c>
      <c r="J1515" s="33"/>
      <c r="K1515" s="33"/>
      <c r="L1515" s="32" t="e">
        <f>((L1513/L1503)^(1/10))-1</f>
        <v>#DIV/0!</v>
      </c>
      <c r="M1515" s="32"/>
      <c r="N1515" s="32"/>
      <c r="O1515" s="32"/>
      <c r="P1515" s="32" t="e">
        <f>((P1513/P1503)^(1/10))-1</f>
        <v>#DIV/0!</v>
      </c>
      <c r="Q1515" s="40"/>
      <c r="R1515" s="41"/>
      <c r="S1515" s="46"/>
      <c r="U1515" s="40"/>
      <c r="V1515" s="41"/>
      <c r="W1515" s="46"/>
      <c r="Y1515" s="40"/>
      <c r="Z1515" s="41"/>
      <c r="AA1515" s="46"/>
    </row>
    <row r="1516" spans="1:27">
      <c r="B1516" s="24"/>
      <c r="C1516" s="25"/>
      <c r="E1516" s="26"/>
      <c r="F1516" s="27"/>
      <c r="G1516" s="28"/>
      <c r="H1516" s="27"/>
      <c r="I1516" s="27"/>
      <c r="J1516" s="27"/>
      <c r="K1516" s="27"/>
      <c r="L1516" s="26"/>
      <c r="M1516" s="17"/>
      <c r="N1516" s="17"/>
      <c r="O1516" s="17"/>
      <c r="P1516" s="35"/>
      <c r="Q1516" s="18"/>
      <c r="R1516" s="36"/>
    </row>
    <row r="1517" spans="1:27">
      <c r="A1517" s="9" t="s">
        <v>0</v>
      </c>
      <c r="B1517" s="10"/>
      <c r="C1517" s="9" t="s">
        <v>1</v>
      </c>
      <c r="D1517" s="9" t="s">
        <v>2</v>
      </c>
      <c r="E1517" s="9" t="s">
        <v>3</v>
      </c>
      <c r="F1517" s="11" t="s">
        <v>4</v>
      </c>
      <c r="G1517" s="11" t="s">
        <v>5</v>
      </c>
      <c r="H1517" s="9" t="s">
        <v>6</v>
      </c>
      <c r="I1517" s="11" t="s">
        <v>7</v>
      </c>
      <c r="J1517" s="11" t="s">
        <v>8</v>
      </c>
      <c r="K1517" s="11" t="s">
        <v>9</v>
      </c>
      <c r="L1517" s="11" t="s">
        <v>10</v>
      </c>
      <c r="M1517" s="11" t="s">
        <v>11</v>
      </c>
      <c r="N1517" s="11" t="s">
        <v>12</v>
      </c>
      <c r="O1517" s="11" t="s">
        <v>13</v>
      </c>
      <c r="P1517" s="11" t="s">
        <v>14</v>
      </c>
      <c r="Q1517" s="37" t="s">
        <v>15</v>
      </c>
      <c r="R1517" s="42" t="str">
        <f>_xll.ciqfunctions.udf.CIQ(A1518,("IQ_LASTSALEPRICE"))</f>
        <v>(Invalid Identifier)</v>
      </c>
      <c r="S1517" s="44"/>
      <c r="U1517" s="37" t="s">
        <v>15</v>
      </c>
      <c r="V1517" s="42" t="str">
        <f>_xll.ciqfunctions.udf.CIQ(A1518,("IQ_LASTSALEPRICE"))</f>
        <v>(Invalid Identifier)</v>
      </c>
      <c r="W1517" s="44"/>
      <c r="Y1517" s="37" t="s">
        <v>15</v>
      </c>
      <c r="Z1517" s="42" t="str">
        <f>_xll.ciqfunctions.udf.CIQ(A1518,("IQ_LASTSALEPRICE"))</f>
        <v>(Invalid Identifier)</v>
      </c>
      <c r="AA1517" s="44"/>
    </row>
    <row r="1518" spans="1:27">
      <c r="A1518" s="12" t="str">
        <f>Analysis!B103</f>
        <v>NYSE:NEWR</v>
      </c>
      <c r="B1518" s="13">
        <v>1</v>
      </c>
      <c r="C1518" s="14" t="s">
        <v>16</v>
      </c>
      <c r="D1518" s="15" t="e">
        <f>IF(A1526=A1527,_xll.ciqfunctions.udf.CIQ(A1518,"IQ_TOTAL_REV",IQ_FY-10)/I1518,_xll.ciqfunctions.udf.CIQ(A1518, "IQ_TOTAL_REV",IQ_FY-9)/I1518)</f>
        <v>#VALUE!</v>
      </c>
      <c r="E1518" s="16"/>
      <c r="F1518" s="15" t="str">
        <f>IF(A1526=A1527,_xll.ciqfunctions.udf.CIQ(A1518,"IQ_DILUT_EPS_EXCL",IQ_FY-10), _xll.ciqfunctions.udf.CIQ(A1518, "IQ_DILUT_EPS_EXCL",IQ_FY-9))</f>
        <v>(Invalid Identifier)</v>
      </c>
      <c r="G1518" s="15" t="str">
        <f>IF(A1526=A1527,_xll.ciqfunctions.udf.CIQ(A1518,"IQ_EBITDA_MARGIN",IQ_FY-10), _xll.ciqfunctions.udf.CIQ(A1518, "IQ_EBITDA_MARGIN",IQ_FY-9))</f>
        <v>(Invalid Identifier)</v>
      </c>
      <c r="H1518" s="15" t="e">
        <f>IF(A1526=A1527,_xll.ciqfunctions.udf.CIQ(A1518,"IQ_TOTAL_DIV_PAID_CF",IQ_FY-10)/-I1518, _xll.ciqfunctions.udf.CIQ(A1518, "IQ_TOTAL_DIV_PAID_CF",IQ_FY-9)/-I1518)</f>
        <v>#VALUE!</v>
      </c>
      <c r="I1518" s="17" t="str">
        <f>IF(A1526=A1527,_xll.ciqfunctions.udf.CIQ(A1518,"IQ_TOTAL_OUTSTANDING_FILING_DATE",IQ_FY-10), _xll.ciqfunctions.udf.CIQ(A1518, "IQ_TOTAL_OUTSTANDING_FILING_DATE",IQ_FY-9))</f>
        <v>(Invalid Identifier)</v>
      </c>
      <c r="J1518" s="17" t="str">
        <f>IF(A1526=A1527,_xll.ciqfunctions.udf.CIQ(A1518,"IQ_CASH_OPER",IQ_FY-10), _xll.ciqfunctions.udf.CIQ(A1518, "IQ_CASH_OPER",IQ_FY-9))</f>
        <v>(Invalid Identifier)</v>
      </c>
      <c r="K1518" s="17" t="str">
        <f>IF(A1526=A1527,_xll.ciqfunctions.udf.CIQ(A1518,"IQ_CAPEX",IQ_FY-10), _xll.ciqfunctions.udf.CIQ(A1518, "IQ_CAPEX",IQ_FY-9))</f>
        <v>(Invalid Identifier)</v>
      </c>
      <c r="L1518" s="15" t="e">
        <f t="shared" ref="L1518:L1528" si="404">(J1518+K1518)/I1518</f>
        <v>#VALUE!</v>
      </c>
      <c r="M1518" s="17" t="str">
        <f>IF(A1526=A1527,_xll.ciqfunctions.udf.CIQ(A1518,"IQ_TOTAL_DEBT_ISSUED",IQ_FY-10), _xll.ciqfunctions.udf.CIQ(A1518, "IQ_TOTAL_DEBT_ISSUED",IQ_FY-9))</f>
        <v>(Invalid Identifier)</v>
      </c>
      <c r="N1518" s="17" t="str">
        <f>IF(A1526=A1527,_xll.ciqfunctions.udf.CIQ(A1518,"IQ_TOTAL_DEBT_REPAID",IQ_FY-10), _xll.ciqfunctions.udf.CIQ(A1518, "IQ_TOTAL_DEBT_REPAID",IQ_FY-9))</f>
        <v>(Invalid Identifier)</v>
      </c>
      <c r="O1518" s="15" t="e">
        <f t="shared" ref="O1518:O1528" si="405">(M1518+N1518)/I1518</f>
        <v>#VALUE!</v>
      </c>
      <c r="P1518" s="15" t="e">
        <f t="shared" ref="P1518:P1528" si="406">L1518+O1518</f>
        <v>#VALUE!</v>
      </c>
      <c r="W1518" s="43"/>
      <c r="AA1518" s="43"/>
    </row>
    <row r="1519" spans="1:27">
      <c r="A1519" s="18" t="str">
        <f>_xll.ciqfunctions.udf.CIQ(A1518,"IQ_COMPANY_NAME")</f>
        <v>(Invalid Identifier)</v>
      </c>
      <c r="B1519" s="13">
        <v>2</v>
      </c>
      <c r="C1519" s="14" t="s">
        <v>17</v>
      </c>
      <c r="D1519" s="15" t="e">
        <f>IF(A1526=A1527,_xll.ciqfunctions.udf.CIQ(A1518,"IQ_TOTAL_REV",IQ_FY-9)/I1519, _xll.ciqfunctions.udf.CIQ(A1518, "IQ_TOTAL_REV",IQ_FY-8)/I1519)</f>
        <v>#VALUE!</v>
      </c>
      <c r="E1519" s="16" t="e">
        <f t="shared" ref="E1519:E1528" si="407">(D1519-D1518)/D1518</f>
        <v>#VALUE!</v>
      </c>
      <c r="F1519" s="15" t="str">
        <f>IF(A1526=A1527,_xll.ciqfunctions.udf.CIQ(A1518,"IQ_DILUT_EPS_EXCL",IQ_FY-9), _xll.ciqfunctions.udf.CIQ(A1518, "IQ_DILUT_EPS_EXCL",IQ_FY-8))</f>
        <v>(Invalid Identifier)</v>
      </c>
      <c r="G1519" s="15" t="str">
        <f>IF(A1526=A1527,_xll.ciqfunctions.udf.CIQ(A1518,"IQ_EBITDA_MARGIN",IQ_FY-9), _xll.ciqfunctions.udf.CIQ(A1518, "IQ_EBITDA_MARGIN",IQ_FY-8))</f>
        <v>(Invalid Identifier)</v>
      </c>
      <c r="H1519" s="15" t="e">
        <f>IF(A1526=A1527,_xll.ciqfunctions.udf.CIQ(A1518,"IQ_TOTAL_DIV_PAID_CF",IQ_FY-9)/-I1519, _xll.ciqfunctions.udf.CIQ(A1518, "IQ_TOTAL_DIV_PAID_CF",IQ_FY-8)/-I1519)</f>
        <v>#VALUE!</v>
      </c>
      <c r="I1519" s="17" t="str">
        <f>IF(A1526=A1527,_xll.ciqfunctions.udf.CIQ(A1518,"IQ_TOTAL_OUTSTANDING_FILING_DATE",IQ_FY-9), _xll.ciqfunctions.udf.CIQ(A1518, "IQ_TOTAL_OUTSTANDING_FILING_DATE",IQ_FY-8))</f>
        <v>(Invalid Identifier)</v>
      </c>
      <c r="J1519" s="17" t="str">
        <f>IF(A1526=A1527,_xll.ciqfunctions.udf.CIQ(A1518,"IQ_CASH_OPER",IQ_FY-9), _xll.ciqfunctions.udf.CIQ(A1518, "IQ_CASH_OPER",IQ_FY-8))</f>
        <v>(Invalid Identifier)</v>
      </c>
      <c r="K1519" s="17" t="str">
        <f>IF(A1526=A1527,_xll.ciqfunctions.udf.CIQ(A1518,"IQ_CAPEX",IQ_FY-9), _xll.ciqfunctions.udf.CIQ(A1518, "IQ_CAPEX",IQ_FY-8))</f>
        <v>(Invalid Identifier)</v>
      </c>
      <c r="L1519" s="15" t="e">
        <f t="shared" si="404"/>
        <v>#VALUE!</v>
      </c>
      <c r="M1519" s="17" t="str">
        <f>IF(A1526=A1527,_xll.ciqfunctions.udf.CIQ(A1518,"IQ_TOTAL_DEBT_ISSUED",IQ_FY-9), _xll.ciqfunctions.udf.CIQ(A1518, "IQ_TOTAL_DEBT_ISSUED",IQ_FY-8))</f>
        <v>(Invalid Identifier)</v>
      </c>
      <c r="N1519" s="17" t="str">
        <f>IF(A1526=A1527,_xll.ciqfunctions.udf.CIQ(A1518,"IQ_TOTAL_DEBT_REPAID",IQ_FY-9), _xll.ciqfunctions.udf.CIQ(A1518, "IQ_TOTAL_DEBT_REPAID",IQ_FY-8))</f>
        <v>(Invalid Identifier)</v>
      </c>
      <c r="O1519" s="15" t="e">
        <f t="shared" si="405"/>
        <v>#VALUE!</v>
      </c>
      <c r="P1519" s="15" t="e">
        <f t="shared" si="406"/>
        <v>#VALUE!</v>
      </c>
      <c r="Q1519" s="25" t="s">
        <v>18</v>
      </c>
      <c r="R1519" s="39" t="s">
        <v>19</v>
      </c>
      <c r="S1519" s="1" t="e">
        <f>R1517/((AVERAGE(P1523:P1528))*(1+E1529)^3)</f>
        <v>#VALUE!</v>
      </c>
      <c r="U1519" s="25" t="s">
        <v>48</v>
      </c>
      <c r="V1519" s="39" t="s">
        <v>19</v>
      </c>
      <c r="W1519" s="1" t="e">
        <f>V1517/((AVERAGE(P1523:P1528))*(1+E1529)^3)</f>
        <v>#VALUE!</v>
      </c>
      <c r="Y1519" s="25" t="s">
        <v>39</v>
      </c>
      <c r="Z1519" s="39" t="s">
        <v>19</v>
      </c>
      <c r="AA1519" s="1" t="e">
        <f>Z1517/((AVERAGE(P1523:P1528))*(1+E1529)^3)</f>
        <v>#VALUE!</v>
      </c>
    </row>
    <row r="1520" spans="1:27">
      <c r="B1520" s="13">
        <v>3</v>
      </c>
      <c r="C1520" s="14" t="s">
        <v>20</v>
      </c>
      <c r="D1520" s="15" t="e" cm="1">
        <f t="array" ref="D1520">_xlfn.SINGLE(IF(A1526=A1527,_xll.ciqfunctions.udf.CIQ(A1518,"IQ_TOTAL_REV",IQ_FY-8)/I1520, _xll.ciqfunctions.udf.CIQ(A1518, "IQ_TOTAL_REV",IQ_FY-7)/I1520))</f>
        <v>#VALUE!</v>
      </c>
      <c r="E1520" s="16" t="e">
        <f t="shared" si="407"/>
        <v>#VALUE!</v>
      </c>
      <c r="F1520" s="15" t="str">
        <f>IF(A1526=A1527,_xll.ciqfunctions.udf.CIQ(A1518,"IQ_DILUT_EPS_EXCL",IQ_FY-8), _xll.ciqfunctions.udf.CIQ(A1518, "IQ_DILUT_EPS_EXCL",IQ_FY-7))</f>
        <v>(Invalid Identifier)</v>
      </c>
      <c r="G1520" s="15" t="str">
        <f>IF(A1526=A1527,_xll.ciqfunctions.udf.CIQ(A1518,"IQ_EBITDA_MARGIN",IQ_FY-8), _xll.ciqfunctions.udf.CIQ(A1518, "IQ_EBITDA_MARGIN",IQ_FY-7))</f>
        <v>(Invalid Identifier)</v>
      </c>
      <c r="H1520" s="15" t="e">
        <f>IF(A1526=A1527,_xll.ciqfunctions.udf.CIQ(A1518,"IQ_TOTAL_DIV_PAID_CF",IQ_FY-8)/-I1520, _xll.ciqfunctions.udf.CIQ(A1518, "IQ_TOTAL_DIV_PAID_CF",IQ_FY-7)/-I1520)</f>
        <v>#VALUE!</v>
      </c>
      <c r="I1520" s="17" t="str">
        <f>IF(A1526=A1527,_xll.ciqfunctions.udf.CIQ(A1518,"IQ_TOTAL_OUTSTANDING_FILING_DATE",IQ_FY-8), _xll.ciqfunctions.udf.CIQ(A1518, "IQ_TOTAL_OUTSTANDING_FILING_DATE",IQ_FY-7))</f>
        <v>(Invalid Identifier)</v>
      </c>
      <c r="J1520" s="17" t="str">
        <f>IF(A1526=A1527,_xll.ciqfunctions.udf.CIQ(A1518,"IQ_CASH_OPER",IQ_FY-8), _xll.ciqfunctions.udf.CIQ(A1518, "IQ_CASH_OPER",IQ_FY-7))</f>
        <v>(Invalid Identifier)</v>
      </c>
      <c r="K1520" s="17" t="str">
        <f>IF(A1526=A1527,_xll.ciqfunctions.udf.CIQ(A1518,"IQ_CAPEX",IQ_FY-8), _xll.ciqfunctions.udf.CIQ(A1518, "IQ_CAPEX",IQ_FY-7))</f>
        <v>(Invalid Identifier)</v>
      </c>
      <c r="L1520" s="15" t="e">
        <f t="shared" si="404"/>
        <v>#VALUE!</v>
      </c>
      <c r="M1520" s="17" t="str">
        <f>IF(A1526=A1527,_xll.ciqfunctions.udf.CIQ(A1518,"IQ_TOTAL_DEBT_ISSUED",IQ_FY-8), _xll.ciqfunctions.udf.CIQ(A1518, "IQ_TOTAL_DEBT_ISSUED",IQ_FY-7))</f>
        <v>(Invalid Identifier)</v>
      </c>
      <c r="N1520" s="17" t="str">
        <f>IF(A1526=A1527,_xll.ciqfunctions.udf.CIQ(A1518,"IQ_TOTAL_DEBT_REPAID",IQ_FY-8), _xll.ciqfunctions.udf.CIQ(A1518, "IQ_TOTAL_DEBT_REPAID",IQ_FY-7))</f>
        <v>(Invalid Identifier)</v>
      </c>
      <c r="O1520" s="15" t="e">
        <f t="shared" si="405"/>
        <v>#VALUE!</v>
      </c>
      <c r="P1520" s="15" t="e">
        <f t="shared" si="406"/>
        <v>#VALUE!</v>
      </c>
      <c r="Q1520" s="25" t="s">
        <v>21</v>
      </c>
      <c r="R1520" s="38" t="s">
        <v>49</v>
      </c>
      <c r="S1520" s="2" t="e">
        <f>(R1517*I1528)/1000</f>
        <v>#VALUE!</v>
      </c>
      <c r="U1520" s="25" t="s">
        <v>59</v>
      </c>
      <c r="V1520" s="38" t="s">
        <v>49</v>
      </c>
      <c r="W1520" s="2" t="e">
        <f>(V1517*I1528)/1000</f>
        <v>#VALUE!</v>
      </c>
      <c r="Y1520" s="25" t="s">
        <v>46</v>
      </c>
      <c r="Z1520" s="38" t="s">
        <v>49</v>
      </c>
      <c r="AA1520" s="2" t="e">
        <f>(Z1517*I1528)/1000</f>
        <v>#VALUE!</v>
      </c>
    </row>
    <row r="1521" spans="1:27">
      <c r="A1521" s="18"/>
      <c r="B1521" s="13">
        <v>4</v>
      </c>
      <c r="C1521" s="14" t="s">
        <v>22</v>
      </c>
      <c r="D1521" s="15" t="e" cm="1">
        <f t="array" ref="D1521">_xlfn.SINGLE(IF(A1526=A1527,_xll.ciqfunctions.udf.CIQ(A1518,"IQ_TOTAL_REV",IQ_FY-7)/I1521, _xll.ciqfunctions.udf.CIQ(A1518, "IQ_TOTAL_REV",IQ_FY-6)/I1521))</f>
        <v>#VALUE!</v>
      </c>
      <c r="E1521" s="16" t="e">
        <f t="shared" si="407"/>
        <v>#VALUE!</v>
      </c>
      <c r="F1521" s="15" t="str">
        <f>IF(A1526=A1527,_xll.ciqfunctions.udf.CIQ(A1518,"IQ_DILUT_EPS_EXCL",IQ_FY-7), _xll.ciqfunctions.udf.CIQ(A1518, "IQ_DILUT_EPS_EXCL",IQ_FY-6))</f>
        <v>(Invalid Identifier)</v>
      </c>
      <c r="G1521" s="15" t="str">
        <f>IF(A1526=A1527,_xll.ciqfunctions.udf.CIQ(A1518,"IQ_EBITDA_MARGIN",IQ_FY-7), _xll.ciqfunctions.udf.CIQ(A1518, "IQ_EBITDA_MARGIN",IQ_FY-6))</f>
        <v>(Invalid Identifier)</v>
      </c>
      <c r="H1521" s="15" t="e">
        <f>IF(A1526=A1527,_xll.ciqfunctions.udf.CIQ(A1518,"IQ_TOTAL_DIV_PAID_CF",IQ_FY-7)/-I1521, _xll.ciqfunctions.udf.CIQ(A1518, "IQ_TOTAL_DIV_PAID_CF",IQ_FY-6)/-I1521)</f>
        <v>#VALUE!</v>
      </c>
      <c r="I1521" s="17" t="str">
        <f>IF(A1526=A1527,_xll.ciqfunctions.udf.CIQ(A1518,"IQ_TOTAL_OUTSTANDING_FILING_DATE",IQ_FY-7), _xll.ciqfunctions.udf.CIQ(A1518, "IQ_TOTAL_OUTSTANDING_FILING_DATE",IQ_FY-6))</f>
        <v>(Invalid Identifier)</v>
      </c>
      <c r="J1521" s="17" t="str">
        <f>IF(A1526=A1527,_xll.ciqfunctions.udf.CIQ(A1518,"IQ_CASH_OPER",IQ_FY-7), _xll.ciqfunctions.udf.CIQ(A1518, "IQ_CASH_OPER",IQ_FY-6))</f>
        <v>(Invalid Identifier)</v>
      </c>
      <c r="K1521" s="17" t="str">
        <f>IF(A1526=A1527,_xll.ciqfunctions.udf.CIQ(A1518,"IQ_CAPEX",IQ_FY-7), _xll.ciqfunctions.udf.CIQ(A1518, "IQ_CAPEX",IQ_FY-6))</f>
        <v>(Invalid Identifier)</v>
      </c>
      <c r="L1521" s="15" t="e">
        <f t="shared" si="404"/>
        <v>#VALUE!</v>
      </c>
      <c r="M1521" s="17" t="str">
        <f>IF(A1526=A1527,_xll.ciqfunctions.udf.CIQ(A1518,"IQ_TOTAL_DEBT_ISSUED",IQ_FY-7), _xll.ciqfunctions.udf.CIQ(A1518, "IQ_TOTAL_DEBT_ISSUED",IQ_FY-6))</f>
        <v>(Invalid Identifier)</v>
      </c>
      <c r="N1521" s="17" t="str">
        <f>IF(A1526=A1527,_xll.ciqfunctions.udf.CIQ(A1518,"IQ_TOTAL_DEBT_REPAID",IQ_FY-7), _xll.ciqfunctions.udf.CIQ(A1518, "IQ_TOTAL_DEBT_REPAID",IQ_FY-6))</f>
        <v>(Invalid Identifier)</v>
      </c>
      <c r="O1521" s="15" t="e">
        <f t="shared" si="405"/>
        <v>#VALUE!</v>
      </c>
      <c r="P1521" s="15" t="e">
        <f t="shared" si="406"/>
        <v>#VALUE!</v>
      </c>
      <c r="Q1521" s="25" t="s">
        <v>23</v>
      </c>
      <c r="R1521" s="38" t="s">
        <v>24</v>
      </c>
      <c r="S1521" s="1" t="e">
        <f>R1517/(AVERAGE(H1523:H1528)*(1+H1529)/(0.5-H1529))</f>
        <v>#VALUE!</v>
      </c>
      <c r="U1521" s="25" t="s">
        <v>40</v>
      </c>
      <c r="V1521" s="38" t="s">
        <v>24</v>
      </c>
      <c r="W1521" s="1" t="e">
        <f>V1517/(AVERAGE(H1523:H1528)*(1+H1529)/(0.5-H1529))</f>
        <v>#VALUE!</v>
      </c>
      <c r="Y1521" s="25" t="s">
        <v>47</v>
      </c>
      <c r="Z1521" s="38" t="s">
        <v>24</v>
      </c>
      <c r="AA1521" s="1" t="e">
        <f>Z1517/(AVERAGE(H1523:H1528)*(1+H1529)/(0.5-H1529))</f>
        <v>#VALUE!</v>
      </c>
    </row>
    <row r="1522" spans="1:27">
      <c r="B1522" s="13">
        <v>5</v>
      </c>
      <c r="C1522" s="14" t="s">
        <v>25</v>
      </c>
      <c r="D1522" s="15" t="e" cm="1">
        <f t="array" ref="D1522">_xlfn.SINGLE(IF(A1526=A1527,_xll.ciqfunctions.udf.CIQ(A1518,"IQ_TOTAL_REV",IQ_FY-6)/I1522, _xll.ciqfunctions.udf.CIQ(A1518, "IQ_TOTAL_REV",IQ_FY-5)/I1522))</f>
        <v>#VALUE!</v>
      </c>
      <c r="E1522" s="16" t="e">
        <f t="shared" si="407"/>
        <v>#VALUE!</v>
      </c>
      <c r="F1522" s="15" t="str">
        <f>IF(A1526=A1527,_xll.ciqfunctions.udf.CIQ(A1518,"IQ_DILUT_EPS_EXCL",IQ_FY-6), _xll.ciqfunctions.udf.CIQ(A1518, "IQ_DILUT_EPS_EXCL",IQ_FY-5))</f>
        <v>(Invalid Identifier)</v>
      </c>
      <c r="G1522" s="15" t="str">
        <f>IF(A1526=A1527,_xll.ciqfunctions.udf.CIQ(A1518,"IQ_EBITDA_MARGIN",IQ_FY-6), _xll.ciqfunctions.udf.CIQ(A1518, "IQ_EBITDA_MARGIN",IQ_FY-5))</f>
        <v>(Invalid Identifier)</v>
      </c>
      <c r="H1522" s="15" t="e">
        <f>IF(A1526=A1527,_xll.ciqfunctions.udf.CIQ(A1518,"IQ_TOTAL_DIV_PAID_CF",IQ_FY-6)/-I1522, _xll.ciqfunctions.udf.CIQ(A1518, "IQ_TOTAL_DIV_PAID_CF",IQ_FY-5)/-I1522)</f>
        <v>#VALUE!</v>
      </c>
      <c r="I1522" s="17" t="str">
        <f>IF(A1526=A1527,_xll.ciqfunctions.udf.CIQ(A1518,"IQ_TOTAL_OUTSTANDING_FILING_DATE",IQ_FY-6), _xll.ciqfunctions.udf.CIQ(A1518, "IQ_TOTAL_OUTSTANDING_FILING_DATE",IQ_FY-5))</f>
        <v>(Invalid Identifier)</v>
      </c>
      <c r="J1522" s="17" t="str">
        <f>IF(A1526=A1527,_xll.ciqfunctions.udf.CIQ(A1518,"IQ_CASH_OPER",IQ_FY-6), _xll.ciqfunctions.udf.CIQ(A1518, "IQ_CASH_OPER",IQ_FY-5))</f>
        <v>(Invalid Identifier)</v>
      </c>
      <c r="K1522" s="17" t="str">
        <f>IF(A1526=A1527,_xll.ciqfunctions.udf.CIQ(A1518,"IQ_CAPEX",IQ_FY-6), _xll.ciqfunctions.udf.CIQ(A1518, "IQ_CAPEX",IQ_FY-5))</f>
        <v>(Invalid Identifier)</v>
      </c>
      <c r="L1522" s="15" t="e">
        <f t="shared" si="404"/>
        <v>#VALUE!</v>
      </c>
      <c r="M1522" s="17" t="str">
        <f>IF(A1526=A1527,_xll.ciqfunctions.udf.CIQ(A1518,"IQ_TOTAL_DEBT_ISSUED",IQ_FY-6), _xll.ciqfunctions.udf.CIQ(A1518, "IQ_TOTAL_DEBT_ISSUED",IQ_FY-5))</f>
        <v>(Invalid Identifier)</v>
      </c>
      <c r="N1522" s="17" t="str">
        <f>IF(A1526=A1527,_xll.ciqfunctions.udf.CIQ(A1518,"IQ_TOTAL_DEBT_REPAID",IQ_FY-6), _xll.ciqfunctions.udf.CIQ(A1518, "IQ_TOTAL_DEBT_REPAID",IQ_FY-5))</f>
        <v>(Invalid Identifier)</v>
      </c>
      <c r="O1522" s="15" t="e">
        <f t="shared" si="405"/>
        <v>#VALUE!</v>
      </c>
      <c r="P1522" s="15" t="e">
        <f t="shared" si="406"/>
        <v>#VALUE!</v>
      </c>
      <c r="Q1522" s="18"/>
      <c r="R1522" s="38" t="s">
        <v>50</v>
      </c>
      <c r="S1522" s="3" t="e">
        <f>I1529</f>
        <v>#VALUE!</v>
      </c>
      <c r="U1522" s="18"/>
      <c r="V1522" s="38" t="s">
        <v>50</v>
      </c>
      <c r="W1522" s="3" t="e">
        <f>I1529</f>
        <v>#VALUE!</v>
      </c>
      <c r="Y1522" s="18"/>
      <c r="Z1522" s="38" t="s">
        <v>50</v>
      </c>
      <c r="AA1522" s="3" t="e">
        <f>I1529</f>
        <v>#VALUE!</v>
      </c>
    </row>
    <row r="1523" spans="1:27">
      <c r="B1523" s="13">
        <v>6</v>
      </c>
      <c r="C1523" s="14" t="s">
        <v>26</v>
      </c>
      <c r="D1523" s="15" t="e" cm="1">
        <f t="array" ref="D1523">_xlfn.SINGLE(IF(A1526=A1527,_xll.ciqfunctions.udf.CIQ(A1518,"IQ_TOTAL_REV",IQ_FY-5)/I1523, _xll.ciqfunctions.udf.CIQ(A1518, "IQ_TOTAL_REV",IQ_FY-4)/I1523))</f>
        <v>#VALUE!</v>
      </c>
      <c r="E1523" s="16" t="e">
        <f t="shared" si="407"/>
        <v>#VALUE!</v>
      </c>
      <c r="F1523" s="15" t="str">
        <f>IF(A1526=A1527,_xll.ciqfunctions.udf.CIQ(A1518,"IQ_DILUT_EPS_EXCL",IQ_FY-5), _xll.ciqfunctions.udf.CIQ(A1518, "IQ_DILUT_EPS_EXCL",IQ_FY-4))</f>
        <v>(Invalid Identifier)</v>
      </c>
      <c r="G1523" s="15" t="str">
        <f>IF(A1526=A1527,_xll.ciqfunctions.udf.CIQ(A1518,"IQ_EBITDA_MARGIN",IQ_FY-5), _xll.ciqfunctions.udf.CIQ(A1518, "IQ_EBITDA_MARGIN",IQ_FY-4))</f>
        <v>(Invalid Identifier)</v>
      </c>
      <c r="H1523" s="15" t="e">
        <f>IF(A1526=A1527,_xll.ciqfunctions.udf.CIQ(A1518,"IQ_TOTAL_DIV_PAID_CF",IQ_FY-5)/-I1523, _xll.ciqfunctions.udf.CIQ(A1518, "IQ_TOTAL_DIV_PAID_CF",IQ_FY-4)/-I1523)</f>
        <v>#VALUE!</v>
      </c>
      <c r="I1523" s="17" t="str">
        <f>IF(A1526=A1527,_xll.ciqfunctions.udf.CIQ(A1518,"IQ_TOTAL_OUTSTANDING_FILING_DATE",IQ_FY-5), _xll.ciqfunctions.udf.CIQ(A1518, "IQ_TOTAL_OUTSTANDING_FILING_DATE",IQ_FY-4))</f>
        <v>(Invalid Identifier)</v>
      </c>
      <c r="J1523" s="17" t="str">
        <f>IF(A1526=A1527,_xll.ciqfunctions.udf.CIQ(A1518,"IQ_CASH_OPER",IQ_FY-5), _xll.ciqfunctions.udf.CIQ(A1518, "IQ_CASH_OPER",IQ_FY-4))</f>
        <v>(Invalid Identifier)</v>
      </c>
      <c r="K1523" s="17" t="str">
        <f>IF(A1526=A1527,_xll.ciqfunctions.udf.CIQ(A1518,"IQ_CAPEX",IQ_FY-5), _xll.ciqfunctions.udf.CIQ(A1518, "IQ_CAPEX",IQ_FY-4))</f>
        <v>(Invalid Identifier)</v>
      </c>
      <c r="L1523" s="15" t="e">
        <f t="shared" si="404"/>
        <v>#VALUE!</v>
      </c>
      <c r="M1523" s="17" t="str">
        <f>IF(A1526=A1527,_xll.ciqfunctions.udf.CIQ(A1518,"IQ_TOTAL_DEBT_ISSUED",IQ_FY-5), _xll.ciqfunctions.udf.CIQ(A1518, "IQ_TOTAL_DEBT_ISSUED",IQ_FY-4))</f>
        <v>(Invalid Identifier)</v>
      </c>
      <c r="N1523" s="17" t="str">
        <f>IF(A1526=A1527,_xll.ciqfunctions.udf.CIQ(A1518,"IQ_TOTAL_DEBT_REPAID",IQ_FY-5), _xll.ciqfunctions.udf.CIQ(A1518, "IQ_TOTAL_DEBT_REPAID",IQ_FY-4))</f>
        <v>(Invalid Identifier)</v>
      </c>
      <c r="O1523" s="15" t="e">
        <f t="shared" si="405"/>
        <v>#VALUE!</v>
      </c>
      <c r="P1523" s="15" t="e">
        <f t="shared" si="406"/>
        <v>#VALUE!</v>
      </c>
      <c r="Q1523" s="25" t="s">
        <v>27</v>
      </c>
      <c r="R1523" s="38" t="s">
        <v>51</v>
      </c>
      <c r="S1523" s="4" t="e">
        <f>AVERAGE(F1523:F1528)/AVERAGE(D1523:D1528)</f>
        <v>#DIV/0!</v>
      </c>
      <c r="U1523" s="25" t="s">
        <v>58</v>
      </c>
      <c r="V1523" s="38" t="s">
        <v>51</v>
      </c>
      <c r="W1523" s="4" t="e">
        <f>AVERAGE(F1523:F1528)/AVERAGE(D1523:D1528)</f>
        <v>#DIV/0!</v>
      </c>
      <c r="Y1523" s="25" t="s">
        <v>56</v>
      </c>
      <c r="Z1523" s="38" t="s">
        <v>51</v>
      </c>
      <c r="AA1523" s="4" t="e">
        <f>AVERAGE(F1523:F1528)/AVERAGE(D1523:D1528)</f>
        <v>#DIV/0!</v>
      </c>
    </row>
    <row r="1524" spans="1:27">
      <c r="A1524" s="18"/>
      <c r="B1524" s="13">
        <v>7</v>
      </c>
      <c r="C1524" s="14" t="s">
        <v>28</v>
      </c>
      <c r="D1524" s="15" t="e" cm="1">
        <f t="array" ref="D1524">_xlfn.SINGLE(IF(A1526=A1527,_xll.ciqfunctions.udf.CIQ(A1518,"IQ_TOTAL_REV",IQ_FY-4)/I1524, _xll.ciqfunctions.udf.CIQ(A1518, "IQ_TOTAL_REV",IQ_FY-3)/I1524))</f>
        <v>#VALUE!</v>
      </c>
      <c r="E1524" s="16" t="e">
        <f t="shared" si="407"/>
        <v>#VALUE!</v>
      </c>
      <c r="F1524" s="15" t="str">
        <f>IF(A1526=A1527,_xll.ciqfunctions.udf.CIQ(A1518,"IQ_DILUT_EPS_EXCL",IQ_FY-4), _xll.ciqfunctions.udf.CIQ(A1518, "IQ_DILUT_EPS_EXCL",IQ_FY-3))</f>
        <v>(Invalid Identifier)</v>
      </c>
      <c r="G1524" s="15" t="str">
        <f>IF(A1526=A1527,_xll.ciqfunctions.udf.CIQ(A1518,"IQ_EBITDA_MARGIN",IQ_FY-4), _xll.ciqfunctions.udf.CIQ(A1518, "IQ_EBITDA_MARGIN",IQ_FY-3))</f>
        <v>(Invalid Identifier)</v>
      </c>
      <c r="H1524" s="15" t="e">
        <f>IF(A1526=A1527,_xll.ciqfunctions.udf.CIQ(A1518,"IQ_TOTAL_DIV_PAID_CF",IQ_FY-4)/-I1524, _xll.ciqfunctions.udf.CIQ(A1518, "IQ_TOTAL_DIV_PAID_CF",IQ_FY-3)/-I1524)</f>
        <v>#VALUE!</v>
      </c>
      <c r="I1524" s="17" t="str">
        <f>IF(A1526=A1527,_xll.ciqfunctions.udf.CIQ(A1518,"IQ_TOTAL_OUTSTANDING_FILING_DATE",IQ_FY-4), _xll.ciqfunctions.udf.CIQ(A1518, "IQ_TOTAL_OUTSTANDING_FILING_DATE",IQ_FY-3))</f>
        <v>(Invalid Identifier)</v>
      </c>
      <c r="J1524" s="17" t="str">
        <f>IF(A1526=A1527,_xll.ciqfunctions.udf.CIQ(A1518,"IQ_CASH_OPER",IQ_FY-4), _xll.ciqfunctions.udf.CIQ(A1518, "IQ_CASH_OPER",IQ_FY-3))</f>
        <v>(Invalid Identifier)</v>
      </c>
      <c r="K1524" s="17" t="str">
        <f>IF(A1526=A1527,_xll.ciqfunctions.udf.CIQ(A1518,"IQ_CAPEX",IQ_FY-4), _xll.ciqfunctions.udf.CIQ(A1518, "IQ_CAPEX",IQ_FY-3))</f>
        <v>(Invalid Identifier)</v>
      </c>
      <c r="L1524" s="15" t="e">
        <f t="shared" si="404"/>
        <v>#VALUE!</v>
      </c>
      <c r="M1524" s="17" t="str">
        <f>IF(A1526=A1527,_xll.ciqfunctions.udf.CIQ(A1518,"IQ_TOTAL_DEBT_ISSUED",IQ_FY-4), _xll.ciqfunctions.udf.CIQ(A1518, "IQ_TOTAL_DEBT_ISSUED",IQ_FY-3))</f>
        <v>(Invalid Identifier)</v>
      </c>
      <c r="N1524" s="17" t="str">
        <f>IF(A1526=A1527,_xll.ciqfunctions.udf.CIQ(A1518,"IQ_TOTAL_DEBT_REPAID",IQ_FY-4), _xll.ciqfunctions.udf.CIQ(A1518, "IQ_TOTAL_DEBT_REPAID",IQ_FY-3))</f>
        <v>(Invalid Identifier)</v>
      </c>
      <c r="O1524" s="15" t="e">
        <f t="shared" si="405"/>
        <v>#VALUE!</v>
      </c>
      <c r="P1524" s="15" t="e">
        <f t="shared" si="406"/>
        <v>#VALUE!</v>
      </c>
      <c r="Q1524" s="18"/>
      <c r="R1524" s="38" t="s">
        <v>29</v>
      </c>
      <c r="S1524" s="4" t="e">
        <f>(AVERAGE(P1523:P1528)/_xlfn.STDEV.P(P1523:P1528))/(IF(A1526=A1527,(_xlfn.SINGLE(_xll.ciqfunctions.udf.CIQ(A1518,"IQ_total_assets",IQ_FY)) - _xlfn.SINGLE(_xll.ciqfunctions.udf.CIQ(A1518,"iq_gw_intan", IQ_FY)))/I1528, (_xlfn.SINGLE(_xll.ciqfunctions.udf.CIQ(A1518, "IQ_total_assets",IQ_LTM))-_xlfn.SINGLE(_xll.ciqfunctions.udf.CIQ(A1518,"iq_gw_intan",IQ_LTM)))/I1528))</f>
        <v>#VALUE!</v>
      </c>
      <c r="U1524" s="18"/>
      <c r="V1524" s="38" t="s">
        <v>29</v>
      </c>
      <c r="W1524" s="4" t="e">
        <f>(AVERAGE(P1523:P1528)/_xlfn.STDEV.P(P1523:P1528))/(IF(A1526=A1527,(_xlfn.SINGLE(_xll.ciqfunctions.udf.CIQ(A1518,"IQ_total_assets",IQ_FY)) - _xlfn.SINGLE(_xll.ciqfunctions.udf.CIQ(A1518,"iq_gw_intan", IQ_FY)))/I1528, (_xlfn.SINGLE(_xll.ciqfunctions.udf.CIQ(A1518, "IQ_total_assets",IQ_LTM))-_xlfn.SINGLE(_xll.ciqfunctions.udf.CIQ(A1518,"iq_gw_intan",IQ_LTM)))/I1528))</f>
        <v>#VALUE!</v>
      </c>
      <c r="Y1524" s="18"/>
      <c r="Z1524" s="38" t="s">
        <v>29</v>
      </c>
      <c r="AA1524" s="4" t="e">
        <f>(AVERAGE(P1523:P1528)/_xlfn.STDEV.P(P1523:P1528))/(IF(A1526=A1527,(_xlfn.SINGLE(_xll.ciqfunctions.udf.CIQ(A1518,"IQ_total_assets",IQ_FY)) - _xlfn.SINGLE(_xll.ciqfunctions.udf.CIQ(A1518,"iq_gw_intan", IQ_FY)))/I1528, (_xlfn.SINGLE(_xll.ciqfunctions.udf.CIQ(A1518, "IQ_total_assets",IQ_LTM))-_xlfn.SINGLE(_xll.ciqfunctions.udf.CIQ(A1518,"iq_gw_intan",IQ_LTM)))/I1528))</f>
        <v>#VALUE!</v>
      </c>
    </row>
    <row r="1525" spans="1:27">
      <c r="A1525" s="18"/>
      <c r="B1525" s="13">
        <v>8</v>
      </c>
      <c r="C1525" s="14" t="s">
        <v>30</v>
      </c>
      <c r="D1525" s="15" t="e" cm="1">
        <f t="array" ref="D1525">_xlfn.SINGLE(IF(A1526=A1527,_xll.ciqfunctions.udf.CIQ(A1518,"IQ_TOTAL_REV",IQ_FY-3)/I1525, _xll.ciqfunctions.udf.CIQ(A1518, "IQ_TOTAL_REV",IQ_FY-2)/I1525))</f>
        <v>#VALUE!</v>
      </c>
      <c r="E1525" s="16" t="e">
        <f t="shared" si="407"/>
        <v>#VALUE!</v>
      </c>
      <c r="F1525" s="15" t="str">
        <f>IF(A1526=A1527,_xll.ciqfunctions.udf.CIQ(A1518,"IQ_DILUT_EPS_EXCL",IQ_FY-3), _xll.ciqfunctions.udf.CIQ(A1518, "IQ_DILUT_EPS_EXCL",IQ_FY-2))</f>
        <v>(Invalid Identifier)</v>
      </c>
      <c r="G1525" s="15" t="str">
        <f>IF(A1526=A1527,_xll.ciqfunctions.udf.CIQ(A1518,"IQ_EBITDA_MARGIN",IQ_FY-3), _xll.ciqfunctions.udf.CIQ(A1518, "IQ_EBITDA_MARGIN",IQ_FY-2))</f>
        <v>(Invalid Identifier)</v>
      </c>
      <c r="H1525" s="15" t="e">
        <f>IF(A1526=A1527,_xll.ciqfunctions.udf.CIQ(A1518,"IQ_TOTAL_DIV_PAID_CF",IQ_FY-3)/-I1525, _xll.ciqfunctions.udf.CIQ(A1518, "IQ_TOTAL_DIV_PAID_CF",IQ_FY-2)/-I1525)</f>
        <v>#VALUE!</v>
      </c>
      <c r="I1525" s="17" t="str">
        <f>IF(A1526=A1527,_xll.ciqfunctions.udf.CIQ(A1518,"IQ_TOTAL_OUTSTANDING_FILING_DATE",IQ_FY-3), _xll.ciqfunctions.udf.CIQ(A1518, "IQ_TOTAL_OUTSTANDING_FILING_DATE",IQ_FY-2))</f>
        <v>(Invalid Identifier)</v>
      </c>
      <c r="J1525" s="17" t="str">
        <f>IF(A1526=A1527,_xll.ciqfunctions.udf.CIQ(A1518,"IQ_CASH_OPER",IQ_FY-3), _xll.ciqfunctions.udf.CIQ(A1518, "IQ_CASH_OPER",IQ_FY-2))</f>
        <v>(Invalid Identifier)</v>
      </c>
      <c r="K1525" s="17" t="str">
        <f>IF(A1526=A1527,_xll.ciqfunctions.udf.CIQ(A1518,"IQ_CAPEX",IQ_FY-3), _xll.ciqfunctions.udf.CIQ(A1518, "IQ_CAPEX",IQ_FY-2))</f>
        <v>(Invalid Identifier)</v>
      </c>
      <c r="L1525" s="15" t="e">
        <f t="shared" si="404"/>
        <v>#VALUE!</v>
      </c>
      <c r="M1525" s="17" t="str">
        <f>IF(A1526=A1527,_xll.ciqfunctions.udf.CIQ(A1518,"IQ_TOTAL_DEBT_ISSUED",IQ_FY-3), _xll.ciqfunctions.udf.CIQ(A1518, "IQ_TOTAL_DEBT_ISSUED",IQ_FY-2))</f>
        <v>(Invalid Identifier)</v>
      </c>
      <c r="N1525" s="17" t="str">
        <f>IF(A1526=A1527,_xll.ciqfunctions.udf.CIQ(A1518,"IQ_TOTAL_DEBT_REPAID",IQ_FY-3), _xll.ciqfunctions.udf.CIQ(A1518, "IQ_TOTAL_DEBT_REPAID",IQ_FY-2))</f>
        <v>(Invalid Identifier)</v>
      </c>
      <c r="O1525" s="15" t="e">
        <f t="shared" si="405"/>
        <v>#VALUE!</v>
      </c>
      <c r="P1525" s="15" t="e">
        <f t="shared" si="406"/>
        <v>#VALUE!</v>
      </c>
      <c r="Q1525" s="18"/>
      <c r="R1525" s="39" t="s">
        <v>31</v>
      </c>
      <c r="S1525" s="5" t="e">
        <f>IF(NOT(D1518&gt;0),FALSE,SLOPE(G1518:G1528,B1518:B1528))</f>
        <v>#VALUE!</v>
      </c>
      <c r="U1525" s="18"/>
      <c r="V1525" s="39" t="s">
        <v>31</v>
      </c>
      <c r="W1525" s="5" t="e">
        <f>IF(NOT(D1518&gt;0),FALSE,SLOPE(G1518:G1528,B1518:B1528))</f>
        <v>#VALUE!</v>
      </c>
      <c r="Y1525" s="18"/>
      <c r="Z1525" s="39" t="s">
        <v>31</v>
      </c>
      <c r="AA1525" s="5" t="e">
        <f>IF(NOT(L1518&gt;0),FALSE,SLOPE(O1518:O1528,J1518:J1528))</f>
        <v>#VALUE!</v>
      </c>
    </row>
    <row r="1526" spans="1:27">
      <c r="A1526" s="19" t="str">
        <f>_xll.ciqfunctions.udf.CIQ(A1518,"IQ_TOTAL_REV",IQ_FY)</f>
        <v>(Invalid Identifier)</v>
      </c>
      <c r="B1526" s="13">
        <v>9</v>
      </c>
      <c r="C1526" s="14" t="s">
        <v>32</v>
      </c>
      <c r="D1526" s="15" t="e" cm="1">
        <f t="array" ref="D1526">_xlfn.SINGLE(IF(A1526=A1527,_xll.ciqfunctions.udf.CIQ(A1518,"IQ_TOTAL_REV",IQ_FY-2)/I1526, _xll.ciqfunctions.udf.CIQ(A1518, "IQ_TOTAL_REV",IQ_FY-1)/I1526))</f>
        <v>#VALUE!</v>
      </c>
      <c r="E1526" s="16" t="e">
        <f t="shared" si="407"/>
        <v>#VALUE!</v>
      </c>
      <c r="F1526" s="15" t="str">
        <f>IF(A1526=A1527,_xll.ciqfunctions.udf.CIQ(A1518,"IQ_DILUT_EPS_EXCL",IQ_FY-2), _xll.ciqfunctions.udf.CIQ(A1518, "IQ_DILUT_EPS_EXCL",IQ_FY-1))</f>
        <v>(Invalid Identifier)</v>
      </c>
      <c r="G1526" s="15" t="str">
        <f>IF(A1526=A1527,_xll.ciqfunctions.udf.CIQ(A1518,"IQ_EBITDA_MARGIN",IQ_FY-2), _xll.ciqfunctions.udf.CIQ(A1518, "IQ_EBITDA_MARGIN",IQ_FY-1))</f>
        <v>(Invalid Identifier)</v>
      </c>
      <c r="H1526" s="15" t="e">
        <f>IF(A1526=A1527,_xll.ciqfunctions.udf.CIQ(A1518,"IQ_TOTAL_DIV_PAID_CF",IQ_FY-2)/-I1526, _xll.ciqfunctions.udf.CIQ(A1518, "IQ_TOTAL_DIV_PAID_CF",IQ_FY-1)/-I1526)</f>
        <v>#VALUE!</v>
      </c>
      <c r="I1526" s="17" t="str">
        <f>IF(A1526=A1527,_xll.ciqfunctions.udf.CIQ(A1518,"IQ_TOTAL_OUTSTANDING_FILING_DATE",IQ_FY-2), _xll.ciqfunctions.udf.CIQ(A1518, "IQ_TOTAL_OUTSTANDING_FILING_DATE",IQ_FY-1))</f>
        <v>(Invalid Identifier)</v>
      </c>
      <c r="J1526" s="17" t="str">
        <f>IF(A1526=A1527,_xll.ciqfunctions.udf.CIQ(A1518,"IQ_CASH_OPER",IQ_FY-2), _xll.ciqfunctions.udf.CIQ(A1518, "IQ_CASH_OPER",IQ_FY-1))</f>
        <v>(Invalid Identifier)</v>
      </c>
      <c r="K1526" s="17" t="str">
        <f>IF(A1526=A1527,_xll.ciqfunctions.udf.CIQ(A1518,"IQ_CAPEX",IQ_FY-2), _xll.ciqfunctions.udf.CIQ(A1518, "IQ_CAPEX",IQ_FY-1))</f>
        <v>(Invalid Identifier)</v>
      </c>
      <c r="L1526" s="15" t="e">
        <f t="shared" si="404"/>
        <v>#VALUE!</v>
      </c>
      <c r="M1526" s="17" t="str">
        <f>IF(A1526=A1527,_xll.ciqfunctions.udf.CIQ(A1518,"IQ_TOTAL_DEBT_ISSUED",IQ_FY-2), _xll.ciqfunctions.udf.CIQ(A1518, "IQ_TOTAL_DEBT_ISSUED",IQ_FY-1))</f>
        <v>(Invalid Identifier)</v>
      </c>
      <c r="N1526" s="17" t="str">
        <f>IF(A1526=A1527,_xll.ciqfunctions.udf.CIQ(A1518,"IQ_TOTAL_DEBT_REPAID",IQ_FY-2), _xll.ciqfunctions.udf.CIQ(A1518, "IQ_TOTAL_DEBT_REPAID",IQ_FY-1))</f>
        <v>(Invalid Identifier)</v>
      </c>
      <c r="O1526" s="15" t="e">
        <f t="shared" si="405"/>
        <v>#VALUE!</v>
      </c>
      <c r="P1526" s="15" t="e">
        <f t="shared" si="406"/>
        <v>#VALUE!</v>
      </c>
      <c r="Q1526" s="25" t="s">
        <v>33</v>
      </c>
      <c r="R1526" s="38" t="s">
        <v>52</v>
      </c>
      <c r="S1526" s="4" t="e">
        <f>(AVERAGE(O1523:O1528)/AVERAGE(P1523:P1528))</f>
        <v>#VALUE!</v>
      </c>
      <c r="U1526" s="25" t="s">
        <v>54</v>
      </c>
      <c r="V1526" s="38" t="s">
        <v>52</v>
      </c>
      <c r="W1526" s="4" t="e">
        <f>(AVERAGE(O1523:O1528)/AVERAGE(P1523:P1528))</f>
        <v>#VALUE!</v>
      </c>
      <c r="Y1526" s="25" t="s">
        <v>60</v>
      </c>
      <c r="Z1526" s="38" t="s">
        <v>52</v>
      </c>
      <c r="AA1526" s="4" t="e">
        <f>(AVERAGE(O1523:O1528)/AVERAGE(P1523:P1528))</f>
        <v>#VALUE!</v>
      </c>
    </row>
    <row r="1527" spans="1:27">
      <c r="A1527" s="19" t="str">
        <f>_xll.ciqfunctions.udf.CIQ(A1518,"IQ_TOTAL_REV",IQ_LTM)</f>
        <v>(Invalid Identifier)</v>
      </c>
      <c r="B1527" s="13">
        <v>10</v>
      </c>
      <c r="C1527" s="14" t="s">
        <v>34</v>
      </c>
      <c r="D1527" s="15" t="e" cm="1">
        <f t="array" ref="D1527">_xlfn.SINGLE(IF(A1526=A1527,_xll.ciqfunctions.udf.CIQ(A1518,"IQ_TOTAL_REV",IQ_FY-1)/I1527, _xll.ciqfunctions.udf.CIQ(A1518, "IQ_TOTAL_REV",IQ_FY)/I1527))</f>
        <v>#VALUE!</v>
      </c>
      <c r="E1527" s="16" t="e">
        <f t="shared" si="407"/>
        <v>#VALUE!</v>
      </c>
      <c r="F1527" s="15" t="str">
        <f>IF(A1526=A1527,_xll.ciqfunctions.udf.CIQ(A1518,"IQ_DILUT_EPS_EXCL",IQ_FY-1), _xll.ciqfunctions.udf.CIQ(A1518, "IQ_DILUT_EPS_EXCL",IQ_FY))</f>
        <v>(Invalid Identifier)</v>
      </c>
      <c r="G1527" s="15" t="str">
        <f>IF(A1526=A1527,_xll.ciqfunctions.udf.CIQ(A1518,"IQ_EBITDA_MARGIN",IQ_FY-1), _xll.ciqfunctions.udf.CIQ(A1518, "IQ_EBITDA_MARGIN",IQ_FY))</f>
        <v>(Invalid Identifier)</v>
      </c>
      <c r="H1527" s="15" t="e">
        <f>IF(A1526=A1527,_xll.ciqfunctions.udf.CIQ(A1518,"IQ_TOTAL_DIV_PAID_CF",IQ_FY-1)/-I1527, _xll.ciqfunctions.udf.CIQ(A1518, "IQ_TOTAL_DIV_PAID_CF",IQ_FY)/-I1527)</f>
        <v>#VALUE!</v>
      </c>
      <c r="I1527" s="17" t="str">
        <f>IF(A1526=A1527,_xll.ciqfunctions.udf.CIQ(A1518,"IQ_TOTAL_OUTSTANDING_FILING_DATE",IQ_FY-1), _xll.ciqfunctions.udf.CIQ(A1518, "IQ_TOTAL_OUTSTANDING_FILING_DATE",IQ_FY))</f>
        <v>(Invalid Identifier)</v>
      </c>
      <c r="J1527" s="17" t="str">
        <f>IF(A1526=A1527,_xll.ciqfunctions.udf.CIQ(A1518,"IQ_CASH_OPER",IQ_FY-1), _xll.ciqfunctions.udf.CIQ(A1518, "IQ_CASH_OPER",IQ_FY))</f>
        <v>(Invalid Identifier)</v>
      </c>
      <c r="K1527" s="17" t="str">
        <f>IF(A1526=A1527,_xll.ciqfunctions.udf.CIQ(A1518,"IQ_CAPEX",IQ_FY-1), _xll.ciqfunctions.udf.CIQ(A1518, "IQ_CAPEX",IQ_FY))</f>
        <v>(Invalid Identifier)</v>
      </c>
      <c r="L1527" s="15" t="e">
        <f t="shared" si="404"/>
        <v>#VALUE!</v>
      </c>
      <c r="M1527" s="17" t="str">
        <f>IF(A1526=A1527,_xll.ciqfunctions.udf.CIQ(A1518,"IQ_TOTAL_DEBT_ISSUED",IQ_FY-1), _xll.ciqfunctions.udf.CIQ(A1518, "IQ_TOTAL_DEBT_ISSUED",IQ_FY))</f>
        <v>(Invalid Identifier)</v>
      </c>
      <c r="N1527" s="17" t="str">
        <f>IF(A1526=A1527,_xll.ciqfunctions.udf.CIQ(A1518,"IQ_TOTAL_DEBT_REPAID",IQ_FY-1), _xll.ciqfunctions.udf.CIQ(A1518, "IQ_TOTAL_DEBT_REPAID",IQ_FY))</f>
        <v>(Invalid Identifier)</v>
      </c>
      <c r="O1527" s="15" t="e">
        <f t="shared" si="405"/>
        <v>#VALUE!</v>
      </c>
      <c r="P1527" s="15" t="e">
        <f t="shared" si="406"/>
        <v>#VALUE!</v>
      </c>
      <c r="Q1527" s="25" t="s">
        <v>44</v>
      </c>
      <c r="R1527" s="38" t="s">
        <v>35</v>
      </c>
      <c r="S1527" s="1" t="str">
        <f>_xll.ciqfunctions.udf.CIQ(A1518,"IQ_TEV_EBITDA")</f>
        <v>(Invalid Identifier)</v>
      </c>
      <c r="U1527" s="25" t="s">
        <v>55</v>
      </c>
      <c r="V1527" s="38" t="s">
        <v>53</v>
      </c>
      <c r="W1527" s="1" t="e">
        <f>V1517/(AVERAGE(D1523:D1528)/_xlfn.STDEV.P(E1523:E1528))</f>
        <v>#VALUE!</v>
      </c>
      <c r="Y1527" s="25" t="s">
        <v>57</v>
      </c>
      <c r="Z1527" s="38" t="s">
        <v>53</v>
      </c>
      <c r="AA1527" s="1" t="e">
        <f>Z1517/(AVERAGE(D1523:D1528)/_xlfn.STDEV.P(E1523:E1528))</f>
        <v>#VALUE!</v>
      </c>
    </row>
    <row r="1528" spans="1:27">
      <c r="B1528" s="13">
        <v>11</v>
      </c>
      <c r="C1528" s="20" t="s">
        <v>36</v>
      </c>
      <c r="D1528" s="21" t="e" cm="1">
        <f t="array" ref="D1528">_xlfn.SINGLE(IF(A1526=A1527,_xll.ciqfunctions.udf.CIQ(A1518,"IQ_TOTAL_REV",IQ_FY)/I1528, _xll.ciqfunctions.udf.CIQ(A1518, "IQ_TOTAL_REV",IQ_LTM)/I1528))</f>
        <v>#VALUE!</v>
      </c>
      <c r="E1528" s="22" t="e">
        <f t="shared" si="407"/>
        <v>#VALUE!</v>
      </c>
      <c r="F1528" s="21" t="str">
        <f>IF(A1526=A1527,_xll.ciqfunctions.udf.CIQ(A1518,"IQ_DILUT_EPS_EXCL",IQ_FY), _xll.ciqfunctions.udf.CIQ(A1518, "IQ_DILUT_EPS_EXCL",IQ_LTM))</f>
        <v>(Invalid Identifier)</v>
      </c>
      <c r="G1528" s="21" t="str">
        <f>IF(A1526=A1527,_xll.ciqfunctions.udf.CIQ(A1518,"IQ_EBITDA_MARGIN",IQ_FY), _xll.ciqfunctions.udf.CIQ(A1518, "IQ_EBITDA_MARGIN",IQ_LTM))</f>
        <v>(Invalid Identifier)</v>
      </c>
      <c r="H1528" s="21" t="e">
        <f>IF(A1526=A1527,_xll.ciqfunctions.udf.CIQ(A1518,"IQ_TOTAL_DIV_PAID_CF",IQ_FY)/-I1528, _xll.ciqfunctions.udf.CIQ(A1518, "IQ_TOTAL_DIV_PAID_CF",IQ_LTM)/-I1528)</f>
        <v>#VALUE!</v>
      </c>
      <c r="I1528" s="23" t="str">
        <f>IF(A1526=A1527,_xll.ciqfunctions.udf.CIQ(A1518,"IQ_TOTAL_OUTSTANDING_FILING_DATE",IQ_FY),_xll.ciqfunctions.udf.CIQ(A1518,"IQ_sharesoutstanding"))</f>
        <v>(Invalid Identifier)</v>
      </c>
      <c r="J1528" s="23" t="str">
        <f>IF(A1526=A1527,_xll.ciqfunctions.udf.CIQ(A1518,"IQ_CASH_OPER",IQ_FY), _xll.ciqfunctions.udf.CIQ(A1518, "IQ_CASH_OPER",IQ_LTM))</f>
        <v>(Invalid Identifier)</v>
      </c>
      <c r="K1528" s="23" t="str">
        <f>IF(A1526=A1527,_xll.ciqfunctions.udf.CIQ(A1518,"IQ_CAPEX",IQ_FY), _xll.ciqfunctions.udf.CIQ(A1518, "IQ_CAPEX",IQ_LTM))</f>
        <v>(Invalid Identifier)</v>
      </c>
      <c r="L1528" s="21" t="e">
        <f t="shared" si="404"/>
        <v>#VALUE!</v>
      </c>
      <c r="M1528" s="23" t="str">
        <f>IF(A1526=A1527,_xll.ciqfunctions.udf.CIQ(A1518,"IQ_TOTAL_DEBT_ISSUED",IQ_FY), _xll.ciqfunctions.udf.CIQ(A1518, "IQ_TOTAL_DEBT_ISSUED",IQ_LTM))</f>
        <v>(Invalid Identifier)</v>
      </c>
      <c r="N1528" s="23" t="str">
        <f>IF(A1526=A1527,_xll.ciqfunctions.udf.CIQ(A1518,"IQ_TOTAL_DEBT_REPAID",IQ_FY), _xll.ciqfunctions.udf.CIQ(A1518, "IQ_TOTAL_DEBT_REPAID",IQ_LTM))</f>
        <v>(Invalid Identifier)</v>
      </c>
      <c r="O1528" s="21" t="e">
        <f t="shared" si="405"/>
        <v>#VALUE!</v>
      </c>
      <c r="P1528" s="21" t="e">
        <f t="shared" si="406"/>
        <v>#VALUE!</v>
      </c>
      <c r="Q1528" s="25" t="s">
        <v>45</v>
      </c>
      <c r="S1528" s="45"/>
      <c r="U1528" s="25"/>
      <c r="W1528" s="45"/>
      <c r="Y1528" s="25"/>
      <c r="AA1528" s="45"/>
    </row>
    <row r="1529" spans="1:27">
      <c r="B1529" s="24"/>
      <c r="C1529" s="25" t="s">
        <v>37</v>
      </c>
      <c r="E1529" s="26" t="e">
        <f>((D1528/D1523)^(1/5))-1</f>
        <v>#VALUE!</v>
      </c>
      <c r="F1529" s="27" t="e">
        <f>((F1528/F1523)^(1/5))-1</f>
        <v>#VALUE!</v>
      </c>
      <c r="G1529" s="28"/>
      <c r="H1529" s="27" t="e">
        <f>((H1528/H1523)^(1/5))-1</f>
        <v>#VALUE!</v>
      </c>
      <c r="I1529" s="27" t="e">
        <f>((I1528/I1523)^(1/5))-1</f>
        <v>#VALUE!</v>
      </c>
      <c r="J1529" s="27"/>
      <c r="K1529" s="27"/>
      <c r="L1529" s="26" t="e">
        <f>((L1528/L1523)^(1/5))-1</f>
        <v>#VALUE!</v>
      </c>
      <c r="M1529" s="26"/>
      <c r="N1529" s="26"/>
      <c r="O1529" s="26"/>
      <c r="P1529" s="26" t="e">
        <f>((P1528/P1523)^(1/5))-1</f>
        <v>#VALUE!</v>
      </c>
      <c r="Q1529" s="18"/>
      <c r="R1529" s="36"/>
      <c r="S1529" s="45"/>
      <c r="U1529" s="18"/>
      <c r="V1529" s="36"/>
      <c r="W1529" s="45"/>
      <c r="Y1529" s="18"/>
      <c r="Z1529" s="36"/>
      <c r="AA1529" s="45"/>
    </row>
    <row r="1530" spans="1:27">
      <c r="A1530" s="29"/>
      <c r="B1530" s="30"/>
      <c r="C1530" s="31" t="s">
        <v>38</v>
      </c>
      <c r="D1530" s="29"/>
      <c r="E1530" s="32" t="e">
        <f>((D1528/D1518)^(1/10))-1</f>
        <v>#VALUE!</v>
      </c>
      <c r="F1530" s="33" t="e">
        <f>((F1528/F1518)^(1/10))-1</f>
        <v>#VALUE!</v>
      </c>
      <c r="G1530" s="34"/>
      <c r="H1530" s="33" t="e">
        <f>((H1528/H1518)^(1/10))-1</f>
        <v>#VALUE!</v>
      </c>
      <c r="I1530" s="33" t="e">
        <f>((I1528/I1518)^(1/10))-1</f>
        <v>#VALUE!</v>
      </c>
      <c r="J1530" s="33"/>
      <c r="K1530" s="33"/>
      <c r="L1530" s="32" t="e">
        <f>((L1528/L1518)^(1/10))-1</f>
        <v>#VALUE!</v>
      </c>
      <c r="M1530" s="32"/>
      <c r="N1530" s="32"/>
      <c r="O1530" s="32"/>
      <c r="P1530" s="32" t="e">
        <f>((P1528/P1518)^(1/10))-1</f>
        <v>#VALUE!</v>
      </c>
      <c r="Q1530" s="40"/>
      <c r="R1530" s="41"/>
      <c r="S1530" s="46"/>
      <c r="U1530" s="40"/>
      <c r="V1530" s="41"/>
      <c r="W1530" s="46"/>
      <c r="Y1530" s="40"/>
      <c r="Z1530" s="41"/>
      <c r="AA1530" s="46"/>
    </row>
    <row r="1531" spans="1:27">
      <c r="B1531" s="24"/>
      <c r="C1531" s="25"/>
      <c r="E1531" s="26"/>
      <c r="F1531" s="27"/>
      <c r="G1531" s="28"/>
      <c r="H1531" s="27"/>
      <c r="I1531" s="27"/>
      <c r="J1531" s="27"/>
      <c r="K1531" s="27"/>
      <c r="L1531" s="26"/>
      <c r="M1531" s="17"/>
      <c r="N1531" s="17"/>
      <c r="O1531" s="17"/>
      <c r="P1531" s="35"/>
      <c r="Q1531" s="18"/>
      <c r="R1531" s="36"/>
    </row>
    <row r="1532" spans="1:27">
      <c r="A1532" s="9" t="s">
        <v>0</v>
      </c>
      <c r="B1532" s="10"/>
      <c r="C1532" s="9" t="s">
        <v>1</v>
      </c>
      <c r="D1532" s="9" t="s">
        <v>2</v>
      </c>
      <c r="E1532" s="9" t="s">
        <v>3</v>
      </c>
      <c r="F1532" s="11" t="s">
        <v>4</v>
      </c>
      <c r="G1532" s="11" t="s">
        <v>5</v>
      </c>
      <c r="H1532" s="9" t="s">
        <v>6</v>
      </c>
      <c r="I1532" s="11" t="s">
        <v>7</v>
      </c>
      <c r="J1532" s="11" t="s">
        <v>8</v>
      </c>
      <c r="K1532" s="11" t="s">
        <v>9</v>
      </c>
      <c r="L1532" s="11" t="s">
        <v>10</v>
      </c>
      <c r="M1532" s="11" t="s">
        <v>11</v>
      </c>
      <c r="N1532" s="11" t="s">
        <v>12</v>
      </c>
      <c r="O1532" s="11" t="s">
        <v>13</v>
      </c>
      <c r="P1532" s="11" t="s">
        <v>14</v>
      </c>
      <c r="Q1532" s="37" t="s">
        <v>15</v>
      </c>
      <c r="R1532" s="42">
        <f>_xll.ciqfunctions.udf.CIQ(A1533,("IQ_LASTSALEPRICE"))</f>
        <v>52.16</v>
      </c>
      <c r="S1532" s="44"/>
      <c r="U1532" s="37" t="s">
        <v>15</v>
      </c>
      <c r="V1532" s="42">
        <f>_xll.ciqfunctions.udf.CIQ(A1533,("IQ_LASTSALEPRICE"))</f>
        <v>52.16</v>
      </c>
      <c r="W1532" s="44"/>
      <c r="Y1532" s="37" t="s">
        <v>15</v>
      </c>
      <c r="Z1532" s="42">
        <f>_xll.ciqfunctions.udf.CIQ(A1533,("IQ_LASTSALEPRICE"))</f>
        <v>52.16</v>
      </c>
      <c r="AA1532" s="44"/>
    </row>
    <row r="1533" spans="1:27">
      <c r="A1533" s="12" t="str">
        <f>Analysis!B104</f>
        <v>NYSE:DT</v>
      </c>
      <c r="B1533" s="13">
        <v>1</v>
      </c>
      <c r="C1533" s="14" t="s">
        <v>16</v>
      </c>
      <c r="D1533" s="15" t="e">
        <f>IF(A1541=A1542,_xll.ciqfunctions.udf.CIQ(A1533,"IQ_TOTAL_REV",IQ_FY-10)/I1533,_xll.ciqfunctions.udf.CIQ(A1533, "IQ_TOTAL_REV",IQ_FY-9)/I1533)</f>
        <v>#DIV/0!</v>
      </c>
      <c r="E1533" s="16"/>
      <c r="F1533" s="15">
        <f>IF(A1541=A1542,_xll.ciqfunctions.udf.CIQ(A1533,"IQ_DILUT_EPS_EXCL",IQ_FY-10), _xll.ciqfunctions.udf.CIQ(A1533, "IQ_DILUT_EPS_EXCL",IQ_FY-9))</f>
        <v>0</v>
      </c>
      <c r="G1533" s="15">
        <f>IF(A1541=A1542,_xll.ciqfunctions.udf.CIQ(A1533,"IQ_EBITDA_MARGIN",IQ_FY-10), _xll.ciqfunctions.udf.CIQ(A1533, "IQ_EBITDA_MARGIN",IQ_FY-9))</f>
        <v>0</v>
      </c>
      <c r="H1533" s="15" t="e">
        <f>IF(A1541=A1542,_xll.ciqfunctions.udf.CIQ(A1533,"IQ_TOTAL_DIV_PAID_CF",IQ_FY-10)/-I1533, _xll.ciqfunctions.udf.CIQ(A1533, "IQ_TOTAL_DIV_PAID_CF",IQ_FY-9)/-I1533)</f>
        <v>#DIV/0!</v>
      </c>
      <c r="I1533" s="17">
        <f>IF(A1541=A1542,_xll.ciqfunctions.udf.CIQ(A1533,"IQ_TOTAL_OUTSTANDING_FILING_DATE",IQ_FY-10), _xll.ciqfunctions.udf.CIQ(A1533, "IQ_TOTAL_OUTSTANDING_FILING_DATE",IQ_FY-9))</f>
        <v>0</v>
      </c>
      <c r="J1533" s="17">
        <f>IF(A1541=A1542,_xll.ciqfunctions.udf.CIQ(A1533,"IQ_CASH_OPER",IQ_FY-10), _xll.ciqfunctions.udf.CIQ(A1533, "IQ_CASH_OPER",IQ_FY-9))</f>
        <v>0</v>
      </c>
      <c r="K1533" s="17">
        <f>IF(A1541=A1542,_xll.ciqfunctions.udf.CIQ(A1533,"IQ_CAPEX",IQ_FY-10), _xll.ciqfunctions.udf.CIQ(A1533, "IQ_CAPEX",IQ_FY-9))</f>
        <v>0</v>
      </c>
      <c r="L1533" s="15" t="e">
        <f t="shared" ref="L1533:L1543" si="408">(J1533+K1533)/I1533</f>
        <v>#DIV/0!</v>
      </c>
      <c r="M1533" s="17">
        <f>IF(A1541=A1542,_xll.ciqfunctions.udf.CIQ(A1533,"IQ_TOTAL_DEBT_ISSUED",IQ_FY-10), _xll.ciqfunctions.udf.CIQ(A1533, "IQ_TOTAL_DEBT_ISSUED",IQ_FY-9))</f>
        <v>0</v>
      </c>
      <c r="N1533" s="17">
        <f>IF(A1541=A1542,_xll.ciqfunctions.udf.CIQ(A1533,"IQ_TOTAL_DEBT_REPAID",IQ_FY-10), _xll.ciqfunctions.udf.CIQ(A1533, "IQ_TOTAL_DEBT_REPAID",IQ_FY-9))</f>
        <v>0</v>
      </c>
      <c r="O1533" s="15" t="e">
        <f t="shared" ref="O1533:O1543" si="409">(M1533+N1533)/I1533</f>
        <v>#DIV/0!</v>
      </c>
      <c r="P1533" s="15" t="e">
        <f t="shared" ref="P1533:P1543" si="410">L1533+O1533</f>
        <v>#DIV/0!</v>
      </c>
      <c r="W1533" s="43"/>
      <c r="AA1533" s="43"/>
    </row>
    <row r="1534" spans="1:27">
      <c r="A1534" s="18" t="str">
        <f>_xll.ciqfunctions.udf.CIQ(A1533,"IQ_COMPANY_NAME")</f>
        <v>Dynatrace, Inc.</v>
      </c>
      <c r="B1534" s="13">
        <v>2</v>
      </c>
      <c r="C1534" s="14" t="s">
        <v>17</v>
      </c>
      <c r="D1534" s="15" t="e">
        <f>IF(A1541=A1542,_xll.ciqfunctions.udf.CIQ(A1533,"IQ_TOTAL_REV",IQ_FY-9)/I1534, _xll.ciqfunctions.udf.CIQ(A1533, "IQ_TOTAL_REV",IQ_FY-8)/I1534)</f>
        <v>#DIV/0!</v>
      </c>
      <c r="E1534" s="16" t="e">
        <f t="shared" ref="E1534:E1543" si="411">(D1534-D1533)/D1533</f>
        <v>#DIV/0!</v>
      </c>
      <c r="F1534" s="15">
        <f>IF(A1541=A1542,_xll.ciqfunctions.udf.CIQ(A1533,"IQ_DILUT_EPS_EXCL",IQ_FY-9), _xll.ciqfunctions.udf.CIQ(A1533, "IQ_DILUT_EPS_EXCL",IQ_FY-8))</f>
        <v>0</v>
      </c>
      <c r="G1534" s="15">
        <f>IF(A1541=A1542,_xll.ciqfunctions.udf.CIQ(A1533,"IQ_EBITDA_MARGIN",IQ_FY-9), _xll.ciqfunctions.udf.CIQ(A1533, "IQ_EBITDA_MARGIN",IQ_FY-8))</f>
        <v>0</v>
      </c>
      <c r="H1534" s="15" t="e">
        <f>IF(A1541=A1542,_xll.ciqfunctions.udf.CIQ(A1533,"IQ_TOTAL_DIV_PAID_CF",IQ_FY-9)/-I1534, _xll.ciqfunctions.udf.CIQ(A1533, "IQ_TOTAL_DIV_PAID_CF",IQ_FY-8)/-I1534)</f>
        <v>#DIV/0!</v>
      </c>
      <c r="I1534" s="17">
        <f>IF(A1541=A1542,_xll.ciqfunctions.udf.CIQ(A1533,"IQ_TOTAL_OUTSTANDING_FILING_DATE",IQ_FY-9), _xll.ciqfunctions.udf.CIQ(A1533, "IQ_TOTAL_OUTSTANDING_FILING_DATE",IQ_FY-8))</f>
        <v>0</v>
      </c>
      <c r="J1534" s="17">
        <f>IF(A1541=A1542,_xll.ciqfunctions.udf.CIQ(A1533,"IQ_CASH_OPER",IQ_FY-9), _xll.ciqfunctions.udf.CIQ(A1533, "IQ_CASH_OPER",IQ_FY-8))</f>
        <v>0</v>
      </c>
      <c r="K1534" s="17">
        <f>IF(A1541=A1542,_xll.ciqfunctions.udf.CIQ(A1533,"IQ_CAPEX",IQ_FY-9), _xll.ciqfunctions.udf.CIQ(A1533, "IQ_CAPEX",IQ_FY-8))</f>
        <v>0</v>
      </c>
      <c r="L1534" s="15" t="e">
        <f t="shared" si="408"/>
        <v>#DIV/0!</v>
      </c>
      <c r="M1534" s="17">
        <f>IF(A1541=A1542,_xll.ciqfunctions.udf.CIQ(A1533,"IQ_TOTAL_DEBT_ISSUED",IQ_FY-9), _xll.ciqfunctions.udf.CIQ(A1533, "IQ_TOTAL_DEBT_ISSUED",IQ_FY-8))</f>
        <v>0</v>
      </c>
      <c r="N1534" s="17">
        <f>IF(A1541=A1542,_xll.ciqfunctions.udf.CIQ(A1533,"IQ_TOTAL_DEBT_REPAID",IQ_FY-9), _xll.ciqfunctions.udf.CIQ(A1533, "IQ_TOTAL_DEBT_REPAID",IQ_FY-8))</f>
        <v>0</v>
      </c>
      <c r="O1534" s="15" t="e">
        <f t="shared" si="409"/>
        <v>#DIV/0!</v>
      </c>
      <c r="P1534" s="15" t="e">
        <f t="shared" si="410"/>
        <v>#DIV/0!</v>
      </c>
      <c r="Q1534" s="25" t="s">
        <v>18</v>
      </c>
      <c r="R1534" s="39" t="s">
        <v>19</v>
      </c>
      <c r="S1534" s="1">
        <f>R1532/((AVERAGE(P1538:P1543))*(1+E1544)^3)</f>
        <v>1.6577562861667572</v>
      </c>
      <c r="U1534" s="25" t="s">
        <v>48</v>
      </c>
      <c r="V1534" s="39" t="s">
        <v>19</v>
      </c>
      <c r="W1534" s="1">
        <f>V1532/((AVERAGE(P1538:P1543))*(1+E1544)^3)</f>
        <v>1.6577562861667572</v>
      </c>
      <c r="Y1534" s="25" t="s">
        <v>39</v>
      </c>
      <c r="Z1534" s="39" t="s">
        <v>19</v>
      </c>
      <c r="AA1534" s="1">
        <f>Z1532/((AVERAGE(P1538:P1543))*(1+E1544)^3)</f>
        <v>1.6577562861667572</v>
      </c>
    </row>
    <row r="1535" spans="1:27">
      <c r="B1535" s="13">
        <v>3</v>
      </c>
      <c r="C1535" s="14" t="s">
        <v>20</v>
      </c>
      <c r="D1535" s="15" t="e" cm="1">
        <f t="array" ref="D1535">_xlfn.SINGLE(IF(A1541=A1542,_xll.ciqfunctions.udf.CIQ(A1533,"IQ_TOTAL_REV",IQ_FY-8)/I1535, _xll.ciqfunctions.udf.CIQ(A1533, "IQ_TOTAL_REV",IQ_FY-7)/I1535))</f>
        <v>#DIV/0!</v>
      </c>
      <c r="E1535" s="16" t="e">
        <f t="shared" si="411"/>
        <v>#DIV/0!</v>
      </c>
      <c r="F1535" s="15">
        <f>IF(A1541=A1542,_xll.ciqfunctions.udf.CIQ(A1533,"IQ_DILUT_EPS_EXCL",IQ_FY-8), _xll.ciqfunctions.udf.CIQ(A1533, "IQ_DILUT_EPS_EXCL",IQ_FY-7))</f>
        <v>0</v>
      </c>
      <c r="G1535" s="15">
        <f>IF(A1541=A1542,_xll.ciqfunctions.udf.CIQ(A1533,"IQ_EBITDA_MARGIN",IQ_FY-8), _xll.ciqfunctions.udf.CIQ(A1533, "IQ_EBITDA_MARGIN",IQ_FY-7))</f>
        <v>0</v>
      </c>
      <c r="H1535" s="15" t="e">
        <f>IF(A1541=A1542,_xll.ciqfunctions.udf.CIQ(A1533,"IQ_TOTAL_DIV_PAID_CF",IQ_FY-8)/-I1535, _xll.ciqfunctions.udf.CIQ(A1533, "IQ_TOTAL_DIV_PAID_CF",IQ_FY-7)/-I1535)</f>
        <v>#DIV/0!</v>
      </c>
      <c r="I1535" s="17">
        <f>IF(A1541=A1542,_xll.ciqfunctions.udf.CIQ(A1533,"IQ_TOTAL_OUTSTANDING_FILING_DATE",IQ_FY-8), _xll.ciqfunctions.udf.CIQ(A1533, "IQ_TOTAL_OUTSTANDING_FILING_DATE",IQ_FY-7))</f>
        <v>0</v>
      </c>
      <c r="J1535" s="17">
        <f>IF(A1541=A1542,_xll.ciqfunctions.udf.CIQ(A1533,"IQ_CASH_OPER",IQ_FY-8), _xll.ciqfunctions.udf.CIQ(A1533, "IQ_CASH_OPER",IQ_FY-7))</f>
        <v>0</v>
      </c>
      <c r="K1535" s="17">
        <f>IF(A1541=A1542,_xll.ciqfunctions.udf.CIQ(A1533,"IQ_CAPEX",IQ_FY-8), _xll.ciqfunctions.udf.CIQ(A1533, "IQ_CAPEX",IQ_FY-7))</f>
        <v>0</v>
      </c>
      <c r="L1535" s="15" t="e">
        <f t="shared" si="408"/>
        <v>#DIV/0!</v>
      </c>
      <c r="M1535" s="17">
        <f>IF(A1541=A1542,_xll.ciqfunctions.udf.CIQ(A1533,"IQ_TOTAL_DEBT_ISSUED",IQ_FY-8), _xll.ciqfunctions.udf.CIQ(A1533, "IQ_TOTAL_DEBT_ISSUED",IQ_FY-7))</f>
        <v>0</v>
      </c>
      <c r="N1535" s="17">
        <f>IF(A1541=A1542,_xll.ciqfunctions.udf.CIQ(A1533,"IQ_TOTAL_DEBT_REPAID",IQ_FY-8), _xll.ciqfunctions.udf.CIQ(A1533, "IQ_TOTAL_DEBT_REPAID",IQ_FY-7))</f>
        <v>0</v>
      </c>
      <c r="O1535" s="15" t="e">
        <f t="shared" si="409"/>
        <v>#DIV/0!</v>
      </c>
      <c r="P1535" s="15" t="e">
        <f t="shared" si="410"/>
        <v>#DIV/0!</v>
      </c>
      <c r="Q1535" s="25" t="s">
        <v>21</v>
      </c>
      <c r="R1535" s="38" t="s">
        <v>49</v>
      </c>
      <c r="S1535" s="2">
        <f>(R1532*I1543)/1000</f>
        <v>15.355616076799999</v>
      </c>
      <c r="U1535" s="25" t="s">
        <v>59</v>
      </c>
      <c r="V1535" s="38" t="s">
        <v>49</v>
      </c>
      <c r="W1535" s="2">
        <f>(V1532*I1543)/1000</f>
        <v>15.355616076799999</v>
      </c>
      <c r="Y1535" s="25" t="s">
        <v>46</v>
      </c>
      <c r="Z1535" s="38" t="s">
        <v>49</v>
      </c>
      <c r="AA1535" s="2">
        <f>(Z1532*I1543)/1000</f>
        <v>15.355616076799999</v>
      </c>
    </row>
    <row r="1536" spans="1:27">
      <c r="A1536" s="18"/>
      <c r="B1536" s="13">
        <v>4</v>
      </c>
      <c r="C1536" s="14" t="s">
        <v>22</v>
      </c>
      <c r="D1536" s="15" t="e" cm="1">
        <f t="array" ref="D1536">_xlfn.SINGLE(IF(A1541=A1542,_xll.ciqfunctions.udf.CIQ(A1533,"IQ_TOTAL_REV",IQ_FY-7)/I1536, _xll.ciqfunctions.udf.CIQ(A1533, "IQ_TOTAL_REV",IQ_FY-6)/I1536))</f>
        <v>#DIV/0!</v>
      </c>
      <c r="E1536" s="16" t="e">
        <f t="shared" si="411"/>
        <v>#DIV/0!</v>
      </c>
      <c r="F1536" s="15">
        <f>IF(A1541=A1542,_xll.ciqfunctions.udf.CIQ(A1533,"IQ_DILUT_EPS_EXCL",IQ_FY-7), _xll.ciqfunctions.udf.CIQ(A1533, "IQ_DILUT_EPS_EXCL",IQ_FY-6))</f>
        <v>0</v>
      </c>
      <c r="G1536" s="15">
        <f>IF(A1541=A1542,_xll.ciqfunctions.udf.CIQ(A1533,"IQ_EBITDA_MARGIN",IQ_FY-7), _xll.ciqfunctions.udf.CIQ(A1533, "IQ_EBITDA_MARGIN",IQ_FY-6))</f>
        <v>20.480399999999999</v>
      </c>
      <c r="H1536" s="15" t="e">
        <f>IF(A1541=A1542,_xll.ciqfunctions.udf.CIQ(A1533,"IQ_TOTAL_DIV_PAID_CF",IQ_FY-7)/-I1536, _xll.ciqfunctions.udf.CIQ(A1533, "IQ_TOTAL_DIV_PAID_CF",IQ_FY-6)/-I1536)</f>
        <v>#DIV/0!</v>
      </c>
      <c r="I1536" s="17">
        <f>IF(A1541=A1542,_xll.ciqfunctions.udf.CIQ(A1533,"IQ_TOTAL_OUTSTANDING_FILING_DATE",IQ_FY-7), _xll.ciqfunctions.udf.CIQ(A1533, "IQ_TOTAL_OUTSTANDING_FILING_DATE",IQ_FY-6))</f>
        <v>0</v>
      </c>
      <c r="J1536" s="17">
        <f>IF(A1541=A1542,_xll.ciqfunctions.udf.CIQ(A1533,"IQ_CASH_OPER",IQ_FY-7), _xll.ciqfunctions.udf.CIQ(A1533, "IQ_CASH_OPER",IQ_FY-6))</f>
        <v>94.56</v>
      </c>
      <c r="K1536" s="17">
        <f>IF(A1541=A1542,_xll.ciqfunctions.udf.CIQ(A1533,"IQ_CAPEX",IQ_FY-7), _xll.ciqfunctions.udf.CIQ(A1533, "IQ_CAPEX",IQ_FY-6))</f>
        <v>-8.66</v>
      </c>
      <c r="L1536" s="15" t="e">
        <f t="shared" si="408"/>
        <v>#DIV/0!</v>
      </c>
      <c r="M1536" s="17">
        <f>IF(A1541=A1542,_xll.ciqfunctions.udf.CIQ(A1533,"IQ_TOTAL_DEBT_ISSUED",IQ_FY-7), _xll.ciqfunctions.udf.CIQ(A1533, "IQ_TOTAL_DEBT_ISSUED",IQ_FY-6))</f>
        <v>0</v>
      </c>
      <c r="N1536" s="17">
        <f>IF(A1541=A1542,_xll.ciqfunctions.udf.CIQ(A1533,"IQ_TOTAL_DEBT_REPAID",IQ_FY-7), _xll.ciqfunctions.udf.CIQ(A1533, "IQ_TOTAL_DEBT_REPAID",IQ_FY-6))</f>
        <v>0</v>
      </c>
      <c r="O1536" s="15" t="e">
        <f t="shared" si="409"/>
        <v>#DIV/0!</v>
      </c>
      <c r="P1536" s="15" t="e">
        <f t="shared" si="410"/>
        <v>#DIV/0!</v>
      </c>
      <c r="Q1536" s="25" t="s">
        <v>23</v>
      </c>
      <c r="R1536" s="38" t="s">
        <v>24</v>
      </c>
      <c r="S1536" s="1" t="e">
        <f>R1532/(AVERAGE(H1538:H1543)*(1+H1544)/(0.5-H1544))</f>
        <v>#DIV/0!</v>
      </c>
      <c r="U1536" s="25" t="s">
        <v>40</v>
      </c>
      <c r="V1536" s="38" t="s">
        <v>24</v>
      </c>
      <c r="W1536" s="1" t="e">
        <f>V1532/(AVERAGE(H1538:H1543)*(1+H1544)/(0.5-H1544))</f>
        <v>#DIV/0!</v>
      </c>
      <c r="Y1536" s="25" t="s">
        <v>47</v>
      </c>
      <c r="Z1536" s="38" t="s">
        <v>24</v>
      </c>
      <c r="AA1536" s="1" t="e">
        <f>Z1532/(AVERAGE(H1538:H1543)*(1+H1544)/(0.5-H1544))</f>
        <v>#DIV/0!</v>
      </c>
    </row>
    <row r="1537" spans="1:27">
      <c r="B1537" s="13">
        <v>5</v>
      </c>
      <c r="C1537" s="14" t="s">
        <v>25</v>
      </c>
      <c r="D1537" s="15" cm="1">
        <f t="array" ref="D1537">_xlfn.SINGLE(IF(A1541=A1542,_xll.ciqfunctions.udf.CIQ(A1533,"IQ_TOTAL_REV",IQ_FY-6)/I1537, _xll.ciqfunctions.udf.CIQ(A1533, "IQ_TOTAL_REV",IQ_FY-5)/I1537))</f>
        <v>3980.4700000000003</v>
      </c>
      <c r="E1537" s="16" t="e">
        <f t="shared" si="411"/>
        <v>#DIV/0!</v>
      </c>
      <c r="F1537" s="15">
        <f>IF(A1541=A1542,_xll.ciqfunctions.udf.CIQ(A1533,"IQ_DILUT_EPS_EXCL",IQ_FY-6), _xll.ciqfunctions.udf.CIQ(A1533, "IQ_DILUT_EPS_EXCL",IQ_FY-5))</f>
        <v>3.9759999999999997E-2</v>
      </c>
      <c r="G1537" s="15">
        <f>IF(A1541=A1542,_xll.ciqfunctions.udf.CIQ(A1533,"IQ_EBITDA_MARGIN",IQ_FY-6), _xll.ciqfunctions.udf.CIQ(A1533, "IQ_EBITDA_MARGIN",IQ_FY-5))</f>
        <v>10.7326</v>
      </c>
      <c r="H1537" s="15">
        <f>IF(A1541=A1542,_xll.ciqfunctions.udf.CIQ(A1533,"IQ_TOTAL_DIV_PAID_CF",IQ_FY-6)/-I1537, _xll.ciqfunctions.udf.CIQ(A1533, "IQ_TOTAL_DIV_PAID_CF",IQ_FY-5)/-I1537)</f>
        <v>0</v>
      </c>
      <c r="I1537" s="17">
        <f>IF(A1541=A1542,_xll.ciqfunctions.udf.CIQ(A1533,"IQ_TOTAL_OUTSTANDING_FILING_DATE",IQ_FY-6), _xll.ciqfunctions.udf.CIQ(A1533, "IQ_TOTAL_OUTSTANDING_FILING_DATE",IQ_FY-5))</f>
        <v>0.1</v>
      </c>
      <c r="J1537" s="17">
        <f>IF(A1541=A1542,_xll.ciqfunctions.udf.CIQ(A1533,"IQ_CASH_OPER",IQ_FY-6), _xll.ciqfunctions.udf.CIQ(A1533, "IQ_CASH_OPER",IQ_FY-5))</f>
        <v>118.83799999999999</v>
      </c>
      <c r="K1537" s="17">
        <f>IF(A1541=A1542,_xll.ciqfunctions.udf.CIQ(A1533,"IQ_CAPEX",IQ_FY-6), _xll.ciqfunctions.udf.CIQ(A1533, "IQ_CAPEX",IQ_FY-5))</f>
        <v>-11.606</v>
      </c>
      <c r="L1537" s="15">
        <f t="shared" si="408"/>
        <v>1072.32</v>
      </c>
      <c r="M1537" s="17">
        <f>IF(A1541=A1542,_xll.ciqfunctions.udf.CIQ(A1533,"IQ_TOTAL_DEBT_ISSUED",IQ_FY-6), _xll.ciqfunctions.udf.CIQ(A1533, "IQ_TOTAL_DEBT_ISSUED",IQ_FY-5))</f>
        <v>0</v>
      </c>
      <c r="N1537" s="17">
        <f>IF(A1541=A1542,_xll.ciqfunctions.udf.CIQ(A1533,"IQ_TOTAL_DEBT_REPAID",IQ_FY-6), _xll.ciqfunctions.udf.CIQ(A1533, "IQ_TOTAL_DEBT_REPAID",IQ_FY-5))</f>
        <v>0</v>
      </c>
      <c r="O1537" s="15">
        <f t="shared" si="409"/>
        <v>0</v>
      </c>
      <c r="P1537" s="15">
        <f t="shared" si="410"/>
        <v>1072.32</v>
      </c>
      <c r="Q1537" s="18"/>
      <c r="R1537" s="38" t="s">
        <v>50</v>
      </c>
      <c r="S1537" s="3">
        <f>I1544</f>
        <v>3.9406709703525404</v>
      </c>
      <c r="U1537" s="18"/>
      <c r="V1537" s="38" t="s">
        <v>50</v>
      </c>
      <c r="W1537" s="3">
        <f>I1544</f>
        <v>3.9406709703525404</v>
      </c>
      <c r="Y1537" s="18"/>
      <c r="Z1537" s="38" t="s">
        <v>50</v>
      </c>
      <c r="AA1537" s="3">
        <f>I1544</f>
        <v>3.9406709703525404</v>
      </c>
    </row>
    <row r="1538" spans="1:27">
      <c r="B1538" s="13">
        <v>6</v>
      </c>
      <c r="C1538" s="14" t="s">
        <v>26</v>
      </c>
      <c r="D1538" s="15" cm="1">
        <f t="array" ref="D1538">_xlfn.SINGLE(IF(A1541=A1542,_xll.ciqfunctions.udf.CIQ(A1533,"IQ_TOTAL_REV",IQ_FY-5)/I1538, _xll.ciqfunctions.udf.CIQ(A1533, "IQ_TOTAL_REV",IQ_FY-4)/I1538))</f>
        <v>4309.66</v>
      </c>
      <c r="E1538" s="16">
        <f t="shared" si="411"/>
        <v>8.2701289043756038E-2</v>
      </c>
      <c r="F1538" s="15">
        <f>IF(A1541=A1542,_xll.ciqfunctions.udf.CIQ(A1533,"IQ_DILUT_EPS_EXCL",IQ_FY-5), _xll.ciqfunctions.udf.CIQ(A1533, "IQ_DILUT_EPS_EXCL",IQ_FY-4))</f>
        <v>-0.49247000000000002</v>
      </c>
      <c r="G1538" s="15">
        <f>IF(A1541=A1542,_xll.ciqfunctions.udf.CIQ(A1533,"IQ_EBITDA_MARGIN",IQ_FY-5), _xll.ciqfunctions.udf.CIQ(A1533, "IQ_EBITDA_MARGIN",IQ_FY-4))</f>
        <v>-3.7058</v>
      </c>
      <c r="H1538" s="15">
        <f>IF(A1541=A1542,_xll.ciqfunctions.udf.CIQ(A1533,"IQ_TOTAL_DIV_PAID_CF",IQ_FY-5)/-I1538, _xll.ciqfunctions.udf.CIQ(A1533, "IQ_TOTAL_DIV_PAID_CF",IQ_FY-4)/-I1538)</f>
        <v>0</v>
      </c>
      <c r="I1538" s="17">
        <f>IF(A1541=A1542,_xll.ciqfunctions.udf.CIQ(A1533,"IQ_TOTAL_OUTSTANDING_FILING_DATE",IQ_FY-5), _xll.ciqfunctions.udf.CIQ(A1533, "IQ_TOTAL_OUTSTANDING_FILING_DATE",IQ_FY-4))</f>
        <v>0.1</v>
      </c>
      <c r="J1538" s="17">
        <f>IF(A1541=A1542,_xll.ciqfunctions.udf.CIQ(A1533,"IQ_CASH_OPER",IQ_FY-5), _xll.ciqfunctions.udf.CIQ(A1533, "IQ_CASH_OPER",IQ_FY-4))</f>
        <v>147.14099999999999</v>
      </c>
      <c r="K1538" s="17">
        <f>IF(A1541=A1542,_xll.ciqfunctions.udf.CIQ(A1533,"IQ_CAPEX",IQ_FY-5), _xll.ciqfunctions.udf.CIQ(A1533, "IQ_CAPEX",IQ_FY-4))</f>
        <v>-7.3769999999999998</v>
      </c>
      <c r="L1538" s="15">
        <f t="shared" si="408"/>
        <v>1397.6399999999996</v>
      </c>
      <c r="M1538" s="17">
        <f>IF(A1541=A1542,_xll.ciqfunctions.udf.CIQ(A1533,"IQ_TOTAL_DEBT_ISSUED",IQ_FY-5), _xll.ciqfunctions.udf.CIQ(A1533, "IQ_TOTAL_DEBT_ISSUED",IQ_FY-4))</f>
        <v>1120</v>
      </c>
      <c r="N1538" s="17">
        <f>IF(A1541=A1542,_xll.ciqfunctions.udf.CIQ(A1533,"IQ_TOTAL_DEBT_REPAID",IQ_FY-5), _xll.ciqfunctions.udf.CIQ(A1533, "IQ_TOTAL_DEBT_REPAID",IQ_FY-4))</f>
        <v>-83.870999999999995</v>
      </c>
      <c r="O1538" s="15">
        <f t="shared" si="409"/>
        <v>10361.289999999999</v>
      </c>
      <c r="P1538" s="15">
        <f t="shared" si="410"/>
        <v>11758.929999999998</v>
      </c>
      <c r="Q1538" s="25" t="s">
        <v>27</v>
      </c>
      <c r="R1538" s="38" t="s">
        <v>51</v>
      </c>
      <c r="S1538" s="4">
        <f>AVERAGE(F1538:F1543)/AVERAGE(D1538:D1543)</f>
        <v>-1.5401867404687199E-4</v>
      </c>
      <c r="U1538" s="25" t="s">
        <v>58</v>
      </c>
      <c r="V1538" s="38" t="s">
        <v>51</v>
      </c>
      <c r="W1538" s="4">
        <f>AVERAGE(F1538:F1543)/AVERAGE(D1538:D1543)</f>
        <v>-1.5401867404687199E-4</v>
      </c>
      <c r="Y1538" s="25" t="s">
        <v>56</v>
      </c>
      <c r="Z1538" s="38" t="s">
        <v>51</v>
      </c>
      <c r="AA1538" s="4">
        <f>AVERAGE(F1538:F1543)/AVERAGE(D1538:D1543)</f>
        <v>-1.5401867404687199E-4</v>
      </c>
    </row>
    <row r="1539" spans="1:27">
      <c r="A1539" s="18"/>
      <c r="B1539" s="13">
        <v>7</v>
      </c>
      <c r="C1539" s="14" t="s">
        <v>28</v>
      </c>
      <c r="D1539" s="15" cm="1">
        <f t="array" ref="D1539">_xlfn.SINGLE(IF(A1541=A1542,_xll.ciqfunctions.udf.CIQ(A1533,"IQ_TOTAL_REV",IQ_FY-4)/I1539, _xll.ciqfunctions.udf.CIQ(A1533, "IQ_TOTAL_REV",IQ_FY-3)/I1539))</f>
        <v>1.9432594155884151</v>
      </c>
      <c r="E1539" s="16">
        <f t="shared" si="411"/>
        <v>-0.99954909217534826</v>
      </c>
      <c r="F1539" s="15">
        <f>IF(A1541=A1542,_xll.ciqfunctions.udf.CIQ(A1533,"IQ_DILUT_EPS_EXCL",IQ_FY-4), _xll.ciqfunctions.udf.CIQ(A1533, "IQ_DILUT_EPS_EXCL",IQ_FY-3))</f>
        <v>-1.5619700000000001</v>
      </c>
      <c r="G1539" s="15">
        <f>IF(A1541=A1542,_xll.ciqfunctions.udf.CIQ(A1533,"IQ_EBITDA_MARGIN",IQ_FY-4), _xll.ciqfunctions.udf.CIQ(A1533, "IQ_EBITDA_MARGIN",IQ_FY-3))</f>
        <v>-22.475999999999999</v>
      </c>
      <c r="H1539" s="15">
        <f>IF(A1541=A1542,_xll.ciqfunctions.udf.CIQ(A1533,"IQ_TOTAL_DIV_PAID_CF",IQ_FY-4)/-I1539, _xll.ciqfunctions.udf.CIQ(A1533, "IQ_TOTAL_DIV_PAID_CF",IQ_FY-3)/-I1539)</f>
        <v>0</v>
      </c>
      <c r="I1539" s="17">
        <f>IF(A1541=A1542,_xll.ciqfunctions.udf.CIQ(A1533,"IQ_TOTAL_OUTSTANDING_FILING_DATE",IQ_FY-4), _xll.ciqfunctions.udf.CIQ(A1533, "IQ_TOTAL_OUTSTANDING_FILING_DATE",IQ_FY-3))</f>
        <v>280.86986000000002</v>
      </c>
      <c r="J1539" s="17">
        <f>IF(A1541=A1542,_xll.ciqfunctions.udf.CIQ(A1533,"IQ_CASH_OPER",IQ_FY-4), _xll.ciqfunctions.udf.CIQ(A1533, "IQ_CASH_OPER",IQ_FY-3))</f>
        <v>-142.45500000000001</v>
      </c>
      <c r="K1539" s="17">
        <f>IF(A1541=A1542,_xll.ciqfunctions.udf.CIQ(A1533,"IQ_CAPEX",IQ_FY-4), _xll.ciqfunctions.udf.CIQ(A1533, "IQ_CAPEX",IQ_FY-3))</f>
        <v>-19.721</v>
      </c>
      <c r="L1539" s="15">
        <f t="shared" si="408"/>
        <v>-0.5774062051371408</v>
      </c>
      <c r="M1539" s="17">
        <f>IF(A1541=A1542,_xll.ciqfunctions.udf.CIQ(A1533,"IQ_TOTAL_DEBT_ISSUED",IQ_FY-4), _xll.ciqfunctions.udf.CIQ(A1533, "IQ_TOTAL_DEBT_ISSUED",IQ_FY-3))</f>
        <v>0</v>
      </c>
      <c r="N1539" s="17">
        <f>IF(A1541=A1542,_xll.ciqfunctions.udf.CIQ(A1533,"IQ_TOTAL_DEBT_REPAID",IQ_FY-4), _xll.ciqfunctions.udf.CIQ(A1533, "IQ_TOTAL_DEBT_REPAID",IQ_FY-3))</f>
        <v>-515.18899999999996</v>
      </c>
      <c r="O1539" s="15">
        <f t="shared" si="409"/>
        <v>-1.8342623163624603</v>
      </c>
      <c r="P1539" s="15">
        <f t="shared" si="410"/>
        <v>-2.411668521499601</v>
      </c>
      <c r="Q1539" s="18"/>
      <c r="R1539" s="38" t="s">
        <v>29</v>
      </c>
      <c r="S1539" s="4">
        <f>(AVERAGE(P1538:P1543)/_xlfn.STDEV.P(P1538:P1543))/(IF(A1541=A1542,(_xlfn.SINGLE(_xll.ciqfunctions.udf.CIQ(A1533,"IQ_total_assets",IQ_FY)) - _xlfn.SINGLE(_xll.ciqfunctions.udf.CIQ(A1533,"iq_gw_intan", IQ_FY)))/I1543, (_xlfn.SINGLE(_xll.ciqfunctions.udf.CIQ(A1533, "IQ_total_assets",IQ_LTM))-_xlfn.SINGLE(_xll.ciqfunctions.udf.CIQ(A1533,"iq_gw_intan",IQ_LTM)))/I1543))</f>
        <v>9.267485660322565E-2</v>
      </c>
      <c r="U1539" s="18"/>
      <c r="V1539" s="38" t="s">
        <v>29</v>
      </c>
      <c r="W1539" s="4">
        <f>(AVERAGE(P1538:P1543)/_xlfn.STDEV.P(P1538:P1543))/(IF(A1541=A1542,(_xlfn.SINGLE(_xll.ciqfunctions.udf.CIQ(A1533,"IQ_total_assets",IQ_FY)) - _xlfn.SINGLE(_xll.ciqfunctions.udf.CIQ(A1533,"iq_gw_intan", IQ_FY)))/I1543, (_xlfn.SINGLE(_xll.ciqfunctions.udf.CIQ(A1533, "IQ_total_assets",IQ_LTM))-_xlfn.SINGLE(_xll.ciqfunctions.udf.CIQ(A1533,"iq_gw_intan",IQ_LTM)))/I1543))</f>
        <v>9.267485660322565E-2</v>
      </c>
      <c r="Y1539" s="18"/>
      <c r="Z1539" s="38" t="s">
        <v>29</v>
      </c>
      <c r="AA1539" s="4">
        <f>(AVERAGE(P1538:P1543)/_xlfn.STDEV.P(P1538:P1543))/(IF(A1541=A1542,(_xlfn.SINGLE(_xll.ciqfunctions.udf.CIQ(A1533,"IQ_total_assets",IQ_FY)) - _xlfn.SINGLE(_xll.ciqfunctions.udf.CIQ(A1533,"iq_gw_intan", IQ_FY)))/I1543, (_xlfn.SINGLE(_xll.ciqfunctions.udf.CIQ(A1533, "IQ_total_assets",IQ_LTM))-_xlfn.SINGLE(_xll.ciqfunctions.udf.CIQ(A1533,"iq_gw_intan",IQ_LTM)))/I1543))</f>
        <v>9.267485660322565E-2</v>
      </c>
    </row>
    <row r="1540" spans="1:27">
      <c r="A1540" s="18"/>
      <c r="B1540" s="13">
        <v>8</v>
      </c>
      <c r="C1540" s="14" t="s">
        <v>30</v>
      </c>
      <c r="D1540" s="15" cm="1">
        <f t="array" ref="D1540">_xlfn.SINGLE(IF(A1541=A1542,_xll.ciqfunctions.udf.CIQ(A1533,"IQ_TOTAL_REV",IQ_FY-3)/I1540, _xll.ciqfunctions.udf.CIQ(A1533, "IQ_TOTAL_REV",IQ_FY-2)/I1540))</f>
        <v>2.4801645778789214</v>
      </c>
      <c r="E1540" s="16">
        <f t="shared" si="411"/>
        <v>0.27629103864546695</v>
      </c>
      <c r="F1540" s="15">
        <f>IF(A1541=A1542,_xll.ciqfunctions.udf.CIQ(A1533,"IQ_DILUT_EPS_EXCL",IQ_FY-3), _xll.ciqfunctions.udf.CIQ(A1533, "IQ_DILUT_EPS_EXCL",IQ_FY-2))</f>
        <v>0.26</v>
      </c>
      <c r="G1540" s="15">
        <f>IF(A1541=A1542,_xll.ciqfunctions.udf.CIQ(A1533,"IQ_EBITDA_MARGIN",IQ_FY-3), _xll.ciqfunctions.udf.CIQ(A1533, "IQ_EBITDA_MARGIN",IQ_FY-2))</f>
        <v>19.2866</v>
      </c>
      <c r="H1540" s="15">
        <f>IF(A1541=A1542,_xll.ciqfunctions.udf.CIQ(A1533,"IQ_TOTAL_DIV_PAID_CF",IQ_FY-3)/-I1540, _xll.ciqfunctions.udf.CIQ(A1533, "IQ_TOTAL_DIV_PAID_CF",IQ_FY-2)/-I1540)</f>
        <v>0</v>
      </c>
      <c r="I1540" s="17">
        <f>IF(A1541=A1542,_xll.ciqfunctions.udf.CIQ(A1533,"IQ_TOTAL_OUTSTANDING_FILING_DATE",IQ_FY-3), _xll.ciqfunctions.udf.CIQ(A1533, "IQ_TOTAL_OUTSTANDING_FILING_DATE",IQ_FY-2))</f>
        <v>283.65415999999999</v>
      </c>
      <c r="J1540" s="17">
        <f>IF(A1541=A1542,_xll.ciqfunctions.udf.CIQ(A1533,"IQ_CASH_OPER",IQ_FY-3), _xll.ciqfunctions.udf.CIQ(A1533, "IQ_CASH_OPER",IQ_FY-2))</f>
        <v>220.43600000000001</v>
      </c>
      <c r="K1540" s="17">
        <f>IF(A1541=A1542,_xll.ciqfunctions.udf.CIQ(A1533,"IQ_CAPEX",IQ_FY-3), _xll.ciqfunctions.udf.CIQ(A1533, "IQ_CAPEX",IQ_FY-2))</f>
        <v>-14.076000000000001</v>
      </c>
      <c r="L1540" s="15">
        <f t="shared" si="408"/>
        <v>0.72750563573613736</v>
      </c>
      <c r="M1540" s="17">
        <f>IF(A1541=A1542,_xll.ciqfunctions.udf.CIQ(A1533,"IQ_TOTAL_DEBT_ISSUED",IQ_FY-3), _xll.ciqfunctions.udf.CIQ(A1533, "IQ_TOTAL_DEBT_ISSUED",IQ_FY-2))</f>
        <v>0</v>
      </c>
      <c r="N1540" s="17">
        <f>IF(A1541=A1542,_xll.ciqfunctions.udf.CIQ(A1533,"IQ_TOTAL_DEBT_REPAID",IQ_FY-3), _xll.ciqfunctions.udf.CIQ(A1533, "IQ_TOTAL_DEBT_REPAID",IQ_FY-2))</f>
        <v>-120</v>
      </c>
      <c r="O1540" s="15">
        <f t="shared" si="409"/>
        <v>-0.42305037937747858</v>
      </c>
      <c r="P1540" s="15">
        <f t="shared" si="410"/>
        <v>0.30445525635865878</v>
      </c>
      <c r="Q1540" s="18"/>
      <c r="R1540" s="39" t="s">
        <v>31</v>
      </c>
      <c r="S1540" s="5" t="e">
        <f>IF(NOT(D1533&gt;0),FALSE,SLOPE(G1533:G1543,B1533:B1543))</f>
        <v>#DIV/0!</v>
      </c>
      <c r="U1540" s="18"/>
      <c r="V1540" s="39" t="s">
        <v>31</v>
      </c>
      <c r="W1540" s="5" t="e">
        <f>IF(NOT(D1533&gt;0),FALSE,SLOPE(G1533:G1543,B1533:B1543))</f>
        <v>#DIV/0!</v>
      </c>
      <c r="Y1540" s="18"/>
      <c r="Z1540" s="39" t="s">
        <v>31</v>
      </c>
      <c r="AA1540" s="5" t="e">
        <f>IF(NOT(L1533&gt;0),FALSE,SLOPE(O1533:O1543,J1533:J1543))</f>
        <v>#DIV/0!</v>
      </c>
    </row>
    <row r="1541" spans="1:27">
      <c r="A1541" s="19">
        <f>_xll.ciqfunctions.udf.CIQ(A1533,"IQ_TOTAL_REV",IQ_FY)</f>
        <v>1158.53</v>
      </c>
      <c r="B1541" s="13">
        <v>9</v>
      </c>
      <c r="C1541" s="14" t="s">
        <v>32</v>
      </c>
      <c r="D1541" s="15" cm="1">
        <f t="array" ref="D1541">_xlfn.SINGLE(IF(A1541=A1542,_xll.ciqfunctions.udf.CIQ(A1533,"IQ_TOTAL_REV",IQ_FY-2)/I1541, _xll.ciqfunctions.udf.CIQ(A1533, "IQ_TOTAL_REV",IQ_FY-1)/I1541))</f>
        <v>3.2402565263656573</v>
      </c>
      <c r="E1541" s="16">
        <f t="shared" si="411"/>
        <v>0.30646835103853443</v>
      </c>
      <c r="F1541" s="15">
        <f>IF(A1541=A1542,_xll.ciqfunctions.udf.CIQ(A1533,"IQ_DILUT_EPS_EXCL",IQ_FY-2), _xll.ciqfunctions.udf.CIQ(A1533, "IQ_DILUT_EPS_EXCL",IQ_FY-1))</f>
        <v>0.18</v>
      </c>
      <c r="G1541" s="15">
        <f>IF(A1541=A1542,_xll.ciqfunctions.udf.CIQ(A1533,"IQ_EBITDA_MARGIN",IQ_FY-2), _xll.ciqfunctions.udf.CIQ(A1533, "IQ_EBITDA_MARGIN",IQ_FY-1))</f>
        <v>13.1363</v>
      </c>
      <c r="H1541" s="15">
        <f>IF(A1541=A1542,_xll.ciqfunctions.udf.CIQ(A1533,"IQ_TOTAL_DIV_PAID_CF",IQ_FY-2)/-I1541, _xll.ciqfunctions.udf.CIQ(A1533, "IQ_TOTAL_DIV_PAID_CF",IQ_FY-1)/-I1541)</f>
        <v>0</v>
      </c>
      <c r="I1541" s="17">
        <f>IF(A1541=A1542,_xll.ciqfunctions.udf.CIQ(A1533,"IQ_TOTAL_OUTSTANDING_FILING_DATE",IQ_FY-2), _xll.ciqfunctions.udf.CIQ(A1533, "IQ_TOTAL_OUTSTANDING_FILING_DATE",IQ_FY-1))</f>
        <v>286.84303</v>
      </c>
      <c r="J1541" s="17">
        <f>IF(A1541=A1542,_xll.ciqfunctions.udf.CIQ(A1533,"IQ_CASH_OPER",IQ_FY-2), _xll.ciqfunctions.udf.CIQ(A1533, "IQ_CASH_OPER",IQ_FY-1))</f>
        <v>250.917</v>
      </c>
      <c r="K1541" s="17">
        <f>IF(A1541=A1542,_xll.ciqfunctions.udf.CIQ(A1533,"IQ_CAPEX",IQ_FY-2), _xll.ciqfunctions.udf.CIQ(A1533, "IQ_CAPEX",IQ_FY-1))</f>
        <v>-17.695</v>
      </c>
      <c r="L1541" s="15">
        <f t="shared" si="408"/>
        <v>0.81306490173388568</v>
      </c>
      <c r="M1541" s="17">
        <f>IF(A1541=A1542,_xll.ciqfunctions.udf.CIQ(A1533,"IQ_TOTAL_DEBT_ISSUED",IQ_FY-2), _xll.ciqfunctions.udf.CIQ(A1533, "IQ_TOTAL_DEBT_ISSUED",IQ_FY-1))</f>
        <v>0</v>
      </c>
      <c r="N1541" s="17">
        <f>IF(A1541=A1542,_xll.ciqfunctions.udf.CIQ(A1533,"IQ_TOTAL_DEBT_REPAID",IQ_FY-2), _xll.ciqfunctions.udf.CIQ(A1533, "IQ_TOTAL_DEBT_REPAID",IQ_FY-1))</f>
        <v>-120</v>
      </c>
      <c r="O1541" s="15">
        <f t="shared" si="409"/>
        <v>-0.41834727516300468</v>
      </c>
      <c r="P1541" s="15">
        <f t="shared" si="410"/>
        <v>0.394717626570881</v>
      </c>
      <c r="Q1541" s="25" t="s">
        <v>33</v>
      </c>
      <c r="R1541" s="38" t="s">
        <v>52</v>
      </c>
      <c r="S1541" s="4">
        <f>(AVERAGE(O1538:O1543)/AVERAGE(P1538:P1543))</f>
        <v>0.88085583823373281</v>
      </c>
      <c r="U1541" s="25" t="s">
        <v>54</v>
      </c>
      <c r="V1541" s="38" t="s">
        <v>52</v>
      </c>
      <c r="W1541" s="4">
        <f>(AVERAGE(O1538:O1543)/AVERAGE(P1538:P1543))</f>
        <v>0.88085583823373281</v>
      </c>
      <c r="Y1541" s="25" t="s">
        <v>60</v>
      </c>
      <c r="Z1541" s="38" t="s">
        <v>52</v>
      </c>
      <c r="AA1541" s="4">
        <f>(AVERAGE(O1538:O1543)/AVERAGE(P1538:P1543))</f>
        <v>0.88085583823373281</v>
      </c>
    </row>
    <row r="1542" spans="1:27">
      <c r="A1542" s="19">
        <f>_xll.ciqfunctions.udf.CIQ(A1533,"IQ_TOTAL_REV",IQ_LTM)</f>
        <v>1296.5170000000001</v>
      </c>
      <c r="B1542" s="13">
        <v>10</v>
      </c>
      <c r="C1542" s="14" t="s">
        <v>34</v>
      </c>
      <c r="D1542" s="15" cm="1">
        <f t="array" ref="D1542">_xlfn.SINGLE(IF(A1541=A1542,_xll.ciqfunctions.udf.CIQ(A1533,"IQ_TOTAL_REV",IQ_FY-1)/I1542, _xll.ciqfunctions.udf.CIQ(A1533, "IQ_TOTAL_REV",IQ_FY)/I1542))</f>
        <v>3.9815374172000846</v>
      </c>
      <c r="E1542" s="16">
        <f t="shared" si="411"/>
        <v>0.22877228540478065</v>
      </c>
      <c r="F1542" s="15">
        <f>IF(A1541=A1542,_xll.ciqfunctions.udf.CIQ(A1533,"IQ_DILUT_EPS_EXCL",IQ_FY-1), _xll.ciqfunctions.udf.CIQ(A1533, "IQ_DILUT_EPS_EXCL",IQ_FY))</f>
        <v>0.37</v>
      </c>
      <c r="G1542" s="15">
        <f>IF(A1541=A1542,_xll.ciqfunctions.udf.CIQ(A1533,"IQ_EBITDA_MARGIN",IQ_FY-1), _xll.ciqfunctions.udf.CIQ(A1533, "IQ_EBITDA_MARGIN",IQ_FY))</f>
        <v>11.376300000000001</v>
      </c>
      <c r="H1542" s="15">
        <f>IF(A1541=A1542,_xll.ciqfunctions.udf.CIQ(A1533,"IQ_TOTAL_DIV_PAID_CF",IQ_FY-1)/-I1542, _xll.ciqfunctions.udf.CIQ(A1533, "IQ_TOTAL_DIV_PAID_CF",IQ_FY)/-I1542)</f>
        <v>0</v>
      </c>
      <c r="I1542" s="17">
        <f>IF(A1541=A1542,_xll.ciqfunctions.udf.CIQ(A1533,"IQ_TOTAL_OUTSTANDING_FILING_DATE",IQ_FY-1), _xll.ciqfunctions.udf.CIQ(A1533, "IQ_TOTAL_OUTSTANDING_FILING_DATE",IQ_FY))</f>
        <v>290.97554000000002</v>
      </c>
      <c r="J1542" s="17">
        <f>IF(A1541=A1542,_xll.ciqfunctions.udf.CIQ(A1533,"IQ_CASH_OPER",IQ_FY-1), _xll.ciqfunctions.udf.CIQ(A1533, "IQ_CASH_OPER",IQ_FY))</f>
        <v>354.88499999999999</v>
      </c>
      <c r="K1542" s="17">
        <f>IF(A1541=A1542,_xll.ciqfunctions.udf.CIQ(A1533,"IQ_CAPEX",IQ_FY-1), _xll.ciqfunctions.udf.CIQ(A1533, "IQ_CAPEX",IQ_FY))</f>
        <v>-21.54</v>
      </c>
      <c r="L1542" s="15">
        <f t="shared" si="408"/>
        <v>1.1456117582941849</v>
      </c>
      <c r="M1542" s="17">
        <f>IF(A1541=A1542,_xll.ciqfunctions.udf.CIQ(A1533,"IQ_TOTAL_DEBT_ISSUED",IQ_FY-1), _xll.ciqfunctions.udf.CIQ(A1533, "IQ_TOTAL_DEBT_ISSUED",IQ_FY))</f>
        <v>0</v>
      </c>
      <c r="N1542" s="17">
        <f>IF(A1541=A1542,_xll.ciqfunctions.udf.CIQ(A1533,"IQ_TOTAL_DEBT_REPAID",IQ_FY-1), _xll.ciqfunctions.udf.CIQ(A1533, "IQ_TOTAL_DEBT_REPAID",IQ_FY))</f>
        <v>-281.125</v>
      </c>
      <c r="O1542" s="15">
        <f t="shared" si="409"/>
        <v>-0.96614650152380499</v>
      </c>
      <c r="P1542" s="15">
        <f t="shared" si="410"/>
        <v>0.17946525677037994</v>
      </c>
      <c r="Q1542" s="25" t="s">
        <v>44</v>
      </c>
      <c r="R1542" s="38" t="s">
        <v>35</v>
      </c>
      <c r="S1542" s="1">
        <f>_xll.ciqfunctions.udf.CIQ(A1533,"IQ_TEV_EBITDA")</f>
        <v>83.021289999999993</v>
      </c>
      <c r="U1542" s="25" t="s">
        <v>55</v>
      </c>
      <c r="V1542" s="38" t="s">
        <v>53</v>
      </c>
      <c r="W1542" s="1">
        <f>V1532/(AVERAGE(D1538:D1543)/_xlfn.STDEV.P(E1538:E1543))</f>
        <v>3.2887472836880927E-2</v>
      </c>
      <c r="Y1542" s="25" t="s">
        <v>57</v>
      </c>
      <c r="Z1542" s="38" t="s">
        <v>53</v>
      </c>
      <c r="AA1542" s="1">
        <f>Z1532/(AVERAGE(D1538:D1543)/_xlfn.STDEV.P(E1538:E1543))</f>
        <v>3.2887472836880927E-2</v>
      </c>
    </row>
    <row r="1543" spans="1:27">
      <c r="B1543" s="13">
        <v>11</v>
      </c>
      <c r="C1543" s="20" t="s">
        <v>36</v>
      </c>
      <c r="D1543" s="21" cm="1">
        <f t="array" ref="D1543">_xlfn.SINGLE(IF(A1541=A1542,_xll.ciqfunctions.udf.CIQ(A1533,"IQ_TOTAL_REV",IQ_FY)/I1543, _xll.ciqfunctions.udf.CIQ(A1533, "IQ_TOTAL_REV",IQ_LTM)/I1543))</f>
        <v>4.4040126024102086</v>
      </c>
      <c r="E1543" s="22">
        <f t="shared" si="411"/>
        <v>0.10610855580184879</v>
      </c>
      <c r="F1543" s="21">
        <f>IF(A1541=A1542,_xll.ciqfunctions.udf.CIQ(A1533,"IQ_DILUT_EPS_EXCL",IQ_FY), _xll.ciqfunctions.udf.CIQ(A1533, "IQ_DILUT_EPS_EXCL",IQ_LTM))</f>
        <v>0.57820000000000005</v>
      </c>
      <c r="G1543" s="21">
        <f>IF(A1541=A1542,_xll.ciqfunctions.udf.CIQ(A1533,"IQ_EBITDA_MARGIN",IQ_FY), _xll.ciqfunctions.udf.CIQ(A1533, "IQ_EBITDA_MARGIN",IQ_LTM))</f>
        <v>12.505599999999999</v>
      </c>
      <c r="H1543" s="21">
        <f>IF(A1541=A1542,_xll.ciqfunctions.udf.CIQ(A1533,"IQ_TOTAL_DIV_PAID_CF",IQ_FY)/-I1543, _xll.ciqfunctions.udf.CIQ(A1533, "IQ_TOTAL_DIV_PAID_CF",IQ_LTM)/-I1543)</f>
        <v>0</v>
      </c>
      <c r="I1543" s="23">
        <f>IF(A1541=A1542,_xll.ciqfunctions.udf.CIQ(A1533,"IQ_TOTAL_OUTSTANDING_FILING_DATE",IQ_FY),_xll.ciqfunctions.udf.CIQ(A1533,"IQ_sharesoutstanding"))</f>
        <v>294.39447999999999</v>
      </c>
      <c r="J1543" s="23">
        <f>IF(A1541=A1542,_xll.ciqfunctions.udf.CIQ(A1533,"IQ_CASH_OPER",IQ_FY), _xll.ciqfunctions.udf.CIQ(A1533, "IQ_CASH_OPER",IQ_LTM))</f>
        <v>353.16899999999998</v>
      </c>
      <c r="K1543" s="23">
        <f>IF(A1541=A1542,_xll.ciqfunctions.udf.CIQ(A1533,"IQ_CAPEX",IQ_FY), _xll.ciqfunctions.udf.CIQ(A1533, "IQ_CAPEX",IQ_LTM))</f>
        <v>-23.32</v>
      </c>
      <c r="L1543" s="21">
        <f t="shared" si="408"/>
        <v>1.1204320135350363</v>
      </c>
      <c r="M1543" s="23">
        <f>IF(A1541=A1542,_xll.ciqfunctions.udf.CIQ(A1533,"IQ_TOTAL_DEBT_ISSUED",IQ_FY), _xll.ciqfunctions.udf.CIQ(A1533, "IQ_TOTAL_DEBT_ISSUED",IQ_LTM))</f>
        <v>0</v>
      </c>
      <c r="N1543" s="23">
        <f>IF(A1541=A1542,_xll.ciqfunctions.udf.CIQ(A1533,"IQ_TOTAL_DEBT_REPAID",IQ_FY), _xll.ciqfunctions.udf.CIQ(A1533, "IQ_TOTAL_DEBT_REPAID",IQ_LTM))</f>
        <v>-221.125</v>
      </c>
      <c r="O1543" s="21">
        <f t="shared" si="409"/>
        <v>-0.75111802368033531</v>
      </c>
      <c r="P1543" s="21">
        <f t="shared" si="410"/>
        <v>0.36931398985470099</v>
      </c>
      <c r="Q1543" s="25" t="s">
        <v>45</v>
      </c>
      <c r="S1543" s="45"/>
      <c r="U1543" s="25"/>
      <c r="W1543" s="45"/>
      <c r="Y1543" s="25"/>
      <c r="AA1543" s="45"/>
    </row>
    <row r="1544" spans="1:27">
      <c r="B1544" s="24"/>
      <c r="C1544" s="25" t="s">
        <v>37</v>
      </c>
      <c r="E1544" s="26">
        <f>((D1543/D1538)^(1/5))-1</f>
        <v>-0.74772099535882286</v>
      </c>
      <c r="F1544" s="27">
        <f>((F1543/F1538)^(1/5))-1</f>
        <v>-2.0326179296466833</v>
      </c>
      <c r="G1544" s="28"/>
      <c r="H1544" s="27" t="e">
        <f>((H1543/H1538)^(1/5))-1</f>
        <v>#DIV/0!</v>
      </c>
      <c r="I1544" s="27">
        <f>((I1543/I1538)^(1/5))-1</f>
        <v>3.9406709703525404</v>
      </c>
      <c r="J1544" s="27"/>
      <c r="K1544" s="27"/>
      <c r="L1544" s="26">
        <f>((L1543/L1538)^(1/5))-1</f>
        <v>-0.7596755054724933</v>
      </c>
      <c r="M1544" s="26"/>
      <c r="N1544" s="26"/>
      <c r="O1544" s="26"/>
      <c r="P1544" s="26">
        <f>((P1543/P1538)^(1/5))-1</f>
        <v>-0.8742796472646106</v>
      </c>
      <c r="Q1544" s="18"/>
      <c r="R1544" s="36"/>
      <c r="S1544" s="45"/>
      <c r="U1544" s="18"/>
      <c r="V1544" s="36"/>
      <c r="W1544" s="45"/>
      <c r="Y1544" s="18"/>
      <c r="Z1544" s="36"/>
      <c r="AA1544" s="45"/>
    </row>
    <row r="1545" spans="1:27">
      <c r="A1545" s="29"/>
      <c r="B1545" s="30"/>
      <c r="C1545" s="31" t="s">
        <v>38</v>
      </c>
      <c r="D1545" s="29"/>
      <c r="E1545" s="32" t="e">
        <f>((D1543/D1533)^(1/10))-1</f>
        <v>#DIV/0!</v>
      </c>
      <c r="F1545" s="33" t="e">
        <f>((F1543/F1533)^(1/10))-1</f>
        <v>#DIV/0!</v>
      </c>
      <c r="G1545" s="34"/>
      <c r="H1545" s="33" t="e">
        <f>((H1543/H1533)^(1/10))-1</f>
        <v>#DIV/0!</v>
      </c>
      <c r="I1545" s="33" t="e">
        <f>((I1543/I1533)^(1/10))-1</f>
        <v>#DIV/0!</v>
      </c>
      <c r="J1545" s="33"/>
      <c r="K1545" s="33"/>
      <c r="L1545" s="32" t="e">
        <f>((L1543/L1533)^(1/10))-1</f>
        <v>#DIV/0!</v>
      </c>
      <c r="M1545" s="32"/>
      <c r="N1545" s="32"/>
      <c r="O1545" s="32"/>
      <c r="P1545" s="32" t="e">
        <f>((P1543/P1533)^(1/10))-1</f>
        <v>#DIV/0!</v>
      </c>
      <c r="Q1545" s="40"/>
      <c r="R1545" s="41"/>
      <c r="S1545" s="46"/>
      <c r="U1545" s="40"/>
      <c r="V1545" s="41"/>
      <c r="W1545" s="46"/>
      <c r="Y1545" s="40"/>
      <c r="Z1545" s="41"/>
      <c r="AA1545" s="46"/>
    </row>
    <row r="1546" spans="1:27">
      <c r="B1546" s="24"/>
      <c r="C1546" s="25"/>
      <c r="E1546" s="26"/>
      <c r="F1546" s="27"/>
      <c r="G1546" s="28"/>
      <c r="H1546" s="27"/>
      <c r="I1546" s="27"/>
      <c r="J1546" s="27"/>
      <c r="K1546" s="27"/>
      <c r="L1546" s="26"/>
      <c r="M1546" s="17"/>
      <c r="N1546" s="17"/>
      <c r="O1546" s="17"/>
      <c r="P1546" s="35"/>
      <c r="Q1546" s="18"/>
      <c r="R1546" s="36"/>
    </row>
    <row r="1547" spans="1:27">
      <c r="A1547" s="9" t="s">
        <v>0</v>
      </c>
      <c r="B1547" s="10"/>
      <c r="C1547" s="9" t="s">
        <v>1</v>
      </c>
      <c r="D1547" s="9" t="s">
        <v>2</v>
      </c>
      <c r="E1547" s="9" t="s">
        <v>3</v>
      </c>
      <c r="F1547" s="11" t="s">
        <v>4</v>
      </c>
      <c r="G1547" s="11" t="s">
        <v>5</v>
      </c>
      <c r="H1547" s="9" t="s">
        <v>6</v>
      </c>
      <c r="I1547" s="11" t="s">
        <v>7</v>
      </c>
      <c r="J1547" s="11" t="s">
        <v>8</v>
      </c>
      <c r="K1547" s="11" t="s">
        <v>9</v>
      </c>
      <c r="L1547" s="11" t="s">
        <v>10</v>
      </c>
      <c r="M1547" s="11" t="s">
        <v>11</v>
      </c>
      <c r="N1547" s="11" t="s">
        <v>12</v>
      </c>
      <c r="O1547" s="11" t="s">
        <v>13</v>
      </c>
      <c r="P1547" s="11" t="s">
        <v>14</v>
      </c>
      <c r="Q1547" s="37" t="s">
        <v>15</v>
      </c>
      <c r="R1547" s="42">
        <f>_xll.ciqfunctions.udf.CIQ(A1548,("IQ_LASTSALEPRICE"))</f>
        <v>224.82</v>
      </c>
      <c r="S1547" s="44"/>
      <c r="U1547" s="37" t="s">
        <v>15</v>
      </c>
      <c r="V1547" s="42">
        <f>_xll.ciqfunctions.udf.CIQ(A1548,("IQ_LASTSALEPRICE"))</f>
        <v>224.82</v>
      </c>
      <c r="W1547" s="44"/>
      <c r="Y1547" s="37" t="s">
        <v>15</v>
      </c>
      <c r="Z1547" s="42">
        <f>_xll.ciqfunctions.udf.CIQ(A1548,("IQ_LASTSALEPRICE"))</f>
        <v>224.82</v>
      </c>
      <c r="AA1547" s="44"/>
    </row>
    <row r="1548" spans="1:27">
      <c r="A1548" s="12" t="str">
        <f>Analysis!B105</f>
        <v>NasdaqGS:MANH</v>
      </c>
      <c r="B1548" s="13">
        <v>1</v>
      </c>
      <c r="C1548" s="14" t="s">
        <v>16</v>
      </c>
      <c r="D1548" s="15">
        <f>IF(A1556=A1557,_xll.ciqfunctions.udf.CIQ(A1548,"IQ_TOTAL_REV",IQ_FY-10)/I1548,_xll.ciqfunctions.udf.CIQ(A1548, "IQ_TOTAL_REV",IQ_FY-9)/I1548)</f>
        <v>5.4223535681461481</v>
      </c>
      <c r="E1548" s="16"/>
      <c r="F1548" s="15">
        <f>IF(A1556=A1557,_xll.ciqfunctions.udf.CIQ(A1548,"IQ_DILUT_EPS_EXCL",IQ_FY-10), _xll.ciqfunctions.udf.CIQ(A1548, "IQ_DILUT_EPS_EXCL",IQ_FY-9))</f>
        <v>0.86</v>
      </c>
      <c r="G1548" s="15">
        <f>IF(A1556=A1557,_xll.ciqfunctions.udf.CIQ(A1548,"IQ_EBITDA_MARGIN",IQ_FY-10), _xll.ciqfunctions.udf.CIQ(A1548, "IQ_EBITDA_MARGIN",IQ_FY-9))</f>
        <v>25.8401</v>
      </c>
      <c r="H1548" s="15">
        <f>IF(A1556=A1557,_xll.ciqfunctions.udf.CIQ(A1548,"IQ_TOTAL_DIV_PAID_CF",IQ_FY-10)/-I1548, _xll.ciqfunctions.udf.CIQ(A1548, "IQ_TOTAL_DIV_PAID_CF",IQ_FY-9)/-I1548)</f>
        <v>0</v>
      </c>
      <c r="I1548" s="17">
        <f>IF(A1556=A1557,_xll.ciqfunctions.udf.CIQ(A1548,"IQ_TOTAL_OUTSTANDING_FILING_DATE",IQ_FY-10), _xll.ciqfunctions.udf.CIQ(A1548, "IQ_TOTAL_OUTSTANDING_FILING_DATE",IQ_FY-9))</f>
        <v>76.44614</v>
      </c>
      <c r="J1548" s="17">
        <f>IF(A1556=A1557,_xll.ciqfunctions.udf.CIQ(A1548,"IQ_CASH_OPER",IQ_FY-10), _xll.ciqfunctions.udf.CIQ(A1548, "IQ_CASH_OPER",IQ_FY-9))</f>
        <v>89.387</v>
      </c>
      <c r="K1548" s="17">
        <f>IF(A1556=A1557,_xll.ciqfunctions.udf.CIQ(A1548,"IQ_CAPEX",IQ_FY-10), _xll.ciqfunctions.udf.CIQ(A1548, "IQ_CAPEX",IQ_FY-9))</f>
        <v>-4.74</v>
      </c>
      <c r="L1548" s="15">
        <f t="shared" ref="L1548:L1558" si="412">(J1548+K1548)/I1548</f>
        <v>1.1072763124469072</v>
      </c>
      <c r="M1548" s="17">
        <f>IF(A1556=A1557,_xll.ciqfunctions.udf.CIQ(A1548,"IQ_TOTAL_DEBT_ISSUED",IQ_FY-10), _xll.ciqfunctions.udf.CIQ(A1548, "IQ_TOTAL_DEBT_ISSUED",IQ_FY-9))</f>
        <v>0</v>
      </c>
      <c r="N1548" s="17">
        <f>IF(A1556=A1557,_xll.ciqfunctions.udf.CIQ(A1548,"IQ_TOTAL_DEBT_REPAID",IQ_FY-10), _xll.ciqfunctions.udf.CIQ(A1548, "IQ_TOTAL_DEBT_REPAID",IQ_FY-9))</f>
        <v>0</v>
      </c>
      <c r="O1548" s="15">
        <f t="shared" ref="O1548:O1558" si="413">(M1548+N1548)/I1548</f>
        <v>0</v>
      </c>
      <c r="P1548" s="15">
        <f t="shared" ref="P1548:P1558" si="414">L1548+O1548</f>
        <v>1.1072763124469072</v>
      </c>
      <c r="W1548" s="43"/>
      <c r="AA1548" s="43"/>
    </row>
    <row r="1549" spans="1:27">
      <c r="A1549" s="18" t="str">
        <f>_xll.ciqfunctions.udf.CIQ(A1548,"IQ_COMPANY_NAME")</f>
        <v>Manhattan Associates, Inc.</v>
      </c>
      <c r="B1549" s="13">
        <v>2</v>
      </c>
      <c r="C1549" s="14" t="s">
        <v>17</v>
      </c>
      <c r="D1549" s="15">
        <f>IF(A1556=A1557,_xll.ciqfunctions.udf.CIQ(A1548,"IQ_TOTAL_REV",IQ_FY-9)/I1549, _xll.ciqfunctions.udf.CIQ(A1548, "IQ_TOTAL_REV",IQ_FY-8)/I1549)</f>
        <v>6.6290507131054772</v>
      </c>
      <c r="E1549" s="16">
        <f t="shared" ref="E1549:E1558" si="415">(D1549-D1548)/D1548</f>
        <v>0.22254121384634967</v>
      </c>
      <c r="F1549" s="15">
        <f>IF(A1556=A1557,_xll.ciqfunctions.udf.CIQ(A1548,"IQ_DILUT_EPS_EXCL",IQ_FY-9), _xll.ciqfunctions.udf.CIQ(A1548, "IQ_DILUT_EPS_EXCL",IQ_FY-8))</f>
        <v>1.08</v>
      </c>
      <c r="G1549" s="15">
        <f>IF(A1556=A1557,_xll.ciqfunctions.udf.CIQ(A1548,"IQ_EBITDA_MARGIN",IQ_FY-9), _xll.ciqfunctions.udf.CIQ(A1548, "IQ_EBITDA_MARGIN",IQ_FY-8))</f>
        <v>27.128599999999999</v>
      </c>
      <c r="H1549" s="15">
        <f>IF(A1556=A1557,_xll.ciqfunctions.udf.CIQ(A1548,"IQ_TOTAL_DIV_PAID_CF",IQ_FY-9)/-I1549, _xll.ciqfunctions.udf.CIQ(A1548, "IQ_TOTAL_DIV_PAID_CF",IQ_FY-8)/-I1549)</f>
        <v>0</v>
      </c>
      <c r="I1549" s="17">
        <f>IF(A1556=A1557,_xll.ciqfunctions.udf.CIQ(A1548,"IQ_TOTAL_OUTSTANDING_FILING_DATE",IQ_FY-9), _xll.ciqfunctions.udf.CIQ(A1548, "IQ_TOTAL_OUTSTANDING_FILING_DATE",IQ_FY-8))</f>
        <v>74.234459999999999</v>
      </c>
      <c r="J1549" s="17">
        <f>IF(A1556=A1557,_xll.ciqfunctions.udf.CIQ(A1548,"IQ_CASH_OPER",IQ_FY-9), _xll.ciqfunctions.udf.CIQ(A1548, "IQ_CASH_OPER",IQ_FY-8))</f>
        <v>94.162000000000006</v>
      </c>
      <c r="K1549" s="17">
        <f>IF(A1556=A1557,_xll.ciqfunctions.udf.CIQ(A1548,"IQ_CAPEX",IQ_FY-9), _xll.ciqfunctions.udf.CIQ(A1548, "IQ_CAPEX",IQ_FY-8))</f>
        <v>-9.4149999999999991</v>
      </c>
      <c r="L1549" s="15">
        <f t="shared" si="412"/>
        <v>1.1416126688333157</v>
      </c>
      <c r="M1549" s="17">
        <f>IF(A1556=A1557,_xll.ciqfunctions.udf.CIQ(A1548,"IQ_TOTAL_DEBT_ISSUED",IQ_FY-9), _xll.ciqfunctions.udf.CIQ(A1548, "IQ_TOTAL_DEBT_ISSUED",IQ_FY-8))</f>
        <v>0</v>
      </c>
      <c r="N1549" s="17">
        <f>IF(A1556=A1557,_xll.ciqfunctions.udf.CIQ(A1548,"IQ_TOTAL_DEBT_REPAID",IQ_FY-9), _xll.ciqfunctions.udf.CIQ(A1548, "IQ_TOTAL_DEBT_REPAID",IQ_FY-8))</f>
        <v>0</v>
      </c>
      <c r="O1549" s="15">
        <f t="shared" si="413"/>
        <v>0</v>
      </c>
      <c r="P1549" s="15">
        <f t="shared" si="414"/>
        <v>1.1416126688333157</v>
      </c>
      <c r="Q1549" s="25" t="s">
        <v>18</v>
      </c>
      <c r="R1549" s="39" t="s">
        <v>19</v>
      </c>
      <c r="S1549" s="1">
        <f>R1547/((AVERAGE(P1553:P1558))*(1+E1559)^3)</f>
        <v>64.85408051653188</v>
      </c>
      <c r="U1549" s="25" t="s">
        <v>48</v>
      </c>
      <c r="V1549" s="39" t="s">
        <v>19</v>
      </c>
      <c r="W1549" s="1">
        <f>V1547/((AVERAGE(P1553:P1558))*(1+E1559)^3)</f>
        <v>64.85408051653188</v>
      </c>
      <c r="Y1549" s="25" t="s">
        <v>39</v>
      </c>
      <c r="Z1549" s="39" t="s">
        <v>19</v>
      </c>
      <c r="AA1549" s="1">
        <f>Z1547/((AVERAGE(P1553:P1558))*(1+E1559)^3)</f>
        <v>64.85408051653188</v>
      </c>
    </row>
    <row r="1550" spans="1:27">
      <c r="B1550" s="13">
        <v>3</v>
      </c>
      <c r="C1550" s="14" t="s">
        <v>20</v>
      </c>
      <c r="D1550" s="15" cm="1">
        <f t="array" ref="D1550">_xlfn.SINGLE(IF(A1556=A1557,_xll.ciqfunctions.udf.CIQ(A1548,"IQ_TOTAL_REV",IQ_FY-8)/I1550, _xll.ciqfunctions.udf.CIQ(A1548, "IQ_TOTAL_REV",IQ_FY-7)/I1550))</f>
        <v>7.6216844663645507</v>
      </c>
      <c r="E1550" s="16">
        <f t="shared" si="415"/>
        <v>0.14973995466600667</v>
      </c>
      <c r="F1550" s="15">
        <f>IF(A1556=A1557,_xll.ciqfunctions.udf.CIQ(A1548,"IQ_DILUT_EPS_EXCL",IQ_FY-8), _xll.ciqfunctions.udf.CIQ(A1548, "IQ_DILUT_EPS_EXCL",IQ_FY-7))</f>
        <v>1.4</v>
      </c>
      <c r="G1550" s="15">
        <f>IF(A1556=A1557,_xll.ciqfunctions.udf.CIQ(A1548,"IQ_EBITDA_MARGIN",IQ_FY-8), _xll.ciqfunctions.udf.CIQ(A1548, "IQ_EBITDA_MARGIN",IQ_FY-7))</f>
        <v>30.4131</v>
      </c>
      <c r="H1550" s="15">
        <f>IF(A1556=A1557,_xll.ciqfunctions.udf.CIQ(A1548,"IQ_TOTAL_DIV_PAID_CF",IQ_FY-8)/-I1550, _xll.ciqfunctions.udf.CIQ(A1548, "IQ_TOTAL_DIV_PAID_CF",IQ_FY-7)/-I1550)</f>
        <v>0</v>
      </c>
      <c r="I1550" s="17">
        <f>IF(A1556=A1557,_xll.ciqfunctions.udf.CIQ(A1548,"IQ_TOTAL_OUTSTANDING_FILING_DATE",IQ_FY-8), _xll.ciqfunctions.udf.CIQ(A1548, "IQ_TOTAL_OUTSTANDING_FILING_DATE",IQ_FY-7))</f>
        <v>72.998429999999999</v>
      </c>
      <c r="J1550" s="17">
        <f>IF(A1556=A1557,_xll.ciqfunctions.udf.CIQ(A1548,"IQ_CASH_OPER",IQ_FY-8), _xll.ciqfunctions.udf.CIQ(A1548, "IQ_CASH_OPER",IQ_FY-7))</f>
        <v>120.15300000000001</v>
      </c>
      <c r="K1550" s="17">
        <f>IF(A1556=A1557,_xll.ciqfunctions.udf.CIQ(A1548,"IQ_CAPEX",IQ_FY-8), _xll.ciqfunctions.udf.CIQ(A1548, "IQ_CAPEX",IQ_FY-7))</f>
        <v>-11.492000000000001</v>
      </c>
      <c r="L1550" s="15">
        <f t="shared" si="412"/>
        <v>1.4885388630960967</v>
      </c>
      <c r="M1550" s="17">
        <f>IF(A1556=A1557,_xll.ciqfunctions.udf.CIQ(A1548,"IQ_TOTAL_DEBT_ISSUED",IQ_FY-8), _xll.ciqfunctions.udf.CIQ(A1548, "IQ_TOTAL_DEBT_ISSUED",IQ_FY-7))</f>
        <v>0</v>
      </c>
      <c r="N1550" s="17">
        <f>IF(A1556=A1557,_xll.ciqfunctions.udf.CIQ(A1548,"IQ_TOTAL_DEBT_REPAID",IQ_FY-8), _xll.ciqfunctions.udf.CIQ(A1548, "IQ_TOTAL_DEBT_REPAID",IQ_FY-7))</f>
        <v>0</v>
      </c>
      <c r="O1550" s="15">
        <f t="shared" si="413"/>
        <v>0</v>
      </c>
      <c r="P1550" s="15">
        <f t="shared" si="414"/>
        <v>1.4885388630960967</v>
      </c>
      <c r="Q1550" s="25" t="s">
        <v>21</v>
      </c>
      <c r="R1550" s="38" t="s">
        <v>49</v>
      </c>
      <c r="S1550" s="2">
        <f>(R1547*I1558)/1000</f>
        <v>13.841079271199998</v>
      </c>
      <c r="U1550" s="25" t="s">
        <v>59</v>
      </c>
      <c r="V1550" s="38" t="s">
        <v>49</v>
      </c>
      <c r="W1550" s="2">
        <f>(V1547*I1558)/1000</f>
        <v>13.841079271199998</v>
      </c>
      <c r="Y1550" s="25" t="s">
        <v>46</v>
      </c>
      <c r="Z1550" s="38" t="s">
        <v>49</v>
      </c>
      <c r="AA1550" s="2">
        <f>(Z1547*I1558)/1000</f>
        <v>13.841079271199998</v>
      </c>
    </row>
    <row r="1551" spans="1:27">
      <c r="A1551" s="18"/>
      <c r="B1551" s="13">
        <v>4</v>
      </c>
      <c r="C1551" s="14" t="s">
        <v>22</v>
      </c>
      <c r="D1551" s="15" cm="1">
        <f t="array" ref="D1551">_xlfn.SINGLE(IF(A1556=A1557,_xll.ciqfunctions.udf.CIQ(A1548,"IQ_TOTAL_REV",IQ_FY-7)/I1551, _xll.ciqfunctions.udf.CIQ(A1548, "IQ_TOTAL_REV",IQ_FY-6)/I1551))</f>
        <v>8.5876086453795502</v>
      </c>
      <c r="E1551" s="16">
        <f t="shared" si="415"/>
        <v>0.12673368771401441</v>
      </c>
      <c r="F1551" s="15">
        <f>IF(A1556=A1557,_xll.ciqfunctions.udf.CIQ(A1548,"IQ_DILUT_EPS_EXCL",IQ_FY-7), _xll.ciqfunctions.udf.CIQ(A1548, "IQ_DILUT_EPS_EXCL",IQ_FY-6))</f>
        <v>1.72</v>
      </c>
      <c r="G1551" s="15">
        <f>IF(A1556=A1557,_xll.ciqfunctions.udf.CIQ(A1548,"IQ_EBITDA_MARGIN",IQ_FY-7), _xll.ciqfunctions.udf.CIQ(A1548, "IQ_EBITDA_MARGIN",IQ_FY-6))</f>
        <v>33.643900000000002</v>
      </c>
      <c r="H1551" s="15">
        <f>IF(A1556=A1557,_xll.ciqfunctions.udf.CIQ(A1548,"IQ_TOTAL_DIV_PAID_CF",IQ_FY-7)/-I1551, _xll.ciqfunctions.udf.CIQ(A1548, "IQ_TOTAL_DIV_PAID_CF",IQ_FY-6)/-I1551)</f>
        <v>0</v>
      </c>
      <c r="I1551" s="17">
        <f>IF(A1556=A1557,_xll.ciqfunctions.udf.CIQ(A1548,"IQ_TOTAL_OUTSTANDING_FILING_DATE",IQ_FY-7), _xll.ciqfunctions.udf.CIQ(A1548, "IQ_TOTAL_OUTSTANDING_FILING_DATE",IQ_FY-6))</f>
        <v>70.398759999999996</v>
      </c>
      <c r="J1551" s="17">
        <f>IF(A1556=A1557,_xll.ciqfunctions.udf.CIQ(A1548,"IQ_CASH_OPER",IQ_FY-7), _xll.ciqfunctions.udf.CIQ(A1548, "IQ_CASH_OPER",IQ_FY-6))</f>
        <v>139.346</v>
      </c>
      <c r="K1551" s="17">
        <f>IF(A1556=A1557,_xll.ciqfunctions.udf.CIQ(A1548,"IQ_CAPEX",IQ_FY-7), _xll.ciqfunctions.udf.CIQ(A1548, "IQ_CAPEX",IQ_FY-6))</f>
        <v>-6.843</v>
      </c>
      <c r="L1551" s="15">
        <f t="shared" si="412"/>
        <v>1.8821780383631761</v>
      </c>
      <c r="M1551" s="17">
        <f>IF(A1556=A1557,_xll.ciqfunctions.udf.CIQ(A1548,"IQ_TOTAL_DEBT_ISSUED",IQ_FY-7), _xll.ciqfunctions.udf.CIQ(A1548, "IQ_TOTAL_DEBT_ISSUED",IQ_FY-6))</f>
        <v>0</v>
      </c>
      <c r="N1551" s="17">
        <f>IF(A1556=A1557,_xll.ciqfunctions.udf.CIQ(A1548,"IQ_TOTAL_DEBT_REPAID",IQ_FY-7), _xll.ciqfunctions.udf.CIQ(A1548, "IQ_TOTAL_DEBT_REPAID",IQ_FY-6))</f>
        <v>0</v>
      </c>
      <c r="O1551" s="15">
        <f t="shared" si="413"/>
        <v>0</v>
      </c>
      <c r="P1551" s="15">
        <f t="shared" si="414"/>
        <v>1.8821780383631761</v>
      </c>
      <c r="Q1551" s="25" t="s">
        <v>23</v>
      </c>
      <c r="R1551" s="38" t="s">
        <v>24</v>
      </c>
      <c r="S1551" s="1" t="e">
        <f>R1547/(AVERAGE(H1553:H1558)*(1+H1559)/(0.5-H1559))</f>
        <v>#DIV/0!</v>
      </c>
      <c r="U1551" s="25" t="s">
        <v>40</v>
      </c>
      <c r="V1551" s="38" t="s">
        <v>24</v>
      </c>
      <c r="W1551" s="1" t="e">
        <f>V1547/(AVERAGE(H1553:H1558)*(1+H1559)/(0.5-H1559))</f>
        <v>#DIV/0!</v>
      </c>
      <c r="Y1551" s="25" t="s">
        <v>47</v>
      </c>
      <c r="Z1551" s="38" t="s">
        <v>24</v>
      </c>
      <c r="AA1551" s="1" t="e">
        <f>Z1547/(AVERAGE(H1553:H1558)*(1+H1559)/(0.5-H1559))</f>
        <v>#DIV/0!</v>
      </c>
    </row>
    <row r="1552" spans="1:27">
      <c r="B1552" s="13">
        <v>5</v>
      </c>
      <c r="C1552" s="14" t="s">
        <v>25</v>
      </c>
      <c r="D1552" s="15" cm="1">
        <f t="array" ref="D1552">_xlfn.SINGLE(IF(A1556=A1557,_xll.ciqfunctions.udf.CIQ(A1548,"IQ_TOTAL_REV",IQ_FY-6)/I1552, _xll.ciqfunctions.udf.CIQ(A1548, "IQ_TOTAL_REV",IQ_FY-5)/I1552))</f>
        <v>8.7479160033873598</v>
      </c>
      <c r="E1552" s="16">
        <f t="shared" si="415"/>
        <v>1.8667287323818706E-2</v>
      </c>
      <c r="F1552" s="15">
        <f>IF(A1556=A1557,_xll.ciqfunctions.udf.CIQ(A1548,"IQ_DILUT_EPS_EXCL",IQ_FY-6), _xll.ciqfunctions.udf.CIQ(A1548, "IQ_DILUT_EPS_EXCL",IQ_FY-5))</f>
        <v>1.68</v>
      </c>
      <c r="G1552" s="15">
        <f>IF(A1556=A1557,_xll.ciqfunctions.udf.CIQ(A1548,"IQ_EBITDA_MARGIN",IQ_FY-6), _xll.ciqfunctions.udf.CIQ(A1548, "IQ_EBITDA_MARGIN",IQ_FY-5))</f>
        <v>33.236800000000002</v>
      </c>
      <c r="H1552" s="15">
        <f>IF(A1556=A1557,_xll.ciqfunctions.udf.CIQ(A1548,"IQ_TOTAL_DIV_PAID_CF",IQ_FY-6)/-I1552, _xll.ciqfunctions.udf.CIQ(A1548, "IQ_TOTAL_DIV_PAID_CF",IQ_FY-5)/-I1552)</f>
        <v>0</v>
      </c>
      <c r="I1552" s="17">
        <f>IF(A1556=A1557,_xll.ciqfunctions.udf.CIQ(A1548,"IQ_TOTAL_OUTSTANDING_FILING_DATE",IQ_FY-6), _xll.ciqfunctions.udf.CIQ(A1548, "IQ_TOTAL_OUTSTANDING_FILING_DATE",IQ_FY-5))</f>
        <v>67.970359999999999</v>
      </c>
      <c r="J1552" s="17">
        <f>IF(A1556=A1557,_xll.ciqfunctions.udf.CIQ(A1548,"IQ_CASH_OPER",IQ_FY-6), _xll.ciqfunctions.udf.CIQ(A1548, "IQ_CASH_OPER",IQ_FY-5))</f>
        <v>164.066</v>
      </c>
      <c r="K1552" s="17">
        <f>IF(A1556=A1557,_xll.ciqfunctions.udf.CIQ(A1548,"IQ_CAPEX",IQ_FY-6), _xll.ciqfunctions.udf.CIQ(A1548, "IQ_CAPEX",IQ_FY-5))</f>
        <v>-6.1989999999999998</v>
      </c>
      <c r="L1552" s="15">
        <f t="shared" si="412"/>
        <v>2.3225859036203427</v>
      </c>
      <c r="M1552" s="17">
        <f>IF(A1556=A1557,_xll.ciqfunctions.udf.CIQ(A1548,"IQ_TOTAL_DEBT_ISSUED",IQ_FY-6), _xll.ciqfunctions.udf.CIQ(A1548, "IQ_TOTAL_DEBT_ISSUED",IQ_FY-5))</f>
        <v>0</v>
      </c>
      <c r="N1552" s="17">
        <f>IF(A1556=A1557,_xll.ciqfunctions.udf.CIQ(A1548,"IQ_TOTAL_DEBT_REPAID",IQ_FY-6), _xll.ciqfunctions.udf.CIQ(A1548, "IQ_TOTAL_DEBT_REPAID",IQ_FY-5))</f>
        <v>0</v>
      </c>
      <c r="O1552" s="15">
        <f t="shared" si="413"/>
        <v>0</v>
      </c>
      <c r="P1552" s="15">
        <f t="shared" si="414"/>
        <v>2.3225859036203427</v>
      </c>
      <c r="Q1552" s="18"/>
      <c r="R1552" s="38" t="s">
        <v>50</v>
      </c>
      <c r="S1552" s="3">
        <f>I1559</f>
        <v>-1.0853294704686101E-2</v>
      </c>
      <c r="U1552" s="18"/>
      <c r="V1552" s="38" t="s">
        <v>50</v>
      </c>
      <c r="W1552" s="3">
        <f>I1559</f>
        <v>-1.0853294704686101E-2</v>
      </c>
      <c r="Y1552" s="18"/>
      <c r="Z1552" s="38" t="s">
        <v>50</v>
      </c>
      <c r="AA1552" s="3">
        <f>I1559</f>
        <v>-1.0853294704686101E-2</v>
      </c>
    </row>
    <row r="1553" spans="1:27">
      <c r="B1553" s="13">
        <v>6</v>
      </c>
      <c r="C1553" s="14" t="s">
        <v>26</v>
      </c>
      <c r="D1553" s="15" cm="1">
        <f t="array" ref="D1553">_xlfn.SINGLE(IF(A1556=A1557,_xll.ciqfunctions.udf.CIQ(A1548,"IQ_TOTAL_REV",IQ_FY-5)/I1553, _xll.ciqfunctions.udf.CIQ(A1548, "IQ_TOTAL_REV",IQ_FY-4)/I1553))</f>
        <v>8.6000761638988052</v>
      </c>
      <c r="E1553" s="16">
        <f t="shared" si="415"/>
        <v>-1.6900006748042401E-2</v>
      </c>
      <c r="F1553" s="15">
        <f>IF(A1556=A1557,_xll.ciqfunctions.udf.CIQ(A1548,"IQ_DILUT_EPS_EXCL",IQ_FY-5), _xll.ciqfunctions.udf.CIQ(A1548, "IQ_DILUT_EPS_EXCL",IQ_FY-4))</f>
        <v>1.58</v>
      </c>
      <c r="G1553" s="15">
        <f>IF(A1556=A1557,_xll.ciqfunctions.udf.CIQ(A1548,"IQ_EBITDA_MARGIN",IQ_FY-5), _xll.ciqfunctions.udf.CIQ(A1548, "IQ_EBITDA_MARGIN",IQ_FY-4))</f>
        <v>25.4847</v>
      </c>
      <c r="H1553" s="15">
        <f>IF(A1556=A1557,_xll.ciqfunctions.udf.CIQ(A1548,"IQ_TOTAL_DIV_PAID_CF",IQ_FY-5)/-I1553, _xll.ciqfunctions.udf.CIQ(A1548, "IQ_TOTAL_DIV_PAID_CF",IQ_FY-4)/-I1553)</f>
        <v>0</v>
      </c>
      <c r="I1553" s="17">
        <f>IF(A1556=A1557,_xll.ciqfunctions.udf.CIQ(A1548,"IQ_TOTAL_OUTSTANDING_FILING_DATE",IQ_FY-5), _xll.ciqfunctions.udf.CIQ(A1548, "IQ_TOTAL_OUTSTANDING_FILING_DATE",IQ_FY-4))</f>
        <v>65.017679999999999</v>
      </c>
      <c r="J1553" s="17">
        <f>IF(A1556=A1557,_xll.ciqfunctions.udf.CIQ(A1548,"IQ_CASH_OPER",IQ_FY-5), _xll.ciqfunctions.udf.CIQ(A1548, "IQ_CASH_OPER",IQ_FY-4))</f>
        <v>137.34899999999999</v>
      </c>
      <c r="K1553" s="17">
        <f>IF(A1556=A1557,_xll.ciqfunctions.udf.CIQ(A1548,"IQ_CAPEX",IQ_FY-5), _xll.ciqfunctions.udf.CIQ(A1548, "IQ_CAPEX",IQ_FY-4))</f>
        <v>-7.306</v>
      </c>
      <c r="L1553" s="15">
        <f t="shared" si="412"/>
        <v>2.00011750649977</v>
      </c>
      <c r="M1553" s="17">
        <f>IF(A1556=A1557,_xll.ciqfunctions.udf.CIQ(A1548,"IQ_TOTAL_DEBT_ISSUED",IQ_FY-5), _xll.ciqfunctions.udf.CIQ(A1548, "IQ_TOTAL_DEBT_ISSUED",IQ_FY-4))</f>
        <v>0</v>
      </c>
      <c r="N1553" s="17">
        <f>IF(A1556=A1557,_xll.ciqfunctions.udf.CIQ(A1548,"IQ_TOTAL_DEBT_REPAID",IQ_FY-5), _xll.ciqfunctions.udf.CIQ(A1548, "IQ_TOTAL_DEBT_REPAID",IQ_FY-4))</f>
        <v>0</v>
      </c>
      <c r="O1553" s="15">
        <f t="shared" si="413"/>
        <v>0</v>
      </c>
      <c r="P1553" s="15">
        <f t="shared" si="414"/>
        <v>2.00011750649977</v>
      </c>
      <c r="Q1553" s="25" t="s">
        <v>27</v>
      </c>
      <c r="R1553" s="38" t="s">
        <v>51</v>
      </c>
      <c r="S1553" s="4">
        <f>AVERAGE(F1553:F1558)/AVERAGE(D1553:D1558)</f>
        <v>0.16476542794681706</v>
      </c>
      <c r="U1553" s="25" t="s">
        <v>58</v>
      </c>
      <c r="V1553" s="38" t="s">
        <v>51</v>
      </c>
      <c r="W1553" s="4">
        <f>AVERAGE(F1553:F1558)/AVERAGE(D1553:D1558)</f>
        <v>0.16476542794681706</v>
      </c>
      <c r="Y1553" s="25" t="s">
        <v>56</v>
      </c>
      <c r="Z1553" s="38" t="s">
        <v>51</v>
      </c>
      <c r="AA1553" s="4">
        <f>AVERAGE(F1553:F1558)/AVERAGE(D1553:D1558)</f>
        <v>0.16476542794681706</v>
      </c>
    </row>
    <row r="1554" spans="1:27">
      <c r="A1554" s="18"/>
      <c r="B1554" s="13">
        <v>7</v>
      </c>
      <c r="C1554" s="14" t="s">
        <v>28</v>
      </c>
      <c r="D1554" s="15" cm="1">
        <f t="array" ref="D1554">_xlfn.SINGLE(IF(A1556=A1557,_xll.ciqfunctions.udf.CIQ(A1548,"IQ_TOTAL_REV",IQ_FY-4)/I1554, _xll.ciqfunctions.udf.CIQ(A1548, "IQ_TOTAL_REV",IQ_FY-3)/I1554))</f>
        <v>9.6906650650135759</v>
      </c>
      <c r="E1554" s="16">
        <f t="shared" si="415"/>
        <v>0.12681153984342822</v>
      </c>
      <c r="F1554" s="15">
        <f>IF(A1556=A1557,_xll.ciqfunctions.udf.CIQ(A1548,"IQ_DILUT_EPS_EXCL",IQ_FY-4), _xll.ciqfunctions.udf.CIQ(A1548, "IQ_DILUT_EPS_EXCL",IQ_FY-3))</f>
        <v>1.32</v>
      </c>
      <c r="G1554" s="15">
        <f>IF(A1556=A1557,_xll.ciqfunctions.udf.CIQ(A1548,"IQ_EBITDA_MARGIN",IQ_FY-4), _xll.ciqfunctions.udf.CIQ(A1548, "IQ_EBITDA_MARGIN",IQ_FY-3))</f>
        <v>20.0519</v>
      </c>
      <c r="H1554" s="15">
        <f>IF(A1556=A1557,_xll.ciqfunctions.udf.CIQ(A1548,"IQ_TOTAL_DIV_PAID_CF",IQ_FY-4)/-I1554, _xll.ciqfunctions.udf.CIQ(A1548, "IQ_TOTAL_DIV_PAID_CF",IQ_FY-3)/-I1554)</f>
        <v>0</v>
      </c>
      <c r="I1554" s="17">
        <f>IF(A1556=A1557,_xll.ciqfunctions.udf.CIQ(A1548,"IQ_TOTAL_OUTSTANDING_FILING_DATE",IQ_FY-4), _xll.ciqfunctions.udf.CIQ(A1548, "IQ_TOTAL_OUTSTANDING_FILING_DATE",IQ_FY-3))</f>
        <v>63.767449999999997</v>
      </c>
      <c r="J1554" s="17">
        <f>IF(A1556=A1557,_xll.ciqfunctions.udf.CIQ(A1548,"IQ_CASH_OPER",IQ_FY-4), _xll.ciqfunctions.udf.CIQ(A1548, "IQ_CASH_OPER",IQ_FY-3))</f>
        <v>146.90799999999999</v>
      </c>
      <c r="K1554" s="17">
        <f>IF(A1556=A1557,_xll.ciqfunctions.udf.CIQ(A1548,"IQ_CAPEX",IQ_FY-4), _xll.ciqfunctions.udf.CIQ(A1548, "IQ_CAPEX",IQ_FY-3))</f>
        <v>-15.193</v>
      </c>
      <c r="L1554" s="15">
        <f t="shared" si="412"/>
        <v>2.065552252755912</v>
      </c>
      <c r="M1554" s="17">
        <f>IF(A1556=A1557,_xll.ciqfunctions.udf.CIQ(A1548,"IQ_TOTAL_DEBT_ISSUED",IQ_FY-4), _xll.ciqfunctions.udf.CIQ(A1548, "IQ_TOTAL_DEBT_ISSUED",IQ_FY-3))</f>
        <v>0</v>
      </c>
      <c r="N1554" s="17">
        <f>IF(A1556=A1557,_xll.ciqfunctions.udf.CIQ(A1548,"IQ_TOTAL_DEBT_REPAID",IQ_FY-4), _xll.ciqfunctions.udf.CIQ(A1548, "IQ_TOTAL_DEBT_REPAID",IQ_FY-3))</f>
        <v>0</v>
      </c>
      <c r="O1554" s="15">
        <f t="shared" si="413"/>
        <v>0</v>
      </c>
      <c r="P1554" s="15">
        <f t="shared" si="414"/>
        <v>2.065552252755912</v>
      </c>
      <c r="Q1554" s="18"/>
      <c r="R1554" s="38" t="s">
        <v>29</v>
      </c>
      <c r="S1554" s="4">
        <f>(AVERAGE(P1553:P1558)/_xlfn.STDEV.P(P1553:P1558))/(IF(A1556=A1557,(_xlfn.SINGLE(_xll.ciqfunctions.udf.CIQ(A1548,"IQ_total_assets",IQ_FY)) - _xlfn.SINGLE(_xll.ciqfunctions.udf.CIQ(A1548,"iq_gw_intan", IQ_FY)))/I1558, (_xlfn.SINGLE(_xll.ciqfunctions.udf.CIQ(A1548, "IQ_total_assets",IQ_LTM))-_xlfn.SINGLE(_xll.ciqfunctions.udf.CIQ(A1548,"iq_gw_intan",IQ_LTM)))/I1558))</f>
        <v>0.60899463996412617</v>
      </c>
      <c r="U1554" s="18"/>
      <c r="V1554" s="38" t="s">
        <v>29</v>
      </c>
      <c r="W1554" s="4">
        <f>(AVERAGE(P1553:P1558)/_xlfn.STDEV.P(P1553:P1558))/(IF(A1556=A1557,(_xlfn.SINGLE(_xll.ciqfunctions.udf.CIQ(A1548,"IQ_total_assets",IQ_FY)) - _xlfn.SINGLE(_xll.ciqfunctions.udf.CIQ(A1548,"iq_gw_intan", IQ_FY)))/I1558, (_xlfn.SINGLE(_xll.ciqfunctions.udf.CIQ(A1548, "IQ_total_assets",IQ_LTM))-_xlfn.SINGLE(_xll.ciqfunctions.udf.CIQ(A1548,"iq_gw_intan",IQ_LTM)))/I1558))</f>
        <v>0.60899463996412617</v>
      </c>
      <c r="Y1554" s="18"/>
      <c r="Z1554" s="38" t="s">
        <v>29</v>
      </c>
      <c r="AA1554" s="4">
        <f>(AVERAGE(P1553:P1558)/_xlfn.STDEV.P(P1553:P1558))/(IF(A1556=A1557,(_xlfn.SINGLE(_xll.ciqfunctions.udf.CIQ(A1548,"IQ_total_assets",IQ_FY)) - _xlfn.SINGLE(_xll.ciqfunctions.udf.CIQ(A1548,"iq_gw_intan", IQ_FY)))/I1558, (_xlfn.SINGLE(_xll.ciqfunctions.udf.CIQ(A1548, "IQ_total_assets",IQ_LTM))-_xlfn.SINGLE(_xll.ciqfunctions.udf.CIQ(A1548,"iq_gw_intan",IQ_LTM)))/I1558))</f>
        <v>0.60899463996412617</v>
      </c>
    </row>
    <row r="1555" spans="1:27">
      <c r="A1555" s="18"/>
      <c r="B1555" s="13">
        <v>8</v>
      </c>
      <c r="C1555" s="14" t="s">
        <v>30</v>
      </c>
      <c r="D1555" s="15" cm="1">
        <f t="array" ref="D1555">_xlfn.SINGLE(IF(A1556=A1557,_xll.ciqfunctions.udf.CIQ(A1548,"IQ_TOTAL_REV",IQ_FY-3)/I1555, _xll.ciqfunctions.udf.CIQ(A1548, "IQ_TOTAL_REV",IQ_FY-2)/I1555))</f>
        <v>9.1904783101251173</v>
      </c>
      <c r="E1555" s="16">
        <f t="shared" si="415"/>
        <v>-5.1615317579625578E-2</v>
      </c>
      <c r="F1555" s="15">
        <f>IF(A1556=A1557,_xll.ciqfunctions.udf.CIQ(A1548,"IQ_DILUT_EPS_EXCL",IQ_FY-3), _xll.ciqfunctions.udf.CIQ(A1548, "IQ_DILUT_EPS_EXCL",IQ_FY-2))</f>
        <v>1.36</v>
      </c>
      <c r="G1555" s="15">
        <f>IF(A1556=A1557,_xll.ciqfunctions.udf.CIQ(A1548,"IQ_EBITDA_MARGIN",IQ_FY-3), _xll.ciqfunctions.udf.CIQ(A1548, "IQ_EBITDA_MARGIN",IQ_FY-2))</f>
        <v>20.977599999999999</v>
      </c>
      <c r="H1555" s="15">
        <f>IF(A1556=A1557,_xll.ciqfunctions.udf.CIQ(A1548,"IQ_TOTAL_DIV_PAID_CF",IQ_FY-3)/-I1555, _xll.ciqfunctions.udf.CIQ(A1548, "IQ_TOTAL_DIV_PAID_CF",IQ_FY-2)/-I1555)</f>
        <v>0</v>
      </c>
      <c r="I1555" s="17">
        <f>IF(A1556=A1557,_xll.ciqfunctions.udf.CIQ(A1548,"IQ_TOTAL_OUTSTANDING_FILING_DATE",IQ_FY-3), _xll.ciqfunctions.udf.CIQ(A1548, "IQ_TOTAL_OUTSTANDING_FILING_DATE",IQ_FY-2))</f>
        <v>63.802120000000002</v>
      </c>
      <c r="J1555" s="17">
        <f>IF(A1556=A1557,_xll.ciqfunctions.udf.CIQ(A1548,"IQ_CASH_OPER",IQ_FY-3), _xll.ciqfunctions.udf.CIQ(A1548, "IQ_CASH_OPER",IQ_FY-2))</f>
        <v>140.88499999999999</v>
      </c>
      <c r="K1555" s="17">
        <f>IF(A1556=A1557,_xll.ciqfunctions.udf.CIQ(A1548,"IQ_CAPEX",IQ_FY-3), _xll.ciqfunctions.udf.CIQ(A1548, "IQ_CAPEX",IQ_FY-2))</f>
        <v>-2.73</v>
      </c>
      <c r="L1555" s="15">
        <f t="shared" si="412"/>
        <v>2.1653669188421953</v>
      </c>
      <c r="M1555" s="17">
        <f>IF(A1556=A1557,_xll.ciqfunctions.udf.CIQ(A1548,"IQ_TOTAL_DEBT_ISSUED",IQ_FY-3), _xll.ciqfunctions.udf.CIQ(A1548, "IQ_TOTAL_DEBT_ISSUED",IQ_FY-2))</f>
        <v>0</v>
      </c>
      <c r="N1555" s="17">
        <f>IF(A1556=A1557,_xll.ciqfunctions.udf.CIQ(A1548,"IQ_TOTAL_DEBT_REPAID",IQ_FY-3), _xll.ciqfunctions.udf.CIQ(A1548, "IQ_TOTAL_DEBT_REPAID",IQ_FY-2))</f>
        <v>0</v>
      </c>
      <c r="O1555" s="15">
        <f t="shared" si="413"/>
        <v>0</v>
      </c>
      <c r="P1555" s="15">
        <f t="shared" si="414"/>
        <v>2.1653669188421953</v>
      </c>
      <c r="Q1555" s="18"/>
      <c r="R1555" s="39" t="s">
        <v>31</v>
      </c>
      <c r="S1555" s="5">
        <f>IF(NOT(D1548&gt;0),FALSE,SLOPE(G1548:G1558,B1548:B1558))</f>
        <v>-0.96999727272727276</v>
      </c>
      <c r="U1555" s="18"/>
      <c r="V1555" s="39" t="s">
        <v>31</v>
      </c>
      <c r="W1555" s="5">
        <f>IF(NOT(D1548&gt;0),FALSE,SLOPE(G1548:G1558,B1548:B1558))</f>
        <v>-0.96999727272727276</v>
      </c>
      <c r="Y1555" s="18"/>
      <c r="Z1555" s="39" t="s">
        <v>31</v>
      </c>
      <c r="AA1555" s="5">
        <f>IF(NOT(L1548&gt;0),FALSE,SLOPE(O1548:O1558,J1548:J1558))</f>
        <v>0</v>
      </c>
    </row>
    <row r="1556" spans="1:27">
      <c r="A1556" s="19">
        <f>_xll.ciqfunctions.udf.CIQ(A1548,"IQ_TOTAL_REV",IQ_FY)</f>
        <v>767.08399999999995</v>
      </c>
      <c r="B1556" s="13">
        <v>9</v>
      </c>
      <c r="C1556" s="14" t="s">
        <v>32</v>
      </c>
      <c r="D1556" s="15" cm="1">
        <f t="array" ref="D1556">_xlfn.SINGLE(IF(A1556=A1557,_xll.ciqfunctions.udf.CIQ(A1548,"IQ_TOTAL_REV",IQ_FY-2)/I1556, _xll.ciqfunctions.udf.CIQ(A1548, "IQ_TOTAL_REV",IQ_FY-1)/I1556))</f>
        <v>10.508177432285155</v>
      </c>
      <c r="E1556" s="16">
        <f t="shared" si="415"/>
        <v>0.14337655535385285</v>
      </c>
      <c r="F1556" s="15">
        <f>IF(A1556=A1557,_xll.ciqfunctions.udf.CIQ(A1548,"IQ_DILUT_EPS_EXCL",IQ_FY-2), _xll.ciqfunctions.udf.CIQ(A1548, "IQ_DILUT_EPS_EXCL",IQ_FY-1))</f>
        <v>1.72</v>
      </c>
      <c r="G1556" s="15">
        <f>IF(A1556=A1557,_xll.ciqfunctions.udf.CIQ(A1548,"IQ_EBITDA_MARGIN",IQ_FY-2), _xll.ciqfunctions.udf.CIQ(A1548, "IQ_EBITDA_MARGIN",IQ_FY-1))</f>
        <v>21.434200000000001</v>
      </c>
      <c r="H1556" s="15">
        <f>IF(A1556=A1557,_xll.ciqfunctions.udf.CIQ(A1548,"IQ_TOTAL_DIV_PAID_CF",IQ_FY-2)/-I1556, _xll.ciqfunctions.udf.CIQ(A1548, "IQ_TOTAL_DIV_PAID_CF",IQ_FY-1)/-I1556)</f>
        <v>0</v>
      </c>
      <c r="I1556" s="17">
        <f>IF(A1556=A1557,_xll.ciqfunctions.udf.CIQ(A1548,"IQ_TOTAL_OUTSTANDING_FILING_DATE",IQ_FY-2), _xll.ciqfunctions.udf.CIQ(A1548, "IQ_TOTAL_OUTSTANDING_FILING_DATE",IQ_FY-1))</f>
        <v>63.154910000000001</v>
      </c>
      <c r="J1556" s="17">
        <f>IF(A1556=A1557,_xll.ciqfunctions.udf.CIQ(A1548,"IQ_CASH_OPER",IQ_FY-2), _xll.ciqfunctions.udf.CIQ(A1548, "IQ_CASH_OPER",IQ_FY-1))</f>
        <v>185.18299999999999</v>
      </c>
      <c r="K1556" s="17">
        <f>IF(A1556=A1557,_xll.ciqfunctions.udf.CIQ(A1548,"IQ_CAPEX",IQ_FY-2), _xll.ciqfunctions.udf.CIQ(A1548, "IQ_CAPEX",IQ_FY-1))</f>
        <v>-4.016</v>
      </c>
      <c r="L1556" s="15">
        <f t="shared" si="412"/>
        <v>2.8686130658724713</v>
      </c>
      <c r="M1556" s="17">
        <f>IF(A1556=A1557,_xll.ciqfunctions.udf.CIQ(A1548,"IQ_TOTAL_DEBT_ISSUED",IQ_FY-2), _xll.ciqfunctions.udf.CIQ(A1548, "IQ_TOTAL_DEBT_ISSUED",IQ_FY-1))</f>
        <v>0</v>
      </c>
      <c r="N1556" s="17">
        <f>IF(A1556=A1557,_xll.ciqfunctions.udf.CIQ(A1548,"IQ_TOTAL_DEBT_REPAID",IQ_FY-2), _xll.ciqfunctions.udf.CIQ(A1548, "IQ_TOTAL_DEBT_REPAID",IQ_FY-1))</f>
        <v>0</v>
      </c>
      <c r="O1556" s="15">
        <f t="shared" si="413"/>
        <v>0</v>
      </c>
      <c r="P1556" s="15">
        <f t="shared" si="414"/>
        <v>2.8686130658724713</v>
      </c>
      <c r="Q1556" s="25" t="s">
        <v>33</v>
      </c>
      <c r="R1556" s="38" t="s">
        <v>52</v>
      </c>
      <c r="S1556" s="4">
        <f>(AVERAGE(O1553:O1558)/AVERAGE(P1553:P1558))</f>
        <v>0</v>
      </c>
      <c r="U1556" s="25" t="s">
        <v>54</v>
      </c>
      <c r="V1556" s="38" t="s">
        <v>52</v>
      </c>
      <c r="W1556" s="4">
        <f>(AVERAGE(O1553:O1558)/AVERAGE(P1553:P1558))</f>
        <v>0</v>
      </c>
      <c r="Y1556" s="25" t="s">
        <v>60</v>
      </c>
      <c r="Z1556" s="38" t="s">
        <v>52</v>
      </c>
      <c r="AA1556" s="4">
        <f>(AVERAGE(O1553:O1558)/AVERAGE(P1553:P1558))</f>
        <v>0</v>
      </c>
    </row>
    <row r="1557" spans="1:27">
      <c r="A1557" s="19">
        <f>_xll.ciqfunctions.udf.CIQ(A1548,"IQ_TOTAL_REV",IQ_LTM)</f>
        <v>888.57299999999998</v>
      </c>
      <c r="B1557" s="13">
        <v>10</v>
      </c>
      <c r="C1557" s="14" t="s">
        <v>34</v>
      </c>
      <c r="D1557" s="15" cm="1">
        <f t="array" ref="D1557">_xlfn.SINGLE(IF(A1556=A1557,_xll.ciqfunctions.udf.CIQ(A1548,"IQ_TOTAL_REV",IQ_FY-1)/I1557, _xll.ciqfunctions.udf.CIQ(A1548, "IQ_TOTAL_REV",IQ_FY)/I1557))</f>
        <v>12.274135436252928</v>
      </c>
      <c r="E1557" s="16">
        <f t="shared" si="415"/>
        <v>0.16805559435474246</v>
      </c>
      <c r="F1557" s="15">
        <f>IF(A1556=A1557,_xll.ciqfunctions.udf.CIQ(A1548,"IQ_DILUT_EPS_EXCL",IQ_FY-1), _xll.ciqfunctions.udf.CIQ(A1548, "IQ_DILUT_EPS_EXCL",IQ_FY))</f>
        <v>2.0299999999999998</v>
      </c>
      <c r="G1557" s="15">
        <f>IF(A1556=A1557,_xll.ciqfunctions.udf.CIQ(A1548,"IQ_EBITDA_MARGIN",IQ_FY-1), _xll.ciqfunctions.udf.CIQ(A1548, "IQ_EBITDA_MARGIN",IQ_FY))</f>
        <v>20.775099999999998</v>
      </c>
      <c r="H1557" s="15">
        <f>IF(A1556=A1557,_xll.ciqfunctions.udf.CIQ(A1548,"IQ_TOTAL_DIV_PAID_CF",IQ_FY-1)/-I1557, _xll.ciqfunctions.udf.CIQ(A1548, "IQ_TOTAL_DIV_PAID_CF",IQ_FY)/-I1557)</f>
        <v>0</v>
      </c>
      <c r="I1557" s="17">
        <f>IF(A1556=A1557,_xll.ciqfunctions.udf.CIQ(A1548,"IQ_TOTAL_OUTSTANDING_FILING_DATE",IQ_FY-1), _xll.ciqfunctions.udf.CIQ(A1548, "IQ_TOTAL_OUTSTANDING_FILING_DATE",IQ_FY))</f>
        <v>62.49597</v>
      </c>
      <c r="J1557" s="17">
        <f>IF(A1556=A1557,_xll.ciqfunctions.udf.CIQ(A1548,"IQ_CASH_OPER",IQ_FY-1), _xll.ciqfunctions.udf.CIQ(A1548, "IQ_CASH_OPER",IQ_FY))</f>
        <v>179.63</v>
      </c>
      <c r="K1557" s="17">
        <f>IF(A1556=A1557,_xll.ciqfunctions.udf.CIQ(A1548,"IQ_CAPEX",IQ_FY-1), _xll.ciqfunctions.udf.CIQ(A1548, "IQ_CAPEX",IQ_FY))</f>
        <v>-6.5869999999999997</v>
      </c>
      <c r="L1557" s="15">
        <f t="shared" si="412"/>
        <v>2.7688665365142744</v>
      </c>
      <c r="M1557" s="17">
        <f>IF(A1556=A1557,_xll.ciqfunctions.udf.CIQ(A1548,"IQ_TOTAL_DEBT_ISSUED",IQ_FY-1), _xll.ciqfunctions.udf.CIQ(A1548, "IQ_TOTAL_DEBT_ISSUED",IQ_FY))</f>
        <v>0</v>
      </c>
      <c r="N1557" s="17">
        <f>IF(A1556=A1557,_xll.ciqfunctions.udf.CIQ(A1548,"IQ_TOTAL_DEBT_REPAID",IQ_FY-1), _xll.ciqfunctions.udf.CIQ(A1548, "IQ_TOTAL_DEBT_REPAID",IQ_FY))</f>
        <v>0</v>
      </c>
      <c r="O1557" s="15">
        <f t="shared" si="413"/>
        <v>0</v>
      </c>
      <c r="P1557" s="15">
        <f t="shared" si="414"/>
        <v>2.7688665365142744</v>
      </c>
      <c r="Q1557" s="25" t="s">
        <v>44</v>
      </c>
      <c r="R1557" s="38" t="s">
        <v>35</v>
      </c>
      <c r="S1557" s="1">
        <f>_xll.ciqfunctions.udf.CIQ(A1548,"IQ_TEV_EBITDA")</f>
        <v>64.889499999999998</v>
      </c>
      <c r="U1557" s="25" t="s">
        <v>55</v>
      </c>
      <c r="V1557" s="38" t="s">
        <v>53</v>
      </c>
      <c r="W1557" s="1">
        <f>V1547/(AVERAGE(D1553:D1558)/_xlfn.STDEV.P(E1553:E1558))</f>
        <v>1.8871096275565638</v>
      </c>
      <c r="Y1557" s="25" t="s">
        <v>57</v>
      </c>
      <c r="Z1557" s="38" t="s">
        <v>53</v>
      </c>
      <c r="AA1557" s="1">
        <f>Z1547/(AVERAGE(D1553:D1558)/_xlfn.STDEV.P(E1553:E1558))</f>
        <v>1.8871096275565638</v>
      </c>
    </row>
    <row r="1558" spans="1:27">
      <c r="B1558" s="13">
        <v>11</v>
      </c>
      <c r="C1558" s="20" t="s">
        <v>36</v>
      </c>
      <c r="D1558" s="21" cm="1">
        <f t="array" ref="D1558">_xlfn.SINGLE(IF(A1556=A1557,_xll.ciqfunctions.udf.CIQ(A1548,"IQ_TOTAL_REV",IQ_FY)/I1558, _xll.ciqfunctions.udf.CIQ(A1548, "IQ_TOTAL_REV",IQ_LTM)/I1558))</f>
        <v>14.433049471486795</v>
      </c>
      <c r="E1558" s="22">
        <f t="shared" si="415"/>
        <v>0.17589133234242232</v>
      </c>
      <c r="F1558" s="21">
        <f>IF(A1556=A1557,_xll.ciqfunctions.udf.CIQ(A1548,"IQ_DILUT_EPS_EXCL",IQ_FY), _xll.ciqfunctions.udf.CIQ(A1548, "IQ_DILUT_EPS_EXCL",IQ_LTM))</f>
        <v>2.6497600000000001</v>
      </c>
      <c r="G1558" s="21">
        <f>IF(A1556=A1557,_xll.ciqfunctions.udf.CIQ(A1548,"IQ_EBITDA_MARGIN",IQ_FY), _xll.ciqfunctions.udf.CIQ(A1548, "IQ_EBITDA_MARGIN",IQ_LTM))</f>
        <v>22.6738</v>
      </c>
      <c r="H1558" s="21">
        <f>IF(A1556=A1557,_xll.ciqfunctions.udf.CIQ(A1548,"IQ_TOTAL_DIV_PAID_CF",IQ_FY)/-I1558, _xll.ciqfunctions.udf.CIQ(A1548, "IQ_TOTAL_DIV_PAID_CF",IQ_LTM)/-I1558)</f>
        <v>0</v>
      </c>
      <c r="I1558" s="23">
        <f>IF(A1556=A1557,_xll.ciqfunctions.udf.CIQ(A1548,"IQ_TOTAL_OUTSTANDING_FILING_DATE",IQ_FY),_xll.ciqfunctions.udf.CIQ(A1548,"IQ_sharesoutstanding"))</f>
        <v>61.565159999999999</v>
      </c>
      <c r="J1558" s="23">
        <f>IF(A1556=A1557,_xll.ciqfunctions.udf.CIQ(A1548,"IQ_CASH_OPER",IQ_FY), _xll.ciqfunctions.udf.CIQ(A1548, "IQ_CASH_OPER",IQ_LTM))</f>
        <v>213.08699999999999</v>
      </c>
      <c r="K1558" s="23">
        <f>IF(A1556=A1557,_xll.ciqfunctions.udf.CIQ(A1548,"IQ_CAPEX",IQ_FY), _xll.ciqfunctions.udf.CIQ(A1548, "IQ_CAPEX",IQ_LTM))</f>
        <v>-5.1959999999999997</v>
      </c>
      <c r="L1558" s="21">
        <f t="shared" si="412"/>
        <v>3.376763741050945</v>
      </c>
      <c r="M1558" s="23">
        <f>IF(A1556=A1557,_xll.ciqfunctions.udf.CIQ(A1548,"IQ_TOTAL_DEBT_ISSUED",IQ_FY), _xll.ciqfunctions.udf.CIQ(A1548, "IQ_TOTAL_DEBT_ISSUED",IQ_LTM))</f>
        <v>0</v>
      </c>
      <c r="N1558" s="23">
        <f>IF(A1556=A1557,_xll.ciqfunctions.udf.CIQ(A1548,"IQ_TOTAL_DEBT_REPAID",IQ_FY), _xll.ciqfunctions.udf.CIQ(A1548, "IQ_TOTAL_DEBT_REPAID",IQ_LTM))</f>
        <v>0</v>
      </c>
      <c r="O1558" s="21">
        <f t="shared" si="413"/>
        <v>0</v>
      </c>
      <c r="P1558" s="21">
        <f t="shared" si="414"/>
        <v>3.376763741050945</v>
      </c>
      <c r="Q1558" s="25" t="s">
        <v>45</v>
      </c>
      <c r="S1558" s="45"/>
      <c r="U1558" s="25"/>
      <c r="W1558" s="45"/>
      <c r="Y1558" s="25"/>
      <c r="AA1558" s="45"/>
    </row>
    <row r="1559" spans="1:27">
      <c r="B1559" s="24"/>
      <c r="C1559" s="25" t="s">
        <v>37</v>
      </c>
      <c r="E1559" s="26">
        <f>((D1558/D1553)^(1/5))-1</f>
        <v>0.10910116265107628</v>
      </c>
      <c r="F1559" s="27">
        <f>((F1558/F1553)^(1/5))-1</f>
        <v>0.10894470241983156</v>
      </c>
      <c r="G1559" s="28"/>
      <c r="H1559" s="27" t="e">
        <f>((H1558/H1553)^(1/5))-1</f>
        <v>#DIV/0!</v>
      </c>
      <c r="I1559" s="27">
        <f>((I1558/I1553)^(1/5))-1</f>
        <v>-1.0853294704686101E-2</v>
      </c>
      <c r="J1559" s="27"/>
      <c r="K1559" s="27"/>
      <c r="L1559" s="26">
        <f>((L1558/L1553)^(1/5))-1</f>
        <v>0.1104244938790877</v>
      </c>
      <c r="M1559" s="26"/>
      <c r="N1559" s="26"/>
      <c r="O1559" s="26"/>
      <c r="P1559" s="26">
        <f>((P1558/P1553)^(1/5))-1</f>
        <v>0.1104244938790877</v>
      </c>
      <c r="Q1559" s="18"/>
      <c r="R1559" s="36"/>
      <c r="S1559" s="45"/>
      <c r="U1559" s="18"/>
      <c r="V1559" s="36"/>
      <c r="W1559" s="45"/>
      <c r="Y1559" s="18"/>
      <c r="Z1559" s="36"/>
      <c r="AA1559" s="45"/>
    </row>
    <row r="1560" spans="1:27">
      <c r="A1560" s="29"/>
      <c r="B1560" s="30"/>
      <c r="C1560" s="31" t="s">
        <v>38</v>
      </c>
      <c r="D1560" s="29"/>
      <c r="E1560" s="32">
        <f>((D1558/D1548)^(1/10))-1</f>
        <v>0.10285147091799263</v>
      </c>
      <c r="F1560" s="33">
        <f>((F1558/F1548)^(1/10))-1</f>
        <v>0.11910492977787279</v>
      </c>
      <c r="G1560" s="34"/>
      <c r="H1560" s="33" t="e">
        <f>((H1558/H1548)^(1/10))-1</f>
        <v>#DIV/0!</v>
      </c>
      <c r="I1560" s="33">
        <f>((I1558/I1548)^(1/10))-1</f>
        <v>-2.1416373131984412E-2</v>
      </c>
      <c r="J1560" s="33"/>
      <c r="K1560" s="33"/>
      <c r="L1560" s="32">
        <f>((L1558/L1548)^(1/10))-1</f>
        <v>0.1179553706789116</v>
      </c>
      <c r="M1560" s="32"/>
      <c r="N1560" s="32"/>
      <c r="O1560" s="32"/>
      <c r="P1560" s="32">
        <f>((P1558/P1548)^(1/10))-1</f>
        <v>0.1179553706789116</v>
      </c>
      <c r="Q1560" s="40"/>
      <c r="R1560" s="41"/>
      <c r="S1560" s="46"/>
      <c r="U1560" s="40"/>
      <c r="V1560" s="41"/>
      <c r="W1560" s="46"/>
      <c r="Y1560" s="40"/>
      <c r="Z1560" s="41"/>
      <c r="AA1560" s="46"/>
    </row>
    <row r="1561" spans="1:27">
      <c r="B1561" s="24"/>
      <c r="C1561" s="25"/>
      <c r="E1561" s="26"/>
      <c r="F1561" s="27"/>
      <c r="G1561" s="28"/>
      <c r="H1561" s="27"/>
      <c r="I1561" s="27"/>
      <c r="J1561" s="27"/>
      <c r="K1561" s="27"/>
      <c r="L1561" s="26"/>
      <c r="M1561" s="17"/>
      <c r="N1561" s="17"/>
      <c r="O1561" s="17"/>
      <c r="P1561" s="35"/>
      <c r="Q1561" s="18"/>
      <c r="R1561" s="36"/>
    </row>
    <row r="1562" spans="1:27">
      <c r="A1562" s="9" t="s">
        <v>0</v>
      </c>
      <c r="B1562" s="10"/>
      <c r="C1562" s="9" t="s">
        <v>1</v>
      </c>
      <c r="D1562" s="9" t="s">
        <v>2</v>
      </c>
      <c r="E1562" s="9" t="s">
        <v>3</v>
      </c>
      <c r="F1562" s="11" t="s">
        <v>4</v>
      </c>
      <c r="G1562" s="11" t="s">
        <v>5</v>
      </c>
      <c r="H1562" s="9" t="s">
        <v>6</v>
      </c>
      <c r="I1562" s="11" t="s">
        <v>7</v>
      </c>
      <c r="J1562" s="11" t="s">
        <v>8</v>
      </c>
      <c r="K1562" s="11" t="s">
        <v>9</v>
      </c>
      <c r="L1562" s="11" t="s">
        <v>10</v>
      </c>
      <c r="M1562" s="11" t="s">
        <v>11</v>
      </c>
      <c r="N1562" s="11" t="s">
        <v>12</v>
      </c>
      <c r="O1562" s="11" t="s">
        <v>13</v>
      </c>
      <c r="P1562" s="11" t="s">
        <v>14</v>
      </c>
      <c r="Q1562" s="37" t="s">
        <v>15</v>
      </c>
      <c r="R1562" s="42">
        <f>_xll.ciqfunctions.udf.CIQ(A1563,("IQ_LASTSALEPRICE"))</f>
        <v>94.064999999999998</v>
      </c>
      <c r="S1562" s="44"/>
      <c r="U1562" s="37" t="s">
        <v>15</v>
      </c>
      <c r="V1562" s="42">
        <f>_xll.ciqfunctions.udf.CIQ(A1563,("IQ_LASTSALEPRICE"))</f>
        <v>94.064999999999998</v>
      </c>
      <c r="W1562" s="44"/>
      <c r="Y1562" s="37" t="s">
        <v>15</v>
      </c>
      <c r="Z1562" s="42">
        <f>_xll.ciqfunctions.udf.CIQ(A1563,("IQ_LASTSALEPRICE"))</f>
        <v>94.064999999999998</v>
      </c>
      <c r="AA1562" s="44"/>
    </row>
    <row r="1563" spans="1:27">
      <c r="A1563" s="12" t="str">
        <f>Analysis!B106</f>
        <v>NYSE:WK</v>
      </c>
      <c r="B1563" s="13">
        <v>1</v>
      </c>
      <c r="C1563" s="14" t="s">
        <v>16</v>
      </c>
      <c r="D1563" s="15">
        <f>IF(A1571=A1572,_xll.ciqfunctions.udf.CIQ(A1563,"IQ_TOTAL_REV",IQ_FY-10)/I1563,_xll.ciqfunctions.udf.CIQ(A1563, "IQ_TOTAL_REV",IQ_FY-9)/I1563)</f>
        <v>4.4923161983686466</v>
      </c>
      <c r="E1563" s="16"/>
      <c r="F1563" s="15">
        <f>IF(A1571=A1572,_xll.ciqfunctions.udf.CIQ(A1563,"IQ_DILUT_EPS_EXCL",IQ_FY-10), _xll.ciqfunctions.udf.CIQ(A1563, "IQ_DILUT_EPS_EXCL",IQ_FY-9))</f>
        <v>-0.94159000000000004</v>
      </c>
      <c r="G1563" s="15">
        <f>IF(A1571=A1572,_xll.ciqfunctions.udf.CIQ(A1563,"IQ_EBITDA_MARGIN",IQ_FY-10), _xll.ciqfunctions.udf.CIQ(A1563, "IQ_EBITDA_MARGIN",IQ_FY-9))</f>
        <v>-31.601500000000001</v>
      </c>
      <c r="H1563" s="15">
        <f>IF(A1571=A1572,_xll.ciqfunctions.udf.CIQ(A1563,"IQ_TOTAL_DIV_PAID_CF",IQ_FY-10)/-I1563, _xll.ciqfunctions.udf.CIQ(A1563, "IQ_TOTAL_DIV_PAID_CF",IQ_FY-9)/-I1563)</f>
        <v>3.2181805040514782E-3</v>
      </c>
      <c r="I1563" s="17">
        <f>IF(A1571=A1572,_xll.ciqfunctions.udf.CIQ(A1563,"IQ_TOTAL_OUTSTANDING_FILING_DATE",IQ_FY-10), _xll.ciqfunctions.udf.CIQ(A1563, "IQ_TOTAL_OUTSTANDING_FILING_DATE",IQ_FY-9))</f>
        <v>18.954809999999998</v>
      </c>
      <c r="J1563" s="17">
        <f>IF(A1571=A1572,_xll.ciqfunctions.udf.CIQ(A1563,"IQ_CASH_OPER",IQ_FY-10), _xll.ciqfunctions.udf.CIQ(A1563, "IQ_CASH_OPER",IQ_FY-9))</f>
        <v>-10.452</v>
      </c>
      <c r="K1563" s="17">
        <f>IF(A1571=A1572,_xll.ciqfunctions.udf.CIQ(A1563,"IQ_CAPEX",IQ_FY-10), _xll.ciqfunctions.udf.CIQ(A1563, "IQ_CAPEX",IQ_FY-9))</f>
        <v>-9.5030000000000001</v>
      </c>
      <c r="L1563" s="15">
        <f t="shared" ref="L1563:L1573" si="416">(J1563+K1563)/I1563</f>
        <v>-1.052767081284381</v>
      </c>
      <c r="M1563" s="17">
        <f>IF(A1571=A1572,_xll.ciqfunctions.udf.CIQ(A1563,"IQ_TOTAL_DEBT_ISSUED",IQ_FY-10), _xll.ciqfunctions.udf.CIQ(A1563, "IQ_TOTAL_DEBT_ISSUED",IQ_FY-9))</f>
        <v>2.0169999999999999</v>
      </c>
      <c r="N1563" s="17">
        <f>IF(A1571=A1572,_xll.ciqfunctions.udf.CIQ(A1563,"IQ_TOTAL_DEBT_REPAID",IQ_FY-10), _xll.ciqfunctions.udf.CIQ(A1563, "IQ_TOTAL_DEBT_REPAID",IQ_FY-9))</f>
        <v>-0.52700000000000002</v>
      </c>
      <c r="O1563" s="15">
        <f t="shared" ref="O1563:O1573" si="417">(M1563+N1563)/I1563</f>
        <v>7.8608015590765606E-2</v>
      </c>
      <c r="P1563" s="15">
        <f t="shared" ref="P1563:P1573" si="418">L1563+O1563</f>
        <v>-0.97415906569361543</v>
      </c>
      <c r="W1563" s="43"/>
      <c r="AA1563" s="43"/>
    </row>
    <row r="1564" spans="1:27">
      <c r="A1564" s="18" t="str">
        <f>_xll.ciqfunctions.udf.CIQ(A1563,"IQ_COMPANY_NAME")</f>
        <v>Workiva Inc.</v>
      </c>
      <c r="B1564" s="13">
        <v>2</v>
      </c>
      <c r="C1564" s="14" t="s">
        <v>17</v>
      </c>
      <c r="D1564" s="15">
        <f>IF(A1571=A1572,_xll.ciqfunctions.udf.CIQ(A1563,"IQ_TOTAL_REV",IQ_FY-9)/I1564, _xll.ciqfunctions.udf.CIQ(A1563, "IQ_TOTAL_REV",IQ_FY-8)/I1564)</f>
        <v>2.8044830318498728</v>
      </c>
      <c r="E1564" s="16">
        <f t="shared" ref="E1564:E1573" si="419">(D1564-D1563)/D1563</f>
        <v>-0.37571557566043517</v>
      </c>
      <c r="F1564" s="15">
        <f>IF(A1571=A1572,_xll.ciqfunctions.udf.CIQ(A1563,"IQ_DILUT_EPS_EXCL",IQ_FY-9), _xll.ciqfunctions.udf.CIQ(A1563, "IQ_DILUT_EPS_EXCL",IQ_FY-8))</f>
        <v>-1.27982</v>
      </c>
      <c r="G1564" s="15">
        <f>IF(A1571=A1572,_xll.ciqfunctions.udf.CIQ(A1563,"IQ_EBITDA_MARGIN",IQ_FY-9), _xll.ciqfunctions.udf.CIQ(A1563, "IQ_EBITDA_MARGIN",IQ_FY-8))</f>
        <v>-30.820599999999999</v>
      </c>
      <c r="H1564" s="15">
        <f>IF(A1571=A1572,_xll.ciqfunctions.udf.CIQ(A1563,"IQ_TOTAL_DIV_PAID_CF",IQ_FY-9)/-I1564, _xll.ciqfunctions.udf.CIQ(A1563, "IQ_TOTAL_DIV_PAID_CF",IQ_FY-8)/-I1564)</f>
        <v>6.943144851421678E-3</v>
      </c>
      <c r="I1564" s="17">
        <f>IF(A1571=A1572,_xll.ciqfunctions.udf.CIQ(A1563,"IQ_TOTAL_OUTSTANDING_FILING_DATE",IQ_FY-9), _xll.ciqfunctions.udf.CIQ(A1563, "IQ_TOTAL_OUTSTANDING_FILING_DATE",IQ_FY-8))</f>
        <v>40.183520000000001</v>
      </c>
      <c r="J1564" s="17">
        <f>IF(A1571=A1572,_xll.ciqfunctions.udf.CIQ(A1563,"IQ_CASH_OPER",IQ_FY-9), _xll.ciqfunctions.udf.CIQ(A1563, "IQ_CASH_OPER",IQ_FY-8))</f>
        <v>-3.5049999999999999</v>
      </c>
      <c r="K1564" s="17">
        <f>IF(A1571=A1572,_xll.ciqfunctions.udf.CIQ(A1563,"IQ_CAPEX",IQ_FY-9), _xll.ciqfunctions.udf.CIQ(A1563, "IQ_CAPEX",IQ_FY-8))</f>
        <v>-8.5660000000000007</v>
      </c>
      <c r="L1564" s="15">
        <f t="shared" si="416"/>
        <v>-0.30039677957530853</v>
      </c>
      <c r="M1564" s="17">
        <f>IF(A1571=A1572,_xll.ciqfunctions.udf.CIQ(A1563,"IQ_TOTAL_DEBT_ISSUED",IQ_FY-9), _xll.ciqfunctions.udf.CIQ(A1563, "IQ_TOTAL_DEBT_ISSUED",IQ_FY-8))</f>
        <v>8.02</v>
      </c>
      <c r="N1564" s="17">
        <f>IF(A1571=A1572,_xll.ciqfunctions.udf.CIQ(A1563,"IQ_TOTAL_DEBT_REPAID",IQ_FY-9), _xll.ciqfunctions.udf.CIQ(A1563, "IQ_TOTAL_DEBT_REPAID",IQ_FY-8))</f>
        <v>-8.7409999999999997</v>
      </c>
      <c r="O1564" s="15">
        <f t="shared" si="417"/>
        <v>-1.794267898879939E-2</v>
      </c>
      <c r="P1564" s="15">
        <f t="shared" si="418"/>
        <v>-0.31833945856410789</v>
      </c>
      <c r="Q1564" s="25" t="s">
        <v>18</v>
      </c>
      <c r="R1564" s="39" t="s">
        <v>19</v>
      </c>
      <c r="S1564" s="1">
        <f>R1562/((AVERAGE(P1568:P1573))*(1+E1574)^3)</f>
        <v>23.596586357704084</v>
      </c>
      <c r="U1564" s="25" t="s">
        <v>48</v>
      </c>
      <c r="V1564" s="39" t="s">
        <v>19</v>
      </c>
      <c r="W1564" s="1">
        <f>V1562/((AVERAGE(P1568:P1573))*(1+E1574)^3)</f>
        <v>23.596586357704084</v>
      </c>
      <c r="Y1564" s="25" t="s">
        <v>39</v>
      </c>
      <c r="Z1564" s="39" t="s">
        <v>19</v>
      </c>
      <c r="AA1564" s="1">
        <f>Z1562/((AVERAGE(P1568:P1573))*(1+E1574)^3)</f>
        <v>23.596586357704084</v>
      </c>
    </row>
    <row r="1565" spans="1:27">
      <c r="B1565" s="13">
        <v>3</v>
      </c>
      <c r="C1565" s="14" t="s">
        <v>20</v>
      </c>
      <c r="D1565" s="15" cm="1">
        <f t="array" ref="D1565">_xlfn.SINGLE(IF(A1571=A1572,_xll.ciqfunctions.udf.CIQ(A1563,"IQ_TOTAL_REV",IQ_FY-8)/I1565, _xll.ciqfunctions.udf.CIQ(A1563, "IQ_TOTAL_REV",IQ_FY-7)/I1565))</f>
        <v>3.5492861945491216</v>
      </c>
      <c r="E1565" s="16">
        <f t="shared" si="419"/>
        <v>0.26557592049610912</v>
      </c>
      <c r="F1565" s="15">
        <f>IF(A1571=A1572,_xll.ciqfunctions.udf.CIQ(A1563,"IQ_DILUT_EPS_EXCL",IQ_FY-8), _xll.ciqfunctions.udf.CIQ(A1563, "IQ_DILUT_EPS_EXCL",IQ_FY-7))</f>
        <v>-1.0889899999999999</v>
      </c>
      <c r="G1565" s="15">
        <f>IF(A1571=A1572,_xll.ciqfunctions.udf.CIQ(A1563,"IQ_EBITDA_MARGIN",IQ_FY-8), _xll.ciqfunctions.udf.CIQ(A1563, "IQ_EBITDA_MARGIN",IQ_FY-7))</f>
        <v>-27.034099999999999</v>
      </c>
      <c r="H1565" s="15">
        <f>IF(A1571=A1572,_xll.ciqfunctions.udf.CIQ(A1563,"IQ_TOTAL_DIV_PAID_CF",IQ_FY-8)/-I1565, _xll.ciqfunctions.udf.CIQ(A1563, "IQ_TOTAL_DIV_PAID_CF",IQ_FY-7)/-I1565)</f>
        <v>9.3085938110800109E-3</v>
      </c>
      <c r="I1565" s="17">
        <f>IF(A1571=A1572,_xll.ciqfunctions.udf.CIQ(A1563,"IQ_TOTAL_OUTSTANDING_FILING_DATE",IQ_FY-8), _xll.ciqfunctions.udf.CIQ(A1563, "IQ_TOTAL_OUTSTANDING_FILING_DATE",IQ_FY-7))</f>
        <v>40.929920000000003</v>
      </c>
      <c r="J1565" s="17">
        <f>IF(A1571=A1572,_xll.ciqfunctions.udf.CIQ(A1563,"IQ_CASH_OPER",IQ_FY-8), _xll.ciqfunctions.udf.CIQ(A1563, "IQ_CASH_OPER",IQ_FY-7))</f>
        <v>-21.591999999999999</v>
      </c>
      <c r="K1565" s="17">
        <f>IF(A1571=A1572,_xll.ciqfunctions.udf.CIQ(A1563,"IQ_CAPEX",IQ_FY-8), _xll.ciqfunctions.udf.CIQ(A1563, "IQ_CAPEX",IQ_FY-7))</f>
        <v>-1.843</v>
      </c>
      <c r="L1565" s="15">
        <f t="shared" si="416"/>
        <v>-0.57256403139805789</v>
      </c>
      <c r="M1565" s="17">
        <f>IF(A1571=A1572,_xll.ciqfunctions.udf.CIQ(A1563,"IQ_TOTAL_DEBT_ISSUED",IQ_FY-8), _xll.ciqfunctions.udf.CIQ(A1563, "IQ_TOTAL_DEBT_ISSUED",IQ_FY-7))</f>
        <v>0</v>
      </c>
      <c r="N1565" s="17">
        <f>IF(A1571=A1572,_xll.ciqfunctions.udf.CIQ(A1563,"IQ_TOTAL_DEBT_REPAID",IQ_FY-8), _xll.ciqfunctions.udf.CIQ(A1563, "IQ_TOTAL_DEBT_REPAID",IQ_FY-7))</f>
        <v>-2.3660000000000001</v>
      </c>
      <c r="O1565" s="15">
        <f t="shared" si="417"/>
        <v>-5.7806123246759336E-2</v>
      </c>
      <c r="P1565" s="15">
        <f t="shared" si="418"/>
        <v>-0.63037015464481727</v>
      </c>
      <c r="Q1565" s="25" t="s">
        <v>21</v>
      </c>
      <c r="R1565" s="38" t="s">
        <v>49</v>
      </c>
      <c r="S1565" s="2">
        <f>(R1562*I1573)/1000</f>
        <v>5.0840288825999993</v>
      </c>
      <c r="U1565" s="25" t="s">
        <v>59</v>
      </c>
      <c r="V1565" s="38" t="s">
        <v>49</v>
      </c>
      <c r="W1565" s="2">
        <f>(V1562*I1573)/1000</f>
        <v>5.0840288825999993</v>
      </c>
      <c r="Y1565" s="25" t="s">
        <v>46</v>
      </c>
      <c r="Z1565" s="38" t="s">
        <v>49</v>
      </c>
      <c r="AA1565" s="2">
        <f>(Z1562*I1573)/1000</f>
        <v>5.0840288825999993</v>
      </c>
    </row>
    <row r="1566" spans="1:27">
      <c r="A1566" s="18"/>
      <c r="B1566" s="13">
        <v>4</v>
      </c>
      <c r="C1566" s="14" t="s">
        <v>22</v>
      </c>
      <c r="D1566" s="15" cm="1">
        <f t="array" ref="D1566">_xlfn.SINGLE(IF(A1571=A1572,_xll.ciqfunctions.udf.CIQ(A1563,"IQ_TOTAL_REV",IQ_FY-7)/I1566, _xll.ciqfunctions.udf.CIQ(A1563, "IQ_TOTAL_REV",IQ_FY-6)/I1566))</f>
        <v>4.3291801514822899</v>
      </c>
      <c r="E1566" s="16">
        <f t="shared" si="419"/>
        <v>0.21973262064099086</v>
      </c>
      <c r="F1566" s="15">
        <f>IF(A1571=A1572,_xll.ciqfunctions.udf.CIQ(A1563,"IQ_DILUT_EPS_EXCL",IQ_FY-7), _xll.ciqfunctions.udf.CIQ(A1563, "IQ_DILUT_EPS_EXCL",IQ_FY-6))</f>
        <v>-1.08128</v>
      </c>
      <c r="G1566" s="15">
        <f>IF(A1571=A1572,_xll.ciqfunctions.udf.CIQ(A1563,"IQ_EBITDA_MARGIN",IQ_FY-7), _xll.ciqfunctions.udf.CIQ(A1563, "IQ_EBITDA_MARGIN",IQ_FY-6))</f>
        <v>-22.255099999999999</v>
      </c>
      <c r="H1566" s="15">
        <f>IF(A1571=A1572,_xll.ciqfunctions.udf.CIQ(A1563,"IQ_TOTAL_DIV_PAID_CF",IQ_FY-7)/-I1566, _xll.ciqfunctions.udf.CIQ(A1563, "IQ_TOTAL_DIV_PAID_CF",IQ_FY-6)/-I1566)</f>
        <v>0</v>
      </c>
      <c r="I1566" s="17">
        <f>IF(A1571=A1572,_xll.ciqfunctions.udf.CIQ(A1563,"IQ_TOTAL_OUTSTANDING_FILING_DATE",IQ_FY-7), _xll.ciqfunctions.udf.CIQ(A1563, "IQ_TOTAL_OUTSTANDING_FILING_DATE",IQ_FY-6))</f>
        <v>41.265549999999998</v>
      </c>
      <c r="J1566" s="17">
        <f>IF(A1571=A1572,_xll.ciqfunctions.udf.CIQ(A1563,"IQ_CASH_OPER",IQ_FY-7), _xll.ciqfunctions.udf.CIQ(A1563, "IQ_CASH_OPER",IQ_FY-6))</f>
        <v>-10.369</v>
      </c>
      <c r="K1566" s="17">
        <f>IF(A1571=A1572,_xll.ciqfunctions.udf.CIQ(A1563,"IQ_CAPEX",IQ_FY-7), _xll.ciqfunctions.udf.CIQ(A1563, "IQ_CAPEX",IQ_FY-6))</f>
        <v>-1.901</v>
      </c>
      <c r="L1566" s="15">
        <f t="shared" si="416"/>
        <v>-0.29734245635887563</v>
      </c>
      <c r="M1566" s="17">
        <f>IF(A1571=A1572,_xll.ciqfunctions.udf.CIQ(A1563,"IQ_TOTAL_DEBT_ISSUED",IQ_FY-7), _xll.ciqfunctions.udf.CIQ(A1563, "IQ_TOTAL_DEBT_ISSUED",IQ_FY-6))</f>
        <v>0</v>
      </c>
      <c r="N1566" s="17">
        <f>IF(A1571=A1572,_xll.ciqfunctions.udf.CIQ(A1563,"IQ_TOTAL_DEBT_REPAID",IQ_FY-7), _xll.ciqfunctions.udf.CIQ(A1563, "IQ_TOTAL_DEBT_REPAID",IQ_FY-6))</f>
        <v>-1.881</v>
      </c>
      <c r="O1566" s="15">
        <f t="shared" si="417"/>
        <v>-4.558281665941688E-2</v>
      </c>
      <c r="P1566" s="15">
        <f t="shared" si="418"/>
        <v>-0.34292527301829251</v>
      </c>
      <c r="Q1566" s="25" t="s">
        <v>23</v>
      </c>
      <c r="R1566" s="38" t="s">
        <v>24</v>
      </c>
      <c r="S1566" s="1" t="e">
        <f>R1562/(AVERAGE(H1568:H1573)*(1+H1574)/(0.5-H1574))</f>
        <v>#DIV/0!</v>
      </c>
      <c r="U1566" s="25" t="s">
        <v>40</v>
      </c>
      <c r="V1566" s="38" t="s">
        <v>24</v>
      </c>
      <c r="W1566" s="1" t="e">
        <f>V1562/(AVERAGE(H1568:H1573)*(1+H1574)/(0.5-H1574))</f>
        <v>#DIV/0!</v>
      </c>
      <c r="Y1566" s="25" t="s">
        <v>47</v>
      </c>
      <c r="Z1566" s="38" t="s">
        <v>24</v>
      </c>
      <c r="AA1566" s="1" t="e">
        <f>Z1562/(AVERAGE(H1568:H1573)*(1+H1574)/(0.5-H1574))</f>
        <v>#DIV/0!</v>
      </c>
    </row>
    <row r="1567" spans="1:27">
      <c r="B1567" s="13">
        <v>5</v>
      </c>
      <c r="C1567" s="14" t="s">
        <v>25</v>
      </c>
      <c r="D1567" s="15" cm="1">
        <f t="array" ref="D1567">_xlfn.SINGLE(IF(A1571=A1572,_xll.ciqfunctions.udf.CIQ(A1563,"IQ_TOTAL_REV",IQ_FY-6)/I1567, _xll.ciqfunctions.udf.CIQ(A1563, "IQ_TOTAL_REV",IQ_FY-5)/I1567))</f>
        <v>4.8832657310885601</v>
      </c>
      <c r="E1567" s="16">
        <f t="shared" si="419"/>
        <v>0.1279885706342237</v>
      </c>
      <c r="F1567" s="15">
        <f>IF(A1571=A1572,_xll.ciqfunctions.udf.CIQ(A1563,"IQ_DILUT_EPS_EXCL",IQ_FY-6), _xll.ciqfunctions.udf.CIQ(A1563, "IQ_DILUT_EPS_EXCL",IQ_FY-5))</f>
        <v>-1.06745</v>
      </c>
      <c r="G1567" s="15">
        <f>IF(A1571=A1572,_xll.ciqfunctions.udf.CIQ(A1563,"IQ_EBITDA_MARGIN",IQ_FY-6), _xll.ciqfunctions.udf.CIQ(A1563, "IQ_EBITDA_MARGIN",IQ_FY-5))</f>
        <v>-19.606999999999999</v>
      </c>
      <c r="H1567" s="15">
        <f>IF(A1571=A1572,_xll.ciqfunctions.udf.CIQ(A1563,"IQ_TOTAL_DIV_PAID_CF",IQ_FY-6)/-I1567, _xll.ciqfunctions.udf.CIQ(A1563, "IQ_TOTAL_DIV_PAID_CF",IQ_FY-5)/-I1567)</f>
        <v>0</v>
      </c>
      <c r="I1567" s="17">
        <f>IF(A1571=A1572,_xll.ciqfunctions.udf.CIQ(A1563,"IQ_TOTAL_OUTSTANDING_FILING_DATE",IQ_FY-6), _xll.ciqfunctions.udf.CIQ(A1563, "IQ_TOTAL_OUTSTANDING_FILING_DATE",IQ_FY-5))</f>
        <v>42.567619999999998</v>
      </c>
      <c r="J1567" s="17">
        <f>IF(A1571=A1572,_xll.ciqfunctions.udf.CIQ(A1563,"IQ_CASH_OPER",IQ_FY-6), _xll.ciqfunctions.udf.CIQ(A1563, "IQ_CASH_OPER",IQ_FY-5))</f>
        <v>5.52</v>
      </c>
      <c r="K1567" s="17">
        <f>IF(A1571=A1572,_xll.ciqfunctions.udf.CIQ(A1563,"IQ_CAPEX",IQ_FY-6), _xll.ciqfunctions.udf.CIQ(A1563, "IQ_CAPEX",IQ_FY-5))</f>
        <v>-1.1879999999999999</v>
      </c>
      <c r="L1567" s="15">
        <f t="shared" si="416"/>
        <v>0.10176749369591252</v>
      </c>
      <c r="M1567" s="17">
        <f>IF(A1571=A1572,_xll.ciqfunctions.udf.CIQ(A1563,"IQ_TOTAL_DEBT_ISSUED",IQ_FY-6), _xll.ciqfunctions.udf.CIQ(A1563, "IQ_TOTAL_DEBT_ISSUED",IQ_FY-5))</f>
        <v>0</v>
      </c>
      <c r="N1567" s="17">
        <f>IF(A1571=A1572,_xll.ciqfunctions.udf.CIQ(A1563,"IQ_TOTAL_DEBT_REPAID",IQ_FY-6), _xll.ciqfunctions.udf.CIQ(A1563, "IQ_TOTAL_DEBT_REPAID",IQ_FY-5))</f>
        <v>-1.508</v>
      </c>
      <c r="O1567" s="15">
        <f t="shared" si="417"/>
        <v>-3.542598811021147E-2</v>
      </c>
      <c r="P1567" s="15">
        <f t="shared" si="418"/>
        <v>6.6341505585701052E-2</v>
      </c>
      <c r="Q1567" s="18"/>
      <c r="R1567" s="38" t="s">
        <v>50</v>
      </c>
      <c r="S1567" s="3">
        <f>I1574</f>
        <v>4.0557417607870905E-2</v>
      </c>
      <c r="U1567" s="18"/>
      <c r="V1567" s="38" t="s">
        <v>50</v>
      </c>
      <c r="W1567" s="3">
        <f>I1574</f>
        <v>4.0557417607870905E-2</v>
      </c>
      <c r="Y1567" s="18"/>
      <c r="Z1567" s="38" t="s">
        <v>50</v>
      </c>
      <c r="AA1567" s="3">
        <f>I1574</f>
        <v>4.0557417607870905E-2</v>
      </c>
    </row>
    <row r="1568" spans="1:27">
      <c r="B1568" s="13">
        <v>6</v>
      </c>
      <c r="C1568" s="14" t="s">
        <v>26</v>
      </c>
      <c r="D1568" s="15" cm="1">
        <f t="array" ref="D1568">_xlfn.SINGLE(IF(A1571=A1572,_xll.ciqfunctions.udf.CIQ(A1563,"IQ_TOTAL_REV",IQ_FY-5)/I1568, _xll.ciqfunctions.udf.CIQ(A1563, "IQ_TOTAL_REV",IQ_FY-4)/I1568))</f>
        <v>5.515082037590151</v>
      </c>
      <c r="E1568" s="16">
        <f t="shared" si="419"/>
        <v>0.12938396992799914</v>
      </c>
      <c r="F1568" s="15">
        <f>IF(A1571=A1572,_xll.ciqfunctions.udf.CIQ(A1563,"IQ_DILUT_EPS_EXCL",IQ_FY-5), _xll.ciqfunctions.udf.CIQ(A1563, "IQ_DILUT_EPS_EXCL",IQ_FY-4))</f>
        <v>-1.1473500000000001</v>
      </c>
      <c r="G1568" s="15">
        <f>IF(A1571=A1572,_xll.ciqfunctions.udf.CIQ(A1563,"IQ_EBITDA_MARGIN",IQ_FY-5), _xll.ciqfunctions.udf.CIQ(A1563, "IQ_EBITDA_MARGIN",IQ_FY-4))</f>
        <v>-18.828700000000001</v>
      </c>
      <c r="H1568" s="15">
        <f>IF(A1571=A1572,_xll.ciqfunctions.udf.CIQ(A1563,"IQ_TOTAL_DIV_PAID_CF",IQ_FY-5)/-I1568, _xll.ciqfunctions.udf.CIQ(A1563, "IQ_TOTAL_DIV_PAID_CF",IQ_FY-4)/-I1568)</f>
        <v>0</v>
      </c>
      <c r="I1568" s="17">
        <f>IF(A1571=A1572,_xll.ciqfunctions.udf.CIQ(A1563,"IQ_TOTAL_OUTSTANDING_FILING_DATE",IQ_FY-5), _xll.ciqfunctions.udf.CIQ(A1563, "IQ_TOTAL_OUTSTANDING_FILING_DATE",IQ_FY-4))</f>
        <v>44.304690000000001</v>
      </c>
      <c r="J1568" s="17">
        <f>IF(A1571=A1572,_xll.ciqfunctions.udf.CIQ(A1563,"IQ_CASH_OPER",IQ_FY-5), _xll.ciqfunctions.udf.CIQ(A1563, "IQ_CASH_OPER",IQ_FY-4))</f>
        <v>6.4</v>
      </c>
      <c r="K1568" s="17">
        <f>IF(A1571=A1572,_xll.ciqfunctions.udf.CIQ(A1563,"IQ_CAPEX",IQ_FY-5), _xll.ciqfunctions.udf.CIQ(A1563, "IQ_CAPEX",IQ_FY-4))</f>
        <v>-1.1220000000000001</v>
      </c>
      <c r="L1568" s="15">
        <f t="shared" si="416"/>
        <v>0.11912960004911445</v>
      </c>
      <c r="M1568" s="17">
        <f>IF(A1571=A1572,_xll.ciqfunctions.udf.CIQ(A1563,"IQ_TOTAL_DEBT_ISSUED",IQ_FY-5), _xll.ciqfunctions.udf.CIQ(A1563, "IQ_TOTAL_DEBT_ISSUED",IQ_FY-4))</f>
        <v>0</v>
      </c>
      <c r="N1568" s="17">
        <f>IF(A1571=A1572,_xll.ciqfunctions.udf.CIQ(A1563,"IQ_TOTAL_DEBT_REPAID",IQ_FY-5), _xll.ciqfunctions.udf.CIQ(A1563, "IQ_TOTAL_DEBT_REPAID",IQ_FY-4))</f>
        <v>-1.163</v>
      </c>
      <c r="O1568" s="15">
        <f t="shared" si="417"/>
        <v>-2.6250042602713165E-2</v>
      </c>
      <c r="P1568" s="15">
        <f t="shared" si="418"/>
        <v>9.2879557446401279E-2</v>
      </c>
      <c r="Q1568" s="25" t="s">
        <v>27</v>
      </c>
      <c r="R1568" s="38" t="s">
        <v>51</v>
      </c>
      <c r="S1568" s="4">
        <f>AVERAGE(F1568:F1573)/AVERAGE(D1568:D1573)</f>
        <v>-0.16739265321813582</v>
      </c>
      <c r="U1568" s="25" t="s">
        <v>58</v>
      </c>
      <c r="V1568" s="38" t="s">
        <v>51</v>
      </c>
      <c r="W1568" s="4">
        <f>AVERAGE(F1568:F1573)/AVERAGE(D1568:D1573)</f>
        <v>-0.16739265321813582</v>
      </c>
      <c r="Y1568" s="25" t="s">
        <v>56</v>
      </c>
      <c r="Z1568" s="38" t="s">
        <v>51</v>
      </c>
      <c r="AA1568" s="4">
        <f>AVERAGE(F1568:F1573)/AVERAGE(D1568:D1573)</f>
        <v>-0.16739265321813582</v>
      </c>
    </row>
    <row r="1569" spans="1:27">
      <c r="A1569" s="18"/>
      <c r="B1569" s="13">
        <v>7</v>
      </c>
      <c r="C1569" s="14" t="s">
        <v>28</v>
      </c>
      <c r="D1569" s="15" cm="1">
        <f t="array" ref="D1569">_xlfn.SINGLE(IF(A1571=A1572,_xll.ciqfunctions.udf.CIQ(A1563,"IQ_TOTAL_REV",IQ_FY-4)/I1569, _xll.ciqfunctions.udf.CIQ(A1563, "IQ_TOTAL_REV",IQ_FY-3)/I1569))</f>
        <v>6.352414182241108</v>
      </c>
      <c r="E1569" s="16">
        <f t="shared" si="419"/>
        <v>0.15182587293240599</v>
      </c>
      <c r="F1569" s="15">
        <f>IF(A1571=A1572,_xll.ciqfunctions.udf.CIQ(A1563,"IQ_DILUT_EPS_EXCL",IQ_FY-4), _xll.ciqfunctions.udf.CIQ(A1563, "IQ_DILUT_EPS_EXCL",IQ_FY-3))</f>
        <v>-1.0254099999999999</v>
      </c>
      <c r="G1569" s="15">
        <f>IF(A1571=A1572,_xll.ciqfunctions.udf.CIQ(A1563,"IQ_EBITDA_MARGIN",IQ_FY-4), _xll.ciqfunctions.udf.CIQ(A1563, "IQ_EBITDA_MARGIN",IQ_FY-3))</f>
        <v>-13.952</v>
      </c>
      <c r="H1569" s="15">
        <f>IF(A1571=A1572,_xll.ciqfunctions.udf.CIQ(A1563,"IQ_TOTAL_DIV_PAID_CF",IQ_FY-4)/-I1569, _xll.ciqfunctions.udf.CIQ(A1563, "IQ_TOTAL_DIV_PAID_CF",IQ_FY-3)/-I1569)</f>
        <v>0</v>
      </c>
      <c r="I1569" s="17">
        <f>IF(A1571=A1572,_xll.ciqfunctions.udf.CIQ(A1563,"IQ_TOTAL_OUTSTANDING_FILING_DATE",IQ_FY-4), _xll.ciqfunctions.udf.CIQ(A1563, "IQ_TOTAL_OUTSTANDING_FILING_DATE",IQ_FY-3))</f>
        <v>46.89414</v>
      </c>
      <c r="J1569" s="17">
        <f>IF(A1571=A1572,_xll.ciqfunctions.udf.CIQ(A1563,"IQ_CASH_OPER",IQ_FY-4), _xll.ciqfunctions.udf.CIQ(A1563, "IQ_CASH_OPER",IQ_FY-3))</f>
        <v>30.917999999999999</v>
      </c>
      <c r="K1569" s="17">
        <f>IF(A1571=A1572,_xll.ciqfunctions.udf.CIQ(A1563,"IQ_CAPEX",IQ_FY-4), _xll.ciqfunctions.udf.CIQ(A1563, "IQ_CAPEX",IQ_FY-3))</f>
        <v>-3.1040000000000001</v>
      </c>
      <c r="L1569" s="15">
        <f t="shared" si="416"/>
        <v>0.59312314928901566</v>
      </c>
      <c r="M1569" s="17">
        <f>IF(A1571=A1572,_xll.ciqfunctions.udf.CIQ(A1563,"IQ_TOTAL_DEBT_ISSUED",IQ_FY-4), _xll.ciqfunctions.udf.CIQ(A1563, "IQ_TOTAL_DEBT_ISSUED",IQ_FY-3))</f>
        <v>335.899</v>
      </c>
      <c r="N1569" s="17">
        <f>IF(A1571=A1572,_xll.ciqfunctions.udf.CIQ(A1563,"IQ_TOTAL_DEBT_REPAID",IQ_FY-4), _xll.ciqfunctions.udf.CIQ(A1563, "IQ_TOTAL_DEBT_REPAID",IQ_FY-3))</f>
        <v>-1.5649999999999999</v>
      </c>
      <c r="O1569" s="15">
        <f t="shared" si="417"/>
        <v>7.1295475298192912</v>
      </c>
      <c r="P1569" s="15">
        <f t="shared" si="418"/>
        <v>7.7226706791083064</v>
      </c>
      <c r="Q1569" s="18"/>
      <c r="R1569" s="38" t="s">
        <v>29</v>
      </c>
      <c r="S1569" s="4">
        <f>(AVERAGE(P1568:P1573)/_xlfn.STDEV.P(P1568:P1573))/(IF(A1571=A1572,(_xlfn.SINGLE(_xll.ciqfunctions.udf.CIQ(A1563,"IQ_total_assets",IQ_FY)) - _xlfn.SINGLE(_xll.ciqfunctions.udf.CIQ(A1563,"iq_gw_intan", IQ_FY)))/I1573, (_xlfn.SINGLE(_xll.ciqfunctions.udf.CIQ(A1563, "IQ_total_assets",IQ_LTM))-_xlfn.SINGLE(_xll.ciqfunctions.udf.CIQ(A1563,"iq_gw_intan",IQ_LTM)))/I1573))</f>
        <v>4.417652109649723E-2</v>
      </c>
      <c r="U1569" s="18"/>
      <c r="V1569" s="38" t="s">
        <v>29</v>
      </c>
      <c r="W1569" s="4">
        <f>(AVERAGE(P1568:P1573)/_xlfn.STDEV.P(P1568:P1573))/(IF(A1571=A1572,(_xlfn.SINGLE(_xll.ciqfunctions.udf.CIQ(A1563,"IQ_total_assets",IQ_FY)) - _xlfn.SINGLE(_xll.ciqfunctions.udf.CIQ(A1563,"iq_gw_intan", IQ_FY)))/I1573, (_xlfn.SINGLE(_xll.ciqfunctions.udf.CIQ(A1563, "IQ_total_assets",IQ_LTM))-_xlfn.SINGLE(_xll.ciqfunctions.udf.CIQ(A1563,"iq_gw_intan",IQ_LTM)))/I1573))</f>
        <v>4.417652109649723E-2</v>
      </c>
      <c r="Y1569" s="18"/>
      <c r="Z1569" s="38" t="s">
        <v>29</v>
      </c>
      <c r="AA1569" s="4">
        <f>(AVERAGE(P1568:P1573)/_xlfn.STDEV.P(P1568:P1573))/(IF(A1571=A1572,(_xlfn.SINGLE(_xll.ciqfunctions.udf.CIQ(A1563,"IQ_total_assets",IQ_FY)) - _xlfn.SINGLE(_xll.ciqfunctions.udf.CIQ(A1563,"iq_gw_intan", IQ_FY)))/I1573, (_xlfn.SINGLE(_xll.ciqfunctions.udf.CIQ(A1563, "IQ_total_assets",IQ_LTM))-_xlfn.SINGLE(_xll.ciqfunctions.udf.CIQ(A1563,"iq_gw_intan",IQ_LTM)))/I1573))</f>
        <v>4.417652109649723E-2</v>
      </c>
    </row>
    <row r="1570" spans="1:27">
      <c r="A1570" s="18"/>
      <c r="B1570" s="13">
        <v>8</v>
      </c>
      <c r="C1570" s="14" t="s">
        <v>30</v>
      </c>
      <c r="D1570" s="15" cm="1">
        <f t="array" ref="D1570">_xlfn.SINGLE(IF(A1571=A1572,_xll.ciqfunctions.udf.CIQ(A1563,"IQ_TOTAL_REV",IQ_FY-3)/I1570, _xll.ciqfunctions.udf.CIQ(A1563, "IQ_TOTAL_REV",IQ_FY-2)/I1570))</f>
        <v>7.0881614193015379</v>
      </c>
      <c r="E1570" s="16">
        <f t="shared" si="419"/>
        <v>0.11582167282437195</v>
      </c>
      <c r="F1570" s="15">
        <f>IF(A1571=A1572,_xll.ciqfunctions.udf.CIQ(A1563,"IQ_DILUT_EPS_EXCL",IQ_FY-3), _xll.ciqfunctions.udf.CIQ(A1563, "IQ_DILUT_EPS_EXCL",IQ_FY-2))</f>
        <v>-0.99895999999999996</v>
      </c>
      <c r="G1570" s="15">
        <f>IF(A1571=A1572,_xll.ciqfunctions.udf.CIQ(A1563,"IQ_EBITDA_MARGIN",IQ_FY-3), _xll.ciqfunctions.udf.CIQ(A1563, "IQ_EBITDA_MARGIN",IQ_FY-2))</f>
        <v>-9.5297000000000001</v>
      </c>
      <c r="H1570" s="15">
        <f>IF(A1571=A1572,_xll.ciqfunctions.udf.CIQ(A1563,"IQ_TOTAL_DIV_PAID_CF",IQ_FY-3)/-I1570, _xll.ciqfunctions.udf.CIQ(A1563, "IQ_TOTAL_DIV_PAID_CF",IQ_FY-2)/-I1570)</f>
        <v>0</v>
      </c>
      <c r="I1570" s="17">
        <f>IF(A1571=A1572,_xll.ciqfunctions.udf.CIQ(A1563,"IQ_TOTAL_OUTSTANDING_FILING_DATE",IQ_FY-3), _xll.ciqfunctions.udf.CIQ(A1563, "IQ_TOTAL_OUTSTANDING_FILING_DATE",IQ_FY-2))</f>
        <v>49.602989999999998</v>
      </c>
      <c r="J1570" s="17">
        <f>IF(A1571=A1572,_xll.ciqfunctions.udf.CIQ(A1563,"IQ_CASH_OPER",IQ_FY-3), _xll.ciqfunctions.udf.CIQ(A1563, "IQ_CASH_OPER",IQ_FY-2))</f>
        <v>33.243000000000002</v>
      </c>
      <c r="K1570" s="17">
        <f>IF(A1571=A1572,_xll.ciqfunctions.udf.CIQ(A1563,"IQ_CAPEX",IQ_FY-3), _xll.ciqfunctions.udf.CIQ(A1563, "IQ_CAPEX",IQ_FY-2))</f>
        <v>-1.873</v>
      </c>
      <c r="L1570" s="15">
        <f t="shared" si="416"/>
        <v>0.63242155362005403</v>
      </c>
      <c r="M1570" s="17">
        <f>IF(A1571=A1572,_xll.ciqfunctions.udf.CIQ(A1563,"IQ_TOTAL_DEBT_ISSUED",IQ_FY-3), _xll.ciqfunctions.udf.CIQ(A1563, "IQ_TOTAL_DEBT_ISSUED",IQ_FY-2))</f>
        <v>0</v>
      </c>
      <c r="N1570" s="17">
        <f>IF(A1571=A1572,_xll.ciqfunctions.udf.CIQ(A1563,"IQ_TOTAL_DEBT_REPAID",IQ_FY-3), _xll.ciqfunctions.udf.CIQ(A1563, "IQ_TOTAL_DEBT_REPAID",IQ_FY-2))</f>
        <v>-1.641</v>
      </c>
      <c r="O1570" s="15">
        <f t="shared" si="417"/>
        <v>-3.3082683120513504E-2</v>
      </c>
      <c r="P1570" s="15">
        <f t="shared" si="418"/>
        <v>0.59933887049954049</v>
      </c>
      <c r="Q1570" s="18"/>
      <c r="R1570" s="39" t="s">
        <v>31</v>
      </c>
      <c r="S1570" s="5">
        <f>IF(NOT(D1563&gt;0),FALSE,SLOPE(G1563:G1573,B1563:B1573))</f>
        <v>2.3306827272727269</v>
      </c>
      <c r="U1570" s="18"/>
      <c r="V1570" s="39" t="s">
        <v>31</v>
      </c>
      <c r="W1570" s="5">
        <f>IF(NOT(D1563&gt;0),FALSE,SLOPE(G1563:G1573,B1563:B1573))</f>
        <v>2.3306827272727269</v>
      </c>
      <c r="Y1570" s="18"/>
      <c r="Z1570" s="39" t="s">
        <v>31</v>
      </c>
      <c r="AA1570" s="5" t="b">
        <f>IF(NOT(L1563&gt;0),FALSE,SLOPE(O1563:O1573,J1563:J1573))</f>
        <v>0</v>
      </c>
    </row>
    <row r="1571" spans="1:27">
      <c r="A1571" s="19">
        <f>_xll.ciqfunctions.udf.CIQ(A1563,"IQ_TOTAL_REV",IQ_FY)</f>
        <v>537.875</v>
      </c>
      <c r="B1571" s="13">
        <v>9</v>
      </c>
      <c r="C1571" s="14" t="s">
        <v>32</v>
      </c>
      <c r="D1571" s="15" cm="1">
        <f t="array" ref="D1571">_xlfn.SINGLE(IF(A1571=A1572,_xll.ciqfunctions.udf.CIQ(A1563,"IQ_TOTAL_REV",IQ_FY-2)/I1571, _xll.ciqfunctions.udf.CIQ(A1563, "IQ_TOTAL_REV",IQ_FY-1)/I1571))</f>
        <v>8.531719033075051</v>
      </c>
      <c r="E1571" s="16">
        <f t="shared" si="419"/>
        <v>0.20365755354309639</v>
      </c>
      <c r="F1571" s="15">
        <f>IF(A1571=A1572,_xll.ciqfunctions.udf.CIQ(A1563,"IQ_DILUT_EPS_EXCL",IQ_FY-2), _xll.ciqfunctions.udf.CIQ(A1563, "IQ_DILUT_EPS_EXCL",IQ_FY-1))</f>
        <v>-0.73797000000000001</v>
      </c>
      <c r="G1571" s="15">
        <f>IF(A1571=A1572,_xll.ciqfunctions.udf.CIQ(A1563,"IQ_EBITDA_MARGIN",IQ_FY-2), _xll.ciqfunctions.udf.CIQ(A1563, "IQ_EBITDA_MARGIN",IQ_FY-1))</f>
        <v>-5.3489000000000004</v>
      </c>
      <c r="H1571" s="15">
        <f>IF(A1571=A1572,_xll.ciqfunctions.udf.CIQ(A1563,"IQ_TOTAL_DIV_PAID_CF",IQ_FY-2)/-I1571, _xll.ciqfunctions.udf.CIQ(A1563, "IQ_TOTAL_DIV_PAID_CF",IQ_FY-1)/-I1571)</f>
        <v>0</v>
      </c>
      <c r="I1571" s="17">
        <f>IF(A1571=A1572,_xll.ciqfunctions.udf.CIQ(A1563,"IQ_TOTAL_OUTSTANDING_FILING_DATE",IQ_FY-2), _xll.ciqfunctions.udf.CIQ(A1563, "IQ_TOTAL_OUTSTANDING_FILING_DATE",IQ_FY-1))</f>
        <v>51.95729</v>
      </c>
      <c r="J1571" s="17">
        <f>IF(A1571=A1572,_xll.ciqfunctions.udf.CIQ(A1563,"IQ_CASH_OPER",IQ_FY-2), _xll.ciqfunctions.udf.CIQ(A1563, "IQ_CASH_OPER",IQ_FY-1))</f>
        <v>49.844000000000001</v>
      </c>
      <c r="K1571" s="17">
        <f>IF(A1571=A1572,_xll.ciqfunctions.udf.CIQ(A1563,"IQ_CAPEX",IQ_FY-2), _xll.ciqfunctions.udf.CIQ(A1563, "IQ_CAPEX",IQ_FY-1))</f>
        <v>-3.5339999999999998</v>
      </c>
      <c r="L1571" s="15">
        <f t="shared" si="416"/>
        <v>0.89130899629291682</v>
      </c>
      <c r="M1571" s="17">
        <f>IF(A1571=A1572,_xll.ciqfunctions.udf.CIQ(A1563,"IQ_TOTAL_DEBT_ISSUED",IQ_FY-2), _xll.ciqfunctions.udf.CIQ(A1563, "IQ_TOTAL_DEBT_ISSUED",IQ_FY-1))</f>
        <v>0</v>
      </c>
      <c r="N1571" s="17">
        <f>IF(A1571=A1572,_xll.ciqfunctions.udf.CIQ(A1563,"IQ_TOTAL_DEBT_REPAID",IQ_FY-2), _xll.ciqfunctions.udf.CIQ(A1563, "IQ_TOTAL_DEBT_REPAID",IQ_FY-1))</f>
        <v>-1.7050000000000001</v>
      </c>
      <c r="O1571" s="15">
        <f t="shared" si="417"/>
        <v>-3.2815414352827102E-2</v>
      </c>
      <c r="P1571" s="15">
        <f t="shared" si="418"/>
        <v>0.85849358194008973</v>
      </c>
      <c r="Q1571" s="25" t="s">
        <v>33</v>
      </c>
      <c r="R1571" s="38" t="s">
        <v>52</v>
      </c>
      <c r="S1571" s="4">
        <f>(AVERAGE(O1568:O1573)/AVERAGE(P1568:P1573))</f>
        <v>0.79708750206804624</v>
      </c>
      <c r="U1571" s="25" t="s">
        <v>54</v>
      </c>
      <c r="V1571" s="38" t="s">
        <v>52</v>
      </c>
      <c r="W1571" s="4">
        <f>(AVERAGE(O1568:O1573)/AVERAGE(P1568:P1573))</f>
        <v>0.79708750206804624</v>
      </c>
      <c r="Y1571" s="25" t="s">
        <v>60</v>
      </c>
      <c r="Z1571" s="38" t="s">
        <v>52</v>
      </c>
      <c r="AA1571" s="4">
        <f>(AVERAGE(O1568:O1573)/AVERAGE(P1568:P1573))</f>
        <v>0.79708750206804624</v>
      </c>
    </row>
    <row r="1572" spans="1:27">
      <c r="A1572" s="19">
        <f>_xll.ciqfunctions.udf.CIQ(A1563,"IQ_TOTAL_REV",IQ_LTM)</f>
        <v>607.18899999999996</v>
      </c>
      <c r="B1572" s="13">
        <v>10</v>
      </c>
      <c r="C1572" s="14" t="s">
        <v>34</v>
      </c>
      <c r="D1572" s="15" cm="1">
        <f t="array" ref="D1572">_xlfn.SINGLE(IF(A1571=A1572,_xll.ciqfunctions.udf.CIQ(A1563,"IQ_TOTAL_REV",IQ_FY-1)/I1572, _xll.ciqfunctions.udf.CIQ(A1563, "IQ_TOTAL_REV",IQ_FY)/I1572))</f>
        <v>10.129863770635213</v>
      </c>
      <c r="E1572" s="16">
        <f t="shared" si="419"/>
        <v>0.18731802247174439</v>
      </c>
      <c r="F1572" s="15">
        <f>IF(A1571=A1572,_xll.ciqfunctions.udf.CIQ(A1563,"IQ_DILUT_EPS_EXCL",IQ_FY-1), _xll.ciqfunctions.udf.CIQ(A1563, "IQ_DILUT_EPS_EXCL",IQ_FY))</f>
        <v>-1.7174700000000001</v>
      </c>
      <c r="G1572" s="15">
        <f>IF(A1571=A1572,_xll.ciqfunctions.udf.CIQ(A1563,"IQ_EBITDA_MARGIN",IQ_FY-1), _xll.ciqfunctions.udf.CIQ(A1563, "IQ_EBITDA_MARGIN",IQ_FY))</f>
        <v>-13.5258</v>
      </c>
      <c r="H1572" s="15">
        <f>IF(A1571=A1572,_xll.ciqfunctions.udf.CIQ(A1563,"IQ_TOTAL_DIV_PAID_CF",IQ_FY-1)/-I1572, _xll.ciqfunctions.udf.CIQ(A1563, "IQ_TOTAL_DIV_PAID_CF",IQ_FY)/-I1572)</f>
        <v>0</v>
      </c>
      <c r="I1572" s="17">
        <f>IF(A1571=A1572,_xll.ciqfunctions.udf.CIQ(A1563,"IQ_TOTAL_OUTSTANDING_FILING_DATE",IQ_FY-1), _xll.ciqfunctions.udf.CIQ(A1563, "IQ_TOTAL_OUTSTANDING_FILING_DATE",IQ_FY))</f>
        <v>53.097949999999997</v>
      </c>
      <c r="J1572" s="17">
        <f>IF(A1571=A1572,_xll.ciqfunctions.udf.CIQ(A1563,"IQ_CASH_OPER",IQ_FY-1), _xll.ciqfunctions.udf.CIQ(A1563, "IQ_CASH_OPER",IQ_FY))</f>
        <v>11.334</v>
      </c>
      <c r="K1572" s="17">
        <f>IF(A1571=A1572,_xll.ciqfunctions.udf.CIQ(A1563,"IQ_CAPEX",IQ_FY-1), _xll.ciqfunctions.udf.CIQ(A1563, "IQ_CAPEX",IQ_FY))</f>
        <v>-3.4580000000000002</v>
      </c>
      <c r="L1572" s="15">
        <f t="shared" si="416"/>
        <v>0.14832964361147652</v>
      </c>
      <c r="M1572" s="17">
        <f>IF(A1571=A1572,_xll.ciqfunctions.udf.CIQ(A1563,"IQ_TOTAL_DEBT_ISSUED",IQ_FY-1), _xll.ciqfunctions.udf.CIQ(A1563, "IQ_TOTAL_DEBT_ISSUED",IQ_FY))</f>
        <v>0</v>
      </c>
      <c r="N1572" s="17">
        <f>IF(A1571=A1572,_xll.ciqfunctions.udf.CIQ(A1563,"IQ_TOTAL_DEBT_REPAID",IQ_FY-1), _xll.ciqfunctions.udf.CIQ(A1563, "IQ_TOTAL_DEBT_REPAID",IQ_FY))</f>
        <v>-1.575</v>
      </c>
      <c r="O1572" s="15">
        <f t="shared" si="417"/>
        <v>-2.9662162098536761E-2</v>
      </c>
      <c r="P1572" s="15">
        <f t="shared" si="418"/>
        <v>0.11866748151293977</v>
      </c>
      <c r="Q1572" s="25" t="s">
        <v>44</v>
      </c>
      <c r="R1572" s="38" t="s">
        <v>35</v>
      </c>
      <c r="S1572" s="1" t="str">
        <f>_xll.ciqfunctions.udf.CIQ(A1563,"IQ_TEV_EBITDA")</f>
        <v>NM</v>
      </c>
      <c r="U1572" s="25" t="s">
        <v>55</v>
      </c>
      <c r="V1572" s="38" t="s">
        <v>53</v>
      </c>
      <c r="W1572" s="1">
        <f>V1562/(AVERAGE(D1568:D1573)/_xlfn.STDEV.P(E1568:E1573))</f>
        <v>0.40971644797782231</v>
      </c>
      <c r="Y1572" s="25" t="s">
        <v>57</v>
      </c>
      <c r="Z1572" s="38" t="s">
        <v>53</v>
      </c>
      <c r="AA1572" s="1">
        <f>Z1562/(AVERAGE(D1568:D1573)/_xlfn.STDEV.P(E1568:E1573))</f>
        <v>0.40971644797782231</v>
      </c>
    </row>
    <row r="1573" spans="1:27">
      <c r="B1573" s="13">
        <v>11</v>
      </c>
      <c r="C1573" s="20" t="s">
        <v>36</v>
      </c>
      <c r="D1573" s="21" cm="1">
        <f t="array" ref="D1573">_xlfn.SINGLE(IF(A1571=A1572,_xll.ciqfunctions.udf.CIQ(A1563,"IQ_TOTAL_REV",IQ_FY)/I1573, _xll.ciqfunctions.udf.CIQ(A1563, "IQ_TOTAL_REV",IQ_LTM)/I1573))</f>
        <v>11.234246422256939</v>
      </c>
      <c r="E1573" s="22">
        <f t="shared" si="419"/>
        <v>0.10902245840888283</v>
      </c>
      <c r="F1573" s="21">
        <f>IF(A1571=A1572,_xll.ciqfunctions.udf.CIQ(A1563,"IQ_DILUT_EPS_EXCL",IQ_FY), _xll.ciqfunctions.udf.CIQ(A1563, "IQ_DILUT_EPS_EXCL",IQ_LTM))</f>
        <v>-2.5502199999999999</v>
      </c>
      <c r="G1573" s="21">
        <f>IF(A1571=A1572,_xll.ciqfunctions.udf.CIQ(A1563,"IQ_EBITDA_MARGIN",IQ_FY), _xll.ciqfunctions.udf.CIQ(A1563, "IQ_EBITDA_MARGIN",IQ_LTM))</f>
        <v>-13.394600000000001</v>
      </c>
      <c r="H1573" s="21">
        <f>IF(A1571=A1572,_xll.ciqfunctions.udf.CIQ(A1563,"IQ_TOTAL_DIV_PAID_CF",IQ_FY)/-I1573, _xll.ciqfunctions.udf.CIQ(A1563, "IQ_TOTAL_DIV_PAID_CF",IQ_LTM)/-I1573)</f>
        <v>0</v>
      </c>
      <c r="I1573" s="23">
        <f>IF(A1571=A1572,_xll.ciqfunctions.udf.CIQ(A1563,"IQ_TOTAL_OUTSTANDING_FILING_DATE",IQ_FY),_xll.ciqfunctions.udf.CIQ(A1563,"IQ_sharesoutstanding"))</f>
        <v>54.04804</v>
      </c>
      <c r="J1573" s="23">
        <f>IF(A1571=A1572,_xll.ciqfunctions.udf.CIQ(A1563,"IQ_CASH_OPER",IQ_FY), _xll.ciqfunctions.udf.CIQ(A1563, "IQ_CASH_OPER",IQ_LTM))</f>
        <v>45.265000000000001</v>
      </c>
      <c r="K1573" s="23">
        <f>IF(A1571=A1572,_xll.ciqfunctions.udf.CIQ(A1563,"IQ_CAPEX",IQ_FY), _xll.ciqfunctions.udf.CIQ(A1563, "IQ_CAPEX",IQ_LTM))</f>
        <v>-2.964</v>
      </c>
      <c r="L1573" s="21">
        <f t="shared" si="416"/>
        <v>0.78265557825963716</v>
      </c>
      <c r="M1573" s="23">
        <f>IF(A1571=A1572,_xll.ciqfunctions.udf.CIQ(A1563,"IQ_TOTAL_DEBT_ISSUED",IQ_FY), _xll.ciqfunctions.udf.CIQ(A1563, "IQ_TOTAL_DEBT_ISSUED",IQ_LTM))</f>
        <v>691.11300000000006</v>
      </c>
      <c r="N1573" s="23">
        <f>IF(A1571=A1572,_xll.ciqfunctions.udf.CIQ(A1563,"IQ_TOTAL_DEBT_REPAID",IQ_FY), _xll.ciqfunctions.udf.CIQ(A1563, "IQ_TOTAL_DEBT_REPAID",IQ_LTM))</f>
        <v>-397.47800000000001</v>
      </c>
      <c r="O1573" s="21">
        <f t="shared" si="417"/>
        <v>5.4328519591089712</v>
      </c>
      <c r="P1573" s="21">
        <f t="shared" si="418"/>
        <v>6.2155075373686088</v>
      </c>
      <c r="Q1573" s="25" t="s">
        <v>45</v>
      </c>
      <c r="S1573" s="45"/>
      <c r="U1573" s="25"/>
      <c r="W1573" s="45"/>
      <c r="Y1573" s="25"/>
      <c r="AA1573" s="45"/>
    </row>
    <row r="1574" spans="1:27">
      <c r="B1574" s="24"/>
      <c r="C1574" s="25" t="s">
        <v>37</v>
      </c>
      <c r="E1574" s="26">
        <f>((D1573/D1568)^(1/5))-1</f>
        <v>0.15291793120058461</v>
      </c>
      <c r="F1574" s="27">
        <f>((F1573/F1568)^(1/5))-1</f>
        <v>0.1732115921881463</v>
      </c>
      <c r="G1574" s="28"/>
      <c r="H1574" s="27" t="e">
        <f>((H1573/H1568)^(1/5))-1</f>
        <v>#DIV/0!</v>
      </c>
      <c r="I1574" s="27">
        <f>((I1573/I1568)^(1/5))-1</f>
        <v>4.0557417607870905E-2</v>
      </c>
      <c r="J1574" s="27"/>
      <c r="K1574" s="27"/>
      <c r="L1574" s="26">
        <f>((L1573/L1568)^(1/5))-1</f>
        <v>0.45716992877511342</v>
      </c>
      <c r="M1574" s="26"/>
      <c r="N1574" s="26"/>
      <c r="O1574" s="26"/>
      <c r="P1574" s="26">
        <f>((P1573/P1568)^(1/5))-1</f>
        <v>1.3179885800426963</v>
      </c>
      <c r="Q1574" s="18"/>
      <c r="R1574" s="36"/>
      <c r="S1574" s="45"/>
      <c r="U1574" s="18"/>
      <c r="V1574" s="36"/>
      <c r="W1574" s="45"/>
      <c r="Y1574" s="18"/>
      <c r="Z1574" s="36"/>
      <c r="AA1574" s="45"/>
    </row>
    <row r="1575" spans="1:27">
      <c r="A1575" s="29"/>
      <c r="B1575" s="30"/>
      <c r="C1575" s="31" t="s">
        <v>38</v>
      </c>
      <c r="D1575" s="29"/>
      <c r="E1575" s="32">
        <f>((D1573/D1563)^(1/10))-1</f>
        <v>9.599194642055342E-2</v>
      </c>
      <c r="F1575" s="33">
        <f>((F1573/F1563)^(1/10))-1</f>
        <v>0.10476925849962182</v>
      </c>
      <c r="G1575" s="34"/>
      <c r="H1575" s="33">
        <f>((H1573/H1563)^(1/10))-1</f>
        <v>-1</v>
      </c>
      <c r="I1575" s="33">
        <f>((I1573/I1563)^(1/10))-1</f>
        <v>0.11046800828919334</v>
      </c>
      <c r="J1575" s="33"/>
      <c r="K1575" s="33"/>
      <c r="L1575" s="32" t="e">
        <f>((L1573/L1563)^(1/10))-1</f>
        <v>#NUM!</v>
      </c>
      <c r="M1575" s="32"/>
      <c r="N1575" s="32"/>
      <c r="O1575" s="32"/>
      <c r="P1575" s="32" t="e">
        <f>((P1573/P1563)^(1/10))-1</f>
        <v>#NUM!</v>
      </c>
      <c r="Q1575" s="40"/>
      <c r="R1575" s="41"/>
      <c r="S1575" s="46"/>
      <c r="U1575" s="40"/>
      <c r="V1575" s="41"/>
      <c r="W1575" s="46"/>
      <c r="Y1575" s="40"/>
      <c r="Z1575" s="41"/>
      <c r="AA1575" s="46"/>
    </row>
    <row r="1576" spans="1:27">
      <c r="B1576" s="24"/>
      <c r="C1576" s="25"/>
      <c r="E1576" s="26"/>
      <c r="F1576" s="27"/>
      <c r="G1576" s="28"/>
      <c r="H1576" s="27"/>
      <c r="I1576" s="27"/>
      <c r="J1576" s="27"/>
      <c r="K1576" s="27"/>
      <c r="L1576" s="26"/>
      <c r="M1576" s="17"/>
      <c r="N1576" s="17"/>
      <c r="O1576" s="17"/>
      <c r="P1576" s="35"/>
      <c r="Q1576" s="18"/>
      <c r="R1576" s="36"/>
    </row>
    <row r="1577" spans="1:27">
      <c r="A1577" s="9" t="s">
        <v>0</v>
      </c>
      <c r="B1577" s="10"/>
      <c r="C1577" s="9" t="s">
        <v>1</v>
      </c>
      <c r="D1577" s="9" t="s">
        <v>2</v>
      </c>
      <c r="E1577" s="9" t="s">
        <v>3</v>
      </c>
      <c r="F1577" s="11" t="s">
        <v>4</v>
      </c>
      <c r="G1577" s="11" t="s">
        <v>5</v>
      </c>
      <c r="H1577" s="9" t="s">
        <v>6</v>
      </c>
      <c r="I1577" s="11" t="s">
        <v>7</v>
      </c>
      <c r="J1577" s="11" t="s">
        <v>8</v>
      </c>
      <c r="K1577" s="11" t="s">
        <v>9</v>
      </c>
      <c r="L1577" s="11" t="s">
        <v>10</v>
      </c>
      <c r="M1577" s="11" t="s">
        <v>11</v>
      </c>
      <c r="N1577" s="11" t="s">
        <v>12</v>
      </c>
      <c r="O1577" s="11" t="s">
        <v>13</v>
      </c>
      <c r="P1577" s="11" t="s">
        <v>14</v>
      </c>
      <c r="Q1577" s="37" t="s">
        <v>15</v>
      </c>
      <c r="R1577" s="42">
        <f>_xll.ciqfunctions.udf.CIQ(A1578,("IQ_LASTSALEPRICE"))</f>
        <v>40.909999999999997</v>
      </c>
      <c r="S1577" s="44"/>
      <c r="U1577" s="37" t="s">
        <v>15</v>
      </c>
      <c r="V1577" s="42">
        <f>_xll.ciqfunctions.udf.CIQ(A1578,("IQ_LASTSALEPRICE"))</f>
        <v>40.909999999999997</v>
      </c>
      <c r="W1577" s="44"/>
      <c r="Y1577" s="37" t="s">
        <v>15</v>
      </c>
      <c r="Z1577" s="42">
        <f>_xll.ciqfunctions.udf.CIQ(A1578,("IQ_LASTSALEPRICE"))</f>
        <v>40.909999999999997</v>
      </c>
      <c r="AA1577" s="44"/>
    </row>
    <row r="1578" spans="1:27">
      <c r="A1578" s="12" t="str">
        <f>Analysis!B107</f>
        <v>NasdaqGS:NTNX</v>
      </c>
      <c r="B1578" s="13">
        <v>1</v>
      </c>
      <c r="C1578" s="14" t="s">
        <v>16</v>
      </c>
      <c r="D1578" s="15">
        <f>IF(A1586=A1587,_xll.ciqfunctions.udf.CIQ(A1578,"IQ_TOTAL_REV",IQ_FY-10)/I1578,_xll.ciqfunctions.udf.CIQ(A1578, "IQ_TOTAL_REV",IQ_FY-9)/I1578)</f>
        <v>0.74711137570235142</v>
      </c>
      <c r="E1578" s="16"/>
      <c r="F1578" s="15">
        <f>IF(A1586=A1587,_xll.ciqfunctions.udf.CIQ(A1578,"IQ_DILUT_EPS_EXCL",IQ_FY-10), _xll.ciqfunctions.udf.CIQ(A1578, "IQ_DILUT_EPS_EXCL",IQ_FY-9))</f>
        <v>-1.3611</v>
      </c>
      <c r="G1578" s="15">
        <f>IF(A1586=A1587,_xll.ciqfunctions.udf.CIQ(A1578,"IQ_EBITDA_MARGIN",IQ_FY-10), _xll.ciqfunctions.udf.CIQ(A1578, "IQ_EBITDA_MARGIN",IQ_FY-9))</f>
        <v>-137.4709</v>
      </c>
      <c r="H1578" s="15">
        <f>IF(A1586=A1587,_xll.ciqfunctions.udf.CIQ(A1578,"IQ_TOTAL_DIV_PAID_CF",IQ_FY-10)/-I1578, _xll.ciqfunctions.udf.CIQ(A1578, "IQ_TOTAL_DIV_PAID_CF",IQ_FY-9)/-I1578)</f>
        <v>0</v>
      </c>
      <c r="I1578" s="17">
        <f>IF(A1586=A1587,_xll.ciqfunctions.udf.CIQ(A1578,"IQ_TOTAL_OUTSTANDING_FILING_DATE",IQ_FY-10), _xll.ciqfunctions.udf.CIQ(A1578, "IQ_TOTAL_OUTSTANDING_FILING_DATE",IQ_FY-9))</f>
        <v>40.868070000000003</v>
      </c>
      <c r="J1578" s="17">
        <f>IF(A1586=A1587,_xll.ciqfunctions.udf.CIQ(A1578,"IQ_CASH_OPER",IQ_FY-10), _xll.ciqfunctions.udf.CIQ(A1578, "IQ_CASH_OPER",IQ_FY-9))</f>
        <v>-29.11</v>
      </c>
      <c r="K1578" s="17">
        <f>IF(A1586=A1587,_xll.ciqfunctions.udf.CIQ(A1578,"IQ_CAPEX",IQ_FY-10), _xll.ciqfunctions.udf.CIQ(A1578, "IQ_CAPEX",IQ_FY-9))</f>
        <v>-9.3390000000000004</v>
      </c>
      <c r="L1578" s="15">
        <f t="shared" ref="L1578:L1588" si="420">(J1578+K1578)/I1578</f>
        <v>-0.94080782380963901</v>
      </c>
      <c r="M1578" s="17">
        <f>IF(A1586=A1587,_xll.ciqfunctions.udf.CIQ(A1578,"IQ_TOTAL_DEBT_ISSUED",IQ_FY-10), _xll.ciqfunctions.udf.CIQ(A1578, "IQ_TOTAL_DEBT_ISSUED",IQ_FY-9))</f>
        <v>0</v>
      </c>
      <c r="N1578" s="17">
        <f>IF(A1586=A1587,_xll.ciqfunctions.udf.CIQ(A1578,"IQ_TOTAL_DEBT_REPAID",IQ_FY-10), _xll.ciqfunctions.udf.CIQ(A1578, "IQ_TOTAL_DEBT_REPAID",IQ_FY-9))</f>
        <v>0</v>
      </c>
      <c r="O1578" s="15">
        <f t="shared" ref="O1578:O1588" si="421">(M1578+N1578)/I1578</f>
        <v>0</v>
      </c>
      <c r="P1578" s="15">
        <f t="shared" ref="P1578:P1588" si="422">L1578+O1578</f>
        <v>-0.94080782380963901</v>
      </c>
      <c r="W1578" s="43"/>
      <c r="AA1578" s="43"/>
    </row>
    <row r="1579" spans="1:27">
      <c r="A1579" s="18" t="str">
        <f>_xll.ciqfunctions.udf.CIQ(A1578,"IQ_COMPANY_NAME")</f>
        <v>Nutanix, Inc.</v>
      </c>
      <c r="B1579" s="13">
        <v>2</v>
      </c>
      <c r="C1579" s="14" t="s">
        <v>17</v>
      </c>
      <c r="D1579" s="15">
        <f>IF(A1586=A1587,_xll.ciqfunctions.udf.CIQ(A1578,"IQ_TOTAL_REV",IQ_FY-9)/I1579, _xll.ciqfunctions.udf.CIQ(A1578, "IQ_TOTAL_REV",IQ_FY-8)/I1579)</f>
        <v>2.9607232039260492</v>
      </c>
      <c r="E1579" s="16">
        <f t="shared" ref="E1579:E1588" si="423">(D1579-D1578)/D1578</f>
        <v>2.9628940211795127</v>
      </c>
      <c r="F1579" s="15">
        <f>IF(A1586=A1587,_xll.ciqfunctions.udf.CIQ(A1578,"IQ_DILUT_EPS_EXCL",IQ_FY-9), _xll.ciqfunctions.udf.CIQ(A1578, "IQ_DILUT_EPS_EXCL",IQ_FY-8))</f>
        <v>-2.3001800000000001</v>
      </c>
      <c r="G1579" s="15">
        <f>IF(A1586=A1587,_xll.ciqfunctions.udf.CIQ(A1578,"IQ_EBITDA_MARGIN",IQ_FY-9), _xll.ciqfunctions.udf.CIQ(A1578, "IQ_EBITDA_MARGIN",IQ_FY-8))</f>
        <v>-52.496299999999998</v>
      </c>
      <c r="H1579" s="15">
        <f>IF(A1586=A1587,_xll.ciqfunctions.udf.CIQ(A1578,"IQ_TOTAL_DIV_PAID_CF",IQ_FY-9)/-I1579, _xll.ciqfunctions.udf.CIQ(A1578, "IQ_TOTAL_DIV_PAID_CF",IQ_FY-8)/-I1579)</f>
        <v>0</v>
      </c>
      <c r="I1579" s="17">
        <f>IF(A1586=A1587,_xll.ciqfunctions.udf.CIQ(A1578,"IQ_TOTAL_OUTSTANDING_FILING_DATE",IQ_FY-9), _xll.ciqfunctions.udf.CIQ(A1578, "IQ_TOTAL_OUTSTANDING_FILING_DATE",IQ_FY-8))</f>
        <v>42.937820000000002</v>
      </c>
      <c r="J1579" s="17">
        <f>IF(A1586=A1587,_xll.ciqfunctions.udf.CIQ(A1578,"IQ_CASH_OPER",IQ_FY-9), _xll.ciqfunctions.udf.CIQ(A1578, "IQ_CASH_OPER",IQ_FY-8))</f>
        <v>-45.707000000000001</v>
      </c>
      <c r="K1579" s="17">
        <f>IF(A1586=A1587,_xll.ciqfunctions.udf.CIQ(A1578,"IQ_CAPEX",IQ_FY-9), _xll.ciqfunctions.udf.CIQ(A1578, "IQ_CAPEX",IQ_FY-8))</f>
        <v>-19.032</v>
      </c>
      <c r="L1579" s="15">
        <f t="shared" si="420"/>
        <v>-1.5077383993877658</v>
      </c>
      <c r="M1579" s="17">
        <f>IF(A1586=A1587,_xll.ciqfunctions.udf.CIQ(A1578,"IQ_TOTAL_DEBT_ISSUED",IQ_FY-9), _xll.ciqfunctions.udf.CIQ(A1578, "IQ_TOTAL_DEBT_ISSUED",IQ_FY-8))</f>
        <v>21.356999999999999</v>
      </c>
      <c r="N1579" s="17">
        <f>IF(A1586=A1587,_xll.ciqfunctions.udf.CIQ(A1578,"IQ_TOTAL_DEBT_REPAID",IQ_FY-9), _xll.ciqfunctions.udf.CIQ(A1578, "IQ_TOTAL_DEBT_REPAID",IQ_FY-8))</f>
        <v>-21.417000000000002</v>
      </c>
      <c r="O1579" s="15">
        <f t="shared" si="421"/>
        <v>-1.3973694984981135E-3</v>
      </c>
      <c r="P1579" s="15">
        <f t="shared" si="422"/>
        <v>-1.5091357688862639</v>
      </c>
      <c r="Q1579" s="25" t="s">
        <v>18</v>
      </c>
      <c r="R1579" s="39" t="s">
        <v>19</v>
      </c>
      <c r="S1579" s="1">
        <f>R1577/((AVERAGE(P1583:P1588))*(1+E1589)^3)</f>
        <v>43.733024190914541</v>
      </c>
      <c r="U1579" s="25" t="s">
        <v>48</v>
      </c>
      <c r="V1579" s="39" t="s">
        <v>19</v>
      </c>
      <c r="W1579" s="1">
        <f>V1577/((AVERAGE(P1583:P1588))*(1+E1589)^3)</f>
        <v>43.733024190914541</v>
      </c>
      <c r="Y1579" s="25" t="s">
        <v>39</v>
      </c>
      <c r="Z1579" s="39" t="s">
        <v>19</v>
      </c>
      <c r="AA1579" s="1">
        <f>Z1577/((AVERAGE(P1583:P1588))*(1+E1589)^3)</f>
        <v>43.733024190914541</v>
      </c>
    </row>
    <row r="1580" spans="1:27">
      <c r="B1580" s="13">
        <v>3</v>
      </c>
      <c r="C1580" s="14" t="s">
        <v>20</v>
      </c>
      <c r="D1580" s="15" cm="1">
        <f t="array" ref="D1580">_xlfn.SINGLE(IF(A1586=A1587,_xll.ciqfunctions.udf.CIQ(A1578,"IQ_TOTAL_REV",IQ_FY-8)/I1580, _xll.ciqfunctions.udf.CIQ(A1578, "IQ_TOTAL_REV",IQ_FY-7)/I1580))</f>
        <v>5.3894439831060872</v>
      </c>
      <c r="E1580" s="16">
        <f t="shared" si="423"/>
        <v>0.82031335315623144</v>
      </c>
      <c r="F1580" s="15">
        <f>IF(A1586=A1587,_xll.ciqfunctions.udf.CIQ(A1578,"IQ_DILUT_EPS_EXCL",IQ_FY-8), _xll.ciqfunctions.udf.CIQ(A1578, "IQ_DILUT_EPS_EXCL",IQ_FY-7))</f>
        <v>-3.1135199999999998</v>
      </c>
      <c r="G1580" s="15">
        <f>IF(A1586=A1587,_xll.ciqfunctions.udf.CIQ(A1578,"IQ_EBITDA_MARGIN",IQ_FY-8), _xll.ciqfunctions.udf.CIQ(A1578, "IQ_EBITDA_MARGIN",IQ_FY-7))</f>
        <v>-42.329900000000002</v>
      </c>
      <c r="H1580" s="15">
        <f>IF(A1586=A1587,_xll.ciqfunctions.udf.CIQ(A1578,"IQ_TOTAL_DIV_PAID_CF",IQ_FY-8)/-I1580, _xll.ciqfunctions.udf.CIQ(A1578, "IQ_TOTAL_DIV_PAID_CF",IQ_FY-7)/-I1580)</f>
        <v>0</v>
      </c>
      <c r="I1580" s="17">
        <f>IF(A1586=A1587,_xll.ciqfunctions.udf.CIQ(A1578,"IQ_TOTAL_OUTSTANDING_FILING_DATE",IQ_FY-8), _xll.ciqfunctions.udf.CIQ(A1578, "IQ_TOTAL_OUTSTANDING_FILING_DATE",IQ_FY-7))</f>
        <v>44.797199999999997</v>
      </c>
      <c r="J1580" s="17">
        <f>IF(A1586=A1587,_xll.ciqfunctions.udf.CIQ(A1578,"IQ_CASH_OPER",IQ_FY-8), _xll.ciqfunctions.udf.CIQ(A1578, "IQ_CASH_OPER",IQ_FY-7))</f>
        <v>-25.693999999999999</v>
      </c>
      <c r="K1580" s="17">
        <f>IF(A1586=A1587,_xll.ciqfunctions.udf.CIQ(A1578,"IQ_CAPEX",IQ_FY-8), _xll.ciqfunctions.udf.CIQ(A1578, "IQ_CAPEX",IQ_FY-7))</f>
        <v>-23.308</v>
      </c>
      <c r="L1580" s="15">
        <f t="shared" si="420"/>
        <v>-1.0938630092952237</v>
      </c>
      <c r="M1580" s="17">
        <f>IF(A1586=A1587,_xll.ciqfunctions.udf.CIQ(A1578,"IQ_TOTAL_DEBT_ISSUED",IQ_FY-8), _xll.ciqfunctions.udf.CIQ(A1578, "IQ_TOTAL_DEBT_ISSUED",IQ_FY-7))</f>
        <v>0</v>
      </c>
      <c r="N1580" s="17">
        <f>IF(A1586=A1587,_xll.ciqfunctions.udf.CIQ(A1578,"IQ_TOTAL_DEBT_REPAID",IQ_FY-8), _xll.ciqfunctions.udf.CIQ(A1578, "IQ_TOTAL_DEBT_REPAID",IQ_FY-7))</f>
        <v>0</v>
      </c>
      <c r="O1580" s="15">
        <f t="shared" si="421"/>
        <v>0</v>
      </c>
      <c r="P1580" s="15">
        <f t="shared" si="422"/>
        <v>-1.0938630092952237</v>
      </c>
      <c r="Q1580" s="25" t="s">
        <v>21</v>
      </c>
      <c r="R1580" s="38" t="s">
        <v>49</v>
      </c>
      <c r="S1580" s="2">
        <f>(R1577*I1588)/1000</f>
        <v>9.8026071035999998</v>
      </c>
      <c r="U1580" s="25" t="s">
        <v>59</v>
      </c>
      <c r="V1580" s="38" t="s">
        <v>49</v>
      </c>
      <c r="W1580" s="2">
        <f>(V1577*I1588)/1000</f>
        <v>9.8026071035999998</v>
      </c>
      <c r="Y1580" s="25" t="s">
        <v>46</v>
      </c>
      <c r="Z1580" s="38" t="s">
        <v>49</v>
      </c>
      <c r="AA1580" s="2">
        <f>(Z1577*I1588)/1000</f>
        <v>9.8026071035999998</v>
      </c>
    </row>
    <row r="1581" spans="1:27">
      <c r="A1581" s="18"/>
      <c r="B1581" s="13">
        <v>4</v>
      </c>
      <c r="C1581" s="14" t="s">
        <v>22</v>
      </c>
      <c r="D1581" s="15" cm="1">
        <f t="array" ref="D1581">_xlfn.SINGLE(IF(A1586=A1587,_xll.ciqfunctions.udf.CIQ(A1578,"IQ_TOTAL_REV",IQ_FY-7)/I1581, _xll.ciqfunctions.udf.CIQ(A1578, "IQ_TOTAL_REV",IQ_FY-6)/I1581))</f>
        <v>10.923830903151119</v>
      </c>
      <c r="E1581" s="16">
        <f t="shared" si="423"/>
        <v>1.026893857212968</v>
      </c>
      <c r="F1581" s="15">
        <f>IF(A1586=A1587,_xll.ciqfunctions.udf.CIQ(A1578,"IQ_DILUT_EPS_EXCL",IQ_FY-7), _xll.ciqfunctions.udf.CIQ(A1578, "IQ_DILUT_EPS_EXCL",IQ_FY-6))</f>
        <v>-2.4615</v>
      </c>
      <c r="G1581" s="15">
        <f>IF(A1586=A1587,_xll.ciqfunctions.udf.CIQ(A1578,"IQ_EBITDA_MARGIN",IQ_FY-7), _xll.ciqfunctions.udf.CIQ(A1578, "IQ_EBITDA_MARGIN",IQ_FY-6))</f>
        <v>-15.537599999999999</v>
      </c>
      <c r="H1581" s="15">
        <f>IF(A1586=A1587,_xll.ciqfunctions.udf.CIQ(A1578,"IQ_TOTAL_DIV_PAID_CF",IQ_FY-7)/-I1581, _xll.ciqfunctions.udf.CIQ(A1578, "IQ_TOTAL_DIV_PAID_CF",IQ_FY-6)/-I1581)</f>
        <v>0</v>
      </c>
      <c r="I1581" s="17">
        <f>IF(A1586=A1587,_xll.ciqfunctions.udf.CIQ(A1578,"IQ_TOTAL_OUTSTANDING_FILING_DATE",IQ_FY-7), _xll.ciqfunctions.udf.CIQ(A1578, "IQ_TOTAL_OUTSTANDING_FILING_DATE",IQ_FY-6))</f>
        <v>46.083649999999999</v>
      </c>
      <c r="J1581" s="17">
        <f>IF(A1586=A1587,_xll.ciqfunctions.udf.CIQ(A1578,"IQ_CASH_OPER",IQ_FY-7), _xll.ciqfunctions.udf.CIQ(A1578, "IQ_CASH_OPER",IQ_FY-6))</f>
        <v>3.6360000000000001</v>
      </c>
      <c r="K1581" s="17">
        <f>IF(A1586=A1587,_xll.ciqfunctions.udf.CIQ(A1578,"IQ_CAPEX",IQ_FY-7), _xll.ciqfunctions.udf.CIQ(A1578, "IQ_CAPEX",IQ_FY-6))</f>
        <v>-42.293999999999997</v>
      </c>
      <c r="L1581" s="15">
        <f t="shared" si="420"/>
        <v>-0.83886584504482598</v>
      </c>
      <c r="M1581" s="17">
        <f>IF(A1586=A1587,_xll.ciqfunctions.udf.CIQ(A1578,"IQ_TOTAL_DEBT_ISSUED",IQ_FY-7), _xll.ciqfunctions.udf.CIQ(A1578, "IQ_TOTAL_DEBT_ISSUED",IQ_FY-6))</f>
        <v>73.254999999999995</v>
      </c>
      <c r="N1581" s="17">
        <f>IF(A1586=A1587,_xll.ciqfunctions.udf.CIQ(A1578,"IQ_TOTAL_DEBT_REPAID",IQ_FY-7), _xll.ciqfunctions.udf.CIQ(A1578, "IQ_TOTAL_DEBT_REPAID",IQ_FY-6))</f>
        <v>0</v>
      </c>
      <c r="O1581" s="15">
        <f t="shared" si="421"/>
        <v>1.5896093299901375</v>
      </c>
      <c r="P1581" s="15">
        <f t="shared" si="422"/>
        <v>0.75074348494531151</v>
      </c>
      <c r="Q1581" s="25" t="s">
        <v>23</v>
      </c>
      <c r="R1581" s="38" t="s">
        <v>24</v>
      </c>
      <c r="S1581" s="1" t="e">
        <f>R1577/(AVERAGE(H1583:H1588)*(1+H1589)/(0.5-H1589))</f>
        <v>#DIV/0!</v>
      </c>
      <c r="U1581" s="25" t="s">
        <v>40</v>
      </c>
      <c r="V1581" s="38" t="s">
        <v>24</v>
      </c>
      <c r="W1581" s="1" t="e">
        <f>V1577/(AVERAGE(H1583:H1588)*(1+H1589)/(0.5-H1589))</f>
        <v>#DIV/0!</v>
      </c>
      <c r="Y1581" s="25" t="s">
        <v>47</v>
      </c>
      <c r="Z1581" s="38" t="s">
        <v>24</v>
      </c>
      <c r="AA1581" s="1" t="e">
        <f>Z1577/(AVERAGE(H1583:H1588)*(1+H1589)/(0.5-H1589))</f>
        <v>#DIV/0!</v>
      </c>
    </row>
    <row r="1582" spans="1:27">
      <c r="B1582" s="13">
        <v>5</v>
      </c>
      <c r="C1582" s="14" t="s">
        <v>25</v>
      </c>
      <c r="D1582" s="15" cm="1">
        <f t="array" ref="D1582">_xlfn.SINGLE(IF(A1586=A1587,_xll.ciqfunctions.udf.CIQ(A1578,"IQ_TOTAL_REV",IQ_FY-6)/I1582, _xll.ciqfunctions.udf.CIQ(A1578, "IQ_TOTAL_REV",IQ_FY-5)/I1582))</f>
        <v>5.4594234742759715</v>
      </c>
      <c r="E1582" s="16">
        <f t="shared" si="423"/>
        <v>-0.50022812302036546</v>
      </c>
      <c r="F1582" s="15">
        <f>IF(A1586=A1587,_xll.ciqfunctions.udf.CIQ(A1578,"IQ_DILUT_EPS_EXCL",IQ_FY-6), _xll.ciqfunctions.udf.CIQ(A1578, "IQ_DILUT_EPS_EXCL",IQ_FY-5))</f>
        <v>-2.9590900000000002</v>
      </c>
      <c r="G1582" s="15">
        <f>IF(A1586=A1587,_xll.ciqfunctions.udf.CIQ(A1578,"IQ_EBITDA_MARGIN",IQ_FY-6), _xll.ciqfunctions.udf.CIQ(A1578, "IQ_EBITDA_MARGIN",IQ_FY-5))</f>
        <v>-36.5762</v>
      </c>
      <c r="H1582" s="15">
        <f>IF(A1586=A1587,_xll.ciqfunctions.udf.CIQ(A1578,"IQ_TOTAL_DIV_PAID_CF",IQ_FY-6)/-I1582, _xll.ciqfunctions.udf.CIQ(A1578, "IQ_TOTAL_DIV_PAID_CF",IQ_FY-5)/-I1582)</f>
        <v>0</v>
      </c>
      <c r="I1582" s="17">
        <f>IF(A1586=A1587,_xll.ciqfunctions.udf.CIQ(A1578,"IQ_TOTAL_OUTSTANDING_FILING_DATE",IQ_FY-6), _xll.ciqfunctions.udf.CIQ(A1578, "IQ_TOTAL_OUTSTANDING_FILING_DATE",IQ_FY-5))</f>
        <v>154.94364999999999</v>
      </c>
      <c r="J1582" s="17">
        <f>IF(A1586=A1587,_xll.ciqfunctions.udf.CIQ(A1578,"IQ_CASH_OPER",IQ_FY-6), _xll.ciqfunctions.udf.CIQ(A1578, "IQ_CASH_OPER",IQ_FY-5))</f>
        <v>14.779</v>
      </c>
      <c r="K1582" s="17">
        <f>IF(A1586=A1587,_xll.ciqfunctions.udf.CIQ(A1578,"IQ_CAPEX",IQ_FY-6), _xll.ciqfunctions.udf.CIQ(A1578, "IQ_CAPEX",IQ_FY-5))</f>
        <v>-50.180999999999997</v>
      </c>
      <c r="L1582" s="15">
        <f t="shared" si="420"/>
        <v>-0.22848306464963233</v>
      </c>
      <c r="M1582" s="17">
        <f>IF(A1586=A1587,_xll.ciqfunctions.udf.CIQ(A1578,"IQ_TOTAL_DEBT_ISSUED",IQ_FY-6), _xll.ciqfunctions.udf.CIQ(A1578, "IQ_TOTAL_DEBT_ISSUED",IQ_FY-5))</f>
        <v>0</v>
      </c>
      <c r="N1582" s="17">
        <f>IF(A1586=A1587,_xll.ciqfunctions.udf.CIQ(A1578,"IQ_TOTAL_DEBT_REPAID",IQ_FY-6), _xll.ciqfunctions.udf.CIQ(A1578, "IQ_TOTAL_DEBT_REPAID",IQ_FY-5))</f>
        <v>-82.123999999999995</v>
      </c>
      <c r="O1582" s="15">
        <f t="shared" si="421"/>
        <v>-0.53002494777940234</v>
      </c>
      <c r="P1582" s="15">
        <f t="shared" si="422"/>
        <v>-0.75850801242903465</v>
      </c>
      <c r="Q1582" s="18"/>
      <c r="R1582" s="38" t="s">
        <v>50</v>
      </c>
      <c r="S1582" s="3">
        <f>I1589</f>
        <v>6.7453488612002621E-2</v>
      </c>
      <c r="U1582" s="18"/>
      <c r="V1582" s="38" t="s">
        <v>50</v>
      </c>
      <c r="W1582" s="3">
        <f>I1589</f>
        <v>6.7453488612002621E-2</v>
      </c>
      <c r="Y1582" s="18"/>
      <c r="Z1582" s="38" t="s">
        <v>50</v>
      </c>
      <c r="AA1582" s="3">
        <f>I1589</f>
        <v>6.7453488612002621E-2</v>
      </c>
    </row>
    <row r="1583" spans="1:27">
      <c r="B1583" s="13">
        <v>6</v>
      </c>
      <c r="C1583" s="14" t="s">
        <v>26</v>
      </c>
      <c r="D1583" s="15" cm="1">
        <f t="array" ref="D1583">_xlfn.SINGLE(IF(A1586=A1587,_xll.ciqfunctions.udf.CIQ(A1578,"IQ_TOTAL_REV",IQ_FY-5)/I1583, _xll.ciqfunctions.udf.CIQ(A1578, "IQ_TOTAL_REV",IQ_FY-4)/I1583))</f>
        <v>6.6832310538242528</v>
      </c>
      <c r="E1583" s="16">
        <f t="shared" si="423"/>
        <v>0.2241642520157465</v>
      </c>
      <c r="F1583" s="15">
        <f>IF(A1586=A1587,_xll.ciqfunctions.udf.CIQ(A1578,"IQ_DILUT_EPS_EXCL",IQ_FY-5), _xll.ciqfunctions.udf.CIQ(A1578, "IQ_DILUT_EPS_EXCL",IQ_FY-4))</f>
        <v>-1.8109500000000001</v>
      </c>
      <c r="G1583" s="15">
        <f>IF(A1586=A1587,_xll.ciqfunctions.udf.CIQ(A1578,"IQ_EBITDA_MARGIN",IQ_FY-5), _xll.ciqfunctions.udf.CIQ(A1578, "IQ_EBITDA_MARGIN",IQ_FY-4))</f>
        <v>-20.307700000000001</v>
      </c>
      <c r="H1583" s="15">
        <f>IF(A1586=A1587,_xll.ciqfunctions.udf.CIQ(A1578,"IQ_TOTAL_DIV_PAID_CF",IQ_FY-5)/-I1583, _xll.ciqfunctions.udf.CIQ(A1578, "IQ_TOTAL_DIV_PAID_CF",IQ_FY-4)/-I1583)</f>
        <v>0</v>
      </c>
      <c r="I1583" s="17">
        <f>IF(A1586=A1587,_xll.ciqfunctions.udf.CIQ(A1578,"IQ_TOTAL_OUTSTANDING_FILING_DATE",IQ_FY-5), _xll.ciqfunctions.udf.CIQ(A1578, "IQ_TOTAL_OUTSTANDING_FILING_DATE",IQ_FY-4))</f>
        <v>172.88898</v>
      </c>
      <c r="J1583" s="17">
        <f>IF(A1586=A1587,_xll.ciqfunctions.udf.CIQ(A1578,"IQ_CASH_OPER",IQ_FY-5), _xll.ciqfunctions.udf.CIQ(A1578, "IQ_CASH_OPER",IQ_FY-4))</f>
        <v>92.54</v>
      </c>
      <c r="K1583" s="17">
        <f>IF(A1586=A1587,_xll.ciqfunctions.udf.CIQ(A1578,"IQ_CAPEX",IQ_FY-5), _xll.ciqfunctions.udf.CIQ(A1578, "IQ_CAPEX",IQ_FY-4))</f>
        <v>-62.372</v>
      </c>
      <c r="L1583" s="15">
        <f t="shared" si="420"/>
        <v>0.17449348130806258</v>
      </c>
      <c r="M1583" s="17">
        <f>IF(A1586=A1587,_xll.ciqfunctions.udf.CIQ(A1578,"IQ_TOTAL_DEBT_ISSUED",IQ_FY-5), _xll.ciqfunctions.udf.CIQ(A1578, "IQ_TOTAL_DEBT_ISSUED",IQ_FY-4))</f>
        <v>563.58699999999999</v>
      </c>
      <c r="N1583" s="17">
        <f>IF(A1586=A1587,_xll.ciqfunctions.udf.CIQ(A1578,"IQ_TOTAL_DEBT_REPAID",IQ_FY-5), _xll.ciqfunctions.udf.CIQ(A1578, "IQ_TOTAL_DEBT_REPAID",IQ_FY-4))</f>
        <v>-1.696</v>
      </c>
      <c r="O1583" s="15">
        <f t="shared" si="421"/>
        <v>3.2500104980664468</v>
      </c>
      <c r="P1583" s="15">
        <f t="shared" si="422"/>
        <v>3.4245039793745096</v>
      </c>
      <c r="Q1583" s="25" t="s">
        <v>27</v>
      </c>
      <c r="R1583" s="38" t="s">
        <v>51</v>
      </c>
      <c r="S1583" s="4">
        <f>AVERAGE(F1583:F1588)/AVERAGE(D1583:D1588)</f>
        <v>-0.47509861887350779</v>
      </c>
      <c r="U1583" s="25" t="s">
        <v>58</v>
      </c>
      <c r="V1583" s="38" t="s">
        <v>51</v>
      </c>
      <c r="W1583" s="4">
        <f>AVERAGE(F1583:F1588)/AVERAGE(D1583:D1588)</f>
        <v>-0.47509861887350779</v>
      </c>
      <c r="Y1583" s="25" t="s">
        <v>56</v>
      </c>
      <c r="Z1583" s="38" t="s">
        <v>51</v>
      </c>
      <c r="AA1583" s="4">
        <f>AVERAGE(F1583:F1588)/AVERAGE(D1583:D1588)</f>
        <v>-0.47509861887350779</v>
      </c>
    </row>
    <row r="1584" spans="1:27">
      <c r="A1584" s="18"/>
      <c r="B1584" s="13">
        <v>7</v>
      </c>
      <c r="C1584" s="14" t="s">
        <v>28</v>
      </c>
      <c r="D1584" s="15" cm="1">
        <f t="array" ref="D1584">_xlfn.SINGLE(IF(A1586=A1587,_xll.ciqfunctions.udf.CIQ(A1578,"IQ_TOTAL_REV",IQ_FY-4)/I1584, _xll.ciqfunctions.udf.CIQ(A1578, "IQ_TOTAL_REV",IQ_FY-3)/I1584))</f>
        <v>6.5453894072056409</v>
      </c>
      <c r="E1584" s="16">
        <f t="shared" si="423"/>
        <v>-2.0625000917742723E-2</v>
      </c>
      <c r="F1584" s="15">
        <f>IF(A1586=A1587,_xll.ciqfunctions.udf.CIQ(A1578,"IQ_DILUT_EPS_EXCL",IQ_FY-4), _xll.ciqfunctions.udf.CIQ(A1578, "IQ_DILUT_EPS_EXCL",IQ_FY-3))</f>
        <v>-3.4313400000000001</v>
      </c>
      <c r="G1584" s="15">
        <f>IF(A1586=A1587,_xll.ciqfunctions.udf.CIQ(A1578,"IQ_EBITDA_MARGIN",IQ_FY-4), _xll.ciqfunctions.udf.CIQ(A1578, "IQ_EBITDA_MARGIN",IQ_FY-3))</f>
        <v>-43.240400000000001</v>
      </c>
      <c r="H1584" s="15">
        <f>IF(A1586=A1587,_xll.ciqfunctions.udf.CIQ(A1578,"IQ_TOTAL_DIV_PAID_CF",IQ_FY-4)/-I1584, _xll.ciqfunctions.udf.CIQ(A1578, "IQ_TOTAL_DIV_PAID_CF",IQ_FY-3)/-I1584)</f>
        <v>0</v>
      </c>
      <c r="I1584" s="17">
        <f>IF(A1586=A1587,_xll.ciqfunctions.udf.CIQ(A1578,"IQ_TOTAL_OUTSTANDING_FILING_DATE",IQ_FY-4), _xll.ciqfunctions.udf.CIQ(A1578, "IQ_TOTAL_OUTSTANDING_FILING_DATE",IQ_FY-3))</f>
        <v>188.85705999999999</v>
      </c>
      <c r="J1584" s="17">
        <f>IF(A1586=A1587,_xll.ciqfunctions.udf.CIQ(A1578,"IQ_CASH_OPER",IQ_FY-4), _xll.ciqfunctions.udf.CIQ(A1578, "IQ_CASH_OPER",IQ_FY-3))</f>
        <v>42.167999999999999</v>
      </c>
      <c r="K1584" s="17">
        <f>IF(A1586=A1587,_xll.ciqfunctions.udf.CIQ(A1578,"IQ_CAPEX",IQ_FY-4), _xll.ciqfunctions.udf.CIQ(A1578, "IQ_CAPEX",IQ_FY-3))</f>
        <v>-118.452</v>
      </c>
      <c r="L1584" s="15">
        <f t="shared" si="420"/>
        <v>-0.40392453424828278</v>
      </c>
      <c r="M1584" s="17">
        <f>IF(A1586=A1587,_xll.ciqfunctions.udf.CIQ(A1578,"IQ_TOTAL_DEBT_ISSUED",IQ_FY-4), _xll.ciqfunctions.udf.CIQ(A1578, "IQ_TOTAL_DEBT_ISSUED",IQ_FY-3))</f>
        <v>0</v>
      </c>
      <c r="N1584" s="17">
        <f>IF(A1586=A1587,_xll.ciqfunctions.udf.CIQ(A1578,"IQ_TOTAL_DEBT_REPAID",IQ_FY-4), _xll.ciqfunctions.udf.CIQ(A1578, "IQ_TOTAL_DEBT_REPAID",IQ_FY-3))</f>
        <v>-1.0660000000000001</v>
      </c>
      <c r="O1584" s="15">
        <f t="shared" si="421"/>
        <v>-5.6444805399385126E-3</v>
      </c>
      <c r="P1584" s="15">
        <f t="shared" si="422"/>
        <v>-0.40956901478822128</v>
      </c>
      <c r="Q1584" s="18"/>
      <c r="R1584" s="38" t="s">
        <v>29</v>
      </c>
      <c r="S1584" s="4">
        <f>(AVERAGE(P1583:P1588)/_xlfn.STDEV.P(P1583:P1588))/(IF(A1586=A1587,(_xlfn.SINGLE(_xll.ciqfunctions.udf.CIQ(A1578,"IQ_total_assets",IQ_FY)) - _xlfn.SINGLE(_xll.ciqfunctions.udf.CIQ(A1578,"iq_gw_intan", IQ_FY)))/I1588, (_xlfn.SINGLE(_xll.ciqfunctions.udf.CIQ(A1578, "IQ_total_assets",IQ_LTM))-_xlfn.SINGLE(_xll.ciqfunctions.udf.CIQ(A1578,"iq_gw_intan",IQ_LTM)))/I1588))</f>
        <v>5.3195782706516738E-2</v>
      </c>
      <c r="U1584" s="18"/>
      <c r="V1584" s="38" t="s">
        <v>29</v>
      </c>
      <c r="W1584" s="4">
        <f>(AVERAGE(P1583:P1588)/_xlfn.STDEV.P(P1583:P1588))/(IF(A1586=A1587,(_xlfn.SINGLE(_xll.ciqfunctions.udf.CIQ(A1578,"IQ_total_assets",IQ_FY)) - _xlfn.SINGLE(_xll.ciqfunctions.udf.CIQ(A1578,"iq_gw_intan", IQ_FY)))/I1588, (_xlfn.SINGLE(_xll.ciqfunctions.udf.CIQ(A1578, "IQ_total_assets",IQ_LTM))-_xlfn.SINGLE(_xll.ciqfunctions.udf.CIQ(A1578,"iq_gw_intan",IQ_LTM)))/I1588))</f>
        <v>5.3195782706516738E-2</v>
      </c>
      <c r="Y1584" s="18"/>
      <c r="Z1584" s="38" t="s">
        <v>29</v>
      </c>
      <c r="AA1584" s="4">
        <f>(AVERAGE(P1583:P1588)/_xlfn.STDEV.P(P1583:P1588))/(IF(A1586=A1587,(_xlfn.SINGLE(_xll.ciqfunctions.udf.CIQ(A1578,"IQ_total_assets",IQ_FY)) - _xlfn.SINGLE(_xll.ciqfunctions.udf.CIQ(A1578,"iq_gw_intan", IQ_FY)))/I1588, (_xlfn.SINGLE(_xll.ciqfunctions.udf.CIQ(A1578, "IQ_total_assets",IQ_LTM))-_xlfn.SINGLE(_xll.ciqfunctions.udf.CIQ(A1578,"iq_gw_intan",IQ_LTM)))/I1588))</f>
        <v>5.3195782706516738E-2</v>
      </c>
    </row>
    <row r="1585" spans="1:27">
      <c r="A1585" s="18"/>
      <c r="B1585" s="13">
        <v>8</v>
      </c>
      <c r="C1585" s="14" t="s">
        <v>30</v>
      </c>
      <c r="D1585" s="15" cm="1">
        <f t="array" ref="D1585">_xlfn.SINGLE(IF(A1586=A1587,_xll.ciqfunctions.udf.CIQ(A1578,"IQ_TOTAL_REV",IQ_FY-3)/I1585, _xll.ciqfunctions.udf.CIQ(A1578, "IQ_TOTAL_REV",IQ_FY-2)/I1585))</f>
        <v>6.4740533775893976</v>
      </c>
      <c r="E1585" s="16">
        <f t="shared" si="423"/>
        <v>-1.089866854028752E-2</v>
      </c>
      <c r="F1585" s="15">
        <f>IF(A1586=A1587,_xll.ciqfunctions.udf.CIQ(A1578,"IQ_DILUT_EPS_EXCL",IQ_FY-3), _xll.ciqfunctions.udf.CIQ(A1578, "IQ_DILUT_EPS_EXCL",IQ_FY-2))</f>
        <v>-4.48278</v>
      </c>
      <c r="G1585" s="15">
        <f>IF(A1586=A1587,_xll.ciqfunctions.udf.CIQ(A1578,"IQ_EBITDA_MARGIN",IQ_FY-3), _xll.ciqfunctions.udf.CIQ(A1578, "IQ_EBITDA_MARGIN",IQ_FY-2))</f>
        <v>-57.3065</v>
      </c>
      <c r="H1585" s="15">
        <f>IF(A1586=A1587,_xll.ciqfunctions.udf.CIQ(A1578,"IQ_TOTAL_DIV_PAID_CF",IQ_FY-3)/-I1585, _xll.ciqfunctions.udf.CIQ(A1578, "IQ_TOTAL_DIV_PAID_CF",IQ_FY-2)/-I1585)</f>
        <v>0</v>
      </c>
      <c r="I1585" s="17">
        <f>IF(A1586=A1587,_xll.ciqfunctions.udf.CIQ(A1578,"IQ_TOTAL_OUTSTANDING_FILING_DATE",IQ_FY-3), _xll.ciqfunctions.udf.CIQ(A1578, "IQ_TOTAL_OUTSTANDING_FILING_DATE",IQ_FY-2))</f>
        <v>201.98813999999999</v>
      </c>
      <c r="J1585" s="17">
        <f>IF(A1586=A1587,_xll.ciqfunctions.udf.CIQ(A1578,"IQ_CASH_OPER",IQ_FY-3), _xll.ciqfunctions.udf.CIQ(A1578, "IQ_CASH_OPER",IQ_FY-2))</f>
        <v>-159.88499999999999</v>
      </c>
      <c r="K1585" s="17">
        <f>IF(A1586=A1587,_xll.ciqfunctions.udf.CIQ(A1578,"IQ_CAPEX",IQ_FY-3), _xll.ciqfunctions.udf.CIQ(A1578, "IQ_CAPEX",IQ_FY-2))</f>
        <v>-89.488</v>
      </c>
      <c r="L1585" s="15">
        <f t="shared" si="420"/>
        <v>-1.2345922884383211</v>
      </c>
      <c r="M1585" s="17">
        <f>IF(A1586=A1587,_xll.ciqfunctions.udf.CIQ(A1578,"IQ_TOTAL_DEBT_ISSUED",IQ_FY-3), _xll.ciqfunctions.udf.CIQ(A1578, "IQ_TOTAL_DEBT_ISSUED",IQ_FY-2))</f>
        <v>0</v>
      </c>
      <c r="N1585" s="17">
        <f>IF(A1586=A1587,_xll.ciqfunctions.udf.CIQ(A1578,"IQ_TOTAL_DEBT_REPAID",IQ_FY-3), _xll.ciqfunctions.udf.CIQ(A1578, "IQ_TOTAL_DEBT_REPAID",IQ_FY-2))</f>
        <v>0</v>
      </c>
      <c r="O1585" s="15">
        <f t="shared" si="421"/>
        <v>0</v>
      </c>
      <c r="P1585" s="15">
        <f t="shared" si="422"/>
        <v>-1.2345922884383211</v>
      </c>
      <c r="Q1585" s="18"/>
      <c r="R1585" s="39" t="s">
        <v>31</v>
      </c>
      <c r="S1585" s="5">
        <f>IF(NOT(D1578&gt;0),FALSE,SLOPE(G1578:G1588,B1578:B1588))</f>
        <v>6.1262363636363641</v>
      </c>
      <c r="U1585" s="18"/>
      <c r="V1585" s="39" t="s">
        <v>31</v>
      </c>
      <c r="W1585" s="5">
        <f>IF(NOT(D1578&gt;0),FALSE,SLOPE(G1578:G1588,B1578:B1588))</f>
        <v>6.1262363636363641</v>
      </c>
      <c r="Y1585" s="18"/>
      <c r="Z1585" s="39" t="s">
        <v>31</v>
      </c>
      <c r="AA1585" s="5" t="b">
        <f>IF(NOT(L1578&gt;0),FALSE,SLOPE(O1578:O1588,J1578:J1588))</f>
        <v>0</v>
      </c>
    </row>
    <row r="1586" spans="1:27">
      <c r="A1586" s="19">
        <f>_xll.ciqfunctions.udf.CIQ(A1578,"IQ_TOTAL_REV",IQ_FY)</f>
        <v>1862.895</v>
      </c>
      <c r="B1586" s="13">
        <v>9</v>
      </c>
      <c r="C1586" s="14" t="s">
        <v>32</v>
      </c>
      <c r="D1586" s="15" cm="1">
        <f t="array" ref="D1586">_xlfn.SINGLE(IF(A1586=A1587,_xll.ciqfunctions.udf.CIQ(A1578,"IQ_TOTAL_REV",IQ_FY-2)/I1586, _xll.ciqfunctions.udf.CIQ(A1578, "IQ_TOTAL_REV",IQ_FY-1)/I1586))</f>
        <v>6.5090238480844986</v>
      </c>
      <c r="E1586" s="16">
        <f t="shared" si="423"/>
        <v>5.4016345642368246E-3</v>
      </c>
      <c r="F1586" s="15">
        <f>IF(A1586=A1587,_xll.ciqfunctions.udf.CIQ(A1578,"IQ_DILUT_EPS_EXCL",IQ_FY-2), _xll.ciqfunctions.udf.CIQ(A1578, "IQ_DILUT_EPS_EXCL",IQ_FY-1))</f>
        <v>-5.0155700000000003</v>
      </c>
      <c r="G1586" s="15">
        <f>IF(A1586=A1587,_xll.ciqfunctions.udf.CIQ(A1578,"IQ_EBITDA_MARGIN",IQ_FY-2), _xll.ciqfunctions.udf.CIQ(A1578, "IQ_EBITDA_MARGIN",IQ_FY-1))</f>
        <v>-41.775300000000001</v>
      </c>
      <c r="H1586" s="15">
        <f>IF(A1586=A1587,_xll.ciqfunctions.udf.CIQ(A1578,"IQ_TOTAL_DIV_PAID_CF",IQ_FY-2)/-I1586, _xll.ciqfunctions.udf.CIQ(A1578, "IQ_TOTAL_DIV_PAID_CF",IQ_FY-1)/-I1586)</f>
        <v>0</v>
      </c>
      <c r="I1586" s="17">
        <f>IF(A1586=A1587,_xll.ciqfunctions.udf.CIQ(A1578,"IQ_TOTAL_OUTSTANDING_FILING_DATE",IQ_FY-2), _xll.ciqfunctions.udf.CIQ(A1578, "IQ_TOTAL_OUTSTANDING_FILING_DATE",IQ_FY-1))</f>
        <v>214.22013999999999</v>
      </c>
      <c r="J1586" s="17">
        <f>IF(A1586=A1587,_xll.ciqfunctions.udf.CIQ(A1578,"IQ_CASH_OPER",IQ_FY-2), _xll.ciqfunctions.udf.CIQ(A1578, "IQ_CASH_OPER",IQ_FY-1))</f>
        <v>-99.81</v>
      </c>
      <c r="K1586" s="17">
        <f>IF(A1586=A1587,_xll.ciqfunctions.udf.CIQ(A1578,"IQ_CAPEX",IQ_FY-2), _xll.ciqfunctions.udf.CIQ(A1578, "IQ_CAPEX",IQ_FY-1))</f>
        <v>-58.646999999999998</v>
      </c>
      <c r="L1586" s="15">
        <f t="shared" si="420"/>
        <v>-0.73969235572341607</v>
      </c>
      <c r="M1586" s="17">
        <f>IF(A1586=A1587,_xll.ciqfunctions.udf.CIQ(A1578,"IQ_TOTAL_DEBT_ISSUED",IQ_FY-2), _xll.ciqfunctions.udf.CIQ(A1578, "IQ_TOTAL_DEBT_ISSUED",IQ_FY-1))</f>
        <v>723.61699999999996</v>
      </c>
      <c r="N1586" s="17">
        <f>IF(A1586=A1587,_xll.ciqfunctions.udf.CIQ(A1578,"IQ_TOTAL_DEBT_REPAID",IQ_FY-2), _xll.ciqfunctions.udf.CIQ(A1578, "IQ_TOTAL_DEBT_REPAID",IQ_FY-1))</f>
        <v>-0.45900000000000002</v>
      </c>
      <c r="O1586" s="15">
        <f t="shared" si="421"/>
        <v>3.3757703640750121</v>
      </c>
      <c r="P1586" s="15">
        <f t="shared" si="422"/>
        <v>2.6360780083515962</v>
      </c>
      <c r="Q1586" s="25" t="s">
        <v>33</v>
      </c>
      <c r="R1586" s="38" t="s">
        <v>52</v>
      </c>
      <c r="S1586" s="4">
        <f>(AVERAGE(O1583:O1588)/AVERAGE(P1583:P1588))</f>
        <v>1.2455075459207114</v>
      </c>
      <c r="U1586" s="25" t="s">
        <v>54</v>
      </c>
      <c r="V1586" s="38" t="s">
        <v>52</v>
      </c>
      <c r="W1586" s="4">
        <f>(AVERAGE(O1583:O1588)/AVERAGE(P1583:P1588))</f>
        <v>1.2455075459207114</v>
      </c>
      <c r="Y1586" s="25" t="s">
        <v>60</v>
      </c>
      <c r="Z1586" s="38" t="s">
        <v>52</v>
      </c>
      <c r="AA1586" s="4">
        <f>(AVERAGE(O1583:O1588)/AVERAGE(P1583:P1588))</f>
        <v>1.2455075459207114</v>
      </c>
    </row>
    <row r="1587" spans="1:27">
      <c r="A1587" s="19">
        <f>_xll.ciqfunctions.udf.CIQ(A1578,"IQ_TOTAL_REV",IQ_LTM)</f>
        <v>1862.895</v>
      </c>
      <c r="B1587" s="13">
        <v>10</v>
      </c>
      <c r="C1587" s="14" t="s">
        <v>34</v>
      </c>
      <c r="D1587" s="15" cm="1">
        <f t="array" ref="D1587">_xlfn.SINGLE(IF(A1586=A1587,_xll.ciqfunctions.udf.CIQ(A1578,"IQ_TOTAL_REV",IQ_FY-1)/I1587, _xll.ciqfunctions.udf.CIQ(A1578, "IQ_TOTAL_REV",IQ_FY)/I1587))</f>
        <v>6.9628747196046161</v>
      </c>
      <c r="E1587" s="16">
        <f t="shared" si="423"/>
        <v>6.9726410920076518E-2</v>
      </c>
      <c r="F1587" s="15">
        <f>IF(A1586=A1587,_xll.ciqfunctions.udf.CIQ(A1578,"IQ_DILUT_EPS_EXCL",IQ_FY-1), _xll.ciqfunctions.udf.CIQ(A1578, "IQ_DILUT_EPS_EXCL",IQ_FY))</f>
        <v>-3.6228600000000002</v>
      </c>
      <c r="G1587" s="15">
        <f>IF(A1586=A1587,_xll.ciqfunctions.udf.CIQ(A1578,"IQ_EBITDA_MARGIN",IQ_FY-1), _xll.ciqfunctions.udf.CIQ(A1578, "IQ_EBITDA_MARGIN",IQ_FY))</f>
        <v>-24.308</v>
      </c>
      <c r="H1587" s="15">
        <f>IF(A1586=A1587,_xll.ciqfunctions.udf.CIQ(A1578,"IQ_TOTAL_DIV_PAID_CF",IQ_FY-1)/-I1587, _xll.ciqfunctions.udf.CIQ(A1578, "IQ_TOTAL_DIV_PAID_CF",IQ_FY)/-I1587)</f>
        <v>0</v>
      </c>
      <c r="I1587" s="17">
        <f>IF(A1586=A1587,_xll.ciqfunctions.udf.CIQ(A1578,"IQ_TOTAL_OUTSTANDING_FILING_DATE",IQ_FY-1), _xll.ciqfunctions.udf.CIQ(A1578, "IQ_TOTAL_OUTSTANDING_FILING_DATE",IQ_FY))</f>
        <v>227.03209000000001</v>
      </c>
      <c r="J1587" s="17">
        <f>IF(A1586=A1587,_xll.ciqfunctions.udf.CIQ(A1578,"IQ_CASH_OPER",IQ_FY-1), _xll.ciqfunctions.udf.CIQ(A1578, "IQ_CASH_OPER",IQ_FY))</f>
        <v>67.543000000000006</v>
      </c>
      <c r="K1587" s="17">
        <f>IF(A1586=A1587,_xll.ciqfunctions.udf.CIQ(A1578,"IQ_CAPEX",IQ_FY-1), _xll.ciqfunctions.udf.CIQ(A1578, "IQ_CAPEX",IQ_FY))</f>
        <v>-49.058</v>
      </c>
      <c r="L1587" s="15">
        <f t="shared" si="420"/>
        <v>8.1420208041955683E-2</v>
      </c>
      <c r="M1587" s="17">
        <f>IF(A1586=A1587,_xll.ciqfunctions.udf.CIQ(A1578,"IQ_TOTAL_DEBT_ISSUED",IQ_FY-1), _xll.ciqfunctions.udf.CIQ(A1578, "IQ_TOTAL_DEBT_ISSUED",IQ_FY))</f>
        <v>88.686999999999998</v>
      </c>
      <c r="N1587" s="17">
        <f>IF(A1586=A1587,_xll.ciqfunctions.udf.CIQ(A1578,"IQ_TOTAL_DEBT_REPAID",IQ_FY-1), _xll.ciqfunctions.udf.CIQ(A1578, "IQ_TOTAL_DEBT_REPAID",IQ_FY))</f>
        <v>-1.089</v>
      </c>
      <c r="O1587" s="15">
        <f t="shared" si="421"/>
        <v>0.38583972864805144</v>
      </c>
      <c r="P1587" s="15">
        <f t="shared" si="422"/>
        <v>0.46725993669000709</v>
      </c>
      <c r="Q1587" s="25" t="s">
        <v>44</v>
      </c>
      <c r="R1587" s="38" t="s">
        <v>35</v>
      </c>
      <c r="S1587" s="1" t="str">
        <f>_xll.ciqfunctions.udf.CIQ(A1578,"IQ_TEV_EBITDA")</f>
        <v>NM</v>
      </c>
      <c r="U1587" s="25" t="s">
        <v>55</v>
      </c>
      <c r="V1587" s="38" t="s">
        <v>53</v>
      </c>
      <c r="W1587" s="1">
        <f>V1577/(AVERAGE(D1583:D1588)/_xlfn.STDEV.P(E1583:E1588))</f>
        <v>0.51712132571607805</v>
      </c>
      <c r="Y1587" s="25" t="s">
        <v>57</v>
      </c>
      <c r="Z1587" s="38" t="s">
        <v>53</v>
      </c>
      <c r="AA1587" s="1">
        <f>Z1577/(AVERAGE(D1583:D1588)/_xlfn.STDEV.P(E1583:E1588))</f>
        <v>0.51712132571607805</v>
      </c>
    </row>
    <row r="1588" spans="1:27">
      <c r="B1588" s="13">
        <v>11</v>
      </c>
      <c r="C1588" s="20" t="s">
        <v>36</v>
      </c>
      <c r="D1588" s="21" cm="1">
        <f t="array" ref="D1588">_xlfn.SINGLE(IF(A1586=A1587,_xll.ciqfunctions.udf.CIQ(A1578,"IQ_TOTAL_REV",IQ_FY)/I1588, _xll.ciqfunctions.udf.CIQ(A1578, "IQ_TOTAL_REV",IQ_LTM)/I1588))</f>
        <v>7.7745678924550141</v>
      </c>
      <c r="E1588" s="22">
        <f t="shared" si="423"/>
        <v>0.11657443305205549</v>
      </c>
      <c r="F1588" s="21">
        <f>IF(A1586=A1587,_xll.ciqfunctions.udf.CIQ(A1578,"IQ_DILUT_EPS_EXCL",IQ_FY), _xll.ciqfunctions.udf.CIQ(A1578, "IQ_DILUT_EPS_EXCL",IQ_LTM))</f>
        <v>-1.09138</v>
      </c>
      <c r="G1588" s="21">
        <f>IF(A1586=A1587,_xll.ciqfunctions.udf.CIQ(A1578,"IQ_EBITDA_MARGIN",IQ_FY), _xll.ciqfunctions.udf.CIQ(A1578, "IQ_EBITDA_MARGIN",IQ_LTM))</f>
        <v>-7.5366999999999997</v>
      </c>
      <c r="H1588" s="21">
        <f>IF(A1586=A1587,_xll.ciqfunctions.udf.CIQ(A1578,"IQ_TOTAL_DIV_PAID_CF",IQ_FY)/-I1588, _xll.ciqfunctions.udf.CIQ(A1578, "IQ_TOTAL_DIV_PAID_CF",IQ_LTM)/-I1588)</f>
        <v>0</v>
      </c>
      <c r="I1588" s="23">
        <f>IF(A1586=A1587,_xll.ciqfunctions.udf.CIQ(A1578,"IQ_TOTAL_OUTSTANDING_FILING_DATE",IQ_FY),_xll.ciqfunctions.udf.CIQ(A1578,"IQ_sharesoutstanding"))</f>
        <v>239.61395999999999</v>
      </c>
      <c r="J1588" s="23">
        <f>IF(A1586=A1587,_xll.ciqfunctions.udf.CIQ(A1578,"IQ_CASH_OPER",IQ_FY), _xll.ciqfunctions.udf.CIQ(A1578, "IQ_CASH_OPER",IQ_LTM))</f>
        <v>272.40300000000002</v>
      </c>
      <c r="K1588" s="23">
        <f>IF(A1586=A1587,_xll.ciqfunctions.udf.CIQ(A1578,"IQ_CAPEX",IQ_FY), _xll.ciqfunctions.udf.CIQ(A1578, "IQ_CAPEX",IQ_LTM))</f>
        <v>-65.403999999999996</v>
      </c>
      <c r="L1588" s="21">
        <f t="shared" si="420"/>
        <v>0.86388539298795464</v>
      </c>
      <c r="M1588" s="23">
        <f>IF(A1586=A1587,_xll.ciqfunctions.udf.CIQ(A1578,"IQ_TOTAL_DEBT_ISSUED",IQ_FY), _xll.ciqfunctions.udf.CIQ(A1578, "IQ_TOTAL_DEBT_ISSUED",IQ_LTM))</f>
        <v>0</v>
      </c>
      <c r="N1588" s="23">
        <f>IF(A1586=A1587,_xll.ciqfunctions.udf.CIQ(A1578,"IQ_TOTAL_DEBT_REPAID",IQ_FY), _xll.ciqfunctions.udf.CIQ(A1578, "IQ_TOTAL_DEBT_REPAID",IQ_LTM))</f>
        <v>-148.99600000000001</v>
      </c>
      <c r="O1588" s="21">
        <f t="shared" si="421"/>
        <v>-0.62181685908450413</v>
      </c>
      <c r="P1588" s="21">
        <f t="shared" si="422"/>
        <v>0.24206853390345051</v>
      </c>
      <c r="Q1588" s="25" t="s">
        <v>45</v>
      </c>
      <c r="S1588" s="45"/>
      <c r="U1588" s="25"/>
      <c r="W1588" s="45"/>
      <c r="Y1588" s="25"/>
      <c r="AA1588" s="45"/>
    </row>
    <row r="1589" spans="1:27">
      <c r="B1589" s="24"/>
      <c r="C1589" s="25" t="s">
        <v>37</v>
      </c>
      <c r="E1589" s="26">
        <f>((D1588/D1583)^(1/5))-1</f>
        <v>3.0713482341865106E-2</v>
      </c>
      <c r="F1589" s="27">
        <f>((F1588/F1583)^(1/5))-1</f>
        <v>-9.6321590685501834E-2</v>
      </c>
      <c r="G1589" s="28"/>
      <c r="H1589" s="27" t="e">
        <f>((H1588/H1583)^(1/5))-1</f>
        <v>#DIV/0!</v>
      </c>
      <c r="I1589" s="27">
        <f>((I1588/I1583)^(1/5))-1</f>
        <v>6.7453488612002621E-2</v>
      </c>
      <c r="J1589" s="27"/>
      <c r="K1589" s="27"/>
      <c r="L1589" s="26">
        <f>((L1588/L1583)^(1/5))-1</f>
        <v>0.37700457983373403</v>
      </c>
      <c r="M1589" s="26"/>
      <c r="N1589" s="26"/>
      <c r="O1589" s="26"/>
      <c r="P1589" s="26">
        <f>((P1588/P1583)^(1/5))-1</f>
        <v>-0.41133511113041665</v>
      </c>
      <c r="Q1589" s="18"/>
      <c r="R1589" s="36"/>
      <c r="S1589" s="45"/>
      <c r="U1589" s="18"/>
      <c r="V1589" s="36"/>
      <c r="W1589" s="45"/>
      <c r="Y1589" s="18"/>
      <c r="Z1589" s="36"/>
      <c r="AA1589" s="45"/>
    </row>
    <row r="1590" spans="1:27">
      <c r="A1590" s="29"/>
      <c r="B1590" s="30"/>
      <c r="C1590" s="31" t="s">
        <v>38</v>
      </c>
      <c r="D1590" s="29"/>
      <c r="E1590" s="32">
        <f>((D1588/D1578)^(1/10))-1</f>
        <v>0.26394766268341963</v>
      </c>
      <c r="F1590" s="33">
        <f>((F1588/F1578)^(1/10))-1</f>
        <v>-2.1842935882072978E-2</v>
      </c>
      <c r="G1590" s="34"/>
      <c r="H1590" s="33" t="e">
        <f>((H1588/H1578)^(1/10))-1</f>
        <v>#DIV/0!</v>
      </c>
      <c r="I1590" s="33">
        <f>((I1588/I1578)^(1/10))-1</f>
        <v>0.19347355075649109</v>
      </c>
      <c r="J1590" s="33"/>
      <c r="K1590" s="33"/>
      <c r="L1590" s="32" t="e">
        <f>((L1588/L1578)^(1/10))-1</f>
        <v>#NUM!</v>
      </c>
      <c r="M1590" s="32"/>
      <c r="N1590" s="32"/>
      <c r="O1590" s="32"/>
      <c r="P1590" s="32" t="e">
        <f>((P1588/P1578)^(1/10))-1</f>
        <v>#NUM!</v>
      </c>
      <c r="Q1590" s="40"/>
      <c r="R1590" s="41"/>
      <c r="S1590" s="46"/>
      <c r="U1590" s="40"/>
      <c r="V1590" s="41"/>
      <c r="W1590" s="46"/>
      <c r="Y1590" s="40"/>
      <c r="Z1590" s="41"/>
      <c r="AA1590" s="46"/>
    </row>
    <row r="1591" spans="1:27">
      <c r="B1591" s="24"/>
      <c r="C1591" s="25"/>
      <c r="E1591" s="26"/>
      <c r="F1591" s="27"/>
      <c r="G1591" s="28"/>
      <c r="H1591" s="27"/>
      <c r="I1591" s="27"/>
      <c r="J1591" s="27"/>
      <c r="K1591" s="27"/>
      <c r="L1591" s="26"/>
      <c r="M1591" s="17"/>
      <c r="N1591" s="17"/>
      <c r="O1591" s="17"/>
      <c r="P1591" s="35"/>
      <c r="Q1591" s="18"/>
      <c r="R1591" s="36"/>
    </row>
    <row r="1592" spans="1:27">
      <c r="A1592" s="9" t="s">
        <v>0</v>
      </c>
      <c r="B1592" s="10"/>
      <c r="C1592" s="9" t="s">
        <v>1</v>
      </c>
      <c r="D1592" s="9" t="s">
        <v>2</v>
      </c>
      <c r="E1592" s="9" t="s">
        <v>3</v>
      </c>
      <c r="F1592" s="11" t="s">
        <v>4</v>
      </c>
      <c r="G1592" s="11" t="s">
        <v>5</v>
      </c>
      <c r="H1592" s="9" t="s">
        <v>6</v>
      </c>
      <c r="I1592" s="11" t="s">
        <v>7</v>
      </c>
      <c r="J1592" s="11" t="s">
        <v>8</v>
      </c>
      <c r="K1592" s="11" t="s">
        <v>9</v>
      </c>
      <c r="L1592" s="11" t="s">
        <v>10</v>
      </c>
      <c r="M1592" s="11" t="s">
        <v>11</v>
      </c>
      <c r="N1592" s="11" t="s">
        <v>12</v>
      </c>
      <c r="O1592" s="11" t="s">
        <v>13</v>
      </c>
      <c r="P1592" s="11" t="s">
        <v>14</v>
      </c>
      <c r="Q1592" s="37" t="s">
        <v>15</v>
      </c>
      <c r="R1592" s="42">
        <f>_xll.ciqfunctions.udf.CIQ(A1593,("IQ_LASTSALEPRICE"))</f>
        <v>196.18</v>
      </c>
      <c r="S1592" s="44"/>
      <c r="U1592" s="37" t="s">
        <v>15</v>
      </c>
      <c r="V1592" s="42">
        <f>_xll.ciqfunctions.udf.CIQ(A1593,("IQ_LASTSALEPRICE"))</f>
        <v>196.18</v>
      </c>
      <c r="W1592" s="44"/>
      <c r="Y1592" s="37" t="s">
        <v>15</v>
      </c>
      <c r="Z1592" s="42">
        <f>_xll.ciqfunctions.udf.CIQ(A1593,("IQ_LASTSALEPRICE"))</f>
        <v>196.18</v>
      </c>
      <c r="AA1592" s="44"/>
    </row>
    <row r="1593" spans="1:27">
      <c r="A1593" s="12" t="str">
        <f>Analysis!B108</f>
        <v>NasdaqGM:APPF</v>
      </c>
      <c r="B1593" s="13">
        <v>1</v>
      </c>
      <c r="C1593" s="14" t="s">
        <v>16</v>
      </c>
      <c r="D1593" s="15">
        <f>IF(A1601=A1602,_xll.ciqfunctions.udf.CIQ(A1593,"IQ_TOTAL_REV",IQ_FY-10)/I1593,_xll.ciqfunctions.udf.CIQ(A1593, "IQ_TOTAL_REV",IQ_FY-9)/I1593)</f>
        <v>2.9919963927403899</v>
      </c>
      <c r="E1593" s="16"/>
      <c r="F1593" s="15">
        <f>IF(A1601=A1602,_xll.ciqfunctions.udf.CIQ(A1593,"IQ_DILUT_EPS_EXCL",IQ_FY-10), _xll.ciqfunctions.udf.CIQ(A1593, "IQ_DILUT_EPS_EXCL",IQ_FY-9))</f>
        <v>-0.86582999999999999</v>
      </c>
      <c r="G1593" s="15">
        <f>IF(A1601=A1602,_xll.ciqfunctions.udf.CIQ(A1593,"IQ_EBITDA_MARGIN",IQ_FY-10), _xll.ciqfunctions.udf.CIQ(A1593, "IQ_EBITDA_MARGIN",IQ_FY-9))</f>
        <v>-28.599900000000002</v>
      </c>
      <c r="H1593" s="15">
        <f>IF(A1601=A1602,_xll.ciqfunctions.udf.CIQ(A1593,"IQ_TOTAL_DIV_PAID_CF",IQ_FY-10)/-I1593, _xll.ciqfunctions.udf.CIQ(A1593, "IQ_TOTAL_DIV_PAID_CF",IQ_FY-9)/-I1593)</f>
        <v>0</v>
      </c>
      <c r="I1593" s="17">
        <f>IF(A1601=A1602,_xll.ciqfunctions.udf.CIQ(A1593,"IQ_TOTAL_OUTSTANDING_FILING_DATE",IQ_FY-10), _xll.ciqfunctions.udf.CIQ(A1593, "IQ_TOTAL_OUTSTANDING_FILING_DATE",IQ_FY-9))</f>
        <v>8.8710000000000004</v>
      </c>
      <c r="J1593" s="17">
        <f>IF(A1601=A1602,_xll.ciqfunctions.udf.CIQ(A1593,"IQ_CASH_OPER",IQ_FY-10), _xll.ciqfunctions.udf.CIQ(A1593, "IQ_CASH_OPER",IQ_FY-9))</f>
        <v>-4.37</v>
      </c>
      <c r="K1593" s="17">
        <f>IF(A1601=A1602,_xll.ciqfunctions.udf.CIQ(A1593,"IQ_CAPEX",IQ_FY-10), _xll.ciqfunctions.udf.CIQ(A1593, "IQ_CAPEX",IQ_FY-9))</f>
        <v>-1.26</v>
      </c>
      <c r="L1593" s="15">
        <f t="shared" ref="L1593:L1603" si="424">(J1593+K1593)/I1593</f>
        <v>-0.63465223762822676</v>
      </c>
      <c r="M1593" s="17">
        <f>IF(A1601=A1602,_xll.ciqfunctions.udf.CIQ(A1593,"IQ_TOTAL_DEBT_ISSUED",IQ_FY-10), _xll.ciqfunctions.udf.CIQ(A1593, "IQ_TOTAL_DEBT_ISSUED",IQ_FY-9))</f>
        <v>0</v>
      </c>
      <c r="N1593" s="17">
        <f>IF(A1601=A1602,_xll.ciqfunctions.udf.CIQ(A1593,"IQ_TOTAL_DEBT_REPAID",IQ_FY-10), _xll.ciqfunctions.udf.CIQ(A1593, "IQ_TOTAL_DEBT_REPAID",IQ_FY-9))</f>
        <v>0</v>
      </c>
      <c r="O1593" s="15">
        <f t="shared" ref="O1593:O1603" si="425">(M1593+N1593)/I1593</f>
        <v>0</v>
      </c>
      <c r="P1593" s="15">
        <f t="shared" ref="P1593:P1603" si="426">L1593+O1593</f>
        <v>-0.63465223762822676</v>
      </c>
      <c r="W1593" s="43"/>
      <c r="AA1593" s="43"/>
    </row>
    <row r="1594" spans="1:27">
      <c r="A1594" s="18" t="str">
        <f>_xll.ciqfunctions.udf.CIQ(A1593,"IQ_COMPANY_NAME")</f>
        <v>AppFolio, Inc.</v>
      </c>
      <c r="B1594" s="13">
        <v>2</v>
      </c>
      <c r="C1594" s="14" t="s">
        <v>17</v>
      </c>
      <c r="D1594" s="15">
        <f>IF(A1601=A1602,_xll.ciqfunctions.udf.CIQ(A1593,"IQ_TOTAL_REV",IQ_FY-9)/I1594, _xll.ciqfunctions.udf.CIQ(A1593, "IQ_TOTAL_REV",IQ_FY-8)/I1594)</f>
        <v>5.272174297721743</v>
      </c>
      <c r="E1594" s="16">
        <f t="shared" ref="E1594:E1603" si="427">(D1594-D1593)/D1593</f>
        <v>0.76209246458780744</v>
      </c>
      <c r="F1594" s="15">
        <f>IF(A1601=A1602,_xll.ciqfunctions.udf.CIQ(A1593,"IQ_DILUT_EPS_EXCL",IQ_FY-9), _xll.ciqfunctions.udf.CIQ(A1593, "IQ_DILUT_EPS_EXCL",IQ_FY-8))</f>
        <v>-0.98446999999999996</v>
      </c>
      <c r="G1594" s="15">
        <f>IF(A1601=A1602,_xll.ciqfunctions.udf.CIQ(A1593,"IQ_EBITDA_MARGIN",IQ_FY-9), _xll.ciqfunctions.udf.CIQ(A1593, "IQ_EBITDA_MARGIN",IQ_FY-8))</f>
        <v>-14.1134</v>
      </c>
      <c r="H1594" s="15">
        <f>IF(A1601=A1602,_xll.ciqfunctions.udf.CIQ(A1593,"IQ_TOTAL_DIV_PAID_CF",IQ_FY-9)/-I1594, _xll.ciqfunctions.udf.CIQ(A1593, "IQ_TOTAL_DIV_PAID_CF",IQ_FY-8)/-I1594)</f>
        <v>0</v>
      </c>
      <c r="I1594" s="17">
        <f>IF(A1601=A1602,_xll.ciqfunctions.udf.CIQ(A1593,"IQ_TOTAL_OUTSTANDING_FILING_DATE",IQ_FY-9), _xll.ciqfunctions.udf.CIQ(A1593, "IQ_TOTAL_OUTSTANDING_FILING_DATE",IQ_FY-8))</f>
        <v>9.0419999999999998</v>
      </c>
      <c r="J1594" s="17">
        <f>IF(A1601=A1602,_xll.ciqfunctions.udf.CIQ(A1593,"IQ_CASH_OPER",IQ_FY-9), _xll.ciqfunctions.udf.CIQ(A1593, "IQ_CASH_OPER",IQ_FY-8))</f>
        <v>0.47499999999999998</v>
      </c>
      <c r="K1594" s="17">
        <f>IF(A1601=A1602,_xll.ciqfunctions.udf.CIQ(A1593,"IQ_CAPEX",IQ_FY-9), _xll.ciqfunctions.udf.CIQ(A1593, "IQ_CAPEX",IQ_FY-8))</f>
        <v>-1.8779999999999999</v>
      </c>
      <c r="L1594" s="15">
        <f t="shared" si="424"/>
        <v>-0.15516478655164787</v>
      </c>
      <c r="M1594" s="17">
        <f>IF(A1601=A1602,_xll.ciqfunctions.udf.CIQ(A1593,"IQ_TOTAL_DEBT_ISSUED",IQ_FY-9), _xll.ciqfunctions.udf.CIQ(A1593, "IQ_TOTAL_DEBT_ISSUED",IQ_FY-8))</f>
        <v>0</v>
      </c>
      <c r="N1594" s="17">
        <f>IF(A1601=A1602,_xll.ciqfunctions.udf.CIQ(A1593,"IQ_TOTAL_DEBT_REPAID",IQ_FY-9), _xll.ciqfunctions.udf.CIQ(A1593, "IQ_TOTAL_DEBT_REPAID",IQ_FY-8))</f>
        <v>-2.4E-2</v>
      </c>
      <c r="O1594" s="15">
        <f t="shared" si="425"/>
        <v>-2.6542800265428003E-3</v>
      </c>
      <c r="P1594" s="15">
        <f t="shared" si="426"/>
        <v>-0.15781906657819067</v>
      </c>
      <c r="Q1594" s="25" t="s">
        <v>18</v>
      </c>
      <c r="R1594" s="39" t="s">
        <v>19</v>
      </c>
      <c r="S1594" s="1">
        <f>R1592/((AVERAGE(P1598:P1603))*(1+E1604)^3)</f>
        <v>128.08993054723493</v>
      </c>
      <c r="U1594" s="25" t="s">
        <v>48</v>
      </c>
      <c r="V1594" s="39" t="s">
        <v>19</v>
      </c>
      <c r="W1594" s="1">
        <f>V1592/((AVERAGE(P1598:P1603))*(1+E1604)^3)</f>
        <v>128.08993054723493</v>
      </c>
      <c r="Y1594" s="25" t="s">
        <v>39</v>
      </c>
      <c r="Z1594" s="39" t="s">
        <v>19</v>
      </c>
      <c r="AA1594" s="1">
        <f>Z1592/((AVERAGE(P1598:P1603))*(1+E1604)^3)</f>
        <v>128.08993054723493</v>
      </c>
    </row>
    <row r="1595" spans="1:27">
      <c r="B1595" s="13">
        <v>3</v>
      </c>
      <c r="C1595" s="14" t="s">
        <v>20</v>
      </c>
      <c r="D1595" s="15" cm="1">
        <f t="array" ref="D1595">_xlfn.SINGLE(IF(A1601=A1602,_xll.ciqfunctions.udf.CIQ(A1593,"IQ_TOTAL_REV",IQ_FY-8)/I1595, _xll.ciqfunctions.udf.CIQ(A1593, "IQ_TOTAL_REV",IQ_FY-7)/I1595))</f>
        <v>2.2333513644899012</v>
      </c>
      <c r="E1595" s="16">
        <f t="shared" si="427"/>
        <v>-0.57638893587888473</v>
      </c>
      <c r="F1595" s="15">
        <f>IF(A1601=A1602,_xll.ciqfunctions.udf.CIQ(A1593,"IQ_DILUT_EPS_EXCL",IQ_FY-8), _xll.ciqfunctions.udf.CIQ(A1593, "IQ_DILUT_EPS_EXCL",IQ_FY-7))</f>
        <v>-0.73434999999999995</v>
      </c>
      <c r="G1595" s="15">
        <f>IF(A1601=A1602,_xll.ciqfunctions.udf.CIQ(A1593,"IQ_EBITDA_MARGIN",IQ_FY-8), _xll.ciqfunctions.udf.CIQ(A1593, "IQ_EBITDA_MARGIN",IQ_FY-7))</f>
        <v>-16.536999999999999</v>
      </c>
      <c r="H1595" s="15">
        <f>IF(A1601=A1602,_xll.ciqfunctions.udf.CIQ(A1593,"IQ_TOTAL_DIV_PAID_CF",IQ_FY-8)/-I1595, _xll.ciqfunctions.udf.CIQ(A1593, "IQ_TOTAL_DIV_PAID_CF",IQ_FY-7)/-I1595)</f>
        <v>0</v>
      </c>
      <c r="I1595" s="17">
        <f>IF(A1601=A1602,_xll.ciqfunctions.udf.CIQ(A1593,"IQ_TOTAL_OUTSTANDING_FILING_DATE",IQ_FY-8), _xll.ciqfunctions.udf.CIQ(A1593, "IQ_TOTAL_OUTSTANDING_FILING_DATE",IQ_FY-7))</f>
        <v>33.57152</v>
      </c>
      <c r="J1595" s="17">
        <f>IF(A1601=A1602,_xll.ciqfunctions.udf.CIQ(A1593,"IQ_CASH_OPER",IQ_FY-8), _xll.ciqfunctions.udf.CIQ(A1593, "IQ_CASH_OPER",IQ_FY-7))</f>
        <v>-6.8440000000000003</v>
      </c>
      <c r="K1595" s="17">
        <f>IF(A1601=A1602,_xll.ciqfunctions.udf.CIQ(A1593,"IQ_CAPEX",IQ_FY-8), _xll.ciqfunctions.udf.CIQ(A1593, "IQ_CAPEX",IQ_FY-7))</f>
        <v>-3.694</v>
      </c>
      <c r="L1595" s="15">
        <f t="shared" si="424"/>
        <v>-0.31389701747195242</v>
      </c>
      <c r="M1595" s="17">
        <f>IF(A1601=A1602,_xll.ciqfunctions.udf.CIQ(A1593,"IQ_TOTAL_DEBT_ISSUED",IQ_FY-8), _xll.ciqfunctions.udf.CIQ(A1593, "IQ_TOTAL_DEBT_ISSUED",IQ_FY-7))</f>
        <v>10.253</v>
      </c>
      <c r="N1595" s="17">
        <f>IF(A1601=A1602,_xll.ciqfunctions.udf.CIQ(A1593,"IQ_TOTAL_DEBT_REPAID",IQ_FY-8), _xll.ciqfunctions.udf.CIQ(A1593, "IQ_TOTAL_DEBT_REPAID",IQ_FY-7))</f>
        <v>-10.268000000000001</v>
      </c>
      <c r="O1595" s="15">
        <f t="shared" si="425"/>
        <v>-4.4680729380142955E-4</v>
      </c>
      <c r="P1595" s="15">
        <f t="shared" si="426"/>
        <v>-0.31434382476575384</v>
      </c>
      <c r="Q1595" s="25" t="s">
        <v>21</v>
      </c>
      <c r="R1595" s="38" t="s">
        <v>49</v>
      </c>
      <c r="S1595" s="2">
        <f>(R1592*I1603)/1000</f>
        <v>7.0158107398</v>
      </c>
      <c r="U1595" s="25" t="s">
        <v>59</v>
      </c>
      <c r="V1595" s="38" t="s">
        <v>49</v>
      </c>
      <c r="W1595" s="2">
        <f>(V1592*I1603)/1000</f>
        <v>7.0158107398</v>
      </c>
      <c r="Y1595" s="25" t="s">
        <v>46</v>
      </c>
      <c r="Z1595" s="38" t="s">
        <v>49</v>
      </c>
      <c r="AA1595" s="2">
        <f>(Z1592*I1603)/1000</f>
        <v>7.0158107398</v>
      </c>
    </row>
    <row r="1596" spans="1:27">
      <c r="A1596" s="18"/>
      <c r="B1596" s="13">
        <v>4</v>
      </c>
      <c r="C1596" s="14" t="s">
        <v>22</v>
      </c>
      <c r="D1596" s="15" cm="1">
        <f t="array" ref="D1596">_xlfn.SINGLE(IF(A1601=A1602,_xll.ciqfunctions.udf.CIQ(A1593,"IQ_TOTAL_REV",IQ_FY-7)/I1596, _xll.ciqfunctions.udf.CIQ(A1593, "IQ_TOTAL_REV",IQ_FY-6)/I1596))</f>
        <v>3.1297454462242293</v>
      </c>
      <c r="E1596" s="16">
        <f t="shared" si="427"/>
        <v>0.40136724385912514</v>
      </c>
      <c r="F1596" s="15">
        <f>IF(A1601=A1602,_xll.ciqfunctions.udf.CIQ(A1593,"IQ_DILUT_EPS_EXCL",IQ_FY-7), _xll.ciqfunctions.udf.CIQ(A1593, "IQ_DILUT_EPS_EXCL",IQ_FY-6))</f>
        <v>-0.25</v>
      </c>
      <c r="G1596" s="15">
        <f>IF(A1601=A1602,_xll.ciqfunctions.udf.CIQ(A1593,"IQ_EBITDA_MARGIN",IQ_FY-7), _xll.ciqfunctions.udf.CIQ(A1593, "IQ_EBITDA_MARGIN",IQ_FY-6))</f>
        <v>-4.4398999999999997</v>
      </c>
      <c r="H1596" s="15">
        <f>IF(A1601=A1602,_xll.ciqfunctions.udf.CIQ(A1593,"IQ_TOTAL_DIV_PAID_CF",IQ_FY-7)/-I1596, _xll.ciqfunctions.udf.CIQ(A1593, "IQ_TOTAL_DIV_PAID_CF",IQ_FY-6)/-I1596)</f>
        <v>0</v>
      </c>
      <c r="I1596" s="17">
        <f>IF(A1601=A1602,_xll.ciqfunctions.udf.CIQ(A1593,"IQ_TOTAL_OUTSTANDING_FILING_DATE",IQ_FY-7), _xll.ciqfunctions.udf.CIQ(A1593, "IQ_TOTAL_OUTSTANDING_FILING_DATE",IQ_FY-6))</f>
        <v>33.736289999999997</v>
      </c>
      <c r="J1596" s="17">
        <f>IF(A1601=A1602,_xll.ciqfunctions.udf.CIQ(A1593,"IQ_CASH_OPER",IQ_FY-7), _xll.ciqfunctions.udf.CIQ(A1593, "IQ_CASH_OPER",IQ_FY-6))</f>
        <v>11.5</v>
      </c>
      <c r="K1596" s="17">
        <f>IF(A1601=A1602,_xll.ciqfunctions.udf.CIQ(A1593,"IQ_CAPEX",IQ_FY-7), _xll.ciqfunctions.udf.CIQ(A1593, "IQ_CAPEX",IQ_FY-6))</f>
        <v>-4.242</v>
      </c>
      <c r="L1596" s="15">
        <f t="shared" si="424"/>
        <v>0.21513924619452823</v>
      </c>
      <c r="M1596" s="17">
        <f>IF(A1601=A1602,_xll.ciqfunctions.udf.CIQ(A1593,"IQ_TOTAL_DEBT_ISSUED",IQ_FY-7), _xll.ciqfunctions.udf.CIQ(A1593, "IQ_TOTAL_DEBT_ISSUED",IQ_FY-6))</f>
        <v>0.11700000000000001</v>
      </c>
      <c r="N1596" s="17">
        <f>IF(A1601=A1602,_xll.ciqfunctions.udf.CIQ(A1593,"IQ_TOTAL_DEBT_REPAID",IQ_FY-7), _xll.ciqfunctions.udf.CIQ(A1593, "IQ_TOTAL_DEBT_REPAID",IQ_FY-6))</f>
        <v>-0.157</v>
      </c>
      <c r="O1596" s="15">
        <f t="shared" si="425"/>
        <v>-1.185666829399439E-3</v>
      </c>
      <c r="P1596" s="15">
        <f t="shared" si="426"/>
        <v>0.21395357936512879</v>
      </c>
      <c r="Q1596" s="25" t="s">
        <v>23</v>
      </c>
      <c r="R1596" s="38" t="s">
        <v>24</v>
      </c>
      <c r="S1596" s="1" t="e">
        <f>R1592/(AVERAGE(H1598:H1603)*(1+H1604)/(0.5-H1604))</f>
        <v>#DIV/0!</v>
      </c>
      <c r="U1596" s="25" t="s">
        <v>40</v>
      </c>
      <c r="V1596" s="38" t="s">
        <v>24</v>
      </c>
      <c r="W1596" s="1" t="e">
        <f>V1592/(AVERAGE(H1598:H1603)*(1+H1604)/(0.5-H1604))</f>
        <v>#DIV/0!</v>
      </c>
      <c r="Y1596" s="25" t="s">
        <v>47</v>
      </c>
      <c r="Z1596" s="38" t="s">
        <v>24</v>
      </c>
      <c r="AA1596" s="1" t="e">
        <f>Z1592/(AVERAGE(H1598:H1603)*(1+H1604)/(0.5-H1604))</f>
        <v>#DIV/0!</v>
      </c>
    </row>
    <row r="1597" spans="1:27">
      <c r="B1597" s="13">
        <v>5</v>
      </c>
      <c r="C1597" s="14" t="s">
        <v>25</v>
      </c>
      <c r="D1597" s="15" cm="1">
        <f t="array" ref="D1597">_xlfn.SINGLE(IF(A1601=A1602,_xll.ciqfunctions.udf.CIQ(A1593,"IQ_TOTAL_REV",IQ_FY-6)/I1597, _xll.ciqfunctions.udf.CIQ(A1593, "IQ_TOTAL_REV",IQ_FY-5)/I1597))</f>
        <v>4.2209438984270706</v>
      </c>
      <c r="E1597" s="16">
        <f t="shared" si="427"/>
        <v>0.34865405859741055</v>
      </c>
      <c r="F1597" s="15">
        <f>IF(A1601=A1602,_xll.ciqfunctions.udf.CIQ(A1593,"IQ_DILUT_EPS_EXCL",IQ_FY-6), _xll.ciqfunctions.udf.CIQ(A1593, "IQ_DILUT_EPS_EXCL",IQ_FY-5))</f>
        <v>0.28000000000000003</v>
      </c>
      <c r="G1597" s="15">
        <f>IF(A1601=A1602,_xll.ciqfunctions.udf.CIQ(A1593,"IQ_EBITDA_MARGIN",IQ_FY-6), _xll.ciqfunctions.udf.CIQ(A1593, "IQ_EBITDA_MARGIN",IQ_FY-5))</f>
        <v>9.0637000000000008</v>
      </c>
      <c r="H1597" s="15">
        <f>IF(A1601=A1602,_xll.ciqfunctions.udf.CIQ(A1593,"IQ_TOTAL_DIV_PAID_CF",IQ_FY-6)/-I1597, _xll.ciqfunctions.udf.CIQ(A1593, "IQ_TOTAL_DIV_PAID_CF",IQ_FY-5)/-I1597)</f>
        <v>0</v>
      </c>
      <c r="I1597" s="17">
        <f>IF(A1601=A1602,_xll.ciqfunctions.udf.CIQ(A1593,"IQ_TOTAL_OUTSTANDING_FILING_DATE",IQ_FY-6), _xll.ciqfunctions.udf.CIQ(A1593, "IQ_TOTAL_OUTSTANDING_FILING_DATE",IQ_FY-5))</f>
        <v>34.068919999999999</v>
      </c>
      <c r="J1597" s="17">
        <f>IF(A1601=A1602,_xll.ciqfunctions.udf.CIQ(A1593,"IQ_CASH_OPER",IQ_FY-6), _xll.ciqfunctions.udf.CIQ(A1593, "IQ_CASH_OPER",IQ_FY-5))</f>
        <v>29.370999999999999</v>
      </c>
      <c r="K1597" s="17">
        <f>IF(A1601=A1602,_xll.ciqfunctions.udf.CIQ(A1593,"IQ_CAPEX",IQ_FY-6), _xll.ciqfunctions.udf.CIQ(A1593, "IQ_CAPEX",IQ_FY-5))</f>
        <v>-2.214</v>
      </c>
      <c r="L1597" s="15">
        <f t="shared" si="424"/>
        <v>0.79711948603008254</v>
      </c>
      <c r="M1597" s="17">
        <f>IF(A1601=A1602,_xll.ciqfunctions.udf.CIQ(A1593,"IQ_TOTAL_DEBT_ISSUED",IQ_FY-6), _xll.ciqfunctions.udf.CIQ(A1593, "IQ_TOTAL_DEBT_ISSUED",IQ_FY-5))</f>
        <v>0.11799999999999999</v>
      </c>
      <c r="N1597" s="17">
        <f>IF(A1601=A1602,_xll.ciqfunctions.udf.CIQ(A1593,"IQ_TOTAL_DEBT_REPAID",IQ_FY-6), _xll.ciqfunctions.udf.CIQ(A1593, "IQ_TOTAL_DEBT_REPAID",IQ_FY-5))</f>
        <v>-0.11799999999999999</v>
      </c>
      <c r="O1597" s="15">
        <f t="shared" si="425"/>
        <v>0</v>
      </c>
      <c r="P1597" s="15">
        <f t="shared" si="426"/>
        <v>0.79711948603008254</v>
      </c>
      <c r="Q1597" s="18"/>
      <c r="R1597" s="38" t="s">
        <v>50</v>
      </c>
      <c r="S1597" s="3">
        <f>I1604</f>
        <v>1.0720698958997632E-2</v>
      </c>
      <c r="U1597" s="18"/>
      <c r="V1597" s="38" t="s">
        <v>50</v>
      </c>
      <c r="W1597" s="3">
        <f>I1604</f>
        <v>1.0720698958997632E-2</v>
      </c>
      <c r="Y1597" s="18"/>
      <c r="Z1597" s="38" t="s">
        <v>50</v>
      </c>
      <c r="AA1597" s="3">
        <f>I1604</f>
        <v>1.0720698958997632E-2</v>
      </c>
    </row>
    <row r="1598" spans="1:27">
      <c r="B1598" s="13">
        <v>6</v>
      </c>
      <c r="C1598" s="14" t="s">
        <v>26</v>
      </c>
      <c r="D1598" s="15" cm="1">
        <f t="array" ref="D1598">_xlfn.SINGLE(IF(A1601=A1602,_xll.ciqfunctions.udf.CIQ(A1593,"IQ_TOTAL_REV",IQ_FY-5)/I1598, _xll.ciqfunctions.udf.CIQ(A1593, "IQ_TOTAL_REV",IQ_FY-4)/I1598))</f>
        <v>5.6059410215754006</v>
      </c>
      <c r="E1598" s="16">
        <f t="shared" si="427"/>
        <v>0.32812497784309508</v>
      </c>
      <c r="F1598" s="15">
        <f>IF(A1601=A1602,_xll.ciqfunctions.udf.CIQ(A1593,"IQ_DILUT_EPS_EXCL",IQ_FY-5), _xll.ciqfunctions.udf.CIQ(A1593, "IQ_DILUT_EPS_EXCL",IQ_FY-4))</f>
        <v>0.56000000000000005</v>
      </c>
      <c r="G1598" s="15">
        <f>IF(A1601=A1602,_xll.ciqfunctions.udf.CIQ(A1593,"IQ_EBITDA_MARGIN",IQ_FY-5), _xll.ciqfunctions.udf.CIQ(A1593, "IQ_EBITDA_MARGIN",IQ_FY-4))</f>
        <v>12.222799999999999</v>
      </c>
      <c r="H1598" s="15">
        <f>IF(A1601=A1602,_xll.ciqfunctions.udf.CIQ(A1593,"IQ_TOTAL_DIV_PAID_CF",IQ_FY-5)/-I1598, _xll.ciqfunctions.udf.CIQ(A1593, "IQ_TOTAL_DIV_PAID_CF",IQ_FY-4)/-I1598)</f>
        <v>0</v>
      </c>
      <c r="I1598" s="17">
        <f>IF(A1601=A1602,_xll.ciqfunctions.udf.CIQ(A1593,"IQ_TOTAL_OUTSTANDING_FILING_DATE",IQ_FY-5), _xll.ciqfunctions.udf.CIQ(A1593, "IQ_TOTAL_OUTSTANDING_FILING_DATE",IQ_FY-4))</f>
        <v>33.905279999999998</v>
      </c>
      <c r="J1598" s="17">
        <f>IF(A1601=A1602,_xll.ciqfunctions.udf.CIQ(A1593,"IQ_CASH_OPER",IQ_FY-5), _xll.ciqfunctions.udf.CIQ(A1593, "IQ_CASH_OPER",IQ_FY-4))</f>
        <v>36.268000000000001</v>
      </c>
      <c r="K1598" s="17">
        <f>IF(A1601=A1602,_xll.ciqfunctions.udf.CIQ(A1593,"IQ_CAPEX",IQ_FY-5), _xll.ciqfunctions.udf.CIQ(A1593, "IQ_CAPEX",IQ_FY-4))</f>
        <v>-2.1019999999999999</v>
      </c>
      <c r="L1598" s="15">
        <f t="shared" si="424"/>
        <v>1.0076896577760162</v>
      </c>
      <c r="M1598" s="17">
        <f>IF(A1601=A1602,_xll.ciqfunctions.udf.CIQ(A1593,"IQ_TOTAL_DEBT_ISSUED",IQ_FY-5), _xll.ciqfunctions.udf.CIQ(A1593, "IQ_TOTAL_DEBT_ISSUED",IQ_FY-4))</f>
        <v>50.137999999999998</v>
      </c>
      <c r="N1598" s="17">
        <f>IF(A1601=A1602,_xll.ciqfunctions.udf.CIQ(A1593,"IQ_TOTAL_DEBT_REPAID",IQ_FY-5), _xll.ciqfunctions.udf.CIQ(A1593, "IQ_TOTAL_DEBT_REPAID",IQ_FY-4))</f>
        <v>-0.13800000000000001</v>
      </c>
      <c r="O1598" s="15">
        <f t="shared" si="425"/>
        <v>1.4746965664344907</v>
      </c>
      <c r="P1598" s="15">
        <f t="shared" si="426"/>
        <v>2.482386224210507</v>
      </c>
      <c r="Q1598" s="25" t="s">
        <v>27</v>
      </c>
      <c r="R1598" s="38" t="s">
        <v>51</v>
      </c>
      <c r="S1598" s="4">
        <f>AVERAGE(F1598:F1603)/AVERAGE(D1598:D1603)</f>
        <v>4.4718476973671088E-2</v>
      </c>
      <c r="U1598" s="25" t="s">
        <v>58</v>
      </c>
      <c r="V1598" s="38" t="s">
        <v>51</v>
      </c>
      <c r="W1598" s="4">
        <f>AVERAGE(F1598:F1603)/AVERAGE(D1598:D1603)</f>
        <v>4.4718476973671088E-2</v>
      </c>
      <c r="Y1598" s="25" t="s">
        <v>56</v>
      </c>
      <c r="Z1598" s="38" t="s">
        <v>51</v>
      </c>
      <c r="AA1598" s="4">
        <f>AVERAGE(F1598:F1603)/AVERAGE(D1598:D1603)</f>
        <v>4.4718476973671088E-2</v>
      </c>
    </row>
    <row r="1599" spans="1:27">
      <c r="A1599" s="18"/>
      <c r="B1599" s="13">
        <v>7</v>
      </c>
      <c r="C1599" s="14" t="s">
        <v>28</v>
      </c>
      <c r="D1599" s="15" cm="1">
        <f t="array" ref="D1599">_xlfn.SINGLE(IF(A1601=A1602,_xll.ciqfunctions.udf.CIQ(A1593,"IQ_TOTAL_REV",IQ_FY-4)/I1599, _xll.ciqfunctions.udf.CIQ(A1593, "IQ_TOTAL_REV",IQ_FY-3)/I1599))</f>
        <v>7.4949199413198695</v>
      </c>
      <c r="E1599" s="16">
        <f t="shared" si="427"/>
        <v>0.33696018428920638</v>
      </c>
      <c r="F1599" s="15">
        <f>IF(A1601=A1602,_xll.ciqfunctions.udf.CIQ(A1593,"IQ_DILUT_EPS_EXCL",IQ_FY-4), _xll.ciqfunctions.udf.CIQ(A1593, "IQ_DILUT_EPS_EXCL",IQ_FY-3))</f>
        <v>1.02</v>
      </c>
      <c r="G1599" s="15">
        <f>IF(A1601=A1602,_xll.ciqfunctions.udf.CIQ(A1593,"IQ_EBITDA_MARGIN",IQ_FY-4), _xll.ciqfunctions.udf.CIQ(A1593, "IQ_EBITDA_MARGIN",IQ_FY-3))</f>
        <v>5.5075000000000003</v>
      </c>
      <c r="H1599" s="15">
        <f>IF(A1601=A1602,_xll.ciqfunctions.udf.CIQ(A1593,"IQ_TOTAL_DIV_PAID_CF",IQ_FY-4)/-I1599, _xll.ciqfunctions.udf.CIQ(A1593, "IQ_TOTAL_DIV_PAID_CF",IQ_FY-3)/-I1599)</f>
        <v>0</v>
      </c>
      <c r="I1599" s="17">
        <f>IF(A1601=A1602,_xll.ciqfunctions.udf.CIQ(A1593,"IQ_TOTAL_OUTSTANDING_FILING_DATE",IQ_FY-4), _xll.ciqfunctions.udf.CIQ(A1593, "IQ_TOTAL_OUTSTANDING_FILING_DATE",IQ_FY-3))</f>
        <v>34.158070000000002</v>
      </c>
      <c r="J1599" s="17">
        <f>IF(A1601=A1602,_xll.ciqfunctions.udf.CIQ(A1593,"IQ_CASH_OPER",IQ_FY-4), _xll.ciqfunctions.udf.CIQ(A1593, "IQ_CASH_OPER",IQ_FY-3))</f>
        <v>38.887</v>
      </c>
      <c r="K1599" s="17">
        <f>IF(A1601=A1602,_xll.ciqfunctions.udf.CIQ(A1593,"IQ_CAPEX",IQ_FY-4), _xll.ciqfunctions.udf.CIQ(A1593, "IQ_CAPEX",IQ_FY-3))</f>
        <v>-8.0839999999999996</v>
      </c>
      <c r="L1599" s="15">
        <f t="shared" si="424"/>
        <v>0.9017781156839364</v>
      </c>
      <c r="M1599" s="17">
        <f>IF(A1601=A1602,_xll.ciqfunctions.udf.CIQ(A1593,"IQ_TOTAL_DEBT_ISSUED",IQ_FY-4), _xll.ciqfunctions.udf.CIQ(A1593, "IQ_TOTAL_DEBT_ISSUED",IQ_FY-3))</f>
        <v>2.169</v>
      </c>
      <c r="N1599" s="17">
        <f>IF(A1601=A1602,_xll.ciqfunctions.udf.CIQ(A1593,"IQ_TOTAL_DEBT_REPAID",IQ_FY-4), _xll.ciqfunctions.udf.CIQ(A1593, "IQ_TOTAL_DEBT_REPAID",IQ_FY-3))</f>
        <v>-3.419</v>
      </c>
      <c r="O1599" s="15">
        <f t="shared" si="425"/>
        <v>-3.6594573405347545E-2</v>
      </c>
      <c r="P1599" s="15">
        <f t="shared" si="426"/>
        <v>0.86518354227858885</v>
      </c>
      <c r="Q1599" s="18"/>
      <c r="R1599" s="38" t="s">
        <v>29</v>
      </c>
      <c r="S1599" s="4">
        <f>(AVERAGE(P1598:P1603)/_xlfn.STDEV.P(P1598:P1603))/(IF(A1601=A1602,(_xlfn.SINGLE(_xll.ciqfunctions.udf.CIQ(A1593,"IQ_total_assets",IQ_FY)) - _xlfn.SINGLE(_xll.ciqfunctions.udf.CIQ(A1593,"iq_gw_intan", IQ_FY)))/I1603, (_xlfn.SINGLE(_xll.ciqfunctions.udf.CIQ(A1593, "IQ_total_assets",IQ_LTM))-_xlfn.SINGLE(_xll.ciqfunctions.udf.CIQ(A1593,"iq_gw_intan",IQ_LTM)))/I1603))</f>
        <v>0.11063656176993671</v>
      </c>
      <c r="U1599" s="18"/>
      <c r="V1599" s="38" t="s">
        <v>29</v>
      </c>
      <c r="W1599" s="4">
        <f>(AVERAGE(P1598:P1603)/_xlfn.STDEV.P(P1598:P1603))/(IF(A1601=A1602,(_xlfn.SINGLE(_xll.ciqfunctions.udf.CIQ(A1593,"IQ_total_assets",IQ_FY)) - _xlfn.SINGLE(_xll.ciqfunctions.udf.CIQ(A1593,"iq_gw_intan", IQ_FY)))/I1603, (_xlfn.SINGLE(_xll.ciqfunctions.udf.CIQ(A1593, "IQ_total_assets",IQ_LTM))-_xlfn.SINGLE(_xll.ciqfunctions.udf.CIQ(A1593,"iq_gw_intan",IQ_LTM)))/I1603))</f>
        <v>0.11063656176993671</v>
      </c>
      <c r="Y1599" s="18"/>
      <c r="Z1599" s="38" t="s">
        <v>29</v>
      </c>
      <c r="AA1599" s="4">
        <f>(AVERAGE(P1598:P1603)/_xlfn.STDEV.P(P1598:P1603))/(IF(A1601=A1602,(_xlfn.SINGLE(_xll.ciqfunctions.udf.CIQ(A1593,"IQ_total_assets",IQ_FY)) - _xlfn.SINGLE(_xll.ciqfunctions.udf.CIQ(A1593,"iq_gw_intan", IQ_FY)))/I1603, (_xlfn.SINGLE(_xll.ciqfunctions.udf.CIQ(A1593, "IQ_total_assets",IQ_LTM))-_xlfn.SINGLE(_xll.ciqfunctions.udf.CIQ(A1593,"iq_gw_intan",IQ_LTM)))/I1603))</f>
        <v>0.11063656176993671</v>
      </c>
    </row>
    <row r="1600" spans="1:27">
      <c r="A1600" s="18"/>
      <c r="B1600" s="13">
        <v>8</v>
      </c>
      <c r="C1600" s="14" t="s">
        <v>30</v>
      </c>
      <c r="D1600" s="15" cm="1">
        <f t="array" ref="D1600">_xlfn.SINGLE(IF(A1601=A1602,_xll.ciqfunctions.udf.CIQ(A1593,"IQ_TOTAL_REV",IQ_FY-3)/I1600, _xll.ciqfunctions.udf.CIQ(A1593, "IQ_TOTAL_REV",IQ_FY-2)/I1600))</f>
        <v>9.013840141381257</v>
      </c>
      <c r="E1600" s="16">
        <f t="shared" si="427"/>
        <v>0.20265996327559208</v>
      </c>
      <c r="F1600" s="15">
        <f>IF(A1601=A1602,_xll.ciqfunctions.udf.CIQ(A1593,"IQ_DILUT_EPS_EXCL",IQ_FY-3), _xll.ciqfunctions.udf.CIQ(A1593, "IQ_DILUT_EPS_EXCL",IQ_FY-2))</f>
        <v>4.4400000000000004</v>
      </c>
      <c r="G1600" s="15">
        <f>IF(A1601=A1602,_xll.ciqfunctions.udf.CIQ(A1593,"IQ_EBITDA_MARGIN",IQ_FY-3), _xll.ciqfunctions.udf.CIQ(A1593, "IQ_EBITDA_MARGIN",IQ_FY-2))</f>
        <v>5.6086</v>
      </c>
      <c r="H1600" s="15">
        <f>IF(A1601=A1602,_xll.ciqfunctions.udf.CIQ(A1593,"IQ_TOTAL_DIV_PAID_CF",IQ_FY-3)/-I1600, _xll.ciqfunctions.udf.CIQ(A1593, "IQ_TOTAL_DIV_PAID_CF",IQ_FY-2)/-I1600)</f>
        <v>0</v>
      </c>
      <c r="I1600" s="17">
        <f>IF(A1601=A1602,_xll.ciqfunctions.udf.CIQ(A1593,"IQ_TOTAL_OUTSTANDING_FILING_DATE",IQ_FY-3), _xll.ciqfunctions.udf.CIQ(A1593, "IQ_TOTAL_OUTSTANDING_FILING_DATE",IQ_FY-2))</f>
        <v>34.397770000000001</v>
      </c>
      <c r="J1600" s="17">
        <f>IF(A1601=A1602,_xll.ciqfunctions.udf.CIQ(A1593,"IQ_CASH_OPER",IQ_FY-3), _xll.ciqfunctions.udf.CIQ(A1593, "IQ_CASH_OPER",IQ_FY-2))</f>
        <v>48.298999999999999</v>
      </c>
      <c r="K1600" s="17">
        <f>IF(A1601=A1602,_xll.ciqfunctions.udf.CIQ(A1593,"IQ_CAPEX",IQ_FY-3), _xll.ciqfunctions.udf.CIQ(A1593, "IQ_CAPEX",IQ_FY-2))</f>
        <v>-19.038</v>
      </c>
      <c r="L1600" s="15">
        <f t="shared" si="424"/>
        <v>0.85066561000902086</v>
      </c>
      <c r="M1600" s="17">
        <f>IF(A1601=A1602,_xll.ciqfunctions.udf.CIQ(A1593,"IQ_TOTAL_DEBT_ISSUED",IQ_FY-3), _xll.ciqfunctions.udf.CIQ(A1593, "IQ_TOTAL_DEBT_ISSUED",IQ_FY-2))</f>
        <v>50.752000000000002</v>
      </c>
      <c r="N1600" s="17">
        <f>IF(A1601=A1602,_xll.ciqfunctions.udf.CIQ(A1593,"IQ_TOTAL_DEBT_REPAID",IQ_FY-3), _xll.ciqfunctions.udf.CIQ(A1593, "IQ_TOTAL_DEBT_REPAID",IQ_FY-2))</f>
        <v>-99.564999999999998</v>
      </c>
      <c r="O1600" s="15">
        <f t="shared" si="425"/>
        <v>-1.4190745504723123</v>
      </c>
      <c r="P1600" s="15">
        <f t="shared" si="426"/>
        <v>-0.56840894046329149</v>
      </c>
      <c r="Q1600" s="18"/>
      <c r="R1600" s="39" t="s">
        <v>31</v>
      </c>
      <c r="S1600" s="5">
        <f>IF(NOT(D1593&gt;0),FALSE,SLOPE(G1593:G1603,B1593:B1603))</f>
        <v>1.567674545454546</v>
      </c>
      <c r="U1600" s="18"/>
      <c r="V1600" s="39" t="s">
        <v>31</v>
      </c>
      <c r="W1600" s="5">
        <f>IF(NOT(D1593&gt;0),FALSE,SLOPE(G1593:G1603,B1593:B1603))</f>
        <v>1.567674545454546</v>
      </c>
      <c r="Y1600" s="18"/>
      <c r="Z1600" s="39" t="s">
        <v>31</v>
      </c>
      <c r="AA1600" s="5" t="b">
        <f>IF(NOT(L1593&gt;0),FALSE,SLOPE(O1593:O1603,J1593:J1603))</f>
        <v>0</v>
      </c>
    </row>
    <row r="1601" spans="1:27">
      <c r="A1601" s="19">
        <f>_xll.ciqfunctions.udf.CIQ(A1593,"IQ_TOTAL_REV",IQ_FY)</f>
        <v>471.88299999999998</v>
      </c>
      <c r="B1601" s="13">
        <v>9</v>
      </c>
      <c r="C1601" s="14" t="s">
        <v>32</v>
      </c>
      <c r="D1601" s="15" cm="1">
        <f t="array" ref="D1601">_xlfn.SINGLE(IF(A1601=A1602,_xll.ciqfunctions.udf.CIQ(A1593,"IQ_TOTAL_REV",IQ_FY-2)/I1601, _xll.ciqfunctions.udf.CIQ(A1593, "IQ_TOTAL_REV",IQ_FY-1)/I1601))</f>
        <v>10.314873889135415</v>
      </c>
      <c r="E1601" s="16">
        <f t="shared" si="427"/>
        <v>0.14433734427808376</v>
      </c>
      <c r="F1601" s="15">
        <f>IF(A1601=A1602,_xll.ciqfunctions.udf.CIQ(A1593,"IQ_DILUT_EPS_EXCL",IQ_FY-2), _xll.ciqfunctions.udf.CIQ(A1593, "IQ_DILUT_EPS_EXCL",IQ_FY-1))</f>
        <v>2.9729999999999999E-2</v>
      </c>
      <c r="G1601" s="15">
        <f>IF(A1601=A1602,_xll.ciqfunctions.udf.CIQ(A1593,"IQ_EBITDA_MARGIN",IQ_FY-2), _xll.ciqfunctions.udf.CIQ(A1593, "IQ_EBITDA_MARGIN",IQ_FY-1))</f>
        <v>-1.738</v>
      </c>
      <c r="H1601" s="15">
        <f>IF(A1601=A1602,_xll.ciqfunctions.udf.CIQ(A1593,"IQ_TOTAL_DIV_PAID_CF",IQ_FY-2)/-I1601, _xll.ciqfunctions.udf.CIQ(A1593, "IQ_TOTAL_DIV_PAID_CF",IQ_FY-1)/-I1601)</f>
        <v>0</v>
      </c>
      <c r="I1601" s="17">
        <f>IF(A1601=A1602,_xll.ciqfunctions.udf.CIQ(A1593,"IQ_TOTAL_OUTSTANDING_FILING_DATE",IQ_FY-2), _xll.ciqfunctions.udf.CIQ(A1593, "IQ_TOTAL_OUTSTANDING_FILING_DATE",IQ_FY-1))</f>
        <v>34.839979999999997</v>
      </c>
      <c r="J1601" s="17">
        <f>IF(A1601=A1602,_xll.ciqfunctions.udf.CIQ(A1593,"IQ_CASH_OPER",IQ_FY-2), _xll.ciqfunctions.udf.CIQ(A1593, "IQ_CASH_OPER",IQ_FY-1))</f>
        <v>35.390999999999998</v>
      </c>
      <c r="K1601" s="17">
        <f>IF(A1601=A1602,_xll.ciqfunctions.udf.CIQ(A1593,"IQ_CAPEX",IQ_FY-2), _xll.ciqfunctions.udf.CIQ(A1593, "IQ_CAPEX",IQ_FY-1))</f>
        <v>-8.1029999999999998</v>
      </c>
      <c r="L1601" s="15">
        <f t="shared" si="424"/>
        <v>0.78323810748456224</v>
      </c>
      <c r="M1601" s="17">
        <f>IF(A1601=A1602,_xll.ciqfunctions.udf.CIQ(A1593,"IQ_TOTAL_DEBT_ISSUED",IQ_FY-2), _xll.ciqfunctions.udf.CIQ(A1593, "IQ_TOTAL_DEBT_ISSUED",IQ_FY-1))</f>
        <v>0</v>
      </c>
      <c r="N1601" s="17">
        <f>IF(A1601=A1602,_xll.ciqfunctions.udf.CIQ(A1593,"IQ_TOTAL_DEBT_REPAID",IQ_FY-2), _xll.ciqfunctions.udf.CIQ(A1593, "IQ_TOTAL_DEBT_REPAID",IQ_FY-1))</f>
        <v>0</v>
      </c>
      <c r="O1601" s="15">
        <f t="shared" si="425"/>
        <v>0</v>
      </c>
      <c r="P1601" s="15">
        <f t="shared" si="426"/>
        <v>0.78323810748456224</v>
      </c>
      <c r="Q1601" s="25" t="s">
        <v>33</v>
      </c>
      <c r="R1601" s="38" t="s">
        <v>52</v>
      </c>
      <c r="S1601" s="4">
        <f>(AVERAGE(O1598:O1603)/AVERAGE(P1598:P1603))</f>
        <v>3.886784465682845E-3</v>
      </c>
      <c r="U1601" s="25" t="s">
        <v>54</v>
      </c>
      <c r="V1601" s="38" t="s">
        <v>52</v>
      </c>
      <c r="W1601" s="4">
        <f>(AVERAGE(O1598:O1603)/AVERAGE(P1598:P1603))</f>
        <v>3.886784465682845E-3</v>
      </c>
      <c r="Y1601" s="25" t="s">
        <v>60</v>
      </c>
      <c r="Z1601" s="38" t="s">
        <v>52</v>
      </c>
      <c r="AA1601" s="4">
        <f>(AVERAGE(O1598:O1603)/AVERAGE(P1598:P1603))</f>
        <v>3.886784465682845E-3</v>
      </c>
    </row>
    <row r="1602" spans="1:27">
      <c r="A1602" s="19">
        <f>_xll.ciqfunctions.udf.CIQ(A1593,"IQ_TOTAL_REV",IQ_LTM)</f>
        <v>572.673</v>
      </c>
      <c r="B1602" s="13">
        <v>10</v>
      </c>
      <c r="C1602" s="14" t="s">
        <v>34</v>
      </c>
      <c r="D1602" s="15" cm="1">
        <f t="array" ref="D1602">_xlfn.SINGLE(IF(A1601=A1602,_xll.ciqfunctions.udf.CIQ(A1593,"IQ_TOTAL_REV",IQ_FY-1)/I1602, _xll.ciqfunctions.udf.CIQ(A1593, "IQ_TOTAL_REV",IQ_FY)/I1602))</f>
        <v>13.331489440085521</v>
      </c>
      <c r="E1602" s="16">
        <f t="shared" si="427"/>
        <v>0.29245297454654168</v>
      </c>
      <c r="F1602" s="15">
        <f>IF(A1601=A1602,_xll.ciqfunctions.udf.CIQ(A1593,"IQ_DILUT_EPS_EXCL",IQ_FY-1), _xll.ciqfunctions.udf.CIQ(A1593, "IQ_DILUT_EPS_EXCL",IQ_FY))</f>
        <v>-1.95</v>
      </c>
      <c r="G1602" s="15">
        <f>IF(A1601=A1602,_xll.ciqfunctions.udf.CIQ(A1593,"IQ_EBITDA_MARGIN",IQ_FY-1), _xll.ciqfunctions.udf.CIQ(A1593, "IQ_EBITDA_MARGIN",IQ_FY))</f>
        <v>-13.8063</v>
      </c>
      <c r="H1602" s="15">
        <f>IF(A1601=A1602,_xll.ciqfunctions.udf.CIQ(A1593,"IQ_TOTAL_DIV_PAID_CF",IQ_FY-1)/-I1602, _xll.ciqfunctions.udf.CIQ(A1593, "IQ_TOTAL_DIV_PAID_CF",IQ_FY)/-I1602)</f>
        <v>0</v>
      </c>
      <c r="I1602" s="17">
        <f>IF(A1601=A1602,_xll.ciqfunctions.udf.CIQ(A1593,"IQ_TOTAL_OUTSTANDING_FILING_DATE",IQ_FY-1), _xll.ciqfunctions.udf.CIQ(A1593, "IQ_TOTAL_OUTSTANDING_FILING_DATE",IQ_FY))</f>
        <v>35.396120000000003</v>
      </c>
      <c r="J1602" s="17">
        <f>IF(A1601=A1602,_xll.ciqfunctions.udf.CIQ(A1593,"IQ_CASH_OPER",IQ_FY-1), _xll.ciqfunctions.udf.CIQ(A1593, "IQ_CASH_OPER",IQ_FY))</f>
        <v>25.364999999999998</v>
      </c>
      <c r="K1602" s="17">
        <f>IF(A1601=A1602,_xll.ciqfunctions.udf.CIQ(A1593,"IQ_CAPEX",IQ_FY-1), _xll.ciqfunctions.udf.CIQ(A1593, "IQ_CAPEX",IQ_FY))</f>
        <v>-6.54</v>
      </c>
      <c r="L1602" s="15">
        <f t="shared" si="424"/>
        <v>0.53183795286036994</v>
      </c>
      <c r="M1602" s="17">
        <f>IF(A1601=A1602,_xll.ciqfunctions.udf.CIQ(A1593,"IQ_TOTAL_DEBT_ISSUED",IQ_FY-1), _xll.ciqfunctions.udf.CIQ(A1593, "IQ_TOTAL_DEBT_ISSUED",IQ_FY))</f>
        <v>0</v>
      </c>
      <c r="N1602" s="17">
        <f>IF(A1601=A1602,_xll.ciqfunctions.udf.CIQ(A1593,"IQ_TOTAL_DEBT_REPAID",IQ_FY-1), _xll.ciqfunctions.udf.CIQ(A1593, "IQ_TOTAL_DEBT_REPAID",IQ_FY))</f>
        <v>0</v>
      </c>
      <c r="O1602" s="15">
        <f t="shared" si="425"/>
        <v>0</v>
      </c>
      <c r="P1602" s="15">
        <f t="shared" si="426"/>
        <v>0.53183795286036994</v>
      </c>
      <c r="Q1602" s="25" t="s">
        <v>44</v>
      </c>
      <c r="R1602" s="38" t="s">
        <v>35</v>
      </c>
      <c r="S1602" s="1" t="str">
        <f>_xll.ciqfunctions.udf.CIQ(A1593,"IQ_TEV_EBITDA")</f>
        <v>NM</v>
      </c>
      <c r="U1602" s="25" t="s">
        <v>55</v>
      </c>
      <c r="V1602" s="38" t="s">
        <v>53</v>
      </c>
      <c r="W1602" s="1">
        <f>V1592/(AVERAGE(D1598:D1603)/_xlfn.STDEV.P(E1598:E1603))</f>
        <v>1.375189847483731</v>
      </c>
      <c r="Y1602" s="25" t="s">
        <v>57</v>
      </c>
      <c r="Z1602" s="38" t="s">
        <v>53</v>
      </c>
      <c r="AA1602" s="1">
        <f>Z1592/(AVERAGE(D1598:D1603)/_xlfn.STDEV.P(E1598:E1603))</f>
        <v>1.375189847483731</v>
      </c>
    </row>
    <row r="1603" spans="1:27">
      <c r="B1603" s="13">
        <v>11</v>
      </c>
      <c r="C1603" s="20" t="s">
        <v>36</v>
      </c>
      <c r="D1603" s="21" cm="1">
        <f t="array" ref="D1603">_xlfn.SINGLE(IF(A1601=A1602,_xll.ciqfunctions.udf.CIQ(A1593,"IQ_TOTAL_REV",IQ_FY)/I1603, _xll.ciqfunctions.udf.CIQ(A1593, "IQ_TOTAL_REV",IQ_LTM)/I1603))</f>
        <v>16.013400775289824</v>
      </c>
      <c r="E1603" s="22">
        <f t="shared" si="427"/>
        <v>0.20117117050254352</v>
      </c>
      <c r="F1603" s="21">
        <f>IF(A1601=A1602,_xll.ciqfunctions.udf.CIQ(A1593,"IQ_DILUT_EPS_EXCL",IQ_FY), _xll.ciqfunctions.udf.CIQ(A1593, "IQ_DILUT_EPS_EXCL",IQ_LTM))</f>
        <v>-1.33727</v>
      </c>
      <c r="G1603" s="21">
        <f>IF(A1601=A1602,_xll.ciqfunctions.udf.CIQ(A1593,"IQ_EBITDA_MARGIN",IQ_FY), _xll.ciqfunctions.udf.CIQ(A1593, "IQ_EBITDA_MARGIN",IQ_LTM))</f>
        <v>-6.5442999999999998</v>
      </c>
      <c r="H1603" s="21">
        <f>IF(A1601=A1602,_xll.ciqfunctions.udf.CIQ(A1593,"IQ_TOTAL_DIV_PAID_CF",IQ_FY)/-I1603, _xll.ciqfunctions.udf.CIQ(A1593, "IQ_TOTAL_DIV_PAID_CF",IQ_LTM)/-I1603)</f>
        <v>0</v>
      </c>
      <c r="I1603" s="23">
        <f>IF(A1601=A1602,_xll.ciqfunctions.udf.CIQ(A1593,"IQ_TOTAL_OUTSTANDING_FILING_DATE",IQ_FY),_xll.ciqfunctions.udf.CIQ(A1593,"IQ_sharesoutstanding"))</f>
        <v>35.76211</v>
      </c>
      <c r="J1603" s="23">
        <f>IF(A1601=A1602,_xll.ciqfunctions.udf.CIQ(A1593,"IQ_CASH_OPER",IQ_FY), _xll.ciqfunctions.udf.CIQ(A1593, "IQ_CASH_OPER",IQ_LTM))</f>
        <v>35.180999999999997</v>
      </c>
      <c r="K1603" s="23">
        <f>IF(A1601=A1602,_xll.ciqfunctions.udf.CIQ(A1593,"IQ_CAPEX",IQ_FY), _xll.ciqfunctions.udf.CIQ(A1593, "IQ_CAPEX",IQ_LTM))</f>
        <v>-6.5289999999999999</v>
      </c>
      <c r="L1603" s="21">
        <f t="shared" si="424"/>
        <v>0.80118315166526799</v>
      </c>
      <c r="M1603" s="23">
        <f>IF(A1601=A1602,_xll.ciqfunctions.udf.CIQ(A1593,"IQ_TOTAL_DEBT_ISSUED",IQ_FY), _xll.ciqfunctions.udf.CIQ(A1593, "IQ_TOTAL_DEBT_ISSUED",IQ_LTM))</f>
        <v>0</v>
      </c>
      <c r="N1603" s="23">
        <f>IF(A1601=A1602,_xll.ciqfunctions.udf.CIQ(A1593,"IQ_TOTAL_DEBT_REPAID",IQ_FY), _xll.ciqfunctions.udf.CIQ(A1593, "IQ_TOTAL_DEBT_REPAID",IQ_LTM))</f>
        <v>0</v>
      </c>
      <c r="O1603" s="21">
        <f t="shared" si="425"/>
        <v>0</v>
      </c>
      <c r="P1603" s="21">
        <f t="shared" si="426"/>
        <v>0.80118315166526799</v>
      </c>
      <c r="Q1603" s="25" t="s">
        <v>45</v>
      </c>
      <c r="S1603" s="45"/>
      <c r="U1603" s="25"/>
      <c r="W1603" s="45"/>
      <c r="Y1603" s="25"/>
      <c r="AA1603" s="45"/>
    </row>
    <row r="1604" spans="1:27">
      <c r="B1604" s="24"/>
      <c r="C1604" s="25" t="s">
        <v>37</v>
      </c>
      <c r="E1604" s="26">
        <f>((D1603/D1598)^(1/5))-1</f>
        <v>0.23357911999541625</v>
      </c>
      <c r="F1604" s="27">
        <f>((F1603/F1598)^(1/5))-1</f>
        <v>-2.1901623703970508</v>
      </c>
      <c r="G1604" s="28"/>
      <c r="H1604" s="27" t="e">
        <f>((H1603/H1598)^(1/5))-1</f>
        <v>#DIV/0!</v>
      </c>
      <c r="I1604" s="27">
        <f>((I1603/I1598)^(1/5))-1</f>
        <v>1.0720698958997632E-2</v>
      </c>
      <c r="J1604" s="27"/>
      <c r="K1604" s="27"/>
      <c r="L1604" s="26">
        <f>((L1603/L1598)^(1/5))-1</f>
        <v>-4.4829279415648404E-2</v>
      </c>
      <c r="M1604" s="26"/>
      <c r="N1604" s="26"/>
      <c r="O1604" s="26"/>
      <c r="P1604" s="26">
        <f>((P1603/P1598)^(1/5))-1</f>
        <v>-0.20242323971026044</v>
      </c>
      <c r="Q1604" s="18"/>
      <c r="R1604" s="36"/>
      <c r="S1604" s="45"/>
      <c r="U1604" s="18"/>
      <c r="V1604" s="36"/>
      <c r="W1604" s="45"/>
      <c r="Y1604" s="18"/>
      <c r="Z1604" s="36"/>
      <c r="AA1604" s="45"/>
    </row>
    <row r="1605" spans="1:27">
      <c r="A1605" s="29"/>
      <c r="B1605" s="30"/>
      <c r="C1605" s="31" t="s">
        <v>38</v>
      </c>
      <c r="D1605" s="29"/>
      <c r="E1605" s="32">
        <f>((D1603/D1593)^(1/10))-1</f>
        <v>0.18263914726528374</v>
      </c>
      <c r="F1605" s="33">
        <f>((F1603/F1593)^(1/10))-1</f>
        <v>4.4428338976938431E-2</v>
      </c>
      <c r="G1605" s="34"/>
      <c r="H1605" s="33" t="e">
        <f>((H1603/H1593)^(1/10))-1</f>
        <v>#DIV/0!</v>
      </c>
      <c r="I1605" s="33">
        <f>((I1603/I1593)^(1/10))-1</f>
        <v>0.14959550112664699</v>
      </c>
      <c r="J1605" s="33"/>
      <c r="K1605" s="33"/>
      <c r="L1605" s="32" t="e">
        <f>((L1603/L1593)^(1/10))-1</f>
        <v>#NUM!</v>
      </c>
      <c r="M1605" s="32"/>
      <c r="N1605" s="32"/>
      <c r="O1605" s="32"/>
      <c r="P1605" s="32" t="e">
        <f>((P1603/P1593)^(1/10))-1</f>
        <v>#NUM!</v>
      </c>
      <c r="Q1605" s="40"/>
      <c r="R1605" s="41"/>
      <c r="S1605" s="46"/>
      <c r="U1605" s="40"/>
      <c r="V1605" s="41"/>
      <c r="W1605" s="46"/>
      <c r="Y1605" s="40"/>
      <c r="Z1605" s="41"/>
      <c r="AA1605" s="46"/>
    </row>
    <row r="1606" spans="1:27">
      <c r="B1606" s="24"/>
      <c r="C1606" s="25"/>
      <c r="E1606" s="26"/>
      <c r="F1606" s="27"/>
      <c r="G1606" s="28"/>
      <c r="H1606" s="27"/>
      <c r="I1606" s="27"/>
      <c r="J1606" s="27"/>
      <c r="K1606" s="27"/>
      <c r="L1606" s="26"/>
      <c r="M1606" s="17"/>
      <c r="N1606" s="17"/>
      <c r="O1606" s="17"/>
      <c r="P1606" s="35"/>
      <c r="Q1606" s="18"/>
      <c r="R1606" s="36"/>
    </row>
    <row r="1607" spans="1:27">
      <c r="A1607" s="9" t="s">
        <v>0</v>
      </c>
      <c r="B1607" s="10"/>
      <c r="C1607" s="9" t="s">
        <v>1</v>
      </c>
      <c r="D1607" s="9" t="s">
        <v>2</v>
      </c>
      <c r="E1607" s="9" t="s">
        <v>3</v>
      </c>
      <c r="F1607" s="11" t="s">
        <v>4</v>
      </c>
      <c r="G1607" s="11" t="s">
        <v>5</v>
      </c>
      <c r="H1607" s="9" t="s">
        <v>6</v>
      </c>
      <c r="I1607" s="11" t="s">
        <v>7</v>
      </c>
      <c r="J1607" s="11" t="s">
        <v>8</v>
      </c>
      <c r="K1607" s="11" t="s">
        <v>9</v>
      </c>
      <c r="L1607" s="11" t="s">
        <v>10</v>
      </c>
      <c r="M1607" s="11" t="s">
        <v>11</v>
      </c>
      <c r="N1607" s="11" t="s">
        <v>12</v>
      </c>
      <c r="O1607" s="11" t="s">
        <v>13</v>
      </c>
      <c r="P1607" s="11" t="s">
        <v>14</v>
      </c>
      <c r="Q1607" s="37" t="s">
        <v>15</v>
      </c>
      <c r="R1607" s="42">
        <f>_xll.ciqfunctions.udf.CIQ(A1608,("IQ_LASTSALEPRICE"))</f>
        <v>39.652500000000003</v>
      </c>
      <c r="S1607" s="44"/>
      <c r="U1607" s="37" t="s">
        <v>15</v>
      </c>
      <c r="V1607" s="42">
        <f>_xll.ciqfunctions.udf.CIQ(A1608,("IQ_LASTSALEPRICE"))</f>
        <v>39.652500000000003</v>
      </c>
      <c r="W1607" s="44"/>
      <c r="Y1607" s="37" t="s">
        <v>15</v>
      </c>
      <c r="Z1607" s="42">
        <f>_xll.ciqfunctions.udf.CIQ(A1608,("IQ_LASTSALEPRICE"))</f>
        <v>39.652500000000003</v>
      </c>
      <c r="AA1607" s="44"/>
    </row>
    <row r="1608" spans="1:27">
      <c r="A1608" s="12" t="str">
        <f>Analysis!B109</f>
        <v>NasdaqGS:APP</v>
      </c>
      <c r="B1608" s="13">
        <v>1</v>
      </c>
      <c r="C1608" s="14" t="s">
        <v>16</v>
      </c>
      <c r="D1608" s="15" t="e">
        <f>IF(A1616=A1617,_xll.ciqfunctions.udf.CIQ(A1608,"IQ_TOTAL_REV",IQ_FY-10)/I1608,_xll.ciqfunctions.udf.CIQ(A1608, "IQ_TOTAL_REV",IQ_FY-9)/I1608)</f>
        <v>#DIV/0!</v>
      </c>
      <c r="E1608" s="16"/>
      <c r="F1608" s="15">
        <f>IF(A1616=A1617,_xll.ciqfunctions.udf.CIQ(A1608,"IQ_DILUT_EPS_EXCL",IQ_FY-10), _xll.ciqfunctions.udf.CIQ(A1608, "IQ_DILUT_EPS_EXCL",IQ_FY-9))</f>
        <v>0</v>
      </c>
      <c r="G1608" s="15">
        <f>IF(A1616=A1617,_xll.ciqfunctions.udf.CIQ(A1608,"IQ_EBITDA_MARGIN",IQ_FY-10), _xll.ciqfunctions.udf.CIQ(A1608, "IQ_EBITDA_MARGIN",IQ_FY-9))</f>
        <v>0</v>
      </c>
      <c r="H1608" s="15" t="e">
        <f>IF(A1616=A1617,_xll.ciqfunctions.udf.CIQ(A1608,"IQ_TOTAL_DIV_PAID_CF",IQ_FY-10)/-I1608, _xll.ciqfunctions.udf.CIQ(A1608, "IQ_TOTAL_DIV_PAID_CF",IQ_FY-9)/-I1608)</f>
        <v>#DIV/0!</v>
      </c>
      <c r="I1608" s="17">
        <f>IF(A1616=A1617,_xll.ciqfunctions.udf.CIQ(A1608,"IQ_TOTAL_OUTSTANDING_FILING_DATE",IQ_FY-10), _xll.ciqfunctions.udf.CIQ(A1608, "IQ_TOTAL_OUTSTANDING_FILING_DATE",IQ_FY-9))</f>
        <v>0</v>
      </c>
      <c r="J1608" s="17">
        <f>IF(A1616=A1617,_xll.ciqfunctions.udf.CIQ(A1608,"IQ_CASH_OPER",IQ_FY-10), _xll.ciqfunctions.udf.CIQ(A1608, "IQ_CASH_OPER",IQ_FY-9))</f>
        <v>0</v>
      </c>
      <c r="K1608" s="17">
        <f>IF(A1616=A1617,_xll.ciqfunctions.udf.CIQ(A1608,"IQ_CAPEX",IQ_FY-10), _xll.ciqfunctions.udf.CIQ(A1608, "IQ_CAPEX",IQ_FY-9))</f>
        <v>0</v>
      </c>
      <c r="L1608" s="15" t="e">
        <f t="shared" ref="L1608:L1618" si="428">(J1608+K1608)/I1608</f>
        <v>#DIV/0!</v>
      </c>
      <c r="M1608" s="17">
        <f>IF(A1616=A1617,_xll.ciqfunctions.udf.CIQ(A1608,"IQ_TOTAL_DEBT_ISSUED",IQ_FY-10), _xll.ciqfunctions.udf.CIQ(A1608, "IQ_TOTAL_DEBT_ISSUED",IQ_FY-9))</f>
        <v>0</v>
      </c>
      <c r="N1608" s="17">
        <f>IF(A1616=A1617,_xll.ciqfunctions.udf.CIQ(A1608,"IQ_TOTAL_DEBT_REPAID",IQ_FY-10), _xll.ciqfunctions.udf.CIQ(A1608, "IQ_TOTAL_DEBT_REPAID",IQ_FY-9))</f>
        <v>0</v>
      </c>
      <c r="O1608" s="15" t="e">
        <f t="shared" ref="O1608:O1618" si="429">(M1608+N1608)/I1608</f>
        <v>#DIV/0!</v>
      </c>
      <c r="P1608" s="15" t="e">
        <f t="shared" ref="P1608:P1618" si="430">L1608+O1608</f>
        <v>#DIV/0!</v>
      </c>
      <c r="W1608" s="43"/>
      <c r="AA1608" s="43"/>
    </row>
    <row r="1609" spans="1:27">
      <c r="A1609" s="18" t="str">
        <f>_xll.ciqfunctions.udf.CIQ(A1608,"IQ_COMPANY_NAME")</f>
        <v>AppLovin Corporation</v>
      </c>
      <c r="B1609" s="13">
        <v>2</v>
      </c>
      <c r="C1609" s="14" t="s">
        <v>17</v>
      </c>
      <c r="D1609" s="15" t="e">
        <f>IF(A1616=A1617,_xll.ciqfunctions.udf.CIQ(A1608,"IQ_TOTAL_REV",IQ_FY-9)/I1609, _xll.ciqfunctions.udf.CIQ(A1608, "IQ_TOTAL_REV",IQ_FY-8)/I1609)</f>
        <v>#DIV/0!</v>
      </c>
      <c r="E1609" s="16" t="e">
        <f t="shared" ref="E1609:E1618" si="431">(D1609-D1608)/D1608</f>
        <v>#DIV/0!</v>
      </c>
      <c r="F1609" s="15">
        <f>IF(A1616=A1617,_xll.ciqfunctions.udf.CIQ(A1608,"IQ_DILUT_EPS_EXCL",IQ_FY-9), _xll.ciqfunctions.udf.CIQ(A1608, "IQ_DILUT_EPS_EXCL",IQ_FY-8))</f>
        <v>0</v>
      </c>
      <c r="G1609" s="15">
        <f>IF(A1616=A1617,_xll.ciqfunctions.udf.CIQ(A1608,"IQ_EBITDA_MARGIN",IQ_FY-9), _xll.ciqfunctions.udf.CIQ(A1608, "IQ_EBITDA_MARGIN",IQ_FY-8))</f>
        <v>0</v>
      </c>
      <c r="H1609" s="15" t="e">
        <f>IF(A1616=A1617,_xll.ciqfunctions.udf.CIQ(A1608,"IQ_TOTAL_DIV_PAID_CF",IQ_FY-9)/-I1609, _xll.ciqfunctions.udf.CIQ(A1608, "IQ_TOTAL_DIV_PAID_CF",IQ_FY-8)/-I1609)</f>
        <v>#DIV/0!</v>
      </c>
      <c r="I1609" s="17">
        <f>IF(A1616=A1617,_xll.ciqfunctions.udf.CIQ(A1608,"IQ_TOTAL_OUTSTANDING_FILING_DATE",IQ_FY-9), _xll.ciqfunctions.udf.CIQ(A1608, "IQ_TOTAL_OUTSTANDING_FILING_DATE",IQ_FY-8))</f>
        <v>0</v>
      </c>
      <c r="J1609" s="17">
        <f>IF(A1616=A1617,_xll.ciqfunctions.udf.CIQ(A1608,"IQ_CASH_OPER",IQ_FY-9), _xll.ciqfunctions.udf.CIQ(A1608, "IQ_CASH_OPER",IQ_FY-8))</f>
        <v>0</v>
      </c>
      <c r="K1609" s="17">
        <f>IF(A1616=A1617,_xll.ciqfunctions.udf.CIQ(A1608,"IQ_CAPEX",IQ_FY-9), _xll.ciqfunctions.udf.CIQ(A1608, "IQ_CAPEX",IQ_FY-8))</f>
        <v>0</v>
      </c>
      <c r="L1609" s="15" t="e">
        <f t="shared" si="428"/>
        <v>#DIV/0!</v>
      </c>
      <c r="M1609" s="17">
        <f>IF(A1616=A1617,_xll.ciqfunctions.udf.CIQ(A1608,"IQ_TOTAL_DEBT_ISSUED",IQ_FY-9), _xll.ciqfunctions.udf.CIQ(A1608, "IQ_TOTAL_DEBT_ISSUED",IQ_FY-8))</f>
        <v>0</v>
      </c>
      <c r="N1609" s="17">
        <f>IF(A1616=A1617,_xll.ciqfunctions.udf.CIQ(A1608,"IQ_TOTAL_DEBT_REPAID",IQ_FY-9), _xll.ciqfunctions.udf.CIQ(A1608, "IQ_TOTAL_DEBT_REPAID",IQ_FY-8))</f>
        <v>0</v>
      </c>
      <c r="O1609" s="15" t="e">
        <f t="shared" si="429"/>
        <v>#DIV/0!</v>
      </c>
      <c r="P1609" s="15" t="e">
        <f t="shared" si="430"/>
        <v>#DIV/0!</v>
      </c>
      <c r="Q1609" s="25" t="s">
        <v>18</v>
      </c>
      <c r="R1609" s="39" t="s">
        <v>19</v>
      </c>
      <c r="S1609" s="1">
        <f>R1607/((AVERAGE(P1613:P1618))*(1+E1619)^3)</f>
        <v>9.0292040180249842</v>
      </c>
      <c r="U1609" s="25" t="s">
        <v>48</v>
      </c>
      <c r="V1609" s="39" t="s">
        <v>19</v>
      </c>
      <c r="W1609" s="1">
        <f>V1607/((AVERAGE(P1613:P1618))*(1+E1619)^3)</f>
        <v>9.0292040180249842</v>
      </c>
      <c r="Y1609" s="25" t="s">
        <v>39</v>
      </c>
      <c r="Z1609" s="39" t="s">
        <v>19</v>
      </c>
      <c r="AA1609" s="1">
        <f>Z1607/((AVERAGE(P1613:P1618))*(1+E1619)^3)</f>
        <v>9.0292040180249842</v>
      </c>
    </row>
    <row r="1610" spans="1:27">
      <c r="B1610" s="13">
        <v>3</v>
      </c>
      <c r="C1610" s="14" t="s">
        <v>20</v>
      </c>
      <c r="D1610" s="15" t="e" cm="1">
        <f t="array" ref="D1610">_xlfn.SINGLE(IF(A1616=A1617,_xll.ciqfunctions.udf.CIQ(A1608,"IQ_TOTAL_REV",IQ_FY-8)/I1610, _xll.ciqfunctions.udf.CIQ(A1608, "IQ_TOTAL_REV",IQ_FY-7)/I1610))</f>
        <v>#DIV/0!</v>
      </c>
      <c r="E1610" s="16" t="e">
        <f t="shared" si="431"/>
        <v>#DIV/0!</v>
      </c>
      <c r="F1610" s="15">
        <f>IF(A1616=A1617,_xll.ciqfunctions.udf.CIQ(A1608,"IQ_DILUT_EPS_EXCL",IQ_FY-8), _xll.ciqfunctions.udf.CIQ(A1608, "IQ_DILUT_EPS_EXCL",IQ_FY-7))</f>
        <v>0</v>
      </c>
      <c r="G1610" s="15">
        <f>IF(A1616=A1617,_xll.ciqfunctions.udf.CIQ(A1608,"IQ_EBITDA_MARGIN",IQ_FY-8), _xll.ciqfunctions.udf.CIQ(A1608, "IQ_EBITDA_MARGIN",IQ_FY-7))</f>
        <v>0</v>
      </c>
      <c r="H1610" s="15" t="e">
        <f>IF(A1616=A1617,_xll.ciqfunctions.udf.CIQ(A1608,"IQ_TOTAL_DIV_PAID_CF",IQ_FY-8)/-I1610, _xll.ciqfunctions.udf.CIQ(A1608, "IQ_TOTAL_DIV_PAID_CF",IQ_FY-7)/-I1610)</f>
        <v>#DIV/0!</v>
      </c>
      <c r="I1610" s="17">
        <f>IF(A1616=A1617,_xll.ciqfunctions.udf.CIQ(A1608,"IQ_TOTAL_OUTSTANDING_FILING_DATE",IQ_FY-8), _xll.ciqfunctions.udf.CIQ(A1608, "IQ_TOTAL_OUTSTANDING_FILING_DATE",IQ_FY-7))</f>
        <v>0</v>
      </c>
      <c r="J1610" s="17">
        <f>IF(A1616=A1617,_xll.ciqfunctions.udf.CIQ(A1608,"IQ_CASH_OPER",IQ_FY-8), _xll.ciqfunctions.udf.CIQ(A1608, "IQ_CASH_OPER",IQ_FY-7))</f>
        <v>0</v>
      </c>
      <c r="K1610" s="17">
        <f>IF(A1616=A1617,_xll.ciqfunctions.udf.CIQ(A1608,"IQ_CAPEX",IQ_FY-8), _xll.ciqfunctions.udf.CIQ(A1608, "IQ_CAPEX",IQ_FY-7))</f>
        <v>0</v>
      </c>
      <c r="L1610" s="15" t="e">
        <f t="shared" si="428"/>
        <v>#DIV/0!</v>
      </c>
      <c r="M1610" s="17">
        <f>IF(A1616=A1617,_xll.ciqfunctions.udf.CIQ(A1608,"IQ_TOTAL_DEBT_ISSUED",IQ_FY-8), _xll.ciqfunctions.udf.CIQ(A1608, "IQ_TOTAL_DEBT_ISSUED",IQ_FY-7))</f>
        <v>0</v>
      </c>
      <c r="N1610" s="17">
        <f>IF(A1616=A1617,_xll.ciqfunctions.udf.CIQ(A1608,"IQ_TOTAL_DEBT_REPAID",IQ_FY-8), _xll.ciqfunctions.udf.CIQ(A1608, "IQ_TOTAL_DEBT_REPAID",IQ_FY-7))</f>
        <v>0</v>
      </c>
      <c r="O1610" s="15" t="e">
        <f t="shared" si="429"/>
        <v>#DIV/0!</v>
      </c>
      <c r="P1610" s="15" t="e">
        <f t="shared" si="430"/>
        <v>#DIV/0!</v>
      </c>
      <c r="Q1610" s="25" t="s">
        <v>21</v>
      </c>
      <c r="R1610" s="38" t="s">
        <v>49</v>
      </c>
      <c r="S1610" s="2">
        <f>(R1607*I1618)/1000</f>
        <v>13.315371754425003</v>
      </c>
      <c r="U1610" s="25" t="s">
        <v>59</v>
      </c>
      <c r="V1610" s="38" t="s">
        <v>49</v>
      </c>
      <c r="W1610" s="2">
        <f>(V1607*I1618)/1000</f>
        <v>13.315371754425003</v>
      </c>
      <c r="Y1610" s="25" t="s">
        <v>46</v>
      </c>
      <c r="Z1610" s="38" t="s">
        <v>49</v>
      </c>
      <c r="AA1610" s="2">
        <f>(Z1607*I1618)/1000</f>
        <v>13.315371754425003</v>
      </c>
    </row>
    <row r="1611" spans="1:27">
      <c r="A1611" s="18"/>
      <c r="B1611" s="13">
        <v>4</v>
      </c>
      <c r="C1611" s="14" t="s">
        <v>22</v>
      </c>
      <c r="D1611" s="15" t="e" cm="1">
        <f t="array" ref="D1611">_xlfn.SINGLE(IF(A1616=A1617,_xll.ciqfunctions.udf.CIQ(A1608,"IQ_TOTAL_REV",IQ_FY-7)/I1611, _xll.ciqfunctions.udf.CIQ(A1608, "IQ_TOTAL_REV",IQ_FY-6)/I1611))</f>
        <v>#DIV/0!</v>
      </c>
      <c r="E1611" s="16" t="e">
        <f t="shared" si="431"/>
        <v>#DIV/0!</v>
      </c>
      <c r="F1611" s="15">
        <f>IF(A1616=A1617,_xll.ciqfunctions.udf.CIQ(A1608,"IQ_DILUT_EPS_EXCL",IQ_FY-7), _xll.ciqfunctions.udf.CIQ(A1608, "IQ_DILUT_EPS_EXCL",IQ_FY-6))</f>
        <v>0</v>
      </c>
      <c r="G1611" s="15">
        <f>IF(A1616=A1617,_xll.ciqfunctions.udf.CIQ(A1608,"IQ_EBITDA_MARGIN",IQ_FY-7), _xll.ciqfunctions.udf.CIQ(A1608, "IQ_EBITDA_MARGIN",IQ_FY-6))</f>
        <v>0</v>
      </c>
      <c r="H1611" s="15" t="e">
        <f>IF(A1616=A1617,_xll.ciqfunctions.udf.CIQ(A1608,"IQ_TOTAL_DIV_PAID_CF",IQ_FY-7)/-I1611, _xll.ciqfunctions.udf.CIQ(A1608, "IQ_TOTAL_DIV_PAID_CF",IQ_FY-6)/-I1611)</f>
        <v>#DIV/0!</v>
      </c>
      <c r="I1611" s="17">
        <f>IF(A1616=A1617,_xll.ciqfunctions.udf.CIQ(A1608,"IQ_TOTAL_OUTSTANDING_FILING_DATE",IQ_FY-7), _xll.ciqfunctions.udf.CIQ(A1608, "IQ_TOTAL_OUTSTANDING_FILING_DATE",IQ_FY-6))</f>
        <v>0</v>
      </c>
      <c r="J1611" s="17">
        <f>IF(A1616=A1617,_xll.ciqfunctions.udf.CIQ(A1608,"IQ_CASH_OPER",IQ_FY-7), _xll.ciqfunctions.udf.CIQ(A1608, "IQ_CASH_OPER",IQ_FY-6))</f>
        <v>0</v>
      </c>
      <c r="K1611" s="17">
        <f>IF(A1616=A1617,_xll.ciqfunctions.udf.CIQ(A1608,"IQ_CAPEX",IQ_FY-7), _xll.ciqfunctions.udf.CIQ(A1608, "IQ_CAPEX",IQ_FY-6))</f>
        <v>0</v>
      </c>
      <c r="L1611" s="15" t="e">
        <f t="shared" si="428"/>
        <v>#DIV/0!</v>
      </c>
      <c r="M1611" s="17">
        <f>IF(A1616=A1617,_xll.ciqfunctions.udf.CIQ(A1608,"IQ_TOTAL_DEBT_ISSUED",IQ_FY-7), _xll.ciqfunctions.udf.CIQ(A1608, "IQ_TOTAL_DEBT_ISSUED",IQ_FY-6))</f>
        <v>0</v>
      </c>
      <c r="N1611" s="17">
        <f>IF(A1616=A1617,_xll.ciqfunctions.udf.CIQ(A1608,"IQ_TOTAL_DEBT_REPAID",IQ_FY-7), _xll.ciqfunctions.udf.CIQ(A1608, "IQ_TOTAL_DEBT_REPAID",IQ_FY-6))</f>
        <v>0</v>
      </c>
      <c r="O1611" s="15" t="e">
        <f t="shared" si="429"/>
        <v>#DIV/0!</v>
      </c>
      <c r="P1611" s="15" t="e">
        <f t="shared" si="430"/>
        <v>#DIV/0!</v>
      </c>
      <c r="Q1611" s="25" t="s">
        <v>23</v>
      </c>
      <c r="R1611" s="38" t="s">
        <v>24</v>
      </c>
      <c r="S1611" s="1" t="e">
        <f>R1607/(AVERAGE(H1613:H1618)*(1+H1619)/(0.5-H1619))</f>
        <v>#DIV/0!</v>
      </c>
      <c r="U1611" s="25" t="s">
        <v>40</v>
      </c>
      <c r="V1611" s="38" t="s">
        <v>24</v>
      </c>
      <c r="W1611" s="1" t="e">
        <f>V1607/(AVERAGE(H1613:H1618)*(1+H1619)/(0.5-H1619))</f>
        <v>#DIV/0!</v>
      </c>
      <c r="Y1611" s="25" t="s">
        <v>47</v>
      </c>
      <c r="Z1611" s="38" t="s">
        <v>24</v>
      </c>
      <c r="AA1611" s="1" t="e">
        <f>Z1607/(AVERAGE(H1613:H1618)*(1+H1619)/(0.5-H1619))</f>
        <v>#DIV/0!</v>
      </c>
    </row>
    <row r="1612" spans="1:27">
      <c r="B1612" s="13">
        <v>5</v>
      </c>
      <c r="C1612" s="14" t="s">
        <v>25</v>
      </c>
      <c r="D1612" s="15" t="e" cm="1">
        <f t="array" ref="D1612">_xlfn.SINGLE(IF(A1616=A1617,_xll.ciqfunctions.udf.CIQ(A1608,"IQ_TOTAL_REV",IQ_FY-6)/I1612, _xll.ciqfunctions.udf.CIQ(A1608, "IQ_TOTAL_REV",IQ_FY-5)/I1612))</f>
        <v>#DIV/0!</v>
      </c>
      <c r="E1612" s="16" t="e">
        <f t="shared" si="431"/>
        <v>#DIV/0!</v>
      </c>
      <c r="F1612" s="15">
        <f>IF(A1616=A1617,_xll.ciqfunctions.udf.CIQ(A1608,"IQ_DILUT_EPS_EXCL",IQ_FY-6), _xll.ciqfunctions.udf.CIQ(A1608, "IQ_DILUT_EPS_EXCL",IQ_FY-5))</f>
        <v>0</v>
      </c>
      <c r="G1612" s="15">
        <f>IF(A1616=A1617,_xll.ciqfunctions.udf.CIQ(A1608,"IQ_EBITDA_MARGIN",IQ_FY-6), _xll.ciqfunctions.udf.CIQ(A1608, "IQ_EBITDA_MARGIN",IQ_FY-5))</f>
        <v>0</v>
      </c>
      <c r="H1612" s="15" t="e">
        <f>IF(A1616=A1617,_xll.ciqfunctions.udf.CIQ(A1608,"IQ_TOTAL_DIV_PAID_CF",IQ_FY-6)/-I1612, _xll.ciqfunctions.udf.CIQ(A1608, "IQ_TOTAL_DIV_PAID_CF",IQ_FY-5)/-I1612)</f>
        <v>#DIV/0!</v>
      </c>
      <c r="I1612" s="17">
        <f>IF(A1616=A1617,_xll.ciqfunctions.udf.CIQ(A1608,"IQ_TOTAL_OUTSTANDING_FILING_DATE",IQ_FY-6), _xll.ciqfunctions.udf.CIQ(A1608, "IQ_TOTAL_OUTSTANDING_FILING_DATE",IQ_FY-5))</f>
        <v>0</v>
      </c>
      <c r="J1612" s="17">
        <f>IF(A1616=A1617,_xll.ciqfunctions.udf.CIQ(A1608,"IQ_CASH_OPER",IQ_FY-6), _xll.ciqfunctions.udf.CIQ(A1608, "IQ_CASH_OPER",IQ_FY-5))</f>
        <v>0</v>
      </c>
      <c r="K1612" s="17">
        <f>IF(A1616=A1617,_xll.ciqfunctions.udf.CIQ(A1608,"IQ_CAPEX",IQ_FY-6), _xll.ciqfunctions.udf.CIQ(A1608, "IQ_CAPEX",IQ_FY-5))</f>
        <v>0</v>
      </c>
      <c r="L1612" s="15" t="e">
        <f t="shared" si="428"/>
        <v>#DIV/0!</v>
      </c>
      <c r="M1612" s="17">
        <f>IF(A1616=A1617,_xll.ciqfunctions.udf.CIQ(A1608,"IQ_TOTAL_DEBT_ISSUED",IQ_FY-6), _xll.ciqfunctions.udf.CIQ(A1608, "IQ_TOTAL_DEBT_ISSUED",IQ_FY-5))</f>
        <v>0</v>
      </c>
      <c r="N1612" s="17">
        <f>IF(A1616=A1617,_xll.ciqfunctions.udf.CIQ(A1608,"IQ_TOTAL_DEBT_REPAID",IQ_FY-6), _xll.ciqfunctions.udf.CIQ(A1608, "IQ_TOTAL_DEBT_REPAID",IQ_FY-5))</f>
        <v>0</v>
      </c>
      <c r="O1612" s="15" t="e">
        <f t="shared" si="429"/>
        <v>#DIV/0!</v>
      </c>
      <c r="P1612" s="15" t="e">
        <f t="shared" si="430"/>
        <v>#DIV/0!</v>
      </c>
      <c r="Q1612" s="18"/>
      <c r="R1612" s="38" t="s">
        <v>50</v>
      </c>
      <c r="S1612" s="3">
        <f>I1619</f>
        <v>0.12119018790520109</v>
      </c>
      <c r="U1612" s="18"/>
      <c r="V1612" s="38" t="s">
        <v>50</v>
      </c>
      <c r="W1612" s="3">
        <f>I1619</f>
        <v>0.12119018790520109</v>
      </c>
      <c r="Y1612" s="18"/>
      <c r="Z1612" s="38" t="s">
        <v>50</v>
      </c>
      <c r="AA1612" s="3">
        <f>I1619</f>
        <v>0.12119018790520109</v>
      </c>
    </row>
    <row r="1613" spans="1:27">
      <c r="B1613" s="13">
        <v>6</v>
      </c>
      <c r="C1613" s="14" t="s">
        <v>26</v>
      </c>
      <c r="D1613" s="15" cm="1">
        <f t="array" ref="D1613">_xlfn.SINGLE(IF(A1616=A1617,_xll.ciqfunctions.udf.CIQ(A1608,"IQ_TOTAL_REV",IQ_FY-5)/I1613, _xll.ciqfunctions.udf.CIQ(A1608, "IQ_TOTAL_REV",IQ_FY-4)/I1613))</f>
        <v>2.5502756423754458</v>
      </c>
      <c r="E1613" s="16" t="e">
        <f t="shared" si="431"/>
        <v>#DIV/0!</v>
      </c>
      <c r="F1613" s="15">
        <f>IF(A1616=A1617,_xll.ciqfunctions.udf.CIQ(A1608,"IQ_DILUT_EPS_EXCL",IQ_FY-5), _xll.ciqfunctions.udf.CIQ(A1608, "IQ_DILUT_EPS_EXCL",IQ_FY-4))</f>
        <v>-1.3717600000000001</v>
      </c>
      <c r="G1613" s="15">
        <f>IF(A1616=A1617,_xll.ciqfunctions.udf.CIQ(A1608,"IQ_EBITDA_MARGIN",IQ_FY-5), _xll.ciqfunctions.udf.CIQ(A1608, "IQ_EBITDA_MARGIN",IQ_FY-4))</f>
        <v>51.253999999999998</v>
      </c>
      <c r="H1613" s="15">
        <f>IF(A1616=A1617,_xll.ciqfunctions.udf.CIQ(A1608,"IQ_TOTAL_DIV_PAID_CF",IQ_FY-5)/-I1613, _xll.ciqfunctions.udf.CIQ(A1608, "IQ_TOTAL_DIV_PAID_CF",IQ_FY-4)/-I1613)</f>
        <v>0</v>
      </c>
      <c r="I1613" s="17">
        <f>IF(A1616=A1617,_xll.ciqfunctions.udf.CIQ(A1608,"IQ_TOTAL_OUTSTANDING_FILING_DATE",IQ_FY-5), _xll.ciqfunctions.udf.CIQ(A1608, "IQ_TOTAL_OUTSTANDING_FILING_DATE",IQ_FY-4))</f>
        <v>189.53362999999999</v>
      </c>
      <c r="J1613" s="17">
        <f>IF(A1616=A1617,_xll.ciqfunctions.udf.CIQ(A1608,"IQ_CASH_OPER",IQ_FY-5), _xll.ciqfunctions.udf.CIQ(A1608, "IQ_CASH_OPER",IQ_FY-4))</f>
        <v>139.03</v>
      </c>
      <c r="K1613" s="17">
        <f>IF(A1616=A1617,_xll.ciqfunctions.udf.CIQ(A1608,"IQ_CAPEX",IQ_FY-5), _xll.ciqfunctions.udf.CIQ(A1608, "IQ_CAPEX",IQ_FY-4))</f>
        <v>-1.399</v>
      </c>
      <c r="L1613" s="15">
        <f t="shared" si="428"/>
        <v>0.72615609166563211</v>
      </c>
      <c r="M1613" s="17">
        <f>IF(A1616=A1617,_xll.ciqfunctions.udf.CIQ(A1608,"IQ_TOTAL_DEBT_ISSUED",IQ_FY-5), _xll.ciqfunctions.udf.CIQ(A1608, "IQ_TOTAL_DEBT_ISSUED",IQ_FY-4))</f>
        <v>791.06200000000001</v>
      </c>
      <c r="N1613" s="17">
        <f>IF(A1616=A1617,_xll.ciqfunctions.udf.CIQ(A1608,"IQ_TOTAL_DEBT_REPAID",IQ_FY-5), _xll.ciqfunctions.udf.CIQ(A1608, "IQ_TOTAL_DEBT_REPAID",IQ_FY-4))</f>
        <v>-1188.93</v>
      </c>
      <c r="O1613" s="15">
        <f t="shared" si="429"/>
        <v>-2.0991947444894086</v>
      </c>
      <c r="P1613" s="15">
        <f t="shared" si="430"/>
        <v>-1.3730386528237766</v>
      </c>
      <c r="Q1613" s="25" t="s">
        <v>27</v>
      </c>
      <c r="R1613" s="38" t="s">
        <v>51</v>
      </c>
      <c r="S1613" s="4">
        <f>AVERAGE(F1613:F1618)/AVERAGE(D1613:D1618)</f>
        <v>-4.6620579194142593E-2</v>
      </c>
      <c r="U1613" s="25" t="s">
        <v>58</v>
      </c>
      <c r="V1613" s="38" t="s">
        <v>51</v>
      </c>
      <c r="W1613" s="4">
        <f>AVERAGE(F1613:F1618)/AVERAGE(D1613:D1618)</f>
        <v>-4.6620579194142593E-2</v>
      </c>
      <c r="Y1613" s="25" t="s">
        <v>56</v>
      </c>
      <c r="Z1613" s="38" t="s">
        <v>51</v>
      </c>
      <c r="AA1613" s="4">
        <f>AVERAGE(F1613:F1618)/AVERAGE(D1613:D1618)</f>
        <v>-4.6620579194142593E-2</v>
      </c>
    </row>
    <row r="1614" spans="1:27">
      <c r="A1614" s="18"/>
      <c r="B1614" s="13">
        <v>7</v>
      </c>
      <c r="C1614" s="14" t="s">
        <v>28</v>
      </c>
      <c r="D1614" s="15" cm="1">
        <f t="array" ref="D1614">_xlfn.SINGLE(IF(A1616=A1617,_xll.ciqfunctions.udf.CIQ(A1608,"IQ_TOTAL_REV",IQ_FY-4)/I1614, _xll.ciqfunctions.udf.CIQ(A1608, "IQ_TOTAL_REV",IQ_FY-3)/I1614))</f>
        <v>4.5154132996896053</v>
      </c>
      <c r="E1614" s="16">
        <f t="shared" si="431"/>
        <v>0.77055892494967271</v>
      </c>
      <c r="F1614" s="15">
        <f>IF(A1616=A1617,_xll.ciqfunctions.udf.CIQ(A1608,"IQ_DILUT_EPS_EXCL",IQ_FY-4), _xll.ciqfunctions.udf.CIQ(A1608, "IQ_DILUT_EPS_EXCL",IQ_FY-3))</f>
        <v>0.36052000000000001</v>
      </c>
      <c r="G1614" s="15">
        <f>IF(A1616=A1617,_xll.ciqfunctions.udf.CIQ(A1608,"IQ_EBITDA_MARGIN",IQ_FY-4), _xll.ciqfunctions.udf.CIQ(A1608, "IQ_EBITDA_MARGIN",IQ_FY-3))</f>
        <v>29.27</v>
      </c>
      <c r="H1614" s="15">
        <f>IF(A1616=A1617,_xll.ciqfunctions.udf.CIQ(A1608,"IQ_TOTAL_DIV_PAID_CF",IQ_FY-4)/-I1614, _xll.ciqfunctions.udf.CIQ(A1608, "IQ_TOTAL_DIV_PAID_CF",IQ_FY-3)/-I1614)</f>
        <v>0</v>
      </c>
      <c r="I1614" s="17">
        <f>IF(A1616=A1617,_xll.ciqfunctions.udf.CIQ(A1608,"IQ_TOTAL_OUTSTANDING_FILING_DATE",IQ_FY-4), _xll.ciqfunctions.udf.CIQ(A1608, "IQ_TOTAL_OUTSTANDING_FILING_DATE",IQ_FY-3))</f>
        <v>220.15791999999999</v>
      </c>
      <c r="J1614" s="17">
        <f>IF(A1616=A1617,_xll.ciqfunctions.udf.CIQ(A1608,"IQ_CASH_OPER",IQ_FY-4), _xll.ciqfunctions.udf.CIQ(A1608, "IQ_CASH_OPER",IQ_FY-3))</f>
        <v>198.46199999999999</v>
      </c>
      <c r="K1614" s="17">
        <f>IF(A1616=A1617,_xll.ciqfunctions.udf.CIQ(A1608,"IQ_CAPEX",IQ_FY-4), _xll.ciqfunctions.udf.CIQ(A1608, "IQ_CAPEX",IQ_FY-3))</f>
        <v>-3.3580000000000001</v>
      </c>
      <c r="L1614" s="15">
        <f t="shared" si="428"/>
        <v>0.88620023299638728</v>
      </c>
      <c r="M1614" s="17">
        <f>IF(A1616=A1617,_xll.ciqfunctions.udf.CIQ(A1608,"IQ_TOTAL_DEBT_ISSUED",IQ_FY-4), _xll.ciqfunctions.udf.CIQ(A1608, "IQ_TOTAL_DEBT_ISSUED",IQ_FY-3))</f>
        <v>388.85899999999998</v>
      </c>
      <c r="N1614" s="17">
        <f>IF(A1616=A1617,_xll.ciqfunctions.udf.CIQ(A1608,"IQ_TOTAL_DEBT_REPAID",IQ_FY-4), _xll.ciqfunctions.udf.CIQ(A1608, "IQ_TOTAL_DEBT_REPAID",IQ_FY-3))</f>
        <v>-16.870999999999999</v>
      </c>
      <c r="O1614" s="15">
        <f t="shared" si="429"/>
        <v>1.6896416899287567</v>
      </c>
      <c r="P1614" s="15">
        <f t="shared" si="430"/>
        <v>2.5758419229251439</v>
      </c>
      <c r="Q1614" s="18"/>
      <c r="R1614" s="38" t="s">
        <v>29</v>
      </c>
      <c r="S1614" s="4">
        <f>(AVERAGE(P1613:P1618)/_xlfn.STDEV.P(P1613:P1618))/(IF(A1616=A1617,(_xlfn.SINGLE(_xll.ciqfunctions.udf.CIQ(A1608,"IQ_total_assets",IQ_FY)) - _xlfn.SINGLE(_xll.ciqfunctions.udf.CIQ(A1608,"iq_gw_intan", IQ_FY)))/I1618, (_xlfn.SINGLE(_xll.ciqfunctions.udf.CIQ(A1608, "IQ_total_assets",IQ_LTM))-_xlfn.SINGLE(_xll.ciqfunctions.udf.CIQ(A1608,"iq_gw_intan",IQ_LTM)))/I1618))</f>
        <v>0.19349996773472178</v>
      </c>
      <c r="U1614" s="18"/>
      <c r="V1614" s="38" t="s">
        <v>29</v>
      </c>
      <c r="W1614" s="4">
        <f>(AVERAGE(P1613:P1618)/_xlfn.STDEV.P(P1613:P1618))/(IF(A1616=A1617,(_xlfn.SINGLE(_xll.ciqfunctions.udf.CIQ(A1608,"IQ_total_assets",IQ_FY)) - _xlfn.SINGLE(_xll.ciqfunctions.udf.CIQ(A1608,"iq_gw_intan", IQ_FY)))/I1618, (_xlfn.SINGLE(_xll.ciqfunctions.udf.CIQ(A1608, "IQ_total_assets",IQ_LTM))-_xlfn.SINGLE(_xll.ciqfunctions.udf.CIQ(A1608,"iq_gw_intan",IQ_LTM)))/I1618))</f>
        <v>0.19349996773472178</v>
      </c>
      <c r="Y1614" s="18"/>
      <c r="Z1614" s="38" t="s">
        <v>29</v>
      </c>
      <c r="AA1614" s="4">
        <f>(AVERAGE(P1613:P1618)/_xlfn.STDEV.P(P1613:P1618))/(IF(A1616=A1617,(_xlfn.SINGLE(_xll.ciqfunctions.udf.CIQ(A1608,"IQ_total_assets",IQ_FY)) - _xlfn.SINGLE(_xll.ciqfunctions.udf.CIQ(A1608,"iq_gw_intan", IQ_FY)))/I1618, (_xlfn.SINGLE(_xll.ciqfunctions.udf.CIQ(A1608, "IQ_total_assets",IQ_LTM))-_xlfn.SINGLE(_xll.ciqfunctions.udf.CIQ(A1608,"iq_gw_intan",IQ_LTM)))/I1618))</f>
        <v>0.19349996773472178</v>
      </c>
    </row>
    <row r="1615" spans="1:27">
      <c r="A1615" s="18"/>
      <c r="B1615" s="13">
        <v>8</v>
      </c>
      <c r="C1615" s="14" t="s">
        <v>30</v>
      </c>
      <c r="D1615" s="15" cm="1">
        <f t="array" ref="D1615">_xlfn.SINGLE(IF(A1616=A1617,_xll.ciqfunctions.udf.CIQ(A1608,"IQ_TOTAL_REV",IQ_FY-3)/I1615, _xll.ciqfunctions.udf.CIQ(A1608, "IQ_TOTAL_REV",IQ_FY-2)/I1615))</f>
        <v>6.4103984548807151</v>
      </c>
      <c r="E1615" s="16">
        <f t="shared" si="431"/>
        <v>0.41967036667969537</v>
      </c>
      <c r="F1615" s="15">
        <f>IF(A1616=A1617,_xll.ciqfunctions.udf.CIQ(A1608,"IQ_DILUT_EPS_EXCL",IQ_FY-3), _xll.ciqfunctions.udf.CIQ(A1608, "IQ_DILUT_EPS_EXCL",IQ_FY-2))</f>
        <v>-0.58243999999999996</v>
      </c>
      <c r="G1615" s="15">
        <f>IF(A1616=A1617,_xll.ciqfunctions.udf.CIQ(A1608,"IQ_EBITDA_MARGIN",IQ_FY-3), _xll.ciqfunctions.udf.CIQ(A1608, "IQ_EBITDA_MARGIN",IQ_FY-2))</f>
        <v>19.5627</v>
      </c>
      <c r="H1615" s="15">
        <f>IF(A1616=A1617,_xll.ciqfunctions.udf.CIQ(A1608,"IQ_TOTAL_DIV_PAID_CF",IQ_FY-3)/-I1615, _xll.ciqfunctions.udf.CIQ(A1608, "IQ_TOTAL_DIV_PAID_CF",IQ_FY-2)/-I1615)</f>
        <v>0</v>
      </c>
      <c r="I1615" s="17">
        <f>IF(A1616=A1617,_xll.ciqfunctions.udf.CIQ(A1608,"IQ_TOTAL_OUTSTANDING_FILING_DATE",IQ_FY-3), _xll.ciqfunctions.udf.CIQ(A1608, "IQ_TOTAL_OUTSTANDING_FILING_DATE",IQ_FY-2))</f>
        <v>226.36439999999999</v>
      </c>
      <c r="J1615" s="17">
        <f>IF(A1616=A1617,_xll.ciqfunctions.udf.CIQ(A1608,"IQ_CASH_OPER",IQ_FY-3), _xll.ciqfunctions.udf.CIQ(A1608, "IQ_CASH_OPER",IQ_FY-2))</f>
        <v>222.88300000000001</v>
      </c>
      <c r="K1615" s="17">
        <f>IF(A1616=A1617,_xll.ciqfunctions.udf.CIQ(A1608,"IQ_CAPEX",IQ_FY-3), _xll.ciqfunctions.udf.CIQ(A1608, "IQ_CAPEX",IQ_FY-2))</f>
        <v>-3.2410000000000001</v>
      </c>
      <c r="L1615" s="15">
        <f t="shared" si="428"/>
        <v>0.970302750785901</v>
      </c>
      <c r="M1615" s="17">
        <f>IF(A1616=A1617,_xll.ciqfunctions.udf.CIQ(A1608,"IQ_TOTAL_DEBT_ISSUED",IQ_FY-3), _xll.ciqfunctions.udf.CIQ(A1608, "IQ_TOTAL_DEBT_ISSUED",IQ_FY-2))</f>
        <v>481.27300000000002</v>
      </c>
      <c r="N1615" s="17">
        <f>IF(A1616=A1617,_xll.ciqfunctions.udf.CIQ(A1608,"IQ_TOTAL_DEBT_REPAID",IQ_FY-3), _xll.ciqfunctions.udf.CIQ(A1608, "IQ_TOTAL_DEBT_REPAID",IQ_FY-2))</f>
        <v>-74.003</v>
      </c>
      <c r="O1615" s="15">
        <f t="shared" si="429"/>
        <v>1.7991786694374206</v>
      </c>
      <c r="P1615" s="15">
        <f t="shared" si="430"/>
        <v>2.7694814202233218</v>
      </c>
      <c r="Q1615" s="18"/>
      <c r="R1615" s="39" t="s">
        <v>31</v>
      </c>
      <c r="S1615" s="5" t="e">
        <f>IF(NOT(D1608&gt;0),FALSE,SLOPE(G1608:G1618,B1608:B1618))</f>
        <v>#DIV/0!</v>
      </c>
      <c r="U1615" s="18"/>
      <c r="V1615" s="39" t="s">
        <v>31</v>
      </c>
      <c r="W1615" s="5" t="e">
        <f>IF(NOT(D1608&gt;0),FALSE,SLOPE(G1608:G1618,B1608:B1618))</f>
        <v>#DIV/0!</v>
      </c>
      <c r="Y1615" s="18"/>
      <c r="Z1615" s="39" t="s">
        <v>31</v>
      </c>
      <c r="AA1615" s="5" t="e">
        <f>IF(NOT(L1608&gt;0),FALSE,SLOPE(O1608:O1618,J1608:J1618))</f>
        <v>#DIV/0!</v>
      </c>
    </row>
    <row r="1616" spans="1:27">
      <c r="A1616" s="19">
        <f>_xll.ciqfunctions.udf.CIQ(A1608,"IQ_TOTAL_REV",IQ_FY)</f>
        <v>2817.058</v>
      </c>
      <c r="B1616" s="13">
        <v>9</v>
      </c>
      <c r="C1616" s="14" t="s">
        <v>32</v>
      </c>
      <c r="D1616" s="15" cm="1">
        <f t="array" ref="D1616">_xlfn.SINGLE(IF(A1616=A1617,_xll.ciqfunctions.udf.CIQ(A1608,"IQ_TOTAL_REV",IQ_FY-2)/I1616, _xll.ciqfunctions.udf.CIQ(A1608, "IQ_TOTAL_REV",IQ_FY-1)/I1616))</f>
        <v>7.4318966404022442</v>
      </c>
      <c r="E1616" s="16">
        <f t="shared" si="431"/>
        <v>0.1593501859067413</v>
      </c>
      <c r="F1616" s="15">
        <f>IF(A1616=A1617,_xll.ciqfunctions.udf.CIQ(A1608,"IQ_DILUT_EPS_EXCL",IQ_FY-2), _xll.ciqfunctions.udf.CIQ(A1608, "IQ_DILUT_EPS_EXCL",IQ_FY-1))</f>
        <v>9.3009999999999995E-2</v>
      </c>
      <c r="G1616" s="15">
        <f>IF(A1616=A1617,_xll.ciqfunctions.udf.CIQ(A1608,"IQ_EBITDA_MARGIN",IQ_FY-2), _xll.ciqfunctions.udf.CIQ(A1608, "IQ_EBITDA_MARGIN",IQ_FY-1))</f>
        <v>21.400400000000001</v>
      </c>
      <c r="H1616" s="15">
        <f>IF(A1616=A1617,_xll.ciqfunctions.udf.CIQ(A1608,"IQ_TOTAL_DIV_PAID_CF",IQ_FY-2)/-I1616, _xll.ciqfunctions.udf.CIQ(A1608, "IQ_TOTAL_DIV_PAID_CF",IQ_FY-1)/-I1616)</f>
        <v>0</v>
      </c>
      <c r="I1616" s="17">
        <f>IF(A1616=A1617,_xll.ciqfunctions.udf.CIQ(A1608,"IQ_TOTAL_OUTSTANDING_FILING_DATE",IQ_FY-2), _xll.ciqfunctions.udf.CIQ(A1608, "IQ_TOTAL_OUTSTANDING_FILING_DATE",IQ_FY-1))</f>
        <v>375.82654000000002</v>
      </c>
      <c r="J1616" s="17">
        <f>IF(A1616=A1617,_xll.ciqfunctions.udf.CIQ(A1608,"IQ_CASH_OPER",IQ_FY-2), _xll.ciqfunctions.udf.CIQ(A1608, "IQ_CASH_OPER",IQ_FY-1))</f>
        <v>361.851</v>
      </c>
      <c r="K1616" s="17">
        <f>IF(A1616=A1617,_xll.ciqfunctions.udf.CIQ(A1608,"IQ_CAPEX",IQ_FY-2), _xll.ciqfunctions.udf.CIQ(A1608, "IQ_CAPEX",IQ_FY-1))</f>
        <v>-1.39</v>
      </c>
      <c r="L1616" s="15">
        <f t="shared" si="428"/>
        <v>0.95911534081653727</v>
      </c>
      <c r="M1616" s="17">
        <f>IF(A1616=A1617,_xll.ciqfunctions.udf.CIQ(A1608,"IQ_TOTAL_DEBT_ISSUED",IQ_FY-2), _xll.ciqfunctions.udf.CIQ(A1608, "IQ_TOTAL_DEBT_ISSUED",IQ_FY-1))</f>
        <v>2329.0590000000002</v>
      </c>
      <c r="N1616" s="17">
        <f>IF(A1616=A1617,_xll.ciqfunctions.udf.CIQ(A1608,"IQ_TOTAL_DEBT_REPAID",IQ_FY-2), _xll.ciqfunctions.udf.CIQ(A1608, "IQ_TOTAL_DEBT_REPAID",IQ_FY-1))</f>
        <v>-746.73599999999999</v>
      </c>
      <c r="O1616" s="15">
        <f t="shared" si="429"/>
        <v>4.2102481639535094</v>
      </c>
      <c r="P1616" s="15">
        <f t="shared" si="430"/>
        <v>5.1693635047700468</v>
      </c>
      <c r="Q1616" s="25" t="s">
        <v>33</v>
      </c>
      <c r="R1616" s="38" t="s">
        <v>52</v>
      </c>
      <c r="S1616" s="4">
        <f>(AVERAGE(O1613:O1618)/AVERAGE(P1613:P1618))</f>
        <v>0.41270881770064516</v>
      </c>
      <c r="U1616" s="25" t="s">
        <v>54</v>
      </c>
      <c r="V1616" s="38" t="s">
        <v>52</v>
      </c>
      <c r="W1616" s="4">
        <f>(AVERAGE(O1613:O1618)/AVERAGE(P1613:P1618))</f>
        <v>0.41270881770064516</v>
      </c>
      <c r="Y1616" s="25" t="s">
        <v>60</v>
      </c>
      <c r="Z1616" s="38" t="s">
        <v>52</v>
      </c>
      <c r="AA1616" s="4">
        <f>(AVERAGE(O1613:O1618)/AVERAGE(P1613:P1618))</f>
        <v>0.41270881770064516</v>
      </c>
    </row>
    <row r="1617" spans="1:27">
      <c r="A1617" s="19">
        <f>_xll.ciqfunctions.udf.CIQ(A1608,"IQ_TOTAL_REV",IQ_LTM)</f>
        <v>3032.1329999999998</v>
      </c>
      <c r="B1617" s="13">
        <v>10</v>
      </c>
      <c r="C1617" s="14" t="s">
        <v>34</v>
      </c>
      <c r="D1617" s="15" cm="1">
        <f t="array" ref="D1617">_xlfn.SINGLE(IF(A1616=A1617,_xll.ciqfunctions.udf.CIQ(A1608,"IQ_TOTAL_REV",IQ_FY-1)/I1617, _xll.ciqfunctions.udf.CIQ(A1608, "IQ_TOTAL_REV",IQ_FY)/I1617))</f>
        <v>7.4841495776789584</v>
      </c>
      <c r="E1617" s="16">
        <f t="shared" si="431"/>
        <v>7.0309020435846735E-3</v>
      </c>
      <c r="F1617" s="15">
        <f>IF(A1616=A1617,_xll.ciqfunctions.udf.CIQ(A1608,"IQ_DILUT_EPS_EXCL",IQ_FY-1), _xll.ciqfunctions.udf.CIQ(A1608, "IQ_DILUT_EPS_EXCL",IQ_FY))</f>
        <v>-0.52</v>
      </c>
      <c r="G1617" s="15">
        <f>IF(A1616=A1617,_xll.ciqfunctions.udf.CIQ(A1608,"IQ_EBITDA_MARGIN",IQ_FY-1), _xll.ciqfunctions.udf.CIQ(A1608, "IQ_EBITDA_MARGIN",IQ_FY))</f>
        <v>20.609100000000002</v>
      </c>
      <c r="H1617" s="15">
        <f>IF(A1616=A1617,_xll.ciqfunctions.udf.CIQ(A1608,"IQ_TOTAL_DIV_PAID_CF",IQ_FY-1)/-I1617, _xll.ciqfunctions.udf.CIQ(A1608, "IQ_TOTAL_DIV_PAID_CF",IQ_FY)/-I1617)</f>
        <v>0</v>
      </c>
      <c r="I1617" s="17">
        <f>IF(A1616=A1617,_xll.ciqfunctions.udf.CIQ(A1608,"IQ_TOTAL_OUTSTANDING_FILING_DATE",IQ_FY-1), _xll.ciqfunctions.udf.CIQ(A1608, "IQ_TOTAL_OUTSTANDING_FILING_DATE",IQ_FY))</f>
        <v>376.40321999999998</v>
      </c>
      <c r="J1617" s="17">
        <f>IF(A1616=A1617,_xll.ciqfunctions.udf.CIQ(A1608,"IQ_CASH_OPER",IQ_FY-1), _xll.ciqfunctions.udf.CIQ(A1608, "IQ_CASH_OPER",IQ_FY))</f>
        <v>412.77300000000002</v>
      </c>
      <c r="K1617" s="17">
        <f>IF(A1616=A1617,_xll.ciqfunctions.udf.CIQ(A1608,"IQ_CAPEX",IQ_FY-1), _xll.ciqfunctions.udf.CIQ(A1608, "IQ_CAPEX",IQ_FY))</f>
        <v>-0.66200000000000003</v>
      </c>
      <c r="L1617" s="15">
        <f t="shared" si="428"/>
        <v>1.0948657665574701</v>
      </c>
      <c r="M1617" s="17">
        <f>IF(A1616=A1617,_xll.ciqfunctions.udf.CIQ(A1608,"IQ_TOTAL_DEBT_ISSUED",IQ_FY-1), _xll.ciqfunctions.udf.CIQ(A1608, "IQ_TOTAL_DEBT_ISSUED",IQ_FY))</f>
        <v>0</v>
      </c>
      <c r="N1617" s="17">
        <f>IF(A1616=A1617,_xll.ciqfunctions.udf.CIQ(A1608,"IQ_TOTAL_DEBT_REPAID",IQ_FY-1), _xll.ciqfunctions.udf.CIQ(A1608, "IQ_TOTAL_DEBT_REPAID",IQ_FY))</f>
        <v>-49.893000000000001</v>
      </c>
      <c r="O1617" s="15">
        <f t="shared" si="429"/>
        <v>-0.13255200101635689</v>
      </c>
      <c r="P1617" s="15">
        <f t="shared" si="430"/>
        <v>0.96231376554111325</v>
      </c>
      <c r="Q1617" s="25" t="s">
        <v>44</v>
      </c>
      <c r="R1617" s="38" t="s">
        <v>35</v>
      </c>
      <c r="S1617" s="1">
        <f>_xll.ciqfunctions.udf.CIQ(A1608,"IQ_TEV_EBITDA")</f>
        <v>18.05827</v>
      </c>
      <c r="U1617" s="25" t="s">
        <v>55</v>
      </c>
      <c r="V1617" s="38" t="s">
        <v>53</v>
      </c>
      <c r="W1617" s="1" t="e">
        <f>V1607/(AVERAGE(D1613:D1618)/_xlfn.STDEV.P(E1613:E1618))</f>
        <v>#DIV/0!</v>
      </c>
      <c r="Y1617" s="25" t="s">
        <v>57</v>
      </c>
      <c r="Z1617" s="38" t="s">
        <v>53</v>
      </c>
      <c r="AA1617" s="1" t="e">
        <f>Z1607/(AVERAGE(D1613:D1618)/_xlfn.STDEV.P(E1613:E1618))</f>
        <v>#DIV/0!</v>
      </c>
    </row>
    <row r="1618" spans="1:27">
      <c r="B1618" s="13">
        <v>11</v>
      </c>
      <c r="C1618" s="20" t="s">
        <v>36</v>
      </c>
      <c r="D1618" s="21" cm="1">
        <f t="array" ref="D1618">_xlfn.SINGLE(IF(A1616=A1617,_xll.ciqfunctions.udf.CIQ(A1608,"IQ_TOTAL_REV",IQ_FY)/I1618, _xll.ciqfunctions.udf.CIQ(A1608, "IQ_TOTAL_REV",IQ_LTM)/I1618))</f>
        <v>9.0295378904869317</v>
      </c>
      <c r="E1618" s="22">
        <f t="shared" si="431"/>
        <v>0.20648816499031555</v>
      </c>
      <c r="F1618" s="21">
        <f>IF(A1616=A1617,_xll.ciqfunctions.udf.CIQ(A1608,"IQ_DILUT_EPS_EXCL",IQ_FY), _xll.ciqfunctions.udf.CIQ(A1608, "IQ_DILUT_EPS_EXCL",IQ_LTM))</f>
        <v>0.27605000000000002</v>
      </c>
      <c r="G1618" s="21">
        <f>IF(A1616=A1617,_xll.ciqfunctions.udf.CIQ(A1608,"IQ_EBITDA_MARGIN",IQ_FY), _xll.ciqfunctions.udf.CIQ(A1608, "IQ_EBITDA_MARGIN",IQ_LTM))</f>
        <v>29.318000000000001</v>
      </c>
      <c r="H1618" s="21">
        <f>IF(A1616=A1617,_xll.ciqfunctions.udf.CIQ(A1608,"IQ_TOTAL_DIV_PAID_CF",IQ_FY)/-I1618, _xll.ciqfunctions.udf.CIQ(A1608, "IQ_TOTAL_DIV_PAID_CF",IQ_LTM)/-I1618)</f>
        <v>0</v>
      </c>
      <c r="I1618" s="23">
        <f>IF(A1616=A1617,_xll.ciqfunctions.udf.CIQ(A1608,"IQ_TOTAL_OUTSTANDING_FILING_DATE",IQ_FY),_xll.ciqfunctions.udf.CIQ(A1608,"IQ_sharesoutstanding"))</f>
        <v>335.80157000000003</v>
      </c>
      <c r="J1618" s="23">
        <f>IF(A1616=A1617,_xll.ciqfunctions.udf.CIQ(A1608,"IQ_CASH_OPER",IQ_FY), _xll.ciqfunctions.udf.CIQ(A1608, "IQ_CASH_OPER",IQ_LTM))</f>
        <v>880.721</v>
      </c>
      <c r="K1618" s="23">
        <f>IF(A1616=A1617,_xll.ciqfunctions.udf.CIQ(A1608,"IQ_CAPEX",IQ_FY), _xll.ciqfunctions.udf.CIQ(A1608, "IQ_CAPEX",IQ_LTM))</f>
        <v>-4.0430000000000001</v>
      </c>
      <c r="L1618" s="21">
        <f t="shared" si="428"/>
        <v>2.6107025050538026</v>
      </c>
      <c r="M1618" s="23">
        <f>IF(A1616=A1617,_xll.ciqfunctions.udf.CIQ(A1608,"IQ_TOTAL_DEBT_ISSUED",IQ_FY), _xll.ciqfunctions.udf.CIQ(A1608, "IQ_TOTAL_DEBT_ISSUED",IQ_LTM))</f>
        <v>395.28100000000001</v>
      </c>
      <c r="N1618" s="23">
        <f>IF(A1616=A1617,_xll.ciqfunctions.udf.CIQ(A1608,"IQ_TOTAL_DEBT_REPAID",IQ_FY), _xll.ciqfunctions.udf.CIQ(A1608, "IQ_TOTAL_DEBT_REPAID",IQ_LTM))</f>
        <v>-520.99699999999996</v>
      </c>
      <c r="O1618" s="21">
        <f t="shared" si="429"/>
        <v>-0.37437585536005669</v>
      </c>
      <c r="P1618" s="21">
        <f t="shared" si="430"/>
        <v>2.2363266496937459</v>
      </c>
      <c r="Q1618" s="25" t="s">
        <v>45</v>
      </c>
      <c r="S1618" s="45"/>
      <c r="U1618" s="25"/>
      <c r="W1618" s="45"/>
      <c r="Y1618" s="25"/>
      <c r="AA1618" s="45"/>
    </row>
    <row r="1619" spans="1:27">
      <c r="B1619" s="24"/>
      <c r="C1619" s="25" t="s">
        <v>37</v>
      </c>
      <c r="E1619" s="26">
        <f>((D1618/D1613)^(1/5))-1</f>
        <v>0.28770291956311245</v>
      </c>
      <c r="F1619" s="27">
        <f>((F1618/F1613)^(1/5))-1</f>
        <v>-1.7256746018660474</v>
      </c>
      <c r="G1619" s="28"/>
      <c r="H1619" s="27" t="e">
        <f>((H1618/H1613)^(1/5))-1</f>
        <v>#DIV/0!</v>
      </c>
      <c r="I1619" s="27">
        <f>((I1618/I1613)^(1/5))-1</f>
        <v>0.12119018790520109</v>
      </c>
      <c r="J1619" s="27"/>
      <c r="K1619" s="27"/>
      <c r="L1619" s="26">
        <f>((L1618/L1613)^(1/5))-1</f>
        <v>0.2916518793454741</v>
      </c>
      <c r="M1619" s="26"/>
      <c r="N1619" s="26"/>
      <c r="O1619" s="26"/>
      <c r="P1619" s="26">
        <f>((P1618/P1613)^(1/5))-1</f>
        <v>-2.1024794299831386</v>
      </c>
      <c r="Q1619" s="18"/>
      <c r="R1619" s="36"/>
      <c r="S1619" s="45"/>
      <c r="U1619" s="18"/>
      <c r="V1619" s="36"/>
      <c r="W1619" s="45"/>
      <c r="Y1619" s="18"/>
      <c r="Z1619" s="36"/>
      <c r="AA1619" s="45"/>
    </row>
    <row r="1620" spans="1:27">
      <c r="A1620" s="29"/>
      <c r="B1620" s="30"/>
      <c r="C1620" s="31" t="s">
        <v>38</v>
      </c>
      <c r="D1620" s="29"/>
      <c r="E1620" s="32" t="e">
        <f>((D1618/D1608)^(1/10))-1</f>
        <v>#DIV/0!</v>
      </c>
      <c r="F1620" s="33" t="e">
        <f>((F1618/F1608)^(1/10))-1</f>
        <v>#DIV/0!</v>
      </c>
      <c r="G1620" s="34"/>
      <c r="H1620" s="33" t="e">
        <f>((H1618/H1608)^(1/10))-1</f>
        <v>#DIV/0!</v>
      </c>
      <c r="I1620" s="33" t="e">
        <f>((I1618/I1608)^(1/10))-1</f>
        <v>#DIV/0!</v>
      </c>
      <c r="J1620" s="33"/>
      <c r="K1620" s="33"/>
      <c r="L1620" s="32" t="e">
        <f>((L1618/L1608)^(1/10))-1</f>
        <v>#DIV/0!</v>
      </c>
      <c r="M1620" s="32"/>
      <c r="N1620" s="32"/>
      <c r="O1620" s="32"/>
      <c r="P1620" s="32" t="e">
        <f>((P1618/P1608)^(1/10))-1</f>
        <v>#DIV/0!</v>
      </c>
      <c r="Q1620" s="40"/>
      <c r="R1620" s="41"/>
      <c r="S1620" s="46"/>
      <c r="U1620" s="40"/>
      <c r="V1620" s="41"/>
      <c r="W1620" s="46"/>
      <c r="Y1620" s="40"/>
      <c r="Z1620" s="41"/>
      <c r="AA1620" s="46"/>
    </row>
    <row r="1621" spans="1:27">
      <c r="B1621" s="24"/>
      <c r="C1621" s="25"/>
      <c r="E1621" s="26"/>
      <c r="F1621" s="27"/>
      <c r="G1621" s="28"/>
      <c r="H1621" s="27"/>
      <c r="I1621" s="27"/>
      <c r="J1621" s="27"/>
      <c r="K1621" s="27"/>
      <c r="L1621" s="26"/>
      <c r="M1621" s="17"/>
      <c r="N1621" s="17"/>
      <c r="O1621" s="17"/>
      <c r="P1621" s="35"/>
      <c r="Q1621" s="18"/>
      <c r="R1621" s="36"/>
    </row>
    <row r="1622" spans="1:27">
      <c r="A1622" s="9" t="s">
        <v>0</v>
      </c>
      <c r="B1622" s="10"/>
      <c r="C1622" s="9" t="s">
        <v>1</v>
      </c>
      <c r="D1622" s="9" t="s">
        <v>2</v>
      </c>
      <c r="E1622" s="9" t="s">
        <v>3</v>
      </c>
      <c r="F1622" s="11" t="s">
        <v>4</v>
      </c>
      <c r="G1622" s="11" t="s">
        <v>5</v>
      </c>
      <c r="H1622" s="9" t="s">
        <v>6</v>
      </c>
      <c r="I1622" s="11" t="s">
        <v>7</v>
      </c>
      <c r="J1622" s="11" t="s">
        <v>8</v>
      </c>
      <c r="K1622" s="11" t="s">
        <v>9</v>
      </c>
      <c r="L1622" s="11" t="s">
        <v>10</v>
      </c>
      <c r="M1622" s="11" t="s">
        <v>11</v>
      </c>
      <c r="N1622" s="11" t="s">
        <v>12</v>
      </c>
      <c r="O1622" s="11" t="s">
        <v>13</v>
      </c>
      <c r="P1622" s="11" t="s">
        <v>14</v>
      </c>
      <c r="Q1622" s="37" t="s">
        <v>15</v>
      </c>
      <c r="R1622" s="42">
        <f>_xll.ciqfunctions.udf.CIQ(A1623,("IQ_LASTSALEPRICE"))</f>
        <v>97.995000000000005</v>
      </c>
      <c r="S1622" s="44"/>
      <c r="U1622" s="37" t="s">
        <v>15</v>
      </c>
      <c r="V1622" s="42">
        <f>_xll.ciqfunctions.udf.CIQ(A1623,("IQ_LASTSALEPRICE"))</f>
        <v>97.995000000000005</v>
      </c>
      <c r="W1622" s="44"/>
      <c r="Y1622" s="37" t="s">
        <v>15</v>
      </c>
      <c r="Z1622" s="42">
        <f>_xll.ciqfunctions.udf.CIQ(A1623,("IQ_LASTSALEPRICE"))</f>
        <v>97.995000000000005</v>
      </c>
      <c r="AA1622" s="44"/>
    </row>
    <row r="1623" spans="1:27">
      <c r="A1623" s="12" t="str">
        <f>Analysis!B110</f>
        <v>NYSE:GWRE</v>
      </c>
      <c r="B1623" s="13">
        <v>1</v>
      </c>
      <c r="C1623" s="14" t="s">
        <v>16</v>
      </c>
      <c r="D1623" s="15">
        <f>IF(A1631=A1632,_xll.ciqfunctions.udf.CIQ(A1623,"IQ_TOTAL_REV",IQ_FY-10)/I1623,_xll.ciqfunctions.udf.CIQ(A1623, "IQ_TOTAL_REV",IQ_FY-9)/I1623)</f>
        <v>5.1886489620941738</v>
      </c>
      <c r="E1623" s="16"/>
      <c r="F1623" s="15">
        <f>IF(A1631=A1632,_xll.ciqfunctions.udf.CIQ(A1623,"IQ_DILUT_EPS_EXCL",IQ_FY-10), _xll.ciqfunctions.udf.CIQ(A1623, "IQ_DILUT_EPS_EXCL",IQ_FY-9))</f>
        <v>0.4</v>
      </c>
      <c r="G1623" s="15">
        <f>IF(A1631=A1632,_xll.ciqfunctions.udf.CIQ(A1623,"IQ_EBITDA_MARGIN",IQ_FY-10), _xll.ciqfunctions.udf.CIQ(A1623, "IQ_EBITDA_MARGIN",IQ_FY-9))</f>
        <v>11.395300000000001</v>
      </c>
      <c r="H1623" s="15">
        <f>IF(A1631=A1632,_xll.ciqfunctions.udf.CIQ(A1623,"IQ_TOTAL_DIV_PAID_CF",IQ_FY-10)/-I1623, _xll.ciqfunctions.udf.CIQ(A1623, "IQ_TOTAL_DIV_PAID_CF",IQ_FY-9)/-I1623)</f>
        <v>0</v>
      </c>
      <c r="I1623" s="17">
        <f>IF(A1631=A1632,_xll.ciqfunctions.udf.CIQ(A1623,"IQ_TOTAL_OUTSTANDING_FILING_DATE",IQ_FY-10), _xll.ciqfunctions.udf.CIQ(A1623, "IQ_TOTAL_OUTSTANDING_FILING_DATE",IQ_FY-9))</f>
        <v>57.943600000000004</v>
      </c>
      <c r="J1623" s="17">
        <f>IF(A1631=A1632,_xll.ciqfunctions.udf.CIQ(A1623,"IQ_CASH_OPER",IQ_FY-10), _xll.ciqfunctions.udf.CIQ(A1623, "IQ_CASH_OPER",IQ_FY-9))</f>
        <v>32.546999999999997</v>
      </c>
      <c r="K1623" s="17">
        <f>IF(A1631=A1632,_xll.ciqfunctions.udf.CIQ(A1623,"IQ_CAPEX",IQ_FY-10), _xll.ciqfunctions.udf.CIQ(A1623, "IQ_CAPEX",IQ_FY-9))</f>
        <v>-9.2279999999999998</v>
      </c>
      <c r="L1623" s="15">
        <f t="shared" ref="L1623:L1633" si="432">(J1623+K1623)/I1623</f>
        <v>0.40244306532559238</v>
      </c>
      <c r="M1623" s="17">
        <f>IF(A1631=A1632,_xll.ciqfunctions.udf.CIQ(A1623,"IQ_TOTAL_DEBT_ISSUED",IQ_FY-10), _xll.ciqfunctions.udf.CIQ(A1623, "IQ_TOTAL_DEBT_ISSUED",IQ_FY-9))</f>
        <v>0</v>
      </c>
      <c r="N1623" s="17">
        <f>IF(A1631=A1632,_xll.ciqfunctions.udf.CIQ(A1623,"IQ_TOTAL_DEBT_REPAID",IQ_FY-10), _xll.ciqfunctions.udf.CIQ(A1623, "IQ_TOTAL_DEBT_REPAID",IQ_FY-9))</f>
        <v>0</v>
      </c>
      <c r="O1623" s="15">
        <f t="shared" ref="O1623:O1633" si="433">(M1623+N1623)/I1623</f>
        <v>0</v>
      </c>
      <c r="P1623" s="15">
        <f t="shared" ref="P1623:P1633" si="434">L1623+O1623</f>
        <v>0.40244306532559238</v>
      </c>
      <c r="W1623" s="43"/>
      <c r="AA1623" s="43"/>
    </row>
    <row r="1624" spans="1:27">
      <c r="A1624" s="18" t="str">
        <f>_xll.ciqfunctions.udf.CIQ(A1623,"IQ_COMPANY_NAME")</f>
        <v>Guidewire Software, Inc.</v>
      </c>
      <c r="B1624" s="13">
        <v>2</v>
      </c>
      <c r="C1624" s="14" t="s">
        <v>17</v>
      </c>
      <c r="D1624" s="15">
        <f>IF(A1631=A1632,_xll.ciqfunctions.udf.CIQ(A1623,"IQ_TOTAL_REV",IQ_FY-9)/I1624, _xll.ciqfunctions.udf.CIQ(A1623, "IQ_TOTAL_REV",IQ_FY-8)/I1624)</f>
        <v>5.0673286026151905</v>
      </c>
      <c r="E1624" s="16">
        <f t="shared" ref="E1624:E1633" si="435">(D1624-D1623)/D1623</f>
        <v>-2.3381878474588041E-2</v>
      </c>
      <c r="F1624" s="15">
        <f>IF(A1631=A1632,_xll.ciqfunctions.udf.CIQ(A1623,"IQ_DILUT_EPS_EXCL",IQ_FY-9), _xll.ciqfunctions.udf.CIQ(A1623, "IQ_DILUT_EPS_EXCL",IQ_FY-8))</f>
        <v>0.21</v>
      </c>
      <c r="G1624" s="15">
        <f>IF(A1631=A1632,_xll.ciqfunctions.udf.CIQ(A1623,"IQ_EBITDA_MARGIN",IQ_FY-9), _xll.ciqfunctions.udf.CIQ(A1623, "IQ_EBITDA_MARGIN",IQ_FY-8))</f>
        <v>6.7874999999999996</v>
      </c>
      <c r="H1624" s="15">
        <f>IF(A1631=A1632,_xll.ciqfunctions.udf.CIQ(A1623,"IQ_TOTAL_DIV_PAID_CF",IQ_FY-9)/-I1624, _xll.ciqfunctions.udf.CIQ(A1623, "IQ_TOTAL_DIV_PAID_CF",IQ_FY-8)/-I1624)</f>
        <v>0</v>
      </c>
      <c r="I1624" s="17">
        <f>IF(A1631=A1632,_xll.ciqfunctions.udf.CIQ(A1623,"IQ_TOTAL_OUTSTANDING_FILING_DATE",IQ_FY-9), _xll.ciqfunctions.udf.CIQ(A1623, "IQ_TOTAL_OUTSTANDING_FILING_DATE",IQ_FY-8))</f>
        <v>69.118470000000002</v>
      </c>
      <c r="J1624" s="17">
        <f>IF(A1631=A1632,_xll.ciqfunctions.udf.CIQ(A1623,"IQ_CASH_OPER",IQ_FY-9), _xll.ciqfunctions.udf.CIQ(A1623, "IQ_CASH_OPER",IQ_FY-8))</f>
        <v>75.491</v>
      </c>
      <c r="K1624" s="17">
        <f>IF(A1631=A1632,_xll.ciqfunctions.udf.CIQ(A1623,"IQ_CAPEX",IQ_FY-9), _xll.ciqfunctions.udf.CIQ(A1623, "IQ_CAPEX",IQ_FY-8))</f>
        <v>-4.9930000000000003</v>
      </c>
      <c r="L1624" s="15">
        <f t="shared" si="432"/>
        <v>1.0199589198082655</v>
      </c>
      <c r="M1624" s="17">
        <f>IF(A1631=A1632,_xll.ciqfunctions.udf.CIQ(A1623,"IQ_TOTAL_DEBT_ISSUED",IQ_FY-9), _xll.ciqfunctions.udf.CIQ(A1623, "IQ_TOTAL_DEBT_ISSUED",IQ_FY-8))</f>
        <v>0</v>
      </c>
      <c r="N1624" s="17">
        <f>IF(A1631=A1632,_xll.ciqfunctions.udf.CIQ(A1623,"IQ_TOTAL_DEBT_REPAID",IQ_FY-9), _xll.ciqfunctions.udf.CIQ(A1623, "IQ_TOTAL_DEBT_REPAID",IQ_FY-8))</f>
        <v>0</v>
      </c>
      <c r="O1624" s="15">
        <f t="shared" si="433"/>
        <v>0</v>
      </c>
      <c r="P1624" s="15">
        <f t="shared" si="434"/>
        <v>1.0199589198082655</v>
      </c>
      <c r="Q1624" s="25" t="s">
        <v>18</v>
      </c>
      <c r="R1624" s="39" t="s">
        <v>19</v>
      </c>
      <c r="S1624" s="1">
        <f>R1622/((AVERAGE(P1628:P1633))*(1+E1634)^3)</f>
        <v>52.029139204763268</v>
      </c>
      <c r="U1624" s="25" t="s">
        <v>48</v>
      </c>
      <c r="V1624" s="39" t="s">
        <v>19</v>
      </c>
      <c r="W1624" s="1">
        <f>V1622/((AVERAGE(P1628:P1633))*(1+E1634)^3)</f>
        <v>52.029139204763268</v>
      </c>
      <c r="Y1624" s="25" t="s">
        <v>39</v>
      </c>
      <c r="Z1624" s="39" t="s">
        <v>19</v>
      </c>
      <c r="AA1624" s="1">
        <f>Z1622/((AVERAGE(P1628:P1633))*(1+E1634)^3)</f>
        <v>52.029139204763268</v>
      </c>
    </row>
    <row r="1625" spans="1:27">
      <c r="B1625" s="13">
        <v>3</v>
      </c>
      <c r="C1625" s="14" t="s">
        <v>20</v>
      </c>
      <c r="D1625" s="15" cm="1">
        <f t="array" ref="D1625">_xlfn.SINGLE(IF(A1631=A1632,_xll.ciqfunctions.udf.CIQ(A1623,"IQ_TOTAL_REV",IQ_FY-8)/I1625, _xll.ciqfunctions.udf.CIQ(A1623, "IQ_TOTAL_REV",IQ_FY-7)/I1625))</f>
        <v>5.3581538878321471</v>
      </c>
      <c r="E1625" s="16">
        <f t="shared" si="435"/>
        <v>5.7392229323131913E-2</v>
      </c>
      <c r="F1625" s="15">
        <f>IF(A1631=A1632,_xll.ciqfunctions.udf.CIQ(A1623,"IQ_DILUT_EPS_EXCL",IQ_FY-8), _xll.ciqfunctions.udf.CIQ(A1623, "IQ_DILUT_EPS_EXCL",IQ_FY-7))</f>
        <v>0.14000000000000001</v>
      </c>
      <c r="G1625" s="15">
        <f>IF(A1631=A1632,_xll.ciqfunctions.udf.CIQ(A1623,"IQ_EBITDA_MARGIN",IQ_FY-8), _xll.ciqfunctions.udf.CIQ(A1623, "IQ_EBITDA_MARGIN",IQ_FY-7))</f>
        <v>5.9318</v>
      </c>
      <c r="H1625" s="15">
        <f>IF(A1631=A1632,_xll.ciqfunctions.udf.CIQ(A1623,"IQ_TOTAL_DIV_PAID_CF",IQ_FY-8)/-I1625, _xll.ciqfunctions.udf.CIQ(A1623, "IQ_TOTAL_DIV_PAID_CF",IQ_FY-7)/-I1625)</f>
        <v>0</v>
      </c>
      <c r="I1625" s="17">
        <f>IF(A1631=A1632,_xll.ciqfunctions.udf.CIQ(A1623,"IQ_TOTAL_OUTSTANDING_FILING_DATE",IQ_FY-8), _xll.ciqfunctions.udf.CIQ(A1623, "IQ_TOTAL_OUTSTANDING_FILING_DATE",IQ_FY-7))</f>
        <v>71.020169999999993</v>
      </c>
      <c r="J1625" s="17">
        <f>IF(A1631=A1632,_xll.ciqfunctions.udf.CIQ(A1623,"IQ_CASH_OPER",IQ_FY-8), _xll.ciqfunctions.udf.CIQ(A1623, "IQ_CASH_OPER",IQ_FY-7))</f>
        <v>63.677</v>
      </c>
      <c r="K1625" s="17">
        <f>IF(A1631=A1632,_xll.ciqfunctions.udf.CIQ(A1623,"IQ_CAPEX",IQ_FY-8), _xll.ciqfunctions.udf.CIQ(A1623, "IQ_CAPEX",IQ_FY-7))</f>
        <v>-6.3010000000000002</v>
      </c>
      <c r="L1625" s="15">
        <f t="shared" si="432"/>
        <v>0.80788316896453505</v>
      </c>
      <c r="M1625" s="17">
        <f>IF(A1631=A1632,_xll.ciqfunctions.udf.CIQ(A1623,"IQ_TOTAL_DEBT_ISSUED",IQ_FY-8), _xll.ciqfunctions.udf.CIQ(A1623, "IQ_TOTAL_DEBT_ISSUED",IQ_FY-7))</f>
        <v>0</v>
      </c>
      <c r="N1625" s="17">
        <f>IF(A1631=A1632,_xll.ciqfunctions.udf.CIQ(A1623,"IQ_TOTAL_DEBT_REPAID",IQ_FY-8), _xll.ciqfunctions.udf.CIQ(A1623, "IQ_TOTAL_DEBT_REPAID",IQ_FY-7))</f>
        <v>0</v>
      </c>
      <c r="O1625" s="15">
        <f t="shared" si="433"/>
        <v>0</v>
      </c>
      <c r="P1625" s="15">
        <f t="shared" si="434"/>
        <v>0.80788316896453505</v>
      </c>
      <c r="Q1625" s="25" t="s">
        <v>21</v>
      </c>
      <c r="R1625" s="38" t="s">
        <v>49</v>
      </c>
      <c r="S1625" s="2">
        <f>(R1622*I1633)/1000</f>
        <v>7.9807833563999999</v>
      </c>
      <c r="U1625" s="25" t="s">
        <v>59</v>
      </c>
      <c r="V1625" s="38" t="s">
        <v>49</v>
      </c>
      <c r="W1625" s="2">
        <f>(V1622*I1633)/1000</f>
        <v>7.9807833563999999</v>
      </c>
      <c r="Y1625" s="25" t="s">
        <v>46</v>
      </c>
      <c r="Z1625" s="38" t="s">
        <v>49</v>
      </c>
      <c r="AA1625" s="2">
        <f>(Z1622*I1633)/1000</f>
        <v>7.9807833563999999</v>
      </c>
    </row>
    <row r="1626" spans="1:27">
      <c r="A1626" s="18"/>
      <c r="B1626" s="13">
        <v>4</v>
      </c>
      <c r="C1626" s="14" t="s">
        <v>22</v>
      </c>
      <c r="D1626" s="15" cm="1">
        <f t="array" ref="D1626">_xlfn.SINGLE(IF(A1631=A1632,_xll.ciqfunctions.udf.CIQ(A1623,"IQ_TOTAL_REV",IQ_FY-7)/I1626, _xll.ciqfunctions.udf.CIQ(A1623, "IQ_TOTAL_REV",IQ_FY-6)/I1626))</f>
        <v>5.8088835356117547</v>
      </c>
      <c r="E1626" s="16">
        <f t="shared" si="435"/>
        <v>8.4120325249181699E-2</v>
      </c>
      <c r="F1626" s="15">
        <f>IF(A1631=A1632,_xll.ciqfunctions.udf.CIQ(A1623,"IQ_DILUT_EPS_EXCL",IQ_FY-7), _xll.ciqfunctions.udf.CIQ(A1623, "IQ_DILUT_EPS_EXCL",IQ_FY-6))</f>
        <v>0.2</v>
      </c>
      <c r="G1626" s="15">
        <f>IF(A1631=A1632,_xll.ciqfunctions.udf.CIQ(A1623,"IQ_EBITDA_MARGIN",IQ_FY-7), _xll.ciqfunctions.udf.CIQ(A1623, "IQ_EBITDA_MARGIN",IQ_FY-6))</f>
        <v>6.0263999999999998</v>
      </c>
      <c r="H1626" s="15">
        <f>IF(A1631=A1632,_xll.ciqfunctions.udf.CIQ(A1623,"IQ_TOTAL_DIV_PAID_CF",IQ_FY-7)/-I1626, _xll.ciqfunctions.udf.CIQ(A1623, "IQ_TOTAL_DIV_PAID_CF",IQ_FY-6)/-I1626)</f>
        <v>0</v>
      </c>
      <c r="I1626" s="17">
        <f>IF(A1631=A1632,_xll.ciqfunctions.udf.CIQ(A1623,"IQ_TOTAL_OUTSTANDING_FILING_DATE",IQ_FY-7), _xll.ciqfunctions.udf.CIQ(A1623, "IQ_TOTAL_OUTSTANDING_FILING_DATE",IQ_FY-6))</f>
        <v>73.068430000000006</v>
      </c>
      <c r="J1626" s="17">
        <f>IF(A1631=A1632,_xll.ciqfunctions.udf.CIQ(A1623,"IQ_CASH_OPER",IQ_FY-7), _xll.ciqfunctions.udf.CIQ(A1623, "IQ_CASH_OPER",IQ_FY-6))</f>
        <v>99.9</v>
      </c>
      <c r="K1626" s="17">
        <f>IF(A1631=A1632,_xll.ciqfunctions.udf.CIQ(A1623,"IQ_CAPEX",IQ_FY-7), _xll.ciqfunctions.udf.CIQ(A1623, "IQ_CAPEX",IQ_FY-6))</f>
        <v>-7.1109999999999998</v>
      </c>
      <c r="L1626" s="15">
        <f t="shared" si="432"/>
        <v>1.2698917986878875</v>
      </c>
      <c r="M1626" s="17">
        <f>IF(A1631=A1632,_xll.ciqfunctions.udf.CIQ(A1623,"IQ_TOTAL_DEBT_ISSUED",IQ_FY-7), _xll.ciqfunctions.udf.CIQ(A1623, "IQ_TOTAL_DEBT_ISSUED",IQ_FY-6))</f>
        <v>0</v>
      </c>
      <c r="N1626" s="17">
        <f>IF(A1631=A1632,_xll.ciqfunctions.udf.CIQ(A1623,"IQ_TOTAL_DEBT_REPAID",IQ_FY-7), _xll.ciqfunctions.udf.CIQ(A1623, "IQ_TOTAL_DEBT_REPAID",IQ_FY-6))</f>
        <v>0</v>
      </c>
      <c r="O1626" s="15">
        <f t="shared" si="433"/>
        <v>0</v>
      </c>
      <c r="P1626" s="15">
        <f t="shared" si="434"/>
        <v>1.2698917986878875</v>
      </c>
      <c r="Q1626" s="25" t="s">
        <v>23</v>
      </c>
      <c r="R1626" s="38" t="s">
        <v>24</v>
      </c>
      <c r="S1626" s="1" t="e">
        <f>R1622/(AVERAGE(H1628:H1633)*(1+H1634)/(0.5-H1634))</f>
        <v>#DIV/0!</v>
      </c>
      <c r="U1626" s="25" t="s">
        <v>40</v>
      </c>
      <c r="V1626" s="38" t="s">
        <v>24</v>
      </c>
      <c r="W1626" s="1" t="e">
        <f>V1622/(AVERAGE(H1628:H1633)*(1+H1634)/(0.5-H1634))</f>
        <v>#DIV/0!</v>
      </c>
      <c r="Y1626" s="25" t="s">
        <v>47</v>
      </c>
      <c r="Z1626" s="38" t="s">
        <v>24</v>
      </c>
      <c r="AA1626" s="1" t="e">
        <f>Z1622/(AVERAGE(H1628:H1633)*(1+H1634)/(0.5-H1634))</f>
        <v>#DIV/0!</v>
      </c>
    </row>
    <row r="1627" spans="1:27">
      <c r="B1627" s="13">
        <v>5</v>
      </c>
      <c r="C1627" s="14" t="s">
        <v>25</v>
      </c>
      <c r="D1627" s="15" cm="1">
        <f t="array" ref="D1627">_xlfn.SINGLE(IF(A1631=A1632,_xll.ciqfunctions.udf.CIQ(A1623,"IQ_TOTAL_REV",IQ_FY-6)/I1627, _xll.ciqfunctions.udf.CIQ(A1623, "IQ_TOTAL_REV",IQ_FY-5)/I1627))</f>
        <v>6.7928902575998462</v>
      </c>
      <c r="E1627" s="16">
        <f t="shared" si="435"/>
        <v>0.16939687565701247</v>
      </c>
      <c r="F1627" s="15">
        <f>IF(A1631=A1632,_xll.ciqfunctions.udf.CIQ(A1623,"IQ_DILUT_EPS_EXCL",IQ_FY-6), _xll.ciqfunctions.udf.CIQ(A1623, "IQ_DILUT_EPS_EXCL",IQ_FY-5))</f>
        <v>0.24</v>
      </c>
      <c r="G1627" s="15">
        <f>IF(A1631=A1632,_xll.ciqfunctions.udf.CIQ(A1623,"IQ_EBITDA_MARGIN",IQ_FY-6), _xll.ciqfunctions.udf.CIQ(A1623, "IQ_EBITDA_MARGIN",IQ_FY-5))</f>
        <v>7.9653</v>
      </c>
      <c r="H1627" s="15">
        <f>IF(A1631=A1632,_xll.ciqfunctions.udf.CIQ(A1623,"IQ_TOTAL_DIV_PAID_CF",IQ_FY-6)/-I1627, _xll.ciqfunctions.udf.CIQ(A1623, "IQ_TOTAL_DIV_PAID_CF",IQ_FY-5)/-I1627)</f>
        <v>0</v>
      </c>
      <c r="I1627" s="17">
        <f>IF(A1631=A1632,_xll.ciqfunctions.udf.CIQ(A1623,"IQ_TOTAL_OUTSTANDING_FILING_DATE",IQ_FY-6), _xll.ciqfunctions.udf.CIQ(A1623, "IQ_TOTAL_OUTSTANDING_FILING_DATE",IQ_FY-5))</f>
        <v>75.009749999999997</v>
      </c>
      <c r="J1627" s="17">
        <f>IF(A1631=A1632,_xll.ciqfunctions.udf.CIQ(A1623,"IQ_CASH_OPER",IQ_FY-6), _xll.ciqfunctions.udf.CIQ(A1623, "IQ_CASH_OPER",IQ_FY-5))</f>
        <v>138.75899999999999</v>
      </c>
      <c r="K1627" s="17">
        <f>IF(A1631=A1632,_xll.ciqfunctions.udf.CIQ(A1623,"IQ_CAPEX",IQ_FY-6), _xll.ciqfunctions.udf.CIQ(A1623, "IQ_CAPEX",IQ_FY-5))</f>
        <v>-5.8860000000000001</v>
      </c>
      <c r="L1627" s="15">
        <f t="shared" si="432"/>
        <v>1.7714097167368241</v>
      </c>
      <c r="M1627" s="17">
        <f>IF(A1631=A1632,_xll.ciqfunctions.udf.CIQ(A1623,"IQ_TOTAL_DEBT_ISSUED",IQ_FY-6), _xll.ciqfunctions.udf.CIQ(A1623, "IQ_TOTAL_DEBT_ISSUED",IQ_FY-5))</f>
        <v>0</v>
      </c>
      <c r="N1627" s="17">
        <f>IF(A1631=A1632,_xll.ciqfunctions.udf.CIQ(A1623,"IQ_TOTAL_DEBT_REPAID",IQ_FY-6), _xll.ciqfunctions.udf.CIQ(A1623, "IQ_TOTAL_DEBT_REPAID",IQ_FY-5))</f>
        <v>0</v>
      </c>
      <c r="O1627" s="15">
        <f t="shared" si="433"/>
        <v>0</v>
      </c>
      <c r="P1627" s="15">
        <f t="shared" si="434"/>
        <v>1.7714097167368241</v>
      </c>
      <c r="Q1627" s="18"/>
      <c r="R1627" s="38" t="s">
        <v>50</v>
      </c>
      <c r="S1627" s="3">
        <f>I1634</f>
        <v>2.0568170794545981E-3</v>
      </c>
      <c r="U1627" s="18"/>
      <c r="V1627" s="38" t="s">
        <v>50</v>
      </c>
      <c r="W1627" s="3">
        <f>I1634</f>
        <v>2.0568170794545981E-3</v>
      </c>
      <c r="Y1627" s="18"/>
      <c r="Z1627" s="38" t="s">
        <v>50</v>
      </c>
      <c r="AA1627" s="3">
        <f>I1634</f>
        <v>2.0568170794545981E-3</v>
      </c>
    </row>
    <row r="1628" spans="1:27">
      <c r="B1628" s="13">
        <v>6</v>
      </c>
      <c r="C1628" s="14" t="s">
        <v>26</v>
      </c>
      <c r="D1628" s="15" cm="1">
        <f t="array" ref="D1628">_xlfn.SINGLE(IF(A1631=A1632,_xll.ciqfunctions.udf.CIQ(A1623,"IQ_TOTAL_REV",IQ_FY-5)/I1628, _xll.ciqfunctions.udf.CIQ(A1623, "IQ_TOTAL_REV",IQ_FY-4)/I1628))</f>
        <v>8.0990274949285634</v>
      </c>
      <c r="E1628" s="16">
        <f t="shared" si="435"/>
        <v>0.19228004395734474</v>
      </c>
      <c r="F1628" s="15">
        <f>IF(A1631=A1632,_xll.ciqfunctions.udf.CIQ(A1623,"IQ_DILUT_EPS_EXCL",IQ_FY-5), _xll.ciqfunctions.udf.CIQ(A1623, "IQ_DILUT_EPS_EXCL",IQ_FY-4))</f>
        <v>-0.34414</v>
      </c>
      <c r="G1628" s="15">
        <f>IF(A1631=A1632,_xll.ciqfunctions.udf.CIQ(A1623,"IQ_EBITDA_MARGIN",IQ_FY-5), _xll.ciqfunctions.udf.CIQ(A1623, "IQ_EBITDA_MARGIN",IQ_FY-4))</f>
        <v>3.0002</v>
      </c>
      <c r="H1628" s="15">
        <f>IF(A1631=A1632,_xll.ciqfunctions.udf.CIQ(A1623,"IQ_TOTAL_DIV_PAID_CF",IQ_FY-5)/-I1628, _xll.ciqfunctions.udf.CIQ(A1623, "IQ_TOTAL_DIV_PAID_CF",IQ_FY-4)/-I1628)</f>
        <v>0</v>
      </c>
      <c r="I1628" s="17">
        <f>IF(A1631=A1632,_xll.ciqfunctions.udf.CIQ(A1623,"IQ_TOTAL_OUTSTANDING_FILING_DATE",IQ_FY-5), _xll.ciqfunctions.udf.CIQ(A1623, "IQ_TOTAL_OUTSTANDING_FILING_DATE",IQ_FY-4))</f>
        <v>80.608320000000006</v>
      </c>
      <c r="J1628" s="17">
        <f>IF(A1631=A1632,_xll.ciqfunctions.udf.CIQ(A1623,"IQ_CASH_OPER",IQ_FY-5), _xll.ciqfunctions.udf.CIQ(A1623, "IQ_CASH_OPER",IQ_FY-4))</f>
        <v>140.459</v>
      </c>
      <c r="K1628" s="17">
        <f>IF(A1631=A1632,_xll.ciqfunctions.udf.CIQ(A1623,"IQ_CAPEX",IQ_FY-5), _xll.ciqfunctions.udf.CIQ(A1623, "IQ_CAPEX",IQ_FY-4))</f>
        <v>-9.3979999999999997</v>
      </c>
      <c r="L1628" s="15">
        <f t="shared" si="432"/>
        <v>1.6258991627663248</v>
      </c>
      <c r="M1628" s="17">
        <f>IF(A1631=A1632,_xll.ciqfunctions.udf.CIQ(A1623,"IQ_TOTAL_DEBT_ISSUED",IQ_FY-5), _xll.ciqfunctions.udf.CIQ(A1623, "IQ_TOTAL_DEBT_ISSUED",IQ_FY-4))</f>
        <v>387.23899999999998</v>
      </c>
      <c r="N1628" s="17">
        <f>IF(A1631=A1632,_xll.ciqfunctions.udf.CIQ(A1623,"IQ_TOTAL_DEBT_REPAID",IQ_FY-5), _xll.ciqfunctions.udf.CIQ(A1623, "IQ_TOTAL_DEBT_REPAID",IQ_FY-4))</f>
        <v>0</v>
      </c>
      <c r="O1628" s="15">
        <f t="shared" si="433"/>
        <v>4.8039582018332592</v>
      </c>
      <c r="P1628" s="15">
        <f t="shared" si="434"/>
        <v>6.4298573645995845</v>
      </c>
      <c r="Q1628" s="25" t="s">
        <v>27</v>
      </c>
      <c r="R1628" s="38" t="s">
        <v>51</v>
      </c>
      <c r="S1628" s="4">
        <f>AVERAGE(F1628:F1633)/AVERAGE(D1628:D1633)</f>
        <v>-8.5425887140577417E-2</v>
      </c>
      <c r="U1628" s="25" t="s">
        <v>58</v>
      </c>
      <c r="V1628" s="38" t="s">
        <v>51</v>
      </c>
      <c r="W1628" s="4">
        <f>AVERAGE(F1628:F1633)/AVERAGE(D1628:D1633)</f>
        <v>-8.5425887140577417E-2</v>
      </c>
      <c r="Y1628" s="25" t="s">
        <v>56</v>
      </c>
      <c r="Z1628" s="38" t="s">
        <v>51</v>
      </c>
      <c r="AA1628" s="4">
        <f>AVERAGE(F1628:F1633)/AVERAGE(D1628:D1633)</f>
        <v>-8.5425887140577417E-2</v>
      </c>
    </row>
    <row r="1629" spans="1:27">
      <c r="A1629" s="18"/>
      <c r="B1629" s="13">
        <v>7</v>
      </c>
      <c r="C1629" s="14" t="s">
        <v>28</v>
      </c>
      <c r="D1629" s="15" cm="1">
        <f t="array" ref="D1629">_xlfn.SINGLE(IF(A1631=A1632,_xll.ciqfunctions.udf.CIQ(A1623,"IQ_TOTAL_REV",IQ_FY-4)/I1629, _xll.ciqfunctions.udf.CIQ(A1623, "IQ_TOTAL_REV",IQ_FY-3)/I1629))</f>
        <v>8.7592525794249099</v>
      </c>
      <c r="E1629" s="16">
        <f t="shared" si="435"/>
        <v>8.1519057060834177E-2</v>
      </c>
      <c r="F1629" s="15">
        <f>IF(A1631=A1632,_xll.ciqfunctions.udf.CIQ(A1623,"IQ_DILUT_EPS_EXCL",IQ_FY-4), _xll.ciqfunctions.udf.CIQ(A1623, "IQ_DILUT_EPS_EXCL",IQ_FY-3))</f>
        <v>0.25</v>
      </c>
      <c r="G1629" s="15">
        <f>IF(A1631=A1632,_xll.ciqfunctions.udf.CIQ(A1623,"IQ_EBITDA_MARGIN",IQ_FY-4), _xll.ciqfunctions.udf.CIQ(A1623, "IQ_EBITDA_MARGIN",IQ_FY-3))</f>
        <v>5.6181999999999999</v>
      </c>
      <c r="H1629" s="15">
        <f>IF(A1631=A1632,_xll.ciqfunctions.udf.CIQ(A1623,"IQ_TOTAL_DIV_PAID_CF",IQ_FY-4)/-I1629, _xll.ciqfunctions.udf.CIQ(A1623, "IQ_TOTAL_DIV_PAID_CF",IQ_FY-3)/-I1629)</f>
        <v>0</v>
      </c>
      <c r="I1629" s="17">
        <f>IF(A1631=A1632,_xll.ciqfunctions.udf.CIQ(A1623,"IQ_TOTAL_OUTSTANDING_FILING_DATE",IQ_FY-4), _xll.ciqfunctions.udf.CIQ(A1623, "IQ_TOTAL_OUTSTANDING_FILING_DATE",IQ_FY-3))</f>
        <v>82.14331</v>
      </c>
      <c r="J1629" s="17">
        <f>IF(A1631=A1632,_xll.ciqfunctions.udf.CIQ(A1623,"IQ_CASH_OPER",IQ_FY-4), _xll.ciqfunctions.udf.CIQ(A1623, "IQ_CASH_OPER",IQ_FY-3))</f>
        <v>116.126</v>
      </c>
      <c r="K1629" s="17">
        <f>IF(A1631=A1632,_xll.ciqfunctions.udf.CIQ(A1623,"IQ_CAPEX",IQ_FY-4), _xll.ciqfunctions.udf.CIQ(A1623, "IQ_CAPEX",IQ_FY-3))</f>
        <v>-44.920999999999999</v>
      </c>
      <c r="L1629" s="15">
        <f t="shared" si="432"/>
        <v>0.86683869934143165</v>
      </c>
      <c r="M1629" s="17">
        <f>IF(A1631=A1632,_xll.ciqfunctions.udf.CIQ(A1623,"IQ_TOTAL_DEBT_ISSUED",IQ_FY-4), _xll.ciqfunctions.udf.CIQ(A1623, "IQ_TOTAL_DEBT_ISSUED",IQ_FY-3))</f>
        <v>0</v>
      </c>
      <c r="N1629" s="17">
        <f>IF(A1631=A1632,_xll.ciqfunctions.udf.CIQ(A1623,"IQ_TOTAL_DEBT_REPAID",IQ_FY-4), _xll.ciqfunctions.udf.CIQ(A1623, "IQ_TOTAL_DEBT_REPAID",IQ_FY-3))</f>
        <v>0</v>
      </c>
      <c r="O1629" s="15">
        <f t="shared" si="433"/>
        <v>0</v>
      </c>
      <c r="P1629" s="15">
        <f t="shared" si="434"/>
        <v>0.86683869934143165</v>
      </c>
      <c r="Q1629" s="18"/>
      <c r="R1629" s="38" t="s">
        <v>29</v>
      </c>
      <c r="S1629" s="4">
        <f>(AVERAGE(P1628:P1633)/_xlfn.STDEV.P(P1628:P1633))/(IF(A1631=A1632,(_xlfn.SINGLE(_xll.ciqfunctions.udf.CIQ(A1623,"IQ_total_assets",IQ_FY)) - _xlfn.SINGLE(_xll.ciqfunctions.udf.CIQ(A1623,"iq_gw_intan", IQ_FY)))/I1633, (_xlfn.SINGLE(_xll.ciqfunctions.udf.CIQ(A1623, "IQ_total_assets",IQ_LTM))-_xlfn.SINGLE(_xll.ciqfunctions.udf.CIQ(A1623,"iq_gw_intan",IQ_LTM)))/I1633))</f>
        <v>3.4299092005132203E-2</v>
      </c>
      <c r="U1629" s="18"/>
      <c r="V1629" s="38" t="s">
        <v>29</v>
      </c>
      <c r="W1629" s="4">
        <f>(AVERAGE(P1628:P1633)/_xlfn.STDEV.P(P1628:P1633))/(IF(A1631=A1632,(_xlfn.SINGLE(_xll.ciqfunctions.udf.CIQ(A1623,"IQ_total_assets",IQ_FY)) - _xlfn.SINGLE(_xll.ciqfunctions.udf.CIQ(A1623,"iq_gw_intan", IQ_FY)))/I1633, (_xlfn.SINGLE(_xll.ciqfunctions.udf.CIQ(A1623, "IQ_total_assets",IQ_LTM))-_xlfn.SINGLE(_xll.ciqfunctions.udf.CIQ(A1623,"iq_gw_intan",IQ_LTM)))/I1633))</f>
        <v>3.4299092005132203E-2</v>
      </c>
      <c r="Y1629" s="18"/>
      <c r="Z1629" s="38" t="s">
        <v>29</v>
      </c>
      <c r="AA1629" s="4">
        <f>(AVERAGE(P1628:P1633)/_xlfn.STDEV.P(P1628:P1633))/(IF(A1631=A1632,(_xlfn.SINGLE(_xll.ciqfunctions.udf.CIQ(A1623,"IQ_total_assets",IQ_FY)) - _xlfn.SINGLE(_xll.ciqfunctions.udf.CIQ(A1623,"iq_gw_intan", IQ_FY)))/I1633, (_xlfn.SINGLE(_xll.ciqfunctions.udf.CIQ(A1623, "IQ_total_assets",IQ_LTM))-_xlfn.SINGLE(_xll.ciqfunctions.udf.CIQ(A1623,"iq_gw_intan",IQ_LTM)))/I1633))</f>
        <v>3.4299092005132203E-2</v>
      </c>
    </row>
    <row r="1630" spans="1:27">
      <c r="A1630" s="18"/>
      <c r="B1630" s="13">
        <v>8</v>
      </c>
      <c r="C1630" s="14" t="s">
        <v>30</v>
      </c>
      <c r="D1630" s="15" cm="1">
        <f t="array" ref="D1630">_xlfn.SINGLE(IF(A1631=A1632,_xll.ciqfunctions.udf.CIQ(A1623,"IQ_TOTAL_REV",IQ_FY-3)/I1630, _xll.ciqfunctions.udf.CIQ(A1623, "IQ_TOTAL_REV",IQ_FY-2)/I1630))</f>
        <v>8.892590073313162</v>
      </c>
      <c r="E1630" s="16">
        <f t="shared" si="435"/>
        <v>1.522247391306604E-2</v>
      </c>
      <c r="F1630" s="15">
        <f>IF(A1631=A1632,_xll.ciqfunctions.udf.CIQ(A1623,"IQ_DILUT_EPS_EXCL",IQ_FY-3), _xll.ciqfunctions.udf.CIQ(A1623, "IQ_DILUT_EPS_EXCL",IQ_FY-2))</f>
        <v>-0.32826</v>
      </c>
      <c r="G1630" s="15">
        <f>IF(A1631=A1632,_xll.ciqfunctions.udf.CIQ(A1623,"IQ_EBITDA_MARGIN",IQ_FY-3), _xll.ciqfunctions.udf.CIQ(A1623, "IQ_EBITDA_MARGIN",IQ_FY-2))</f>
        <v>2.3378999999999999</v>
      </c>
      <c r="H1630" s="15">
        <f>IF(A1631=A1632,_xll.ciqfunctions.udf.CIQ(A1623,"IQ_TOTAL_DIV_PAID_CF",IQ_FY-3)/-I1630, _xll.ciqfunctions.udf.CIQ(A1623, "IQ_TOTAL_DIV_PAID_CF",IQ_FY-2)/-I1630)</f>
        <v>0</v>
      </c>
      <c r="I1630" s="17">
        <f>IF(A1631=A1632,_xll.ciqfunctions.udf.CIQ(A1623,"IQ_TOTAL_OUTSTANDING_FILING_DATE",IQ_FY-3), _xll.ciqfunctions.udf.CIQ(A1623, "IQ_TOTAL_OUTSTANDING_FILING_DATE",IQ_FY-2))</f>
        <v>83.474779999999996</v>
      </c>
      <c r="J1630" s="17">
        <f>IF(A1631=A1632,_xll.ciqfunctions.udf.CIQ(A1623,"IQ_CASH_OPER",IQ_FY-3), _xll.ciqfunctions.udf.CIQ(A1623, "IQ_CASH_OPER",IQ_FY-2))</f>
        <v>113.066</v>
      </c>
      <c r="K1630" s="17">
        <f>IF(A1631=A1632,_xll.ciqfunctions.udf.CIQ(A1623,"IQ_CAPEX",IQ_FY-3), _xll.ciqfunctions.udf.CIQ(A1623, "IQ_CAPEX",IQ_FY-2))</f>
        <v>-21.376999999999999</v>
      </c>
      <c r="L1630" s="15">
        <f t="shared" si="432"/>
        <v>1.0984036136423481</v>
      </c>
      <c r="M1630" s="17">
        <f>IF(A1631=A1632,_xll.ciqfunctions.udf.CIQ(A1623,"IQ_TOTAL_DEBT_ISSUED",IQ_FY-3), _xll.ciqfunctions.udf.CIQ(A1623, "IQ_TOTAL_DEBT_ISSUED",IQ_FY-2))</f>
        <v>0</v>
      </c>
      <c r="N1630" s="17">
        <f>IF(A1631=A1632,_xll.ciqfunctions.udf.CIQ(A1623,"IQ_TOTAL_DEBT_REPAID",IQ_FY-3), _xll.ciqfunctions.udf.CIQ(A1623, "IQ_TOTAL_DEBT_REPAID",IQ_FY-2))</f>
        <v>0</v>
      </c>
      <c r="O1630" s="15">
        <f t="shared" si="433"/>
        <v>0</v>
      </c>
      <c r="P1630" s="15">
        <f t="shared" si="434"/>
        <v>1.0984036136423481</v>
      </c>
      <c r="Q1630" s="18"/>
      <c r="R1630" s="39" t="s">
        <v>31</v>
      </c>
      <c r="S1630" s="5">
        <f>IF(NOT(D1623&gt;0),FALSE,SLOPE(G1623:G1633,B1623:B1633))</f>
        <v>-2.7254109090909093</v>
      </c>
      <c r="U1630" s="18"/>
      <c r="V1630" s="39" t="s">
        <v>31</v>
      </c>
      <c r="W1630" s="5">
        <f>IF(NOT(D1623&gt;0),FALSE,SLOPE(G1623:G1633,B1623:B1633))</f>
        <v>-2.7254109090909093</v>
      </c>
      <c r="Y1630" s="18"/>
      <c r="Z1630" s="39" t="s">
        <v>31</v>
      </c>
      <c r="AA1630" s="5">
        <f>IF(NOT(L1623&gt;0),FALSE,SLOPE(O1623:O1633,J1623:J1633))</f>
        <v>9.8111240141968009E-3</v>
      </c>
    </row>
    <row r="1631" spans="1:27">
      <c r="A1631" s="19">
        <f>_xll.ciqfunctions.udf.CIQ(A1623,"IQ_TOTAL_REV",IQ_FY)</f>
        <v>905.34100000000001</v>
      </c>
      <c r="B1631" s="13">
        <v>9</v>
      </c>
      <c r="C1631" s="14" t="s">
        <v>32</v>
      </c>
      <c r="D1631" s="15" cm="1">
        <f t="array" ref="D1631">_xlfn.SINGLE(IF(A1631=A1632,_xll.ciqfunctions.udf.CIQ(A1623,"IQ_TOTAL_REV",IQ_FY-2)/I1631, _xll.ciqfunctions.udf.CIQ(A1623, "IQ_TOTAL_REV",IQ_FY-1)/I1631))</f>
        <v>8.9467941237187247</v>
      </c>
      <c r="E1631" s="16">
        <f t="shared" si="435"/>
        <v>6.0954176408322446E-3</v>
      </c>
      <c r="F1631" s="15">
        <f>IF(A1631=A1632,_xll.ciqfunctions.udf.CIQ(A1623,"IQ_DILUT_EPS_EXCL",IQ_FY-2), _xll.ciqfunctions.udf.CIQ(A1623, "IQ_DILUT_EPS_EXCL",IQ_FY-1))</f>
        <v>-0.79574999999999996</v>
      </c>
      <c r="G1631" s="15">
        <f>IF(A1631=A1632,_xll.ciqfunctions.udf.CIQ(A1623,"IQ_EBITDA_MARGIN",IQ_FY-2), _xll.ciqfunctions.udf.CIQ(A1623, "IQ_EBITDA_MARGIN",IQ_FY-1))</f>
        <v>-9.6907999999999994</v>
      </c>
      <c r="H1631" s="15">
        <f>IF(A1631=A1632,_xll.ciqfunctions.udf.CIQ(A1623,"IQ_TOTAL_DIV_PAID_CF",IQ_FY-2)/-I1631, _xll.ciqfunctions.udf.CIQ(A1623, "IQ_TOTAL_DIV_PAID_CF",IQ_FY-1)/-I1631)</f>
        <v>0</v>
      </c>
      <c r="I1631" s="17">
        <f>IF(A1631=A1632,_xll.ciqfunctions.udf.CIQ(A1623,"IQ_TOTAL_OUTSTANDING_FILING_DATE",IQ_FY-2), _xll.ciqfunctions.udf.CIQ(A1623, "IQ_TOTAL_OUTSTANDING_FILING_DATE",IQ_FY-1))</f>
        <v>83.076350000000005</v>
      </c>
      <c r="J1631" s="17">
        <f>IF(A1631=A1632,_xll.ciqfunctions.udf.CIQ(A1623,"IQ_CASH_OPER",IQ_FY-2), _xll.ciqfunctions.udf.CIQ(A1623, "IQ_CASH_OPER",IQ_FY-1))</f>
        <v>111.587</v>
      </c>
      <c r="K1631" s="17">
        <f>IF(A1631=A1632,_xll.ciqfunctions.udf.CIQ(A1623,"IQ_CAPEX",IQ_FY-2), _xll.ciqfunctions.udf.CIQ(A1623, "IQ_CAPEX",IQ_FY-1))</f>
        <v>-19.007999999999999</v>
      </c>
      <c r="L1631" s="15">
        <f t="shared" si="432"/>
        <v>1.1143845390414961</v>
      </c>
      <c r="M1631" s="17">
        <f>IF(A1631=A1632,_xll.ciqfunctions.udf.CIQ(A1623,"IQ_TOTAL_DEBT_ISSUED",IQ_FY-2), _xll.ciqfunctions.udf.CIQ(A1623, "IQ_TOTAL_DEBT_ISSUED",IQ_FY-1))</f>
        <v>0</v>
      </c>
      <c r="N1631" s="17">
        <f>IF(A1631=A1632,_xll.ciqfunctions.udf.CIQ(A1623,"IQ_TOTAL_DEBT_REPAID",IQ_FY-2), _xll.ciqfunctions.udf.CIQ(A1623, "IQ_TOTAL_DEBT_REPAID",IQ_FY-1))</f>
        <v>0</v>
      </c>
      <c r="O1631" s="15">
        <f t="shared" si="433"/>
        <v>0</v>
      </c>
      <c r="P1631" s="15">
        <f t="shared" si="434"/>
        <v>1.1143845390414961</v>
      </c>
      <c r="Q1631" s="25" t="s">
        <v>33</v>
      </c>
      <c r="R1631" s="38" t="s">
        <v>52</v>
      </c>
      <c r="S1631" s="4">
        <f>(AVERAGE(O1628:O1633)/AVERAGE(P1628:P1633))</f>
        <v>0.51405941736883054</v>
      </c>
      <c r="U1631" s="25" t="s">
        <v>54</v>
      </c>
      <c r="V1631" s="38" t="s">
        <v>52</v>
      </c>
      <c r="W1631" s="4">
        <f>(AVERAGE(O1628:O1633)/AVERAGE(P1628:P1633))</f>
        <v>0.51405941736883054</v>
      </c>
      <c r="Y1631" s="25" t="s">
        <v>60</v>
      </c>
      <c r="Z1631" s="38" t="s">
        <v>52</v>
      </c>
      <c r="AA1631" s="4">
        <f>(AVERAGE(O1628:O1633)/AVERAGE(P1628:P1633))</f>
        <v>0.51405941736883054</v>
      </c>
    </row>
    <row r="1632" spans="1:27">
      <c r="A1632" s="19">
        <f>_xll.ciqfunctions.udf.CIQ(A1623,"IQ_TOTAL_REV",IQ_LTM)</f>
        <v>905.34100000000001</v>
      </c>
      <c r="B1632" s="13">
        <v>10</v>
      </c>
      <c r="C1632" s="14" t="s">
        <v>34</v>
      </c>
      <c r="D1632" s="15" cm="1">
        <f t="array" ref="D1632">_xlfn.SINGLE(IF(A1631=A1632,_xll.ciqfunctions.udf.CIQ(A1623,"IQ_TOTAL_REV",IQ_FY-1)/I1632, _xll.ciqfunctions.udf.CIQ(A1623, "IQ_TOTAL_REV",IQ_FY)/I1632))</f>
        <v>9.6642705016723678</v>
      </c>
      <c r="E1632" s="16">
        <f t="shared" si="435"/>
        <v>8.0193683685148315E-2</v>
      </c>
      <c r="F1632" s="15">
        <f>IF(A1631=A1632,_xll.ciqfunctions.udf.CIQ(A1623,"IQ_DILUT_EPS_EXCL",IQ_FY-1), _xll.ciqfunctions.udf.CIQ(A1623, "IQ_DILUT_EPS_EXCL",IQ_FY))</f>
        <v>-2.16</v>
      </c>
      <c r="G1632" s="15">
        <f>IF(A1631=A1632,_xll.ciqfunctions.udf.CIQ(A1623,"IQ_EBITDA_MARGIN",IQ_FY-1), _xll.ciqfunctions.udf.CIQ(A1623, "IQ_EBITDA_MARGIN",IQ_FY))</f>
        <v>-21.191700000000001</v>
      </c>
      <c r="H1632" s="15">
        <f>IF(A1631=A1632,_xll.ciqfunctions.udf.CIQ(A1623,"IQ_TOTAL_DIV_PAID_CF",IQ_FY-1)/-I1632, _xll.ciqfunctions.udf.CIQ(A1623, "IQ_TOTAL_DIV_PAID_CF",IQ_FY)/-I1632)</f>
        <v>0</v>
      </c>
      <c r="I1632" s="17">
        <f>IF(A1631=A1632,_xll.ciqfunctions.udf.CIQ(A1623,"IQ_TOTAL_OUTSTANDING_FILING_DATE",IQ_FY-1), _xll.ciqfunctions.udf.CIQ(A1623, "IQ_TOTAL_OUTSTANDING_FILING_DATE",IQ_FY))</f>
        <v>84.084360000000004</v>
      </c>
      <c r="J1632" s="17">
        <f>IF(A1631=A1632,_xll.ciqfunctions.udf.CIQ(A1623,"IQ_CASH_OPER",IQ_FY-1), _xll.ciqfunctions.udf.CIQ(A1623, "IQ_CASH_OPER",IQ_FY))</f>
        <v>-37.94</v>
      </c>
      <c r="K1632" s="17">
        <f>IF(A1631=A1632,_xll.ciqfunctions.udf.CIQ(A1623,"IQ_CAPEX",IQ_FY-1), _xll.ciqfunctions.udf.CIQ(A1623, "IQ_CAPEX",IQ_FY))</f>
        <v>-9.51</v>
      </c>
      <c r="L1632" s="15">
        <f t="shared" si="432"/>
        <v>-0.56431421967176765</v>
      </c>
      <c r="M1632" s="17">
        <f>IF(A1631=A1632,_xll.ciqfunctions.udf.CIQ(A1623,"IQ_TOTAL_DEBT_ISSUED",IQ_FY-1), _xll.ciqfunctions.udf.CIQ(A1623, "IQ_TOTAL_DEBT_ISSUED",IQ_FY))</f>
        <v>0</v>
      </c>
      <c r="N1632" s="17">
        <f>IF(A1631=A1632,_xll.ciqfunctions.udf.CIQ(A1623,"IQ_TOTAL_DEBT_REPAID",IQ_FY-1), _xll.ciqfunctions.udf.CIQ(A1623, "IQ_TOTAL_DEBT_REPAID",IQ_FY))</f>
        <v>0</v>
      </c>
      <c r="O1632" s="15">
        <f t="shared" si="433"/>
        <v>0</v>
      </c>
      <c r="P1632" s="15">
        <f t="shared" si="434"/>
        <v>-0.56431421967176765</v>
      </c>
      <c r="Q1632" s="25" t="s">
        <v>44</v>
      </c>
      <c r="R1632" s="38" t="s">
        <v>35</v>
      </c>
      <c r="S1632" s="1" t="str">
        <f>_xll.ciqfunctions.udf.CIQ(A1623,"IQ_TEV_EBITDA")</f>
        <v>NM</v>
      </c>
      <c r="U1632" s="25" t="s">
        <v>55</v>
      </c>
      <c r="V1632" s="38" t="s">
        <v>53</v>
      </c>
      <c r="W1632" s="1">
        <f>V1622/(AVERAGE(D1628:D1633)/_xlfn.STDEV.P(E1628:E1633))</f>
        <v>0.70909192553356803</v>
      </c>
      <c r="Y1632" s="25" t="s">
        <v>57</v>
      </c>
      <c r="Z1632" s="38" t="s">
        <v>53</v>
      </c>
      <c r="AA1632" s="1">
        <f>Z1622/(AVERAGE(D1628:D1633)/_xlfn.STDEV.P(E1628:E1633))</f>
        <v>0.70909192553356803</v>
      </c>
    </row>
    <row r="1633" spans="1:27">
      <c r="B1633" s="13">
        <v>11</v>
      </c>
      <c r="C1633" s="20" t="s">
        <v>36</v>
      </c>
      <c r="D1633" s="21" cm="1">
        <f t="array" ref="D1633">_xlfn.SINGLE(IF(A1631=A1632,_xll.ciqfunctions.udf.CIQ(A1623,"IQ_TOTAL_REV",IQ_FY)/I1633, _xll.ciqfunctions.udf.CIQ(A1623, "IQ_TOTAL_REV",IQ_LTM)/I1633))</f>
        <v>11.116564293635911</v>
      </c>
      <c r="E1633" s="22">
        <f t="shared" si="435"/>
        <v>0.15027453874684368</v>
      </c>
      <c r="F1633" s="21">
        <f>IF(A1631=A1632,_xll.ciqfunctions.udf.CIQ(A1623,"IQ_DILUT_EPS_EXCL",IQ_FY), _xll.ciqfunctions.udf.CIQ(A1623, "IQ_DILUT_EPS_EXCL",IQ_LTM))</f>
        <v>-1.3611500000000001</v>
      </c>
      <c r="G1633" s="21">
        <f>IF(A1631=A1632,_xll.ciqfunctions.udf.CIQ(A1623,"IQ_EBITDA_MARGIN",IQ_FY), _xll.ciqfunctions.udf.CIQ(A1623, "IQ_EBITDA_MARGIN",IQ_LTM))</f>
        <v>-14.862</v>
      </c>
      <c r="H1633" s="21">
        <f>IF(A1631=A1632,_xll.ciqfunctions.udf.CIQ(A1623,"IQ_TOTAL_DIV_PAID_CF",IQ_FY)/-I1633, _xll.ciqfunctions.udf.CIQ(A1623, "IQ_TOTAL_DIV_PAID_CF",IQ_LTM)/-I1633)</f>
        <v>0</v>
      </c>
      <c r="I1633" s="23">
        <f>IF(A1631=A1632,_xll.ciqfunctions.udf.CIQ(A1623,"IQ_TOTAL_OUTSTANDING_FILING_DATE",IQ_FY),_xll.ciqfunctions.udf.CIQ(A1623,"IQ_sharesoutstanding"))</f>
        <v>81.440719999999999</v>
      </c>
      <c r="J1633" s="23">
        <f>IF(A1631=A1632,_xll.ciqfunctions.udf.CIQ(A1623,"IQ_CASH_OPER",IQ_FY), _xll.ciqfunctions.udf.CIQ(A1623, "IQ_CASH_OPER",IQ_LTM))</f>
        <v>38.395000000000003</v>
      </c>
      <c r="K1633" s="23">
        <f>IF(A1631=A1632,_xll.ciqfunctions.udf.CIQ(A1623,"IQ_CAPEX",IQ_FY), _xll.ciqfunctions.udf.CIQ(A1623, "IQ_CAPEX",IQ_LTM))</f>
        <v>-5.8209999999999997</v>
      </c>
      <c r="L1633" s="21">
        <f t="shared" si="432"/>
        <v>0.39997190594582177</v>
      </c>
      <c r="M1633" s="23">
        <f>IF(A1631=A1632,_xll.ciqfunctions.udf.CIQ(A1623,"IQ_TOTAL_DEBT_ISSUED",IQ_FY), _xll.ciqfunctions.udf.CIQ(A1623, "IQ_TOTAL_DEBT_ISSUED",IQ_LTM))</f>
        <v>0</v>
      </c>
      <c r="N1633" s="23">
        <f>IF(A1631=A1632,_xll.ciqfunctions.udf.CIQ(A1623,"IQ_TOTAL_DEBT_REPAID",IQ_FY), _xll.ciqfunctions.udf.CIQ(A1623, "IQ_TOTAL_DEBT_REPAID",IQ_LTM))</f>
        <v>0</v>
      </c>
      <c r="O1633" s="21">
        <f t="shared" si="433"/>
        <v>0</v>
      </c>
      <c r="P1633" s="21">
        <f t="shared" si="434"/>
        <v>0.39997190594582177</v>
      </c>
      <c r="Q1633" s="25" t="s">
        <v>45</v>
      </c>
      <c r="S1633" s="45"/>
      <c r="U1633" s="25"/>
      <c r="W1633" s="45"/>
      <c r="Y1633" s="25"/>
      <c r="AA1633" s="45"/>
    </row>
    <row r="1634" spans="1:27">
      <c r="B1634" s="24"/>
      <c r="C1634" s="25" t="s">
        <v>37</v>
      </c>
      <c r="E1634" s="26">
        <f>((D1633/D1628)^(1/5))-1</f>
        <v>6.5387365509781858E-2</v>
      </c>
      <c r="F1634" s="27">
        <f>((F1633/F1628)^(1/5))-1</f>
        <v>0.31654032726673442</v>
      </c>
      <c r="G1634" s="28"/>
      <c r="H1634" s="27" t="e">
        <f>((H1633/H1628)^(1/5))-1</f>
        <v>#DIV/0!</v>
      </c>
      <c r="I1634" s="27">
        <f>((I1633/I1628)^(1/5))-1</f>
        <v>2.0568170794545981E-3</v>
      </c>
      <c r="J1634" s="27"/>
      <c r="K1634" s="27"/>
      <c r="L1634" s="26">
        <f>((L1633/L1628)^(1/5))-1</f>
        <v>-0.24458226596720223</v>
      </c>
      <c r="M1634" s="26"/>
      <c r="N1634" s="26"/>
      <c r="O1634" s="26"/>
      <c r="P1634" s="26">
        <f>((P1633/P1628)^(1/5))-1</f>
        <v>-0.42619328047643079</v>
      </c>
      <c r="Q1634" s="18"/>
      <c r="R1634" s="36"/>
      <c r="S1634" s="45"/>
      <c r="U1634" s="18"/>
      <c r="V1634" s="36"/>
      <c r="W1634" s="45"/>
      <c r="Y1634" s="18"/>
      <c r="Z1634" s="36"/>
      <c r="AA1634" s="45"/>
    </row>
    <row r="1635" spans="1:27">
      <c r="A1635" s="29"/>
      <c r="B1635" s="30"/>
      <c r="C1635" s="31" t="s">
        <v>38</v>
      </c>
      <c r="D1635" s="29"/>
      <c r="E1635" s="32">
        <f>((D1633/D1623)^(1/10))-1</f>
        <v>7.9174387420220427E-2</v>
      </c>
      <c r="F1635" s="33" t="e">
        <f>((F1633/F1623)^(1/10))-1</f>
        <v>#NUM!</v>
      </c>
      <c r="G1635" s="34"/>
      <c r="H1635" s="33" t="e">
        <f>((H1633/H1623)^(1/10))-1</f>
        <v>#DIV/0!</v>
      </c>
      <c r="I1635" s="33">
        <f>((I1633/I1623)^(1/10))-1</f>
        <v>3.4626536185548451E-2</v>
      </c>
      <c r="J1635" s="33"/>
      <c r="K1635" s="33"/>
      <c r="L1635" s="32">
        <f>((L1633/L1623)^(1/10))-1</f>
        <v>-6.1574282654208723E-4</v>
      </c>
      <c r="M1635" s="32"/>
      <c r="N1635" s="32"/>
      <c r="O1635" s="32"/>
      <c r="P1635" s="32">
        <f>((P1633/P1623)^(1/10))-1</f>
        <v>-6.1574282654208723E-4</v>
      </c>
      <c r="Q1635" s="40"/>
      <c r="R1635" s="41"/>
      <c r="S1635" s="46"/>
      <c r="U1635" s="40"/>
      <c r="V1635" s="41"/>
      <c r="W1635" s="46"/>
      <c r="Y1635" s="40"/>
      <c r="Z1635" s="41"/>
      <c r="AA1635" s="46"/>
    </row>
    <row r="1636" spans="1:27">
      <c r="B1636" s="24"/>
      <c r="C1636" s="25"/>
      <c r="E1636" s="26"/>
      <c r="F1636" s="27"/>
      <c r="G1636" s="28"/>
      <c r="H1636" s="27"/>
      <c r="I1636" s="27"/>
      <c r="J1636" s="27"/>
      <c r="K1636" s="27"/>
      <c r="L1636" s="26"/>
      <c r="M1636" s="17"/>
      <c r="N1636" s="17"/>
      <c r="O1636" s="17"/>
      <c r="P1636" s="35"/>
      <c r="Q1636" s="18"/>
      <c r="R1636" s="36"/>
    </row>
    <row r="1637" spans="1:27">
      <c r="A1637" s="9" t="s">
        <v>0</v>
      </c>
      <c r="B1637" s="10"/>
      <c r="C1637" s="9" t="s">
        <v>1</v>
      </c>
      <c r="D1637" s="9" t="s">
        <v>2</v>
      </c>
      <c r="E1637" s="9" t="s">
        <v>3</v>
      </c>
      <c r="F1637" s="11" t="s">
        <v>4</v>
      </c>
      <c r="G1637" s="11" t="s">
        <v>5</v>
      </c>
      <c r="H1637" s="9" t="s">
        <v>6</v>
      </c>
      <c r="I1637" s="11" t="s">
        <v>7</v>
      </c>
      <c r="J1637" s="11" t="s">
        <v>8</v>
      </c>
      <c r="K1637" s="11" t="s">
        <v>9</v>
      </c>
      <c r="L1637" s="11" t="s">
        <v>10</v>
      </c>
      <c r="M1637" s="11" t="s">
        <v>11</v>
      </c>
      <c r="N1637" s="11" t="s">
        <v>12</v>
      </c>
      <c r="O1637" s="11" t="s">
        <v>13</v>
      </c>
      <c r="P1637" s="11" t="s">
        <v>14</v>
      </c>
      <c r="Q1637" s="37" t="s">
        <v>15</v>
      </c>
      <c r="R1637" s="42">
        <f>_xll.ciqfunctions.udf.CIQ(A1638,("IQ_LASTSALEPRICE"))</f>
        <v>57.08</v>
      </c>
      <c r="S1637" s="44"/>
      <c r="U1637" s="37" t="s">
        <v>15</v>
      </c>
      <c r="V1637" s="42">
        <f>_xll.ciqfunctions.udf.CIQ(A1638,("IQ_LASTSALEPRICE"))</f>
        <v>57.08</v>
      </c>
      <c r="W1637" s="44"/>
      <c r="Y1637" s="37" t="s">
        <v>15</v>
      </c>
      <c r="Z1637" s="42">
        <f>_xll.ciqfunctions.udf.CIQ(A1638,("IQ_LASTSALEPRICE"))</f>
        <v>57.08</v>
      </c>
      <c r="AA1637" s="44"/>
    </row>
    <row r="1638" spans="1:27">
      <c r="A1638" s="12" t="str">
        <f>Analysis!B111</f>
        <v>NYSE:PCOR</v>
      </c>
      <c r="B1638" s="13">
        <v>1</v>
      </c>
      <c r="C1638" s="14" t="s">
        <v>16</v>
      </c>
      <c r="D1638" s="15" t="e">
        <f>IF(A1646=A1647,_xll.ciqfunctions.udf.CIQ(A1638,"IQ_TOTAL_REV",IQ_FY-10)/I1638,_xll.ciqfunctions.udf.CIQ(A1638, "IQ_TOTAL_REV",IQ_FY-9)/I1638)</f>
        <v>#DIV/0!</v>
      </c>
      <c r="E1638" s="16"/>
      <c r="F1638" s="15">
        <f>IF(A1646=A1647,_xll.ciqfunctions.udf.CIQ(A1638,"IQ_DILUT_EPS_EXCL",IQ_FY-10), _xll.ciqfunctions.udf.CIQ(A1638, "IQ_DILUT_EPS_EXCL",IQ_FY-9))</f>
        <v>0</v>
      </c>
      <c r="G1638" s="15">
        <f>IF(A1646=A1647,_xll.ciqfunctions.udf.CIQ(A1638,"IQ_EBITDA_MARGIN",IQ_FY-10), _xll.ciqfunctions.udf.CIQ(A1638, "IQ_EBITDA_MARGIN",IQ_FY-9))</f>
        <v>0</v>
      </c>
      <c r="H1638" s="15" t="e">
        <f>IF(A1646=A1647,_xll.ciqfunctions.udf.CIQ(A1638,"IQ_TOTAL_DIV_PAID_CF",IQ_FY-10)/-I1638, _xll.ciqfunctions.udf.CIQ(A1638, "IQ_TOTAL_DIV_PAID_CF",IQ_FY-9)/-I1638)</f>
        <v>#DIV/0!</v>
      </c>
      <c r="I1638" s="17">
        <f>IF(A1646=A1647,_xll.ciqfunctions.udf.CIQ(A1638,"IQ_TOTAL_OUTSTANDING_FILING_DATE",IQ_FY-10), _xll.ciqfunctions.udf.CIQ(A1638, "IQ_TOTAL_OUTSTANDING_FILING_DATE",IQ_FY-9))</f>
        <v>0</v>
      </c>
      <c r="J1638" s="17">
        <f>IF(A1646=A1647,_xll.ciqfunctions.udf.CIQ(A1638,"IQ_CASH_OPER",IQ_FY-10), _xll.ciqfunctions.udf.CIQ(A1638, "IQ_CASH_OPER",IQ_FY-9))</f>
        <v>0</v>
      </c>
      <c r="K1638" s="17">
        <f>IF(A1646=A1647,_xll.ciqfunctions.udf.CIQ(A1638,"IQ_CAPEX",IQ_FY-10), _xll.ciqfunctions.udf.CIQ(A1638, "IQ_CAPEX",IQ_FY-9))</f>
        <v>0</v>
      </c>
      <c r="L1638" s="15" t="e">
        <f t="shared" ref="L1638:L1648" si="436">(J1638+K1638)/I1638</f>
        <v>#DIV/0!</v>
      </c>
      <c r="M1638" s="17">
        <f>IF(A1646=A1647,_xll.ciqfunctions.udf.CIQ(A1638,"IQ_TOTAL_DEBT_ISSUED",IQ_FY-10), _xll.ciqfunctions.udf.CIQ(A1638, "IQ_TOTAL_DEBT_ISSUED",IQ_FY-9))</f>
        <v>0</v>
      </c>
      <c r="N1638" s="17">
        <f>IF(A1646=A1647,_xll.ciqfunctions.udf.CIQ(A1638,"IQ_TOTAL_DEBT_REPAID",IQ_FY-10), _xll.ciqfunctions.udf.CIQ(A1638, "IQ_TOTAL_DEBT_REPAID",IQ_FY-9))</f>
        <v>0</v>
      </c>
      <c r="O1638" s="15" t="e">
        <f t="shared" ref="O1638:O1648" si="437">(M1638+N1638)/I1638</f>
        <v>#DIV/0!</v>
      </c>
      <c r="P1638" s="15" t="e">
        <f t="shared" ref="P1638:P1648" si="438">L1638+O1638</f>
        <v>#DIV/0!</v>
      </c>
      <c r="W1638" s="43"/>
      <c r="AA1638" s="43"/>
    </row>
    <row r="1639" spans="1:27">
      <c r="A1639" s="18" t="str">
        <f>_xll.ciqfunctions.udf.CIQ(A1638,"IQ_COMPANY_NAME")</f>
        <v>Procore Technologies, Inc.</v>
      </c>
      <c r="B1639" s="13">
        <v>2</v>
      </c>
      <c r="C1639" s="14" t="s">
        <v>17</v>
      </c>
      <c r="D1639" s="15" t="e">
        <f>IF(A1646=A1647,_xll.ciqfunctions.udf.CIQ(A1638,"IQ_TOTAL_REV",IQ_FY-9)/I1639, _xll.ciqfunctions.udf.CIQ(A1638, "IQ_TOTAL_REV",IQ_FY-8)/I1639)</f>
        <v>#DIV/0!</v>
      </c>
      <c r="E1639" s="16" t="e">
        <f t="shared" ref="E1639:E1648" si="439">(D1639-D1638)/D1638</f>
        <v>#DIV/0!</v>
      </c>
      <c r="F1639" s="15">
        <f>IF(A1646=A1647,_xll.ciqfunctions.udf.CIQ(A1638,"IQ_DILUT_EPS_EXCL",IQ_FY-9), _xll.ciqfunctions.udf.CIQ(A1638, "IQ_DILUT_EPS_EXCL",IQ_FY-8))</f>
        <v>0</v>
      </c>
      <c r="G1639" s="15">
        <f>IF(A1646=A1647,_xll.ciqfunctions.udf.CIQ(A1638,"IQ_EBITDA_MARGIN",IQ_FY-9), _xll.ciqfunctions.udf.CIQ(A1638, "IQ_EBITDA_MARGIN",IQ_FY-8))</f>
        <v>0</v>
      </c>
      <c r="H1639" s="15" t="e">
        <f>IF(A1646=A1647,_xll.ciqfunctions.udf.CIQ(A1638,"IQ_TOTAL_DIV_PAID_CF",IQ_FY-9)/-I1639, _xll.ciqfunctions.udf.CIQ(A1638, "IQ_TOTAL_DIV_PAID_CF",IQ_FY-8)/-I1639)</f>
        <v>#DIV/0!</v>
      </c>
      <c r="I1639" s="17">
        <f>IF(A1646=A1647,_xll.ciqfunctions.udf.CIQ(A1638,"IQ_TOTAL_OUTSTANDING_FILING_DATE",IQ_FY-9), _xll.ciqfunctions.udf.CIQ(A1638, "IQ_TOTAL_OUTSTANDING_FILING_DATE",IQ_FY-8))</f>
        <v>0</v>
      </c>
      <c r="J1639" s="17">
        <f>IF(A1646=A1647,_xll.ciqfunctions.udf.CIQ(A1638,"IQ_CASH_OPER",IQ_FY-9), _xll.ciqfunctions.udf.CIQ(A1638, "IQ_CASH_OPER",IQ_FY-8))</f>
        <v>0</v>
      </c>
      <c r="K1639" s="17">
        <f>IF(A1646=A1647,_xll.ciqfunctions.udf.CIQ(A1638,"IQ_CAPEX",IQ_FY-9), _xll.ciqfunctions.udf.CIQ(A1638, "IQ_CAPEX",IQ_FY-8))</f>
        <v>0</v>
      </c>
      <c r="L1639" s="15" t="e">
        <f t="shared" si="436"/>
        <v>#DIV/0!</v>
      </c>
      <c r="M1639" s="17">
        <f>IF(A1646=A1647,_xll.ciqfunctions.udf.CIQ(A1638,"IQ_TOTAL_DEBT_ISSUED",IQ_FY-9), _xll.ciqfunctions.udf.CIQ(A1638, "IQ_TOTAL_DEBT_ISSUED",IQ_FY-8))</f>
        <v>0</v>
      </c>
      <c r="N1639" s="17">
        <f>IF(A1646=A1647,_xll.ciqfunctions.udf.CIQ(A1638,"IQ_TOTAL_DEBT_REPAID",IQ_FY-9), _xll.ciqfunctions.udf.CIQ(A1638, "IQ_TOTAL_DEBT_REPAID",IQ_FY-8))</f>
        <v>0</v>
      </c>
      <c r="O1639" s="15" t="e">
        <f t="shared" si="437"/>
        <v>#DIV/0!</v>
      </c>
      <c r="P1639" s="15" t="e">
        <f t="shared" si="438"/>
        <v>#DIV/0!</v>
      </c>
      <c r="Q1639" s="25" t="s">
        <v>18</v>
      </c>
      <c r="R1639" s="39" t="s">
        <v>19</v>
      </c>
      <c r="S1639" s="1">
        <f>R1637/((AVERAGE(P1643:P1648))*(1+E1649)^3)</f>
        <v>-311.64676808068737</v>
      </c>
      <c r="U1639" s="25" t="s">
        <v>48</v>
      </c>
      <c r="V1639" s="39" t="s">
        <v>19</v>
      </c>
      <c r="W1639" s="1">
        <f>V1637/((AVERAGE(P1643:P1648))*(1+E1649)^3)</f>
        <v>-311.64676808068737</v>
      </c>
      <c r="Y1639" s="25" t="s">
        <v>39</v>
      </c>
      <c r="Z1639" s="39" t="s">
        <v>19</v>
      </c>
      <c r="AA1639" s="1">
        <f>Z1637/((AVERAGE(P1643:P1648))*(1+E1649)^3)</f>
        <v>-311.64676808068737</v>
      </c>
    </row>
    <row r="1640" spans="1:27">
      <c r="B1640" s="13">
        <v>3</v>
      </c>
      <c r="C1640" s="14" t="s">
        <v>20</v>
      </c>
      <c r="D1640" s="15" t="e" cm="1">
        <f t="array" ref="D1640">_xlfn.SINGLE(IF(A1646=A1647,_xll.ciqfunctions.udf.CIQ(A1638,"IQ_TOTAL_REV",IQ_FY-8)/I1640, _xll.ciqfunctions.udf.CIQ(A1638, "IQ_TOTAL_REV",IQ_FY-7)/I1640))</f>
        <v>#DIV/0!</v>
      </c>
      <c r="E1640" s="16" t="e">
        <f t="shared" si="439"/>
        <v>#DIV/0!</v>
      </c>
      <c r="F1640" s="15">
        <f>IF(A1646=A1647,_xll.ciqfunctions.udf.CIQ(A1638,"IQ_DILUT_EPS_EXCL",IQ_FY-8), _xll.ciqfunctions.udf.CIQ(A1638, "IQ_DILUT_EPS_EXCL",IQ_FY-7))</f>
        <v>0</v>
      </c>
      <c r="G1640" s="15">
        <f>IF(A1646=A1647,_xll.ciqfunctions.udf.CIQ(A1638,"IQ_EBITDA_MARGIN",IQ_FY-8), _xll.ciqfunctions.udf.CIQ(A1638, "IQ_EBITDA_MARGIN",IQ_FY-7))</f>
        <v>0</v>
      </c>
      <c r="H1640" s="15" t="e">
        <f>IF(A1646=A1647,_xll.ciqfunctions.udf.CIQ(A1638,"IQ_TOTAL_DIV_PAID_CF",IQ_FY-8)/-I1640, _xll.ciqfunctions.udf.CIQ(A1638, "IQ_TOTAL_DIV_PAID_CF",IQ_FY-7)/-I1640)</f>
        <v>#DIV/0!</v>
      </c>
      <c r="I1640" s="17">
        <f>IF(A1646=A1647,_xll.ciqfunctions.udf.CIQ(A1638,"IQ_TOTAL_OUTSTANDING_FILING_DATE",IQ_FY-8), _xll.ciqfunctions.udf.CIQ(A1638, "IQ_TOTAL_OUTSTANDING_FILING_DATE",IQ_FY-7))</f>
        <v>0</v>
      </c>
      <c r="J1640" s="17">
        <f>IF(A1646=A1647,_xll.ciqfunctions.udf.CIQ(A1638,"IQ_CASH_OPER",IQ_FY-8), _xll.ciqfunctions.udf.CIQ(A1638, "IQ_CASH_OPER",IQ_FY-7))</f>
        <v>0</v>
      </c>
      <c r="K1640" s="17">
        <f>IF(A1646=A1647,_xll.ciqfunctions.udf.CIQ(A1638,"IQ_CAPEX",IQ_FY-8), _xll.ciqfunctions.udf.CIQ(A1638, "IQ_CAPEX",IQ_FY-7))</f>
        <v>0</v>
      </c>
      <c r="L1640" s="15" t="e">
        <f t="shared" si="436"/>
        <v>#DIV/0!</v>
      </c>
      <c r="M1640" s="17">
        <f>IF(A1646=A1647,_xll.ciqfunctions.udf.CIQ(A1638,"IQ_TOTAL_DEBT_ISSUED",IQ_FY-8), _xll.ciqfunctions.udf.CIQ(A1638, "IQ_TOTAL_DEBT_ISSUED",IQ_FY-7))</f>
        <v>0</v>
      </c>
      <c r="N1640" s="17">
        <f>IF(A1646=A1647,_xll.ciqfunctions.udf.CIQ(A1638,"IQ_TOTAL_DEBT_REPAID",IQ_FY-8), _xll.ciqfunctions.udf.CIQ(A1638, "IQ_TOTAL_DEBT_REPAID",IQ_FY-7))</f>
        <v>0</v>
      </c>
      <c r="O1640" s="15" t="e">
        <f t="shared" si="437"/>
        <v>#DIV/0!</v>
      </c>
      <c r="P1640" s="15" t="e">
        <f t="shared" si="438"/>
        <v>#DIV/0!</v>
      </c>
      <c r="Q1640" s="25" t="s">
        <v>21</v>
      </c>
      <c r="R1640" s="38" t="s">
        <v>49</v>
      </c>
      <c r="S1640" s="2">
        <f>(R1637*I1648)/1000</f>
        <v>8.1905479044000007</v>
      </c>
      <c r="U1640" s="25" t="s">
        <v>59</v>
      </c>
      <c r="V1640" s="38" t="s">
        <v>49</v>
      </c>
      <c r="W1640" s="2">
        <f>(V1637*I1648)/1000</f>
        <v>8.1905479044000007</v>
      </c>
      <c r="Y1640" s="25" t="s">
        <v>46</v>
      </c>
      <c r="Z1640" s="38" t="s">
        <v>49</v>
      </c>
      <c r="AA1640" s="2">
        <f>(Z1637*I1648)/1000</f>
        <v>8.1905479044000007</v>
      </c>
    </row>
    <row r="1641" spans="1:27">
      <c r="A1641" s="18"/>
      <c r="B1641" s="13">
        <v>4</v>
      </c>
      <c r="C1641" s="14" t="s">
        <v>22</v>
      </c>
      <c r="D1641" s="15" t="e" cm="1">
        <f t="array" ref="D1641">_xlfn.SINGLE(IF(A1646=A1647,_xll.ciqfunctions.udf.CIQ(A1638,"IQ_TOTAL_REV",IQ_FY-7)/I1641, _xll.ciqfunctions.udf.CIQ(A1638, "IQ_TOTAL_REV",IQ_FY-6)/I1641))</f>
        <v>#DIV/0!</v>
      </c>
      <c r="E1641" s="16" t="e">
        <f t="shared" si="439"/>
        <v>#DIV/0!</v>
      </c>
      <c r="F1641" s="15">
        <f>IF(A1646=A1647,_xll.ciqfunctions.udf.CIQ(A1638,"IQ_DILUT_EPS_EXCL",IQ_FY-7), _xll.ciqfunctions.udf.CIQ(A1638, "IQ_DILUT_EPS_EXCL",IQ_FY-6))</f>
        <v>0</v>
      </c>
      <c r="G1641" s="15">
        <f>IF(A1646=A1647,_xll.ciqfunctions.udf.CIQ(A1638,"IQ_EBITDA_MARGIN",IQ_FY-7), _xll.ciqfunctions.udf.CIQ(A1638, "IQ_EBITDA_MARGIN",IQ_FY-6))</f>
        <v>0</v>
      </c>
      <c r="H1641" s="15" t="e">
        <f>IF(A1646=A1647,_xll.ciqfunctions.udf.CIQ(A1638,"IQ_TOTAL_DIV_PAID_CF",IQ_FY-7)/-I1641, _xll.ciqfunctions.udf.CIQ(A1638, "IQ_TOTAL_DIV_PAID_CF",IQ_FY-6)/-I1641)</f>
        <v>#DIV/0!</v>
      </c>
      <c r="I1641" s="17">
        <f>IF(A1646=A1647,_xll.ciqfunctions.udf.CIQ(A1638,"IQ_TOTAL_OUTSTANDING_FILING_DATE",IQ_FY-7), _xll.ciqfunctions.udf.CIQ(A1638, "IQ_TOTAL_OUTSTANDING_FILING_DATE",IQ_FY-6))</f>
        <v>0</v>
      </c>
      <c r="J1641" s="17">
        <f>IF(A1646=A1647,_xll.ciqfunctions.udf.CIQ(A1638,"IQ_CASH_OPER",IQ_FY-7), _xll.ciqfunctions.udf.CIQ(A1638, "IQ_CASH_OPER",IQ_FY-6))</f>
        <v>0</v>
      </c>
      <c r="K1641" s="17">
        <f>IF(A1646=A1647,_xll.ciqfunctions.udf.CIQ(A1638,"IQ_CAPEX",IQ_FY-7), _xll.ciqfunctions.udf.CIQ(A1638, "IQ_CAPEX",IQ_FY-6))</f>
        <v>0</v>
      </c>
      <c r="L1641" s="15" t="e">
        <f t="shared" si="436"/>
        <v>#DIV/0!</v>
      </c>
      <c r="M1641" s="17">
        <f>IF(A1646=A1647,_xll.ciqfunctions.udf.CIQ(A1638,"IQ_TOTAL_DEBT_ISSUED",IQ_FY-7), _xll.ciqfunctions.udf.CIQ(A1638, "IQ_TOTAL_DEBT_ISSUED",IQ_FY-6))</f>
        <v>0</v>
      </c>
      <c r="N1641" s="17">
        <f>IF(A1646=A1647,_xll.ciqfunctions.udf.CIQ(A1638,"IQ_TOTAL_DEBT_REPAID",IQ_FY-7), _xll.ciqfunctions.udf.CIQ(A1638, "IQ_TOTAL_DEBT_REPAID",IQ_FY-6))</f>
        <v>0</v>
      </c>
      <c r="O1641" s="15" t="e">
        <f t="shared" si="437"/>
        <v>#DIV/0!</v>
      </c>
      <c r="P1641" s="15" t="e">
        <f t="shared" si="438"/>
        <v>#DIV/0!</v>
      </c>
      <c r="Q1641" s="25" t="s">
        <v>23</v>
      </c>
      <c r="R1641" s="38" t="s">
        <v>24</v>
      </c>
      <c r="S1641" s="1" t="e">
        <f>R1637/(AVERAGE(H1643:H1648)*(1+H1649)/(0.5-H1649))</f>
        <v>#DIV/0!</v>
      </c>
      <c r="U1641" s="25" t="s">
        <v>40</v>
      </c>
      <c r="V1641" s="38" t="s">
        <v>24</v>
      </c>
      <c r="W1641" s="1" t="e">
        <f>V1637/(AVERAGE(H1643:H1648)*(1+H1649)/(0.5-H1649))</f>
        <v>#DIV/0!</v>
      </c>
      <c r="Y1641" s="25" t="s">
        <v>47</v>
      </c>
      <c r="Z1641" s="38" t="s">
        <v>24</v>
      </c>
      <c r="AA1641" s="1" t="e">
        <f>Z1637/(AVERAGE(H1643:H1648)*(1+H1649)/(0.5-H1649))</f>
        <v>#DIV/0!</v>
      </c>
    </row>
    <row r="1642" spans="1:27">
      <c r="B1642" s="13">
        <v>5</v>
      </c>
      <c r="C1642" s="14" t="s">
        <v>25</v>
      </c>
      <c r="D1642" s="15" cm="1">
        <f t="array" ref="D1642">_xlfn.SINGLE(IF(A1646=A1647,_xll.ciqfunctions.udf.CIQ(A1638,"IQ_TOTAL_REV",IQ_FY-6)/I1642, _xll.ciqfunctions.udf.CIQ(A1638, "IQ_TOTAL_REV",IQ_FY-5)/I1642))</f>
        <v>6.3730021029300215</v>
      </c>
      <c r="E1642" s="16" t="e">
        <f t="shared" si="439"/>
        <v>#DIV/0!</v>
      </c>
      <c r="F1642" s="15">
        <f>IF(A1646=A1647,_xll.ciqfunctions.udf.CIQ(A1638,"IQ_DILUT_EPS_EXCL",IQ_FY-6), _xll.ciqfunctions.udf.CIQ(A1638, "IQ_DILUT_EPS_EXCL",IQ_FY-5))</f>
        <v>-3.15326</v>
      </c>
      <c r="G1642" s="15">
        <f>IF(A1646=A1647,_xll.ciqfunctions.udf.CIQ(A1638,"IQ_EBITDA_MARGIN",IQ_FY-6), _xll.ciqfunctions.udf.CIQ(A1638, "IQ_EBITDA_MARGIN",IQ_FY-5))</f>
        <v>-45.2958</v>
      </c>
      <c r="H1642" s="15">
        <f>IF(A1646=A1647,_xll.ciqfunctions.udf.CIQ(A1638,"IQ_TOTAL_DIV_PAID_CF",IQ_FY-6)/-I1642, _xll.ciqfunctions.udf.CIQ(A1638, "IQ_TOTAL_DIV_PAID_CF",IQ_FY-5)/-I1642)</f>
        <v>0</v>
      </c>
      <c r="I1642" s="17">
        <f>IF(A1646=A1647,_xll.ciqfunctions.udf.CIQ(A1638,"IQ_TOTAL_OUTSTANDING_FILING_DATE",IQ_FY-6), _xll.ciqfunctions.udf.CIQ(A1638, "IQ_TOTAL_OUTSTANDING_FILING_DATE",IQ_FY-5))</f>
        <v>17.613520000000001</v>
      </c>
      <c r="J1642" s="17">
        <f>IF(A1646=A1647,_xll.ciqfunctions.udf.CIQ(A1638,"IQ_CASH_OPER",IQ_FY-6), _xll.ciqfunctions.udf.CIQ(A1638, "IQ_CASH_OPER",IQ_FY-5))</f>
        <v>-24.66</v>
      </c>
      <c r="K1642" s="17">
        <f>IF(A1646=A1647,_xll.ciqfunctions.udf.CIQ(A1638,"IQ_CAPEX",IQ_FY-6), _xll.ciqfunctions.udf.CIQ(A1638, "IQ_CAPEX",IQ_FY-5))</f>
        <v>-5.1740000000000004</v>
      </c>
      <c r="L1642" s="15">
        <f t="shared" si="436"/>
        <v>-1.6938124804127737</v>
      </c>
      <c r="M1642" s="17">
        <f>IF(A1646=A1647,_xll.ciqfunctions.udf.CIQ(A1638,"IQ_TOTAL_DEBT_ISSUED",IQ_FY-6), _xll.ciqfunctions.udf.CIQ(A1638, "IQ_TOTAL_DEBT_ISSUED",IQ_FY-5))</f>
        <v>0</v>
      </c>
      <c r="N1642" s="17">
        <f>IF(A1646=A1647,_xll.ciqfunctions.udf.CIQ(A1638,"IQ_TOTAL_DEBT_REPAID",IQ_FY-6), _xll.ciqfunctions.udf.CIQ(A1638, "IQ_TOTAL_DEBT_REPAID",IQ_FY-5))</f>
        <v>-0.34499999999999997</v>
      </c>
      <c r="O1642" s="15">
        <f t="shared" si="437"/>
        <v>-1.9587226176255509E-2</v>
      </c>
      <c r="P1642" s="15">
        <f t="shared" si="438"/>
        <v>-1.7133997065890292</v>
      </c>
      <c r="Q1642" s="18"/>
      <c r="R1642" s="38" t="s">
        <v>50</v>
      </c>
      <c r="S1642" s="3">
        <f>I1649</f>
        <v>0.41708297178985054</v>
      </c>
      <c r="U1642" s="18"/>
      <c r="V1642" s="38" t="s">
        <v>50</v>
      </c>
      <c r="W1642" s="3">
        <f>I1649</f>
        <v>0.41708297178985054</v>
      </c>
      <c r="Y1642" s="18"/>
      <c r="Z1642" s="38" t="s">
        <v>50</v>
      </c>
      <c r="AA1642" s="3">
        <f>I1649</f>
        <v>0.41708297178985054</v>
      </c>
    </row>
    <row r="1643" spans="1:27">
      <c r="B1643" s="13">
        <v>6</v>
      </c>
      <c r="C1643" s="14" t="s">
        <v>26</v>
      </c>
      <c r="D1643" s="15" cm="1">
        <f t="array" ref="D1643">_xlfn.SINGLE(IF(A1646=A1647,_xll.ciqfunctions.udf.CIQ(A1638,"IQ_TOTAL_REV",IQ_FY-5)/I1643, _xll.ciqfunctions.udf.CIQ(A1638, "IQ_TOTAL_REV",IQ_FY-4)/I1643))</f>
        <v>7.4230775051233868</v>
      </c>
      <c r="E1643" s="16">
        <f t="shared" si="439"/>
        <v>0.16476934813980176</v>
      </c>
      <c r="F1643" s="15">
        <f>IF(A1646=A1647,_xll.ciqfunctions.udf.CIQ(A1638,"IQ_DILUT_EPS_EXCL",IQ_FY-5), _xll.ciqfunctions.udf.CIQ(A1638, "IQ_DILUT_EPS_EXCL",IQ_FY-4))</f>
        <v>-2.7738399999999999</v>
      </c>
      <c r="G1643" s="15">
        <f>IF(A1646=A1647,_xll.ciqfunctions.udf.CIQ(A1638,"IQ_EBITDA_MARGIN",IQ_FY-5), _xll.ciqfunctions.udf.CIQ(A1638, "IQ_EBITDA_MARGIN",IQ_FY-4))</f>
        <v>-25.946300000000001</v>
      </c>
      <c r="H1643" s="15">
        <f>IF(A1646=A1647,_xll.ciqfunctions.udf.CIQ(A1638,"IQ_TOTAL_DIV_PAID_CF",IQ_FY-5)/-I1643, _xll.ciqfunctions.udf.CIQ(A1638, "IQ_TOTAL_DIV_PAID_CF",IQ_FY-4)/-I1643)</f>
        <v>0</v>
      </c>
      <c r="I1643" s="17">
        <f>IF(A1646=A1647,_xll.ciqfunctions.udf.CIQ(A1638,"IQ_TOTAL_OUTSTANDING_FILING_DATE",IQ_FY-5), _xll.ciqfunctions.udf.CIQ(A1638, "IQ_TOTAL_OUTSTANDING_FILING_DATE",IQ_FY-4))</f>
        <v>25.110340000000001</v>
      </c>
      <c r="J1643" s="17">
        <f>IF(A1646=A1647,_xll.ciqfunctions.udf.CIQ(A1638,"IQ_CASH_OPER",IQ_FY-5), _xll.ciqfunctions.udf.CIQ(A1638, "IQ_CASH_OPER",IQ_FY-4))</f>
        <v>-21.103000000000002</v>
      </c>
      <c r="K1643" s="17">
        <f>IF(A1646=A1647,_xll.ciqfunctions.udf.CIQ(A1638,"IQ_CAPEX",IQ_FY-5), _xll.ciqfunctions.udf.CIQ(A1638, "IQ_CAPEX",IQ_FY-4))</f>
        <v>-13.741</v>
      </c>
      <c r="L1643" s="15">
        <f t="shared" si="436"/>
        <v>-1.3876355318167735</v>
      </c>
      <c r="M1643" s="17">
        <f>IF(A1646=A1647,_xll.ciqfunctions.udf.CIQ(A1638,"IQ_TOTAL_DEBT_ISSUED",IQ_FY-5), _xll.ciqfunctions.udf.CIQ(A1638, "IQ_TOTAL_DEBT_ISSUED",IQ_FY-4))</f>
        <v>0</v>
      </c>
      <c r="N1643" s="17">
        <f>IF(A1646=A1647,_xll.ciqfunctions.udf.CIQ(A1638,"IQ_TOTAL_DEBT_REPAID",IQ_FY-5), _xll.ciqfunctions.udf.CIQ(A1638, "IQ_TOTAL_DEBT_REPAID",IQ_FY-4))</f>
        <v>0</v>
      </c>
      <c r="O1643" s="15">
        <f t="shared" si="437"/>
        <v>0</v>
      </c>
      <c r="P1643" s="15">
        <f t="shared" si="438"/>
        <v>-1.3876355318167735</v>
      </c>
      <c r="Q1643" s="25" t="s">
        <v>27</v>
      </c>
      <c r="R1643" s="38" t="s">
        <v>51</v>
      </c>
      <c r="S1643" s="4">
        <f>AVERAGE(F1643:F1648)/AVERAGE(D1643:D1648)</f>
        <v>-0.34550140343596453</v>
      </c>
      <c r="U1643" s="25" t="s">
        <v>58</v>
      </c>
      <c r="V1643" s="38" t="s">
        <v>51</v>
      </c>
      <c r="W1643" s="4">
        <f>AVERAGE(F1643:F1648)/AVERAGE(D1643:D1648)</f>
        <v>-0.34550140343596453</v>
      </c>
      <c r="Y1643" s="25" t="s">
        <v>56</v>
      </c>
      <c r="Z1643" s="38" t="s">
        <v>51</v>
      </c>
      <c r="AA1643" s="4">
        <f>AVERAGE(F1643:F1648)/AVERAGE(D1643:D1648)</f>
        <v>-0.34550140343596453</v>
      </c>
    </row>
    <row r="1644" spans="1:27">
      <c r="A1644" s="18"/>
      <c r="B1644" s="13">
        <v>7</v>
      </c>
      <c r="C1644" s="14" t="s">
        <v>28</v>
      </c>
      <c r="D1644" s="15" cm="1">
        <f t="array" ref="D1644">_xlfn.SINGLE(IF(A1646=A1647,_xll.ciqfunctions.udf.CIQ(A1638,"IQ_TOTAL_REV",IQ_FY-4)/I1644, _xll.ciqfunctions.udf.CIQ(A1638, "IQ_TOTAL_REV",IQ_FY-3)/I1644))</f>
        <v>11.388244819264964</v>
      </c>
      <c r="E1644" s="16">
        <f t="shared" si="439"/>
        <v>0.53416757556482874</v>
      </c>
      <c r="F1644" s="15">
        <f>IF(A1646=A1647,_xll.ciqfunctions.udf.CIQ(A1638,"IQ_DILUT_EPS_EXCL",IQ_FY-4), _xll.ciqfunctions.udf.CIQ(A1638, "IQ_DILUT_EPS_EXCL",IQ_FY-3))</f>
        <v>-3.4114499999999999</v>
      </c>
      <c r="G1644" s="15">
        <f>IF(A1646=A1647,_xll.ciqfunctions.udf.CIQ(A1638,"IQ_EBITDA_MARGIN",IQ_FY-4), _xll.ciqfunctions.udf.CIQ(A1638, "IQ_EBITDA_MARGIN",IQ_FY-3))</f>
        <v>-25.126999999999999</v>
      </c>
      <c r="H1644" s="15">
        <f>IF(A1646=A1647,_xll.ciqfunctions.udf.CIQ(A1638,"IQ_TOTAL_DIV_PAID_CF",IQ_FY-4)/-I1644, _xll.ciqfunctions.udf.CIQ(A1638, "IQ_TOTAL_DIV_PAID_CF",IQ_FY-3)/-I1644)</f>
        <v>0</v>
      </c>
      <c r="I1644" s="17">
        <f>IF(A1646=A1647,_xll.ciqfunctions.udf.CIQ(A1638,"IQ_TOTAL_OUTSTANDING_FILING_DATE",IQ_FY-4), _xll.ciqfunctions.udf.CIQ(A1638, "IQ_TOTAL_OUTSTANDING_FILING_DATE",IQ_FY-3))</f>
        <v>25.394079999999999</v>
      </c>
      <c r="J1644" s="17">
        <f>IF(A1646=A1647,_xll.ciqfunctions.udf.CIQ(A1638,"IQ_CASH_OPER",IQ_FY-4), _xll.ciqfunctions.udf.CIQ(A1638, "IQ_CASH_OPER",IQ_FY-3))</f>
        <v>-7.0039999999999996</v>
      </c>
      <c r="K1644" s="17">
        <f>IF(A1646=A1647,_xll.ciqfunctions.udf.CIQ(A1638,"IQ_CAPEX",IQ_FY-4), _xll.ciqfunctions.udf.CIQ(A1638, "IQ_CAPEX",IQ_FY-3))</f>
        <v>-13.054</v>
      </c>
      <c r="L1644" s="15">
        <f t="shared" si="436"/>
        <v>-0.78986913485347765</v>
      </c>
      <c r="M1644" s="17">
        <f>IF(A1646=A1647,_xll.ciqfunctions.udf.CIQ(A1638,"IQ_TOTAL_DEBT_ISSUED",IQ_FY-4), _xll.ciqfunctions.udf.CIQ(A1638, "IQ_TOTAL_DEBT_ISSUED",IQ_FY-3))</f>
        <v>0</v>
      </c>
      <c r="N1644" s="17">
        <f>IF(A1646=A1647,_xll.ciqfunctions.udf.CIQ(A1638,"IQ_TOTAL_DEBT_REPAID",IQ_FY-4), _xll.ciqfunctions.udf.CIQ(A1638, "IQ_TOTAL_DEBT_REPAID",IQ_FY-3))</f>
        <v>-1.1259999999999999</v>
      </c>
      <c r="O1644" s="15">
        <f t="shared" si="437"/>
        <v>-4.4341043266777139E-2</v>
      </c>
      <c r="P1644" s="15">
        <f t="shared" si="438"/>
        <v>-0.83421017812025478</v>
      </c>
      <c r="Q1644" s="18"/>
      <c r="R1644" s="38" t="s">
        <v>29</v>
      </c>
      <c r="S1644" s="4">
        <f>(AVERAGE(P1643:P1648)/_xlfn.STDEV.P(P1643:P1648))/(IF(A1646=A1647,(_xlfn.SINGLE(_xll.ciqfunctions.udf.CIQ(A1638,"IQ_total_assets",IQ_FY)) - _xlfn.SINGLE(_xll.ciqfunctions.udf.CIQ(A1638,"iq_gw_intan", IQ_FY)))/I1648, (_xlfn.SINGLE(_xll.ciqfunctions.udf.CIQ(A1638, "IQ_total_assets",IQ_LTM))-_xlfn.SINGLE(_xll.ciqfunctions.udf.CIQ(A1638,"iq_gw_intan",IQ_LTM)))/I1648))</f>
        <v>-4.2017918482556912E-2</v>
      </c>
      <c r="U1644" s="18"/>
      <c r="V1644" s="38" t="s">
        <v>29</v>
      </c>
      <c r="W1644" s="4">
        <f>(AVERAGE(P1643:P1648)/_xlfn.STDEV.P(P1643:P1648))/(IF(A1646=A1647,(_xlfn.SINGLE(_xll.ciqfunctions.udf.CIQ(A1638,"IQ_total_assets",IQ_FY)) - _xlfn.SINGLE(_xll.ciqfunctions.udf.CIQ(A1638,"iq_gw_intan", IQ_FY)))/I1648, (_xlfn.SINGLE(_xll.ciqfunctions.udf.CIQ(A1638, "IQ_total_assets",IQ_LTM))-_xlfn.SINGLE(_xll.ciqfunctions.udf.CIQ(A1638,"iq_gw_intan",IQ_LTM)))/I1648))</f>
        <v>-4.2017918482556912E-2</v>
      </c>
      <c r="Y1644" s="18"/>
      <c r="Z1644" s="38" t="s">
        <v>29</v>
      </c>
      <c r="AA1644" s="4">
        <f>(AVERAGE(P1643:P1648)/_xlfn.STDEV.P(P1643:P1648))/(IF(A1646=A1647,(_xlfn.SINGLE(_xll.ciqfunctions.udf.CIQ(A1638,"IQ_total_assets",IQ_FY)) - _xlfn.SINGLE(_xll.ciqfunctions.udf.CIQ(A1638,"iq_gw_intan", IQ_FY)))/I1648, (_xlfn.SINGLE(_xll.ciqfunctions.udf.CIQ(A1638, "IQ_total_assets",IQ_LTM))-_xlfn.SINGLE(_xll.ciqfunctions.udf.CIQ(A1638,"iq_gw_intan",IQ_LTM)))/I1648))</f>
        <v>-4.2017918482556912E-2</v>
      </c>
    </row>
    <row r="1645" spans="1:27">
      <c r="A1645" s="18"/>
      <c r="B1645" s="13">
        <v>8</v>
      </c>
      <c r="C1645" s="14" t="s">
        <v>30</v>
      </c>
      <c r="D1645" s="15" cm="1">
        <f t="array" ref="D1645">_xlfn.SINGLE(IF(A1646=A1647,_xll.ciqfunctions.udf.CIQ(A1638,"IQ_TOTAL_REV",IQ_FY-3)/I1645, _xll.ciqfunctions.udf.CIQ(A1638, "IQ_TOTAL_REV",IQ_FY-2)/I1645))</f>
        <v>13.035775753563263</v>
      </c>
      <c r="E1645" s="16">
        <f t="shared" si="439"/>
        <v>0.14466943417929051</v>
      </c>
      <c r="F1645" s="15">
        <f>IF(A1646=A1647,_xll.ciqfunctions.udf.CIQ(A1638,"IQ_DILUT_EPS_EXCL",IQ_FY-3), _xll.ciqfunctions.udf.CIQ(A1638, "IQ_DILUT_EPS_EXCL",IQ_FY-2))</f>
        <v>-3.4474</v>
      </c>
      <c r="G1645" s="15">
        <f>IF(A1646=A1647,_xll.ciqfunctions.udf.CIQ(A1638,"IQ_EBITDA_MARGIN",IQ_FY-3), _xll.ciqfunctions.udf.CIQ(A1638, "IQ_EBITDA_MARGIN",IQ_FY-2))</f>
        <v>-9.3734000000000002</v>
      </c>
      <c r="H1645" s="15">
        <f>IF(A1646=A1647,_xll.ciqfunctions.udf.CIQ(A1638,"IQ_TOTAL_DIV_PAID_CF",IQ_FY-3)/-I1645, _xll.ciqfunctions.udf.CIQ(A1638, "IQ_TOTAL_DIV_PAID_CF",IQ_FY-2)/-I1645)</f>
        <v>0</v>
      </c>
      <c r="I1645" s="17">
        <f>IF(A1646=A1647,_xll.ciqfunctions.udf.CIQ(A1638,"IQ_TOTAL_OUTSTANDING_FILING_DATE",IQ_FY-3), _xll.ciqfunctions.udf.CIQ(A1638, "IQ_TOTAL_OUTSTANDING_FILING_DATE",IQ_FY-2))</f>
        <v>30.70711</v>
      </c>
      <c r="J1645" s="17">
        <f>IF(A1646=A1647,_xll.ciqfunctions.udf.CIQ(A1638,"IQ_CASH_OPER",IQ_FY-3), _xll.ciqfunctions.udf.CIQ(A1638, "IQ_CASH_OPER",IQ_FY-2))</f>
        <v>21.853000000000002</v>
      </c>
      <c r="K1645" s="17">
        <f>IF(A1646=A1647,_xll.ciqfunctions.udf.CIQ(A1638,"IQ_CAPEX",IQ_FY-3), _xll.ciqfunctions.udf.CIQ(A1638, "IQ_CAPEX",IQ_FY-2))</f>
        <v>-7.202</v>
      </c>
      <c r="L1645" s="15">
        <f t="shared" si="436"/>
        <v>0.47712077105269762</v>
      </c>
      <c r="M1645" s="17">
        <f>IF(A1646=A1647,_xll.ciqfunctions.udf.CIQ(A1638,"IQ_TOTAL_DEBT_ISSUED",IQ_FY-3), _xll.ciqfunctions.udf.CIQ(A1638, "IQ_TOTAL_DEBT_ISSUED",IQ_FY-2))</f>
        <v>0</v>
      </c>
      <c r="N1645" s="17">
        <f>IF(A1646=A1647,_xll.ciqfunctions.udf.CIQ(A1638,"IQ_TOTAL_DEBT_REPAID",IQ_FY-3), _xll.ciqfunctions.udf.CIQ(A1638, "IQ_TOTAL_DEBT_REPAID",IQ_FY-2))</f>
        <v>-1.34</v>
      </c>
      <c r="O1645" s="15">
        <f t="shared" si="437"/>
        <v>-4.363810205519178E-2</v>
      </c>
      <c r="P1645" s="15">
        <f t="shared" si="438"/>
        <v>0.43348266899750587</v>
      </c>
      <c r="Q1645" s="18"/>
      <c r="R1645" s="39" t="s">
        <v>31</v>
      </c>
      <c r="S1645" s="5" t="e">
        <f>IF(NOT(D1638&gt;0),FALSE,SLOPE(G1638:G1648,B1638:B1648))</f>
        <v>#DIV/0!</v>
      </c>
      <c r="U1645" s="18"/>
      <c r="V1645" s="39" t="s">
        <v>31</v>
      </c>
      <c r="W1645" s="5" t="e">
        <f>IF(NOT(D1638&gt;0),FALSE,SLOPE(G1638:G1648,B1638:B1648))</f>
        <v>#DIV/0!</v>
      </c>
      <c r="Y1645" s="18"/>
      <c r="Z1645" s="39" t="s">
        <v>31</v>
      </c>
      <c r="AA1645" s="5" t="e">
        <f>IF(NOT(L1638&gt;0),FALSE,SLOPE(O1638:O1648,J1638:J1648))</f>
        <v>#DIV/0!</v>
      </c>
    </row>
    <row r="1646" spans="1:27">
      <c r="A1646" s="19">
        <f>_xll.ciqfunctions.udf.CIQ(A1638,"IQ_TOTAL_REV",IQ_FY)</f>
        <v>720.20299999999997</v>
      </c>
      <c r="B1646" s="13">
        <v>9</v>
      </c>
      <c r="C1646" s="14" t="s">
        <v>32</v>
      </c>
      <c r="D1646" s="15" cm="1">
        <f t="array" ref="D1646">_xlfn.SINGLE(IF(A1646=A1647,_xll.ciqfunctions.udf.CIQ(A1638,"IQ_TOTAL_REV",IQ_FY-2)/I1646, _xll.ciqfunctions.udf.CIQ(A1638, "IQ_TOTAL_REV",IQ_FY-1)/I1646))</f>
        <v>3.810634582452018</v>
      </c>
      <c r="E1646" s="16">
        <f t="shared" si="439"/>
        <v>-0.70767872549430744</v>
      </c>
      <c r="F1646" s="15">
        <f>IF(A1646=A1647,_xll.ciqfunctions.udf.CIQ(A1638,"IQ_DILUT_EPS_EXCL",IQ_FY-2), _xll.ciqfunctions.udf.CIQ(A1638, "IQ_DILUT_EPS_EXCL",IQ_FY-1))</f>
        <v>-2.8612799999999998</v>
      </c>
      <c r="G1646" s="15">
        <f>IF(A1646=A1647,_xll.ciqfunctions.udf.CIQ(A1638,"IQ_EBITDA_MARGIN",IQ_FY-2), _xll.ciqfunctions.udf.CIQ(A1638, "IQ_EBITDA_MARGIN",IQ_FY-1))</f>
        <v>-50.3551</v>
      </c>
      <c r="H1646" s="15">
        <f>IF(A1646=A1647,_xll.ciqfunctions.udf.CIQ(A1638,"IQ_TOTAL_DIV_PAID_CF",IQ_FY-2)/-I1646, _xll.ciqfunctions.udf.CIQ(A1638, "IQ_TOTAL_DIV_PAID_CF",IQ_FY-1)/-I1646)</f>
        <v>0</v>
      </c>
      <c r="I1646" s="17">
        <f>IF(A1646=A1647,_xll.ciqfunctions.udf.CIQ(A1638,"IQ_TOTAL_OUTSTANDING_FILING_DATE",IQ_FY-2), _xll.ciqfunctions.udf.CIQ(A1638, "IQ_TOTAL_OUTSTANDING_FILING_DATE",IQ_FY-1))</f>
        <v>135.10112000000001</v>
      </c>
      <c r="J1646" s="17">
        <f>IF(A1646=A1647,_xll.ciqfunctions.udf.CIQ(A1638,"IQ_CASH_OPER",IQ_FY-2), _xll.ciqfunctions.udf.CIQ(A1638, "IQ_CASH_OPER",IQ_FY-1))</f>
        <v>36.729999999999997</v>
      </c>
      <c r="K1646" s="17">
        <f>IF(A1646=A1647,_xll.ciqfunctions.udf.CIQ(A1638,"IQ_CAPEX",IQ_FY-2), _xll.ciqfunctions.udf.CIQ(A1638, "IQ_CAPEX",IQ_FY-1))</f>
        <v>-12.382999999999999</v>
      </c>
      <c r="L1646" s="15">
        <f t="shared" si="436"/>
        <v>0.18021316181538685</v>
      </c>
      <c r="M1646" s="17">
        <f>IF(A1646=A1647,_xll.ciqfunctions.udf.CIQ(A1638,"IQ_TOTAL_DEBT_ISSUED",IQ_FY-2), _xll.ciqfunctions.udf.CIQ(A1638, "IQ_TOTAL_DEBT_ISSUED",IQ_FY-1))</f>
        <v>0</v>
      </c>
      <c r="N1646" s="17">
        <f>IF(A1646=A1647,_xll.ciqfunctions.udf.CIQ(A1638,"IQ_TOTAL_DEBT_REPAID",IQ_FY-2), _xll.ciqfunctions.udf.CIQ(A1638, "IQ_TOTAL_DEBT_REPAID",IQ_FY-1))</f>
        <v>-1.5089999999999999</v>
      </c>
      <c r="O1646" s="15">
        <f t="shared" si="437"/>
        <v>-1.1169411474901169E-2</v>
      </c>
      <c r="P1646" s="15">
        <f t="shared" si="438"/>
        <v>0.16904375034048569</v>
      </c>
      <c r="Q1646" s="25" t="s">
        <v>33</v>
      </c>
      <c r="R1646" s="38" t="s">
        <v>52</v>
      </c>
      <c r="S1646" s="4">
        <f>(AVERAGE(O1643:O1648)/AVERAGE(P1643:P1648))</f>
        <v>0.10146338150652823</v>
      </c>
      <c r="U1646" s="25" t="s">
        <v>54</v>
      </c>
      <c r="V1646" s="38" t="s">
        <v>52</v>
      </c>
      <c r="W1646" s="4">
        <f>(AVERAGE(O1643:O1648)/AVERAGE(P1643:P1648))</f>
        <v>0.10146338150652823</v>
      </c>
      <c r="Y1646" s="25" t="s">
        <v>60</v>
      </c>
      <c r="Z1646" s="38" t="s">
        <v>52</v>
      </c>
      <c r="AA1646" s="4">
        <f>(AVERAGE(O1643:O1648)/AVERAGE(P1643:P1648))</f>
        <v>0.10146338150652823</v>
      </c>
    </row>
    <row r="1647" spans="1:27">
      <c r="A1647" s="19">
        <f>_xll.ciqfunctions.udf.CIQ(A1638,"IQ_TOTAL_REV",IQ_LTM)</f>
        <v>892.02200000000005</v>
      </c>
      <c r="B1647" s="13">
        <v>10</v>
      </c>
      <c r="C1647" s="14" t="s">
        <v>34</v>
      </c>
      <c r="D1647" s="15" cm="1">
        <f t="array" ref="D1647">_xlfn.SINGLE(IF(A1646=A1647,_xll.ciqfunctions.udf.CIQ(A1638,"IQ_TOTAL_REV",IQ_FY-1)/I1647, _xll.ciqfunctions.udf.CIQ(A1638, "IQ_TOTAL_REV",IQ_FY)/I1647))</f>
        <v>5.1350318082594804</v>
      </c>
      <c r="E1647" s="16">
        <f t="shared" si="439"/>
        <v>0.34755293302231471</v>
      </c>
      <c r="F1647" s="15">
        <f>IF(A1646=A1647,_xll.ciqfunctions.udf.CIQ(A1638,"IQ_DILUT_EPS_EXCL",IQ_FY-1), _xll.ciqfunctions.udf.CIQ(A1638, "IQ_DILUT_EPS_EXCL",IQ_FY))</f>
        <v>-2.1016599999999999</v>
      </c>
      <c r="G1647" s="15">
        <f>IF(A1646=A1647,_xll.ciqfunctions.udf.CIQ(A1638,"IQ_EBITDA_MARGIN",IQ_FY-1), _xll.ciqfunctions.udf.CIQ(A1638, "IQ_EBITDA_MARGIN",IQ_FY))</f>
        <v>-34.712000000000003</v>
      </c>
      <c r="H1647" s="15">
        <f>IF(A1646=A1647,_xll.ciqfunctions.udf.CIQ(A1638,"IQ_TOTAL_DIV_PAID_CF",IQ_FY-1)/-I1647, _xll.ciqfunctions.udf.CIQ(A1638, "IQ_TOTAL_DIV_PAID_CF",IQ_FY)/-I1647)</f>
        <v>0</v>
      </c>
      <c r="I1647" s="17">
        <f>IF(A1646=A1647,_xll.ciqfunctions.udf.CIQ(A1638,"IQ_TOTAL_OUTSTANDING_FILING_DATE",IQ_FY-1), _xll.ciqfunctions.udf.CIQ(A1638, "IQ_TOTAL_OUTSTANDING_FILING_DATE",IQ_FY))</f>
        <v>140.25288</v>
      </c>
      <c r="J1647" s="17">
        <f>IF(A1646=A1647,_xll.ciqfunctions.udf.CIQ(A1638,"IQ_CASH_OPER",IQ_FY-1), _xll.ciqfunctions.udf.CIQ(A1638, "IQ_CASH_OPER",IQ_FY))</f>
        <v>12.608000000000001</v>
      </c>
      <c r="K1647" s="17">
        <f>IF(A1646=A1647,_xll.ciqfunctions.udf.CIQ(A1638,"IQ_CAPEX",IQ_FY-1), _xll.ciqfunctions.udf.CIQ(A1638, "IQ_CAPEX",IQ_FY))</f>
        <v>-15.782</v>
      </c>
      <c r="L1647" s="15">
        <f t="shared" si="436"/>
        <v>-2.2630551329855041E-2</v>
      </c>
      <c r="M1647" s="17">
        <f>IF(A1646=A1647,_xll.ciqfunctions.udf.CIQ(A1638,"IQ_TOTAL_DEBT_ISSUED",IQ_FY-1), _xll.ciqfunctions.udf.CIQ(A1638, "IQ_TOTAL_DEBT_ISSUED",IQ_FY))</f>
        <v>0</v>
      </c>
      <c r="N1647" s="17">
        <f>IF(A1646=A1647,_xll.ciqfunctions.udf.CIQ(A1638,"IQ_TOTAL_DEBT_REPAID",IQ_FY-1), _xll.ciqfunctions.udf.CIQ(A1638, "IQ_TOTAL_DEBT_REPAID",IQ_FY))</f>
        <v>-1.7050000000000001</v>
      </c>
      <c r="O1647" s="15">
        <f t="shared" si="437"/>
        <v>-1.2156613111973174E-2</v>
      </c>
      <c r="P1647" s="15">
        <f t="shared" si="438"/>
        <v>-3.4787164441828215E-2</v>
      </c>
      <c r="Q1647" s="25" t="s">
        <v>44</v>
      </c>
      <c r="R1647" s="38" t="s">
        <v>35</v>
      </c>
      <c r="S1647" s="1" t="str">
        <f>_xll.ciqfunctions.udf.CIQ(A1638,"IQ_TEV_EBITDA")</f>
        <v>NM</v>
      </c>
      <c r="U1647" s="25" t="s">
        <v>55</v>
      </c>
      <c r="V1647" s="38" t="s">
        <v>53</v>
      </c>
      <c r="W1647" s="1">
        <f>V1637/(AVERAGE(D1643:D1648)/_xlfn.STDEV.P(E1643:E1648))</f>
        <v>2.8513610708201673</v>
      </c>
      <c r="Y1647" s="25" t="s">
        <v>57</v>
      </c>
      <c r="Z1647" s="38" t="s">
        <v>53</v>
      </c>
      <c r="AA1647" s="1">
        <f>Z1637/(AVERAGE(D1643:D1648)/_xlfn.STDEV.P(E1643:E1648))</f>
        <v>2.8513610708201673</v>
      </c>
    </row>
    <row r="1648" spans="1:27">
      <c r="B1648" s="13">
        <v>11</v>
      </c>
      <c r="C1648" s="20" t="s">
        <v>36</v>
      </c>
      <c r="D1648" s="21" cm="1">
        <f t="array" ref="D1648">_xlfn.SINGLE(IF(A1646=A1647,_xll.ciqfunctions.udf.CIQ(A1638,"IQ_TOTAL_REV",IQ_FY)/I1648, _xll.ciqfunctions.udf.CIQ(A1638, "IQ_TOTAL_REV",IQ_LTM)/I1648))</f>
        <v>6.2165091217703958</v>
      </c>
      <c r="E1648" s="22">
        <f t="shared" si="439"/>
        <v>0.21060771459514724</v>
      </c>
      <c r="F1648" s="21">
        <f>IF(A1646=A1647,_xll.ciqfunctions.udf.CIQ(A1638,"IQ_DILUT_EPS_EXCL",IQ_FY), _xll.ciqfunctions.udf.CIQ(A1638, "IQ_DILUT_EPS_EXCL",IQ_LTM))</f>
        <v>-1.6461399999999999</v>
      </c>
      <c r="G1648" s="21">
        <f>IF(A1646=A1647,_xll.ciqfunctions.udf.CIQ(A1638,"IQ_EBITDA_MARGIN",IQ_FY), _xll.ciqfunctions.udf.CIQ(A1638, "IQ_EBITDA_MARGIN",IQ_LTM))</f>
        <v>-23.128900000000002</v>
      </c>
      <c r="H1648" s="21">
        <f>IF(A1646=A1647,_xll.ciqfunctions.udf.CIQ(A1638,"IQ_TOTAL_DIV_PAID_CF",IQ_FY)/-I1648, _xll.ciqfunctions.udf.CIQ(A1638, "IQ_TOTAL_DIV_PAID_CF",IQ_LTM)/-I1648)</f>
        <v>0</v>
      </c>
      <c r="I1648" s="23">
        <f>IF(A1646=A1647,_xll.ciqfunctions.udf.CIQ(A1638,"IQ_TOTAL_OUTSTANDING_FILING_DATE",IQ_FY),_xll.ciqfunctions.udf.CIQ(A1638,"IQ_sharesoutstanding"))</f>
        <v>143.49243000000001</v>
      </c>
      <c r="J1648" s="23">
        <f>IF(A1646=A1647,_xll.ciqfunctions.udf.CIQ(A1638,"IQ_CASH_OPER",IQ_FY), _xll.ciqfunctions.udf.CIQ(A1638, "IQ_CASH_OPER",IQ_LTM))</f>
        <v>73.963999999999999</v>
      </c>
      <c r="K1648" s="23">
        <f>IF(A1646=A1647,_xll.ciqfunctions.udf.CIQ(A1638,"IQ_CAPEX",IQ_FY), _xll.ciqfunctions.udf.CIQ(A1638, "IQ_CAPEX",IQ_LTM))</f>
        <v>-10.185</v>
      </c>
      <c r="L1648" s="21">
        <f t="shared" si="436"/>
        <v>0.44447640896457041</v>
      </c>
      <c r="M1648" s="23">
        <f>IF(A1646=A1647,_xll.ciqfunctions.udf.CIQ(A1638,"IQ_TOTAL_DEBT_ISSUED",IQ_FY), _xll.ciqfunctions.udf.CIQ(A1638, "IQ_TOTAL_DEBT_ISSUED",IQ_LTM))</f>
        <v>0</v>
      </c>
      <c r="N1648" s="23">
        <f>IF(A1646=A1647,_xll.ciqfunctions.udf.CIQ(A1638,"IQ_TOTAL_DEBT_REPAID",IQ_FY), _xll.ciqfunctions.udf.CIQ(A1638, "IQ_TOTAL_DEBT_REPAID",IQ_LTM))</f>
        <v>-1.825</v>
      </c>
      <c r="O1648" s="21">
        <f t="shared" si="437"/>
        <v>-1.2718440965840495E-2</v>
      </c>
      <c r="P1648" s="21">
        <f t="shared" si="438"/>
        <v>0.4317579679987299</v>
      </c>
      <c r="Q1648" s="25" t="s">
        <v>45</v>
      </c>
      <c r="S1648" s="45"/>
      <c r="U1648" s="25"/>
      <c r="W1648" s="45"/>
      <c r="Y1648" s="25"/>
      <c r="AA1648" s="45"/>
    </row>
    <row r="1649" spans="1:27">
      <c r="B1649" s="24"/>
      <c r="C1649" s="25" t="s">
        <v>37</v>
      </c>
      <c r="E1649" s="26">
        <f>((D1648/D1643)^(1/5))-1</f>
        <v>-3.4855109103457904E-2</v>
      </c>
      <c r="F1649" s="27">
        <f>((F1648/F1643)^(1/5))-1</f>
        <v>-9.9098993126000456E-2</v>
      </c>
      <c r="G1649" s="28"/>
      <c r="H1649" s="27" t="e">
        <f>((H1648/H1643)^(1/5))-1</f>
        <v>#DIV/0!</v>
      </c>
      <c r="I1649" s="27">
        <f>((I1648/I1643)^(1/5))-1</f>
        <v>0.41708297178985054</v>
      </c>
      <c r="J1649" s="27"/>
      <c r="K1649" s="27"/>
      <c r="L1649" s="26">
        <f>((L1648/L1643)^(1/5))-1</f>
        <v>-1.7963695769656973</v>
      </c>
      <c r="M1649" s="26"/>
      <c r="N1649" s="26"/>
      <c r="O1649" s="26"/>
      <c r="P1649" s="26">
        <f>((P1648/P1643)^(1/5))-1</f>
        <v>-1.7917589655674608</v>
      </c>
      <c r="Q1649" s="18"/>
      <c r="R1649" s="36"/>
      <c r="S1649" s="45"/>
      <c r="U1649" s="18"/>
      <c r="V1649" s="36"/>
      <c r="W1649" s="45"/>
      <c r="Y1649" s="18"/>
      <c r="Z1649" s="36"/>
      <c r="AA1649" s="45"/>
    </row>
    <row r="1650" spans="1:27">
      <c r="A1650" s="29"/>
      <c r="B1650" s="30"/>
      <c r="C1650" s="31" t="s">
        <v>38</v>
      </c>
      <c r="D1650" s="29"/>
      <c r="E1650" s="32" t="e">
        <f>((D1648/D1638)^(1/10))-1</f>
        <v>#DIV/0!</v>
      </c>
      <c r="F1650" s="33" t="e">
        <f>((F1648/F1638)^(1/10))-1</f>
        <v>#DIV/0!</v>
      </c>
      <c r="G1650" s="34"/>
      <c r="H1650" s="33" t="e">
        <f>((H1648/H1638)^(1/10))-1</f>
        <v>#DIV/0!</v>
      </c>
      <c r="I1650" s="33" t="e">
        <f>((I1648/I1638)^(1/10))-1</f>
        <v>#DIV/0!</v>
      </c>
      <c r="J1650" s="33"/>
      <c r="K1650" s="33"/>
      <c r="L1650" s="32" t="e">
        <f>((L1648/L1638)^(1/10))-1</f>
        <v>#DIV/0!</v>
      </c>
      <c r="M1650" s="32"/>
      <c r="N1650" s="32"/>
      <c r="O1650" s="32"/>
      <c r="P1650" s="32" t="e">
        <f>((P1648/P1638)^(1/10))-1</f>
        <v>#DIV/0!</v>
      </c>
      <c r="Q1650" s="40"/>
      <c r="R1650" s="41"/>
      <c r="S1650" s="46"/>
      <c r="U1650" s="40"/>
      <c r="V1650" s="41"/>
      <c r="W1650" s="46"/>
      <c r="Y1650" s="40"/>
      <c r="Z1650" s="41"/>
      <c r="AA1650" s="46"/>
    </row>
    <row r="1651" spans="1:27">
      <c r="B1651" s="24"/>
      <c r="C1651" s="25"/>
      <c r="E1651" s="26"/>
      <c r="F1651" s="27"/>
      <c r="G1651" s="28"/>
      <c r="H1651" s="27"/>
      <c r="I1651" s="27"/>
      <c r="J1651" s="27"/>
      <c r="K1651" s="27"/>
      <c r="L1651" s="26"/>
      <c r="M1651" s="17"/>
      <c r="N1651" s="17"/>
      <c r="O1651" s="17"/>
      <c r="P1651" s="35"/>
      <c r="Q1651" s="18"/>
      <c r="R1651" s="36"/>
    </row>
    <row r="1652" spans="1:27">
      <c r="A1652" s="9" t="s">
        <v>0</v>
      </c>
      <c r="B1652" s="10"/>
      <c r="C1652" s="9" t="s">
        <v>1</v>
      </c>
      <c r="D1652" s="9" t="s">
        <v>2</v>
      </c>
      <c r="E1652" s="9" t="s">
        <v>3</v>
      </c>
      <c r="F1652" s="11" t="s">
        <v>4</v>
      </c>
      <c r="G1652" s="11" t="s">
        <v>5</v>
      </c>
      <c r="H1652" s="9" t="s">
        <v>6</v>
      </c>
      <c r="I1652" s="11" t="s">
        <v>7</v>
      </c>
      <c r="J1652" s="11" t="s">
        <v>8</v>
      </c>
      <c r="K1652" s="11" t="s">
        <v>9</v>
      </c>
      <c r="L1652" s="11" t="s">
        <v>10</v>
      </c>
      <c r="M1652" s="11" t="s">
        <v>11</v>
      </c>
      <c r="N1652" s="11" t="s">
        <v>12</v>
      </c>
      <c r="O1652" s="11" t="s">
        <v>13</v>
      </c>
      <c r="P1652" s="11" t="s">
        <v>14</v>
      </c>
      <c r="Q1652" s="37" t="s">
        <v>15</v>
      </c>
      <c r="R1652" s="42">
        <f>_xll.ciqfunctions.udf.CIQ(A1653,("IQ_LASTSALEPRICE"))</f>
        <v>11.56</v>
      </c>
      <c r="S1652" s="44"/>
      <c r="U1652" s="37" t="s">
        <v>15</v>
      </c>
      <c r="V1652" s="42">
        <f>_xll.ciqfunctions.udf.CIQ(A1653,("IQ_LASTSALEPRICE"))</f>
        <v>11.56</v>
      </c>
      <c r="W1652" s="44"/>
      <c r="Y1652" s="37" t="s">
        <v>15</v>
      </c>
      <c r="Z1652" s="42">
        <f>_xll.ciqfunctions.udf.CIQ(A1653,("IQ_LASTSALEPRICE"))</f>
        <v>11.56</v>
      </c>
      <c r="AA1652" s="44"/>
    </row>
    <row r="1653" spans="1:27">
      <c r="A1653" s="12" t="str">
        <f>Analysis!B112</f>
        <v>NasdaqGS:CCCS</v>
      </c>
      <c r="B1653" s="13">
        <v>1</v>
      </c>
      <c r="C1653" s="14" t="s">
        <v>16</v>
      </c>
      <c r="D1653" s="15" t="e">
        <f>IF(A1661=A1662,_xll.ciqfunctions.udf.CIQ(A1653,"IQ_TOTAL_REV",IQ_FY-10)/I1653,_xll.ciqfunctions.udf.CIQ(A1653, "IQ_TOTAL_REV",IQ_FY-9)/I1653)</f>
        <v>#DIV/0!</v>
      </c>
      <c r="E1653" s="16"/>
      <c r="F1653" s="15">
        <f>IF(A1661=A1662,_xll.ciqfunctions.udf.CIQ(A1653,"IQ_DILUT_EPS_EXCL",IQ_FY-10), _xll.ciqfunctions.udf.CIQ(A1653, "IQ_DILUT_EPS_EXCL",IQ_FY-9))</f>
        <v>0</v>
      </c>
      <c r="G1653" s="15">
        <f>IF(A1661=A1662,_xll.ciqfunctions.udf.CIQ(A1653,"IQ_EBITDA_MARGIN",IQ_FY-10), _xll.ciqfunctions.udf.CIQ(A1653, "IQ_EBITDA_MARGIN",IQ_FY-9))</f>
        <v>0</v>
      </c>
      <c r="H1653" s="15" t="e">
        <f>IF(A1661=A1662,_xll.ciqfunctions.udf.CIQ(A1653,"IQ_TOTAL_DIV_PAID_CF",IQ_FY-10)/-I1653, _xll.ciqfunctions.udf.CIQ(A1653, "IQ_TOTAL_DIV_PAID_CF",IQ_FY-9)/-I1653)</f>
        <v>#DIV/0!</v>
      </c>
      <c r="I1653" s="17">
        <f>IF(A1661=A1662,_xll.ciqfunctions.udf.CIQ(A1653,"IQ_TOTAL_OUTSTANDING_FILING_DATE",IQ_FY-10), _xll.ciqfunctions.udf.CIQ(A1653, "IQ_TOTAL_OUTSTANDING_FILING_DATE",IQ_FY-9))</f>
        <v>0</v>
      </c>
      <c r="J1653" s="17">
        <f>IF(A1661=A1662,_xll.ciqfunctions.udf.CIQ(A1653,"IQ_CASH_OPER",IQ_FY-10), _xll.ciqfunctions.udf.CIQ(A1653, "IQ_CASH_OPER",IQ_FY-9))</f>
        <v>0</v>
      </c>
      <c r="K1653" s="17">
        <f>IF(A1661=A1662,_xll.ciqfunctions.udf.CIQ(A1653,"IQ_CAPEX",IQ_FY-10), _xll.ciqfunctions.udf.CIQ(A1653, "IQ_CAPEX",IQ_FY-9))</f>
        <v>0</v>
      </c>
      <c r="L1653" s="15" t="e">
        <f t="shared" ref="L1653:L1663" si="440">(J1653+K1653)/I1653</f>
        <v>#DIV/0!</v>
      </c>
      <c r="M1653" s="17">
        <f>IF(A1661=A1662,_xll.ciqfunctions.udf.CIQ(A1653,"IQ_TOTAL_DEBT_ISSUED",IQ_FY-10), _xll.ciqfunctions.udf.CIQ(A1653, "IQ_TOTAL_DEBT_ISSUED",IQ_FY-9))</f>
        <v>0</v>
      </c>
      <c r="N1653" s="17">
        <f>IF(A1661=A1662,_xll.ciqfunctions.udf.CIQ(A1653,"IQ_TOTAL_DEBT_REPAID",IQ_FY-10), _xll.ciqfunctions.udf.CIQ(A1653, "IQ_TOTAL_DEBT_REPAID",IQ_FY-9))</f>
        <v>0</v>
      </c>
      <c r="O1653" s="15" t="e">
        <f t="shared" ref="O1653:O1663" si="441">(M1653+N1653)/I1653</f>
        <v>#DIV/0!</v>
      </c>
      <c r="P1653" s="15" t="e">
        <f t="shared" ref="P1653:P1663" si="442">L1653+O1653</f>
        <v>#DIV/0!</v>
      </c>
      <c r="W1653" s="43"/>
      <c r="AA1653" s="43"/>
    </row>
    <row r="1654" spans="1:27">
      <c r="A1654" s="18" t="str">
        <f>_xll.ciqfunctions.udf.CIQ(A1653,"IQ_COMPANY_NAME")</f>
        <v>CCC Intelligent Solutions Holdings Inc.</v>
      </c>
      <c r="B1654" s="13">
        <v>2</v>
      </c>
      <c r="C1654" s="14" t="s">
        <v>17</v>
      </c>
      <c r="D1654" s="15" t="e">
        <f>IF(A1661=A1662,_xll.ciqfunctions.udf.CIQ(A1653,"IQ_TOTAL_REV",IQ_FY-9)/I1654, _xll.ciqfunctions.udf.CIQ(A1653, "IQ_TOTAL_REV",IQ_FY-8)/I1654)</f>
        <v>#DIV/0!</v>
      </c>
      <c r="E1654" s="16" t="e">
        <f t="shared" ref="E1654:E1663" si="443">(D1654-D1653)/D1653</f>
        <v>#DIV/0!</v>
      </c>
      <c r="F1654" s="15">
        <f>IF(A1661=A1662,_xll.ciqfunctions.udf.CIQ(A1653,"IQ_DILUT_EPS_EXCL",IQ_FY-9), _xll.ciqfunctions.udf.CIQ(A1653, "IQ_DILUT_EPS_EXCL",IQ_FY-8))</f>
        <v>0</v>
      </c>
      <c r="G1654" s="15">
        <f>IF(A1661=A1662,_xll.ciqfunctions.udf.CIQ(A1653,"IQ_EBITDA_MARGIN",IQ_FY-9), _xll.ciqfunctions.udf.CIQ(A1653, "IQ_EBITDA_MARGIN",IQ_FY-8))</f>
        <v>0</v>
      </c>
      <c r="H1654" s="15" t="e">
        <f>IF(A1661=A1662,_xll.ciqfunctions.udf.CIQ(A1653,"IQ_TOTAL_DIV_PAID_CF",IQ_FY-9)/-I1654, _xll.ciqfunctions.udf.CIQ(A1653, "IQ_TOTAL_DIV_PAID_CF",IQ_FY-8)/-I1654)</f>
        <v>#DIV/0!</v>
      </c>
      <c r="I1654" s="17">
        <f>IF(A1661=A1662,_xll.ciqfunctions.udf.CIQ(A1653,"IQ_TOTAL_OUTSTANDING_FILING_DATE",IQ_FY-9), _xll.ciqfunctions.udf.CIQ(A1653, "IQ_TOTAL_OUTSTANDING_FILING_DATE",IQ_FY-8))</f>
        <v>0</v>
      </c>
      <c r="J1654" s="17">
        <f>IF(A1661=A1662,_xll.ciqfunctions.udf.CIQ(A1653,"IQ_CASH_OPER",IQ_FY-9), _xll.ciqfunctions.udf.CIQ(A1653, "IQ_CASH_OPER",IQ_FY-8))</f>
        <v>0</v>
      </c>
      <c r="K1654" s="17">
        <f>IF(A1661=A1662,_xll.ciqfunctions.udf.CIQ(A1653,"IQ_CAPEX",IQ_FY-9), _xll.ciqfunctions.udf.CIQ(A1653, "IQ_CAPEX",IQ_FY-8))</f>
        <v>0</v>
      </c>
      <c r="L1654" s="15" t="e">
        <f t="shared" si="440"/>
        <v>#DIV/0!</v>
      </c>
      <c r="M1654" s="17">
        <f>IF(A1661=A1662,_xll.ciqfunctions.udf.CIQ(A1653,"IQ_TOTAL_DEBT_ISSUED",IQ_FY-9), _xll.ciqfunctions.udf.CIQ(A1653, "IQ_TOTAL_DEBT_ISSUED",IQ_FY-8))</f>
        <v>0</v>
      </c>
      <c r="N1654" s="17">
        <f>IF(A1661=A1662,_xll.ciqfunctions.udf.CIQ(A1653,"IQ_TOTAL_DEBT_REPAID",IQ_FY-9), _xll.ciqfunctions.udf.CIQ(A1653, "IQ_TOTAL_DEBT_REPAID",IQ_FY-8))</f>
        <v>0</v>
      </c>
      <c r="O1654" s="15" t="e">
        <f t="shared" si="441"/>
        <v>#DIV/0!</v>
      </c>
      <c r="P1654" s="15" t="e">
        <f t="shared" si="442"/>
        <v>#DIV/0!</v>
      </c>
      <c r="Q1654" s="25" t="s">
        <v>18</v>
      </c>
      <c r="R1654" s="39" t="s">
        <v>19</v>
      </c>
      <c r="S1654" s="1">
        <f>R1652/((AVERAGE(P1658:P1663))*(1+E1664)^3)</f>
        <v>69.721400351985409</v>
      </c>
      <c r="U1654" s="25" t="s">
        <v>48</v>
      </c>
      <c r="V1654" s="39" t="s">
        <v>19</v>
      </c>
      <c r="W1654" s="1">
        <f>V1652/((AVERAGE(P1658:P1663))*(1+E1664)^3)</f>
        <v>69.721400351985409</v>
      </c>
      <c r="Y1654" s="25" t="s">
        <v>39</v>
      </c>
      <c r="Z1654" s="39" t="s">
        <v>19</v>
      </c>
      <c r="AA1654" s="1">
        <f>Z1652/((AVERAGE(P1658:P1663))*(1+E1664)^3)</f>
        <v>69.721400351985409</v>
      </c>
    </row>
    <row r="1655" spans="1:27">
      <c r="B1655" s="13">
        <v>3</v>
      </c>
      <c r="C1655" s="14" t="s">
        <v>20</v>
      </c>
      <c r="D1655" s="15" t="e" cm="1">
        <f t="array" ref="D1655">_xlfn.SINGLE(IF(A1661=A1662,_xll.ciqfunctions.udf.CIQ(A1653,"IQ_TOTAL_REV",IQ_FY-8)/I1655, _xll.ciqfunctions.udf.CIQ(A1653, "IQ_TOTAL_REV",IQ_FY-7)/I1655))</f>
        <v>#DIV/0!</v>
      </c>
      <c r="E1655" s="16" t="e">
        <f t="shared" si="443"/>
        <v>#DIV/0!</v>
      </c>
      <c r="F1655" s="15">
        <f>IF(A1661=A1662,_xll.ciqfunctions.udf.CIQ(A1653,"IQ_DILUT_EPS_EXCL",IQ_FY-8), _xll.ciqfunctions.udf.CIQ(A1653, "IQ_DILUT_EPS_EXCL",IQ_FY-7))</f>
        <v>0</v>
      </c>
      <c r="G1655" s="15">
        <f>IF(A1661=A1662,_xll.ciqfunctions.udf.CIQ(A1653,"IQ_EBITDA_MARGIN",IQ_FY-8), _xll.ciqfunctions.udf.CIQ(A1653, "IQ_EBITDA_MARGIN",IQ_FY-7))</f>
        <v>0</v>
      </c>
      <c r="H1655" s="15" t="e">
        <f>IF(A1661=A1662,_xll.ciqfunctions.udf.CIQ(A1653,"IQ_TOTAL_DIV_PAID_CF",IQ_FY-8)/-I1655, _xll.ciqfunctions.udf.CIQ(A1653, "IQ_TOTAL_DIV_PAID_CF",IQ_FY-7)/-I1655)</f>
        <v>#DIV/0!</v>
      </c>
      <c r="I1655" s="17">
        <f>IF(A1661=A1662,_xll.ciqfunctions.udf.CIQ(A1653,"IQ_TOTAL_OUTSTANDING_FILING_DATE",IQ_FY-8), _xll.ciqfunctions.udf.CIQ(A1653, "IQ_TOTAL_OUTSTANDING_FILING_DATE",IQ_FY-7))</f>
        <v>0</v>
      </c>
      <c r="J1655" s="17">
        <f>IF(A1661=A1662,_xll.ciqfunctions.udf.CIQ(A1653,"IQ_CASH_OPER",IQ_FY-8), _xll.ciqfunctions.udf.CIQ(A1653, "IQ_CASH_OPER",IQ_FY-7))</f>
        <v>0</v>
      </c>
      <c r="K1655" s="17">
        <f>IF(A1661=A1662,_xll.ciqfunctions.udf.CIQ(A1653,"IQ_CAPEX",IQ_FY-8), _xll.ciqfunctions.udf.CIQ(A1653, "IQ_CAPEX",IQ_FY-7))</f>
        <v>0</v>
      </c>
      <c r="L1655" s="15" t="e">
        <f t="shared" si="440"/>
        <v>#DIV/0!</v>
      </c>
      <c r="M1655" s="17">
        <f>IF(A1661=A1662,_xll.ciqfunctions.udf.CIQ(A1653,"IQ_TOTAL_DEBT_ISSUED",IQ_FY-8), _xll.ciqfunctions.udf.CIQ(A1653, "IQ_TOTAL_DEBT_ISSUED",IQ_FY-7))</f>
        <v>0</v>
      </c>
      <c r="N1655" s="17">
        <f>IF(A1661=A1662,_xll.ciqfunctions.udf.CIQ(A1653,"IQ_TOTAL_DEBT_REPAID",IQ_FY-8), _xll.ciqfunctions.udf.CIQ(A1653, "IQ_TOTAL_DEBT_REPAID",IQ_FY-7))</f>
        <v>0</v>
      </c>
      <c r="O1655" s="15" t="e">
        <f t="shared" si="441"/>
        <v>#DIV/0!</v>
      </c>
      <c r="P1655" s="15" t="e">
        <f t="shared" si="442"/>
        <v>#DIV/0!</v>
      </c>
      <c r="Q1655" s="25" t="s">
        <v>21</v>
      </c>
      <c r="R1655" s="38" t="s">
        <v>49</v>
      </c>
      <c r="S1655" s="2">
        <f>(R1652*I1663)/1000</f>
        <v>6.9635079448000008</v>
      </c>
      <c r="U1655" s="25" t="s">
        <v>59</v>
      </c>
      <c r="V1655" s="38" t="s">
        <v>49</v>
      </c>
      <c r="W1655" s="2">
        <f>(V1652*I1663)/1000</f>
        <v>6.9635079448000008</v>
      </c>
      <c r="Y1655" s="25" t="s">
        <v>46</v>
      </c>
      <c r="Z1655" s="38" t="s">
        <v>49</v>
      </c>
      <c r="AA1655" s="2">
        <f>(Z1652*I1663)/1000</f>
        <v>6.9635079448000008</v>
      </c>
    </row>
    <row r="1656" spans="1:27">
      <c r="A1656" s="18"/>
      <c r="B1656" s="13">
        <v>4</v>
      </c>
      <c r="C1656" s="14" t="s">
        <v>22</v>
      </c>
      <c r="D1656" s="15" t="e" cm="1">
        <f t="array" ref="D1656">_xlfn.SINGLE(IF(A1661=A1662,_xll.ciqfunctions.udf.CIQ(A1653,"IQ_TOTAL_REV",IQ_FY-7)/I1656, _xll.ciqfunctions.udf.CIQ(A1653, "IQ_TOTAL_REV",IQ_FY-6)/I1656))</f>
        <v>#DIV/0!</v>
      </c>
      <c r="E1656" s="16" t="e">
        <f t="shared" si="443"/>
        <v>#DIV/0!</v>
      </c>
      <c r="F1656" s="15">
        <f>IF(A1661=A1662,_xll.ciqfunctions.udf.CIQ(A1653,"IQ_DILUT_EPS_EXCL",IQ_FY-7), _xll.ciqfunctions.udf.CIQ(A1653, "IQ_DILUT_EPS_EXCL",IQ_FY-6))</f>
        <v>0</v>
      </c>
      <c r="G1656" s="15">
        <f>IF(A1661=A1662,_xll.ciqfunctions.udf.CIQ(A1653,"IQ_EBITDA_MARGIN",IQ_FY-7), _xll.ciqfunctions.udf.CIQ(A1653, "IQ_EBITDA_MARGIN",IQ_FY-6))</f>
        <v>0</v>
      </c>
      <c r="H1656" s="15" t="e">
        <f>IF(A1661=A1662,_xll.ciqfunctions.udf.CIQ(A1653,"IQ_TOTAL_DIV_PAID_CF",IQ_FY-7)/-I1656, _xll.ciqfunctions.udf.CIQ(A1653, "IQ_TOTAL_DIV_PAID_CF",IQ_FY-6)/-I1656)</f>
        <v>#DIV/0!</v>
      </c>
      <c r="I1656" s="17">
        <f>IF(A1661=A1662,_xll.ciqfunctions.udf.CIQ(A1653,"IQ_TOTAL_OUTSTANDING_FILING_DATE",IQ_FY-7), _xll.ciqfunctions.udf.CIQ(A1653, "IQ_TOTAL_OUTSTANDING_FILING_DATE",IQ_FY-6))</f>
        <v>0</v>
      </c>
      <c r="J1656" s="17">
        <f>IF(A1661=A1662,_xll.ciqfunctions.udf.CIQ(A1653,"IQ_CASH_OPER",IQ_FY-7), _xll.ciqfunctions.udf.CIQ(A1653, "IQ_CASH_OPER",IQ_FY-6))</f>
        <v>0</v>
      </c>
      <c r="K1656" s="17">
        <f>IF(A1661=A1662,_xll.ciqfunctions.udf.CIQ(A1653,"IQ_CAPEX",IQ_FY-7), _xll.ciqfunctions.udf.CIQ(A1653, "IQ_CAPEX",IQ_FY-6))</f>
        <v>0</v>
      </c>
      <c r="L1656" s="15" t="e">
        <f t="shared" si="440"/>
        <v>#DIV/0!</v>
      </c>
      <c r="M1656" s="17">
        <f>IF(A1661=A1662,_xll.ciqfunctions.udf.CIQ(A1653,"IQ_TOTAL_DEBT_ISSUED",IQ_FY-7), _xll.ciqfunctions.udf.CIQ(A1653, "IQ_TOTAL_DEBT_ISSUED",IQ_FY-6))</f>
        <v>0</v>
      </c>
      <c r="N1656" s="17">
        <f>IF(A1661=A1662,_xll.ciqfunctions.udf.CIQ(A1653,"IQ_TOTAL_DEBT_REPAID",IQ_FY-7), _xll.ciqfunctions.udf.CIQ(A1653, "IQ_TOTAL_DEBT_REPAID",IQ_FY-6))</f>
        <v>0</v>
      </c>
      <c r="O1656" s="15" t="e">
        <f t="shared" si="441"/>
        <v>#DIV/0!</v>
      </c>
      <c r="P1656" s="15" t="e">
        <f t="shared" si="442"/>
        <v>#DIV/0!</v>
      </c>
      <c r="Q1656" s="25" t="s">
        <v>23</v>
      </c>
      <c r="R1656" s="38" t="s">
        <v>24</v>
      </c>
      <c r="S1656" s="1" t="e">
        <f>R1652/(AVERAGE(H1658:H1663)*(1+H1664)/(0.5-H1664))</f>
        <v>#DIV/0!</v>
      </c>
      <c r="U1656" s="25" t="s">
        <v>40</v>
      </c>
      <c r="V1656" s="38" t="s">
        <v>24</v>
      </c>
      <c r="W1656" s="1" t="e">
        <f>V1652/(AVERAGE(H1658:H1663)*(1+H1664)/(0.5-H1664))</f>
        <v>#DIV/0!</v>
      </c>
      <c r="Y1656" s="25" t="s">
        <v>47</v>
      </c>
      <c r="Z1656" s="38" t="s">
        <v>24</v>
      </c>
      <c r="AA1656" s="1" t="e">
        <f>Z1652/(AVERAGE(H1658:H1663)*(1+H1664)/(0.5-H1664))</f>
        <v>#DIV/0!</v>
      </c>
    </row>
    <row r="1657" spans="1:27">
      <c r="B1657" s="13">
        <v>5</v>
      </c>
      <c r="C1657" s="14" t="s">
        <v>25</v>
      </c>
      <c r="D1657" s="15" t="e" cm="1">
        <f t="array" ref="D1657">_xlfn.SINGLE(IF(A1661=A1662,_xll.ciqfunctions.udf.CIQ(A1653,"IQ_TOTAL_REV",IQ_FY-6)/I1657, _xll.ciqfunctions.udf.CIQ(A1653, "IQ_TOTAL_REV",IQ_FY-5)/I1657))</f>
        <v>#DIV/0!</v>
      </c>
      <c r="E1657" s="16" t="e">
        <f t="shared" si="443"/>
        <v>#DIV/0!</v>
      </c>
      <c r="F1657" s="15">
        <f>IF(A1661=A1662,_xll.ciqfunctions.udf.CIQ(A1653,"IQ_DILUT_EPS_EXCL",IQ_FY-6), _xll.ciqfunctions.udf.CIQ(A1653, "IQ_DILUT_EPS_EXCL",IQ_FY-5))</f>
        <v>0</v>
      </c>
      <c r="G1657" s="15">
        <f>IF(A1661=A1662,_xll.ciqfunctions.udf.CIQ(A1653,"IQ_EBITDA_MARGIN",IQ_FY-6), _xll.ciqfunctions.udf.CIQ(A1653, "IQ_EBITDA_MARGIN",IQ_FY-5))</f>
        <v>0</v>
      </c>
      <c r="H1657" s="15" t="e">
        <f>IF(A1661=A1662,_xll.ciqfunctions.udf.CIQ(A1653,"IQ_TOTAL_DIV_PAID_CF",IQ_FY-6)/-I1657, _xll.ciqfunctions.udf.CIQ(A1653, "IQ_TOTAL_DIV_PAID_CF",IQ_FY-5)/-I1657)</f>
        <v>#DIV/0!</v>
      </c>
      <c r="I1657" s="17">
        <f>IF(A1661=A1662,_xll.ciqfunctions.udf.CIQ(A1653,"IQ_TOTAL_OUTSTANDING_FILING_DATE",IQ_FY-6), _xll.ciqfunctions.udf.CIQ(A1653, "IQ_TOTAL_OUTSTANDING_FILING_DATE",IQ_FY-5))</f>
        <v>0</v>
      </c>
      <c r="J1657" s="17">
        <f>IF(A1661=A1662,_xll.ciqfunctions.udf.CIQ(A1653,"IQ_CASH_OPER",IQ_FY-6), _xll.ciqfunctions.udf.CIQ(A1653, "IQ_CASH_OPER",IQ_FY-5))</f>
        <v>0</v>
      </c>
      <c r="K1657" s="17">
        <f>IF(A1661=A1662,_xll.ciqfunctions.udf.CIQ(A1653,"IQ_CAPEX",IQ_FY-6), _xll.ciqfunctions.udf.CIQ(A1653, "IQ_CAPEX",IQ_FY-5))</f>
        <v>0</v>
      </c>
      <c r="L1657" s="15" t="e">
        <f t="shared" si="440"/>
        <v>#DIV/0!</v>
      </c>
      <c r="M1657" s="17">
        <f>IF(A1661=A1662,_xll.ciqfunctions.udf.CIQ(A1653,"IQ_TOTAL_DEBT_ISSUED",IQ_FY-6), _xll.ciqfunctions.udf.CIQ(A1653, "IQ_TOTAL_DEBT_ISSUED",IQ_FY-5))</f>
        <v>0</v>
      </c>
      <c r="N1657" s="17">
        <f>IF(A1661=A1662,_xll.ciqfunctions.udf.CIQ(A1653,"IQ_TOTAL_DEBT_REPAID",IQ_FY-6), _xll.ciqfunctions.udf.CIQ(A1653, "IQ_TOTAL_DEBT_REPAID",IQ_FY-5))</f>
        <v>0</v>
      </c>
      <c r="O1657" s="15" t="e">
        <f t="shared" si="441"/>
        <v>#DIV/0!</v>
      </c>
      <c r="P1657" s="15" t="e">
        <f t="shared" si="442"/>
        <v>#DIV/0!</v>
      </c>
      <c r="Q1657" s="18"/>
      <c r="R1657" s="38" t="s">
        <v>50</v>
      </c>
      <c r="S1657" s="3">
        <f>I1664</f>
        <v>2.326728969330111</v>
      </c>
      <c r="U1657" s="18"/>
      <c r="V1657" s="38" t="s">
        <v>50</v>
      </c>
      <c r="W1657" s="3">
        <f>I1664</f>
        <v>2.326728969330111</v>
      </c>
      <c r="Y1657" s="18"/>
      <c r="Z1657" s="38" t="s">
        <v>50</v>
      </c>
      <c r="AA1657" s="3">
        <f>I1664</f>
        <v>2.326728969330111</v>
      </c>
    </row>
    <row r="1658" spans="1:27">
      <c r="B1658" s="13">
        <v>6</v>
      </c>
      <c r="C1658" s="14" t="s">
        <v>26</v>
      </c>
      <c r="D1658" s="15" cm="1">
        <f t="array" ref="D1658">_xlfn.SINGLE(IF(A1661=A1662,_xll.ciqfunctions.udf.CIQ(A1653,"IQ_TOTAL_REV",IQ_FY-5)/I1658, _xll.ciqfunctions.udf.CIQ(A1653, "IQ_TOTAL_REV",IQ_FY-4)/I1658))</f>
        <v>385.40554800219167</v>
      </c>
      <c r="E1658" s="16" t="e">
        <f t="shared" si="443"/>
        <v>#DIV/0!</v>
      </c>
      <c r="F1658" s="15">
        <f>IF(A1661=A1662,_xll.ciqfunctions.udf.CIQ(A1653,"IQ_DILUT_EPS_EXCL",IQ_FY-5), _xll.ciqfunctions.udf.CIQ(A1653, "IQ_DILUT_EPS_EXCL",IQ_FY-4))</f>
        <v>-37.224029999999999</v>
      </c>
      <c r="G1658" s="15">
        <f>IF(A1661=A1662,_xll.ciqfunctions.udf.CIQ(A1653,"IQ_EBITDA_MARGIN",IQ_FY-5), _xll.ciqfunctions.udf.CIQ(A1653, "IQ_EBITDA_MARGIN",IQ_FY-4))</f>
        <v>21.753699999999998</v>
      </c>
      <c r="H1658" s="15">
        <f>IF(A1661=A1662,_xll.ciqfunctions.udf.CIQ(A1653,"IQ_TOTAL_DIV_PAID_CF",IQ_FY-5)/-I1658, _xll.ciqfunctions.udf.CIQ(A1653, "IQ_TOTAL_DIV_PAID_CF",IQ_FY-4)/-I1658)</f>
        <v>33.821032623768069</v>
      </c>
      <c r="I1658" s="17">
        <f>IF(A1661=A1662,_xll.ciqfunctions.udf.CIQ(A1653,"IQ_TOTAL_OUTSTANDING_FILING_DATE",IQ_FY-5), _xll.ciqfunctions.udf.CIQ(A1653, "IQ_TOTAL_OUTSTANDING_FILING_DATE",IQ_FY-4))</f>
        <v>1.47837</v>
      </c>
      <c r="J1658" s="17">
        <f>IF(A1661=A1662,_xll.ciqfunctions.udf.CIQ(A1653,"IQ_CASH_OPER",IQ_FY-5), _xll.ciqfunctions.udf.CIQ(A1653, "IQ_CASH_OPER",IQ_FY-4))</f>
        <v>72.286000000000001</v>
      </c>
      <c r="K1658" s="17">
        <f>IF(A1661=A1662,_xll.ciqfunctions.udf.CIQ(A1653,"IQ_CAPEX",IQ_FY-5), _xll.ciqfunctions.udf.CIQ(A1653, "IQ_CAPEX",IQ_FY-4))</f>
        <v>-20.178999999999998</v>
      </c>
      <c r="L1658" s="15">
        <f t="shared" si="440"/>
        <v>35.246250938533656</v>
      </c>
      <c r="M1658" s="17">
        <f>IF(A1661=A1662,_xll.ciqfunctions.udf.CIQ(A1653,"IQ_TOTAL_DEBT_ISSUED",IQ_FY-5), _xll.ciqfunctions.udf.CIQ(A1653, "IQ_TOTAL_DEBT_ISSUED",IQ_FY-4))</f>
        <v>0</v>
      </c>
      <c r="N1658" s="17">
        <f>IF(A1661=A1662,_xll.ciqfunctions.udf.CIQ(A1653,"IQ_TOTAL_DEBT_REPAID",IQ_FY-5), _xll.ciqfunctions.udf.CIQ(A1653, "IQ_TOTAL_DEBT_REPAID",IQ_FY-4))</f>
        <v>-10</v>
      </c>
      <c r="O1658" s="15">
        <f t="shared" si="441"/>
        <v>-6.7642065247536136</v>
      </c>
      <c r="P1658" s="15">
        <f t="shared" si="442"/>
        <v>28.482044413780041</v>
      </c>
      <c r="Q1658" s="25" t="s">
        <v>27</v>
      </c>
      <c r="R1658" s="38" t="s">
        <v>51</v>
      </c>
      <c r="S1658" s="4">
        <f>AVERAGE(F1658:F1663)/AVERAGE(D1658:D1663)</f>
        <v>-9.6207570801349479E-2</v>
      </c>
      <c r="U1658" s="25" t="s">
        <v>58</v>
      </c>
      <c r="V1658" s="38" t="s">
        <v>51</v>
      </c>
      <c r="W1658" s="4">
        <f>AVERAGE(F1658:F1663)/AVERAGE(D1658:D1663)</f>
        <v>-9.6207570801349479E-2</v>
      </c>
      <c r="Y1658" s="25" t="s">
        <v>56</v>
      </c>
      <c r="Z1658" s="38" t="s">
        <v>51</v>
      </c>
      <c r="AA1658" s="4">
        <f>AVERAGE(F1658:F1663)/AVERAGE(D1658:D1663)</f>
        <v>-9.6207570801349479E-2</v>
      </c>
    </row>
    <row r="1659" spans="1:27">
      <c r="A1659" s="18"/>
      <c r="B1659" s="13">
        <v>7</v>
      </c>
      <c r="C1659" s="14" t="s">
        <v>28</v>
      </c>
      <c r="D1659" s="15" cm="1">
        <f t="array" ref="D1659">_xlfn.SINGLE(IF(A1661=A1662,_xll.ciqfunctions.udf.CIQ(A1653,"IQ_TOTAL_REV",IQ_FY-4)/I1659, _xll.ciqfunctions.udf.CIQ(A1653, "IQ_TOTAL_REV",IQ_FY-3)/I1659))</f>
        <v>1.2237166943425299</v>
      </c>
      <c r="E1659" s="16">
        <f t="shared" si="443"/>
        <v>-0.99682485968174073</v>
      </c>
      <c r="F1659" s="15">
        <f>IF(A1661=A1662,_xll.ciqfunctions.udf.CIQ(A1653,"IQ_DILUT_EPS_EXCL",IQ_FY-4), _xll.ciqfunctions.udf.CIQ(A1653, "IQ_DILUT_EPS_EXCL",IQ_FY-3))</f>
        <v>-0.41778999999999999</v>
      </c>
      <c r="G1659" s="15">
        <f>IF(A1661=A1662,_xll.ciqfunctions.udf.CIQ(A1653,"IQ_EBITDA_MARGIN",IQ_FY-4), _xll.ciqfunctions.udf.CIQ(A1653, "IQ_EBITDA_MARGIN",IQ_FY-3))</f>
        <v>22.816299999999998</v>
      </c>
      <c r="H1659" s="15">
        <f>IF(A1661=A1662,_xll.ciqfunctions.udf.CIQ(A1653,"IQ_TOTAL_DIV_PAID_CF",IQ_FY-4)/-I1659, _xll.ciqfunctions.udf.CIQ(A1653, "IQ_TOTAL_DIV_PAID_CF",IQ_FY-3)/-I1659)</f>
        <v>0</v>
      </c>
      <c r="I1659" s="17">
        <f>IF(A1661=A1662,_xll.ciqfunctions.udf.CIQ(A1653,"IQ_TOTAL_OUTSTANDING_FILING_DATE",IQ_FY-4), _xll.ciqfunctions.udf.CIQ(A1653, "IQ_TOTAL_OUTSTANDING_FILING_DATE",IQ_FY-3))</f>
        <v>503.45312999999999</v>
      </c>
      <c r="J1659" s="17">
        <f>IF(A1661=A1662,_xll.ciqfunctions.udf.CIQ(A1653,"IQ_CASH_OPER",IQ_FY-4), _xll.ciqfunctions.udf.CIQ(A1653, "IQ_CASH_OPER",IQ_FY-3))</f>
        <v>66.301000000000002</v>
      </c>
      <c r="K1659" s="17">
        <f>IF(A1661=A1662,_xll.ciqfunctions.udf.CIQ(A1653,"IQ_CAPEX",IQ_FY-4), _xll.ciqfunctions.udf.CIQ(A1653, "IQ_CAPEX",IQ_FY-3))</f>
        <v>-20.460999999999999</v>
      </c>
      <c r="L1659" s="15">
        <f t="shared" si="440"/>
        <v>9.1051176899029321E-2</v>
      </c>
      <c r="M1659" s="17">
        <f>IF(A1661=A1662,_xll.ciqfunctions.udf.CIQ(A1653,"IQ_TOTAL_DEBT_ISSUED",IQ_FY-4), _xll.ciqfunctions.udf.CIQ(A1653, "IQ_TOTAL_DEBT_ISSUED",IQ_FY-3))</f>
        <v>0</v>
      </c>
      <c r="N1659" s="17">
        <f>IF(A1661=A1662,_xll.ciqfunctions.udf.CIQ(A1653,"IQ_TOTAL_DEBT_REPAID",IQ_FY-4), _xll.ciqfunctions.udf.CIQ(A1653, "IQ_TOTAL_DEBT_REPAID",IQ_FY-3))</f>
        <v>-10</v>
      </c>
      <c r="O1659" s="15">
        <f t="shared" si="441"/>
        <v>-1.9862822185652117E-2</v>
      </c>
      <c r="P1659" s="15">
        <f t="shared" si="442"/>
        <v>7.11883547133772E-2</v>
      </c>
      <c r="Q1659" s="18"/>
      <c r="R1659" s="38" t="s">
        <v>29</v>
      </c>
      <c r="S1659" s="4">
        <f>(AVERAGE(P1658:P1663)/_xlfn.STDEV.P(P1658:P1663))/(IF(A1661=A1662,(_xlfn.SINGLE(_xll.ciqfunctions.udf.CIQ(A1653,"IQ_total_assets",IQ_FY)) - _xlfn.SINGLE(_xll.ciqfunctions.udf.CIQ(A1653,"iq_gw_intan", IQ_FY)))/I1663, (_xlfn.SINGLE(_xll.ciqfunctions.udf.CIQ(A1653, "IQ_total_assets",IQ_LTM))-_xlfn.SINGLE(_xll.ciqfunctions.udf.CIQ(A1653,"iq_gw_intan",IQ_LTM)))/I1663))</f>
        <v>0.31070602404085135</v>
      </c>
      <c r="U1659" s="18"/>
      <c r="V1659" s="38" t="s">
        <v>29</v>
      </c>
      <c r="W1659" s="4">
        <f>(AVERAGE(P1658:P1663)/_xlfn.STDEV.P(P1658:P1663))/(IF(A1661=A1662,(_xlfn.SINGLE(_xll.ciqfunctions.udf.CIQ(A1653,"IQ_total_assets",IQ_FY)) - _xlfn.SINGLE(_xll.ciqfunctions.udf.CIQ(A1653,"iq_gw_intan", IQ_FY)))/I1663, (_xlfn.SINGLE(_xll.ciqfunctions.udf.CIQ(A1653, "IQ_total_assets",IQ_LTM))-_xlfn.SINGLE(_xll.ciqfunctions.udf.CIQ(A1653,"iq_gw_intan",IQ_LTM)))/I1663))</f>
        <v>0.31070602404085135</v>
      </c>
      <c r="Y1659" s="18"/>
      <c r="Z1659" s="38" t="s">
        <v>29</v>
      </c>
      <c r="AA1659" s="4">
        <f>(AVERAGE(P1658:P1663)/_xlfn.STDEV.P(P1658:P1663))/(IF(A1661=A1662,(_xlfn.SINGLE(_xll.ciqfunctions.udf.CIQ(A1653,"IQ_total_assets",IQ_FY)) - _xlfn.SINGLE(_xll.ciqfunctions.udf.CIQ(A1653,"iq_gw_intan", IQ_FY)))/I1663, (_xlfn.SINGLE(_xll.ciqfunctions.udf.CIQ(A1653, "IQ_total_assets",IQ_LTM))-_xlfn.SINGLE(_xll.ciqfunctions.udf.CIQ(A1653,"iq_gw_intan",IQ_LTM)))/I1663))</f>
        <v>0.31070602404085135</v>
      </c>
    </row>
    <row r="1660" spans="1:27">
      <c r="A1660" s="18"/>
      <c r="B1660" s="13">
        <v>8</v>
      </c>
      <c r="C1660" s="14" t="s">
        <v>30</v>
      </c>
      <c r="D1660" s="15" cm="1">
        <f t="array" ref="D1660">_xlfn.SINGLE(IF(A1661=A1662,_xll.ciqfunctions.udf.CIQ(A1653,"IQ_TOTAL_REV",IQ_FY-3)/I1660, _xll.ciqfunctions.udf.CIQ(A1653, "IQ_TOTAL_REV",IQ_FY-2)/I1660))</f>
        <v>7.339860869565217</v>
      </c>
      <c r="E1660" s="16">
        <f t="shared" si="443"/>
        <v>4.9980066493321207</v>
      </c>
      <c r="F1660" s="15">
        <f>IF(A1661=A1662,_xll.ciqfunctions.udf.CIQ(A1653,"IQ_DILUT_EPS_EXCL",IQ_FY-3), _xll.ciqfunctions.udf.CIQ(A1653, "IQ_DILUT_EPS_EXCL",IQ_FY-2))</f>
        <v>-3.3480000000000003E-2</v>
      </c>
      <c r="G1660" s="15">
        <f>IF(A1661=A1662,_xll.ciqfunctions.udf.CIQ(A1653,"IQ_EBITDA_MARGIN",IQ_FY-3), _xll.ciqfunctions.udf.CIQ(A1653, "IQ_EBITDA_MARGIN",IQ_FY-2))</f>
        <v>26.3858</v>
      </c>
      <c r="H1660" s="15">
        <f>IF(A1661=A1662,_xll.ciqfunctions.udf.CIQ(A1653,"IQ_TOTAL_DIV_PAID_CF",IQ_FY-3)/-I1660, _xll.ciqfunctions.udf.CIQ(A1653, "IQ_TOTAL_DIV_PAID_CF",IQ_FY-2)/-I1660)</f>
        <v>0</v>
      </c>
      <c r="I1660" s="17">
        <f>IF(A1661=A1662,_xll.ciqfunctions.udf.CIQ(A1653,"IQ_TOTAL_OUTSTANDING_FILING_DATE",IQ_FY-3), _xll.ciqfunctions.udf.CIQ(A1653, "IQ_TOTAL_OUTSTANDING_FILING_DATE",IQ_FY-2))</f>
        <v>86.25</v>
      </c>
      <c r="J1660" s="17">
        <f>IF(A1661=A1662,_xll.ciqfunctions.udf.CIQ(A1653,"IQ_CASH_OPER",IQ_FY-3), _xll.ciqfunctions.udf.CIQ(A1653, "IQ_CASH_OPER",IQ_FY-2))</f>
        <v>103.943</v>
      </c>
      <c r="K1660" s="17">
        <f>IF(A1661=A1662,_xll.ciqfunctions.udf.CIQ(A1653,"IQ_CAPEX",IQ_FY-3), _xll.ciqfunctions.udf.CIQ(A1653, "IQ_CAPEX",IQ_FY-2))</f>
        <v>-30.106999999999999</v>
      </c>
      <c r="L1660" s="15">
        <f t="shared" si="440"/>
        <v>0.8560695652173913</v>
      </c>
      <c r="M1660" s="17">
        <f>IF(A1661=A1662,_xll.ciqfunctions.udf.CIQ(A1653,"IQ_TOTAL_DEBT_ISSUED",IQ_FY-3), _xll.ciqfunctions.udf.CIQ(A1653, "IQ_TOTAL_DEBT_ISSUED",IQ_FY-2))</f>
        <v>434.79199999999997</v>
      </c>
      <c r="N1660" s="17">
        <f>IF(A1661=A1662,_xll.ciqfunctions.udf.CIQ(A1653,"IQ_TOTAL_DEBT_REPAID",IQ_FY-3), _xll.ciqfunctions.udf.CIQ(A1653, "IQ_TOTAL_DEBT_REPAID",IQ_FY-2))</f>
        <v>-453.846</v>
      </c>
      <c r="O1660" s="15">
        <f t="shared" si="441"/>
        <v>-0.22091594202898587</v>
      </c>
      <c r="P1660" s="15">
        <f t="shared" si="442"/>
        <v>0.6351536231884054</v>
      </c>
      <c r="Q1660" s="18"/>
      <c r="R1660" s="39" t="s">
        <v>31</v>
      </c>
      <c r="S1660" s="5" t="e">
        <f>IF(NOT(D1653&gt;0),FALSE,SLOPE(G1653:G1663,B1653:B1663))</f>
        <v>#DIV/0!</v>
      </c>
      <c r="U1660" s="18"/>
      <c r="V1660" s="39" t="s">
        <v>31</v>
      </c>
      <c r="W1660" s="5" t="e">
        <f>IF(NOT(D1653&gt;0),FALSE,SLOPE(G1653:G1663,B1653:B1663))</f>
        <v>#DIV/0!</v>
      </c>
      <c r="Y1660" s="18"/>
      <c r="Z1660" s="39" t="s">
        <v>31</v>
      </c>
      <c r="AA1660" s="5" t="e">
        <f>IF(NOT(L1653&gt;0),FALSE,SLOPE(O1653:O1663,J1653:J1663))</f>
        <v>#DIV/0!</v>
      </c>
    </row>
    <row r="1661" spans="1:27">
      <c r="A1661" s="19">
        <f>_xll.ciqfunctions.udf.CIQ(A1653,"IQ_TOTAL_REV",IQ_FY)</f>
        <v>782.44799999999998</v>
      </c>
      <c r="B1661" s="13">
        <v>9</v>
      </c>
      <c r="C1661" s="14" t="s">
        <v>32</v>
      </c>
      <c r="D1661" s="15" cm="1">
        <f t="array" ref="D1661">_xlfn.SINGLE(IF(A1661=A1662,_xll.ciqfunctions.udf.CIQ(A1653,"IQ_TOTAL_REV",IQ_FY-2)/I1661, _xll.ciqfunctions.udf.CIQ(A1653, "IQ_TOTAL_REV",IQ_FY-1)/I1661))</f>
        <v>1.1243947818743096</v>
      </c>
      <c r="E1661" s="16">
        <f t="shared" si="443"/>
        <v>-0.84680979628147712</v>
      </c>
      <c r="F1661" s="15">
        <f>IF(A1661=A1662,_xll.ciqfunctions.udf.CIQ(A1653,"IQ_DILUT_EPS_EXCL",IQ_FY-2), _xll.ciqfunctions.udf.CIQ(A1653, "IQ_DILUT_EPS_EXCL",IQ_FY-1))</f>
        <v>-0.46</v>
      </c>
      <c r="G1661" s="15">
        <f>IF(A1661=A1662,_xll.ciqfunctions.udf.CIQ(A1653,"IQ_EBITDA_MARGIN",IQ_FY-2), _xll.ciqfunctions.udf.CIQ(A1653, "IQ_EBITDA_MARGIN",IQ_FY-1))</f>
        <v>-6.8228</v>
      </c>
      <c r="H1661" s="15">
        <f>IF(A1661=A1662,_xll.ciqfunctions.udf.CIQ(A1653,"IQ_TOTAL_DIV_PAID_CF",IQ_FY-2)/-I1661, _xll.ciqfunctions.udf.CIQ(A1653, "IQ_TOTAL_DIV_PAID_CF",IQ_FY-1)/-I1661)</f>
        <v>0.43972558146623997</v>
      </c>
      <c r="I1661" s="17">
        <f>IF(A1661=A1662,_xll.ciqfunctions.udf.CIQ(A1653,"IQ_TOTAL_OUTSTANDING_FILING_DATE",IQ_FY-2), _xll.ciqfunctions.udf.CIQ(A1653, "IQ_TOTAL_OUTSTANDING_FILING_DATE",IQ_FY-1))</f>
        <v>612.14086999999995</v>
      </c>
      <c r="J1661" s="17">
        <f>IF(A1661=A1662,_xll.ciqfunctions.udf.CIQ(A1653,"IQ_CASH_OPER",IQ_FY-2), _xll.ciqfunctions.udf.CIQ(A1653, "IQ_CASH_OPER",IQ_FY-1))</f>
        <v>127.33499999999999</v>
      </c>
      <c r="K1661" s="17">
        <f>IF(A1661=A1662,_xll.ciqfunctions.udf.CIQ(A1653,"IQ_CAPEX",IQ_FY-2), _xll.ciqfunctions.udf.CIQ(A1653, "IQ_CAPEX",IQ_FY-1))</f>
        <v>-38.320999999999998</v>
      </c>
      <c r="L1661" s="15">
        <f t="shared" si="440"/>
        <v>0.14541424100632261</v>
      </c>
      <c r="M1661" s="17">
        <f>IF(A1661=A1662,_xll.ciqfunctions.udf.CIQ(A1653,"IQ_TOTAL_DEBT_ISSUED",IQ_FY-2), _xll.ciqfunctions.udf.CIQ(A1653, "IQ_TOTAL_DEBT_ISSUED",IQ_FY-1))</f>
        <v>789.92700000000002</v>
      </c>
      <c r="N1661" s="17">
        <f>IF(A1661=A1662,_xll.ciqfunctions.udf.CIQ(A1653,"IQ_TOTAL_DEBT_REPAID",IQ_FY-2), _xll.ciqfunctions.udf.CIQ(A1653, "IQ_TOTAL_DEBT_REPAID",IQ_FY-1))</f>
        <v>-1336.153</v>
      </c>
      <c r="O1661" s="15">
        <f t="shared" si="441"/>
        <v>-0.89232074963398544</v>
      </c>
      <c r="P1661" s="15">
        <f t="shared" si="442"/>
        <v>-0.74690650862766284</v>
      </c>
      <c r="Q1661" s="25" t="s">
        <v>33</v>
      </c>
      <c r="R1661" s="38" t="s">
        <v>52</v>
      </c>
      <c r="S1661" s="4">
        <f>(AVERAGE(O1658:O1663)/AVERAGE(P1658:P1663))</f>
        <v>-0.2734298517664504</v>
      </c>
      <c r="U1661" s="25" t="s">
        <v>54</v>
      </c>
      <c r="V1661" s="38" t="s">
        <v>52</v>
      </c>
      <c r="W1661" s="4">
        <f>(AVERAGE(O1658:O1663)/AVERAGE(P1658:P1663))</f>
        <v>-0.2734298517664504</v>
      </c>
      <c r="Y1661" s="25" t="s">
        <v>60</v>
      </c>
      <c r="Z1661" s="38" t="s">
        <v>52</v>
      </c>
      <c r="AA1661" s="4">
        <f>(AVERAGE(O1658:O1663)/AVERAGE(P1658:P1663))</f>
        <v>-0.2734298517664504</v>
      </c>
    </row>
    <row r="1662" spans="1:27">
      <c r="A1662" s="19">
        <f>_xll.ciqfunctions.udf.CIQ(A1653,"IQ_TOTAL_REV",IQ_LTM)</f>
        <v>841.88300000000004</v>
      </c>
      <c r="B1662" s="13">
        <v>10</v>
      </c>
      <c r="C1662" s="14" t="s">
        <v>34</v>
      </c>
      <c r="D1662" s="15" cm="1">
        <f t="array" ref="D1662">_xlfn.SINGLE(IF(A1661=A1662,_xll.ciqfunctions.udf.CIQ(A1653,"IQ_TOTAL_REV",IQ_FY-1)/I1662, _xll.ciqfunctions.udf.CIQ(A1653, "IQ_TOTAL_REV",IQ_FY)/I1662))</f>
        <v>1.2518027157077012</v>
      </c>
      <c r="E1662" s="16">
        <f t="shared" si="443"/>
        <v>0.11331245563147219</v>
      </c>
      <c r="F1662" s="15">
        <f>IF(A1661=A1662,_xll.ciqfunctions.udf.CIQ(A1653,"IQ_DILUT_EPS_EXCL",IQ_FY-1), _xll.ciqfunctions.udf.CIQ(A1653, "IQ_DILUT_EPS_EXCL",IQ_FY))</f>
        <v>0.06</v>
      </c>
      <c r="G1662" s="15">
        <f>IF(A1661=A1662,_xll.ciqfunctions.udf.CIQ(A1653,"IQ_EBITDA_MARGIN",IQ_FY-1), _xll.ciqfunctions.udf.CIQ(A1653, "IQ_EBITDA_MARGIN",IQ_FY))</f>
        <v>19.5837</v>
      </c>
      <c r="H1662" s="15">
        <f>IF(A1661=A1662,_xll.ciqfunctions.udf.CIQ(A1653,"IQ_TOTAL_DIV_PAID_CF",IQ_FY-1)/-I1662, _xll.ciqfunctions.udf.CIQ(A1653, "IQ_TOTAL_DIV_PAID_CF",IQ_FY)/-I1662)</f>
        <v>0</v>
      </c>
      <c r="I1662" s="17">
        <f>IF(A1661=A1662,_xll.ciqfunctions.udf.CIQ(A1653,"IQ_TOTAL_OUTSTANDING_FILING_DATE",IQ_FY-1), _xll.ciqfunctions.udf.CIQ(A1653, "IQ_TOTAL_OUTSTANDING_FILING_DATE",IQ_FY))</f>
        <v>625.05696</v>
      </c>
      <c r="J1662" s="17">
        <f>IF(A1661=A1662,_xll.ciqfunctions.udf.CIQ(A1653,"IQ_CASH_OPER",IQ_FY-1), _xll.ciqfunctions.udf.CIQ(A1653, "IQ_CASH_OPER",IQ_FY))</f>
        <v>199.90700000000001</v>
      </c>
      <c r="K1662" s="17">
        <f>IF(A1661=A1662,_xll.ciqfunctions.udf.CIQ(A1653,"IQ_CAPEX",IQ_FY-1), _xll.ciqfunctions.udf.CIQ(A1653, "IQ_CAPEX",IQ_FY))</f>
        <v>-47.951000000000001</v>
      </c>
      <c r="L1662" s="15">
        <f t="shared" si="440"/>
        <v>0.24310744415996907</v>
      </c>
      <c r="M1662" s="17">
        <f>IF(A1661=A1662,_xll.ciqfunctions.udf.CIQ(A1653,"IQ_TOTAL_DEBT_ISSUED",IQ_FY-1), _xll.ciqfunctions.udf.CIQ(A1653, "IQ_TOTAL_DEBT_ISSUED",IQ_FY))</f>
        <v>0</v>
      </c>
      <c r="N1662" s="17">
        <f>IF(A1661=A1662,_xll.ciqfunctions.udf.CIQ(A1653,"IQ_TOTAL_DEBT_REPAID",IQ_FY-1), _xll.ciqfunctions.udf.CIQ(A1653, "IQ_TOTAL_DEBT_REPAID",IQ_FY))</f>
        <v>-8</v>
      </c>
      <c r="O1662" s="15">
        <f t="shared" si="441"/>
        <v>-1.2798833565504174E-2</v>
      </c>
      <c r="P1662" s="15">
        <f t="shared" si="442"/>
        <v>0.23030861059446489</v>
      </c>
      <c r="Q1662" s="25" t="s">
        <v>44</v>
      </c>
      <c r="R1662" s="38" t="s">
        <v>35</v>
      </c>
      <c r="S1662" s="1">
        <f>_xll.ciqfunctions.udf.CIQ(A1653,"IQ_TEV_EBITDA")</f>
        <v>43.332230000000003</v>
      </c>
      <c r="U1662" s="25" t="s">
        <v>55</v>
      </c>
      <c r="V1662" s="38" t="s">
        <v>53</v>
      </c>
      <c r="W1662" s="1" t="e">
        <f>V1652/(AVERAGE(D1658:D1663)/_xlfn.STDEV.P(E1658:E1663))</f>
        <v>#DIV/0!</v>
      </c>
      <c r="Y1662" s="25" t="s">
        <v>57</v>
      </c>
      <c r="Z1662" s="38" t="s">
        <v>53</v>
      </c>
      <c r="AA1662" s="1" t="e">
        <f>Z1652/(AVERAGE(D1658:D1663)/_xlfn.STDEV.P(E1658:E1663))</f>
        <v>#DIV/0!</v>
      </c>
    </row>
    <row r="1663" spans="1:27">
      <c r="B1663" s="13">
        <v>11</v>
      </c>
      <c r="C1663" s="20" t="s">
        <v>36</v>
      </c>
      <c r="D1663" s="21" cm="1">
        <f t="array" ref="D1663">_xlfn.SINGLE(IF(A1661=A1662,_xll.ciqfunctions.udf.CIQ(A1653,"IQ_TOTAL_REV",IQ_FY)/I1663, _xll.ciqfunctions.udf.CIQ(A1653, "IQ_TOTAL_REV",IQ_LTM)/I1663))</f>
        <v>1.397595516102986</v>
      </c>
      <c r="E1663" s="22">
        <f t="shared" si="443"/>
        <v>0.11646627584831651</v>
      </c>
      <c r="F1663" s="21">
        <f>IF(A1661=A1662,_xll.ciqfunctions.udf.CIQ(A1653,"IQ_DILUT_EPS_EXCL",IQ_FY), _xll.ciqfunctions.udf.CIQ(A1653, "IQ_DILUT_EPS_EXCL",IQ_LTM))</f>
        <v>-0.19058</v>
      </c>
      <c r="G1663" s="21">
        <f>IF(A1661=A1662,_xll.ciqfunctions.udf.CIQ(A1653,"IQ_EBITDA_MARGIN",IQ_FY), _xll.ciqfunctions.udf.CIQ(A1653, "IQ_EBITDA_MARGIN",IQ_LTM))</f>
        <v>18.6478</v>
      </c>
      <c r="H1663" s="21">
        <f>IF(A1661=A1662,_xll.ciqfunctions.udf.CIQ(A1653,"IQ_TOTAL_DIV_PAID_CF",IQ_FY)/-I1663, _xll.ciqfunctions.udf.CIQ(A1653, "IQ_TOTAL_DIV_PAID_CF",IQ_LTM)/-I1663)</f>
        <v>0</v>
      </c>
      <c r="I1663" s="23">
        <f>IF(A1661=A1662,_xll.ciqfunctions.udf.CIQ(A1653,"IQ_TOTAL_OUTSTANDING_FILING_DATE",IQ_FY),_xll.ciqfunctions.udf.CIQ(A1653,"IQ_sharesoutstanding"))</f>
        <v>602.37958000000003</v>
      </c>
      <c r="J1663" s="23">
        <f>IF(A1661=A1662,_xll.ciqfunctions.udf.CIQ(A1653,"IQ_CASH_OPER",IQ_FY), _xll.ciqfunctions.udf.CIQ(A1653, "IQ_CASH_OPER",IQ_LTM))</f>
        <v>244.607</v>
      </c>
      <c r="K1663" s="23">
        <f>IF(A1661=A1662,_xll.ciqfunctions.udf.CIQ(A1653,"IQ_CAPEX",IQ_FY), _xll.ciqfunctions.udf.CIQ(A1653, "IQ_CAPEX",IQ_LTM))</f>
        <v>-52.293999999999997</v>
      </c>
      <c r="L1663" s="21">
        <f t="shared" si="440"/>
        <v>0.31925550995603136</v>
      </c>
      <c r="M1663" s="23">
        <f>IF(A1661=A1662,_xll.ciqfunctions.udf.CIQ(A1653,"IQ_TOTAL_DEBT_ISSUED",IQ_FY), _xll.ciqfunctions.udf.CIQ(A1653, "IQ_TOTAL_DEBT_ISSUED",IQ_LTM))</f>
        <v>0</v>
      </c>
      <c r="N1663" s="23">
        <f>IF(A1661=A1662,_xll.ciqfunctions.udf.CIQ(A1653,"IQ_TOTAL_DEBT_REPAID",IQ_FY), _xll.ciqfunctions.udf.CIQ(A1653, "IQ_TOTAL_DEBT_REPAID",IQ_LTM))</f>
        <v>-8</v>
      </c>
      <c r="O1663" s="21">
        <f t="shared" si="441"/>
        <v>-1.3280662667881271E-2</v>
      </c>
      <c r="P1663" s="21">
        <f t="shared" si="442"/>
        <v>0.30597484728815011</v>
      </c>
      <c r="Q1663" s="25" t="s">
        <v>45</v>
      </c>
      <c r="S1663" s="45"/>
      <c r="U1663" s="25"/>
      <c r="W1663" s="45"/>
      <c r="Y1663" s="25"/>
      <c r="AA1663" s="45"/>
    </row>
    <row r="1664" spans="1:27">
      <c r="B1664" s="24"/>
      <c r="C1664" s="25" t="s">
        <v>37</v>
      </c>
      <c r="E1664" s="26">
        <f>((D1663/D1658)^(1/5))-1</f>
        <v>-0.67499300569753751</v>
      </c>
      <c r="F1664" s="27">
        <f>((F1663/F1658)^(1/5))-1</f>
        <v>-0.65178234492768627</v>
      </c>
      <c r="G1664" s="28"/>
      <c r="H1664" s="27">
        <f>((H1663/H1658)^(1/5))-1</f>
        <v>-1</v>
      </c>
      <c r="I1664" s="27">
        <f>((I1663/I1658)^(1/5))-1</f>
        <v>2.326728969330111</v>
      </c>
      <c r="J1664" s="27"/>
      <c r="K1664" s="27"/>
      <c r="L1664" s="26">
        <f>((L1663/L1658)^(1/5))-1</f>
        <v>-0.60969411957299191</v>
      </c>
      <c r="M1664" s="26"/>
      <c r="N1664" s="26"/>
      <c r="O1664" s="26"/>
      <c r="P1664" s="26">
        <f>((P1663/P1658)^(1/5))-1</f>
        <v>-0.5961473718570407</v>
      </c>
      <c r="Q1664" s="18"/>
      <c r="R1664" s="36"/>
      <c r="S1664" s="45"/>
      <c r="U1664" s="18"/>
      <c r="V1664" s="36"/>
      <c r="W1664" s="45"/>
      <c r="Y1664" s="18"/>
      <c r="Z1664" s="36"/>
      <c r="AA1664" s="45"/>
    </row>
    <row r="1665" spans="1:27">
      <c r="A1665" s="29"/>
      <c r="B1665" s="30"/>
      <c r="C1665" s="31" t="s">
        <v>38</v>
      </c>
      <c r="D1665" s="29"/>
      <c r="E1665" s="32" t="e">
        <f>((D1663/D1653)^(1/10))-1</f>
        <v>#DIV/0!</v>
      </c>
      <c r="F1665" s="33" t="e">
        <f>((F1663/F1653)^(1/10))-1</f>
        <v>#DIV/0!</v>
      </c>
      <c r="G1665" s="34"/>
      <c r="H1665" s="33" t="e">
        <f>((H1663/H1653)^(1/10))-1</f>
        <v>#DIV/0!</v>
      </c>
      <c r="I1665" s="33" t="e">
        <f>((I1663/I1653)^(1/10))-1</f>
        <v>#DIV/0!</v>
      </c>
      <c r="J1665" s="33"/>
      <c r="K1665" s="33"/>
      <c r="L1665" s="32" t="e">
        <f>((L1663/L1653)^(1/10))-1</f>
        <v>#DIV/0!</v>
      </c>
      <c r="M1665" s="32"/>
      <c r="N1665" s="32"/>
      <c r="O1665" s="32"/>
      <c r="P1665" s="32" t="e">
        <f>((P1663/P1653)^(1/10))-1</f>
        <v>#DIV/0!</v>
      </c>
      <c r="Q1665" s="40"/>
      <c r="R1665" s="41"/>
      <c r="S1665" s="46"/>
      <c r="U1665" s="40"/>
      <c r="V1665" s="41"/>
      <c r="W1665" s="46"/>
      <c r="Y1665" s="40"/>
      <c r="Z1665" s="41"/>
      <c r="AA1665" s="46"/>
    </row>
    <row r="1666" spans="1:27">
      <c r="B1666" s="24"/>
      <c r="C1666" s="25"/>
      <c r="E1666" s="26"/>
      <c r="F1666" s="27"/>
      <c r="G1666" s="28"/>
      <c r="H1666" s="27"/>
      <c r="I1666" s="27"/>
      <c r="J1666" s="27"/>
      <c r="K1666" s="27"/>
      <c r="L1666" s="26"/>
      <c r="M1666" s="17"/>
      <c r="N1666" s="17"/>
      <c r="O1666" s="17"/>
      <c r="P1666" s="35"/>
      <c r="Q1666" s="18"/>
      <c r="R1666" s="36"/>
    </row>
    <row r="1667" spans="1:27">
      <c r="A1667" s="9" t="s">
        <v>0</v>
      </c>
      <c r="B1667" s="10"/>
      <c r="C1667" s="9" t="s">
        <v>1</v>
      </c>
      <c r="D1667" s="9" t="s">
        <v>2</v>
      </c>
      <c r="E1667" s="9" t="s">
        <v>3</v>
      </c>
      <c r="F1667" s="11" t="s">
        <v>4</v>
      </c>
      <c r="G1667" s="11" t="s">
        <v>5</v>
      </c>
      <c r="H1667" s="9" t="s">
        <v>6</v>
      </c>
      <c r="I1667" s="11" t="s">
        <v>7</v>
      </c>
      <c r="J1667" s="11" t="s">
        <v>8</v>
      </c>
      <c r="K1667" s="11" t="s">
        <v>9</v>
      </c>
      <c r="L1667" s="11" t="s">
        <v>10</v>
      </c>
      <c r="M1667" s="11" t="s">
        <v>11</v>
      </c>
      <c r="N1667" s="11" t="s">
        <v>12</v>
      </c>
      <c r="O1667" s="11" t="s">
        <v>13</v>
      </c>
      <c r="P1667" s="11" t="s">
        <v>14</v>
      </c>
      <c r="Q1667" s="37" t="s">
        <v>15</v>
      </c>
      <c r="R1667" s="42">
        <f>_xll.ciqfunctions.udf.CIQ(A1668,("IQ_LASTSALEPRICE"))</f>
        <v>41.07</v>
      </c>
      <c r="S1667" s="44"/>
      <c r="U1667" s="37" t="s">
        <v>15</v>
      </c>
      <c r="V1667" s="42">
        <f>_xll.ciqfunctions.udf.CIQ(A1668,("IQ_LASTSALEPRICE"))</f>
        <v>41.07</v>
      </c>
      <c r="W1667" s="44"/>
      <c r="Y1667" s="37" t="s">
        <v>15</v>
      </c>
      <c r="Z1667" s="42">
        <f>_xll.ciqfunctions.udf.CIQ(A1668,("IQ_LASTSALEPRICE"))</f>
        <v>41.07</v>
      </c>
      <c r="AA1667" s="44"/>
    </row>
    <row r="1668" spans="1:27">
      <c r="A1668" s="12" t="str">
        <f>Analysis!B113</f>
        <v>NasdaqGS:TENB</v>
      </c>
      <c r="B1668" s="13">
        <v>1</v>
      </c>
      <c r="C1668" s="14" t="s">
        <v>16</v>
      </c>
      <c r="D1668" s="15" t="e">
        <f>IF(A1676=A1677,_xll.ciqfunctions.udf.CIQ(A1668,"IQ_TOTAL_REV",IQ_FY-10)/I1668,_xll.ciqfunctions.udf.CIQ(A1668, "IQ_TOTAL_REV",IQ_FY-9)/I1668)</f>
        <v>#DIV/0!</v>
      </c>
      <c r="E1668" s="16"/>
      <c r="F1668" s="15">
        <f>IF(A1676=A1677,_xll.ciqfunctions.udf.CIQ(A1668,"IQ_DILUT_EPS_EXCL",IQ_FY-10), _xll.ciqfunctions.udf.CIQ(A1668, "IQ_DILUT_EPS_EXCL",IQ_FY-9))</f>
        <v>0</v>
      </c>
      <c r="G1668" s="15">
        <f>IF(A1676=A1677,_xll.ciqfunctions.udf.CIQ(A1668,"IQ_EBITDA_MARGIN",IQ_FY-10), _xll.ciqfunctions.udf.CIQ(A1668, "IQ_EBITDA_MARGIN",IQ_FY-9))</f>
        <v>0</v>
      </c>
      <c r="H1668" s="15" t="e">
        <f>IF(A1676=A1677,_xll.ciqfunctions.udf.CIQ(A1668,"IQ_TOTAL_DIV_PAID_CF",IQ_FY-10)/-I1668, _xll.ciqfunctions.udf.CIQ(A1668, "IQ_TOTAL_DIV_PAID_CF",IQ_FY-9)/-I1668)</f>
        <v>#DIV/0!</v>
      </c>
      <c r="I1668" s="17">
        <f>IF(A1676=A1677,_xll.ciqfunctions.udf.CIQ(A1668,"IQ_TOTAL_OUTSTANDING_FILING_DATE",IQ_FY-10), _xll.ciqfunctions.udf.CIQ(A1668, "IQ_TOTAL_OUTSTANDING_FILING_DATE",IQ_FY-9))</f>
        <v>0</v>
      </c>
      <c r="J1668" s="17">
        <f>IF(A1676=A1677,_xll.ciqfunctions.udf.CIQ(A1668,"IQ_CASH_OPER",IQ_FY-10), _xll.ciqfunctions.udf.CIQ(A1668, "IQ_CASH_OPER",IQ_FY-9))</f>
        <v>0</v>
      </c>
      <c r="K1668" s="17">
        <f>IF(A1676=A1677,_xll.ciqfunctions.udf.CIQ(A1668,"IQ_CAPEX",IQ_FY-10), _xll.ciqfunctions.udf.CIQ(A1668, "IQ_CAPEX",IQ_FY-9))</f>
        <v>0</v>
      </c>
      <c r="L1668" s="15" t="e">
        <f t="shared" ref="L1668:L1678" si="444">(J1668+K1668)/I1668</f>
        <v>#DIV/0!</v>
      </c>
      <c r="M1668" s="17">
        <f>IF(A1676=A1677,_xll.ciqfunctions.udf.CIQ(A1668,"IQ_TOTAL_DEBT_ISSUED",IQ_FY-10), _xll.ciqfunctions.udf.CIQ(A1668, "IQ_TOTAL_DEBT_ISSUED",IQ_FY-9))</f>
        <v>0</v>
      </c>
      <c r="N1668" s="17">
        <f>IF(A1676=A1677,_xll.ciqfunctions.udf.CIQ(A1668,"IQ_TOTAL_DEBT_REPAID",IQ_FY-10), _xll.ciqfunctions.udf.CIQ(A1668, "IQ_TOTAL_DEBT_REPAID",IQ_FY-9))</f>
        <v>0</v>
      </c>
      <c r="O1668" s="15" t="e">
        <f t="shared" ref="O1668:O1678" si="445">(M1668+N1668)/I1668</f>
        <v>#DIV/0!</v>
      </c>
      <c r="P1668" s="15" t="e">
        <f t="shared" ref="P1668:P1678" si="446">L1668+O1668</f>
        <v>#DIV/0!</v>
      </c>
      <c r="W1668" s="43"/>
      <c r="AA1668" s="43"/>
    </row>
    <row r="1669" spans="1:27">
      <c r="A1669" s="18" t="str">
        <f>_xll.ciqfunctions.udf.CIQ(A1668,"IQ_COMPANY_NAME")</f>
        <v>Tenable Holdings, Inc.</v>
      </c>
      <c r="B1669" s="13">
        <v>2</v>
      </c>
      <c r="C1669" s="14" t="s">
        <v>17</v>
      </c>
      <c r="D1669" s="15" t="e">
        <f>IF(A1676=A1677,_xll.ciqfunctions.udf.CIQ(A1668,"IQ_TOTAL_REV",IQ_FY-9)/I1669, _xll.ciqfunctions.udf.CIQ(A1668, "IQ_TOTAL_REV",IQ_FY-8)/I1669)</f>
        <v>#DIV/0!</v>
      </c>
      <c r="E1669" s="16" t="e">
        <f t="shared" ref="E1669:E1678" si="447">(D1669-D1668)/D1668</f>
        <v>#DIV/0!</v>
      </c>
      <c r="F1669" s="15">
        <f>IF(A1676=A1677,_xll.ciqfunctions.udf.CIQ(A1668,"IQ_DILUT_EPS_EXCL",IQ_FY-9), _xll.ciqfunctions.udf.CIQ(A1668, "IQ_DILUT_EPS_EXCL",IQ_FY-8))</f>
        <v>0</v>
      </c>
      <c r="G1669" s="15">
        <f>IF(A1676=A1677,_xll.ciqfunctions.udf.CIQ(A1668,"IQ_EBITDA_MARGIN",IQ_FY-9), _xll.ciqfunctions.udf.CIQ(A1668, "IQ_EBITDA_MARGIN",IQ_FY-8))</f>
        <v>0</v>
      </c>
      <c r="H1669" s="15" t="e">
        <f>IF(A1676=A1677,_xll.ciqfunctions.udf.CIQ(A1668,"IQ_TOTAL_DIV_PAID_CF",IQ_FY-9)/-I1669, _xll.ciqfunctions.udf.CIQ(A1668, "IQ_TOTAL_DIV_PAID_CF",IQ_FY-8)/-I1669)</f>
        <v>#DIV/0!</v>
      </c>
      <c r="I1669" s="17">
        <f>IF(A1676=A1677,_xll.ciqfunctions.udf.CIQ(A1668,"IQ_TOTAL_OUTSTANDING_FILING_DATE",IQ_FY-9), _xll.ciqfunctions.udf.CIQ(A1668, "IQ_TOTAL_OUTSTANDING_FILING_DATE",IQ_FY-8))</f>
        <v>0</v>
      </c>
      <c r="J1669" s="17">
        <f>IF(A1676=A1677,_xll.ciqfunctions.udf.CIQ(A1668,"IQ_CASH_OPER",IQ_FY-9), _xll.ciqfunctions.udf.CIQ(A1668, "IQ_CASH_OPER",IQ_FY-8))</f>
        <v>0</v>
      </c>
      <c r="K1669" s="17">
        <f>IF(A1676=A1677,_xll.ciqfunctions.udf.CIQ(A1668,"IQ_CAPEX",IQ_FY-9), _xll.ciqfunctions.udf.CIQ(A1668, "IQ_CAPEX",IQ_FY-8))</f>
        <v>0</v>
      </c>
      <c r="L1669" s="15" t="e">
        <f t="shared" si="444"/>
        <v>#DIV/0!</v>
      </c>
      <c r="M1669" s="17">
        <f>IF(A1676=A1677,_xll.ciqfunctions.udf.CIQ(A1668,"IQ_TOTAL_DEBT_ISSUED",IQ_FY-9), _xll.ciqfunctions.udf.CIQ(A1668, "IQ_TOTAL_DEBT_ISSUED",IQ_FY-8))</f>
        <v>0</v>
      </c>
      <c r="N1669" s="17">
        <f>IF(A1676=A1677,_xll.ciqfunctions.udf.CIQ(A1668,"IQ_TOTAL_DEBT_REPAID",IQ_FY-9), _xll.ciqfunctions.udf.CIQ(A1668, "IQ_TOTAL_DEBT_REPAID",IQ_FY-8))</f>
        <v>0</v>
      </c>
      <c r="O1669" s="15" t="e">
        <f t="shared" si="445"/>
        <v>#DIV/0!</v>
      </c>
      <c r="P1669" s="15" t="e">
        <f t="shared" si="446"/>
        <v>#DIV/0!</v>
      </c>
      <c r="Q1669" s="25" t="s">
        <v>18</v>
      </c>
      <c r="R1669" s="39" t="s">
        <v>19</v>
      </c>
      <c r="S1669" s="1">
        <f>R1667/((AVERAGE(P1673:P1678))*(1+E1679)^3)</f>
        <v>22.848621029751701</v>
      </c>
      <c r="U1669" s="25" t="s">
        <v>48</v>
      </c>
      <c r="V1669" s="39" t="s">
        <v>19</v>
      </c>
      <c r="W1669" s="1">
        <f>V1667/((AVERAGE(P1673:P1678))*(1+E1679)^3)</f>
        <v>22.848621029751701</v>
      </c>
      <c r="Y1669" s="25" t="s">
        <v>39</v>
      </c>
      <c r="Z1669" s="39" t="s">
        <v>19</v>
      </c>
      <c r="AA1669" s="1">
        <f>Z1667/((AVERAGE(P1673:P1678))*(1+E1679)^3)</f>
        <v>22.848621029751701</v>
      </c>
    </row>
    <row r="1670" spans="1:27">
      <c r="B1670" s="13">
        <v>3</v>
      </c>
      <c r="C1670" s="14" t="s">
        <v>20</v>
      </c>
      <c r="D1670" s="15" t="e" cm="1">
        <f t="array" ref="D1670">_xlfn.SINGLE(IF(A1676=A1677,_xll.ciqfunctions.udf.CIQ(A1668,"IQ_TOTAL_REV",IQ_FY-8)/I1670, _xll.ciqfunctions.udf.CIQ(A1668, "IQ_TOTAL_REV",IQ_FY-7)/I1670))</f>
        <v>#DIV/0!</v>
      </c>
      <c r="E1670" s="16" t="e">
        <f t="shared" si="447"/>
        <v>#DIV/0!</v>
      </c>
      <c r="F1670" s="15">
        <f>IF(A1676=A1677,_xll.ciqfunctions.udf.CIQ(A1668,"IQ_DILUT_EPS_EXCL",IQ_FY-8), _xll.ciqfunctions.udf.CIQ(A1668, "IQ_DILUT_EPS_EXCL",IQ_FY-7))</f>
        <v>0</v>
      </c>
      <c r="G1670" s="15">
        <f>IF(A1676=A1677,_xll.ciqfunctions.udf.CIQ(A1668,"IQ_EBITDA_MARGIN",IQ_FY-8), _xll.ciqfunctions.udf.CIQ(A1668, "IQ_EBITDA_MARGIN",IQ_FY-7))</f>
        <v>0</v>
      </c>
      <c r="H1670" s="15" t="e">
        <f>IF(A1676=A1677,_xll.ciqfunctions.udf.CIQ(A1668,"IQ_TOTAL_DIV_PAID_CF",IQ_FY-8)/-I1670, _xll.ciqfunctions.udf.CIQ(A1668, "IQ_TOTAL_DIV_PAID_CF",IQ_FY-7)/-I1670)</f>
        <v>#DIV/0!</v>
      </c>
      <c r="I1670" s="17">
        <f>IF(A1676=A1677,_xll.ciqfunctions.udf.CIQ(A1668,"IQ_TOTAL_OUTSTANDING_FILING_DATE",IQ_FY-8), _xll.ciqfunctions.udf.CIQ(A1668, "IQ_TOTAL_OUTSTANDING_FILING_DATE",IQ_FY-7))</f>
        <v>0</v>
      </c>
      <c r="J1670" s="17">
        <f>IF(A1676=A1677,_xll.ciqfunctions.udf.CIQ(A1668,"IQ_CASH_OPER",IQ_FY-8), _xll.ciqfunctions.udf.CIQ(A1668, "IQ_CASH_OPER",IQ_FY-7))</f>
        <v>0</v>
      </c>
      <c r="K1670" s="17">
        <f>IF(A1676=A1677,_xll.ciqfunctions.udf.CIQ(A1668,"IQ_CAPEX",IQ_FY-8), _xll.ciqfunctions.udf.CIQ(A1668, "IQ_CAPEX",IQ_FY-7))</f>
        <v>0</v>
      </c>
      <c r="L1670" s="15" t="e">
        <f t="shared" si="444"/>
        <v>#DIV/0!</v>
      </c>
      <c r="M1670" s="17">
        <f>IF(A1676=A1677,_xll.ciqfunctions.udf.CIQ(A1668,"IQ_TOTAL_DEBT_ISSUED",IQ_FY-8), _xll.ciqfunctions.udf.CIQ(A1668, "IQ_TOTAL_DEBT_ISSUED",IQ_FY-7))</f>
        <v>0</v>
      </c>
      <c r="N1670" s="17">
        <f>IF(A1676=A1677,_xll.ciqfunctions.udf.CIQ(A1668,"IQ_TOTAL_DEBT_REPAID",IQ_FY-8), _xll.ciqfunctions.udf.CIQ(A1668, "IQ_TOTAL_DEBT_REPAID",IQ_FY-7))</f>
        <v>0</v>
      </c>
      <c r="O1670" s="15" t="e">
        <f t="shared" si="445"/>
        <v>#DIV/0!</v>
      </c>
      <c r="P1670" s="15" t="e">
        <f t="shared" si="446"/>
        <v>#DIV/0!</v>
      </c>
      <c r="Q1670" s="25" t="s">
        <v>21</v>
      </c>
      <c r="R1670" s="38" t="s">
        <v>49</v>
      </c>
      <c r="S1670" s="2">
        <f>(R1667*I1678)/1000</f>
        <v>4.8025175750999995</v>
      </c>
      <c r="U1670" s="25" t="s">
        <v>59</v>
      </c>
      <c r="V1670" s="38" t="s">
        <v>49</v>
      </c>
      <c r="W1670" s="2">
        <f>(V1667*I1678)/1000</f>
        <v>4.8025175750999995</v>
      </c>
      <c r="Y1670" s="25" t="s">
        <v>46</v>
      </c>
      <c r="Z1670" s="38" t="s">
        <v>49</v>
      </c>
      <c r="AA1670" s="2">
        <f>(Z1667*I1678)/1000</f>
        <v>4.8025175750999995</v>
      </c>
    </row>
    <row r="1671" spans="1:27">
      <c r="A1671" s="18"/>
      <c r="B1671" s="13">
        <v>4</v>
      </c>
      <c r="C1671" s="14" t="s">
        <v>22</v>
      </c>
      <c r="D1671" s="15" cm="1">
        <f t="array" ref="D1671">_xlfn.SINGLE(IF(A1676=A1677,_xll.ciqfunctions.udf.CIQ(A1668,"IQ_TOTAL_REV",IQ_FY-7)/I1671, _xll.ciqfunctions.udf.CIQ(A1668, "IQ_TOTAL_REV",IQ_FY-6)/I1671))</f>
        <v>5.8762579730687454</v>
      </c>
      <c r="E1671" s="16" t="e">
        <f t="shared" si="447"/>
        <v>#DIV/0!</v>
      </c>
      <c r="F1671" s="15">
        <f>IF(A1676=A1677,_xll.ciqfunctions.udf.CIQ(A1668,"IQ_DILUT_EPS_EXCL",IQ_FY-7), _xll.ciqfunctions.udf.CIQ(A1668, "IQ_DILUT_EPS_EXCL",IQ_FY-6))</f>
        <v>-1.8103800000000001</v>
      </c>
      <c r="G1671" s="15">
        <f>IF(A1676=A1677,_xll.ciqfunctions.udf.CIQ(A1668,"IQ_EBITDA_MARGIN",IQ_FY-7), _xll.ciqfunctions.udf.CIQ(A1668, "IQ_EBITDA_MARGIN",IQ_FY-6))</f>
        <v>-26.511800000000001</v>
      </c>
      <c r="H1671" s="15">
        <f>IF(A1676=A1677,_xll.ciqfunctions.udf.CIQ(A1668,"IQ_TOTAL_DIV_PAID_CF",IQ_FY-7)/-I1671, _xll.ciqfunctions.udf.CIQ(A1668, "IQ_TOTAL_DIV_PAID_CF",IQ_FY-6)/-I1671)</f>
        <v>0</v>
      </c>
      <c r="I1671" s="17">
        <f>IF(A1676=A1677,_xll.ciqfunctions.udf.CIQ(A1668,"IQ_TOTAL_OUTSTANDING_FILING_DATE",IQ_FY-7), _xll.ciqfunctions.udf.CIQ(A1668, "IQ_TOTAL_OUTSTANDING_FILING_DATE",IQ_FY-6))</f>
        <v>21.164999999999999</v>
      </c>
      <c r="J1671" s="17">
        <f>IF(A1676=A1677,_xll.ciqfunctions.udf.CIQ(A1668,"IQ_CASH_OPER",IQ_FY-7), _xll.ciqfunctions.udf.CIQ(A1668, "IQ_CASH_OPER",IQ_FY-6))</f>
        <v>-2.7850000000000001</v>
      </c>
      <c r="K1671" s="17">
        <f>IF(A1676=A1677,_xll.ciqfunctions.udf.CIQ(A1668,"IQ_CAPEX",IQ_FY-7), _xll.ciqfunctions.udf.CIQ(A1668, "IQ_CAPEX",IQ_FY-6))</f>
        <v>-5.7759999999999998</v>
      </c>
      <c r="L1671" s="15">
        <f t="shared" si="444"/>
        <v>-0.40448854240491378</v>
      </c>
      <c r="M1671" s="17">
        <f>IF(A1676=A1677,_xll.ciqfunctions.udf.CIQ(A1668,"IQ_TOTAL_DEBT_ISSUED",IQ_FY-7), _xll.ciqfunctions.udf.CIQ(A1668, "IQ_TOTAL_DEBT_ISSUED",IQ_FY-6))</f>
        <v>0</v>
      </c>
      <c r="N1671" s="17">
        <f>IF(A1676=A1677,_xll.ciqfunctions.udf.CIQ(A1668,"IQ_TOTAL_DEBT_REPAID",IQ_FY-7), _xll.ciqfunctions.udf.CIQ(A1668, "IQ_TOTAL_DEBT_REPAID",IQ_FY-6))</f>
        <v>-4.7E-2</v>
      </c>
      <c r="O1671" s="15">
        <f t="shared" si="445"/>
        <v>-2.2206472950626033E-3</v>
      </c>
      <c r="P1671" s="15">
        <f t="shared" si="446"/>
        <v>-0.40670918969997638</v>
      </c>
      <c r="Q1671" s="25" t="s">
        <v>23</v>
      </c>
      <c r="R1671" s="38" t="s">
        <v>24</v>
      </c>
      <c r="S1671" s="1" t="e">
        <f>R1667/(AVERAGE(H1673:H1678)*(1+H1679)/(0.5-H1679))</f>
        <v>#DIV/0!</v>
      </c>
      <c r="U1671" s="25" t="s">
        <v>40</v>
      </c>
      <c r="V1671" s="38" t="s">
        <v>24</v>
      </c>
      <c r="W1671" s="1" t="e">
        <f>V1667/(AVERAGE(H1673:H1678)*(1+H1679)/(0.5-H1679))</f>
        <v>#DIV/0!</v>
      </c>
      <c r="Y1671" s="25" t="s">
        <v>47</v>
      </c>
      <c r="Z1671" s="38" t="s">
        <v>24</v>
      </c>
      <c r="AA1671" s="1" t="e">
        <f>Z1667/(AVERAGE(H1673:H1678)*(1+H1679)/(0.5-H1679))</f>
        <v>#DIV/0!</v>
      </c>
    </row>
    <row r="1672" spans="1:27">
      <c r="B1672" s="13">
        <v>5</v>
      </c>
      <c r="C1672" s="14" t="s">
        <v>25</v>
      </c>
      <c r="D1672" s="15" cm="1">
        <f t="array" ref="D1672">_xlfn.SINGLE(IF(A1676=A1677,_xll.ciqfunctions.udf.CIQ(A1668,"IQ_TOTAL_REV",IQ_FY-6)/I1672, _xll.ciqfunctions.udf.CIQ(A1668, "IQ_TOTAL_REV",IQ_FY-5)/I1672))</f>
        <v>7.5715910557563237</v>
      </c>
      <c r="E1672" s="16">
        <f t="shared" si="447"/>
        <v>0.28850555752613227</v>
      </c>
      <c r="F1672" s="15">
        <f>IF(A1676=A1677,_xll.ciqfunctions.udf.CIQ(A1668,"IQ_DILUT_EPS_EXCL",IQ_FY-6), _xll.ciqfunctions.udf.CIQ(A1668, "IQ_DILUT_EPS_EXCL",IQ_FY-5))</f>
        <v>-1.8812800000000001</v>
      </c>
      <c r="G1672" s="15">
        <f>IF(A1676=A1677,_xll.ciqfunctions.udf.CIQ(A1668,"IQ_EBITDA_MARGIN",IQ_FY-6), _xll.ciqfunctions.udf.CIQ(A1668, "IQ_EBITDA_MARGIN",IQ_FY-5))</f>
        <v>-19.532599999999999</v>
      </c>
      <c r="H1672" s="15">
        <f>IF(A1676=A1677,_xll.ciqfunctions.udf.CIQ(A1668,"IQ_TOTAL_DIV_PAID_CF",IQ_FY-6)/-I1672, _xll.ciqfunctions.udf.CIQ(A1668, "IQ_TOTAL_DIV_PAID_CF",IQ_FY-5)/-I1672)</f>
        <v>0</v>
      </c>
      <c r="I1672" s="17">
        <f>IF(A1676=A1677,_xll.ciqfunctions.udf.CIQ(A1668,"IQ_TOTAL_OUTSTANDING_FILING_DATE",IQ_FY-6), _xll.ciqfunctions.udf.CIQ(A1668, "IQ_TOTAL_OUTSTANDING_FILING_DATE",IQ_FY-5))</f>
        <v>24.793600000000001</v>
      </c>
      <c r="J1672" s="17">
        <f>IF(A1676=A1677,_xll.ciqfunctions.udf.CIQ(A1668,"IQ_CASH_OPER",IQ_FY-6), _xll.ciqfunctions.udf.CIQ(A1668, "IQ_CASH_OPER",IQ_FY-5))</f>
        <v>-6.266</v>
      </c>
      <c r="K1672" s="17">
        <f>IF(A1676=A1677,_xll.ciqfunctions.udf.CIQ(A1668,"IQ_CAPEX",IQ_FY-6), _xll.ciqfunctions.udf.CIQ(A1668, "IQ_CAPEX",IQ_FY-5))</f>
        <v>-2.7549999999999999</v>
      </c>
      <c r="L1672" s="15">
        <f t="shared" si="444"/>
        <v>-0.36384389519876098</v>
      </c>
      <c r="M1672" s="17">
        <f>IF(A1676=A1677,_xll.ciqfunctions.udf.CIQ(A1668,"IQ_TOTAL_DEBT_ISSUED",IQ_FY-6), _xll.ciqfunctions.udf.CIQ(A1668, "IQ_TOTAL_DEBT_ISSUED",IQ_FY-5))</f>
        <v>0</v>
      </c>
      <c r="N1672" s="17">
        <f>IF(A1676=A1677,_xll.ciqfunctions.udf.CIQ(A1668,"IQ_TOTAL_DEBT_REPAID",IQ_FY-6), _xll.ciqfunctions.udf.CIQ(A1668, "IQ_TOTAL_DEBT_REPAID",IQ_FY-5))</f>
        <v>-0.30599999999999999</v>
      </c>
      <c r="O1672" s="15">
        <f t="shared" si="445"/>
        <v>-1.2341894682498708E-2</v>
      </c>
      <c r="P1672" s="15">
        <f t="shared" si="446"/>
        <v>-0.37618578988125967</v>
      </c>
      <c r="Q1672" s="18"/>
      <c r="R1672" s="38" t="s">
        <v>50</v>
      </c>
      <c r="S1672" s="3">
        <f>I1679</f>
        <v>4.2521738851026392E-2</v>
      </c>
      <c r="U1672" s="18"/>
      <c r="V1672" s="38" t="s">
        <v>50</v>
      </c>
      <c r="W1672" s="3">
        <f>I1679</f>
        <v>4.2521738851026392E-2</v>
      </c>
      <c r="Y1672" s="18"/>
      <c r="Z1672" s="38" t="s">
        <v>50</v>
      </c>
      <c r="AA1672" s="3">
        <f>I1679</f>
        <v>4.2521738851026392E-2</v>
      </c>
    </row>
    <row r="1673" spans="1:27">
      <c r="B1673" s="13">
        <v>6</v>
      </c>
      <c r="C1673" s="14" t="s">
        <v>26</v>
      </c>
      <c r="D1673" s="15" cm="1">
        <f t="array" ref="D1673">_xlfn.SINGLE(IF(A1676=A1677,_xll.ciqfunctions.udf.CIQ(A1668,"IQ_TOTAL_REV",IQ_FY-5)/I1673, _xll.ciqfunctions.udf.CIQ(A1668, "IQ_TOTAL_REV",IQ_FY-4)/I1673))</f>
        <v>2.8156441807598069</v>
      </c>
      <c r="E1673" s="16">
        <f t="shared" si="447"/>
        <v>-0.62813044708493526</v>
      </c>
      <c r="F1673" s="15">
        <f>IF(A1676=A1677,_xll.ciqfunctions.udf.CIQ(A1668,"IQ_DILUT_EPS_EXCL",IQ_FY-5), _xll.ciqfunctions.udf.CIQ(A1668, "IQ_DILUT_EPS_EXCL",IQ_FY-4))</f>
        <v>-1.38</v>
      </c>
      <c r="G1673" s="15">
        <f>IF(A1676=A1677,_xll.ciqfunctions.udf.CIQ(A1668,"IQ_EBITDA_MARGIN",IQ_FY-5), _xll.ciqfunctions.udf.CIQ(A1668, "IQ_EBITDA_MARGIN",IQ_FY-4))</f>
        <v>-24.831299999999999</v>
      </c>
      <c r="H1673" s="15">
        <f>IF(A1676=A1677,_xll.ciqfunctions.udf.CIQ(A1668,"IQ_TOTAL_DIV_PAID_CF",IQ_FY-5)/-I1673, _xll.ciqfunctions.udf.CIQ(A1668, "IQ_TOTAL_DIV_PAID_CF",IQ_FY-4)/-I1673)</f>
        <v>0</v>
      </c>
      <c r="I1673" s="17">
        <f>IF(A1676=A1677,_xll.ciqfunctions.udf.CIQ(A1668,"IQ_TOTAL_OUTSTANDING_FILING_DATE",IQ_FY-5), _xll.ciqfunctions.udf.CIQ(A1668, "IQ_TOTAL_OUTSTANDING_FILING_DATE",IQ_FY-4))</f>
        <v>94.955179999999999</v>
      </c>
      <c r="J1673" s="17">
        <f>IF(A1676=A1677,_xll.ciqfunctions.udf.CIQ(A1668,"IQ_CASH_OPER",IQ_FY-5), _xll.ciqfunctions.udf.CIQ(A1668, "IQ_CASH_OPER",IQ_FY-4))</f>
        <v>-2.5590000000000002</v>
      </c>
      <c r="K1673" s="17">
        <f>IF(A1676=A1677,_xll.ciqfunctions.udf.CIQ(A1668,"IQ_CAPEX",IQ_FY-5), _xll.ciqfunctions.udf.CIQ(A1668, "IQ_CAPEX",IQ_FY-4))</f>
        <v>-5.7329999999999997</v>
      </c>
      <c r="L1673" s="15">
        <f t="shared" si="444"/>
        <v>-8.7325409735414111E-2</v>
      </c>
      <c r="M1673" s="17">
        <f>IF(A1676=A1677,_xll.ciqfunctions.udf.CIQ(A1668,"IQ_TOTAL_DEBT_ISSUED",IQ_FY-5), _xll.ciqfunctions.udf.CIQ(A1668, "IQ_TOTAL_DEBT_ISSUED",IQ_FY-4))</f>
        <v>0</v>
      </c>
      <c r="N1673" s="17">
        <f>IF(A1676=A1677,_xll.ciqfunctions.udf.CIQ(A1668,"IQ_TOTAL_DEBT_REPAID",IQ_FY-5), _xll.ciqfunctions.udf.CIQ(A1668, "IQ_TOTAL_DEBT_REPAID",IQ_FY-4))</f>
        <v>0</v>
      </c>
      <c r="O1673" s="15">
        <f t="shared" si="445"/>
        <v>0</v>
      </c>
      <c r="P1673" s="15">
        <f t="shared" si="446"/>
        <v>-8.7325409735414111E-2</v>
      </c>
      <c r="Q1673" s="25" t="s">
        <v>27</v>
      </c>
      <c r="R1673" s="38" t="s">
        <v>51</v>
      </c>
      <c r="S1673" s="4">
        <f>AVERAGE(F1673:F1678)/AVERAGE(D1673:D1678)</f>
        <v>-0.17011711681319891</v>
      </c>
      <c r="U1673" s="25" t="s">
        <v>58</v>
      </c>
      <c r="V1673" s="38" t="s">
        <v>51</v>
      </c>
      <c r="W1673" s="4">
        <f>AVERAGE(F1673:F1678)/AVERAGE(D1673:D1678)</f>
        <v>-0.17011711681319891</v>
      </c>
      <c r="Y1673" s="25" t="s">
        <v>56</v>
      </c>
      <c r="Z1673" s="38" t="s">
        <v>51</v>
      </c>
      <c r="AA1673" s="4">
        <f>AVERAGE(F1673:F1678)/AVERAGE(D1673:D1678)</f>
        <v>-0.17011711681319891</v>
      </c>
    </row>
    <row r="1674" spans="1:27">
      <c r="A1674" s="18"/>
      <c r="B1674" s="13">
        <v>7</v>
      </c>
      <c r="C1674" s="14" t="s">
        <v>28</v>
      </c>
      <c r="D1674" s="15" cm="1">
        <f t="array" ref="D1674">_xlfn.SINGLE(IF(A1676=A1677,_xll.ciqfunctions.udf.CIQ(A1668,"IQ_TOTAL_REV",IQ_FY-4)/I1674, _xll.ciqfunctions.udf.CIQ(A1668, "IQ_TOTAL_REV",IQ_FY-3)/I1674))</f>
        <v>3.567090609891955</v>
      </c>
      <c r="E1674" s="16">
        <f t="shared" si="447"/>
        <v>0.26688259626945082</v>
      </c>
      <c r="F1674" s="15">
        <f>IF(A1676=A1677,_xll.ciqfunctions.udf.CIQ(A1668,"IQ_DILUT_EPS_EXCL",IQ_FY-4), _xll.ciqfunctions.udf.CIQ(A1668, "IQ_DILUT_EPS_EXCL",IQ_FY-3))</f>
        <v>-1.0312399999999999</v>
      </c>
      <c r="G1674" s="15">
        <f>IF(A1676=A1677,_xll.ciqfunctions.udf.CIQ(A1668,"IQ_EBITDA_MARGIN",IQ_FY-4), _xll.ciqfunctions.udf.CIQ(A1668, "IQ_EBITDA_MARGIN",IQ_FY-3))</f>
        <v>-22.5471</v>
      </c>
      <c r="H1674" s="15">
        <f>IF(A1676=A1677,_xll.ciqfunctions.udf.CIQ(A1668,"IQ_TOTAL_DIV_PAID_CF",IQ_FY-4)/-I1674, _xll.ciqfunctions.udf.CIQ(A1668, "IQ_TOTAL_DIV_PAID_CF",IQ_FY-3)/-I1674)</f>
        <v>0</v>
      </c>
      <c r="I1674" s="17">
        <f>IF(A1676=A1677,_xll.ciqfunctions.udf.CIQ(A1668,"IQ_TOTAL_OUTSTANDING_FILING_DATE",IQ_FY-4), _xll.ciqfunctions.udf.CIQ(A1668, "IQ_TOTAL_OUTSTANDING_FILING_DATE",IQ_FY-3))</f>
        <v>99.404820000000001</v>
      </c>
      <c r="J1674" s="17">
        <f>IF(A1676=A1677,_xll.ciqfunctions.udf.CIQ(A1668,"IQ_CASH_OPER",IQ_FY-4), _xll.ciqfunctions.udf.CIQ(A1668, "IQ_CASH_OPER",IQ_FY-3))</f>
        <v>-10.744</v>
      </c>
      <c r="K1674" s="17">
        <f>IF(A1676=A1677,_xll.ciqfunctions.udf.CIQ(A1668,"IQ_CAPEX",IQ_FY-4), _xll.ciqfunctions.udf.CIQ(A1668, "IQ_CAPEX",IQ_FY-3))</f>
        <v>-20.673999999999999</v>
      </c>
      <c r="L1674" s="15">
        <f t="shared" si="444"/>
        <v>-0.31606113264930208</v>
      </c>
      <c r="M1674" s="17">
        <f>IF(A1676=A1677,_xll.ciqfunctions.udf.CIQ(A1668,"IQ_TOTAL_DEBT_ISSUED",IQ_FY-4), _xll.ciqfunctions.udf.CIQ(A1668, "IQ_TOTAL_DEBT_ISSUED",IQ_FY-3))</f>
        <v>0</v>
      </c>
      <c r="N1674" s="17">
        <f>IF(A1676=A1677,_xll.ciqfunctions.udf.CIQ(A1668,"IQ_TOTAL_DEBT_REPAID",IQ_FY-4), _xll.ciqfunctions.udf.CIQ(A1668, "IQ_TOTAL_DEBT_REPAID",IQ_FY-3))</f>
        <v>0</v>
      </c>
      <c r="O1674" s="15">
        <f t="shared" si="445"/>
        <v>0</v>
      </c>
      <c r="P1674" s="15">
        <f t="shared" si="446"/>
        <v>-0.31606113264930208</v>
      </c>
      <c r="Q1674" s="18"/>
      <c r="R1674" s="38" t="s">
        <v>29</v>
      </c>
      <c r="S1674" s="4">
        <f>(AVERAGE(P1673:P1678)/_xlfn.STDEV.P(P1673:P1678))/(IF(A1676=A1677,(_xlfn.SINGLE(_xll.ciqfunctions.udf.CIQ(A1668,"IQ_total_assets",IQ_FY)) - _xlfn.SINGLE(_xll.ciqfunctions.udf.CIQ(A1668,"iq_gw_intan", IQ_FY)))/I1678, (_xlfn.SINGLE(_xll.ciqfunctions.udf.CIQ(A1668, "IQ_total_assets",IQ_LTM))-_xlfn.SINGLE(_xll.ciqfunctions.udf.CIQ(A1668,"iq_gw_intan",IQ_LTM)))/I1678))</f>
        <v>7.2757953546286752E-2</v>
      </c>
      <c r="U1674" s="18"/>
      <c r="V1674" s="38" t="s">
        <v>29</v>
      </c>
      <c r="W1674" s="4">
        <f>(AVERAGE(P1673:P1678)/_xlfn.STDEV.P(P1673:P1678))/(IF(A1676=A1677,(_xlfn.SINGLE(_xll.ciqfunctions.udf.CIQ(A1668,"IQ_total_assets",IQ_FY)) - _xlfn.SINGLE(_xll.ciqfunctions.udf.CIQ(A1668,"iq_gw_intan", IQ_FY)))/I1678, (_xlfn.SINGLE(_xll.ciqfunctions.udf.CIQ(A1668, "IQ_total_assets",IQ_LTM))-_xlfn.SINGLE(_xll.ciqfunctions.udf.CIQ(A1668,"iq_gw_intan",IQ_LTM)))/I1678))</f>
        <v>7.2757953546286752E-2</v>
      </c>
      <c r="Y1674" s="18"/>
      <c r="Z1674" s="38" t="s">
        <v>29</v>
      </c>
      <c r="AA1674" s="4">
        <f>(AVERAGE(P1673:P1678)/_xlfn.STDEV.P(P1673:P1678))/(IF(A1676=A1677,(_xlfn.SINGLE(_xll.ciqfunctions.udf.CIQ(A1668,"IQ_total_assets",IQ_FY)) - _xlfn.SINGLE(_xll.ciqfunctions.udf.CIQ(A1668,"iq_gw_intan", IQ_FY)))/I1678, (_xlfn.SINGLE(_xll.ciqfunctions.udf.CIQ(A1668, "IQ_total_assets",IQ_LTM))-_xlfn.SINGLE(_xll.ciqfunctions.udf.CIQ(A1668,"iq_gw_intan",IQ_LTM)))/I1678))</f>
        <v>7.2757953546286752E-2</v>
      </c>
    </row>
    <row r="1675" spans="1:27">
      <c r="A1675" s="18"/>
      <c r="B1675" s="13">
        <v>8</v>
      </c>
      <c r="C1675" s="14" t="s">
        <v>30</v>
      </c>
      <c r="D1675" s="15" cm="1">
        <f t="array" ref="D1675">_xlfn.SINGLE(IF(A1676=A1677,_xll.ciqfunctions.udf.CIQ(A1668,"IQ_TOTAL_REV",IQ_FY-3)/I1675, _xll.ciqfunctions.udf.CIQ(A1668, "IQ_TOTAL_REV",IQ_FY-2)/I1675))</f>
        <v>4.2314181168338578</v>
      </c>
      <c r="E1675" s="16">
        <f t="shared" si="447"/>
        <v>0.18623791195537498</v>
      </c>
      <c r="F1675" s="15">
        <f>IF(A1676=A1677,_xll.ciqfunctions.udf.CIQ(A1668,"IQ_DILUT_EPS_EXCL",IQ_FY-3), _xll.ciqfunctions.udf.CIQ(A1668, "IQ_DILUT_EPS_EXCL",IQ_FY-2))</f>
        <v>-0.42304000000000003</v>
      </c>
      <c r="G1675" s="15">
        <f>IF(A1676=A1677,_xll.ciqfunctions.udf.CIQ(A1668,"IQ_EBITDA_MARGIN",IQ_FY-3), _xll.ciqfunctions.udf.CIQ(A1668, "IQ_EBITDA_MARGIN",IQ_FY-2))</f>
        <v>-5.7835999999999999</v>
      </c>
      <c r="H1675" s="15">
        <f>IF(A1676=A1677,_xll.ciqfunctions.udf.CIQ(A1668,"IQ_TOTAL_DIV_PAID_CF",IQ_FY-3)/-I1675, _xll.ciqfunctions.udf.CIQ(A1668, "IQ_TOTAL_DIV_PAID_CF",IQ_FY-2)/-I1675)</f>
        <v>0</v>
      </c>
      <c r="I1675" s="17">
        <f>IF(A1676=A1677,_xll.ciqfunctions.udf.CIQ(A1668,"IQ_TOTAL_OUTSTANDING_FILING_DATE",IQ_FY-3), _xll.ciqfunctions.udf.CIQ(A1668, "IQ_TOTAL_OUTSTANDING_FILING_DATE",IQ_FY-2))</f>
        <v>104.03628</v>
      </c>
      <c r="J1675" s="17">
        <f>IF(A1676=A1677,_xll.ciqfunctions.udf.CIQ(A1668,"IQ_CASH_OPER",IQ_FY-3), _xll.ciqfunctions.udf.CIQ(A1668, "IQ_CASH_OPER",IQ_FY-2))</f>
        <v>64.231999999999999</v>
      </c>
      <c r="K1675" s="17">
        <f>IF(A1676=A1677,_xll.ciqfunctions.udf.CIQ(A1668,"IQ_CAPEX",IQ_FY-3), _xll.ciqfunctions.udf.CIQ(A1668, "IQ_CAPEX",IQ_FY-2))</f>
        <v>-18.882000000000001</v>
      </c>
      <c r="L1675" s="15">
        <f t="shared" si="444"/>
        <v>0.43590562830581786</v>
      </c>
      <c r="M1675" s="17">
        <f>IF(A1676=A1677,_xll.ciqfunctions.udf.CIQ(A1668,"IQ_TOTAL_DEBT_ISSUED",IQ_FY-3), _xll.ciqfunctions.udf.CIQ(A1668, "IQ_TOTAL_DEBT_ISSUED",IQ_FY-2))</f>
        <v>0</v>
      </c>
      <c r="N1675" s="17">
        <f>IF(A1676=A1677,_xll.ciqfunctions.udf.CIQ(A1668,"IQ_TOTAL_DEBT_REPAID",IQ_FY-3), _xll.ciqfunctions.udf.CIQ(A1668, "IQ_TOTAL_DEBT_REPAID",IQ_FY-2))</f>
        <v>0</v>
      </c>
      <c r="O1675" s="15">
        <f t="shared" si="445"/>
        <v>0</v>
      </c>
      <c r="P1675" s="15">
        <f t="shared" si="446"/>
        <v>0.43590562830581786</v>
      </c>
      <c r="Q1675" s="18"/>
      <c r="R1675" s="39" t="s">
        <v>31</v>
      </c>
      <c r="S1675" s="5" t="e">
        <f>IF(NOT(D1668&gt;0),FALSE,SLOPE(G1668:G1678,B1668:B1678))</f>
        <v>#DIV/0!</v>
      </c>
      <c r="U1675" s="18"/>
      <c r="V1675" s="39" t="s">
        <v>31</v>
      </c>
      <c r="W1675" s="5" t="e">
        <f>IF(NOT(D1668&gt;0),FALSE,SLOPE(G1668:G1678,B1668:B1678))</f>
        <v>#DIV/0!</v>
      </c>
      <c r="Y1675" s="18"/>
      <c r="Z1675" s="39" t="s">
        <v>31</v>
      </c>
      <c r="AA1675" s="5" t="e">
        <f>IF(NOT(L1668&gt;0),FALSE,SLOPE(O1668:O1678,J1668:J1678))</f>
        <v>#DIV/0!</v>
      </c>
    </row>
    <row r="1676" spans="1:27">
      <c r="A1676" s="19">
        <f>_xll.ciqfunctions.udf.CIQ(A1668,"IQ_TOTAL_REV",IQ_FY)</f>
        <v>683.19100000000003</v>
      </c>
      <c r="B1676" s="13">
        <v>9</v>
      </c>
      <c r="C1676" s="14" t="s">
        <v>32</v>
      </c>
      <c r="D1676" s="15" cm="1">
        <f t="array" ref="D1676">_xlfn.SINGLE(IF(A1676=A1677,_xll.ciqfunctions.udf.CIQ(A1668,"IQ_TOTAL_REV",IQ_FY-2)/I1676, _xll.ciqfunctions.udf.CIQ(A1668, "IQ_TOTAL_REV",IQ_FY-1)/I1676))</f>
        <v>4.9292095083014908</v>
      </c>
      <c r="E1676" s="16">
        <f t="shared" si="447"/>
        <v>0.16490721838421221</v>
      </c>
      <c r="F1676" s="15">
        <f>IF(A1676=A1677,_xll.ciqfunctions.udf.CIQ(A1668,"IQ_DILUT_EPS_EXCL",IQ_FY-2), _xll.ciqfunctions.udf.CIQ(A1668, "IQ_DILUT_EPS_EXCL",IQ_FY-1))</f>
        <v>-0.44</v>
      </c>
      <c r="G1676" s="15">
        <f>IF(A1676=A1677,_xll.ciqfunctions.udf.CIQ(A1668,"IQ_EBITDA_MARGIN",IQ_FY-2), _xll.ciqfunctions.udf.CIQ(A1668, "IQ_EBITDA_MARGIN",IQ_FY-1))</f>
        <v>-3.4550999999999998</v>
      </c>
      <c r="H1676" s="15">
        <f>IF(A1676=A1677,_xll.ciqfunctions.udf.CIQ(A1668,"IQ_TOTAL_DIV_PAID_CF",IQ_FY-2)/-I1676, _xll.ciqfunctions.udf.CIQ(A1668, "IQ_TOTAL_DIV_PAID_CF",IQ_FY-1)/-I1676)</f>
        <v>0</v>
      </c>
      <c r="I1676" s="17">
        <f>IF(A1676=A1677,_xll.ciqfunctions.udf.CIQ(A1668,"IQ_TOTAL_OUTSTANDING_FILING_DATE",IQ_FY-2), _xll.ciqfunctions.udf.CIQ(A1668, "IQ_TOTAL_OUTSTANDING_FILING_DATE",IQ_FY-1))</f>
        <v>109.78028</v>
      </c>
      <c r="J1676" s="17">
        <f>IF(A1676=A1677,_xll.ciqfunctions.udf.CIQ(A1668,"IQ_CASH_OPER",IQ_FY-2), _xll.ciqfunctions.udf.CIQ(A1668, "IQ_CASH_OPER",IQ_FY-1))</f>
        <v>96.765000000000001</v>
      </c>
      <c r="K1676" s="17">
        <f>IF(A1676=A1677,_xll.ciqfunctions.udf.CIQ(A1668,"IQ_CAPEX",IQ_FY-2), _xll.ciqfunctions.udf.CIQ(A1668, "IQ_CAPEX",IQ_FY-1))</f>
        <v>-3.887</v>
      </c>
      <c r="L1676" s="15">
        <f t="shared" si="444"/>
        <v>0.84603537174436061</v>
      </c>
      <c r="M1676" s="17">
        <f>IF(A1676=A1677,_xll.ciqfunctions.udf.CIQ(A1668,"IQ_TOTAL_DEBT_ISSUED",IQ_FY-2), _xll.ciqfunctions.udf.CIQ(A1668, "IQ_TOTAL_DEBT_ISSUED",IQ_FY-1))</f>
        <v>375</v>
      </c>
      <c r="N1676" s="17">
        <f>IF(A1676=A1677,_xll.ciqfunctions.udf.CIQ(A1668,"IQ_TOTAL_DEBT_REPAID",IQ_FY-2), _xll.ciqfunctions.udf.CIQ(A1668, "IQ_TOTAL_DEBT_REPAID",IQ_FY-1))</f>
        <v>0</v>
      </c>
      <c r="O1676" s="15">
        <f t="shared" si="445"/>
        <v>3.415914042121226</v>
      </c>
      <c r="P1676" s="15">
        <f t="shared" si="446"/>
        <v>4.2619494138655867</v>
      </c>
      <c r="Q1676" s="25" t="s">
        <v>33</v>
      </c>
      <c r="R1676" s="38" t="s">
        <v>52</v>
      </c>
      <c r="S1676" s="4">
        <f>(AVERAGE(O1673:O1678)/AVERAGE(P1673:P1678))</f>
        <v>0.51709199269524075</v>
      </c>
      <c r="U1676" s="25" t="s">
        <v>54</v>
      </c>
      <c r="V1676" s="38" t="s">
        <v>52</v>
      </c>
      <c r="W1676" s="4">
        <f>(AVERAGE(O1673:O1678)/AVERAGE(P1673:P1678))</f>
        <v>0.51709199269524075</v>
      </c>
      <c r="Y1676" s="25" t="s">
        <v>60</v>
      </c>
      <c r="Z1676" s="38" t="s">
        <v>52</v>
      </c>
      <c r="AA1676" s="4">
        <f>(AVERAGE(O1673:O1678)/AVERAGE(P1673:P1678))</f>
        <v>0.51709199269524075</v>
      </c>
    </row>
    <row r="1677" spans="1:27">
      <c r="A1677" s="19">
        <f>_xll.ciqfunctions.udf.CIQ(A1668,"IQ_TOTAL_REV",IQ_LTM)</f>
        <v>770.03499999999997</v>
      </c>
      <c r="B1677" s="13">
        <v>10</v>
      </c>
      <c r="C1677" s="14" t="s">
        <v>34</v>
      </c>
      <c r="D1677" s="15" cm="1">
        <f t="array" ref="D1677">_xlfn.SINGLE(IF(A1676=A1677,_xll.ciqfunctions.udf.CIQ(A1668,"IQ_TOTAL_REV",IQ_FY-1)/I1677, _xll.ciqfunctions.udf.CIQ(A1668, "IQ_TOTAL_REV",IQ_FY)/I1677))</f>
        <v>6.0114461836492854</v>
      </c>
      <c r="E1677" s="16">
        <f t="shared" si="447"/>
        <v>0.21955582807449223</v>
      </c>
      <c r="F1677" s="15">
        <f>IF(A1676=A1677,_xll.ciqfunctions.udf.CIQ(A1668,"IQ_DILUT_EPS_EXCL",IQ_FY-1), _xll.ciqfunctions.udf.CIQ(A1668, "IQ_DILUT_EPS_EXCL",IQ_FY))</f>
        <v>-0.83</v>
      </c>
      <c r="G1677" s="15">
        <f>IF(A1676=A1677,_xll.ciqfunctions.udf.CIQ(A1668,"IQ_EBITDA_MARGIN",IQ_FY-1), _xll.ciqfunctions.udf.CIQ(A1668, "IQ_EBITDA_MARGIN",IQ_FY))</f>
        <v>-6.2908999999999997</v>
      </c>
      <c r="H1677" s="15">
        <f>IF(A1676=A1677,_xll.ciqfunctions.udf.CIQ(A1668,"IQ_TOTAL_DIV_PAID_CF",IQ_FY-1)/-I1677, _xll.ciqfunctions.udf.CIQ(A1668, "IQ_TOTAL_DIV_PAID_CF",IQ_FY)/-I1677)</f>
        <v>0</v>
      </c>
      <c r="I1677" s="17">
        <f>IF(A1676=A1677,_xll.ciqfunctions.udf.CIQ(A1668,"IQ_TOTAL_OUTSTANDING_FILING_DATE",IQ_FY-1), _xll.ciqfunctions.udf.CIQ(A1668, "IQ_TOTAL_OUTSTANDING_FILING_DATE",IQ_FY))</f>
        <v>113.64836</v>
      </c>
      <c r="J1677" s="17">
        <f>IF(A1676=A1677,_xll.ciqfunctions.udf.CIQ(A1668,"IQ_CASH_OPER",IQ_FY-1), _xll.ciqfunctions.udf.CIQ(A1668, "IQ_CASH_OPER",IQ_FY))</f>
        <v>131.15100000000001</v>
      </c>
      <c r="K1677" s="17">
        <f>IF(A1676=A1677,_xll.ciqfunctions.udf.CIQ(A1668,"IQ_CAPEX",IQ_FY-1), _xll.ciqfunctions.udf.CIQ(A1668, "IQ_CAPEX",IQ_FY))</f>
        <v>-9.359</v>
      </c>
      <c r="L1677" s="15">
        <f t="shared" si="444"/>
        <v>1.0716564673700528</v>
      </c>
      <c r="M1677" s="17">
        <f>IF(A1676=A1677,_xll.ciqfunctions.udf.CIQ(A1668,"IQ_TOTAL_DEBT_ISSUED",IQ_FY-1), _xll.ciqfunctions.udf.CIQ(A1668, "IQ_TOTAL_DEBT_ISSUED",IQ_FY))</f>
        <v>0</v>
      </c>
      <c r="N1677" s="17">
        <f>IF(A1676=A1677,_xll.ciqfunctions.udf.CIQ(A1668,"IQ_TOTAL_DEBT_REPAID",IQ_FY-1), _xll.ciqfunctions.udf.CIQ(A1668, "IQ_TOTAL_DEBT_REPAID",IQ_FY))</f>
        <v>-3.75</v>
      </c>
      <c r="O1677" s="15">
        <f t="shared" si="445"/>
        <v>-3.2996516623733069E-2</v>
      </c>
      <c r="P1677" s="15">
        <f t="shared" si="446"/>
        <v>1.0386599507463197</v>
      </c>
      <c r="Q1677" s="25" t="s">
        <v>44</v>
      </c>
      <c r="R1677" s="38" t="s">
        <v>35</v>
      </c>
      <c r="S1677" s="1" t="str">
        <f>_xll.ciqfunctions.udf.CIQ(A1668,"IQ_TEV_EBITDA")</f>
        <v>NM</v>
      </c>
      <c r="U1677" s="25" t="s">
        <v>55</v>
      </c>
      <c r="V1677" s="38" t="s">
        <v>53</v>
      </c>
      <c r="W1677" s="1">
        <f>V1667/(AVERAGE(D1673:D1678)/_xlfn.STDEV.P(E1673:E1678))</f>
        <v>2.6978223490967279</v>
      </c>
      <c r="Y1677" s="25" t="s">
        <v>57</v>
      </c>
      <c r="Z1677" s="38" t="s">
        <v>53</v>
      </c>
      <c r="AA1677" s="1">
        <f>Z1667/(AVERAGE(D1673:D1678)/_xlfn.STDEV.P(E1673:E1678))</f>
        <v>2.6978223490967279</v>
      </c>
    </row>
    <row r="1678" spans="1:27">
      <c r="B1678" s="13">
        <v>11</v>
      </c>
      <c r="C1678" s="20" t="s">
        <v>36</v>
      </c>
      <c r="D1678" s="21" cm="1">
        <f t="array" ref="D1678">_xlfn.SINGLE(IF(A1676=A1677,_xll.ciqfunctions.udf.CIQ(A1668,"IQ_TOTAL_REV",IQ_FY)/I1678, _xll.ciqfunctions.udf.CIQ(A1668, "IQ_TOTAL_REV",IQ_LTM)/I1678))</f>
        <v>6.5851580874936175</v>
      </c>
      <c r="E1678" s="22">
        <f t="shared" si="447"/>
        <v>9.5436586524684938E-2</v>
      </c>
      <c r="F1678" s="21">
        <f>IF(A1676=A1677,_xll.ciqfunctions.udf.CIQ(A1668,"IQ_DILUT_EPS_EXCL",IQ_FY), _xll.ciqfunctions.udf.CIQ(A1668, "IQ_DILUT_EPS_EXCL",IQ_LTM))</f>
        <v>-0.68281000000000003</v>
      </c>
      <c r="G1678" s="21">
        <f>IF(A1676=A1677,_xll.ciqfunctions.udf.CIQ(A1668,"IQ_EBITDA_MARGIN",IQ_FY), _xll.ciqfunctions.udf.CIQ(A1668, "IQ_EBITDA_MARGIN",IQ_LTM))</f>
        <v>-2.8214000000000001</v>
      </c>
      <c r="H1678" s="21">
        <f>IF(A1676=A1677,_xll.ciqfunctions.udf.CIQ(A1668,"IQ_TOTAL_DIV_PAID_CF",IQ_FY)/-I1678, _xll.ciqfunctions.udf.CIQ(A1668, "IQ_TOTAL_DIV_PAID_CF",IQ_LTM)/-I1678)</f>
        <v>0</v>
      </c>
      <c r="I1678" s="23">
        <f>IF(A1676=A1677,_xll.ciqfunctions.udf.CIQ(A1668,"IQ_TOTAL_OUTSTANDING_FILING_DATE",IQ_FY),_xll.ciqfunctions.udf.CIQ(A1668,"IQ_sharesoutstanding"))</f>
        <v>116.93492999999999</v>
      </c>
      <c r="J1678" s="23">
        <f>IF(A1676=A1677,_xll.ciqfunctions.udf.CIQ(A1668,"IQ_CASH_OPER",IQ_FY), _xll.ciqfunctions.udf.CIQ(A1668, "IQ_CASH_OPER",IQ_LTM))</f>
        <v>143.268</v>
      </c>
      <c r="K1678" s="23">
        <f>IF(A1676=A1677,_xll.ciqfunctions.udf.CIQ(A1668,"IQ_CAPEX",IQ_FY), _xll.ciqfunctions.udf.CIQ(A1668, "IQ_CAPEX",IQ_LTM))</f>
        <v>-5.5259999999999998</v>
      </c>
      <c r="L1678" s="21">
        <f t="shared" si="444"/>
        <v>1.1779371655672091</v>
      </c>
      <c r="M1678" s="23">
        <f>IF(A1676=A1677,_xll.ciqfunctions.udf.CIQ(A1668,"IQ_TOTAL_DEBT_ISSUED",IQ_FY), _xll.ciqfunctions.udf.CIQ(A1668, "IQ_TOTAL_DEBT_ISSUED",IQ_LTM))</f>
        <v>-0.14799999999999999</v>
      </c>
      <c r="N1678" s="23">
        <f>IF(A1676=A1677,_xll.ciqfunctions.udf.CIQ(A1668,"IQ_TOTAL_DEBT_REPAID",IQ_FY), _xll.ciqfunctions.udf.CIQ(A1668, "IQ_TOTAL_DEBT_REPAID",IQ_LTM))</f>
        <v>-3.75</v>
      </c>
      <c r="O1678" s="21">
        <f t="shared" si="445"/>
        <v>-3.3334778581558137E-2</v>
      </c>
      <c r="P1678" s="21">
        <f t="shared" si="446"/>
        <v>1.144602386985651</v>
      </c>
      <c r="Q1678" s="25" t="s">
        <v>45</v>
      </c>
      <c r="S1678" s="45"/>
      <c r="U1678" s="25"/>
      <c r="W1678" s="45"/>
      <c r="Y1678" s="25"/>
      <c r="AA1678" s="45"/>
    </row>
    <row r="1679" spans="1:27">
      <c r="B1679" s="24"/>
      <c r="C1679" s="25" t="s">
        <v>37</v>
      </c>
      <c r="E1679" s="26">
        <f>((D1678/D1673)^(1/5))-1</f>
        <v>0.18521649442114874</v>
      </c>
      <c r="F1679" s="27">
        <f>((F1678/F1673)^(1/5))-1</f>
        <v>-0.13127132429218857</v>
      </c>
      <c r="G1679" s="28"/>
      <c r="H1679" s="27" t="e">
        <f>((H1678/H1673)^(1/5))-1</f>
        <v>#DIV/0!</v>
      </c>
      <c r="I1679" s="27">
        <f>((I1678/I1673)^(1/5))-1</f>
        <v>4.2521738851026392E-2</v>
      </c>
      <c r="J1679" s="27"/>
      <c r="K1679" s="27"/>
      <c r="L1679" s="26">
        <f>((L1678/L1673)^(1/5))-1</f>
        <v>-2.6826597197083624</v>
      </c>
      <c r="M1679" s="26"/>
      <c r="N1679" s="26"/>
      <c r="O1679" s="26"/>
      <c r="P1679" s="26">
        <f>((P1678/P1673)^(1/5))-1</f>
        <v>-2.6730264344871868</v>
      </c>
      <c r="Q1679" s="18"/>
      <c r="R1679" s="36"/>
      <c r="S1679" s="45"/>
      <c r="U1679" s="18"/>
      <c r="V1679" s="36"/>
      <c r="W1679" s="45"/>
      <c r="Y1679" s="18"/>
      <c r="Z1679" s="36"/>
      <c r="AA1679" s="45"/>
    </row>
    <row r="1680" spans="1:27">
      <c r="A1680" s="29"/>
      <c r="B1680" s="30"/>
      <c r="C1680" s="31" t="s">
        <v>38</v>
      </c>
      <c r="D1680" s="29"/>
      <c r="E1680" s="32" t="e">
        <f>((D1678/D1668)^(1/10))-1</f>
        <v>#DIV/0!</v>
      </c>
      <c r="F1680" s="33" t="e">
        <f>((F1678/F1668)^(1/10))-1</f>
        <v>#DIV/0!</v>
      </c>
      <c r="G1680" s="34"/>
      <c r="H1680" s="33" t="e">
        <f>((H1678/H1668)^(1/10))-1</f>
        <v>#DIV/0!</v>
      </c>
      <c r="I1680" s="33" t="e">
        <f>((I1678/I1668)^(1/10))-1</f>
        <v>#DIV/0!</v>
      </c>
      <c r="J1680" s="33"/>
      <c r="K1680" s="33"/>
      <c r="L1680" s="32" t="e">
        <f>((L1678/L1668)^(1/10))-1</f>
        <v>#DIV/0!</v>
      </c>
      <c r="M1680" s="32"/>
      <c r="N1680" s="32"/>
      <c r="O1680" s="32"/>
      <c r="P1680" s="32" t="e">
        <f>((P1678/P1668)^(1/10))-1</f>
        <v>#DIV/0!</v>
      </c>
      <c r="Q1680" s="40"/>
      <c r="R1680" s="41"/>
      <c r="S1680" s="46"/>
      <c r="U1680" s="40"/>
      <c r="V1680" s="41"/>
      <c r="W1680" s="46"/>
      <c r="Y1680" s="40"/>
      <c r="Z1680" s="41"/>
      <c r="AA1680" s="46"/>
    </row>
    <row r="1681" spans="1:27">
      <c r="B1681" s="24"/>
      <c r="C1681" s="25"/>
      <c r="E1681" s="26"/>
      <c r="F1681" s="27"/>
      <c r="G1681" s="28"/>
      <c r="H1681" s="27"/>
      <c r="I1681" s="27"/>
      <c r="J1681" s="27"/>
      <c r="K1681" s="27"/>
      <c r="L1681" s="26"/>
      <c r="M1681" s="17"/>
      <c r="N1681" s="17"/>
      <c r="O1681" s="17"/>
      <c r="P1681" s="35"/>
      <c r="Q1681" s="18"/>
      <c r="R1681" s="36"/>
    </row>
    <row r="1682" spans="1:27">
      <c r="A1682" s="9" t="s">
        <v>0</v>
      </c>
      <c r="B1682" s="10"/>
      <c r="C1682" s="9" t="s">
        <v>1</v>
      </c>
      <c r="D1682" s="9" t="s">
        <v>2</v>
      </c>
      <c r="E1682" s="9" t="s">
        <v>3</v>
      </c>
      <c r="F1682" s="11" t="s">
        <v>4</v>
      </c>
      <c r="G1682" s="11" t="s">
        <v>5</v>
      </c>
      <c r="H1682" s="9" t="s">
        <v>6</v>
      </c>
      <c r="I1682" s="11" t="s">
        <v>7</v>
      </c>
      <c r="J1682" s="11" t="s">
        <v>8</v>
      </c>
      <c r="K1682" s="11" t="s">
        <v>9</v>
      </c>
      <c r="L1682" s="11" t="s">
        <v>10</v>
      </c>
      <c r="M1682" s="11" t="s">
        <v>11</v>
      </c>
      <c r="N1682" s="11" t="s">
        <v>12</v>
      </c>
      <c r="O1682" s="11" t="s">
        <v>13</v>
      </c>
      <c r="P1682" s="11" t="s">
        <v>14</v>
      </c>
      <c r="Q1682" s="37" t="s">
        <v>15</v>
      </c>
      <c r="R1682" s="42">
        <f>_xll.ciqfunctions.udf.CIQ(A1683,("IQ_LASTSALEPRICE"))</f>
        <v>28.035</v>
      </c>
      <c r="S1682" s="44"/>
      <c r="U1682" s="37" t="s">
        <v>15</v>
      </c>
      <c r="V1682" s="42">
        <f>_xll.ciqfunctions.udf.CIQ(A1683,("IQ_LASTSALEPRICE"))</f>
        <v>28.035</v>
      </c>
      <c r="W1682" s="44"/>
      <c r="Y1682" s="37" t="s">
        <v>15</v>
      </c>
      <c r="Z1682" s="42">
        <f>_xll.ciqfunctions.udf.CIQ(A1683,("IQ_LASTSALEPRICE"))</f>
        <v>28.035</v>
      </c>
      <c r="AA1682" s="44"/>
    </row>
    <row r="1683" spans="1:27">
      <c r="A1683" s="12" t="str">
        <f>Analysis!B114</f>
        <v>NYSE:U</v>
      </c>
      <c r="B1683" s="13">
        <v>1</v>
      </c>
      <c r="C1683" s="14" t="s">
        <v>16</v>
      </c>
      <c r="D1683" s="15" t="e">
        <f>IF(A1691=A1692,_xll.ciqfunctions.udf.CIQ(A1683,"IQ_TOTAL_REV",IQ_FY-10)/I1683,_xll.ciqfunctions.udf.CIQ(A1683, "IQ_TOTAL_REV",IQ_FY-9)/I1683)</f>
        <v>#DIV/0!</v>
      </c>
      <c r="E1683" s="16"/>
      <c r="F1683" s="15">
        <f>IF(A1691=A1692,_xll.ciqfunctions.udf.CIQ(A1683,"IQ_DILUT_EPS_EXCL",IQ_FY-10), _xll.ciqfunctions.udf.CIQ(A1683, "IQ_DILUT_EPS_EXCL",IQ_FY-9))</f>
        <v>0</v>
      </c>
      <c r="G1683" s="15">
        <f>IF(A1691=A1692,_xll.ciqfunctions.udf.CIQ(A1683,"IQ_EBITDA_MARGIN",IQ_FY-10), _xll.ciqfunctions.udf.CIQ(A1683, "IQ_EBITDA_MARGIN",IQ_FY-9))</f>
        <v>0</v>
      </c>
      <c r="H1683" s="15" t="e">
        <f>IF(A1691=A1692,_xll.ciqfunctions.udf.CIQ(A1683,"IQ_TOTAL_DIV_PAID_CF",IQ_FY-10)/-I1683, _xll.ciqfunctions.udf.CIQ(A1683, "IQ_TOTAL_DIV_PAID_CF",IQ_FY-9)/-I1683)</f>
        <v>#DIV/0!</v>
      </c>
      <c r="I1683" s="17">
        <f>IF(A1691=A1692,_xll.ciqfunctions.udf.CIQ(A1683,"IQ_TOTAL_OUTSTANDING_FILING_DATE",IQ_FY-10), _xll.ciqfunctions.udf.CIQ(A1683, "IQ_TOTAL_OUTSTANDING_FILING_DATE",IQ_FY-9))</f>
        <v>0</v>
      </c>
      <c r="J1683" s="17">
        <f>IF(A1691=A1692,_xll.ciqfunctions.udf.CIQ(A1683,"IQ_CASH_OPER",IQ_FY-10), _xll.ciqfunctions.udf.CIQ(A1683, "IQ_CASH_OPER",IQ_FY-9))</f>
        <v>0</v>
      </c>
      <c r="K1683" s="17">
        <f>IF(A1691=A1692,_xll.ciqfunctions.udf.CIQ(A1683,"IQ_CAPEX",IQ_FY-10), _xll.ciqfunctions.udf.CIQ(A1683, "IQ_CAPEX",IQ_FY-9))</f>
        <v>0</v>
      </c>
      <c r="L1683" s="15" t="e">
        <f t="shared" ref="L1683:L1693" si="448">(J1683+K1683)/I1683</f>
        <v>#DIV/0!</v>
      </c>
      <c r="M1683" s="17">
        <f>IF(A1691=A1692,_xll.ciqfunctions.udf.CIQ(A1683,"IQ_TOTAL_DEBT_ISSUED",IQ_FY-10), _xll.ciqfunctions.udf.CIQ(A1683, "IQ_TOTAL_DEBT_ISSUED",IQ_FY-9))</f>
        <v>0</v>
      </c>
      <c r="N1683" s="17">
        <f>IF(A1691=A1692,_xll.ciqfunctions.udf.CIQ(A1683,"IQ_TOTAL_DEBT_REPAID",IQ_FY-10), _xll.ciqfunctions.udf.CIQ(A1683, "IQ_TOTAL_DEBT_REPAID",IQ_FY-9))</f>
        <v>0</v>
      </c>
      <c r="O1683" s="15" t="e">
        <f t="shared" ref="O1683:O1693" si="449">(M1683+N1683)/I1683</f>
        <v>#DIV/0!</v>
      </c>
      <c r="P1683" s="15" t="e">
        <f t="shared" ref="P1683:P1693" si="450">L1683+O1683</f>
        <v>#DIV/0!</v>
      </c>
      <c r="W1683" s="43"/>
      <c r="AA1683" s="43"/>
    </row>
    <row r="1684" spans="1:27">
      <c r="A1684" s="18" t="str">
        <f>_xll.ciqfunctions.udf.CIQ(A1683,"IQ_COMPANY_NAME")</f>
        <v>Unity Software Inc.</v>
      </c>
      <c r="B1684" s="13">
        <v>2</v>
      </c>
      <c r="C1684" s="14" t="s">
        <v>17</v>
      </c>
      <c r="D1684" s="15" t="e">
        <f>IF(A1691=A1692,_xll.ciqfunctions.udf.CIQ(A1683,"IQ_TOTAL_REV",IQ_FY-9)/I1684, _xll.ciqfunctions.udf.CIQ(A1683, "IQ_TOTAL_REV",IQ_FY-8)/I1684)</f>
        <v>#DIV/0!</v>
      </c>
      <c r="E1684" s="16" t="e">
        <f t="shared" ref="E1684:E1693" si="451">(D1684-D1683)/D1683</f>
        <v>#DIV/0!</v>
      </c>
      <c r="F1684" s="15">
        <f>IF(A1691=A1692,_xll.ciqfunctions.udf.CIQ(A1683,"IQ_DILUT_EPS_EXCL",IQ_FY-9), _xll.ciqfunctions.udf.CIQ(A1683, "IQ_DILUT_EPS_EXCL",IQ_FY-8))</f>
        <v>0</v>
      </c>
      <c r="G1684" s="15">
        <f>IF(A1691=A1692,_xll.ciqfunctions.udf.CIQ(A1683,"IQ_EBITDA_MARGIN",IQ_FY-9), _xll.ciqfunctions.udf.CIQ(A1683, "IQ_EBITDA_MARGIN",IQ_FY-8))</f>
        <v>0</v>
      </c>
      <c r="H1684" s="15" t="e">
        <f>IF(A1691=A1692,_xll.ciqfunctions.udf.CIQ(A1683,"IQ_TOTAL_DIV_PAID_CF",IQ_FY-9)/-I1684, _xll.ciqfunctions.udf.CIQ(A1683, "IQ_TOTAL_DIV_PAID_CF",IQ_FY-8)/-I1684)</f>
        <v>#DIV/0!</v>
      </c>
      <c r="I1684" s="17">
        <f>IF(A1691=A1692,_xll.ciqfunctions.udf.CIQ(A1683,"IQ_TOTAL_OUTSTANDING_FILING_DATE",IQ_FY-9), _xll.ciqfunctions.udf.CIQ(A1683, "IQ_TOTAL_OUTSTANDING_FILING_DATE",IQ_FY-8))</f>
        <v>0</v>
      </c>
      <c r="J1684" s="17">
        <f>IF(A1691=A1692,_xll.ciqfunctions.udf.CIQ(A1683,"IQ_CASH_OPER",IQ_FY-9), _xll.ciqfunctions.udf.CIQ(A1683, "IQ_CASH_OPER",IQ_FY-8))</f>
        <v>0</v>
      </c>
      <c r="K1684" s="17">
        <f>IF(A1691=A1692,_xll.ciqfunctions.udf.CIQ(A1683,"IQ_CAPEX",IQ_FY-9), _xll.ciqfunctions.udf.CIQ(A1683, "IQ_CAPEX",IQ_FY-8))</f>
        <v>0</v>
      </c>
      <c r="L1684" s="15" t="e">
        <f t="shared" si="448"/>
        <v>#DIV/0!</v>
      </c>
      <c r="M1684" s="17">
        <f>IF(A1691=A1692,_xll.ciqfunctions.udf.CIQ(A1683,"IQ_TOTAL_DEBT_ISSUED",IQ_FY-9), _xll.ciqfunctions.udf.CIQ(A1683, "IQ_TOTAL_DEBT_ISSUED",IQ_FY-8))</f>
        <v>0</v>
      </c>
      <c r="N1684" s="17">
        <f>IF(A1691=A1692,_xll.ciqfunctions.udf.CIQ(A1683,"IQ_TOTAL_DEBT_REPAID",IQ_FY-9), _xll.ciqfunctions.udf.CIQ(A1683, "IQ_TOTAL_DEBT_REPAID",IQ_FY-8))</f>
        <v>0</v>
      </c>
      <c r="O1684" s="15" t="e">
        <f t="shared" si="449"/>
        <v>#DIV/0!</v>
      </c>
      <c r="P1684" s="15" t="e">
        <f t="shared" si="450"/>
        <v>#DIV/0!</v>
      </c>
      <c r="Q1684" s="25" t="s">
        <v>18</v>
      </c>
      <c r="R1684" s="39" t="s">
        <v>19</v>
      </c>
      <c r="S1684" s="1">
        <f>R1682/((AVERAGE(P1688:P1693))*(1+E1694)^3)</f>
        <v>15.586073579927861</v>
      </c>
      <c r="U1684" s="25" t="s">
        <v>48</v>
      </c>
      <c r="V1684" s="39" t="s">
        <v>19</v>
      </c>
      <c r="W1684" s="1">
        <f>V1682/((AVERAGE(P1688:P1693))*(1+E1694)^3)</f>
        <v>15.586073579927861</v>
      </c>
      <c r="Y1684" s="25" t="s">
        <v>39</v>
      </c>
      <c r="Z1684" s="39" t="s">
        <v>19</v>
      </c>
      <c r="AA1684" s="1">
        <f>Z1682/((AVERAGE(P1688:P1693))*(1+E1694)^3)</f>
        <v>15.586073579927861</v>
      </c>
    </row>
    <row r="1685" spans="1:27">
      <c r="B1685" s="13">
        <v>3</v>
      </c>
      <c r="C1685" s="14" t="s">
        <v>20</v>
      </c>
      <c r="D1685" s="15" t="e" cm="1">
        <f t="array" ref="D1685">_xlfn.SINGLE(IF(A1691=A1692,_xll.ciqfunctions.udf.CIQ(A1683,"IQ_TOTAL_REV",IQ_FY-8)/I1685, _xll.ciqfunctions.udf.CIQ(A1683, "IQ_TOTAL_REV",IQ_FY-7)/I1685))</f>
        <v>#DIV/0!</v>
      </c>
      <c r="E1685" s="16" t="e">
        <f t="shared" si="451"/>
        <v>#DIV/0!</v>
      </c>
      <c r="F1685" s="15">
        <f>IF(A1691=A1692,_xll.ciqfunctions.udf.CIQ(A1683,"IQ_DILUT_EPS_EXCL",IQ_FY-8), _xll.ciqfunctions.udf.CIQ(A1683, "IQ_DILUT_EPS_EXCL",IQ_FY-7))</f>
        <v>0</v>
      </c>
      <c r="G1685" s="15">
        <f>IF(A1691=A1692,_xll.ciqfunctions.udf.CIQ(A1683,"IQ_EBITDA_MARGIN",IQ_FY-8), _xll.ciqfunctions.udf.CIQ(A1683, "IQ_EBITDA_MARGIN",IQ_FY-7))</f>
        <v>0</v>
      </c>
      <c r="H1685" s="15" t="e">
        <f>IF(A1691=A1692,_xll.ciqfunctions.udf.CIQ(A1683,"IQ_TOTAL_DIV_PAID_CF",IQ_FY-8)/-I1685, _xll.ciqfunctions.udf.CIQ(A1683, "IQ_TOTAL_DIV_PAID_CF",IQ_FY-7)/-I1685)</f>
        <v>#DIV/0!</v>
      </c>
      <c r="I1685" s="17">
        <f>IF(A1691=A1692,_xll.ciqfunctions.udf.CIQ(A1683,"IQ_TOTAL_OUTSTANDING_FILING_DATE",IQ_FY-8), _xll.ciqfunctions.udf.CIQ(A1683, "IQ_TOTAL_OUTSTANDING_FILING_DATE",IQ_FY-7))</f>
        <v>0</v>
      </c>
      <c r="J1685" s="17">
        <f>IF(A1691=A1692,_xll.ciqfunctions.udf.CIQ(A1683,"IQ_CASH_OPER",IQ_FY-8), _xll.ciqfunctions.udf.CIQ(A1683, "IQ_CASH_OPER",IQ_FY-7))</f>
        <v>0</v>
      </c>
      <c r="K1685" s="17">
        <f>IF(A1691=A1692,_xll.ciqfunctions.udf.CIQ(A1683,"IQ_CAPEX",IQ_FY-8), _xll.ciqfunctions.udf.CIQ(A1683, "IQ_CAPEX",IQ_FY-7))</f>
        <v>0</v>
      </c>
      <c r="L1685" s="15" t="e">
        <f t="shared" si="448"/>
        <v>#DIV/0!</v>
      </c>
      <c r="M1685" s="17">
        <f>IF(A1691=A1692,_xll.ciqfunctions.udf.CIQ(A1683,"IQ_TOTAL_DEBT_ISSUED",IQ_FY-8), _xll.ciqfunctions.udf.CIQ(A1683, "IQ_TOTAL_DEBT_ISSUED",IQ_FY-7))</f>
        <v>0</v>
      </c>
      <c r="N1685" s="17">
        <f>IF(A1691=A1692,_xll.ciqfunctions.udf.CIQ(A1683,"IQ_TOTAL_DEBT_REPAID",IQ_FY-8), _xll.ciqfunctions.udf.CIQ(A1683, "IQ_TOTAL_DEBT_REPAID",IQ_FY-7))</f>
        <v>0</v>
      </c>
      <c r="O1685" s="15" t="e">
        <f t="shared" si="449"/>
        <v>#DIV/0!</v>
      </c>
      <c r="P1685" s="15" t="e">
        <f t="shared" si="450"/>
        <v>#DIV/0!</v>
      </c>
      <c r="Q1685" s="25" t="s">
        <v>21</v>
      </c>
      <c r="R1685" s="38" t="s">
        <v>49</v>
      </c>
      <c r="S1685" s="2">
        <f>(R1682*I1693)/1000</f>
        <v>10.6538332257</v>
      </c>
      <c r="U1685" s="25" t="s">
        <v>59</v>
      </c>
      <c r="V1685" s="38" t="s">
        <v>49</v>
      </c>
      <c r="W1685" s="2">
        <f>(V1682*I1693)/1000</f>
        <v>10.6538332257</v>
      </c>
      <c r="Y1685" s="25" t="s">
        <v>46</v>
      </c>
      <c r="Z1685" s="38" t="s">
        <v>49</v>
      </c>
      <c r="AA1685" s="2">
        <f>(Z1682*I1693)/1000</f>
        <v>10.6538332257</v>
      </c>
    </row>
    <row r="1686" spans="1:27">
      <c r="A1686" s="18"/>
      <c r="B1686" s="13">
        <v>4</v>
      </c>
      <c r="C1686" s="14" t="s">
        <v>22</v>
      </c>
      <c r="D1686" s="15" t="e" cm="1">
        <f t="array" ref="D1686">_xlfn.SINGLE(IF(A1691=A1692,_xll.ciqfunctions.udf.CIQ(A1683,"IQ_TOTAL_REV",IQ_FY-7)/I1686, _xll.ciqfunctions.udf.CIQ(A1683, "IQ_TOTAL_REV",IQ_FY-6)/I1686))</f>
        <v>#DIV/0!</v>
      </c>
      <c r="E1686" s="16" t="e">
        <f t="shared" si="451"/>
        <v>#DIV/0!</v>
      </c>
      <c r="F1686" s="15">
        <f>IF(A1691=A1692,_xll.ciqfunctions.udf.CIQ(A1683,"IQ_DILUT_EPS_EXCL",IQ_FY-7), _xll.ciqfunctions.udf.CIQ(A1683, "IQ_DILUT_EPS_EXCL",IQ_FY-6))</f>
        <v>0</v>
      </c>
      <c r="G1686" s="15">
        <f>IF(A1691=A1692,_xll.ciqfunctions.udf.CIQ(A1683,"IQ_EBITDA_MARGIN",IQ_FY-7), _xll.ciqfunctions.udf.CIQ(A1683, "IQ_EBITDA_MARGIN",IQ_FY-6))</f>
        <v>0</v>
      </c>
      <c r="H1686" s="15" t="e">
        <f>IF(A1691=A1692,_xll.ciqfunctions.udf.CIQ(A1683,"IQ_TOTAL_DIV_PAID_CF",IQ_FY-7)/-I1686, _xll.ciqfunctions.udf.CIQ(A1683, "IQ_TOTAL_DIV_PAID_CF",IQ_FY-6)/-I1686)</f>
        <v>#DIV/0!</v>
      </c>
      <c r="I1686" s="17">
        <f>IF(A1691=A1692,_xll.ciqfunctions.udf.CIQ(A1683,"IQ_TOTAL_OUTSTANDING_FILING_DATE",IQ_FY-7), _xll.ciqfunctions.udf.CIQ(A1683, "IQ_TOTAL_OUTSTANDING_FILING_DATE",IQ_FY-6))</f>
        <v>0</v>
      </c>
      <c r="J1686" s="17">
        <f>IF(A1691=A1692,_xll.ciqfunctions.udf.CIQ(A1683,"IQ_CASH_OPER",IQ_FY-7), _xll.ciqfunctions.udf.CIQ(A1683, "IQ_CASH_OPER",IQ_FY-6))</f>
        <v>0</v>
      </c>
      <c r="K1686" s="17">
        <f>IF(A1691=A1692,_xll.ciqfunctions.udf.CIQ(A1683,"IQ_CAPEX",IQ_FY-7), _xll.ciqfunctions.udf.CIQ(A1683, "IQ_CAPEX",IQ_FY-6))</f>
        <v>0</v>
      </c>
      <c r="L1686" s="15" t="e">
        <f t="shared" si="448"/>
        <v>#DIV/0!</v>
      </c>
      <c r="M1686" s="17">
        <f>IF(A1691=A1692,_xll.ciqfunctions.udf.CIQ(A1683,"IQ_TOTAL_DEBT_ISSUED",IQ_FY-7), _xll.ciqfunctions.udf.CIQ(A1683, "IQ_TOTAL_DEBT_ISSUED",IQ_FY-6))</f>
        <v>0</v>
      </c>
      <c r="N1686" s="17">
        <f>IF(A1691=A1692,_xll.ciqfunctions.udf.CIQ(A1683,"IQ_TOTAL_DEBT_REPAID",IQ_FY-7), _xll.ciqfunctions.udf.CIQ(A1683, "IQ_TOTAL_DEBT_REPAID",IQ_FY-6))</f>
        <v>0</v>
      </c>
      <c r="O1686" s="15" t="e">
        <f t="shared" si="449"/>
        <v>#DIV/0!</v>
      </c>
      <c r="P1686" s="15" t="e">
        <f t="shared" si="450"/>
        <v>#DIV/0!</v>
      </c>
      <c r="Q1686" s="25" t="s">
        <v>23</v>
      </c>
      <c r="R1686" s="38" t="s">
        <v>24</v>
      </c>
      <c r="S1686" s="1" t="e">
        <f>R1682/(AVERAGE(H1688:H1693)*(1+H1694)/(0.5-H1694))</f>
        <v>#DIV/0!</v>
      </c>
      <c r="U1686" s="25" t="s">
        <v>40</v>
      </c>
      <c r="V1686" s="38" t="s">
        <v>24</v>
      </c>
      <c r="W1686" s="1" t="e">
        <f>V1682/(AVERAGE(H1688:H1693)*(1+H1694)/(0.5-H1694))</f>
        <v>#DIV/0!</v>
      </c>
      <c r="Y1686" s="25" t="s">
        <v>47</v>
      </c>
      <c r="Z1686" s="38" t="s">
        <v>24</v>
      </c>
      <c r="AA1686" s="1" t="e">
        <f>Z1682/(AVERAGE(H1688:H1693)*(1+H1694)/(0.5-H1694))</f>
        <v>#DIV/0!</v>
      </c>
    </row>
    <row r="1687" spans="1:27">
      <c r="B1687" s="13">
        <v>5</v>
      </c>
      <c r="C1687" s="14" t="s">
        <v>25</v>
      </c>
      <c r="D1687" s="15" t="e" cm="1">
        <f t="array" ref="D1687">_xlfn.SINGLE(IF(A1691=A1692,_xll.ciqfunctions.udf.CIQ(A1683,"IQ_TOTAL_REV",IQ_FY-6)/I1687, _xll.ciqfunctions.udf.CIQ(A1683, "IQ_TOTAL_REV",IQ_FY-5)/I1687))</f>
        <v>#DIV/0!</v>
      </c>
      <c r="E1687" s="16" t="e">
        <f t="shared" si="451"/>
        <v>#DIV/0!</v>
      </c>
      <c r="F1687" s="15">
        <f>IF(A1691=A1692,_xll.ciqfunctions.udf.CIQ(A1683,"IQ_DILUT_EPS_EXCL",IQ_FY-6), _xll.ciqfunctions.udf.CIQ(A1683, "IQ_DILUT_EPS_EXCL",IQ_FY-5))</f>
        <v>0</v>
      </c>
      <c r="G1687" s="15">
        <f>IF(A1691=A1692,_xll.ciqfunctions.udf.CIQ(A1683,"IQ_EBITDA_MARGIN",IQ_FY-6), _xll.ciqfunctions.udf.CIQ(A1683, "IQ_EBITDA_MARGIN",IQ_FY-5))</f>
        <v>0</v>
      </c>
      <c r="H1687" s="15" t="e">
        <f>IF(A1691=A1692,_xll.ciqfunctions.udf.CIQ(A1683,"IQ_TOTAL_DIV_PAID_CF",IQ_FY-6)/-I1687, _xll.ciqfunctions.udf.CIQ(A1683, "IQ_TOTAL_DIV_PAID_CF",IQ_FY-5)/-I1687)</f>
        <v>#DIV/0!</v>
      </c>
      <c r="I1687" s="17">
        <f>IF(A1691=A1692,_xll.ciqfunctions.udf.CIQ(A1683,"IQ_TOTAL_OUTSTANDING_FILING_DATE",IQ_FY-6), _xll.ciqfunctions.udf.CIQ(A1683, "IQ_TOTAL_OUTSTANDING_FILING_DATE",IQ_FY-5))</f>
        <v>0</v>
      </c>
      <c r="J1687" s="17">
        <f>IF(A1691=A1692,_xll.ciqfunctions.udf.CIQ(A1683,"IQ_CASH_OPER",IQ_FY-6), _xll.ciqfunctions.udf.CIQ(A1683, "IQ_CASH_OPER",IQ_FY-5))</f>
        <v>0</v>
      </c>
      <c r="K1687" s="17">
        <f>IF(A1691=A1692,_xll.ciqfunctions.udf.CIQ(A1683,"IQ_CAPEX",IQ_FY-6), _xll.ciqfunctions.udf.CIQ(A1683, "IQ_CAPEX",IQ_FY-5))</f>
        <v>0</v>
      </c>
      <c r="L1687" s="15" t="e">
        <f t="shared" si="448"/>
        <v>#DIV/0!</v>
      </c>
      <c r="M1687" s="17">
        <f>IF(A1691=A1692,_xll.ciqfunctions.udf.CIQ(A1683,"IQ_TOTAL_DEBT_ISSUED",IQ_FY-6), _xll.ciqfunctions.udf.CIQ(A1683, "IQ_TOTAL_DEBT_ISSUED",IQ_FY-5))</f>
        <v>0</v>
      </c>
      <c r="N1687" s="17">
        <f>IF(A1691=A1692,_xll.ciqfunctions.udf.CIQ(A1683,"IQ_TOTAL_DEBT_REPAID",IQ_FY-6), _xll.ciqfunctions.udf.CIQ(A1683, "IQ_TOTAL_DEBT_REPAID",IQ_FY-5))</f>
        <v>0</v>
      </c>
      <c r="O1687" s="15" t="e">
        <f t="shared" si="449"/>
        <v>#DIV/0!</v>
      </c>
      <c r="P1687" s="15" t="e">
        <f t="shared" si="450"/>
        <v>#DIV/0!</v>
      </c>
      <c r="Q1687" s="18"/>
      <c r="R1687" s="38" t="s">
        <v>50</v>
      </c>
      <c r="S1687" s="3">
        <f>I1694</f>
        <v>0.29094116407023107</v>
      </c>
      <c r="U1687" s="18"/>
      <c r="V1687" s="38" t="s">
        <v>50</v>
      </c>
      <c r="W1687" s="3">
        <f>I1694</f>
        <v>0.29094116407023107</v>
      </c>
      <c r="Y1687" s="18"/>
      <c r="Z1687" s="38" t="s">
        <v>50</v>
      </c>
      <c r="AA1687" s="3">
        <f>I1694</f>
        <v>0.29094116407023107</v>
      </c>
    </row>
    <row r="1688" spans="1:27">
      <c r="B1688" s="13">
        <v>6</v>
      </c>
      <c r="C1688" s="14" t="s">
        <v>26</v>
      </c>
      <c r="D1688" s="15" cm="1">
        <f t="array" ref="D1688">_xlfn.SINGLE(IF(A1691=A1692,_xll.ciqfunctions.udf.CIQ(A1683,"IQ_TOTAL_REV",IQ_FY-5)/I1688, _xll.ciqfunctions.udf.CIQ(A1683, "IQ_TOTAL_REV",IQ_FY-4)/I1688))</f>
        <v>3.5922994188240618</v>
      </c>
      <c r="E1688" s="16" t="e">
        <f t="shared" si="451"/>
        <v>#DIV/0!</v>
      </c>
      <c r="F1688" s="15">
        <f>IF(A1691=A1692,_xll.ciqfunctions.udf.CIQ(A1683,"IQ_DILUT_EPS_EXCL",IQ_FY-5), _xll.ciqfunctions.udf.CIQ(A1683, "IQ_DILUT_EPS_EXCL",IQ_FY-4))</f>
        <v>-1.2416199999999999</v>
      </c>
      <c r="G1688" s="15">
        <f>IF(A1691=A1692,_xll.ciqfunctions.udf.CIQ(A1683,"IQ_EBITDA_MARGIN",IQ_FY-5), _xll.ciqfunctions.udf.CIQ(A1683, "IQ_EBITDA_MARGIN",IQ_FY-4))</f>
        <v>-28.832899999999999</v>
      </c>
      <c r="H1688" s="15">
        <f>IF(A1691=A1692,_xll.ciqfunctions.udf.CIQ(A1683,"IQ_TOTAL_DIV_PAID_CF",IQ_FY-5)/-I1688, _xll.ciqfunctions.udf.CIQ(A1683, "IQ_TOTAL_DIV_PAID_CF",IQ_FY-4)/-I1688)</f>
        <v>0</v>
      </c>
      <c r="I1688" s="17">
        <f>IF(A1691=A1692,_xll.ciqfunctions.udf.CIQ(A1683,"IQ_TOTAL_OUTSTANDING_FILING_DATE",IQ_FY-5), _xll.ciqfunctions.udf.CIQ(A1683, "IQ_TOTAL_OUTSTANDING_FILING_DATE",IQ_FY-4))</f>
        <v>105.992</v>
      </c>
      <c r="J1688" s="17">
        <f>IF(A1691=A1692,_xll.ciqfunctions.udf.CIQ(A1683,"IQ_CASH_OPER",IQ_FY-5), _xll.ciqfunctions.udf.CIQ(A1683, "IQ_CASH_OPER",IQ_FY-4))</f>
        <v>-81.058999999999997</v>
      </c>
      <c r="K1688" s="17">
        <f>IF(A1691=A1692,_xll.ciqfunctions.udf.CIQ(A1683,"IQ_CAPEX",IQ_FY-5), _xll.ciqfunctions.udf.CIQ(A1683, "IQ_CAPEX",IQ_FY-4))</f>
        <v>-38.018999999999998</v>
      </c>
      <c r="L1688" s="15">
        <f t="shared" si="448"/>
        <v>-1.123462148086648</v>
      </c>
      <c r="M1688" s="17">
        <f>IF(A1691=A1692,_xll.ciqfunctions.udf.CIQ(A1683,"IQ_TOTAL_DEBT_ISSUED",IQ_FY-5), _xll.ciqfunctions.udf.CIQ(A1683, "IQ_TOTAL_DEBT_ISSUED",IQ_FY-4))</f>
        <v>0</v>
      </c>
      <c r="N1688" s="17">
        <f>IF(A1691=A1692,_xll.ciqfunctions.udf.CIQ(A1683,"IQ_TOTAL_DEBT_REPAID",IQ_FY-5), _xll.ciqfunctions.udf.CIQ(A1683, "IQ_TOTAL_DEBT_REPAID",IQ_FY-4))</f>
        <v>0</v>
      </c>
      <c r="O1688" s="15">
        <f t="shared" si="449"/>
        <v>0</v>
      </c>
      <c r="P1688" s="15">
        <f t="shared" si="450"/>
        <v>-1.123462148086648</v>
      </c>
      <c r="Q1688" s="25" t="s">
        <v>27</v>
      </c>
      <c r="R1688" s="38" t="s">
        <v>51</v>
      </c>
      <c r="S1688" s="4">
        <f>AVERAGE(F1688:F1693)/AVERAGE(D1688:D1693)</f>
        <v>-0.52700258122149612</v>
      </c>
      <c r="U1688" s="25" t="s">
        <v>58</v>
      </c>
      <c r="V1688" s="38" t="s">
        <v>51</v>
      </c>
      <c r="W1688" s="4">
        <f>AVERAGE(F1688:F1693)/AVERAGE(D1688:D1693)</f>
        <v>-0.52700258122149612</v>
      </c>
      <c r="Y1688" s="25" t="s">
        <v>56</v>
      </c>
      <c r="Z1688" s="38" t="s">
        <v>51</v>
      </c>
      <c r="AA1688" s="4">
        <f>AVERAGE(F1688:F1693)/AVERAGE(D1688:D1693)</f>
        <v>-0.52700258122149612</v>
      </c>
    </row>
    <row r="1689" spans="1:27">
      <c r="A1689" s="18"/>
      <c r="B1689" s="13">
        <v>7</v>
      </c>
      <c r="C1689" s="14" t="s">
        <v>28</v>
      </c>
      <c r="D1689" s="15" cm="1">
        <f t="array" ref="D1689">_xlfn.SINGLE(IF(A1691=A1692,_xll.ciqfunctions.udf.CIQ(A1683,"IQ_TOTAL_REV",IQ_FY-4)/I1689, _xll.ciqfunctions.udf.CIQ(A1683, "IQ_TOTAL_REV",IQ_FY-3)/I1689))</f>
        <v>4.3953798208062853</v>
      </c>
      <c r="E1689" s="16">
        <f t="shared" si="451"/>
        <v>0.22355608716077227</v>
      </c>
      <c r="F1689" s="15">
        <f>IF(A1691=A1692,_xll.ciqfunctions.udf.CIQ(A1683,"IQ_DILUT_EPS_EXCL",IQ_FY-4), _xll.ciqfunctions.udf.CIQ(A1683, "IQ_DILUT_EPS_EXCL",IQ_FY-3))</f>
        <v>-2.3892500000000001</v>
      </c>
      <c r="G1689" s="15">
        <f>IF(A1691=A1692,_xll.ciqfunctions.udf.CIQ(A1683,"IQ_EBITDA_MARGIN",IQ_FY-4), _xll.ciqfunctions.udf.CIQ(A1683, "IQ_EBITDA_MARGIN",IQ_FY-3))</f>
        <v>-21.402799999999999</v>
      </c>
      <c r="H1689" s="15">
        <f>IF(A1691=A1692,_xll.ciqfunctions.udf.CIQ(A1683,"IQ_TOTAL_DIV_PAID_CF",IQ_FY-4)/-I1689, _xll.ciqfunctions.udf.CIQ(A1683, "IQ_TOTAL_DIV_PAID_CF",IQ_FY-3)/-I1689)</f>
        <v>0</v>
      </c>
      <c r="I1689" s="17">
        <f>IF(A1691=A1692,_xll.ciqfunctions.udf.CIQ(A1683,"IQ_TOTAL_OUTSTANDING_FILING_DATE",IQ_FY-4), _xll.ciqfunctions.udf.CIQ(A1683, "IQ_TOTAL_OUTSTANDING_FILING_DATE",IQ_FY-3))</f>
        <v>123.26102</v>
      </c>
      <c r="J1689" s="17">
        <f>IF(A1691=A1692,_xll.ciqfunctions.udf.CIQ(A1683,"IQ_CASH_OPER",IQ_FY-4), _xll.ciqfunctions.udf.CIQ(A1683, "IQ_CASH_OPER",IQ_FY-3))</f>
        <v>-67.936000000000007</v>
      </c>
      <c r="K1689" s="17">
        <f>IF(A1691=A1692,_xll.ciqfunctions.udf.CIQ(A1683,"IQ_CAPEX",IQ_FY-4), _xll.ciqfunctions.udf.CIQ(A1683, "IQ_CAPEX",IQ_FY-3))</f>
        <v>-27.035</v>
      </c>
      <c r="L1689" s="15">
        <f t="shared" si="448"/>
        <v>-0.77048689034051476</v>
      </c>
      <c r="M1689" s="17">
        <f>IF(A1691=A1692,_xll.ciqfunctions.udf.CIQ(A1683,"IQ_TOTAL_DEBT_ISSUED",IQ_FY-4), _xll.ciqfunctions.udf.CIQ(A1683, "IQ_TOTAL_DEBT_ISSUED",IQ_FY-3))</f>
        <v>0</v>
      </c>
      <c r="N1689" s="17">
        <f>IF(A1691=A1692,_xll.ciqfunctions.udf.CIQ(A1683,"IQ_TOTAL_DEBT_REPAID",IQ_FY-4), _xll.ciqfunctions.udf.CIQ(A1683, "IQ_TOTAL_DEBT_REPAID",IQ_FY-3))</f>
        <v>0</v>
      </c>
      <c r="O1689" s="15">
        <f t="shared" si="449"/>
        <v>0</v>
      </c>
      <c r="P1689" s="15">
        <f t="shared" si="450"/>
        <v>-0.77048689034051476</v>
      </c>
      <c r="Q1689" s="18"/>
      <c r="R1689" s="38" t="s">
        <v>29</v>
      </c>
      <c r="S1689" s="4">
        <f>(AVERAGE(P1688:P1693)/_xlfn.STDEV.P(P1688:P1693))/(IF(A1691=A1692,(_xlfn.SINGLE(_xll.ciqfunctions.udf.CIQ(A1683,"IQ_total_assets",IQ_FY)) - _xlfn.SINGLE(_xll.ciqfunctions.udf.CIQ(A1683,"iq_gw_intan", IQ_FY)))/I1693, (_xlfn.SINGLE(_xll.ciqfunctions.udf.CIQ(A1683, "IQ_total_assets",IQ_LTM))-_xlfn.SINGLE(_xll.ciqfunctions.udf.CIQ(A1683,"iq_gw_intan",IQ_LTM)))/I1693))</f>
        <v>9.0406862032617885E-2</v>
      </c>
      <c r="U1689" s="18"/>
      <c r="V1689" s="38" t="s">
        <v>29</v>
      </c>
      <c r="W1689" s="4">
        <f>(AVERAGE(P1688:P1693)/_xlfn.STDEV.P(P1688:P1693))/(IF(A1691=A1692,(_xlfn.SINGLE(_xll.ciqfunctions.udf.CIQ(A1683,"IQ_total_assets",IQ_FY)) - _xlfn.SINGLE(_xll.ciqfunctions.udf.CIQ(A1683,"iq_gw_intan", IQ_FY)))/I1693, (_xlfn.SINGLE(_xll.ciqfunctions.udf.CIQ(A1683, "IQ_total_assets",IQ_LTM))-_xlfn.SINGLE(_xll.ciqfunctions.udf.CIQ(A1683,"iq_gw_intan",IQ_LTM)))/I1693))</f>
        <v>9.0406862032617885E-2</v>
      </c>
      <c r="Y1689" s="18"/>
      <c r="Z1689" s="38" t="s">
        <v>29</v>
      </c>
      <c r="AA1689" s="4">
        <f>(AVERAGE(P1688:P1693)/_xlfn.STDEV.P(P1688:P1693))/(IF(A1691=A1692,(_xlfn.SINGLE(_xll.ciqfunctions.udf.CIQ(A1683,"IQ_total_assets",IQ_FY)) - _xlfn.SINGLE(_xll.ciqfunctions.udf.CIQ(A1683,"iq_gw_intan", IQ_FY)))/I1693, (_xlfn.SINGLE(_xll.ciqfunctions.udf.CIQ(A1683, "IQ_total_assets",IQ_LTM))-_xlfn.SINGLE(_xll.ciqfunctions.udf.CIQ(A1683,"iq_gw_intan",IQ_LTM)))/I1693))</f>
        <v>9.0406862032617885E-2</v>
      </c>
    </row>
    <row r="1690" spans="1:27">
      <c r="A1690" s="18"/>
      <c r="B1690" s="13">
        <v>8</v>
      </c>
      <c r="C1690" s="14" t="s">
        <v>30</v>
      </c>
      <c r="D1690" s="15" cm="1">
        <f t="array" ref="D1690">_xlfn.SINGLE(IF(A1691=A1692,_xll.ciqfunctions.udf.CIQ(A1683,"IQ_TOTAL_REV",IQ_FY-3)/I1690, _xll.ciqfunctions.udf.CIQ(A1683, "IQ_TOTAL_REV",IQ_FY-2)/I1690))</f>
        <v>2.7795341766350803</v>
      </c>
      <c r="E1690" s="16">
        <f t="shared" si="451"/>
        <v>-0.36762366622386583</v>
      </c>
      <c r="F1690" s="15">
        <f>IF(A1691=A1692,_xll.ciqfunctions.udf.CIQ(A1683,"IQ_DILUT_EPS_EXCL",IQ_FY-3), _xll.ciqfunctions.udf.CIQ(A1683, "IQ_DILUT_EPS_EXCL",IQ_FY-2))</f>
        <v>-1.6609</v>
      </c>
      <c r="G1690" s="15">
        <f>IF(A1691=A1692,_xll.ciqfunctions.udf.CIQ(A1683,"IQ_EBITDA_MARGIN",IQ_FY-3), _xll.ciqfunctions.udf.CIQ(A1683, "IQ_EBITDA_MARGIN",IQ_FY-2))</f>
        <v>-30.013500000000001</v>
      </c>
      <c r="H1690" s="15">
        <f>IF(A1691=A1692,_xll.ciqfunctions.udf.CIQ(A1683,"IQ_TOTAL_DIV_PAID_CF",IQ_FY-3)/-I1690, _xll.ciqfunctions.udf.CIQ(A1683, "IQ_TOTAL_DIV_PAID_CF",IQ_FY-2)/-I1690)</f>
        <v>0</v>
      </c>
      <c r="I1690" s="17">
        <f>IF(A1691=A1692,_xll.ciqfunctions.udf.CIQ(A1683,"IQ_TOTAL_OUTSTANDING_FILING_DATE",IQ_FY-3), _xll.ciqfunctions.udf.CIQ(A1683, "IQ_TOTAL_OUTSTANDING_FILING_DATE",IQ_FY-2))</f>
        <v>277.90447999999998</v>
      </c>
      <c r="J1690" s="17">
        <f>IF(A1691=A1692,_xll.ciqfunctions.udf.CIQ(A1683,"IQ_CASH_OPER",IQ_FY-3), _xll.ciqfunctions.udf.CIQ(A1683, "IQ_CASH_OPER",IQ_FY-2))</f>
        <v>19.913</v>
      </c>
      <c r="K1690" s="17">
        <f>IF(A1691=A1692,_xll.ciqfunctions.udf.CIQ(A1683,"IQ_CAPEX",IQ_FY-3), _xll.ciqfunctions.udf.CIQ(A1683, "IQ_CAPEX",IQ_FY-2))</f>
        <v>-40.155999999999999</v>
      </c>
      <c r="L1690" s="15">
        <f t="shared" si="448"/>
        <v>-7.2841574918115756E-2</v>
      </c>
      <c r="M1690" s="17">
        <f>IF(A1691=A1692,_xll.ciqfunctions.udf.CIQ(A1683,"IQ_TOTAL_DEBT_ISSUED",IQ_FY-3), _xll.ciqfunctions.udf.CIQ(A1683, "IQ_TOTAL_DEBT_ISSUED",IQ_FY-2))</f>
        <v>125</v>
      </c>
      <c r="N1690" s="17">
        <f>IF(A1691=A1692,_xll.ciqfunctions.udf.CIQ(A1683,"IQ_TOTAL_DEBT_REPAID",IQ_FY-3), _xll.ciqfunctions.udf.CIQ(A1683, "IQ_TOTAL_DEBT_REPAID",IQ_FY-2))</f>
        <v>-125</v>
      </c>
      <c r="O1690" s="15">
        <f t="shared" si="449"/>
        <v>0</v>
      </c>
      <c r="P1690" s="15">
        <f t="shared" si="450"/>
        <v>-7.2841574918115756E-2</v>
      </c>
      <c r="Q1690" s="18"/>
      <c r="R1690" s="39" t="s">
        <v>31</v>
      </c>
      <c r="S1690" s="5" t="e">
        <f>IF(NOT(D1683&gt;0),FALSE,SLOPE(G1683:G1693,B1683:B1693))</f>
        <v>#DIV/0!</v>
      </c>
      <c r="U1690" s="18"/>
      <c r="V1690" s="39" t="s">
        <v>31</v>
      </c>
      <c r="W1690" s="5" t="e">
        <f>IF(NOT(D1683&gt;0),FALSE,SLOPE(G1683:G1693,B1683:B1693))</f>
        <v>#DIV/0!</v>
      </c>
      <c r="Y1690" s="18"/>
      <c r="Z1690" s="39" t="s">
        <v>31</v>
      </c>
      <c r="AA1690" s="5" t="e">
        <f>IF(NOT(L1683&gt;0),FALSE,SLOPE(O1683:O1693,J1683:J1693))</f>
        <v>#DIV/0!</v>
      </c>
    </row>
    <row r="1691" spans="1:27">
      <c r="A1691" s="19">
        <f>_xll.ciqfunctions.udf.CIQ(A1683,"IQ_TOTAL_REV",IQ_FY)</f>
        <v>1391.0239999999999</v>
      </c>
      <c r="B1691" s="13">
        <v>9</v>
      </c>
      <c r="C1691" s="14" t="s">
        <v>32</v>
      </c>
      <c r="D1691" s="15" cm="1">
        <f t="array" ref="D1691">_xlfn.SINGLE(IF(A1691=A1692,_xll.ciqfunctions.udf.CIQ(A1683,"IQ_TOTAL_REV",IQ_FY-2)/I1691, _xll.ciqfunctions.udf.CIQ(A1683, "IQ_TOTAL_REV",IQ_FY-1)/I1691))</f>
        <v>3.776074921012857</v>
      </c>
      <c r="E1691" s="16">
        <f t="shared" si="451"/>
        <v>0.35852796945428983</v>
      </c>
      <c r="F1691" s="15">
        <f>IF(A1691=A1692,_xll.ciqfunctions.udf.CIQ(A1683,"IQ_DILUT_EPS_EXCL",IQ_FY-2), _xll.ciqfunctions.udf.CIQ(A1683, "IQ_DILUT_EPS_EXCL",IQ_FY-1))</f>
        <v>-1.88737</v>
      </c>
      <c r="G1691" s="15">
        <f>IF(A1691=A1692,_xll.ciqfunctions.udf.CIQ(A1683,"IQ_EBITDA_MARGIN",IQ_FY-2), _xll.ciqfunctions.udf.CIQ(A1683, "IQ_EBITDA_MARGIN",IQ_FY-1))</f>
        <v>-36.244</v>
      </c>
      <c r="H1691" s="15">
        <f>IF(A1691=A1692,_xll.ciqfunctions.udf.CIQ(A1683,"IQ_TOTAL_DIV_PAID_CF",IQ_FY-2)/-I1691, _xll.ciqfunctions.udf.CIQ(A1683, "IQ_TOTAL_DIV_PAID_CF",IQ_FY-1)/-I1691)</f>
        <v>0</v>
      </c>
      <c r="I1691" s="17">
        <f>IF(A1691=A1692,_xll.ciqfunctions.udf.CIQ(A1683,"IQ_TOTAL_OUTSTANDING_FILING_DATE",IQ_FY-2), _xll.ciqfunctions.udf.CIQ(A1683, "IQ_TOTAL_OUTSTANDING_FILING_DATE",IQ_FY-1))</f>
        <v>294.09532999999999</v>
      </c>
      <c r="J1691" s="17">
        <f>IF(A1691=A1692,_xll.ciqfunctions.udf.CIQ(A1683,"IQ_CASH_OPER",IQ_FY-2), _xll.ciqfunctions.udf.CIQ(A1683, "IQ_CASH_OPER",IQ_FY-1))</f>
        <v>-111.449</v>
      </c>
      <c r="K1691" s="17">
        <f>IF(A1691=A1692,_xll.ciqfunctions.udf.CIQ(A1683,"IQ_CAPEX",IQ_FY-2), _xll.ciqfunctions.udf.CIQ(A1683, "IQ_CAPEX",IQ_FY-1))</f>
        <v>-41.938000000000002</v>
      </c>
      <c r="L1691" s="15">
        <f t="shared" si="448"/>
        <v>-0.52155537457871226</v>
      </c>
      <c r="M1691" s="17">
        <f>IF(A1691=A1692,_xll.ciqfunctions.udf.CIQ(A1683,"IQ_TOTAL_DEBT_ISSUED",IQ_FY-2), _xll.ciqfunctions.udf.CIQ(A1683, "IQ_TOTAL_DEBT_ISSUED",IQ_FY-1))</f>
        <v>1725</v>
      </c>
      <c r="N1691" s="17">
        <f>IF(A1691=A1692,_xll.ciqfunctions.udf.CIQ(A1683,"IQ_TOTAL_DEBT_REPAID",IQ_FY-2), _xll.ciqfunctions.udf.CIQ(A1683, "IQ_TOTAL_DEBT_REPAID",IQ_FY-1))</f>
        <v>0</v>
      </c>
      <c r="O1691" s="15">
        <f t="shared" si="449"/>
        <v>5.8654450582401294</v>
      </c>
      <c r="P1691" s="15">
        <f t="shared" si="450"/>
        <v>5.3438896836614171</v>
      </c>
      <c r="Q1691" s="25" t="s">
        <v>33</v>
      </c>
      <c r="R1691" s="38" t="s">
        <v>52</v>
      </c>
      <c r="S1691" s="4">
        <f>(AVERAGE(O1688:O1693)/AVERAGE(P1688:P1693))</f>
        <v>1.3122568540491244</v>
      </c>
      <c r="U1691" s="25" t="s">
        <v>54</v>
      </c>
      <c r="V1691" s="38" t="s">
        <v>52</v>
      </c>
      <c r="W1691" s="4">
        <f>(AVERAGE(O1688:O1693)/AVERAGE(P1688:P1693))</f>
        <v>1.3122568540491244</v>
      </c>
      <c r="Y1691" s="25" t="s">
        <v>60</v>
      </c>
      <c r="Z1691" s="38" t="s">
        <v>52</v>
      </c>
      <c r="AA1691" s="4">
        <f>(AVERAGE(O1688:O1693)/AVERAGE(P1688:P1693))</f>
        <v>1.3122568540491244</v>
      </c>
    </row>
    <row r="1692" spans="1:27">
      <c r="A1692" s="19">
        <f>_xll.ciqfunctions.udf.CIQ(A1683,"IQ_TOTAL_REV",IQ_LTM)</f>
        <v>2029.0229999999999</v>
      </c>
      <c r="B1692" s="13">
        <v>10</v>
      </c>
      <c r="C1692" s="14" t="s">
        <v>34</v>
      </c>
      <c r="D1692" s="15" cm="1">
        <f t="array" ref="D1692">_xlfn.SINGLE(IF(A1691=A1692,_xll.ciqfunctions.udf.CIQ(A1683,"IQ_TOTAL_REV",IQ_FY-1)/I1692, _xll.ciqfunctions.udf.CIQ(A1683, "IQ_TOTAL_REV",IQ_FY)/I1692))</f>
        <v>3.7117503851174769</v>
      </c>
      <c r="E1692" s="16">
        <f t="shared" si="451"/>
        <v>-1.7034761555558952E-2</v>
      </c>
      <c r="F1692" s="15">
        <f>IF(A1691=A1692,_xll.ciqfunctions.udf.CIQ(A1683,"IQ_DILUT_EPS_EXCL",IQ_FY-1), _xll.ciqfunctions.udf.CIQ(A1683, "IQ_DILUT_EPS_EXCL",IQ_FY))</f>
        <v>-2.9663499999999998</v>
      </c>
      <c r="G1692" s="15">
        <f>IF(A1691=A1692,_xll.ciqfunctions.udf.CIQ(A1683,"IQ_EBITDA_MARGIN",IQ_FY-1), _xll.ciqfunctions.udf.CIQ(A1683, "IQ_EBITDA_MARGIN",IQ_FY))</f>
        <v>-45.189399999999999</v>
      </c>
      <c r="H1692" s="15">
        <f>IF(A1691=A1692,_xll.ciqfunctions.udf.CIQ(A1683,"IQ_TOTAL_DIV_PAID_CF",IQ_FY-1)/-I1692, _xll.ciqfunctions.udf.CIQ(A1683, "IQ_TOTAL_DIV_PAID_CF",IQ_FY)/-I1692)</f>
        <v>0</v>
      </c>
      <c r="I1692" s="17">
        <f>IF(A1691=A1692,_xll.ciqfunctions.udf.CIQ(A1683,"IQ_TOTAL_OUTSTANDING_FILING_DATE",IQ_FY-1), _xll.ciqfunctions.udf.CIQ(A1683, "IQ_TOTAL_OUTSTANDING_FILING_DATE",IQ_FY))</f>
        <v>374.76227</v>
      </c>
      <c r="J1692" s="17">
        <f>IF(A1691=A1692,_xll.ciqfunctions.udf.CIQ(A1683,"IQ_CASH_OPER",IQ_FY-1), _xll.ciqfunctions.udf.CIQ(A1683, "IQ_CASH_OPER",IQ_FY))</f>
        <v>-59.430999999999997</v>
      </c>
      <c r="K1692" s="17">
        <f>IF(A1691=A1692,_xll.ciqfunctions.udf.CIQ(A1683,"IQ_CAPEX",IQ_FY-1), _xll.ciqfunctions.udf.CIQ(A1683, "IQ_CAPEX",IQ_FY))</f>
        <v>-57.137999999999998</v>
      </c>
      <c r="L1692" s="15">
        <f t="shared" si="448"/>
        <v>-0.31104785441714822</v>
      </c>
      <c r="M1692" s="17">
        <f>IF(A1691=A1692,_xll.ciqfunctions.udf.CIQ(A1683,"IQ_TOTAL_DEBT_ISSUED",IQ_FY-1), _xll.ciqfunctions.udf.CIQ(A1683, "IQ_TOTAL_DEBT_ISSUED",IQ_FY))</f>
        <v>1000</v>
      </c>
      <c r="N1692" s="17">
        <f>IF(A1691=A1692,_xll.ciqfunctions.udf.CIQ(A1683,"IQ_TOTAL_DEBT_REPAID",IQ_FY-1), _xll.ciqfunctions.udf.CIQ(A1683, "IQ_TOTAL_DEBT_REPAID",IQ_FY))</f>
        <v>0</v>
      </c>
      <c r="O1692" s="15">
        <f t="shared" si="449"/>
        <v>2.6683582634932805</v>
      </c>
      <c r="P1692" s="15">
        <f t="shared" si="450"/>
        <v>2.3573104090761321</v>
      </c>
      <c r="Q1692" s="25" t="s">
        <v>44</v>
      </c>
      <c r="R1692" s="38" t="s">
        <v>35</v>
      </c>
      <c r="S1692" s="1" t="str">
        <f>_xll.ciqfunctions.udf.CIQ(A1683,"IQ_TEV_EBITDA")</f>
        <v>NM</v>
      </c>
      <c r="U1692" s="25" t="s">
        <v>55</v>
      </c>
      <c r="V1692" s="38" t="s">
        <v>53</v>
      </c>
      <c r="W1692" s="1" t="e">
        <f>V1682/(AVERAGE(D1688:D1693)/_xlfn.STDEV.P(E1688:E1693))</f>
        <v>#DIV/0!</v>
      </c>
      <c r="Y1692" s="25" t="s">
        <v>57</v>
      </c>
      <c r="Z1692" s="38" t="s">
        <v>53</v>
      </c>
      <c r="AA1692" s="1" t="e">
        <f>Z1682/(AVERAGE(D1688:D1693)/_xlfn.STDEV.P(E1688:E1693))</f>
        <v>#DIV/0!</v>
      </c>
    </row>
    <row r="1693" spans="1:27">
      <c r="B1693" s="13">
        <v>11</v>
      </c>
      <c r="C1693" s="20" t="s">
        <v>36</v>
      </c>
      <c r="D1693" s="21" cm="1">
        <f t="array" ref="D1693">_xlfn.SINGLE(IF(A1691=A1692,_xll.ciqfunctions.udf.CIQ(A1683,"IQ_TOTAL_REV",IQ_FY)/I1693, _xll.ciqfunctions.udf.CIQ(A1683, "IQ_TOTAL_REV",IQ_LTM)/I1693))</f>
        <v>5.3392669661639562</v>
      </c>
      <c r="E1693" s="22">
        <f t="shared" si="451"/>
        <v>0.43847684035330636</v>
      </c>
      <c r="F1693" s="21">
        <f>IF(A1691=A1692,_xll.ciqfunctions.udf.CIQ(A1683,"IQ_DILUT_EPS_EXCL",IQ_FY), _xll.ciqfunctions.udf.CIQ(A1683, "IQ_DILUT_EPS_EXCL",IQ_LTM))</f>
        <v>-2.28877</v>
      </c>
      <c r="G1693" s="21">
        <f>IF(A1691=A1692,_xll.ciqfunctions.udf.CIQ(A1683,"IQ_EBITDA_MARGIN",IQ_FY), _xll.ciqfunctions.udf.CIQ(A1683, "IQ_EBITDA_MARGIN",IQ_LTM))</f>
        <v>-17.9846</v>
      </c>
      <c r="H1693" s="21">
        <f>IF(A1691=A1692,_xll.ciqfunctions.udf.CIQ(A1683,"IQ_TOTAL_DIV_PAID_CF",IQ_FY)/-I1693, _xll.ciqfunctions.udf.CIQ(A1683, "IQ_TOTAL_DIV_PAID_CF",IQ_LTM)/-I1693)</f>
        <v>0</v>
      </c>
      <c r="I1693" s="23">
        <f>IF(A1691=A1692,_xll.ciqfunctions.udf.CIQ(A1683,"IQ_TOTAL_OUTSTANDING_FILING_DATE",IQ_FY),_xll.ciqfunctions.udf.CIQ(A1683,"IQ_sharesoutstanding"))</f>
        <v>380.01902000000001</v>
      </c>
      <c r="J1693" s="23">
        <f>IF(A1691=A1692,_xll.ciqfunctions.udf.CIQ(A1683,"IQ_CASH_OPER",IQ_FY), _xll.ciqfunctions.udf.CIQ(A1683, "IQ_CASH_OPER",IQ_LTM))</f>
        <v>113.536</v>
      </c>
      <c r="K1693" s="23">
        <f>IF(A1691=A1692,_xll.ciqfunctions.udf.CIQ(A1683,"IQ_CAPEX",IQ_FY), _xll.ciqfunctions.udf.CIQ(A1683, "IQ_CAPEX",IQ_LTM))</f>
        <v>-59.353999999999999</v>
      </c>
      <c r="L1693" s="21">
        <f t="shared" si="448"/>
        <v>0.14257707416855084</v>
      </c>
      <c r="M1693" s="23">
        <f>IF(A1691=A1692,_xll.ciqfunctions.udf.CIQ(A1683,"IQ_TOTAL_DEBT_ISSUED",IQ_FY), _xll.ciqfunctions.udf.CIQ(A1683, "IQ_TOTAL_DEBT_ISSUED",IQ_LTM))</f>
        <v>1000</v>
      </c>
      <c r="N1693" s="23">
        <f>IF(A1691=A1692,_xll.ciqfunctions.udf.CIQ(A1683,"IQ_TOTAL_DEBT_REPAID",IQ_FY), _xll.ciqfunctions.udf.CIQ(A1683, "IQ_TOTAL_DEBT_REPAID",IQ_LTM))</f>
        <v>0</v>
      </c>
      <c r="O1693" s="21">
        <f t="shared" si="449"/>
        <v>2.6314472365093726</v>
      </c>
      <c r="P1693" s="21">
        <f t="shared" si="450"/>
        <v>2.7740243106779237</v>
      </c>
      <c r="Q1693" s="25" t="s">
        <v>45</v>
      </c>
      <c r="S1693" s="45"/>
      <c r="U1693" s="25"/>
      <c r="W1693" s="45"/>
      <c r="Y1693" s="25"/>
      <c r="AA1693" s="45"/>
    </row>
    <row r="1694" spans="1:27">
      <c r="B1694" s="24"/>
      <c r="C1694" s="25" t="s">
        <v>37</v>
      </c>
      <c r="E1694" s="26">
        <f>((D1693/D1688)^(1/5))-1</f>
        <v>8.2484837035800007E-2</v>
      </c>
      <c r="F1694" s="27">
        <f>((F1693/F1688)^(1/5))-1</f>
        <v>0.13011513324293578</v>
      </c>
      <c r="G1694" s="28"/>
      <c r="H1694" s="27" t="e">
        <f>((H1693/H1688)^(1/5))-1</f>
        <v>#DIV/0!</v>
      </c>
      <c r="I1694" s="27">
        <f>((I1693/I1688)^(1/5))-1</f>
        <v>0.29094116407023107</v>
      </c>
      <c r="J1694" s="27"/>
      <c r="K1694" s="27"/>
      <c r="L1694" s="26">
        <f>((L1693/L1688)^(1/5))-1</f>
        <v>-1.6617565532410787</v>
      </c>
      <c r="M1694" s="26"/>
      <c r="N1694" s="26"/>
      <c r="O1694" s="26"/>
      <c r="P1694" s="26">
        <f>((P1693/P1688)^(1/5))-1</f>
        <v>-2.1981477143934454</v>
      </c>
      <c r="Q1694" s="18"/>
      <c r="R1694" s="36"/>
      <c r="S1694" s="45"/>
      <c r="U1694" s="18"/>
      <c r="V1694" s="36"/>
      <c r="W1694" s="45"/>
      <c r="Y1694" s="18"/>
      <c r="Z1694" s="36"/>
      <c r="AA1694" s="45"/>
    </row>
    <row r="1695" spans="1:27">
      <c r="A1695" s="29"/>
      <c r="B1695" s="30"/>
      <c r="C1695" s="31" t="s">
        <v>38</v>
      </c>
      <c r="D1695" s="29"/>
      <c r="E1695" s="32" t="e">
        <f>((D1693/D1683)^(1/10))-1</f>
        <v>#DIV/0!</v>
      </c>
      <c r="F1695" s="33" t="e">
        <f>((F1693/F1683)^(1/10))-1</f>
        <v>#DIV/0!</v>
      </c>
      <c r="G1695" s="34"/>
      <c r="H1695" s="33" t="e">
        <f>((H1693/H1683)^(1/10))-1</f>
        <v>#DIV/0!</v>
      </c>
      <c r="I1695" s="33" t="e">
        <f>((I1693/I1683)^(1/10))-1</f>
        <v>#DIV/0!</v>
      </c>
      <c r="J1695" s="33"/>
      <c r="K1695" s="33"/>
      <c r="L1695" s="32" t="e">
        <f>((L1693/L1683)^(1/10))-1</f>
        <v>#DIV/0!</v>
      </c>
      <c r="M1695" s="32"/>
      <c r="N1695" s="32"/>
      <c r="O1695" s="32"/>
      <c r="P1695" s="32" t="e">
        <f>((P1693/P1683)^(1/10))-1</f>
        <v>#DIV/0!</v>
      </c>
      <c r="Q1695" s="40"/>
      <c r="R1695" s="41"/>
      <c r="S1695" s="46"/>
      <c r="U1695" s="40"/>
      <c r="V1695" s="41"/>
      <c r="W1695" s="46"/>
      <c r="Y1695" s="40"/>
      <c r="Z1695" s="41"/>
      <c r="AA1695" s="46"/>
    </row>
    <row r="1696" spans="1:27">
      <c r="B1696" s="24"/>
      <c r="C1696" s="25"/>
      <c r="E1696" s="26"/>
      <c r="F1696" s="27"/>
      <c r="G1696" s="28"/>
      <c r="H1696" s="27"/>
      <c r="I1696" s="27"/>
      <c r="J1696" s="27"/>
      <c r="K1696" s="27"/>
      <c r="L1696" s="26"/>
      <c r="M1696" s="17"/>
      <c r="N1696" s="17"/>
      <c r="O1696" s="17"/>
      <c r="P1696" s="35"/>
      <c r="Q1696" s="18"/>
      <c r="R1696" s="36"/>
    </row>
    <row r="1697" spans="1:27">
      <c r="A1697" s="9" t="s">
        <v>0</v>
      </c>
      <c r="B1697" s="10"/>
      <c r="C1697" s="9" t="s">
        <v>1</v>
      </c>
      <c r="D1697" s="9" t="s">
        <v>2</v>
      </c>
      <c r="E1697" s="9" t="s">
        <v>3</v>
      </c>
      <c r="F1697" s="11" t="s">
        <v>4</v>
      </c>
      <c r="G1697" s="11" t="s">
        <v>5</v>
      </c>
      <c r="H1697" s="9" t="s">
        <v>6</v>
      </c>
      <c r="I1697" s="11" t="s">
        <v>7</v>
      </c>
      <c r="J1697" s="11" t="s">
        <v>8</v>
      </c>
      <c r="K1697" s="11" t="s">
        <v>9</v>
      </c>
      <c r="L1697" s="11" t="s">
        <v>10</v>
      </c>
      <c r="M1697" s="11" t="s">
        <v>11</v>
      </c>
      <c r="N1697" s="11" t="s">
        <v>12</v>
      </c>
      <c r="O1697" s="11" t="s">
        <v>13</v>
      </c>
      <c r="P1697" s="11" t="s">
        <v>14</v>
      </c>
      <c r="Q1697" s="37" t="s">
        <v>15</v>
      </c>
      <c r="R1697" s="42">
        <f>_xll.ciqfunctions.udf.CIQ(A1698,("IQ_LASTSALEPRICE"))</f>
        <v>64.400000000000006</v>
      </c>
      <c r="S1697" s="44"/>
      <c r="U1697" s="37" t="s">
        <v>15</v>
      </c>
      <c r="V1697" s="42">
        <f>_xll.ciqfunctions.udf.CIQ(A1698,("IQ_LASTSALEPRICE"))</f>
        <v>64.400000000000006</v>
      </c>
      <c r="W1697" s="44"/>
      <c r="Y1697" s="37" t="s">
        <v>15</v>
      </c>
      <c r="Z1697" s="42">
        <f>_xll.ciqfunctions.udf.CIQ(A1698,("IQ_LASTSALEPRICE"))</f>
        <v>64.400000000000006</v>
      </c>
      <c r="AA1697" s="44"/>
    </row>
    <row r="1698" spans="1:27">
      <c r="A1698" s="12" t="str">
        <f>Analysis!B115</f>
        <v>NYSE:BILL</v>
      </c>
      <c r="B1698" s="13">
        <v>1</v>
      </c>
      <c r="C1698" s="14" t="s">
        <v>16</v>
      </c>
      <c r="D1698" s="15" t="e">
        <f>IF(A1706=A1707,_xll.ciqfunctions.udf.CIQ(A1698,"IQ_TOTAL_REV",IQ_FY-10)/I1698,_xll.ciqfunctions.udf.CIQ(A1698, "IQ_TOTAL_REV",IQ_FY-9)/I1698)</f>
        <v>#DIV/0!</v>
      </c>
      <c r="E1698" s="16"/>
      <c r="F1698" s="15">
        <f>IF(A1706=A1707,_xll.ciqfunctions.udf.CIQ(A1698,"IQ_DILUT_EPS_EXCL",IQ_FY-10), _xll.ciqfunctions.udf.CIQ(A1698, "IQ_DILUT_EPS_EXCL",IQ_FY-9))</f>
        <v>0</v>
      </c>
      <c r="G1698" s="15">
        <f>IF(A1706=A1707,_xll.ciqfunctions.udf.CIQ(A1698,"IQ_EBITDA_MARGIN",IQ_FY-10), _xll.ciqfunctions.udf.CIQ(A1698, "IQ_EBITDA_MARGIN",IQ_FY-9))</f>
        <v>0</v>
      </c>
      <c r="H1698" s="15" t="e">
        <f>IF(A1706=A1707,_xll.ciqfunctions.udf.CIQ(A1698,"IQ_TOTAL_DIV_PAID_CF",IQ_FY-10)/-I1698, _xll.ciqfunctions.udf.CIQ(A1698, "IQ_TOTAL_DIV_PAID_CF",IQ_FY-9)/-I1698)</f>
        <v>#DIV/0!</v>
      </c>
      <c r="I1698" s="17">
        <f>IF(A1706=A1707,_xll.ciqfunctions.udf.CIQ(A1698,"IQ_TOTAL_OUTSTANDING_FILING_DATE",IQ_FY-10), _xll.ciqfunctions.udf.CIQ(A1698, "IQ_TOTAL_OUTSTANDING_FILING_DATE",IQ_FY-9))</f>
        <v>0</v>
      </c>
      <c r="J1698" s="17">
        <f>IF(A1706=A1707,_xll.ciqfunctions.udf.CIQ(A1698,"IQ_CASH_OPER",IQ_FY-10), _xll.ciqfunctions.udf.CIQ(A1698, "IQ_CASH_OPER",IQ_FY-9))</f>
        <v>0</v>
      </c>
      <c r="K1698" s="17">
        <f>IF(A1706=A1707,_xll.ciqfunctions.udf.CIQ(A1698,"IQ_CAPEX",IQ_FY-10), _xll.ciqfunctions.udf.CIQ(A1698, "IQ_CAPEX",IQ_FY-9))</f>
        <v>0</v>
      </c>
      <c r="L1698" s="15" t="e">
        <f t="shared" ref="L1698:L1708" si="452">(J1698+K1698)/I1698</f>
        <v>#DIV/0!</v>
      </c>
      <c r="M1698" s="17">
        <f>IF(A1706=A1707,_xll.ciqfunctions.udf.CIQ(A1698,"IQ_TOTAL_DEBT_ISSUED",IQ_FY-10), _xll.ciqfunctions.udf.CIQ(A1698, "IQ_TOTAL_DEBT_ISSUED",IQ_FY-9))</f>
        <v>0</v>
      </c>
      <c r="N1698" s="17">
        <f>IF(A1706=A1707,_xll.ciqfunctions.udf.CIQ(A1698,"IQ_TOTAL_DEBT_REPAID",IQ_FY-10), _xll.ciqfunctions.udf.CIQ(A1698, "IQ_TOTAL_DEBT_REPAID",IQ_FY-9))</f>
        <v>0</v>
      </c>
      <c r="O1698" s="15" t="e">
        <f t="shared" ref="O1698:O1708" si="453">(M1698+N1698)/I1698</f>
        <v>#DIV/0!</v>
      </c>
      <c r="P1698" s="15" t="e">
        <f t="shared" ref="P1698:P1708" si="454">L1698+O1698</f>
        <v>#DIV/0!</v>
      </c>
      <c r="W1698" s="43"/>
      <c r="AA1698" s="43"/>
    </row>
    <row r="1699" spans="1:27">
      <c r="A1699" s="18" t="str">
        <f>_xll.ciqfunctions.udf.CIQ(A1698,"IQ_COMPANY_NAME")</f>
        <v>BILL Holdings, Inc.</v>
      </c>
      <c r="B1699" s="13">
        <v>2</v>
      </c>
      <c r="C1699" s="14" t="s">
        <v>17</v>
      </c>
      <c r="D1699" s="15" t="e">
        <f>IF(A1706=A1707,_xll.ciqfunctions.udf.CIQ(A1698,"IQ_TOTAL_REV",IQ_FY-9)/I1699, _xll.ciqfunctions.udf.CIQ(A1698, "IQ_TOTAL_REV",IQ_FY-8)/I1699)</f>
        <v>#DIV/0!</v>
      </c>
      <c r="E1699" s="16" t="e">
        <f t="shared" ref="E1699:E1708" si="455">(D1699-D1698)/D1698</f>
        <v>#DIV/0!</v>
      </c>
      <c r="F1699" s="15">
        <f>IF(A1706=A1707,_xll.ciqfunctions.udf.CIQ(A1698,"IQ_DILUT_EPS_EXCL",IQ_FY-9), _xll.ciqfunctions.udf.CIQ(A1698, "IQ_DILUT_EPS_EXCL",IQ_FY-8))</f>
        <v>0</v>
      </c>
      <c r="G1699" s="15">
        <f>IF(A1706=A1707,_xll.ciqfunctions.udf.CIQ(A1698,"IQ_EBITDA_MARGIN",IQ_FY-9), _xll.ciqfunctions.udf.CIQ(A1698, "IQ_EBITDA_MARGIN",IQ_FY-8))</f>
        <v>0</v>
      </c>
      <c r="H1699" s="15" t="e">
        <f>IF(A1706=A1707,_xll.ciqfunctions.udf.CIQ(A1698,"IQ_TOTAL_DIV_PAID_CF",IQ_FY-9)/-I1699, _xll.ciqfunctions.udf.CIQ(A1698, "IQ_TOTAL_DIV_PAID_CF",IQ_FY-8)/-I1699)</f>
        <v>#DIV/0!</v>
      </c>
      <c r="I1699" s="17">
        <f>IF(A1706=A1707,_xll.ciqfunctions.udf.CIQ(A1698,"IQ_TOTAL_OUTSTANDING_FILING_DATE",IQ_FY-9), _xll.ciqfunctions.udf.CIQ(A1698, "IQ_TOTAL_OUTSTANDING_FILING_DATE",IQ_FY-8))</f>
        <v>0</v>
      </c>
      <c r="J1699" s="17">
        <f>IF(A1706=A1707,_xll.ciqfunctions.udf.CIQ(A1698,"IQ_CASH_OPER",IQ_FY-9), _xll.ciqfunctions.udf.CIQ(A1698, "IQ_CASH_OPER",IQ_FY-8))</f>
        <v>0</v>
      </c>
      <c r="K1699" s="17">
        <f>IF(A1706=A1707,_xll.ciqfunctions.udf.CIQ(A1698,"IQ_CAPEX",IQ_FY-9), _xll.ciqfunctions.udf.CIQ(A1698, "IQ_CAPEX",IQ_FY-8))</f>
        <v>0</v>
      </c>
      <c r="L1699" s="15" t="e">
        <f t="shared" si="452"/>
        <v>#DIV/0!</v>
      </c>
      <c r="M1699" s="17">
        <f>IF(A1706=A1707,_xll.ciqfunctions.udf.CIQ(A1698,"IQ_TOTAL_DEBT_ISSUED",IQ_FY-9), _xll.ciqfunctions.udf.CIQ(A1698, "IQ_TOTAL_DEBT_ISSUED",IQ_FY-8))</f>
        <v>0</v>
      </c>
      <c r="N1699" s="17">
        <f>IF(A1706=A1707,_xll.ciqfunctions.udf.CIQ(A1698,"IQ_TOTAL_DEBT_REPAID",IQ_FY-9), _xll.ciqfunctions.udf.CIQ(A1698, "IQ_TOTAL_DEBT_REPAID",IQ_FY-8))</f>
        <v>0</v>
      </c>
      <c r="O1699" s="15" t="e">
        <f t="shared" si="453"/>
        <v>#DIV/0!</v>
      </c>
      <c r="P1699" s="15" t="e">
        <f t="shared" si="454"/>
        <v>#DIV/0!</v>
      </c>
      <c r="Q1699" s="25" t="s">
        <v>18</v>
      </c>
      <c r="R1699" s="39" t="s">
        <v>19</v>
      </c>
      <c r="S1699" s="1">
        <f>R1697/((AVERAGE(P1703:P1708))*(1+E1709)^3)</f>
        <v>22.642707082784849</v>
      </c>
      <c r="U1699" s="25" t="s">
        <v>48</v>
      </c>
      <c r="V1699" s="39" t="s">
        <v>19</v>
      </c>
      <c r="W1699" s="1">
        <f>V1697/((AVERAGE(P1703:P1708))*(1+E1709)^3)</f>
        <v>22.642707082784849</v>
      </c>
      <c r="Y1699" s="25" t="s">
        <v>39</v>
      </c>
      <c r="Z1699" s="39" t="s">
        <v>19</v>
      </c>
      <c r="AA1699" s="1">
        <f>Z1697/((AVERAGE(P1703:P1708))*(1+E1709)^3)</f>
        <v>22.642707082784849</v>
      </c>
    </row>
    <row r="1700" spans="1:27">
      <c r="B1700" s="13">
        <v>3</v>
      </c>
      <c r="C1700" s="14" t="s">
        <v>20</v>
      </c>
      <c r="D1700" s="15" t="e" cm="1">
        <f t="array" ref="D1700">_xlfn.SINGLE(IF(A1706=A1707,_xll.ciqfunctions.udf.CIQ(A1698,"IQ_TOTAL_REV",IQ_FY-8)/I1700, _xll.ciqfunctions.udf.CIQ(A1698, "IQ_TOTAL_REV",IQ_FY-7)/I1700))</f>
        <v>#DIV/0!</v>
      </c>
      <c r="E1700" s="16" t="e">
        <f t="shared" si="455"/>
        <v>#DIV/0!</v>
      </c>
      <c r="F1700" s="15">
        <f>IF(A1706=A1707,_xll.ciqfunctions.udf.CIQ(A1698,"IQ_DILUT_EPS_EXCL",IQ_FY-8), _xll.ciqfunctions.udf.CIQ(A1698, "IQ_DILUT_EPS_EXCL",IQ_FY-7))</f>
        <v>0</v>
      </c>
      <c r="G1700" s="15">
        <f>IF(A1706=A1707,_xll.ciqfunctions.udf.CIQ(A1698,"IQ_EBITDA_MARGIN",IQ_FY-8), _xll.ciqfunctions.udf.CIQ(A1698, "IQ_EBITDA_MARGIN",IQ_FY-7))</f>
        <v>0</v>
      </c>
      <c r="H1700" s="15" t="e">
        <f>IF(A1706=A1707,_xll.ciqfunctions.udf.CIQ(A1698,"IQ_TOTAL_DIV_PAID_CF",IQ_FY-8)/-I1700, _xll.ciqfunctions.udf.CIQ(A1698, "IQ_TOTAL_DIV_PAID_CF",IQ_FY-7)/-I1700)</f>
        <v>#DIV/0!</v>
      </c>
      <c r="I1700" s="17">
        <f>IF(A1706=A1707,_xll.ciqfunctions.udf.CIQ(A1698,"IQ_TOTAL_OUTSTANDING_FILING_DATE",IQ_FY-8), _xll.ciqfunctions.udf.CIQ(A1698, "IQ_TOTAL_OUTSTANDING_FILING_DATE",IQ_FY-7))</f>
        <v>0</v>
      </c>
      <c r="J1700" s="17">
        <f>IF(A1706=A1707,_xll.ciqfunctions.udf.CIQ(A1698,"IQ_CASH_OPER",IQ_FY-8), _xll.ciqfunctions.udf.CIQ(A1698, "IQ_CASH_OPER",IQ_FY-7))</f>
        <v>0</v>
      </c>
      <c r="K1700" s="17">
        <f>IF(A1706=A1707,_xll.ciqfunctions.udf.CIQ(A1698,"IQ_CAPEX",IQ_FY-8), _xll.ciqfunctions.udf.CIQ(A1698, "IQ_CAPEX",IQ_FY-7))</f>
        <v>0</v>
      </c>
      <c r="L1700" s="15" t="e">
        <f t="shared" si="452"/>
        <v>#DIV/0!</v>
      </c>
      <c r="M1700" s="17">
        <f>IF(A1706=A1707,_xll.ciqfunctions.udf.CIQ(A1698,"IQ_TOTAL_DEBT_ISSUED",IQ_FY-8), _xll.ciqfunctions.udf.CIQ(A1698, "IQ_TOTAL_DEBT_ISSUED",IQ_FY-7))</f>
        <v>0</v>
      </c>
      <c r="N1700" s="17">
        <f>IF(A1706=A1707,_xll.ciqfunctions.udf.CIQ(A1698,"IQ_TOTAL_DEBT_REPAID",IQ_FY-8), _xll.ciqfunctions.udf.CIQ(A1698, "IQ_TOTAL_DEBT_REPAID",IQ_FY-7))</f>
        <v>0</v>
      </c>
      <c r="O1700" s="15" t="e">
        <f t="shared" si="453"/>
        <v>#DIV/0!</v>
      </c>
      <c r="P1700" s="15" t="e">
        <f t="shared" si="454"/>
        <v>#DIV/0!</v>
      </c>
      <c r="Q1700" s="25" t="s">
        <v>21</v>
      </c>
      <c r="R1700" s="38" t="s">
        <v>49</v>
      </c>
      <c r="S1700" s="2">
        <f>(R1697*I1708)/1000</f>
        <v>6.8750664360000009</v>
      </c>
      <c r="U1700" s="25" t="s">
        <v>59</v>
      </c>
      <c r="V1700" s="38" t="s">
        <v>49</v>
      </c>
      <c r="W1700" s="2">
        <f>(V1697*I1708)/1000</f>
        <v>6.8750664360000009</v>
      </c>
      <c r="Y1700" s="25" t="s">
        <v>46</v>
      </c>
      <c r="Z1700" s="38" t="s">
        <v>49</v>
      </c>
      <c r="AA1700" s="2">
        <f>(Z1697*I1708)/1000</f>
        <v>6.8750664360000009</v>
      </c>
    </row>
    <row r="1701" spans="1:27">
      <c r="A1701" s="18"/>
      <c r="B1701" s="13">
        <v>4</v>
      </c>
      <c r="C1701" s="14" t="s">
        <v>22</v>
      </c>
      <c r="D1701" s="15" t="e" cm="1">
        <f t="array" ref="D1701">_xlfn.SINGLE(IF(A1706=A1707,_xll.ciqfunctions.udf.CIQ(A1698,"IQ_TOTAL_REV",IQ_FY-7)/I1701, _xll.ciqfunctions.udf.CIQ(A1698, "IQ_TOTAL_REV",IQ_FY-6)/I1701))</f>
        <v>#DIV/0!</v>
      </c>
      <c r="E1701" s="16" t="e">
        <f t="shared" si="455"/>
        <v>#DIV/0!</v>
      </c>
      <c r="F1701" s="15">
        <f>IF(A1706=A1707,_xll.ciqfunctions.udf.CIQ(A1698,"IQ_DILUT_EPS_EXCL",IQ_FY-7), _xll.ciqfunctions.udf.CIQ(A1698, "IQ_DILUT_EPS_EXCL",IQ_FY-6))</f>
        <v>0</v>
      </c>
      <c r="G1701" s="15">
        <f>IF(A1706=A1707,_xll.ciqfunctions.udf.CIQ(A1698,"IQ_EBITDA_MARGIN",IQ_FY-7), _xll.ciqfunctions.udf.CIQ(A1698, "IQ_EBITDA_MARGIN",IQ_FY-6))</f>
        <v>0</v>
      </c>
      <c r="H1701" s="15" t="e">
        <f>IF(A1706=A1707,_xll.ciqfunctions.udf.CIQ(A1698,"IQ_TOTAL_DIV_PAID_CF",IQ_FY-7)/-I1701, _xll.ciqfunctions.udf.CIQ(A1698, "IQ_TOTAL_DIV_PAID_CF",IQ_FY-6)/-I1701)</f>
        <v>#DIV/0!</v>
      </c>
      <c r="I1701" s="17">
        <f>IF(A1706=A1707,_xll.ciqfunctions.udf.CIQ(A1698,"IQ_TOTAL_OUTSTANDING_FILING_DATE",IQ_FY-7), _xll.ciqfunctions.udf.CIQ(A1698, "IQ_TOTAL_OUTSTANDING_FILING_DATE",IQ_FY-6))</f>
        <v>0</v>
      </c>
      <c r="J1701" s="17">
        <f>IF(A1706=A1707,_xll.ciqfunctions.udf.CIQ(A1698,"IQ_CASH_OPER",IQ_FY-7), _xll.ciqfunctions.udf.CIQ(A1698, "IQ_CASH_OPER",IQ_FY-6))</f>
        <v>0</v>
      </c>
      <c r="K1701" s="17">
        <f>IF(A1706=A1707,_xll.ciqfunctions.udf.CIQ(A1698,"IQ_CAPEX",IQ_FY-7), _xll.ciqfunctions.udf.CIQ(A1698, "IQ_CAPEX",IQ_FY-6))</f>
        <v>0</v>
      </c>
      <c r="L1701" s="15" t="e">
        <f t="shared" si="452"/>
        <v>#DIV/0!</v>
      </c>
      <c r="M1701" s="17">
        <f>IF(A1706=A1707,_xll.ciqfunctions.udf.CIQ(A1698,"IQ_TOTAL_DEBT_ISSUED",IQ_FY-7), _xll.ciqfunctions.udf.CIQ(A1698, "IQ_TOTAL_DEBT_ISSUED",IQ_FY-6))</f>
        <v>0</v>
      </c>
      <c r="N1701" s="17">
        <f>IF(A1706=A1707,_xll.ciqfunctions.udf.CIQ(A1698,"IQ_TOTAL_DEBT_REPAID",IQ_FY-7), _xll.ciqfunctions.udf.CIQ(A1698, "IQ_TOTAL_DEBT_REPAID",IQ_FY-6))</f>
        <v>0</v>
      </c>
      <c r="O1701" s="15" t="e">
        <f t="shared" si="453"/>
        <v>#DIV/0!</v>
      </c>
      <c r="P1701" s="15" t="e">
        <f t="shared" si="454"/>
        <v>#DIV/0!</v>
      </c>
      <c r="Q1701" s="25" t="s">
        <v>23</v>
      </c>
      <c r="R1701" s="38" t="s">
        <v>24</v>
      </c>
      <c r="S1701" s="1" t="e">
        <f>R1697/(AVERAGE(H1703:H1708)*(1+H1709)/(0.5-H1709))</f>
        <v>#DIV/0!</v>
      </c>
      <c r="U1701" s="25" t="s">
        <v>40</v>
      </c>
      <c r="V1701" s="38" t="s">
        <v>24</v>
      </c>
      <c r="W1701" s="1" t="e">
        <f>V1697/(AVERAGE(H1703:H1708)*(1+H1709)/(0.5-H1709))</f>
        <v>#DIV/0!</v>
      </c>
      <c r="Y1701" s="25" t="s">
        <v>47</v>
      </c>
      <c r="Z1701" s="38" t="s">
        <v>24</v>
      </c>
      <c r="AA1701" s="1" t="e">
        <f>Z1697/(AVERAGE(H1703:H1708)*(1+H1709)/(0.5-H1709))</f>
        <v>#DIV/0!</v>
      </c>
    </row>
    <row r="1702" spans="1:27">
      <c r="B1702" s="13">
        <v>5</v>
      </c>
      <c r="C1702" s="14" t="s">
        <v>25</v>
      </c>
      <c r="D1702" s="15" cm="1">
        <f t="array" ref="D1702">_xlfn.SINGLE(IF(A1706=A1707,_xll.ciqfunctions.udf.CIQ(A1698,"IQ_TOTAL_REV",IQ_FY-6)/I1702, _xll.ciqfunctions.udf.CIQ(A1698, "IQ_TOTAL_REV",IQ_FY-5)/I1702))</f>
        <v>8.8311776718856354</v>
      </c>
      <c r="E1702" s="16" t="e">
        <f t="shared" si="455"/>
        <v>#DIV/0!</v>
      </c>
      <c r="F1702" s="15">
        <f>IF(A1706=A1707,_xll.ciqfunctions.udf.CIQ(A1698,"IQ_DILUT_EPS_EXCL",IQ_FY-6), _xll.ciqfunctions.udf.CIQ(A1698, "IQ_DILUT_EPS_EXCL",IQ_FY-5))</f>
        <v>-1.00559</v>
      </c>
      <c r="G1702" s="15">
        <f>IF(A1706=A1707,_xll.ciqfunctions.udf.CIQ(A1698,"IQ_EBITDA_MARGIN",IQ_FY-6), _xll.ciqfunctions.udf.CIQ(A1698, "IQ_EBITDA_MARGIN",IQ_FY-5))</f>
        <v>-8.4837000000000007</v>
      </c>
      <c r="H1702" s="15">
        <f>IF(A1706=A1707,_xll.ciqfunctions.udf.CIQ(A1698,"IQ_TOTAL_DIV_PAID_CF",IQ_FY-6)/-I1702, _xll.ciqfunctions.udf.CIQ(A1698, "IQ_TOTAL_DIV_PAID_CF",IQ_FY-5)/-I1702)</f>
        <v>0</v>
      </c>
      <c r="I1702" s="17">
        <f>IF(A1706=A1707,_xll.ciqfunctions.udf.CIQ(A1698,"IQ_TOTAL_OUTSTANDING_FILING_DATE",IQ_FY-6), _xll.ciqfunctions.udf.CIQ(A1698, "IQ_TOTAL_OUTSTANDING_FILING_DATE",IQ_FY-5))</f>
        <v>7.3449999999999998</v>
      </c>
      <c r="J1702" s="17">
        <f>IF(A1706=A1707,_xll.ciqfunctions.udf.CIQ(A1698,"IQ_CASH_OPER",IQ_FY-6), _xll.ciqfunctions.udf.CIQ(A1698, "IQ_CASH_OPER",IQ_FY-5))</f>
        <v>-8.3559999999999999</v>
      </c>
      <c r="K1702" s="17">
        <f>IF(A1706=A1707,_xll.ciqfunctions.udf.CIQ(A1698,"IQ_CAPEX",IQ_FY-6), _xll.ciqfunctions.udf.CIQ(A1698, "IQ_CAPEX",IQ_FY-5))</f>
        <v>-1.3129999999999999</v>
      </c>
      <c r="L1702" s="15">
        <f t="shared" si="452"/>
        <v>-1.3164057181756297</v>
      </c>
      <c r="M1702" s="17">
        <f>IF(A1706=A1707,_xll.ciqfunctions.udf.CIQ(A1698,"IQ_TOTAL_DEBT_ISSUED",IQ_FY-6), _xll.ciqfunctions.udf.CIQ(A1698, "IQ_TOTAL_DEBT_ISSUED",IQ_FY-5))</f>
        <v>9.5</v>
      </c>
      <c r="N1702" s="17">
        <f>IF(A1706=A1707,_xll.ciqfunctions.udf.CIQ(A1698,"IQ_TOTAL_DEBT_REPAID",IQ_FY-6), _xll.ciqfunctions.udf.CIQ(A1698, "IQ_TOTAL_DEBT_REPAID",IQ_FY-5))</f>
        <v>-3.387</v>
      </c>
      <c r="O1702" s="15">
        <f t="shared" si="453"/>
        <v>0.83226684819605168</v>
      </c>
      <c r="P1702" s="15">
        <f t="shared" si="454"/>
        <v>-0.484138869979578</v>
      </c>
      <c r="Q1702" s="18"/>
      <c r="R1702" s="38" t="s">
        <v>50</v>
      </c>
      <c r="S1702" s="3">
        <f>I1709</f>
        <v>0.67266662434691482</v>
      </c>
      <c r="U1702" s="18"/>
      <c r="V1702" s="38" t="s">
        <v>50</v>
      </c>
      <c r="W1702" s="3">
        <f>I1709</f>
        <v>0.67266662434691482</v>
      </c>
      <c r="Y1702" s="18"/>
      <c r="Z1702" s="38" t="s">
        <v>50</v>
      </c>
      <c r="AA1702" s="3">
        <f>I1709</f>
        <v>0.67266662434691482</v>
      </c>
    </row>
    <row r="1703" spans="1:27">
      <c r="B1703" s="13">
        <v>6</v>
      </c>
      <c r="C1703" s="14" t="s">
        <v>26</v>
      </c>
      <c r="D1703" s="15" cm="1">
        <f t="array" ref="D1703">_xlfn.SINGLE(IF(A1706=A1707,_xll.ciqfunctions.udf.CIQ(A1698,"IQ_TOTAL_REV",IQ_FY-5)/I1703, _xll.ciqfunctions.udf.CIQ(A1698, "IQ_TOTAL_REV",IQ_FY-4)/I1703))</f>
        <v>13.288894339854052</v>
      </c>
      <c r="E1703" s="16">
        <f t="shared" si="455"/>
        <v>0.50477035267444725</v>
      </c>
      <c r="F1703" s="15">
        <f>IF(A1706=A1707,_xll.ciqfunctions.udf.CIQ(A1698,"IQ_DILUT_EPS_EXCL",IQ_FY-5), _xll.ciqfunctions.udf.CIQ(A1698, "IQ_DILUT_EPS_EXCL",IQ_FY-4))</f>
        <v>-0.93805000000000005</v>
      </c>
      <c r="G1703" s="15">
        <f>IF(A1706=A1707,_xll.ciqfunctions.udf.CIQ(A1698,"IQ_EBITDA_MARGIN",IQ_FY-5), _xll.ciqfunctions.udf.CIQ(A1698, "IQ_EBITDA_MARGIN",IQ_FY-4))</f>
        <v>-6.1364999999999998</v>
      </c>
      <c r="H1703" s="15">
        <f>IF(A1706=A1707,_xll.ciqfunctions.udf.CIQ(A1698,"IQ_TOTAL_DIV_PAID_CF",IQ_FY-5)/-I1703, _xll.ciqfunctions.udf.CIQ(A1698, "IQ_TOTAL_DIV_PAID_CF",IQ_FY-4)/-I1703)</f>
        <v>0</v>
      </c>
      <c r="I1703" s="17">
        <f>IF(A1706=A1707,_xll.ciqfunctions.udf.CIQ(A1698,"IQ_TOTAL_OUTSTANDING_FILING_DATE",IQ_FY-5), _xll.ciqfunctions.udf.CIQ(A1698, "IQ_TOTAL_OUTSTANDING_FILING_DATE",IQ_FY-4))</f>
        <v>8.1534999999999993</v>
      </c>
      <c r="J1703" s="17">
        <f>IF(A1706=A1707,_xll.ciqfunctions.udf.CIQ(A1698,"IQ_CASH_OPER",IQ_FY-5), _xll.ciqfunctions.udf.CIQ(A1698, "IQ_CASH_OPER",IQ_FY-4))</f>
        <v>-3.9489999999999998</v>
      </c>
      <c r="K1703" s="17">
        <f>IF(A1706=A1707,_xll.ciqfunctions.udf.CIQ(A1698,"IQ_CAPEX",IQ_FY-5), _xll.ciqfunctions.udf.CIQ(A1698, "IQ_CAPEX",IQ_FY-4))</f>
        <v>-2.7429999999999999</v>
      </c>
      <c r="L1703" s="15">
        <f t="shared" si="452"/>
        <v>-0.82075182436990257</v>
      </c>
      <c r="M1703" s="17">
        <f>IF(A1706=A1707,_xll.ciqfunctions.udf.CIQ(A1698,"IQ_TOTAL_DEBT_ISSUED",IQ_FY-5), _xll.ciqfunctions.udf.CIQ(A1698, "IQ_TOTAL_DEBT_ISSUED",IQ_FY-4))</f>
        <v>0</v>
      </c>
      <c r="N1703" s="17">
        <f>IF(A1706=A1707,_xll.ciqfunctions.udf.CIQ(A1698,"IQ_TOTAL_DEBT_REPAID",IQ_FY-5), _xll.ciqfunctions.udf.CIQ(A1698, "IQ_TOTAL_DEBT_REPAID",IQ_FY-4))</f>
        <v>-9.5</v>
      </c>
      <c r="O1703" s="15">
        <f t="shared" si="453"/>
        <v>-1.1651438032746675</v>
      </c>
      <c r="P1703" s="15">
        <f t="shared" si="454"/>
        <v>-1.9858956276445701</v>
      </c>
      <c r="Q1703" s="25" t="s">
        <v>27</v>
      </c>
      <c r="R1703" s="38" t="s">
        <v>51</v>
      </c>
      <c r="S1703" s="4">
        <f>AVERAGE(F1703:F1708)/AVERAGE(D1703:D1708)</f>
        <v>-0.21941973545083784</v>
      </c>
      <c r="U1703" s="25" t="s">
        <v>58</v>
      </c>
      <c r="V1703" s="38" t="s">
        <v>51</v>
      </c>
      <c r="W1703" s="4">
        <f>AVERAGE(F1703:F1708)/AVERAGE(D1703:D1708)</f>
        <v>-0.21941973545083784</v>
      </c>
      <c r="Y1703" s="25" t="s">
        <v>56</v>
      </c>
      <c r="Z1703" s="38" t="s">
        <v>51</v>
      </c>
      <c r="AA1703" s="4">
        <f>AVERAGE(F1703:F1708)/AVERAGE(D1703:D1708)</f>
        <v>-0.21941973545083784</v>
      </c>
    </row>
    <row r="1704" spans="1:27">
      <c r="A1704" s="18"/>
      <c r="B1704" s="13">
        <v>7</v>
      </c>
      <c r="C1704" s="14" t="s">
        <v>28</v>
      </c>
      <c r="D1704" s="15" cm="1">
        <f t="array" ref="D1704">_xlfn.SINGLE(IF(A1706=A1707,_xll.ciqfunctions.udf.CIQ(A1698,"IQ_TOTAL_REV",IQ_FY-4)/I1704, _xll.ciqfunctions.udf.CIQ(A1698, "IQ_TOTAL_REV",IQ_FY-3)/I1704))</f>
        <v>1.965563967820126</v>
      </c>
      <c r="E1704" s="16">
        <f t="shared" si="455"/>
        <v>-0.8520897286446697</v>
      </c>
      <c r="F1704" s="15">
        <f>IF(A1706=A1707,_xll.ciqfunctions.udf.CIQ(A1698,"IQ_DILUT_EPS_EXCL",IQ_FY-4), _xll.ciqfunctions.udf.CIQ(A1698, "IQ_DILUT_EPS_EXCL",IQ_FY-3))</f>
        <v>-0.70491999999999999</v>
      </c>
      <c r="G1704" s="15">
        <f>IF(A1706=A1707,_xll.ciqfunctions.udf.CIQ(A1698,"IQ_EBITDA_MARGIN",IQ_FY-4), _xll.ciqfunctions.udf.CIQ(A1698, "IQ_EBITDA_MARGIN",IQ_FY-3))</f>
        <v>-19.6478</v>
      </c>
      <c r="H1704" s="15">
        <f>IF(A1706=A1707,_xll.ciqfunctions.udf.CIQ(A1698,"IQ_TOTAL_DIV_PAID_CF",IQ_FY-4)/-I1704, _xll.ciqfunctions.udf.CIQ(A1698, "IQ_TOTAL_DIV_PAID_CF",IQ_FY-3)/-I1704)</f>
        <v>0</v>
      </c>
      <c r="I1704" s="17">
        <f>IF(A1706=A1707,_xll.ciqfunctions.udf.CIQ(A1698,"IQ_TOTAL_OUTSTANDING_FILING_DATE",IQ_FY-4), _xll.ciqfunctions.udf.CIQ(A1698, "IQ_TOTAL_OUTSTANDING_FILING_DATE",IQ_FY-3))</f>
        <v>80.180549999999997</v>
      </c>
      <c r="J1704" s="17">
        <f>IF(A1706=A1707,_xll.ciqfunctions.udf.CIQ(A1698,"IQ_CASH_OPER",IQ_FY-4), _xll.ciqfunctions.udf.CIQ(A1698, "IQ_CASH_OPER",IQ_FY-3))</f>
        <v>-4.43</v>
      </c>
      <c r="K1704" s="17">
        <f>IF(A1706=A1707,_xll.ciqfunctions.udf.CIQ(A1698,"IQ_CAPEX",IQ_FY-4), _xll.ciqfunctions.udf.CIQ(A1698, "IQ_CAPEX",IQ_FY-3))</f>
        <v>-11.436999999999999</v>
      </c>
      <c r="L1704" s="15">
        <f t="shared" si="452"/>
        <v>-0.19789088500889554</v>
      </c>
      <c r="M1704" s="17">
        <f>IF(A1706=A1707,_xll.ciqfunctions.udf.CIQ(A1698,"IQ_TOTAL_DEBT_ISSUED",IQ_FY-4), _xll.ciqfunctions.udf.CIQ(A1698, "IQ_TOTAL_DEBT_ISSUED",IQ_FY-3))</f>
        <v>2.2999999999999998</v>
      </c>
      <c r="N1704" s="17">
        <f>IF(A1706=A1707,_xll.ciqfunctions.udf.CIQ(A1698,"IQ_TOTAL_DEBT_REPAID",IQ_FY-4), _xll.ciqfunctions.udf.CIQ(A1698, "IQ_TOTAL_DEBT_REPAID",IQ_FY-3))</f>
        <v>0</v>
      </c>
      <c r="O1704" s="15">
        <f t="shared" si="453"/>
        <v>2.8685260951689655E-2</v>
      </c>
      <c r="P1704" s="15">
        <f t="shared" si="454"/>
        <v>-0.16920562405720588</v>
      </c>
      <c r="Q1704" s="18"/>
      <c r="R1704" s="38" t="s">
        <v>29</v>
      </c>
      <c r="S1704" s="4">
        <f>(AVERAGE(P1703:P1708)/_xlfn.STDEV.P(P1703:P1708))/(IF(A1706=A1707,(_xlfn.SINGLE(_xll.ciqfunctions.udf.CIQ(A1698,"IQ_total_assets",IQ_FY)) - _xlfn.SINGLE(_xll.ciqfunctions.udf.CIQ(A1698,"iq_gw_intan", IQ_FY)))/I1708, (_xlfn.SINGLE(_xll.ciqfunctions.udf.CIQ(A1698, "IQ_total_assets",IQ_LTM))-_xlfn.SINGLE(_xll.ciqfunctions.udf.CIQ(A1698,"iq_gw_intan",IQ_LTM)))/I1708))</f>
        <v>1.1477884309750778E-2</v>
      </c>
      <c r="U1704" s="18"/>
      <c r="V1704" s="38" t="s">
        <v>29</v>
      </c>
      <c r="W1704" s="4">
        <f>(AVERAGE(P1703:P1708)/_xlfn.STDEV.P(P1703:P1708))/(IF(A1706=A1707,(_xlfn.SINGLE(_xll.ciqfunctions.udf.CIQ(A1698,"IQ_total_assets",IQ_FY)) - _xlfn.SINGLE(_xll.ciqfunctions.udf.CIQ(A1698,"iq_gw_intan", IQ_FY)))/I1708, (_xlfn.SINGLE(_xll.ciqfunctions.udf.CIQ(A1698, "IQ_total_assets",IQ_LTM))-_xlfn.SINGLE(_xll.ciqfunctions.udf.CIQ(A1698,"iq_gw_intan",IQ_LTM)))/I1708))</f>
        <v>1.1477884309750778E-2</v>
      </c>
      <c r="Y1704" s="18"/>
      <c r="Z1704" s="38" t="s">
        <v>29</v>
      </c>
      <c r="AA1704" s="4">
        <f>(AVERAGE(P1703:P1708)/_xlfn.STDEV.P(P1703:P1708))/(IF(A1706=A1707,(_xlfn.SINGLE(_xll.ciqfunctions.udf.CIQ(A1698,"IQ_total_assets",IQ_FY)) - _xlfn.SINGLE(_xll.ciqfunctions.udf.CIQ(A1698,"iq_gw_intan", IQ_FY)))/I1708, (_xlfn.SINGLE(_xll.ciqfunctions.udf.CIQ(A1698, "IQ_total_assets",IQ_LTM))-_xlfn.SINGLE(_xll.ciqfunctions.udf.CIQ(A1698,"iq_gw_intan",IQ_LTM)))/I1708))</f>
        <v>1.1477884309750778E-2</v>
      </c>
    </row>
    <row r="1705" spans="1:27">
      <c r="A1705" s="18"/>
      <c r="B1705" s="13">
        <v>8</v>
      </c>
      <c r="C1705" s="14" t="s">
        <v>30</v>
      </c>
      <c r="D1705" s="15" cm="1">
        <f t="array" ref="D1705">_xlfn.SINGLE(IF(A1706=A1707,_xll.ciqfunctions.udf.CIQ(A1698,"IQ_TOTAL_REV",IQ_FY-3)/I1705, _xll.ciqfunctions.udf.CIQ(A1698, "IQ_TOTAL_REV",IQ_FY-2)/I1705))</f>
        <v>2.5137970547644084</v>
      </c>
      <c r="E1705" s="16">
        <f t="shared" si="455"/>
        <v>0.27891897486922829</v>
      </c>
      <c r="F1705" s="15">
        <f>IF(A1706=A1707,_xll.ciqfunctions.udf.CIQ(A1698,"IQ_DILUT_EPS_EXCL",IQ_FY-3), _xll.ciqfunctions.udf.CIQ(A1698, "IQ_DILUT_EPS_EXCL",IQ_FY-2))</f>
        <v>-1.19208</v>
      </c>
      <c r="G1705" s="15">
        <f>IF(A1706=A1707,_xll.ciqfunctions.udf.CIQ(A1698,"IQ_EBITDA_MARGIN",IQ_FY-3), _xll.ciqfunctions.udf.CIQ(A1698, "IQ_EBITDA_MARGIN",IQ_FY-2))</f>
        <v>-37.086799999999997</v>
      </c>
      <c r="H1705" s="15">
        <f>IF(A1706=A1707,_xll.ciqfunctions.udf.CIQ(A1698,"IQ_TOTAL_DIV_PAID_CF",IQ_FY-3)/-I1705, _xll.ciqfunctions.udf.CIQ(A1698, "IQ_TOTAL_DIV_PAID_CF",IQ_FY-2)/-I1705)</f>
        <v>0</v>
      </c>
      <c r="I1705" s="17">
        <f>IF(A1706=A1707,_xll.ciqfunctions.udf.CIQ(A1698,"IQ_TOTAL_OUTSTANDING_FILING_DATE",IQ_FY-3), _xll.ciqfunctions.udf.CIQ(A1698, "IQ_TOTAL_OUTSTANDING_FILING_DATE",IQ_FY-2))</f>
        <v>94.782910000000001</v>
      </c>
      <c r="J1705" s="17">
        <f>IF(A1706=A1707,_xll.ciqfunctions.udf.CIQ(A1698,"IQ_CASH_OPER",IQ_FY-3), _xll.ciqfunctions.udf.CIQ(A1698, "IQ_CASH_OPER",IQ_FY-2))</f>
        <v>4.6230000000000002</v>
      </c>
      <c r="K1705" s="17">
        <f>IF(A1706=A1707,_xll.ciqfunctions.udf.CIQ(A1698,"IQ_CAPEX",IQ_FY-3), _xll.ciqfunctions.udf.CIQ(A1698, "IQ_CAPEX",IQ_FY-2))</f>
        <v>-18.902000000000001</v>
      </c>
      <c r="L1705" s="15">
        <f t="shared" si="452"/>
        <v>-0.15064952110037558</v>
      </c>
      <c r="M1705" s="17">
        <f>IF(A1706=A1707,_xll.ciqfunctions.udf.CIQ(A1698,"IQ_TOTAL_DEBT_ISSUED",IQ_FY-3), _xll.ciqfunctions.udf.CIQ(A1698, "IQ_TOTAL_DEBT_ISSUED",IQ_FY-2))</f>
        <v>1129.3789999999999</v>
      </c>
      <c r="N1705" s="17">
        <f>IF(A1706=A1707,_xll.ciqfunctions.udf.CIQ(A1698,"IQ_TOTAL_DEBT_REPAID",IQ_FY-3), _xll.ciqfunctions.udf.CIQ(A1698, "IQ_TOTAL_DEBT_REPAID",IQ_FY-2))</f>
        <v>-2.2999999999999998</v>
      </c>
      <c r="O1705" s="15">
        <f t="shared" si="453"/>
        <v>11.891162657909533</v>
      </c>
      <c r="P1705" s="15">
        <f t="shared" si="454"/>
        <v>11.740513136809158</v>
      </c>
      <c r="Q1705" s="18"/>
      <c r="R1705" s="39" t="s">
        <v>31</v>
      </c>
      <c r="S1705" s="5" t="e">
        <f>IF(NOT(D1698&gt;0),FALSE,SLOPE(G1698:G1708,B1698:B1708))</f>
        <v>#DIV/0!</v>
      </c>
      <c r="U1705" s="18"/>
      <c r="V1705" s="39" t="s">
        <v>31</v>
      </c>
      <c r="W1705" s="5" t="e">
        <f>IF(NOT(D1698&gt;0),FALSE,SLOPE(G1698:G1708,B1698:B1708))</f>
        <v>#DIV/0!</v>
      </c>
      <c r="Y1705" s="18"/>
      <c r="Z1705" s="39" t="s">
        <v>31</v>
      </c>
      <c r="AA1705" s="5" t="e">
        <f>IF(NOT(L1698&gt;0),FALSE,SLOPE(O1698:O1708,J1698:J1708))</f>
        <v>#DIV/0!</v>
      </c>
    </row>
    <row r="1706" spans="1:27">
      <c r="A1706" s="19">
        <f>_xll.ciqfunctions.udf.CIQ(A1698,"IQ_TOTAL_REV",IQ_FY)</f>
        <v>1058.4680000000001</v>
      </c>
      <c r="B1706" s="13">
        <v>9</v>
      </c>
      <c r="C1706" s="14" t="s">
        <v>32</v>
      </c>
      <c r="D1706" s="15" cm="1">
        <f t="array" ref="D1706">_xlfn.SINGLE(IF(A1706=A1707,_xll.ciqfunctions.udf.CIQ(A1698,"IQ_TOTAL_REV",IQ_FY-2)/I1706, _xll.ciqfunctions.udf.CIQ(A1698, "IQ_TOTAL_REV",IQ_FY-1)/I1706))</f>
        <v>6.123205426155101</v>
      </c>
      <c r="E1706" s="16">
        <f t="shared" si="455"/>
        <v>1.4358392076837581</v>
      </c>
      <c r="F1706" s="15">
        <f>IF(A1706=A1707,_xll.ciqfunctions.udf.CIQ(A1698,"IQ_DILUT_EPS_EXCL",IQ_FY-2), _xll.ciqfunctions.udf.CIQ(A1698, "IQ_DILUT_EPS_EXCL",IQ_FY-1))</f>
        <v>-3.2073800000000001</v>
      </c>
      <c r="G1706" s="15">
        <f>IF(A1706=A1707,_xll.ciqfunctions.udf.CIQ(A1698,"IQ_EBITDA_MARGIN",IQ_FY-2), _xll.ciqfunctions.udf.CIQ(A1698, "IQ_EBITDA_MARGIN",IQ_FY-1))</f>
        <v>-35.513100000000001</v>
      </c>
      <c r="H1706" s="15">
        <f>IF(A1706=A1707,_xll.ciqfunctions.udf.CIQ(A1698,"IQ_TOTAL_DIV_PAID_CF",IQ_FY-2)/-I1706, _xll.ciqfunctions.udf.CIQ(A1698, "IQ_TOTAL_DIV_PAID_CF",IQ_FY-1)/-I1706)</f>
        <v>0</v>
      </c>
      <c r="I1706" s="17">
        <f>IF(A1706=A1707,_xll.ciqfunctions.udf.CIQ(A1698,"IQ_TOTAL_OUTSTANDING_FILING_DATE",IQ_FY-2), _xll.ciqfunctions.udf.CIQ(A1698, "IQ_TOTAL_OUTSTANDING_FILING_DATE",IQ_FY-1))</f>
        <v>104.84035</v>
      </c>
      <c r="J1706" s="17">
        <f>IF(A1706=A1707,_xll.ciqfunctions.udf.CIQ(A1698,"IQ_CASH_OPER",IQ_FY-2), _xll.ciqfunctions.udf.CIQ(A1698, "IQ_CASH_OPER",IQ_FY-1))</f>
        <v>-18.093</v>
      </c>
      <c r="K1706" s="17">
        <f>IF(A1706=A1707,_xll.ciqfunctions.udf.CIQ(A1698,"IQ_CAPEX",IQ_FY-2), _xll.ciqfunctions.udf.CIQ(A1698, "IQ_CAPEX",IQ_FY-1))</f>
        <v>-5.3769999999999998</v>
      </c>
      <c r="L1706" s="15">
        <f t="shared" si="452"/>
        <v>-0.22386418969413971</v>
      </c>
      <c r="M1706" s="17">
        <f>IF(A1706=A1707,_xll.ciqfunctions.udf.CIQ(A1698,"IQ_TOTAL_DEBT_ISSUED",IQ_FY-2), _xll.ciqfunctions.udf.CIQ(A1698, "IQ_TOTAL_DEBT_ISSUED",IQ_FY-1))</f>
        <v>597.57500000000005</v>
      </c>
      <c r="N1706" s="17">
        <f>IF(A1706=A1707,_xll.ciqfunctions.udf.CIQ(A1698,"IQ_TOTAL_DEBT_REPAID",IQ_FY-2), _xll.ciqfunctions.udf.CIQ(A1698, "IQ_TOTAL_DEBT_REPAID",IQ_FY-1))</f>
        <v>-40</v>
      </c>
      <c r="O1706" s="15">
        <f t="shared" si="453"/>
        <v>5.3183244809846597</v>
      </c>
      <c r="P1706" s="15">
        <f t="shared" si="454"/>
        <v>5.0944602912905204</v>
      </c>
      <c r="Q1706" s="25" t="s">
        <v>33</v>
      </c>
      <c r="R1706" s="38" t="s">
        <v>52</v>
      </c>
      <c r="S1706" s="4">
        <f>(AVERAGE(O1703:O1708)/AVERAGE(P1703:P1708))</f>
        <v>0.88084164799685993</v>
      </c>
      <c r="U1706" s="25" t="s">
        <v>54</v>
      </c>
      <c r="V1706" s="38" t="s">
        <v>52</v>
      </c>
      <c r="W1706" s="4">
        <f>(AVERAGE(O1703:O1708)/AVERAGE(P1703:P1708))</f>
        <v>0.88084164799685993</v>
      </c>
      <c r="Y1706" s="25" t="s">
        <v>60</v>
      </c>
      <c r="Z1706" s="38" t="s">
        <v>52</v>
      </c>
      <c r="AA1706" s="4">
        <f>(AVERAGE(O1703:O1708)/AVERAGE(P1703:P1708))</f>
        <v>0.88084164799685993</v>
      </c>
    </row>
    <row r="1707" spans="1:27">
      <c r="A1707" s="19">
        <f>_xll.ciqfunctions.udf.CIQ(A1698,"IQ_TOTAL_REV",IQ_LTM)</f>
        <v>1133.529</v>
      </c>
      <c r="B1707" s="13">
        <v>10</v>
      </c>
      <c r="C1707" s="14" t="s">
        <v>34</v>
      </c>
      <c r="D1707" s="15" cm="1">
        <f t="array" ref="D1707">_xlfn.SINGLE(IF(A1706=A1707,_xll.ciqfunctions.udf.CIQ(A1698,"IQ_TOTAL_REV",IQ_FY-1)/I1707, _xll.ciqfunctions.udf.CIQ(A1698, "IQ_TOTAL_REV",IQ_FY)/I1707))</f>
        <v>9.92882081909198</v>
      </c>
      <c r="E1707" s="16">
        <f t="shared" si="455"/>
        <v>0.62150705848954524</v>
      </c>
      <c r="F1707" s="15">
        <f>IF(A1706=A1707,_xll.ciqfunctions.udf.CIQ(A1698,"IQ_DILUT_EPS_EXCL",IQ_FY-1), _xll.ciqfunctions.udf.CIQ(A1698, "IQ_DILUT_EPS_EXCL",IQ_FY))</f>
        <v>-2.1110899999999999</v>
      </c>
      <c r="G1707" s="15">
        <f>IF(A1706=A1707,_xll.ciqfunctions.udf.CIQ(A1698,"IQ_EBITDA_MARGIN",IQ_FY-1), _xll.ciqfunctions.udf.CIQ(A1698, "IQ_EBITDA_MARGIN",IQ_FY))</f>
        <v>-19.302399999999999</v>
      </c>
      <c r="H1707" s="15">
        <f>IF(A1706=A1707,_xll.ciqfunctions.udf.CIQ(A1698,"IQ_TOTAL_DIV_PAID_CF",IQ_FY-1)/-I1707, _xll.ciqfunctions.udf.CIQ(A1698, "IQ_TOTAL_DIV_PAID_CF",IQ_FY)/-I1707)</f>
        <v>0</v>
      </c>
      <c r="I1707" s="17">
        <f>IF(A1706=A1707,_xll.ciqfunctions.udf.CIQ(A1698,"IQ_TOTAL_OUTSTANDING_FILING_DATE",IQ_FY-1), _xll.ciqfunctions.udf.CIQ(A1698, "IQ_TOTAL_OUTSTANDING_FILING_DATE",IQ_FY))</f>
        <v>106.60561</v>
      </c>
      <c r="J1707" s="17">
        <f>IF(A1706=A1707,_xll.ciqfunctions.udf.CIQ(A1698,"IQ_CASH_OPER",IQ_FY-1), _xll.ciqfunctions.udf.CIQ(A1698, "IQ_CASH_OPER",IQ_FY))</f>
        <v>187.768</v>
      </c>
      <c r="K1707" s="17">
        <f>IF(A1706=A1707,_xll.ciqfunctions.udf.CIQ(A1698,"IQ_CAPEX",IQ_FY-1), _xll.ciqfunctions.udf.CIQ(A1698, "IQ_CAPEX",IQ_FY))</f>
        <v>-7.5890000000000004</v>
      </c>
      <c r="L1707" s="15">
        <f t="shared" si="452"/>
        <v>1.6901455748904772</v>
      </c>
      <c r="M1707" s="17">
        <f>IF(A1706=A1707,_xll.ciqfunctions.udf.CIQ(A1698,"IQ_TOTAL_DEBT_ISSUED",IQ_FY-1), _xll.ciqfunctions.udf.CIQ(A1698, "IQ_TOTAL_DEBT_ISSUED",IQ_FY))</f>
        <v>60</v>
      </c>
      <c r="N1707" s="17">
        <f>IF(A1706=A1707,_xll.ciqfunctions.udf.CIQ(A1698,"IQ_TOTAL_DEBT_REPAID",IQ_FY-1), _xll.ciqfunctions.udf.CIQ(A1698, "IQ_TOTAL_DEBT_REPAID",IQ_FY))</f>
        <v>0</v>
      </c>
      <c r="O1707" s="15">
        <f t="shared" si="453"/>
        <v>0.56282216292369602</v>
      </c>
      <c r="P1707" s="15">
        <f t="shared" si="454"/>
        <v>2.2529677378141733</v>
      </c>
      <c r="Q1707" s="25" t="s">
        <v>44</v>
      </c>
      <c r="R1707" s="38" t="s">
        <v>35</v>
      </c>
      <c r="S1707" s="1" t="str">
        <f>_xll.ciqfunctions.udf.CIQ(A1698,"IQ_TEV_EBITDA")</f>
        <v>NM</v>
      </c>
      <c r="U1707" s="25" t="s">
        <v>55</v>
      </c>
      <c r="V1707" s="38" t="s">
        <v>53</v>
      </c>
      <c r="W1707" s="1">
        <f>V1697/(AVERAGE(D1703:D1708)/_xlfn.STDEV.P(E1703:E1708))</f>
        <v>5.9455060329059242</v>
      </c>
      <c r="Y1707" s="25" t="s">
        <v>57</v>
      </c>
      <c r="Z1707" s="38" t="s">
        <v>53</v>
      </c>
      <c r="AA1707" s="1">
        <f>Z1697/(AVERAGE(D1703:D1708)/_xlfn.STDEV.P(E1703:E1708))</f>
        <v>5.9455060329059242</v>
      </c>
    </row>
    <row r="1708" spans="1:27">
      <c r="B1708" s="13">
        <v>11</v>
      </c>
      <c r="C1708" s="20" t="s">
        <v>36</v>
      </c>
      <c r="D1708" s="21" cm="1">
        <f t="array" ref="D1708">_xlfn.SINGLE(IF(A1706=A1707,_xll.ciqfunctions.udf.CIQ(A1698,"IQ_TOTAL_REV",IQ_FY)/I1708, _xll.ciqfunctions.udf.CIQ(A1698, "IQ_TOTAL_REV",IQ_LTM)/I1708))</f>
        <v>10.617972681362463</v>
      </c>
      <c r="E1708" s="22">
        <f t="shared" si="455"/>
        <v>6.9409235479939727E-2</v>
      </c>
      <c r="F1708" s="21">
        <f>IF(A1706=A1707,_xll.ciqfunctions.udf.CIQ(A1698,"IQ_DILUT_EPS_EXCL",IQ_FY), _xll.ciqfunctions.udf.CIQ(A1698, "IQ_DILUT_EPS_EXCL",IQ_LTM))</f>
        <v>-1.59711</v>
      </c>
      <c r="G1708" s="21">
        <f>IF(A1706=A1707,_xll.ciqfunctions.udf.CIQ(A1698,"IQ_EBITDA_MARGIN",IQ_FY), _xll.ciqfunctions.udf.CIQ(A1698, "IQ_EBITDA_MARGIN",IQ_LTM))</f>
        <v>-15.141999999999999</v>
      </c>
      <c r="H1708" s="21">
        <f>IF(A1706=A1707,_xll.ciqfunctions.udf.CIQ(A1698,"IQ_TOTAL_DIV_PAID_CF",IQ_FY)/-I1708, _xll.ciqfunctions.udf.CIQ(A1698, "IQ_TOTAL_DIV_PAID_CF",IQ_LTM)/-I1708)</f>
        <v>0</v>
      </c>
      <c r="I1708" s="23">
        <f>IF(A1706=A1707,_xll.ciqfunctions.udf.CIQ(A1698,"IQ_TOTAL_OUTSTANDING_FILING_DATE",IQ_FY),_xll.ciqfunctions.udf.CIQ(A1698,"IQ_sharesoutstanding"))</f>
        <v>106.75569</v>
      </c>
      <c r="J1708" s="23">
        <f>IF(A1706=A1707,_xll.ciqfunctions.udf.CIQ(A1698,"IQ_CASH_OPER",IQ_FY), _xll.ciqfunctions.udf.CIQ(A1698, "IQ_CASH_OPER",IQ_LTM))</f>
        <v>223.27699999999999</v>
      </c>
      <c r="K1708" s="23">
        <f>IF(A1706=A1707,_xll.ciqfunctions.udf.CIQ(A1698,"IQ_CAPEX",IQ_FY), _xll.ciqfunctions.udf.CIQ(A1698, "IQ_CAPEX",IQ_LTM))</f>
        <v>-6.6159999999999997</v>
      </c>
      <c r="L1708" s="21">
        <f t="shared" si="452"/>
        <v>2.0295030644268235</v>
      </c>
      <c r="M1708" s="23">
        <f>IF(A1706=A1707,_xll.ciqfunctions.udf.CIQ(A1698,"IQ_TOTAL_DEBT_ISSUED",IQ_FY), _xll.ciqfunctions.udf.CIQ(A1698, "IQ_TOTAL_DEBT_ISSUED",IQ_LTM))</f>
        <v>60</v>
      </c>
      <c r="N1708" s="23">
        <f>IF(A1706=A1707,_xll.ciqfunctions.udf.CIQ(A1698,"IQ_TOTAL_DEBT_REPAID",IQ_FY), _xll.ciqfunctions.udf.CIQ(A1698, "IQ_TOTAL_DEBT_REPAID",IQ_LTM))</f>
        <v>0</v>
      </c>
      <c r="O1708" s="21">
        <f t="shared" si="453"/>
        <v>0.56203093249643177</v>
      </c>
      <c r="P1708" s="21">
        <f t="shared" si="454"/>
        <v>2.5915339969232551</v>
      </c>
      <c r="Q1708" s="25" t="s">
        <v>45</v>
      </c>
      <c r="S1708" s="45"/>
      <c r="U1708" s="25"/>
      <c r="W1708" s="45"/>
      <c r="Y1708" s="25"/>
      <c r="AA1708" s="45"/>
    </row>
    <row r="1709" spans="1:27">
      <c r="B1709" s="24"/>
      <c r="C1709" s="25" t="s">
        <v>37</v>
      </c>
      <c r="E1709" s="26">
        <f>((D1708/D1703)^(1/5))-1</f>
        <v>-4.3884076713931686E-2</v>
      </c>
      <c r="F1709" s="27">
        <f>((F1708/F1703)^(1/5))-1</f>
        <v>0.11229956718691425</v>
      </c>
      <c r="G1709" s="28"/>
      <c r="H1709" s="27" t="e">
        <f>((H1708/H1703)^(1/5))-1</f>
        <v>#DIV/0!</v>
      </c>
      <c r="I1709" s="27">
        <f>((I1708/I1703)^(1/5))-1</f>
        <v>0.67266662434691482</v>
      </c>
      <c r="J1709" s="27"/>
      <c r="K1709" s="27"/>
      <c r="L1709" s="26">
        <f>((L1708/L1703)^(1/5))-1</f>
        <v>-2.198493190758505</v>
      </c>
      <c r="M1709" s="26"/>
      <c r="N1709" s="26"/>
      <c r="O1709" s="26"/>
      <c r="P1709" s="26">
        <f>((P1708/P1703)^(1/5))-1</f>
        <v>-2.0546785129214782</v>
      </c>
      <c r="Q1709" s="18"/>
      <c r="R1709" s="36"/>
      <c r="S1709" s="45"/>
      <c r="U1709" s="18"/>
      <c r="V1709" s="36"/>
      <c r="W1709" s="45"/>
      <c r="Y1709" s="18"/>
      <c r="Z1709" s="36"/>
      <c r="AA1709" s="45"/>
    </row>
    <row r="1710" spans="1:27">
      <c r="A1710" s="29"/>
      <c r="B1710" s="30"/>
      <c r="C1710" s="31" t="s">
        <v>38</v>
      </c>
      <c r="D1710" s="29"/>
      <c r="E1710" s="32" t="e">
        <f>((D1708/D1698)^(1/10))-1</f>
        <v>#DIV/0!</v>
      </c>
      <c r="F1710" s="33" t="e">
        <f>((F1708/F1698)^(1/10))-1</f>
        <v>#DIV/0!</v>
      </c>
      <c r="G1710" s="34"/>
      <c r="H1710" s="33" t="e">
        <f>((H1708/H1698)^(1/10))-1</f>
        <v>#DIV/0!</v>
      </c>
      <c r="I1710" s="33" t="e">
        <f>((I1708/I1698)^(1/10))-1</f>
        <v>#DIV/0!</v>
      </c>
      <c r="J1710" s="33"/>
      <c r="K1710" s="33"/>
      <c r="L1710" s="32" t="e">
        <f>((L1708/L1698)^(1/10))-1</f>
        <v>#DIV/0!</v>
      </c>
      <c r="M1710" s="32"/>
      <c r="N1710" s="32"/>
      <c r="O1710" s="32"/>
      <c r="P1710" s="32" t="e">
        <f>((P1708/P1698)^(1/10))-1</f>
        <v>#DIV/0!</v>
      </c>
      <c r="Q1710" s="40"/>
      <c r="R1710" s="41"/>
      <c r="S1710" s="46"/>
      <c r="U1710" s="40"/>
      <c r="V1710" s="41"/>
      <c r="W1710" s="46"/>
      <c r="Y1710" s="40"/>
      <c r="Z1710" s="41"/>
      <c r="AA1710" s="46"/>
    </row>
    <row r="1711" spans="1:27">
      <c r="B1711" s="24"/>
      <c r="C1711" s="25"/>
      <c r="E1711" s="26"/>
      <c r="F1711" s="27"/>
      <c r="G1711" s="28"/>
      <c r="H1711" s="27"/>
      <c r="I1711" s="27"/>
      <c r="J1711" s="27"/>
      <c r="K1711" s="27"/>
      <c r="L1711" s="26"/>
      <c r="M1711" s="17"/>
      <c r="N1711" s="17"/>
      <c r="O1711" s="17"/>
      <c r="P1711" s="35"/>
      <c r="Q1711" s="18"/>
      <c r="R1711" s="36"/>
    </row>
    <row r="1712" spans="1:27">
      <c r="A1712" s="9" t="s">
        <v>0</v>
      </c>
      <c r="B1712" s="10"/>
      <c r="C1712" s="9" t="s">
        <v>1</v>
      </c>
      <c r="D1712" s="9" t="s">
        <v>2</v>
      </c>
      <c r="E1712" s="9" t="s">
        <v>3</v>
      </c>
      <c r="F1712" s="11" t="s">
        <v>4</v>
      </c>
      <c r="G1712" s="11" t="s">
        <v>5</v>
      </c>
      <c r="H1712" s="9" t="s">
        <v>6</v>
      </c>
      <c r="I1712" s="11" t="s">
        <v>7</v>
      </c>
      <c r="J1712" s="11" t="s">
        <v>8</v>
      </c>
      <c r="K1712" s="11" t="s">
        <v>9</v>
      </c>
      <c r="L1712" s="11" t="s">
        <v>10</v>
      </c>
      <c r="M1712" s="11" t="s">
        <v>11</v>
      </c>
      <c r="N1712" s="11" t="s">
        <v>12</v>
      </c>
      <c r="O1712" s="11" t="s">
        <v>13</v>
      </c>
      <c r="P1712" s="11" t="s">
        <v>14</v>
      </c>
      <c r="Q1712" s="37" t="s">
        <v>15</v>
      </c>
      <c r="R1712" s="42">
        <f>_xll.ciqfunctions.udf.CIQ(A1713,("IQ_LASTSALEPRICE"))</f>
        <v>42.15</v>
      </c>
      <c r="S1712" s="44"/>
      <c r="U1712" s="37" t="s">
        <v>15</v>
      </c>
      <c r="V1712" s="42">
        <f>_xll.ciqfunctions.udf.CIQ(A1713,("IQ_LASTSALEPRICE"))</f>
        <v>42.15</v>
      </c>
      <c r="W1712" s="44"/>
      <c r="Y1712" s="37" t="s">
        <v>15</v>
      </c>
      <c r="Z1712" s="42">
        <f>_xll.ciqfunctions.udf.CIQ(A1713,("IQ_LASTSALEPRICE"))</f>
        <v>42.15</v>
      </c>
      <c r="AA1712" s="44"/>
    </row>
    <row r="1713" spans="1:27">
      <c r="A1713" s="12" t="str">
        <f>Analysis!B116</f>
        <v>NYSE:SMAR</v>
      </c>
      <c r="B1713" s="13">
        <v>1</v>
      </c>
      <c r="C1713" s="14" t="s">
        <v>16</v>
      </c>
      <c r="D1713" s="15" t="e">
        <f>IF(A1721=A1722,_xll.ciqfunctions.udf.CIQ(A1713,"IQ_TOTAL_REV",IQ_FY-10)/I1713,_xll.ciqfunctions.udf.CIQ(A1713, "IQ_TOTAL_REV",IQ_FY-9)/I1713)</f>
        <v>#DIV/0!</v>
      </c>
      <c r="E1713" s="16"/>
      <c r="F1713" s="15">
        <f>IF(A1721=A1722,_xll.ciqfunctions.udf.CIQ(A1713,"IQ_DILUT_EPS_EXCL",IQ_FY-10), _xll.ciqfunctions.udf.CIQ(A1713, "IQ_DILUT_EPS_EXCL",IQ_FY-9))</f>
        <v>0</v>
      </c>
      <c r="G1713" s="15">
        <f>IF(A1721=A1722,_xll.ciqfunctions.udf.CIQ(A1713,"IQ_EBITDA_MARGIN",IQ_FY-10), _xll.ciqfunctions.udf.CIQ(A1713, "IQ_EBITDA_MARGIN",IQ_FY-9))</f>
        <v>0</v>
      </c>
      <c r="H1713" s="15" t="e">
        <f>IF(A1721=A1722,_xll.ciqfunctions.udf.CIQ(A1713,"IQ_TOTAL_DIV_PAID_CF",IQ_FY-10)/-I1713, _xll.ciqfunctions.udf.CIQ(A1713, "IQ_TOTAL_DIV_PAID_CF",IQ_FY-9)/-I1713)</f>
        <v>#DIV/0!</v>
      </c>
      <c r="I1713" s="17">
        <f>IF(A1721=A1722,_xll.ciqfunctions.udf.CIQ(A1713,"IQ_TOTAL_OUTSTANDING_FILING_DATE",IQ_FY-10), _xll.ciqfunctions.udf.CIQ(A1713, "IQ_TOTAL_OUTSTANDING_FILING_DATE",IQ_FY-9))</f>
        <v>0</v>
      </c>
      <c r="J1713" s="17">
        <f>IF(A1721=A1722,_xll.ciqfunctions.udf.CIQ(A1713,"IQ_CASH_OPER",IQ_FY-10), _xll.ciqfunctions.udf.CIQ(A1713, "IQ_CASH_OPER",IQ_FY-9))</f>
        <v>0</v>
      </c>
      <c r="K1713" s="17">
        <f>IF(A1721=A1722,_xll.ciqfunctions.udf.CIQ(A1713,"IQ_CAPEX",IQ_FY-10), _xll.ciqfunctions.udf.CIQ(A1713, "IQ_CAPEX",IQ_FY-9))</f>
        <v>0</v>
      </c>
      <c r="L1713" s="15" t="e">
        <f t="shared" ref="L1713:L1723" si="456">(J1713+K1713)/I1713</f>
        <v>#DIV/0!</v>
      </c>
      <c r="M1713" s="17">
        <f>IF(A1721=A1722,_xll.ciqfunctions.udf.CIQ(A1713,"IQ_TOTAL_DEBT_ISSUED",IQ_FY-10), _xll.ciqfunctions.udf.CIQ(A1713, "IQ_TOTAL_DEBT_ISSUED",IQ_FY-9))</f>
        <v>0</v>
      </c>
      <c r="N1713" s="17">
        <f>IF(A1721=A1722,_xll.ciqfunctions.udf.CIQ(A1713,"IQ_TOTAL_DEBT_REPAID",IQ_FY-10), _xll.ciqfunctions.udf.CIQ(A1713, "IQ_TOTAL_DEBT_REPAID",IQ_FY-9))</f>
        <v>0</v>
      </c>
      <c r="O1713" s="15" t="e">
        <f t="shared" ref="O1713:O1723" si="457">(M1713+N1713)/I1713</f>
        <v>#DIV/0!</v>
      </c>
      <c r="P1713" s="15" t="e">
        <f t="shared" ref="P1713:P1723" si="458">L1713+O1713</f>
        <v>#DIV/0!</v>
      </c>
      <c r="W1713" s="43"/>
      <c r="AA1713" s="43"/>
    </row>
    <row r="1714" spans="1:27">
      <c r="A1714" s="18" t="str">
        <f>_xll.ciqfunctions.udf.CIQ(A1713,"IQ_COMPANY_NAME")</f>
        <v>Smartsheet Inc.</v>
      </c>
      <c r="B1714" s="13">
        <v>2</v>
      </c>
      <c r="C1714" s="14" t="s">
        <v>17</v>
      </c>
      <c r="D1714" s="15" t="e">
        <f>IF(A1721=A1722,_xll.ciqfunctions.udf.CIQ(A1713,"IQ_TOTAL_REV",IQ_FY-9)/I1714, _xll.ciqfunctions.udf.CIQ(A1713, "IQ_TOTAL_REV",IQ_FY-8)/I1714)</f>
        <v>#DIV/0!</v>
      </c>
      <c r="E1714" s="16" t="e">
        <f t="shared" ref="E1714:E1723" si="459">(D1714-D1713)/D1713</f>
        <v>#DIV/0!</v>
      </c>
      <c r="F1714" s="15">
        <f>IF(A1721=A1722,_xll.ciqfunctions.udf.CIQ(A1713,"IQ_DILUT_EPS_EXCL",IQ_FY-9), _xll.ciqfunctions.udf.CIQ(A1713, "IQ_DILUT_EPS_EXCL",IQ_FY-8))</f>
        <v>0</v>
      </c>
      <c r="G1714" s="15">
        <f>IF(A1721=A1722,_xll.ciqfunctions.udf.CIQ(A1713,"IQ_EBITDA_MARGIN",IQ_FY-9), _xll.ciqfunctions.udf.CIQ(A1713, "IQ_EBITDA_MARGIN",IQ_FY-8))</f>
        <v>0</v>
      </c>
      <c r="H1714" s="15" t="e">
        <f>IF(A1721=A1722,_xll.ciqfunctions.udf.CIQ(A1713,"IQ_TOTAL_DIV_PAID_CF",IQ_FY-9)/-I1714, _xll.ciqfunctions.udf.CIQ(A1713, "IQ_TOTAL_DIV_PAID_CF",IQ_FY-8)/-I1714)</f>
        <v>#DIV/0!</v>
      </c>
      <c r="I1714" s="17">
        <f>IF(A1721=A1722,_xll.ciqfunctions.udf.CIQ(A1713,"IQ_TOTAL_OUTSTANDING_FILING_DATE",IQ_FY-9), _xll.ciqfunctions.udf.CIQ(A1713, "IQ_TOTAL_OUTSTANDING_FILING_DATE",IQ_FY-8))</f>
        <v>0</v>
      </c>
      <c r="J1714" s="17">
        <f>IF(A1721=A1722,_xll.ciqfunctions.udf.CIQ(A1713,"IQ_CASH_OPER",IQ_FY-9), _xll.ciqfunctions.udf.CIQ(A1713, "IQ_CASH_OPER",IQ_FY-8))</f>
        <v>0</v>
      </c>
      <c r="K1714" s="17">
        <f>IF(A1721=A1722,_xll.ciqfunctions.udf.CIQ(A1713,"IQ_CAPEX",IQ_FY-9), _xll.ciqfunctions.udf.CIQ(A1713, "IQ_CAPEX",IQ_FY-8))</f>
        <v>0</v>
      </c>
      <c r="L1714" s="15" t="e">
        <f t="shared" si="456"/>
        <v>#DIV/0!</v>
      </c>
      <c r="M1714" s="17">
        <f>IF(A1721=A1722,_xll.ciqfunctions.udf.CIQ(A1713,"IQ_TOTAL_DEBT_ISSUED",IQ_FY-9), _xll.ciqfunctions.udf.CIQ(A1713, "IQ_TOTAL_DEBT_ISSUED",IQ_FY-8))</f>
        <v>0</v>
      </c>
      <c r="N1714" s="17">
        <f>IF(A1721=A1722,_xll.ciqfunctions.udf.CIQ(A1713,"IQ_TOTAL_DEBT_REPAID",IQ_FY-9), _xll.ciqfunctions.udf.CIQ(A1713, "IQ_TOTAL_DEBT_REPAID",IQ_FY-8))</f>
        <v>0</v>
      </c>
      <c r="O1714" s="15" t="e">
        <f t="shared" si="457"/>
        <v>#DIV/0!</v>
      </c>
      <c r="P1714" s="15" t="e">
        <f t="shared" si="458"/>
        <v>#DIV/0!</v>
      </c>
      <c r="Q1714" s="25" t="s">
        <v>18</v>
      </c>
      <c r="R1714" s="39" t="s">
        <v>19</v>
      </c>
      <c r="S1714" s="1">
        <f>R1712/((AVERAGE(P1718:P1723))*(1+E1724)^3)</f>
        <v>429.08106179547451</v>
      </c>
      <c r="U1714" s="25" t="s">
        <v>48</v>
      </c>
      <c r="V1714" s="39" t="s">
        <v>19</v>
      </c>
      <c r="W1714" s="1">
        <f>V1712/((AVERAGE(P1718:P1723))*(1+E1724)^3)</f>
        <v>429.08106179547451</v>
      </c>
      <c r="Y1714" s="25" t="s">
        <v>39</v>
      </c>
      <c r="Z1714" s="39" t="s">
        <v>19</v>
      </c>
      <c r="AA1714" s="1">
        <f>Z1712/((AVERAGE(P1718:P1723))*(1+E1724)^3)</f>
        <v>429.08106179547451</v>
      </c>
    </row>
    <row r="1715" spans="1:27">
      <c r="B1715" s="13">
        <v>3</v>
      </c>
      <c r="C1715" s="14" t="s">
        <v>20</v>
      </c>
      <c r="D1715" s="15" cm="1">
        <f t="array" ref="D1715">_xlfn.SINGLE(IF(A1721=A1722,_xll.ciqfunctions.udf.CIQ(A1713,"IQ_TOTAL_REV",IQ_FY-8)/I1715, _xll.ciqfunctions.udf.CIQ(A1713, "IQ_TOTAL_REV",IQ_FY-7)/I1715))</f>
        <v>2.7601411532027011</v>
      </c>
      <c r="E1715" s="16" t="e">
        <f t="shared" si="459"/>
        <v>#DIV/0!</v>
      </c>
      <c r="F1715" s="15">
        <f>IF(A1721=A1722,_xll.ciqfunctions.udf.CIQ(A1713,"IQ_DILUT_EPS_EXCL",IQ_FY-8), _xll.ciqfunctions.udf.CIQ(A1713, "IQ_DILUT_EPS_EXCL",IQ_FY-7))</f>
        <v>-1.0340100000000001</v>
      </c>
      <c r="G1715" s="15">
        <f>IF(A1721=A1722,_xll.ciqfunctions.udf.CIQ(A1713,"IQ_EBITDA_MARGIN",IQ_FY-8), _xll.ciqfunctions.udf.CIQ(A1713, "IQ_EBITDA_MARGIN",IQ_FY-7))</f>
        <v>-33.82</v>
      </c>
      <c r="H1715" s="15">
        <f>IF(A1721=A1722,_xll.ciqfunctions.udf.CIQ(A1713,"IQ_TOTAL_DIV_PAID_CF",IQ_FY-8)/-I1715, _xll.ciqfunctions.udf.CIQ(A1713, "IQ_TOTAL_DIV_PAID_CF",IQ_FY-7)/-I1715)</f>
        <v>0</v>
      </c>
      <c r="I1715" s="17">
        <f>IF(A1721=A1722,_xll.ciqfunctions.udf.CIQ(A1713,"IQ_TOTAL_OUTSTANDING_FILING_DATE",IQ_FY-8), _xll.ciqfunctions.udf.CIQ(A1713, "IQ_TOTAL_OUTSTANDING_FILING_DATE",IQ_FY-7))</f>
        <v>14.764099999999999</v>
      </c>
      <c r="J1715" s="17">
        <f>IF(A1721=A1722,_xll.ciqfunctions.udf.CIQ(A1713,"IQ_CASH_OPER",IQ_FY-8), _xll.ciqfunctions.udf.CIQ(A1713, "IQ_CASH_OPER",IQ_FY-7))</f>
        <v>-4.66</v>
      </c>
      <c r="K1715" s="17">
        <f>IF(A1721=A1722,_xll.ciqfunctions.udf.CIQ(A1713,"IQ_CAPEX",IQ_FY-8), _xll.ciqfunctions.udf.CIQ(A1713, "IQ_CAPEX",IQ_FY-7))</f>
        <v>-1.026</v>
      </c>
      <c r="L1715" s="15">
        <f t="shared" si="456"/>
        <v>-0.3851233735886373</v>
      </c>
      <c r="M1715" s="17">
        <f>IF(A1721=A1722,_xll.ciqfunctions.udf.CIQ(A1713,"IQ_TOTAL_DEBT_ISSUED",IQ_FY-8), _xll.ciqfunctions.udf.CIQ(A1713, "IQ_TOTAL_DEBT_ISSUED",IQ_FY-7))</f>
        <v>0</v>
      </c>
      <c r="N1715" s="17">
        <f>IF(A1721=A1722,_xll.ciqfunctions.udf.CIQ(A1713,"IQ_TOTAL_DEBT_REPAID",IQ_FY-8), _xll.ciqfunctions.udf.CIQ(A1713, "IQ_TOTAL_DEBT_REPAID",IQ_FY-7))</f>
        <v>0</v>
      </c>
      <c r="O1715" s="15">
        <f t="shared" si="457"/>
        <v>0</v>
      </c>
      <c r="P1715" s="15">
        <f t="shared" si="458"/>
        <v>-0.3851233735886373</v>
      </c>
      <c r="Q1715" s="25" t="s">
        <v>21</v>
      </c>
      <c r="R1715" s="38" t="s">
        <v>49</v>
      </c>
      <c r="S1715" s="2">
        <f>(R1712*I1723)/1000</f>
        <v>5.695845834</v>
      </c>
      <c r="U1715" s="25" t="s">
        <v>59</v>
      </c>
      <c r="V1715" s="38" t="s">
        <v>49</v>
      </c>
      <c r="W1715" s="2">
        <f>(V1712*I1723)/1000</f>
        <v>5.695845834</v>
      </c>
      <c r="Y1715" s="25" t="s">
        <v>46</v>
      </c>
      <c r="Z1715" s="38" t="s">
        <v>49</v>
      </c>
      <c r="AA1715" s="2">
        <f>(Z1712*I1723)/1000</f>
        <v>5.695845834</v>
      </c>
    </row>
    <row r="1716" spans="1:27">
      <c r="A1716" s="18"/>
      <c r="B1716" s="13">
        <v>4</v>
      </c>
      <c r="C1716" s="14" t="s">
        <v>22</v>
      </c>
      <c r="D1716" s="15" cm="1">
        <f t="array" ref="D1716">_xlfn.SINGLE(IF(A1721=A1722,_xll.ciqfunctions.udf.CIQ(A1713,"IQ_TOTAL_REV",IQ_FY-7)/I1716, _xll.ciqfunctions.udf.CIQ(A1713, "IQ_TOTAL_REV",IQ_FY-6)/I1716))</f>
        <v>4.1135457555485937</v>
      </c>
      <c r="E1716" s="16">
        <f t="shared" si="459"/>
        <v>0.49033890921682882</v>
      </c>
      <c r="F1716" s="15">
        <f>IF(A1721=A1722,_xll.ciqfunctions.udf.CIQ(A1713,"IQ_DILUT_EPS_EXCL",IQ_FY-7), _xll.ciqfunctions.udf.CIQ(A1713, "IQ_DILUT_EPS_EXCL",IQ_FY-6))</f>
        <v>-0.99626000000000003</v>
      </c>
      <c r="G1716" s="15">
        <f>IF(A1721=A1722,_xll.ciqfunctions.udf.CIQ(A1713,"IQ_EBITDA_MARGIN",IQ_FY-7), _xll.ciqfunctions.udf.CIQ(A1713, "IQ_EBITDA_MARGIN",IQ_FY-6))</f>
        <v>-21.154599999999999</v>
      </c>
      <c r="H1716" s="15">
        <f>IF(A1721=A1722,_xll.ciqfunctions.udf.CIQ(A1713,"IQ_TOTAL_DIV_PAID_CF",IQ_FY-7)/-I1716, _xll.ciqfunctions.udf.CIQ(A1713, "IQ_TOTAL_DIV_PAID_CF",IQ_FY-6)/-I1716)</f>
        <v>0</v>
      </c>
      <c r="I1716" s="17">
        <f>IF(A1721=A1722,_xll.ciqfunctions.udf.CIQ(A1713,"IQ_TOTAL_OUTSTANDING_FILING_DATE",IQ_FY-7), _xll.ciqfunctions.udf.CIQ(A1713, "IQ_TOTAL_OUTSTANDING_FILING_DATE",IQ_FY-6))</f>
        <v>16.2789</v>
      </c>
      <c r="J1716" s="17">
        <f>IF(A1721=A1722,_xll.ciqfunctions.udf.CIQ(A1713,"IQ_CASH_OPER",IQ_FY-7), _xll.ciqfunctions.udf.CIQ(A1713, "IQ_CASH_OPER",IQ_FY-6))</f>
        <v>5.8000000000000003E-2</v>
      </c>
      <c r="K1716" s="17">
        <f>IF(A1721=A1722,_xll.ciqfunctions.udf.CIQ(A1713,"IQ_CAPEX",IQ_FY-7), _xll.ciqfunctions.udf.CIQ(A1713, "IQ_CAPEX",IQ_FY-6))</f>
        <v>-1.82</v>
      </c>
      <c r="L1716" s="15">
        <f t="shared" si="456"/>
        <v>-0.10823827162768983</v>
      </c>
      <c r="M1716" s="17">
        <f>IF(A1721=A1722,_xll.ciqfunctions.udf.CIQ(A1713,"IQ_TOTAL_DEBT_ISSUED",IQ_FY-7), _xll.ciqfunctions.udf.CIQ(A1713, "IQ_TOTAL_DEBT_ISSUED",IQ_FY-6))</f>
        <v>0</v>
      </c>
      <c r="N1716" s="17">
        <f>IF(A1721=A1722,_xll.ciqfunctions.udf.CIQ(A1713,"IQ_TOTAL_DEBT_REPAID",IQ_FY-7), _xll.ciqfunctions.udf.CIQ(A1713, "IQ_TOTAL_DEBT_REPAID",IQ_FY-6))</f>
        <v>-0.30299999999999999</v>
      </c>
      <c r="O1716" s="15">
        <f t="shared" si="457"/>
        <v>-1.8613051250391612E-2</v>
      </c>
      <c r="P1716" s="15">
        <f t="shared" si="458"/>
        <v>-0.12685132287808143</v>
      </c>
      <c r="Q1716" s="25" t="s">
        <v>23</v>
      </c>
      <c r="R1716" s="38" t="s">
        <v>24</v>
      </c>
      <c r="S1716" s="1" t="e">
        <f>R1712/(AVERAGE(H1718:H1723)*(1+H1724)/(0.5-H1724))</f>
        <v>#DIV/0!</v>
      </c>
      <c r="U1716" s="25" t="s">
        <v>40</v>
      </c>
      <c r="V1716" s="38" t="s">
        <v>24</v>
      </c>
      <c r="W1716" s="1" t="e">
        <f>V1712/(AVERAGE(H1718:H1723)*(1+H1724)/(0.5-H1724))</f>
        <v>#DIV/0!</v>
      </c>
      <c r="Y1716" s="25" t="s">
        <v>47</v>
      </c>
      <c r="Z1716" s="38" t="s">
        <v>24</v>
      </c>
      <c r="AA1716" s="1" t="e">
        <f>Z1712/(AVERAGE(H1718:H1723)*(1+H1724)/(0.5-H1724))</f>
        <v>#DIV/0!</v>
      </c>
    </row>
    <row r="1717" spans="1:27">
      <c r="B1717" s="13">
        <v>5</v>
      </c>
      <c r="C1717" s="14" t="s">
        <v>25</v>
      </c>
      <c r="D1717" s="15" cm="1">
        <f t="array" ref="D1717">_xlfn.SINGLE(IF(A1721=A1722,_xll.ciqfunctions.udf.CIQ(A1713,"IQ_TOTAL_REV",IQ_FY-6)/I1717, _xll.ciqfunctions.udf.CIQ(A1713, "IQ_TOTAL_REV",IQ_FY-5)/I1717))</f>
        <v>5.4856479595912173</v>
      </c>
      <c r="E1717" s="16">
        <f t="shared" si="459"/>
        <v>0.33355705407964675</v>
      </c>
      <c r="F1717" s="15">
        <f>IF(A1721=A1722,_xll.ciqfunctions.udf.CIQ(A1713,"IQ_DILUT_EPS_EXCL",IQ_FY-6), _xll.ciqfunctions.udf.CIQ(A1713, "IQ_DILUT_EPS_EXCL",IQ_FY-5))</f>
        <v>-2.9367899999999998</v>
      </c>
      <c r="G1717" s="15">
        <f>IF(A1721=A1722,_xll.ciqfunctions.udf.CIQ(A1713,"IQ_EBITDA_MARGIN",IQ_FY-6), _xll.ciqfunctions.udf.CIQ(A1713, "IQ_EBITDA_MARGIN",IQ_FY-5))</f>
        <v>-40.360199999999999</v>
      </c>
      <c r="H1717" s="15">
        <f>IF(A1721=A1722,_xll.ciqfunctions.udf.CIQ(A1713,"IQ_TOTAL_DIV_PAID_CF",IQ_FY-6)/-I1717, _xll.ciqfunctions.udf.CIQ(A1713, "IQ_TOTAL_DIV_PAID_CF",IQ_FY-5)/-I1717)</f>
        <v>0</v>
      </c>
      <c r="I1717" s="17">
        <f>IF(A1721=A1722,_xll.ciqfunctions.udf.CIQ(A1713,"IQ_TOTAL_OUTSTANDING_FILING_DATE",IQ_FY-6), _xll.ciqfunctions.udf.CIQ(A1713, "IQ_TOTAL_OUTSTANDING_FILING_DATE",IQ_FY-5))</f>
        <v>20.280740000000002</v>
      </c>
      <c r="J1717" s="17">
        <f>IF(A1721=A1722,_xll.ciqfunctions.udf.CIQ(A1713,"IQ_CASH_OPER",IQ_FY-6), _xll.ciqfunctions.udf.CIQ(A1713, "IQ_CASH_OPER",IQ_FY-5))</f>
        <v>-13.581</v>
      </c>
      <c r="K1717" s="17">
        <f>IF(A1721=A1722,_xll.ciqfunctions.udf.CIQ(A1713,"IQ_CAPEX",IQ_FY-6), _xll.ciqfunctions.udf.CIQ(A1713, "IQ_CAPEX",IQ_FY-5))</f>
        <v>-6.0060000000000002</v>
      </c>
      <c r="L1717" s="15">
        <f t="shared" si="456"/>
        <v>-0.96579316139351912</v>
      </c>
      <c r="M1717" s="17">
        <f>IF(A1721=A1722,_xll.ciqfunctions.udf.CIQ(A1713,"IQ_TOTAL_DEBT_ISSUED",IQ_FY-6), _xll.ciqfunctions.udf.CIQ(A1713, "IQ_TOTAL_DEBT_ISSUED",IQ_FY-5))</f>
        <v>0</v>
      </c>
      <c r="N1717" s="17">
        <f>IF(A1721=A1722,_xll.ciqfunctions.udf.CIQ(A1713,"IQ_TOTAL_DEBT_REPAID",IQ_FY-6), _xll.ciqfunctions.udf.CIQ(A1713, "IQ_TOTAL_DEBT_REPAID",IQ_FY-5))</f>
        <v>-2.3260000000000001</v>
      </c>
      <c r="O1717" s="15">
        <f t="shared" si="457"/>
        <v>-0.11469009513459567</v>
      </c>
      <c r="P1717" s="15">
        <f t="shared" si="458"/>
        <v>-1.0804832565281148</v>
      </c>
      <c r="Q1717" s="18"/>
      <c r="R1717" s="38" t="s">
        <v>50</v>
      </c>
      <c r="S1717" s="3">
        <f>I1724</f>
        <v>5.0669285869466618E-2</v>
      </c>
      <c r="U1717" s="18"/>
      <c r="V1717" s="38" t="s">
        <v>50</v>
      </c>
      <c r="W1717" s="3">
        <f>I1724</f>
        <v>5.0669285869466618E-2</v>
      </c>
      <c r="Y1717" s="18"/>
      <c r="Z1717" s="38" t="s">
        <v>50</v>
      </c>
      <c r="AA1717" s="3">
        <f>I1724</f>
        <v>5.0669285869466618E-2</v>
      </c>
    </row>
    <row r="1718" spans="1:27">
      <c r="B1718" s="13">
        <v>6</v>
      </c>
      <c r="C1718" s="14" t="s">
        <v>26</v>
      </c>
      <c r="D1718" s="15" cm="1">
        <f t="array" ref="D1718">_xlfn.SINGLE(IF(A1721=A1722,_xll.ciqfunctions.udf.CIQ(A1713,"IQ_TOTAL_REV",IQ_FY-5)/I1718, _xll.ciqfunctions.udf.CIQ(A1713, "IQ_TOTAL_REV",IQ_FY-4)/I1718))</f>
        <v>1.6838784100356963</v>
      </c>
      <c r="E1718" s="16">
        <f t="shared" si="459"/>
        <v>-0.69303928680082927</v>
      </c>
      <c r="F1718" s="15">
        <f>IF(A1721=A1722,_xll.ciqfunctions.udf.CIQ(A1713,"IQ_DILUT_EPS_EXCL",IQ_FY-5), _xll.ciqfunctions.udf.CIQ(A1713, "IQ_DILUT_EPS_EXCL",IQ_FY-4))</f>
        <v>-0.64812000000000003</v>
      </c>
      <c r="G1718" s="15">
        <f>IF(A1721=A1722,_xll.ciqfunctions.udf.CIQ(A1713,"IQ_EBITDA_MARGIN",IQ_FY-5), _xll.ciqfunctions.udf.CIQ(A1713, "IQ_EBITDA_MARGIN",IQ_FY-4))</f>
        <v>-27.222200000000001</v>
      </c>
      <c r="H1718" s="15">
        <f>IF(A1721=A1722,_xll.ciqfunctions.udf.CIQ(A1713,"IQ_TOTAL_DIV_PAID_CF",IQ_FY-5)/-I1718, _xll.ciqfunctions.udf.CIQ(A1713, "IQ_TOTAL_DIV_PAID_CF",IQ_FY-4)/-I1718)</f>
        <v>0</v>
      </c>
      <c r="I1718" s="17">
        <f>IF(A1721=A1722,_xll.ciqfunctions.udf.CIQ(A1713,"IQ_TOTAL_OUTSTANDING_FILING_DATE",IQ_FY-5), _xll.ciqfunctions.udf.CIQ(A1713, "IQ_TOTAL_OUTSTANDING_FILING_DATE",IQ_FY-4))</f>
        <v>105.54325</v>
      </c>
      <c r="J1718" s="17">
        <f>IF(A1721=A1722,_xll.ciqfunctions.udf.CIQ(A1713,"IQ_CASH_OPER",IQ_FY-5), _xll.ciqfunctions.udf.CIQ(A1713, "IQ_CASH_OPER",IQ_FY-4))</f>
        <v>-2.855</v>
      </c>
      <c r="K1718" s="17">
        <f>IF(A1721=A1722,_xll.ciqfunctions.udf.CIQ(A1713,"IQ_CAPEX",IQ_FY-5), _xll.ciqfunctions.udf.CIQ(A1713, "IQ_CAPEX",IQ_FY-4))</f>
        <v>-5.7670000000000003</v>
      </c>
      <c r="L1718" s="15">
        <f t="shared" si="456"/>
        <v>-8.1691628787250725E-2</v>
      </c>
      <c r="M1718" s="17">
        <f>IF(A1721=A1722,_xll.ciqfunctions.udf.CIQ(A1713,"IQ_TOTAL_DEBT_ISSUED",IQ_FY-5), _xll.ciqfunctions.udf.CIQ(A1713, "IQ_TOTAL_DEBT_ISSUED",IQ_FY-4))</f>
        <v>0</v>
      </c>
      <c r="N1718" s="17">
        <f>IF(A1721=A1722,_xll.ciqfunctions.udf.CIQ(A1713,"IQ_TOTAL_DEBT_REPAID",IQ_FY-5), _xll.ciqfunctions.udf.CIQ(A1713, "IQ_TOTAL_DEBT_REPAID",IQ_FY-4))</f>
        <v>-3.2530000000000001</v>
      </c>
      <c r="O1718" s="15">
        <f t="shared" si="457"/>
        <v>-3.0821487873454723E-2</v>
      </c>
      <c r="P1718" s="15">
        <f t="shared" si="458"/>
        <v>-0.11251311666070545</v>
      </c>
      <c r="Q1718" s="25" t="s">
        <v>27</v>
      </c>
      <c r="R1718" s="38" t="s">
        <v>51</v>
      </c>
      <c r="S1718" s="4">
        <f>AVERAGE(F1718:F1723)/AVERAGE(D1718:D1723)</f>
        <v>-0.27912632783566893</v>
      </c>
      <c r="U1718" s="25" t="s">
        <v>58</v>
      </c>
      <c r="V1718" s="38" t="s">
        <v>51</v>
      </c>
      <c r="W1718" s="4">
        <f>AVERAGE(F1718:F1723)/AVERAGE(D1718:D1723)</f>
        <v>-0.27912632783566893</v>
      </c>
      <c r="Y1718" s="25" t="s">
        <v>56</v>
      </c>
      <c r="Z1718" s="38" t="s">
        <v>51</v>
      </c>
      <c r="AA1718" s="4">
        <f>AVERAGE(F1718:F1723)/AVERAGE(D1718:D1723)</f>
        <v>-0.27912632783566893</v>
      </c>
    </row>
    <row r="1719" spans="1:27">
      <c r="A1719" s="18"/>
      <c r="B1719" s="13">
        <v>7</v>
      </c>
      <c r="C1719" s="14" t="s">
        <v>28</v>
      </c>
      <c r="D1719" s="15" cm="1">
        <f t="array" ref="D1719">_xlfn.SINGLE(IF(A1721=A1722,_xll.ciqfunctions.udf.CIQ(A1713,"IQ_TOTAL_REV",IQ_FY-4)/I1719, _xll.ciqfunctions.udf.CIQ(A1713, "IQ_TOTAL_REV",IQ_FY-3)/I1719))</f>
        <v>2.2795100671587112</v>
      </c>
      <c r="E1719" s="16">
        <f t="shared" si="459"/>
        <v>0.35372604908592431</v>
      </c>
      <c r="F1719" s="15">
        <f>IF(A1721=A1722,_xll.ciqfunctions.udf.CIQ(A1713,"IQ_DILUT_EPS_EXCL",IQ_FY-4), _xll.ciqfunctions.udf.CIQ(A1713, "IQ_DILUT_EPS_EXCL",IQ_FY-3))</f>
        <v>-0.84909000000000001</v>
      </c>
      <c r="G1719" s="15">
        <f>IF(A1721=A1722,_xll.ciqfunctions.udf.CIQ(A1713,"IQ_EBITDA_MARGIN",IQ_FY-4), _xll.ciqfunctions.udf.CIQ(A1713, "IQ_EBITDA_MARGIN",IQ_FY-3))</f>
        <v>-34.168300000000002</v>
      </c>
      <c r="H1719" s="15">
        <f>IF(A1721=A1722,_xll.ciqfunctions.udf.CIQ(A1713,"IQ_TOTAL_DIV_PAID_CF",IQ_FY-4)/-I1719, _xll.ciqfunctions.udf.CIQ(A1713, "IQ_TOTAL_DIV_PAID_CF",IQ_FY-3)/-I1719)</f>
        <v>0</v>
      </c>
      <c r="I1719" s="17">
        <f>IF(A1721=A1722,_xll.ciqfunctions.udf.CIQ(A1713,"IQ_TOTAL_OUTSTANDING_FILING_DATE",IQ_FY-4), _xll.ciqfunctions.udf.CIQ(A1713, "IQ_TOTAL_OUTSTANDING_FILING_DATE",IQ_FY-3))</f>
        <v>118.83343000000001</v>
      </c>
      <c r="J1719" s="17">
        <f>IF(A1721=A1722,_xll.ciqfunctions.udf.CIQ(A1713,"IQ_CASH_OPER",IQ_FY-4), _xll.ciqfunctions.udf.CIQ(A1713, "IQ_CASH_OPER",IQ_FY-3))</f>
        <v>-10.87</v>
      </c>
      <c r="K1719" s="17">
        <f>IF(A1721=A1722,_xll.ciqfunctions.udf.CIQ(A1713,"IQ_CAPEX",IQ_FY-4), _xll.ciqfunctions.udf.CIQ(A1713, "IQ_CAPEX",IQ_FY-3))</f>
        <v>-5.1529999999999996</v>
      </c>
      <c r="L1719" s="15">
        <f t="shared" si="456"/>
        <v>-0.13483579494423412</v>
      </c>
      <c r="M1719" s="17">
        <f>IF(A1721=A1722,_xll.ciqfunctions.udf.CIQ(A1713,"IQ_TOTAL_DEBT_ISSUED",IQ_FY-4), _xll.ciqfunctions.udf.CIQ(A1713, "IQ_TOTAL_DEBT_ISSUED",IQ_FY-3))</f>
        <v>0</v>
      </c>
      <c r="N1719" s="17">
        <f>IF(A1721=A1722,_xll.ciqfunctions.udf.CIQ(A1713,"IQ_TOTAL_DEBT_REPAID",IQ_FY-4), _xll.ciqfunctions.udf.CIQ(A1713, "IQ_TOTAL_DEBT_REPAID",IQ_FY-3))</f>
        <v>-4.1669999999999998</v>
      </c>
      <c r="O1719" s="15">
        <f t="shared" si="457"/>
        <v>-3.5065890128728926E-2</v>
      </c>
      <c r="P1719" s="15">
        <f t="shared" si="458"/>
        <v>-0.16990168507296305</v>
      </c>
      <c r="Q1719" s="18"/>
      <c r="R1719" s="38" t="s">
        <v>29</v>
      </c>
      <c r="S1719" s="4">
        <f>(AVERAGE(P1718:P1723)/_xlfn.STDEV.P(P1718:P1723))/(IF(A1721=A1722,(_xlfn.SINGLE(_xll.ciqfunctions.udf.CIQ(A1713,"IQ_total_assets",IQ_FY)) - _xlfn.SINGLE(_xll.ciqfunctions.udf.CIQ(A1713,"iq_gw_intan", IQ_FY)))/I1723, (_xlfn.SINGLE(_xll.ciqfunctions.udf.CIQ(A1713, "IQ_total_assets",IQ_LTM))-_xlfn.SINGLE(_xll.ciqfunctions.udf.CIQ(A1713,"iq_gw_intan",IQ_LTM)))/I1723))</f>
        <v>1.8872559080626274E-2</v>
      </c>
      <c r="U1719" s="18"/>
      <c r="V1719" s="38" t="s">
        <v>29</v>
      </c>
      <c r="W1719" s="4">
        <f>(AVERAGE(P1718:P1723)/_xlfn.STDEV.P(P1718:P1723))/(IF(A1721=A1722,(_xlfn.SINGLE(_xll.ciqfunctions.udf.CIQ(A1713,"IQ_total_assets",IQ_FY)) - _xlfn.SINGLE(_xll.ciqfunctions.udf.CIQ(A1713,"iq_gw_intan", IQ_FY)))/I1723, (_xlfn.SINGLE(_xll.ciqfunctions.udf.CIQ(A1713, "IQ_total_assets",IQ_LTM))-_xlfn.SINGLE(_xll.ciqfunctions.udf.CIQ(A1713,"iq_gw_intan",IQ_LTM)))/I1723))</f>
        <v>1.8872559080626274E-2</v>
      </c>
      <c r="Y1719" s="18"/>
      <c r="Z1719" s="38" t="s">
        <v>29</v>
      </c>
      <c r="AA1719" s="4">
        <f>(AVERAGE(P1718:P1723)/_xlfn.STDEV.P(P1718:P1723))/(IF(A1721=A1722,(_xlfn.SINGLE(_xll.ciqfunctions.udf.CIQ(A1713,"IQ_total_assets",IQ_FY)) - _xlfn.SINGLE(_xll.ciqfunctions.udf.CIQ(A1713,"iq_gw_intan", IQ_FY)))/I1723, (_xlfn.SINGLE(_xll.ciqfunctions.udf.CIQ(A1713, "IQ_total_assets",IQ_LTM))-_xlfn.SINGLE(_xll.ciqfunctions.udf.CIQ(A1713,"iq_gw_intan",IQ_LTM)))/I1723))</f>
        <v>1.8872559080626274E-2</v>
      </c>
    </row>
    <row r="1720" spans="1:27">
      <c r="A1720" s="18"/>
      <c r="B1720" s="13">
        <v>8</v>
      </c>
      <c r="C1720" s="14" t="s">
        <v>30</v>
      </c>
      <c r="D1720" s="15" cm="1">
        <f t="array" ref="D1720">_xlfn.SINGLE(IF(A1721=A1722,_xll.ciqfunctions.udf.CIQ(A1713,"IQ_TOTAL_REV",IQ_FY-3)/I1720, _xll.ciqfunctions.udf.CIQ(A1713, "IQ_TOTAL_REV",IQ_FY-2)/I1720))</f>
        <v>3.1068673960372859</v>
      </c>
      <c r="E1720" s="16">
        <f t="shared" si="459"/>
        <v>0.36295401402189548</v>
      </c>
      <c r="F1720" s="15">
        <f>IF(A1721=A1722,_xll.ciqfunctions.udf.CIQ(A1713,"IQ_DILUT_EPS_EXCL",IQ_FY-3), _xll.ciqfunctions.udf.CIQ(A1713, "IQ_DILUT_EPS_EXCL",IQ_FY-2))</f>
        <v>-0.95289000000000001</v>
      </c>
      <c r="G1720" s="15">
        <f>IF(A1721=A1722,_xll.ciqfunctions.udf.CIQ(A1713,"IQ_EBITDA_MARGIN",IQ_FY-3), _xll.ciqfunctions.udf.CIQ(A1713, "IQ_EBITDA_MARGIN",IQ_FY-2))</f>
        <v>-27.4543</v>
      </c>
      <c r="H1720" s="15">
        <f>IF(A1721=A1722,_xll.ciqfunctions.udf.CIQ(A1713,"IQ_TOTAL_DIV_PAID_CF",IQ_FY-3)/-I1720, _xll.ciqfunctions.udf.CIQ(A1713, "IQ_TOTAL_DIV_PAID_CF",IQ_FY-2)/-I1720)</f>
        <v>0</v>
      </c>
      <c r="I1720" s="17">
        <f>IF(A1721=A1722,_xll.ciqfunctions.udf.CIQ(A1713,"IQ_TOTAL_OUTSTANDING_FILING_DATE",IQ_FY-3), _xll.ciqfunctions.udf.CIQ(A1713, "IQ_TOTAL_OUTSTANDING_FILING_DATE",IQ_FY-2))</f>
        <v>124.08414999999999</v>
      </c>
      <c r="J1720" s="17">
        <f>IF(A1721=A1722,_xll.ciqfunctions.udf.CIQ(A1713,"IQ_CASH_OPER",IQ_FY-3), _xll.ciqfunctions.udf.CIQ(A1713, "IQ_CASH_OPER",IQ_FY-2))</f>
        <v>-15.648</v>
      </c>
      <c r="K1720" s="17">
        <f>IF(A1721=A1722,_xll.ciqfunctions.udf.CIQ(A1713,"IQ_CAPEX",IQ_FY-3), _xll.ciqfunctions.udf.CIQ(A1713, "IQ_CAPEX",IQ_FY-2))</f>
        <v>-4.1760000000000002</v>
      </c>
      <c r="L1720" s="15">
        <f t="shared" si="456"/>
        <v>-0.15976254823843333</v>
      </c>
      <c r="M1720" s="17">
        <f>IF(A1721=A1722,_xll.ciqfunctions.udf.CIQ(A1713,"IQ_TOTAL_DEBT_ISSUED",IQ_FY-3), _xll.ciqfunctions.udf.CIQ(A1713, "IQ_TOTAL_DEBT_ISSUED",IQ_FY-2))</f>
        <v>0</v>
      </c>
      <c r="N1720" s="17">
        <f>IF(A1721=A1722,_xll.ciqfunctions.udf.CIQ(A1713,"IQ_TOTAL_DEBT_REPAID",IQ_FY-3), _xll.ciqfunctions.udf.CIQ(A1713, "IQ_TOTAL_DEBT_REPAID",IQ_FY-2))</f>
        <v>-4.1289999999999996</v>
      </c>
      <c r="O1720" s="15">
        <f t="shared" si="457"/>
        <v>-3.3275805169314533E-2</v>
      </c>
      <c r="P1720" s="15">
        <f t="shared" si="458"/>
        <v>-0.19303835340774786</v>
      </c>
      <c r="Q1720" s="18"/>
      <c r="R1720" s="39" t="s">
        <v>31</v>
      </c>
      <c r="S1720" s="5" t="e">
        <f>IF(NOT(D1713&gt;0),FALSE,SLOPE(G1713:G1723,B1713:B1723))</f>
        <v>#DIV/0!</v>
      </c>
      <c r="U1720" s="18"/>
      <c r="V1720" s="39" t="s">
        <v>31</v>
      </c>
      <c r="W1720" s="5" t="e">
        <f>IF(NOT(D1713&gt;0),FALSE,SLOPE(G1713:G1723,B1713:B1723))</f>
        <v>#DIV/0!</v>
      </c>
      <c r="Y1720" s="18"/>
      <c r="Z1720" s="39" t="s">
        <v>31</v>
      </c>
      <c r="AA1720" s="5" t="e">
        <f>IF(NOT(L1713&gt;0),FALSE,SLOPE(O1713:O1723,J1713:J1723))</f>
        <v>#DIV/0!</v>
      </c>
    </row>
    <row r="1721" spans="1:27">
      <c r="A1721" s="19">
        <f>_xll.ciqfunctions.udf.CIQ(A1713,"IQ_TOTAL_REV",IQ_FY)</f>
        <v>766.91499999999996</v>
      </c>
      <c r="B1721" s="13">
        <v>9</v>
      </c>
      <c r="C1721" s="14" t="s">
        <v>32</v>
      </c>
      <c r="D1721" s="15" cm="1">
        <f t="array" ref="D1721">_xlfn.SINGLE(IF(A1721=A1722,_xll.ciqfunctions.udf.CIQ(A1713,"IQ_TOTAL_REV",IQ_FY-2)/I1721, _xll.ciqfunctions.udf.CIQ(A1713, "IQ_TOTAL_REV",IQ_FY-1)/I1721))</f>
        <v>4.2818530018297869</v>
      </c>
      <c r="E1721" s="16">
        <f t="shared" si="459"/>
        <v>0.37818981501790488</v>
      </c>
      <c r="F1721" s="15">
        <f>IF(A1721=A1722,_xll.ciqfunctions.udf.CIQ(A1713,"IQ_DILUT_EPS_EXCL",IQ_FY-2), _xll.ciqfunctions.udf.CIQ(A1713, "IQ_DILUT_EPS_EXCL",IQ_FY-1))</f>
        <v>-1.36189</v>
      </c>
      <c r="G1721" s="15">
        <f>IF(A1721=A1722,_xll.ciqfunctions.udf.CIQ(A1713,"IQ_EBITDA_MARGIN",IQ_FY-2), _xll.ciqfunctions.udf.CIQ(A1713, "IQ_EBITDA_MARGIN",IQ_FY-1))</f>
        <v>-25.750800000000002</v>
      </c>
      <c r="H1721" s="15">
        <f>IF(A1721=A1722,_xll.ciqfunctions.udf.CIQ(A1713,"IQ_TOTAL_DIV_PAID_CF",IQ_FY-2)/-I1721, _xll.ciqfunctions.udf.CIQ(A1713, "IQ_TOTAL_DIV_PAID_CF",IQ_FY-1)/-I1721)</f>
        <v>0</v>
      </c>
      <c r="I1721" s="17">
        <f>IF(A1721=A1722,_xll.ciqfunctions.udf.CIQ(A1713,"IQ_TOTAL_OUTSTANDING_FILING_DATE",IQ_FY-2), _xll.ciqfunctions.udf.CIQ(A1713, "IQ_TOTAL_OUTSTANDING_FILING_DATE",IQ_FY-1))</f>
        <v>128.64337</v>
      </c>
      <c r="J1721" s="17">
        <f>IF(A1721=A1722,_xll.ciqfunctions.udf.CIQ(A1713,"IQ_CASH_OPER",IQ_FY-2), _xll.ciqfunctions.udf.CIQ(A1713, "IQ_CASH_OPER",IQ_FY-1))</f>
        <v>-3.512</v>
      </c>
      <c r="K1721" s="17">
        <f>IF(A1721=A1722,_xll.ciqfunctions.udf.CIQ(A1713,"IQ_CAPEX",IQ_FY-2), _xll.ciqfunctions.udf.CIQ(A1713, "IQ_CAPEX",IQ_FY-1))</f>
        <v>-10.563000000000001</v>
      </c>
      <c r="L1721" s="15">
        <f t="shared" si="456"/>
        <v>-0.10941100190394577</v>
      </c>
      <c r="M1721" s="17">
        <f>IF(A1721=A1722,_xll.ciqfunctions.udf.CIQ(A1713,"IQ_TOTAL_DEBT_ISSUED",IQ_FY-2), _xll.ciqfunctions.udf.CIQ(A1713, "IQ_TOTAL_DEBT_ISSUED",IQ_FY-1))</f>
        <v>0</v>
      </c>
      <c r="N1721" s="17">
        <f>IF(A1721=A1722,_xll.ciqfunctions.udf.CIQ(A1713,"IQ_TOTAL_DEBT_REPAID",IQ_FY-2), _xll.ciqfunctions.udf.CIQ(A1713, "IQ_TOTAL_DEBT_REPAID",IQ_FY-1))</f>
        <v>0</v>
      </c>
      <c r="O1721" s="15">
        <f t="shared" si="457"/>
        <v>0</v>
      </c>
      <c r="P1721" s="15">
        <f t="shared" si="458"/>
        <v>-0.10941100190394577</v>
      </c>
      <c r="Q1721" s="25" t="s">
        <v>33</v>
      </c>
      <c r="R1721" s="38" t="s">
        <v>52</v>
      </c>
      <c r="S1721" s="4">
        <f>(AVERAGE(O1718:O1723)/AVERAGE(P1718:P1723))</f>
        <v>-0.37551327592723832</v>
      </c>
      <c r="U1721" s="25" t="s">
        <v>54</v>
      </c>
      <c r="V1721" s="38" t="s">
        <v>52</v>
      </c>
      <c r="W1721" s="4">
        <f>(AVERAGE(O1718:O1723)/AVERAGE(P1718:P1723))</f>
        <v>-0.37551327592723832</v>
      </c>
      <c r="Y1721" s="25" t="s">
        <v>60</v>
      </c>
      <c r="Z1721" s="38" t="s">
        <v>52</v>
      </c>
      <c r="AA1721" s="4">
        <f>(AVERAGE(O1718:O1723)/AVERAGE(P1718:P1723))</f>
        <v>-0.37551327592723832</v>
      </c>
    </row>
    <row r="1722" spans="1:27">
      <c r="A1722" s="19">
        <f>_xll.ciqfunctions.udf.CIQ(A1713,"IQ_TOTAL_REV",IQ_LTM)</f>
        <v>867.38499999999999</v>
      </c>
      <c r="B1722" s="13">
        <v>10</v>
      </c>
      <c r="C1722" s="14" t="s">
        <v>34</v>
      </c>
      <c r="D1722" s="15" cm="1">
        <f t="array" ref="D1722">_xlfn.SINGLE(IF(A1721=A1722,_xll.ciqfunctions.udf.CIQ(A1713,"IQ_TOTAL_REV",IQ_FY-1)/I1722, _xll.ciqfunctions.udf.CIQ(A1713, "IQ_TOTAL_REV",IQ_FY)/I1722))</f>
        <v>5.786921405953688</v>
      </c>
      <c r="E1722" s="16">
        <f t="shared" si="459"/>
        <v>0.35149931664649214</v>
      </c>
      <c r="F1722" s="15">
        <f>IF(A1721=A1722,_xll.ciqfunctions.udf.CIQ(A1713,"IQ_DILUT_EPS_EXCL",IQ_FY-1), _xll.ciqfunctions.udf.CIQ(A1713, "IQ_DILUT_EPS_EXCL",IQ_FY))</f>
        <v>-1.6578599999999999</v>
      </c>
      <c r="G1722" s="15">
        <f>IF(A1721=A1722,_xll.ciqfunctions.udf.CIQ(A1713,"IQ_EBITDA_MARGIN",IQ_FY-1), _xll.ciqfunctions.udf.CIQ(A1713, "IQ_EBITDA_MARGIN",IQ_FY))</f>
        <v>-27.5566</v>
      </c>
      <c r="H1722" s="15">
        <f>IF(A1721=A1722,_xll.ciqfunctions.udf.CIQ(A1713,"IQ_TOTAL_DIV_PAID_CF",IQ_FY-1)/-I1722, _xll.ciqfunctions.udf.CIQ(A1713, "IQ_TOTAL_DIV_PAID_CF",IQ_FY)/-I1722)</f>
        <v>0</v>
      </c>
      <c r="I1722" s="17">
        <f>IF(A1721=A1722,_xll.ciqfunctions.udf.CIQ(A1713,"IQ_TOTAL_OUTSTANDING_FILING_DATE",IQ_FY-1), _xll.ciqfunctions.udf.CIQ(A1713, "IQ_TOTAL_OUTSTANDING_FILING_DATE",IQ_FY))</f>
        <v>132.52556000000001</v>
      </c>
      <c r="J1722" s="17">
        <f>IF(A1721=A1722,_xll.ciqfunctions.udf.CIQ(A1713,"IQ_CASH_OPER",IQ_FY-1), _xll.ciqfunctions.udf.CIQ(A1713, "IQ_CASH_OPER",IQ_FY))</f>
        <v>23.588000000000001</v>
      </c>
      <c r="K1722" s="17">
        <f>IF(A1721=A1722,_xll.ciqfunctions.udf.CIQ(A1713,"IQ_CAPEX",IQ_FY-1), _xll.ciqfunctions.udf.CIQ(A1713, "IQ_CAPEX",IQ_FY))</f>
        <v>-6.1369999999999996</v>
      </c>
      <c r="L1722" s="15">
        <f t="shared" si="456"/>
        <v>0.13168025851013193</v>
      </c>
      <c r="M1722" s="17">
        <f>IF(A1721=A1722,_xll.ciqfunctions.udf.CIQ(A1713,"IQ_TOTAL_DEBT_ISSUED",IQ_FY-1), _xll.ciqfunctions.udf.CIQ(A1713, "IQ_TOTAL_DEBT_ISSUED",IQ_FY))</f>
        <v>0</v>
      </c>
      <c r="N1722" s="17">
        <f>IF(A1721=A1722,_xll.ciqfunctions.udf.CIQ(A1713,"IQ_TOTAL_DEBT_REPAID",IQ_FY-1), _xll.ciqfunctions.udf.CIQ(A1713, "IQ_TOTAL_DEBT_REPAID",IQ_FY))</f>
        <v>0</v>
      </c>
      <c r="O1722" s="15">
        <f t="shared" si="457"/>
        <v>0</v>
      </c>
      <c r="P1722" s="15">
        <f t="shared" si="458"/>
        <v>0.13168025851013193</v>
      </c>
      <c r="Q1722" s="25" t="s">
        <v>44</v>
      </c>
      <c r="R1722" s="38" t="s">
        <v>35</v>
      </c>
      <c r="S1722" s="1" t="str">
        <f>_xll.ciqfunctions.udf.CIQ(A1713,"IQ_TEV_EBITDA")</f>
        <v>NM</v>
      </c>
      <c r="U1722" s="25" t="s">
        <v>55</v>
      </c>
      <c r="V1722" s="38" t="s">
        <v>53</v>
      </c>
      <c r="W1722" s="1">
        <f>V1712/(AVERAGE(D1718:D1723)/_xlfn.STDEV.P(E1718:E1723))</f>
        <v>4.1384859845254098</v>
      </c>
      <c r="Y1722" s="25" t="s">
        <v>57</v>
      </c>
      <c r="Z1722" s="38" t="s">
        <v>53</v>
      </c>
      <c r="AA1722" s="1">
        <f>Z1712/(AVERAGE(D1718:D1723)/_xlfn.STDEV.P(E1718:E1723))</f>
        <v>4.1384859845254098</v>
      </c>
    </row>
    <row r="1723" spans="1:27">
      <c r="B1723" s="13">
        <v>11</v>
      </c>
      <c r="C1723" s="20" t="s">
        <v>36</v>
      </c>
      <c r="D1723" s="21" cm="1">
        <f t="array" ref="D1723">_xlfn.SINGLE(IF(A1721=A1722,_xll.ciqfunctions.udf.CIQ(A1713,"IQ_TOTAL_REV",IQ_FY)/I1723, _xll.ciqfunctions.udf.CIQ(A1713, "IQ_TOTAL_REV",IQ_LTM)/I1723))</f>
        <v>6.4187618161576809</v>
      </c>
      <c r="E1723" s="22">
        <f t="shared" si="459"/>
        <v>0.1091842044984306</v>
      </c>
      <c r="F1723" s="21">
        <f>IF(A1721=A1722,_xll.ciqfunctions.udf.CIQ(A1713,"IQ_DILUT_EPS_EXCL",IQ_FY), _xll.ciqfunctions.udf.CIQ(A1713, "IQ_DILUT_EPS_EXCL",IQ_LTM))</f>
        <v>-1.10575</v>
      </c>
      <c r="G1723" s="21">
        <f>IF(A1721=A1722,_xll.ciqfunctions.udf.CIQ(A1713,"IQ_EBITDA_MARGIN",IQ_FY), _xll.ciqfunctions.udf.CIQ(A1713, "IQ_EBITDA_MARGIN",IQ_LTM))</f>
        <v>-16.599799999999998</v>
      </c>
      <c r="H1723" s="21">
        <f>IF(A1721=A1722,_xll.ciqfunctions.udf.CIQ(A1713,"IQ_TOTAL_DIV_PAID_CF",IQ_FY)/-I1723, _xll.ciqfunctions.udf.CIQ(A1713, "IQ_TOTAL_DIV_PAID_CF",IQ_LTM)/-I1723)</f>
        <v>0</v>
      </c>
      <c r="I1723" s="23">
        <f>IF(A1721=A1722,_xll.ciqfunctions.udf.CIQ(A1713,"IQ_TOTAL_OUTSTANDING_FILING_DATE",IQ_FY),_xll.ciqfunctions.udf.CIQ(A1713,"IQ_sharesoutstanding"))</f>
        <v>135.13275999999999</v>
      </c>
      <c r="J1723" s="23">
        <f>IF(A1721=A1722,_xll.ciqfunctions.udf.CIQ(A1713,"IQ_CASH_OPER",IQ_FY), _xll.ciqfunctions.udf.CIQ(A1713, "IQ_CASH_OPER",IQ_LTM))</f>
        <v>101.45</v>
      </c>
      <c r="K1723" s="23">
        <f>IF(A1721=A1722,_xll.ciqfunctions.udf.CIQ(A1713,"IQ_CAPEX",IQ_FY), _xll.ciqfunctions.udf.CIQ(A1713, "IQ_CAPEX",IQ_LTM))</f>
        <v>-4.5250000000000004</v>
      </c>
      <c r="L1723" s="21">
        <f t="shared" si="456"/>
        <v>0.71725760651969217</v>
      </c>
      <c r="M1723" s="23">
        <f>IF(A1721=A1722,_xll.ciqfunctions.udf.CIQ(A1713,"IQ_TOTAL_DEBT_ISSUED",IQ_FY), _xll.ciqfunctions.udf.CIQ(A1713, "IQ_TOTAL_DEBT_ISSUED",IQ_LTM))</f>
        <v>0</v>
      </c>
      <c r="N1723" s="23">
        <f>IF(A1721=A1722,_xll.ciqfunctions.udf.CIQ(A1713,"IQ_TOTAL_DEBT_REPAID",IQ_FY), _xll.ciqfunctions.udf.CIQ(A1713, "IQ_TOTAL_DEBT_REPAID",IQ_LTM))</f>
        <v>0</v>
      </c>
      <c r="O1723" s="21">
        <f t="shared" si="457"/>
        <v>0</v>
      </c>
      <c r="P1723" s="21">
        <f t="shared" si="458"/>
        <v>0.71725760651969217</v>
      </c>
      <c r="Q1723" s="25" t="s">
        <v>45</v>
      </c>
      <c r="S1723" s="45"/>
      <c r="U1723" s="25"/>
      <c r="W1723" s="45"/>
      <c r="Y1723" s="25"/>
      <c r="AA1723" s="45"/>
    </row>
    <row r="1724" spans="1:27">
      <c r="B1724" s="24"/>
      <c r="C1724" s="25" t="s">
        <v>37</v>
      </c>
      <c r="E1724" s="26">
        <f>((D1723/D1718)^(1/5))-1</f>
        <v>0.30685711408058824</v>
      </c>
      <c r="F1724" s="27">
        <f>((F1723/F1718)^(1/5))-1</f>
        <v>0.11275692305942231</v>
      </c>
      <c r="G1724" s="28"/>
      <c r="H1724" s="27" t="e">
        <f>((H1723/H1718)^(1/5))-1</f>
        <v>#DIV/0!</v>
      </c>
      <c r="I1724" s="27">
        <f>((I1723/I1718)^(1/5))-1</f>
        <v>5.0669285869466618E-2</v>
      </c>
      <c r="J1724" s="27"/>
      <c r="K1724" s="27"/>
      <c r="L1724" s="26">
        <f>((L1723/L1718)^(1/5))-1</f>
        <v>-2.5441856827587315</v>
      </c>
      <c r="M1724" s="26"/>
      <c r="N1724" s="26"/>
      <c r="O1724" s="26"/>
      <c r="P1724" s="26">
        <f>((P1723/P1718)^(1/5))-1</f>
        <v>-2.4484196282667101</v>
      </c>
      <c r="Q1724" s="18"/>
      <c r="R1724" s="36"/>
      <c r="S1724" s="45"/>
      <c r="U1724" s="18"/>
      <c r="V1724" s="36"/>
      <c r="W1724" s="45"/>
      <c r="Y1724" s="18"/>
      <c r="Z1724" s="36"/>
      <c r="AA1724" s="45"/>
    </row>
    <row r="1725" spans="1:27">
      <c r="A1725" s="29"/>
      <c r="B1725" s="30"/>
      <c r="C1725" s="31" t="s">
        <v>38</v>
      </c>
      <c r="D1725" s="29"/>
      <c r="E1725" s="32" t="e">
        <f>((D1723/D1713)^(1/10))-1</f>
        <v>#DIV/0!</v>
      </c>
      <c r="F1725" s="33" t="e">
        <f>((F1723/F1713)^(1/10))-1</f>
        <v>#DIV/0!</v>
      </c>
      <c r="G1725" s="34"/>
      <c r="H1725" s="33" t="e">
        <f>((H1723/H1713)^(1/10))-1</f>
        <v>#DIV/0!</v>
      </c>
      <c r="I1725" s="33" t="e">
        <f>((I1723/I1713)^(1/10))-1</f>
        <v>#DIV/0!</v>
      </c>
      <c r="J1725" s="33"/>
      <c r="K1725" s="33"/>
      <c r="L1725" s="32" t="e">
        <f>((L1723/L1713)^(1/10))-1</f>
        <v>#DIV/0!</v>
      </c>
      <c r="M1725" s="32"/>
      <c r="N1725" s="32"/>
      <c r="O1725" s="32"/>
      <c r="P1725" s="32" t="e">
        <f>((P1723/P1713)^(1/10))-1</f>
        <v>#DIV/0!</v>
      </c>
      <c r="Q1725" s="40"/>
      <c r="R1725" s="41"/>
      <c r="S1725" s="46"/>
      <c r="U1725" s="40"/>
      <c r="V1725" s="41"/>
      <c r="W1725" s="46"/>
      <c r="Y1725" s="40"/>
      <c r="Z1725" s="41"/>
      <c r="AA1725" s="46"/>
    </row>
    <row r="1726" spans="1:27">
      <c r="B1726" s="24"/>
      <c r="C1726" s="25"/>
      <c r="E1726" s="26"/>
      <c r="F1726" s="27"/>
      <c r="G1726" s="28"/>
      <c r="H1726" s="27"/>
      <c r="I1726" s="27"/>
      <c r="J1726" s="27"/>
      <c r="K1726" s="27"/>
      <c r="L1726" s="26"/>
      <c r="M1726" s="17"/>
      <c r="N1726" s="17"/>
      <c r="O1726" s="17"/>
      <c r="P1726" s="35"/>
      <c r="Q1726" s="18"/>
      <c r="R1726" s="36"/>
    </row>
    <row r="1727" spans="1:27">
      <c r="A1727" s="9" t="s">
        <v>0</v>
      </c>
      <c r="B1727" s="10"/>
      <c r="C1727" s="9" t="s">
        <v>1</v>
      </c>
      <c r="D1727" s="9" t="s">
        <v>2</v>
      </c>
      <c r="E1727" s="9" t="s">
        <v>3</v>
      </c>
      <c r="F1727" s="11" t="s">
        <v>4</v>
      </c>
      <c r="G1727" s="11" t="s">
        <v>5</v>
      </c>
      <c r="H1727" s="9" t="s">
        <v>6</v>
      </c>
      <c r="I1727" s="11" t="s">
        <v>7</v>
      </c>
      <c r="J1727" s="11" t="s">
        <v>8</v>
      </c>
      <c r="K1727" s="11" t="s">
        <v>9</v>
      </c>
      <c r="L1727" s="11" t="s">
        <v>10</v>
      </c>
      <c r="M1727" s="11" t="s">
        <v>11</v>
      </c>
      <c r="N1727" s="11" t="s">
        <v>12</v>
      </c>
      <c r="O1727" s="11" t="s">
        <v>13</v>
      </c>
      <c r="P1727" s="11" t="s">
        <v>14</v>
      </c>
      <c r="Q1727" s="37" t="s">
        <v>15</v>
      </c>
      <c r="R1727" s="42">
        <f>_xll.ciqfunctions.udf.CIQ(A1728,("IQ_LASTSALEPRICE"))</f>
        <v>24.75</v>
      </c>
      <c r="S1727" s="44"/>
      <c r="U1727" s="37" t="s">
        <v>15</v>
      </c>
      <c r="V1727" s="42">
        <f>_xll.ciqfunctions.udf.CIQ(A1728,("IQ_LASTSALEPRICE"))</f>
        <v>24.75</v>
      </c>
      <c r="W1727" s="44"/>
      <c r="Y1727" s="37" t="s">
        <v>15</v>
      </c>
      <c r="Z1727" s="42">
        <f>_xll.ciqfunctions.udf.CIQ(A1728,("IQ_LASTSALEPRICE"))</f>
        <v>24.75</v>
      </c>
      <c r="AA1727" s="44"/>
    </row>
    <row r="1728" spans="1:27">
      <c r="A1728" s="12" t="str">
        <f>Analysis!B117</f>
        <v>NYSE:INFA</v>
      </c>
      <c r="B1728" s="13">
        <v>1</v>
      </c>
      <c r="C1728" s="14" t="s">
        <v>16</v>
      </c>
      <c r="D1728" s="15" t="e">
        <f>IF(A1736=A1737,_xll.ciqfunctions.udf.CIQ(A1728,"IQ_TOTAL_REV",IQ_FY-10)/I1728,_xll.ciqfunctions.udf.CIQ(A1728, "IQ_TOTAL_REV",IQ_FY-9)/I1728)</f>
        <v>#DIV/0!</v>
      </c>
      <c r="E1728" s="16"/>
      <c r="F1728" s="15">
        <f>IF(A1736=A1737,_xll.ciqfunctions.udf.CIQ(A1728,"IQ_DILUT_EPS_EXCL",IQ_FY-10), _xll.ciqfunctions.udf.CIQ(A1728, "IQ_DILUT_EPS_EXCL",IQ_FY-9))</f>
        <v>0</v>
      </c>
      <c r="G1728" s="15">
        <f>IF(A1736=A1737,_xll.ciqfunctions.udf.CIQ(A1728,"IQ_EBITDA_MARGIN",IQ_FY-10), _xll.ciqfunctions.udf.CIQ(A1728, "IQ_EBITDA_MARGIN",IQ_FY-9))</f>
        <v>0</v>
      </c>
      <c r="H1728" s="15" t="e">
        <f>IF(A1736=A1737,_xll.ciqfunctions.udf.CIQ(A1728,"IQ_TOTAL_DIV_PAID_CF",IQ_FY-10)/-I1728, _xll.ciqfunctions.udf.CIQ(A1728, "IQ_TOTAL_DIV_PAID_CF",IQ_FY-9)/-I1728)</f>
        <v>#DIV/0!</v>
      </c>
      <c r="I1728" s="17">
        <f>IF(A1736=A1737,_xll.ciqfunctions.udf.CIQ(A1728,"IQ_TOTAL_OUTSTANDING_FILING_DATE",IQ_FY-10), _xll.ciqfunctions.udf.CIQ(A1728, "IQ_TOTAL_OUTSTANDING_FILING_DATE",IQ_FY-9))</f>
        <v>0</v>
      </c>
      <c r="J1728" s="17">
        <f>IF(A1736=A1737,_xll.ciqfunctions.udf.CIQ(A1728,"IQ_CASH_OPER",IQ_FY-10), _xll.ciqfunctions.udf.CIQ(A1728, "IQ_CASH_OPER",IQ_FY-9))</f>
        <v>0</v>
      </c>
      <c r="K1728" s="17">
        <f>IF(A1736=A1737,_xll.ciqfunctions.udf.CIQ(A1728,"IQ_CAPEX",IQ_FY-10), _xll.ciqfunctions.udf.CIQ(A1728, "IQ_CAPEX",IQ_FY-9))</f>
        <v>0</v>
      </c>
      <c r="L1728" s="15" t="e">
        <f t="shared" ref="L1728:L1738" si="460">(J1728+K1728)/I1728</f>
        <v>#DIV/0!</v>
      </c>
      <c r="M1728" s="17">
        <f>IF(A1736=A1737,_xll.ciqfunctions.udf.CIQ(A1728,"IQ_TOTAL_DEBT_ISSUED",IQ_FY-10), _xll.ciqfunctions.udf.CIQ(A1728, "IQ_TOTAL_DEBT_ISSUED",IQ_FY-9))</f>
        <v>0</v>
      </c>
      <c r="N1728" s="17">
        <f>IF(A1736=A1737,_xll.ciqfunctions.udf.CIQ(A1728,"IQ_TOTAL_DEBT_REPAID",IQ_FY-10), _xll.ciqfunctions.udf.CIQ(A1728, "IQ_TOTAL_DEBT_REPAID",IQ_FY-9))</f>
        <v>0</v>
      </c>
      <c r="O1728" s="15" t="e">
        <f t="shared" ref="O1728:O1738" si="461">(M1728+N1728)/I1728</f>
        <v>#DIV/0!</v>
      </c>
      <c r="P1728" s="15" t="e">
        <f t="shared" ref="P1728:P1738" si="462">L1728+O1728</f>
        <v>#DIV/0!</v>
      </c>
      <c r="W1728" s="43"/>
      <c r="AA1728" s="43"/>
    </row>
    <row r="1729" spans="1:27">
      <c r="A1729" s="18" t="str">
        <f>_xll.ciqfunctions.udf.CIQ(A1728,"IQ_COMPANY_NAME")</f>
        <v>Informatica Inc.</v>
      </c>
      <c r="B1729" s="13">
        <v>2</v>
      </c>
      <c r="C1729" s="14" t="s">
        <v>17</v>
      </c>
      <c r="D1729" s="15" t="e">
        <f>IF(A1736=A1737,_xll.ciqfunctions.udf.CIQ(A1728,"IQ_TOTAL_REV",IQ_FY-9)/I1729, _xll.ciqfunctions.udf.CIQ(A1728, "IQ_TOTAL_REV",IQ_FY-8)/I1729)</f>
        <v>#DIV/0!</v>
      </c>
      <c r="E1729" s="16" t="e">
        <f t="shared" ref="E1729:E1738" si="463">(D1729-D1728)/D1728</f>
        <v>#DIV/0!</v>
      </c>
      <c r="F1729" s="15">
        <f>IF(A1736=A1737,_xll.ciqfunctions.udf.CIQ(A1728,"IQ_DILUT_EPS_EXCL",IQ_FY-9), _xll.ciqfunctions.udf.CIQ(A1728, "IQ_DILUT_EPS_EXCL",IQ_FY-8))</f>
        <v>0</v>
      </c>
      <c r="G1729" s="15">
        <f>IF(A1736=A1737,_xll.ciqfunctions.udf.CIQ(A1728,"IQ_EBITDA_MARGIN",IQ_FY-9), _xll.ciqfunctions.udf.CIQ(A1728, "IQ_EBITDA_MARGIN",IQ_FY-8))</f>
        <v>0</v>
      </c>
      <c r="H1729" s="15" t="e">
        <f>IF(A1736=A1737,_xll.ciqfunctions.udf.CIQ(A1728,"IQ_TOTAL_DIV_PAID_CF",IQ_FY-9)/-I1729, _xll.ciqfunctions.udf.CIQ(A1728, "IQ_TOTAL_DIV_PAID_CF",IQ_FY-8)/-I1729)</f>
        <v>#DIV/0!</v>
      </c>
      <c r="I1729" s="17">
        <f>IF(A1736=A1737,_xll.ciqfunctions.udf.CIQ(A1728,"IQ_TOTAL_OUTSTANDING_FILING_DATE",IQ_FY-9), _xll.ciqfunctions.udf.CIQ(A1728, "IQ_TOTAL_OUTSTANDING_FILING_DATE",IQ_FY-8))</f>
        <v>0</v>
      </c>
      <c r="J1729" s="17">
        <f>IF(A1736=A1737,_xll.ciqfunctions.udf.CIQ(A1728,"IQ_CASH_OPER",IQ_FY-9), _xll.ciqfunctions.udf.CIQ(A1728, "IQ_CASH_OPER",IQ_FY-8))</f>
        <v>0</v>
      </c>
      <c r="K1729" s="17">
        <f>IF(A1736=A1737,_xll.ciqfunctions.udf.CIQ(A1728,"IQ_CAPEX",IQ_FY-9), _xll.ciqfunctions.udf.CIQ(A1728, "IQ_CAPEX",IQ_FY-8))</f>
        <v>0</v>
      </c>
      <c r="L1729" s="15" t="e">
        <f t="shared" si="460"/>
        <v>#DIV/0!</v>
      </c>
      <c r="M1729" s="17">
        <f>IF(A1736=A1737,_xll.ciqfunctions.udf.CIQ(A1728,"IQ_TOTAL_DEBT_ISSUED",IQ_FY-9), _xll.ciqfunctions.udf.CIQ(A1728, "IQ_TOTAL_DEBT_ISSUED",IQ_FY-8))</f>
        <v>0</v>
      </c>
      <c r="N1729" s="17">
        <f>IF(A1736=A1737,_xll.ciqfunctions.udf.CIQ(A1728,"IQ_TOTAL_DEBT_REPAID",IQ_FY-9), _xll.ciqfunctions.udf.CIQ(A1728, "IQ_TOTAL_DEBT_REPAID",IQ_FY-8))</f>
        <v>0</v>
      </c>
      <c r="O1729" s="15" t="e">
        <f t="shared" si="461"/>
        <v>#DIV/0!</v>
      </c>
      <c r="P1729" s="15" t="e">
        <f t="shared" si="462"/>
        <v>#DIV/0!</v>
      </c>
      <c r="Q1729" s="25" t="s">
        <v>18</v>
      </c>
      <c r="R1729" s="39" t="s">
        <v>19</v>
      </c>
      <c r="S1729" s="1">
        <f>R1727/((AVERAGE(P1733:P1738))*(1+E1739)^3)</f>
        <v>-9.9071104152502336</v>
      </c>
      <c r="U1729" s="25" t="s">
        <v>48</v>
      </c>
      <c r="V1729" s="39" t="s">
        <v>19</v>
      </c>
      <c r="W1729" s="1">
        <f>V1727/((AVERAGE(P1733:P1738))*(1+E1739)^3)</f>
        <v>-9.9071104152502336</v>
      </c>
      <c r="Y1729" s="25" t="s">
        <v>39</v>
      </c>
      <c r="Z1729" s="39" t="s">
        <v>19</v>
      </c>
      <c r="AA1729" s="1">
        <f>Z1727/((AVERAGE(P1733:P1738))*(1+E1739)^3)</f>
        <v>-9.9071104152502336</v>
      </c>
    </row>
    <row r="1730" spans="1:27">
      <c r="B1730" s="13">
        <v>3</v>
      </c>
      <c r="C1730" s="14" t="s">
        <v>20</v>
      </c>
      <c r="D1730" s="15" t="e" cm="1">
        <f t="array" ref="D1730">_xlfn.SINGLE(IF(A1736=A1737,_xll.ciqfunctions.udf.CIQ(A1728,"IQ_TOTAL_REV",IQ_FY-8)/I1730, _xll.ciqfunctions.udf.CIQ(A1728, "IQ_TOTAL_REV",IQ_FY-7)/I1730))</f>
        <v>#DIV/0!</v>
      </c>
      <c r="E1730" s="16" t="e">
        <f t="shared" si="463"/>
        <v>#DIV/0!</v>
      </c>
      <c r="F1730" s="15">
        <f>IF(A1736=A1737,_xll.ciqfunctions.udf.CIQ(A1728,"IQ_DILUT_EPS_EXCL",IQ_FY-8), _xll.ciqfunctions.udf.CIQ(A1728, "IQ_DILUT_EPS_EXCL",IQ_FY-7))</f>
        <v>0</v>
      </c>
      <c r="G1730" s="15">
        <f>IF(A1736=A1737,_xll.ciqfunctions.udf.CIQ(A1728,"IQ_EBITDA_MARGIN",IQ_FY-8), _xll.ciqfunctions.udf.CIQ(A1728, "IQ_EBITDA_MARGIN",IQ_FY-7))</f>
        <v>0</v>
      </c>
      <c r="H1730" s="15" t="e">
        <f>IF(A1736=A1737,_xll.ciqfunctions.udf.CIQ(A1728,"IQ_TOTAL_DIV_PAID_CF",IQ_FY-8)/-I1730, _xll.ciqfunctions.udf.CIQ(A1728, "IQ_TOTAL_DIV_PAID_CF",IQ_FY-7)/-I1730)</f>
        <v>#DIV/0!</v>
      </c>
      <c r="I1730" s="17">
        <f>IF(A1736=A1737,_xll.ciqfunctions.udf.CIQ(A1728,"IQ_TOTAL_OUTSTANDING_FILING_DATE",IQ_FY-8), _xll.ciqfunctions.udf.CIQ(A1728, "IQ_TOTAL_OUTSTANDING_FILING_DATE",IQ_FY-7))</f>
        <v>0</v>
      </c>
      <c r="J1730" s="17">
        <f>IF(A1736=A1737,_xll.ciqfunctions.udf.CIQ(A1728,"IQ_CASH_OPER",IQ_FY-8), _xll.ciqfunctions.udf.CIQ(A1728, "IQ_CASH_OPER",IQ_FY-7))</f>
        <v>0</v>
      </c>
      <c r="K1730" s="17">
        <f>IF(A1736=A1737,_xll.ciqfunctions.udf.CIQ(A1728,"IQ_CAPEX",IQ_FY-8), _xll.ciqfunctions.udf.CIQ(A1728, "IQ_CAPEX",IQ_FY-7))</f>
        <v>0</v>
      </c>
      <c r="L1730" s="15" t="e">
        <f t="shared" si="460"/>
        <v>#DIV/0!</v>
      </c>
      <c r="M1730" s="17">
        <f>IF(A1736=A1737,_xll.ciqfunctions.udf.CIQ(A1728,"IQ_TOTAL_DEBT_ISSUED",IQ_FY-8), _xll.ciqfunctions.udf.CIQ(A1728, "IQ_TOTAL_DEBT_ISSUED",IQ_FY-7))</f>
        <v>0</v>
      </c>
      <c r="N1730" s="17">
        <f>IF(A1736=A1737,_xll.ciqfunctions.udf.CIQ(A1728,"IQ_TOTAL_DEBT_REPAID",IQ_FY-8), _xll.ciqfunctions.udf.CIQ(A1728, "IQ_TOTAL_DEBT_REPAID",IQ_FY-7))</f>
        <v>0</v>
      </c>
      <c r="O1730" s="15" t="e">
        <f t="shared" si="461"/>
        <v>#DIV/0!</v>
      </c>
      <c r="P1730" s="15" t="e">
        <f t="shared" si="462"/>
        <v>#DIV/0!</v>
      </c>
      <c r="Q1730" s="25" t="s">
        <v>21</v>
      </c>
      <c r="R1730" s="38" t="s">
        <v>49</v>
      </c>
      <c r="S1730" s="2">
        <f>(R1727*I1738)/1000</f>
        <v>7.2053907749999997</v>
      </c>
      <c r="U1730" s="25" t="s">
        <v>59</v>
      </c>
      <c r="V1730" s="38" t="s">
        <v>49</v>
      </c>
      <c r="W1730" s="2">
        <f>(V1727*I1738)/1000</f>
        <v>7.2053907749999997</v>
      </c>
      <c r="Y1730" s="25" t="s">
        <v>46</v>
      </c>
      <c r="Z1730" s="38" t="s">
        <v>49</v>
      </c>
      <c r="AA1730" s="2">
        <f>(Z1727*I1738)/1000</f>
        <v>7.2053907749999997</v>
      </c>
    </row>
    <row r="1731" spans="1:27">
      <c r="A1731" s="18"/>
      <c r="B1731" s="13">
        <v>4</v>
      </c>
      <c r="C1731" s="14" t="s">
        <v>22</v>
      </c>
      <c r="D1731" s="15" t="e" cm="1">
        <f t="array" ref="D1731">_xlfn.SINGLE(IF(A1736=A1737,_xll.ciqfunctions.udf.CIQ(A1728,"IQ_TOTAL_REV",IQ_FY-7)/I1731, _xll.ciqfunctions.udf.CIQ(A1728, "IQ_TOTAL_REV",IQ_FY-6)/I1731))</f>
        <v>#DIV/0!</v>
      </c>
      <c r="E1731" s="16" t="e">
        <f t="shared" si="463"/>
        <v>#DIV/0!</v>
      </c>
      <c r="F1731" s="15">
        <f>IF(A1736=A1737,_xll.ciqfunctions.udf.CIQ(A1728,"IQ_DILUT_EPS_EXCL",IQ_FY-7), _xll.ciqfunctions.udf.CIQ(A1728, "IQ_DILUT_EPS_EXCL",IQ_FY-6))</f>
        <v>0</v>
      </c>
      <c r="G1731" s="15">
        <f>IF(A1736=A1737,_xll.ciqfunctions.udf.CIQ(A1728,"IQ_EBITDA_MARGIN",IQ_FY-7), _xll.ciqfunctions.udf.CIQ(A1728, "IQ_EBITDA_MARGIN",IQ_FY-6))</f>
        <v>0</v>
      </c>
      <c r="H1731" s="15" t="e">
        <f>IF(A1736=A1737,_xll.ciqfunctions.udf.CIQ(A1728,"IQ_TOTAL_DIV_PAID_CF",IQ_FY-7)/-I1731, _xll.ciqfunctions.udf.CIQ(A1728, "IQ_TOTAL_DIV_PAID_CF",IQ_FY-6)/-I1731)</f>
        <v>#DIV/0!</v>
      </c>
      <c r="I1731" s="17">
        <f>IF(A1736=A1737,_xll.ciqfunctions.udf.CIQ(A1728,"IQ_TOTAL_OUTSTANDING_FILING_DATE",IQ_FY-7), _xll.ciqfunctions.udf.CIQ(A1728, "IQ_TOTAL_OUTSTANDING_FILING_DATE",IQ_FY-6))</f>
        <v>0</v>
      </c>
      <c r="J1731" s="17">
        <f>IF(A1736=A1737,_xll.ciqfunctions.udf.CIQ(A1728,"IQ_CASH_OPER",IQ_FY-7), _xll.ciqfunctions.udf.CIQ(A1728, "IQ_CASH_OPER",IQ_FY-6))</f>
        <v>0</v>
      </c>
      <c r="K1731" s="17">
        <f>IF(A1736=A1737,_xll.ciqfunctions.udf.CIQ(A1728,"IQ_CAPEX",IQ_FY-7), _xll.ciqfunctions.udf.CIQ(A1728, "IQ_CAPEX",IQ_FY-6))</f>
        <v>0</v>
      </c>
      <c r="L1731" s="15" t="e">
        <f t="shared" si="460"/>
        <v>#DIV/0!</v>
      </c>
      <c r="M1731" s="17">
        <f>IF(A1736=A1737,_xll.ciqfunctions.udf.CIQ(A1728,"IQ_TOTAL_DEBT_ISSUED",IQ_FY-7), _xll.ciqfunctions.udf.CIQ(A1728, "IQ_TOTAL_DEBT_ISSUED",IQ_FY-6))</f>
        <v>0</v>
      </c>
      <c r="N1731" s="17">
        <f>IF(A1736=A1737,_xll.ciqfunctions.udf.CIQ(A1728,"IQ_TOTAL_DEBT_REPAID",IQ_FY-7), _xll.ciqfunctions.udf.CIQ(A1728, "IQ_TOTAL_DEBT_REPAID",IQ_FY-6))</f>
        <v>0</v>
      </c>
      <c r="O1731" s="15" t="e">
        <f t="shared" si="461"/>
        <v>#DIV/0!</v>
      </c>
      <c r="P1731" s="15" t="e">
        <f t="shared" si="462"/>
        <v>#DIV/0!</v>
      </c>
      <c r="Q1731" s="25" t="s">
        <v>23</v>
      </c>
      <c r="R1731" s="38" t="s">
        <v>24</v>
      </c>
      <c r="S1731" s="1" t="e">
        <f>R1727/(AVERAGE(H1733:H1738)*(1+H1739)/(0.5-H1739))</f>
        <v>#DIV/0!</v>
      </c>
      <c r="U1731" s="25" t="s">
        <v>40</v>
      </c>
      <c r="V1731" s="38" t="s">
        <v>24</v>
      </c>
      <c r="W1731" s="1" t="e">
        <f>V1727/(AVERAGE(H1733:H1738)*(1+H1739)/(0.5-H1739))</f>
        <v>#DIV/0!</v>
      </c>
      <c r="Y1731" s="25" t="s">
        <v>47</v>
      </c>
      <c r="Z1731" s="38" t="s">
        <v>24</v>
      </c>
      <c r="AA1731" s="1" t="e">
        <f>Z1727/(AVERAGE(H1733:H1738)*(1+H1739)/(0.5-H1739))</f>
        <v>#DIV/0!</v>
      </c>
    </row>
    <row r="1732" spans="1:27">
      <c r="B1732" s="13">
        <v>5</v>
      </c>
      <c r="C1732" s="14" t="s">
        <v>25</v>
      </c>
      <c r="D1732" s="15" t="e" cm="1">
        <f t="array" ref="D1732">_xlfn.SINGLE(IF(A1736=A1737,_xll.ciqfunctions.udf.CIQ(A1728,"IQ_TOTAL_REV",IQ_FY-6)/I1732, _xll.ciqfunctions.udf.CIQ(A1728, "IQ_TOTAL_REV",IQ_FY-5)/I1732))</f>
        <v>#DIV/0!</v>
      </c>
      <c r="E1732" s="16" t="e">
        <f t="shared" si="463"/>
        <v>#DIV/0!</v>
      </c>
      <c r="F1732" s="15">
        <f>IF(A1736=A1737,_xll.ciqfunctions.udf.CIQ(A1728,"IQ_DILUT_EPS_EXCL",IQ_FY-6), _xll.ciqfunctions.udf.CIQ(A1728, "IQ_DILUT_EPS_EXCL",IQ_FY-5))</f>
        <v>0</v>
      </c>
      <c r="G1732" s="15">
        <f>IF(A1736=A1737,_xll.ciqfunctions.udf.CIQ(A1728,"IQ_EBITDA_MARGIN",IQ_FY-6), _xll.ciqfunctions.udf.CIQ(A1728, "IQ_EBITDA_MARGIN",IQ_FY-5))</f>
        <v>0</v>
      </c>
      <c r="H1732" s="15" t="e">
        <f>IF(A1736=A1737,_xll.ciqfunctions.udf.CIQ(A1728,"IQ_TOTAL_DIV_PAID_CF",IQ_FY-6)/-I1732, _xll.ciqfunctions.udf.CIQ(A1728, "IQ_TOTAL_DIV_PAID_CF",IQ_FY-5)/-I1732)</f>
        <v>#DIV/0!</v>
      </c>
      <c r="I1732" s="17">
        <f>IF(A1736=A1737,_xll.ciqfunctions.udf.CIQ(A1728,"IQ_TOTAL_OUTSTANDING_FILING_DATE",IQ_FY-6), _xll.ciqfunctions.udf.CIQ(A1728, "IQ_TOTAL_OUTSTANDING_FILING_DATE",IQ_FY-5))</f>
        <v>0</v>
      </c>
      <c r="J1732" s="17">
        <f>IF(A1736=A1737,_xll.ciqfunctions.udf.CIQ(A1728,"IQ_CASH_OPER",IQ_FY-6), _xll.ciqfunctions.udf.CIQ(A1728, "IQ_CASH_OPER",IQ_FY-5))</f>
        <v>0</v>
      </c>
      <c r="K1732" s="17">
        <f>IF(A1736=A1737,_xll.ciqfunctions.udf.CIQ(A1728,"IQ_CAPEX",IQ_FY-6), _xll.ciqfunctions.udf.CIQ(A1728, "IQ_CAPEX",IQ_FY-5))</f>
        <v>0</v>
      </c>
      <c r="L1732" s="15" t="e">
        <f t="shared" si="460"/>
        <v>#DIV/0!</v>
      </c>
      <c r="M1732" s="17">
        <f>IF(A1736=A1737,_xll.ciqfunctions.udf.CIQ(A1728,"IQ_TOTAL_DEBT_ISSUED",IQ_FY-6), _xll.ciqfunctions.udf.CIQ(A1728, "IQ_TOTAL_DEBT_ISSUED",IQ_FY-5))</f>
        <v>0</v>
      </c>
      <c r="N1732" s="17">
        <f>IF(A1736=A1737,_xll.ciqfunctions.udf.CIQ(A1728,"IQ_TOTAL_DEBT_REPAID",IQ_FY-6), _xll.ciqfunctions.udf.CIQ(A1728, "IQ_TOTAL_DEBT_REPAID",IQ_FY-5))</f>
        <v>0</v>
      </c>
      <c r="O1732" s="15" t="e">
        <f t="shared" si="461"/>
        <v>#DIV/0!</v>
      </c>
      <c r="P1732" s="15" t="e">
        <f t="shared" si="462"/>
        <v>#DIV/0!</v>
      </c>
      <c r="Q1732" s="18"/>
      <c r="R1732" s="38" t="s">
        <v>50</v>
      </c>
      <c r="S1732" s="3">
        <f>I1739</f>
        <v>-0.58739142186402349</v>
      </c>
      <c r="U1732" s="18"/>
      <c r="V1732" s="38" t="s">
        <v>50</v>
      </c>
      <c r="W1732" s="3">
        <f>I1739</f>
        <v>-0.58739142186402349</v>
      </c>
      <c r="Y1732" s="18"/>
      <c r="Z1732" s="38" t="s">
        <v>50</v>
      </c>
      <c r="AA1732" s="3">
        <f>I1739</f>
        <v>-0.58739142186402349</v>
      </c>
    </row>
    <row r="1733" spans="1:27">
      <c r="B1733" s="13">
        <v>6</v>
      </c>
      <c r="C1733" s="14" t="s">
        <v>26</v>
      </c>
      <c r="D1733" s="15" cm="1">
        <f t="array" ref="D1733">_xlfn.SINGLE(IF(A1736=A1737,_xll.ciqfunctions.udf.CIQ(A1728,"IQ_TOTAL_REV",IQ_FY-5)/I1733, _xll.ciqfunctions.udf.CIQ(A1728, "IQ_TOTAL_REV",IQ_FY-4)/I1733))</f>
        <v>5.0458612072319532E-2</v>
      </c>
      <c r="E1733" s="16" t="e">
        <f t="shared" si="463"/>
        <v>#DIV/0!</v>
      </c>
      <c r="F1733" s="15">
        <f>IF(A1736=A1737,_xll.ciqfunctions.udf.CIQ(A1728,"IQ_DILUT_EPS_EXCL",IQ_FY-5), _xll.ciqfunctions.udf.CIQ(A1728, "IQ_DILUT_EPS_EXCL",IQ_FY-4))</f>
        <v>-6.8900000000000003E-3</v>
      </c>
      <c r="G1733" s="15">
        <f>IF(A1736=A1737,_xll.ciqfunctions.udf.CIQ(A1728,"IQ_EBITDA_MARGIN",IQ_FY-5), _xll.ciqfunctions.udf.CIQ(A1728, "IQ_EBITDA_MARGIN",IQ_FY-4))</f>
        <v>14.981999999999999</v>
      </c>
      <c r="H1733" s="15">
        <f>IF(A1736=A1737,_xll.ciqfunctions.udf.CIQ(A1728,"IQ_TOTAL_DIV_PAID_CF",IQ_FY-5)/-I1733, _xll.ciqfunctions.udf.CIQ(A1728, "IQ_TOTAL_DIV_PAID_CF",IQ_FY-4)/-I1733)</f>
        <v>0</v>
      </c>
      <c r="I1733" s="17">
        <f>IF(A1736=A1737,_xll.ciqfunctions.udf.CIQ(A1728,"IQ_TOTAL_OUTSTANDING_FILING_DATE",IQ_FY-5), _xll.ciqfunctions.udf.CIQ(A1728, "IQ_TOTAL_OUTSTANDING_FILING_DATE",IQ_FY-4))</f>
        <v>24343.951400000002</v>
      </c>
      <c r="J1733" s="17">
        <f>IF(A1736=A1737,_xll.ciqfunctions.udf.CIQ(A1728,"IQ_CASH_OPER",IQ_FY-5), _xll.ciqfunctions.udf.CIQ(A1728, "IQ_CASH_OPER",IQ_FY-4))</f>
        <v>200.25200000000001</v>
      </c>
      <c r="K1733" s="17">
        <f>IF(A1736=A1737,_xll.ciqfunctions.udf.CIQ(A1728,"IQ_CAPEX",IQ_FY-5), _xll.ciqfunctions.udf.CIQ(A1728, "IQ_CAPEX",IQ_FY-4))</f>
        <v>-27.584</v>
      </c>
      <c r="L1733" s="15">
        <f t="shared" si="460"/>
        <v>7.0928501771491377E-3</v>
      </c>
      <c r="M1733" s="17">
        <f>IF(A1736=A1737,_xll.ciqfunctions.udf.CIQ(A1728,"IQ_TOTAL_DEBT_ISSUED",IQ_FY-5), _xll.ciqfunctions.udf.CIQ(A1728, "IQ_TOTAL_DEBT_ISSUED",IQ_FY-4))</f>
        <v>0</v>
      </c>
      <c r="N1733" s="17">
        <f>IF(A1736=A1737,_xll.ciqfunctions.udf.CIQ(A1728,"IQ_TOTAL_DEBT_REPAID",IQ_FY-5), _xll.ciqfunctions.udf.CIQ(A1728, "IQ_TOTAL_DEBT_REPAID",IQ_FY-4))</f>
        <v>-26.347000000000001</v>
      </c>
      <c r="O1733" s="15">
        <f t="shared" si="461"/>
        <v>-1.0822811616359044E-3</v>
      </c>
      <c r="P1733" s="15">
        <f t="shared" si="462"/>
        <v>6.0105690155132334E-3</v>
      </c>
      <c r="Q1733" s="25" t="s">
        <v>27</v>
      </c>
      <c r="R1733" s="38" t="s">
        <v>51</v>
      </c>
      <c r="S1733" s="4">
        <f>AVERAGE(F1733:F1738)/AVERAGE(D1733:D1738)</f>
        <v>-0.12768049391903311</v>
      </c>
      <c r="U1733" s="25" t="s">
        <v>58</v>
      </c>
      <c r="V1733" s="38" t="s">
        <v>51</v>
      </c>
      <c r="W1733" s="4">
        <f>AVERAGE(F1733:F1738)/AVERAGE(D1733:D1738)</f>
        <v>-0.12768049391903311</v>
      </c>
      <c r="Y1733" s="25" t="s">
        <v>56</v>
      </c>
      <c r="Z1733" s="38" t="s">
        <v>51</v>
      </c>
      <c r="AA1733" s="4">
        <f>AVERAGE(F1733:F1738)/AVERAGE(D1733:D1738)</f>
        <v>-0.12768049391903311</v>
      </c>
    </row>
    <row r="1734" spans="1:27">
      <c r="A1734" s="18"/>
      <c r="B1734" s="13">
        <v>7</v>
      </c>
      <c r="C1734" s="14" t="s">
        <v>28</v>
      </c>
      <c r="D1734" s="15" cm="1">
        <f t="array" ref="D1734">_xlfn.SINGLE(IF(A1736=A1737,_xll.ciqfunctions.udf.CIQ(A1728,"IQ_TOTAL_REV",IQ_FY-4)/I1734, _xll.ciqfunctions.udf.CIQ(A1728, "IQ_TOTAL_REV",IQ_FY-3)/I1734))</f>
        <v>5.0671660415754038</v>
      </c>
      <c r="E1734" s="16">
        <f t="shared" si="463"/>
        <v>99.422223946883747</v>
      </c>
      <c r="F1734" s="15">
        <f>IF(A1736=A1737,_xll.ciqfunctions.udf.CIQ(A1728,"IQ_DILUT_EPS_EXCL",IQ_FY-4), _xll.ciqfunctions.udf.CIQ(A1728, "IQ_DILUT_EPS_EXCL",IQ_FY-3))</f>
        <v>-0.71060999999999996</v>
      </c>
      <c r="G1734" s="15">
        <f>IF(A1736=A1737,_xll.ciqfunctions.udf.CIQ(A1728,"IQ_EBITDA_MARGIN",IQ_FY-4), _xll.ciqfunctions.udf.CIQ(A1728, "IQ_EBITDA_MARGIN",IQ_FY-3))</f>
        <v>12.8248</v>
      </c>
      <c r="H1734" s="15">
        <f>IF(A1736=A1737,_xll.ciqfunctions.udf.CIQ(A1728,"IQ_TOTAL_DIV_PAID_CF",IQ_FY-4)/-I1734, _xll.ciqfunctions.udf.CIQ(A1728, "IQ_TOTAL_DIV_PAID_CF",IQ_FY-3)/-I1734)</f>
        <v>0</v>
      </c>
      <c r="I1734" s="17">
        <f>IF(A1736=A1737,_xll.ciqfunctions.udf.CIQ(A1728,"IQ_TOTAL_OUTSTANDING_FILING_DATE",IQ_FY-4), _xll.ciqfunctions.udf.CIQ(A1728, "IQ_TOTAL_OUTSTANDING_FILING_DATE",IQ_FY-3))</f>
        <v>257.84235000000001</v>
      </c>
      <c r="J1734" s="17">
        <f>IF(A1736=A1737,_xll.ciqfunctions.udf.CIQ(A1728,"IQ_CASH_OPER",IQ_FY-4), _xll.ciqfunctions.udf.CIQ(A1728, "IQ_CASH_OPER",IQ_FY-3))</f>
        <v>3.1379999999999999</v>
      </c>
      <c r="K1734" s="17">
        <f>IF(A1736=A1737,_xll.ciqfunctions.udf.CIQ(A1728,"IQ_CAPEX",IQ_FY-4), _xll.ciqfunctions.udf.CIQ(A1728, "IQ_CAPEX",IQ_FY-3))</f>
        <v>-29.687999999999999</v>
      </c>
      <c r="L1734" s="15">
        <f t="shared" si="460"/>
        <v>-0.10296989614002508</v>
      </c>
      <c r="M1734" s="17">
        <f>IF(A1736=A1737,_xll.ciqfunctions.udf.CIQ(A1728,"IQ_TOTAL_DEBT_ISSUED",IQ_FY-4), _xll.ciqfunctions.udf.CIQ(A1728, "IQ_TOTAL_DEBT_ISSUED",IQ_FY-3))</f>
        <v>124.375</v>
      </c>
      <c r="N1734" s="17">
        <f>IF(A1736=A1737,_xll.ciqfunctions.udf.CIQ(A1728,"IQ_TOTAL_DEBT_REPAID",IQ_FY-4), _xll.ciqfunctions.udf.CIQ(A1728, "IQ_TOTAL_DEBT_REPAID",IQ_FY-3))</f>
        <v>-20.186</v>
      </c>
      <c r="O1734" s="15">
        <f t="shared" si="461"/>
        <v>0.40408024515755459</v>
      </c>
      <c r="P1734" s="15">
        <f t="shared" si="462"/>
        <v>0.30111034901752953</v>
      </c>
      <c r="Q1734" s="18"/>
      <c r="R1734" s="38" t="s">
        <v>29</v>
      </c>
      <c r="S1734" s="4">
        <f>(AVERAGE(P1733:P1738)/_xlfn.STDEV.P(P1733:P1738))/(IF(A1736=A1737,(_xlfn.SINGLE(_xll.ciqfunctions.udf.CIQ(A1728,"IQ_total_assets",IQ_FY)) - _xlfn.SINGLE(_xll.ciqfunctions.udf.CIQ(A1728,"iq_gw_intan", IQ_FY)))/I1738, (_xlfn.SINGLE(_xll.ciqfunctions.udf.CIQ(A1728, "IQ_total_assets",IQ_LTM))-_xlfn.SINGLE(_xll.ciqfunctions.udf.CIQ(A1728,"iq_gw_intan",IQ_LTM)))/I1738))</f>
        <v>-2.3142451155289085E-2</v>
      </c>
      <c r="U1734" s="18"/>
      <c r="V1734" s="38" t="s">
        <v>29</v>
      </c>
      <c r="W1734" s="4">
        <f>(AVERAGE(P1733:P1738)/_xlfn.STDEV.P(P1733:P1738))/(IF(A1736=A1737,(_xlfn.SINGLE(_xll.ciqfunctions.udf.CIQ(A1728,"IQ_total_assets",IQ_FY)) - _xlfn.SINGLE(_xll.ciqfunctions.udf.CIQ(A1728,"iq_gw_intan", IQ_FY)))/I1738, (_xlfn.SINGLE(_xll.ciqfunctions.udf.CIQ(A1728, "IQ_total_assets",IQ_LTM))-_xlfn.SINGLE(_xll.ciqfunctions.udf.CIQ(A1728,"iq_gw_intan",IQ_LTM)))/I1738))</f>
        <v>-2.3142451155289085E-2</v>
      </c>
      <c r="Y1734" s="18"/>
      <c r="Z1734" s="38" t="s">
        <v>29</v>
      </c>
      <c r="AA1734" s="4">
        <f>(AVERAGE(P1733:P1738)/_xlfn.STDEV.P(P1733:P1738))/(IF(A1736=A1737,(_xlfn.SINGLE(_xll.ciqfunctions.udf.CIQ(A1728,"IQ_total_assets",IQ_FY)) - _xlfn.SINGLE(_xll.ciqfunctions.udf.CIQ(A1728,"iq_gw_intan", IQ_FY)))/I1738, (_xlfn.SINGLE(_xll.ciqfunctions.udf.CIQ(A1728, "IQ_total_assets",IQ_LTM))-_xlfn.SINGLE(_xll.ciqfunctions.udf.CIQ(A1728,"iq_gw_intan",IQ_LTM)))/I1738))</f>
        <v>-2.3142451155289085E-2</v>
      </c>
    </row>
    <row r="1735" spans="1:27">
      <c r="A1735" s="18"/>
      <c r="B1735" s="13">
        <v>8</v>
      </c>
      <c r="C1735" s="14" t="s">
        <v>30</v>
      </c>
      <c r="D1735" s="15" cm="1">
        <f t="array" ref="D1735">_xlfn.SINGLE(IF(A1736=A1737,_xll.ciqfunctions.udf.CIQ(A1728,"IQ_TOTAL_REV",IQ_FY-3)/I1735, _xll.ciqfunctions.udf.CIQ(A1728, "IQ_TOTAL_REV",IQ_FY-2)/I1735))</f>
        <v>6.0135380718030429E-2</v>
      </c>
      <c r="E1735" s="16">
        <f t="shared" si="463"/>
        <v>-0.9881323445443414</v>
      </c>
      <c r="F1735" s="15">
        <f>IF(A1736=A1737,_xll.ciqfunctions.udf.CIQ(A1728,"IQ_DILUT_EPS_EXCL",IQ_FY-3), _xll.ciqfunctions.udf.CIQ(A1728, "IQ_DILUT_EPS_EXCL",IQ_FY-2))</f>
        <v>-0.69</v>
      </c>
      <c r="G1735" s="15">
        <f>IF(A1736=A1737,_xll.ciqfunctions.udf.CIQ(A1728,"IQ_EBITDA_MARGIN",IQ_FY-3), _xll.ciqfunctions.udf.CIQ(A1728, "IQ_EBITDA_MARGIN",IQ_FY-2))</f>
        <v>19.428999999999998</v>
      </c>
      <c r="H1735" s="15">
        <f>IF(A1736=A1737,_xll.ciqfunctions.udf.CIQ(A1728,"IQ_TOTAL_DIV_PAID_CF",IQ_FY-3)/-I1735, _xll.ciqfunctions.udf.CIQ(A1728, "IQ_TOTAL_DIV_PAID_CF",IQ_FY-2)/-I1735)</f>
        <v>0</v>
      </c>
      <c r="I1735" s="17">
        <f>IF(A1736=A1737,_xll.ciqfunctions.udf.CIQ(A1728,"IQ_TOTAL_OUTSTANDING_FILING_DATE",IQ_FY-3), _xll.ciqfunctions.udf.CIQ(A1728, "IQ_TOTAL_OUTSTANDING_FILING_DATE",IQ_FY-2))</f>
        <v>22001.955989999999</v>
      </c>
      <c r="J1735" s="17">
        <f>IF(A1736=A1737,_xll.ciqfunctions.udf.CIQ(A1728,"IQ_CASH_OPER",IQ_FY-3), _xll.ciqfunctions.udf.CIQ(A1728, "IQ_CASH_OPER",IQ_FY-2))</f>
        <v>167.75399999999999</v>
      </c>
      <c r="K1735" s="17">
        <f>IF(A1736=A1737,_xll.ciqfunctions.udf.CIQ(A1728,"IQ_CAPEX",IQ_FY-3), _xll.ciqfunctions.udf.CIQ(A1728, "IQ_CAPEX",IQ_FY-2))</f>
        <v>-13.835000000000001</v>
      </c>
      <c r="L1735" s="15">
        <f t="shared" si="460"/>
        <v>6.9956962040082686E-3</v>
      </c>
      <c r="M1735" s="17">
        <f>IF(A1736=A1737,_xll.ciqfunctions.udf.CIQ(A1728,"IQ_TOTAL_DEBT_ISSUED",IQ_FY-3), _xll.ciqfunctions.udf.CIQ(A1728, "IQ_TOTAL_DEBT_ISSUED",IQ_FY-2))</f>
        <v>949.96500000000003</v>
      </c>
      <c r="N1735" s="17">
        <f>IF(A1736=A1737,_xll.ciqfunctions.udf.CIQ(A1728,"IQ_TOTAL_DEBT_REPAID",IQ_FY-3), _xll.ciqfunctions.udf.CIQ(A1728, "IQ_TOTAL_DEBT_REPAID",IQ_FY-2))</f>
        <v>-825.98099999999999</v>
      </c>
      <c r="O1735" s="15">
        <f t="shared" si="461"/>
        <v>5.6351353514365451E-3</v>
      </c>
      <c r="P1735" s="15">
        <f t="shared" si="462"/>
        <v>1.2630831555444814E-2</v>
      </c>
      <c r="Q1735" s="18"/>
      <c r="R1735" s="39" t="s">
        <v>31</v>
      </c>
      <c r="S1735" s="5" t="e">
        <f>IF(NOT(D1728&gt;0),FALSE,SLOPE(G1728:G1738,B1728:B1738))</f>
        <v>#DIV/0!</v>
      </c>
      <c r="U1735" s="18"/>
      <c r="V1735" s="39" t="s">
        <v>31</v>
      </c>
      <c r="W1735" s="5" t="e">
        <f>IF(NOT(D1728&gt;0),FALSE,SLOPE(G1728:G1738,B1728:B1738))</f>
        <v>#DIV/0!</v>
      </c>
      <c r="Y1735" s="18"/>
      <c r="Z1735" s="39" t="s">
        <v>31</v>
      </c>
      <c r="AA1735" s="5" t="e">
        <f>IF(NOT(L1728&gt;0),FALSE,SLOPE(O1728:O1738,J1728:J1738))</f>
        <v>#DIV/0!</v>
      </c>
    </row>
    <row r="1736" spans="1:27">
      <c r="A1736" s="19">
        <f>_xll.ciqfunctions.udf.CIQ(A1728,"IQ_TOTAL_REV",IQ_FY)</f>
        <v>1505.1179999999999</v>
      </c>
      <c r="B1736" s="13">
        <v>9</v>
      </c>
      <c r="C1736" s="14" t="s">
        <v>32</v>
      </c>
      <c r="D1736" s="15" cm="1">
        <f t="array" ref="D1736">_xlfn.SINGLE(IF(A1736=A1737,_xll.ciqfunctions.udf.CIQ(A1728,"IQ_TOTAL_REV",IQ_FY-2)/I1736, _xll.ciqfunctions.udf.CIQ(A1728, "IQ_TOTAL_REV",IQ_FY-1)/I1736))</f>
        <v>5.1611039423899783</v>
      </c>
      <c r="E1736" s="16">
        <f t="shared" si="463"/>
        <v>84.824748771275694</v>
      </c>
      <c r="F1736" s="15">
        <f>IF(A1736=A1737,_xll.ciqfunctions.udf.CIQ(A1728,"IQ_DILUT_EPS_EXCL",IQ_FY-2), _xll.ciqfunctions.udf.CIQ(A1728, "IQ_DILUT_EPS_EXCL",IQ_FY-1))</f>
        <v>-0.4</v>
      </c>
      <c r="G1736" s="15">
        <f>IF(A1736=A1737,_xll.ciqfunctions.udf.CIQ(A1728,"IQ_EBITDA_MARGIN",IQ_FY-2), _xll.ciqfunctions.udf.CIQ(A1728, "IQ_EBITDA_MARGIN",IQ_FY-1))</f>
        <v>17.825399999999998</v>
      </c>
      <c r="H1736" s="15">
        <f>IF(A1736=A1737,_xll.ciqfunctions.udf.CIQ(A1728,"IQ_TOTAL_DIV_PAID_CF",IQ_FY-2)/-I1736, _xll.ciqfunctions.udf.CIQ(A1728, "IQ_TOTAL_DIV_PAID_CF",IQ_FY-1)/-I1736)</f>
        <v>0</v>
      </c>
      <c r="I1736" s="17">
        <f>IF(A1736=A1737,_xll.ciqfunctions.udf.CIQ(A1728,"IQ_TOTAL_OUTSTANDING_FILING_DATE",IQ_FY-2), _xll.ciqfunctions.udf.CIQ(A1728, "IQ_TOTAL_OUTSTANDING_FILING_DATE",IQ_FY-1))</f>
        <v>279.79575999999997</v>
      </c>
      <c r="J1736" s="17">
        <f>IF(A1736=A1737,_xll.ciqfunctions.udf.CIQ(A1728,"IQ_CASH_OPER",IQ_FY-2), _xll.ciqfunctions.udf.CIQ(A1728, "IQ_CASH_OPER",IQ_FY-1))</f>
        <v>228.68299999999999</v>
      </c>
      <c r="K1736" s="17">
        <f>IF(A1736=A1737,_xll.ciqfunctions.udf.CIQ(A1728,"IQ_CAPEX",IQ_FY-2), _xll.ciqfunctions.udf.CIQ(A1728, "IQ_CAPEX",IQ_FY-1))</f>
        <v>-10.817</v>
      </c>
      <c r="L1736" s="15">
        <f t="shared" si="460"/>
        <v>0.77866083460306901</v>
      </c>
      <c r="M1736" s="17">
        <f>IF(A1736=A1737,_xll.ciqfunctions.udf.CIQ(A1728,"IQ_TOTAL_DEBT_ISSUED",IQ_FY-2), _xll.ciqfunctions.udf.CIQ(A1728, "IQ_TOTAL_DEBT_ISSUED",IQ_FY-1))</f>
        <v>441.31799999999998</v>
      </c>
      <c r="N1736" s="17">
        <f>IF(A1736=A1737,_xll.ciqfunctions.udf.CIQ(A1728,"IQ_TOTAL_DEBT_REPAID",IQ_FY-2), _xll.ciqfunctions.udf.CIQ(A1728, "IQ_TOTAL_DEBT_REPAID",IQ_FY-1))</f>
        <v>-1373.5920000000001</v>
      </c>
      <c r="O1736" s="15">
        <f t="shared" si="461"/>
        <v>-3.3319804417336423</v>
      </c>
      <c r="P1736" s="15">
        <f t="shared" si="462"/>
        <v>-2.5533196071305735</v>
      </c>
      <c r="Q1736" s="25" t="s">
        <v>33</v>
      </c>
      <c r="R1736" s="38" t="s">
        <v>52</v>
      </c>
      <c r="S1736" s="4">
        <f>(AVERAGE(O1733:O1738)/AVERAGE(P1733:P1738))</f>
        <v>3.3150108292468095</v>
      </c>
      <c r="U1736" s="25" t="s">
        <v>54</v>
      </c>
      <c r="V1736" s="38" t="s">
        <v>52</v>
      </c>
      <c r="W1736" s="4">
        <f>(AVERAGE(O1733:O1738)/AVERAGE(P1733:P1738))</f>
        <v>3.3150108292468095</v>
      </c>
      <c r="Y1736" s="25" t="s">
        <v>60</v>
      </c>
      <c r="Z1736" s="38" t="s">
        <v>52</v>
      </c>
      <c r="AA1736" s="4">
        <f>(AVERAGE(O1733:O1738)/AVERAGE(P1733:P1738))</f>
        <v>3.3150108292468095</v>
      </c>
    </row>
    <row r="1737" spans="1:27">
      <c r="A1737" s="19">
        <f>_xll.ciqfunctions.udf.CIQ(A1728,"IQ_TOTAL_REV",IQ_LTM)</f>
        <v>1548.7629999999999</v>
      </c>
      <c r="B1737" s="13">
        <v>10</v>
      </c>
      <c r="C1737" s="14" t="s">
        <v>34</v>
      </c>
      <c r="D1737" s="15" cm="1">
        <f t="array" ref="D1737">_xlfn.SINGLE(IF(A1736=A1737,_xll.ciqfunctions.udf.CIQ(A1728,"IQ_TOTAL_REV",IQ_FY-1)/I1737, _xll.ciqfunctions.udf.CIQ(A1728, "IQ_TOTAL_REV",IQ_FY)/I1737))</f>
        <v>5.299811852062966</v>
      </c>
      <c r="E1737" s="16">
        <f t="shared" si="463"/>
        <v>2.6875628009296704E-2</v>
      </c>
      <c r="F1737" s="15">
        <f>IF(A1736=A1737,_xll.ciqfunctions.udf.CIQ(A1728,"IQ_DILUT_EPS_EXCL",IQ_FY-1), _xll.ciqfunctions.udf.CIQ(A1728, "IQ_DILUT_EPS_EXCL",IQ_FY))</f>
        <v>-0.19092999999999999</v>
      </c>
      <c r="G1737" s="15">
        <f>IF(A1736=A1737,_xll.ciqfunctions.udf.CIQ(A1728,"IQ_EBITDA_MARGIN",IQ_FY-1), _xll.ciqfunctions.udf.CIQ(A1728, "IQ_EBITDA_MARGIN",IQ_FY))</f>
        <v>13.306699999999999</v>
      </c>
      <c r="H1737" s="15">
        <f>IF(A1736=A1737,_xll.ciqfunctions.udf.CIQ(A1728,"IQ_TOTAL_DIV_PAID_CF",IQ_FY-1)/-I1737, _xll.ciqfunctions.udf.CIQ(A1728, "IQ_TOTAL_DIV_PAID_CF",IQ_FY)/-I1737)</f>
        <v>8.450864613240371E-5</v>
      </c>
      <c r="I1737" s="17">
        <f>IF(A1736=A1737,_xll.ciqfunctions.udf.CIQ(A1728,"IQ_TOTAL_OUTSTANDING_FILING_DATE",IQ_FY-1), _xll.ciqfunctions.udf.CIQ(A1728, "IQ_TOTAL_OUTSTANDING_FILING_DATE",IQ_FY))</f>
        <v>283.99461000000002</v>
      </c>
      <c r="J1737" s="17">
        <f>IF(A1736=A1737,_xll.ciqfunctions.udf.CIQ(A1728,"IQ_CASH_OPER",IQ_FY-1), _xll.ciqfunctions.udf.CIQ(A1728, "IQ_CASH_OPER",IQ_FY))</f>
        <v>200.05699999999999</v>
      </c>
      <c r="K1737" s="17">
        <f>IF(A1736=A1737,_xll.ciqfunctions.udf.CIQ(A1728,"IQ_CAPEX",IQ_FY-1), _xll.ciqfunctions.udf.CIQ(A1728, "IQ_CAPEX",IQ_FY))</f>
        <v>-5.4649999999999999</v>
      </c>
      <c r="L1737" s="15">
        <f t="shared" si="460"/>
        <v>0.68519610284152921</v>
      </c>
      <c r="M1737" s="17">
        <f>IF(A1736=A1737,_xll.ciqfunctions.udf.CIQ(A1728,"IQ_TOTAL_DEBT_ISSUED",IQ_FY-1), _xll.ciqfunctions.udf.CIQ(A1728, "IQ_TOTAL_DEBT_ISSUED",IQ_FY))</f>
        <v>0</v>
      </c>
      <c r="N1737" s="17">
        <f>IF(A1736=A1737,_xll.ciqfunctions.udf.CIQ(A1728,"IQ_TOTAL_DEBT_REPAID",IQ_FY-1), _xll.ciqfunctions.udf.CIQ(A1728, "IQ_TOTAL_DEBT_REPAID",IQ_FY))</f>
        <v>-14.063000000000001</v>
      </c>
      <c r="O1737" s="15">
        <f t="shared" si="461"/>
        <v>-4.9518545439999721E-2</v>
      </c>
      <c r="P1737" s="15">
        <f t="shared" si="462"/>
        <v>0.63567755740152954</v>
      </c>
      <c r="Q1737" s="25" t="s">
        <v>44</v>
      </c>
      <c r="R1737" s="38" t="s">
        <v>35</v>
      </c>
      <c r="S1737" s="1">
        <f>_xll.ciqfunctions.udf.CIQ(A1728,"IQ_TEV_EBITDA")</f>
        <v>38.609090000000002</v>
      </c>
      <c r="U1737" s="25" t="s">
        <v>55</v>
      </c>
      <c r="V1737" s="38" t="s">
        <v>53</v>
      </c>
      <c r="W1737" s="1" t="e">
        <f>V1727/(AVERAGE(D1733:D1738)/_xlfn.STDEV.P(E1733:E1738))</f>
        <v>#DIV/0!</v>
      </c>
      <c r="Y1737" s="25" t="s">
        <v>57</v>
      </c>
      <c r="Z1737" s="38" t="s">
        <v>53</v>
      </c>
      <c r="AA1737" s="1" t="e">
        <f>Z1727/(AVERAGE(D1733:D1738)/_xlfn.STDEV.P(E1733:E1738))</f>
        <v>#DIV/0!</v>
      </c>
    </row>
    <row r="1738" spans="1:27">
      <c r="B1738" s="13">
        <v>11</v>
      </c>
      <c r="C1738" s="20" t="s">
        <v>36</v>
      </c>
      <c r="D1738" s="21" cm="1">
        <f t="array" ref="D1738">_xlfn.SINGLE(IF(A1736=A1737,_xll.ciqfunctions.udf.CIQ(A1728,"IQ_TOTAL_REV",IQ_FY)/I1738, _xll.ciqfunctions.udf.CIQ(A1728, "IQ_TOTAL_REV",IQ_LTM)/I1738))</f>
        <v>5.3198897113251986</v>
      </c>
      <c r="E1738" s="22">
        <f t="shared" si="463"/>
        <v>3.7884098195707155E-3</v>
      </c>
      <c r="F1738" s="21">
        <f>IF(A1736=A1737,_xll.ciqfunctions.udf.CIQ(A1728,"IQ_DILUT_EPS_EXCL",IQ_FY), _xll.ciqfunctions.udf.CIQ(A1728, "IQ_DILUT_EPS_EXCL",IQ_LTM))</f>
        <v>-0.67757000000000001</v>
      </c>
      <c r="G1738" s="21">
        <f>IF(A1736=A1737,_xll.ciqfunctions.udf.CIQ(A1728,"IQ_EBITDA_MARGIN",IQ_FY), _xll.ciqfunctions.udf.CIQ(A1728, "IQ_EBITDA_MARGIN",IQ_LTM))</f>
        <v>13.7155</v>
      </c>
      <c r="H1738" s="21">
        <f>IF(A1736=A1737,_xll.ciqfunctions.udf.CIQ(A1728,"IQ_TOTAL_DIV_PAID_CF",IQ_FY)/-I1738, _xll.ciqfunctions.udf.CIQ(A1728, "IQ_TOTAL_DIV_PAID_CF",IQ_LTM)/-I1738)</f>
        <v>4.121913845817752E-5</v>
      </c>
      <c r="I1738" s="23">
        <f>IF(A1736=A1737,_xll.ciqfunctions.udf.CIQ(A1728,"IQ_TOTAL_OUTSTANDING_FILING_DATE",IQ_FY),_xll.ciqfunctions.udf.CIQ(A1728,"IQ_sharesoutstanding"))</f>
        <v>291.12689999999998</v>
      </c>
      <c r="J1738" s="23">
        <f>IF(A1736=A1737,_xll.ciqfunctions.udf.CIQ(A1728,"IQ_CASH_OPER",IQ_FY), _xll.ciqfunctions.udf.CIQ(A1728, "IQ_CASH_OPER",IQ_LTM))</f>
        <v>226.01499999999999</v>
      </c>
      <c r="K1738" s="23">
        <f>IF(A1736=A1737,_xll.ciqfunctions.udf.CIQ(A1728,"IQ_CAPEX",IQ_FY), _xll.ciqfunctions.udf.CIQ(A1728, "IQ_CAPEX",IQ_LTM))</f>
        <v>-8.8109999999999999</v>
      </c>
      <c r="L1738" s="21">
        <f t="shared" si="460"/>
        <v>0.74608014580583237</v>
      </c>
      <c r="M1738" s="23">
        <f>IF(A1736=A1737,_xll.ciqfunctions.udf.CIQ(A1728,"IQ_TOTAL_DEBT_ISSUED",IQ_FY), _xll.ciqfunctions.udf.CIQ(A1728, "IQ_TOTAL_DEBT_ISSUED",IQ_LTM))</f>
        <v>0</v>
      </c>
      <c r="N1738" s="23">
        <f>IF(A1736=A1737,_xll.ciqfunctions.udf.CIQ(A1728,"IQ_TOTAL_DEBT_REPAID",IQ_FY), _xll.ciqfunctions.udf.CIQ(A1728, "IQ_TOTAL_DEBT_REPAID",IQ_LTM))</f>
        <v>-18.751000000000001</v>
      </c>
      <c r="O1738" s="21">
        <f t="shared" si="461"/>
        <v>-6.4408338769107232E-2</v>
      </c>
      <c r="P1738" s="21">
        <f t="shared" si="462"/>
        <v>0.68167180703672514</v>
      </c>
      <c r="Q1738" s="25" t="s">
        <v>45</v>
      </c>
      <c r="S1738" s="45"/>
      <c r="U1738" s="25"/>
      <c r="W1738" s="45"/>
      <c r="Y1738" s="25"/>
      <c r="AA1738" s="45"/>
    </row>
    <row r="1739" spans="1:27">
      <c r="B1739" s="24"/>
      <c r="C1739" s="25" t="s">
        <v>37</v>
      </c>
      <c r="E1739" s="26">
        <f>((D1738/D1733)^(1/5))-1</f>
        <v>1.5385952649952799</v>
      </c>
      <c r="F1739" s="27">
        <f>((F1738/F1733)^(1/5))-1</f>
        <v>1.5034965048585476</v>
      </c>
      <c r="G1739" s="28"/>
      <c r="H1739" s="27" t="e">
        <f>((H1738/H1733)^(1/5))-1</f>
        <v>#DIV/0!</v>
      </c>
      <c r="I1739" s="27">
        <f>((I1738/I1733)^(1/5))-1</f>
        <v>-0.58739142186402349</v>
      </c>
      <c r="J1739" s="27"/>
      <c r="K1739" s="27"/>
      <c r="L1739" s="26">
        <f>((L1738/L1733)^(1/5))-1</f>
        <v>1.5374233926550405</v>
      </c>
      <c r="M1739" s="26"/>
      <c r="N1739" s="26"/>
      <c r="O1739" s="26"/>
      <c r="P1739" s="26">
        <f>((P1738/P1733)^(1/5))-1</f>
        <v>1.5759174957855033</v>
      </c>
      <c r="Q1739" s="18"/>
      <c r="R1739" s="36"/>
      <c r="S1739" s="45"/>
      <c r="U1739" s="18"/>
      <c r="V1739" s="36"/>
      <c r="W1739" s="45"/>
      <c r="Y1739" s="18"/>
      <c r="Z1739" s="36"/>
      <c r="AA1739" s="45"/>
    </row>
    <row r="1740" spans="1:27">
      <c r="A1740" s="29"/>
      <c r="B1740" s="30"/>
      <c r="C1740" s="31" t="s">
        <v>38</v>
      </c>
      <c r="D1740" s="29"/>
      <c r="E1740" s="32" t="e">
        <f>((D1738/D1728)^(1/10))-1</f>
        <v>#DIV/0!</v>
      </c>
      <c r="F1740" s="33" t="e">
        <f>((F1738/F1728)^(1/10))-1</f>
        <v>#DIV/0!</v>
      </c>
      <c r="G1740" s="34"/>
      <c r="H1740" s="33" t="e">
        <f>((H1738/H1728)^(1/10))-1</f>
        <v>#DIV/0!</v>
      </c>
      <c r="I1740" s="33" t="e">
        <f>((I1738/I1728)^(1/10))-1</f>
        <v>#DIV/0!</v>
      </c>
      <c r="J1740" s="33"/>
      <c r="K1740" s="33"/>
      <c r="L1740" s="32" t="e">
        <f>((L1738/L1728)^(1/10))-1</f>
        <v>#DIV/0!</v>
      </c>
      <c r="M1740" s="32"/>
      <c r="N1740" s="32"/>
      <c r="O1740" s="32"/>
      <c r="P1740" s="32" t="e">
        <f>((P1738/P1728)^(1/10))-1</f>
        <v>#DIV/0!</v>
      </c>
      <c r="Q1740" s="40"/>
      <c r="R1740" s="41"/>
      <c r="S1740" s="46"/>
      <c r="U1740" s="40"/>
      <c r="V1740" s="41"/>
      <c r="W1740" s="46"/>
      <c r="Y1740" s="40"/>
      <c r="Z1740" s="41"/>
      <c r="AA1740" s="46"/>
    </row>
    <row r="1741" spans="1:27">
      <c r="B1741" s="24"/>
      <c r="C1741" s="25"/>
      <c r="E1741" s="26"/>
      <c r="F1741" s="27"/>
      <c r="G1741" s="28"/>
      <c r="H1741" s="27"/>
      <c r="I1741" s="27"/>
      <c r="J1741" s="27"/>
      <c r="K1741" s="27"/>
      <c r="L1741" s="26"/>
      <c r="M1741" s="17"/>
      <c r="N1741" s="17"/>
      <c r="O1741" s="17"/>
      <c r="P1741" s="35"/>
      <c r="Q1741" s="18"/>
      <c r="R1741" s="36"/>
    </row>
    <row r="1742" spans="1:27">
      <c r="A1742" s="9" t="s">
        <v>0</v>
      </c>
      <c r="B1742" s="10"/>
      <c r="C1742" s="9" t="s">
        <v>1</v>
      </c>
      <c r="D1742" s="9" t="s">
        <v>2</v>
      </c>
      <c r="E1742" s="9" t="s">
        <v>3</v>
      </c>
      <c r="F1742" s="11" t="s">
        <v>4</v>
      </c>
      <c r="G1742" s="11" t="s">
        <v>5</v>
      </c>
      <c r="H1742" s="9" t="s">
        <v>6</v>
      </c>
      <c r="I1742" s="11" t="s">
        <v>7</v>
      </c>
      <c r="J1742" s="11" t="s">
        <v>8</v>
      </c>
      <c r="K1742" s="11" t="s">
        <v>9</v>
      </c>
      <c r="L1742" s="11" t="s">
        <v>10</v>
      </c>
      <c r="M1742" s="11" t="s">
        <v>11</v>
      </c>
      <c r="N1742" s="11" t="s">
        <v>12</v>
      </c>
      <c r="O1742" s="11" t="s">
        <v>13</v>
      </c>
      <c r="P1742" s="11" t="s">
        <v>14</v>
      </c>
      <c r="Q1742" s="37" t="s">
        <v>15</v>
      </c>
      <c r="R1742" s="42">
        <f>_xll.ciqfunctions.udf.CIQ(A1743,("IQ_LASTSALEPRICE"))</f>
        <v>27.22</v>
      </c>
      <c r="S1742" s="44"/>
      <c r="U1742" s="37" t="s">
        <v>15</v>
      </c>
      <c r="V1742" s="42">
        <f>_xll.ciqfunctions.udf.CIQ(A1743,("IQ_LASTSALEPRICE"))</f>
        <v>27.22</v>
      </c>
      <c r="W1742" s="44"/>
      <c r="Y1742" s="37" t="s">
        <v>15</v>
      </c>
      <c r="Z1742" s="42">
        <f>_xll.ciqfunctions.udf.CIQ(A1743,("IQ_LASTSALEPRICE"))</f>
        <v>27.22</v>
      </c>
      <c r="AA1742" s="44"/>
    </row>
    <row r="1743" spans="1:27">
      <c r="A1743" s="12" t="str">
        <f>Analysis!B118</f>
        <v>NYSE:IOT</v>
      </c>
      <c r="B1743" s="13">
        <v>1</v>
      </c>
      <c r="C1743" s="14" t="s">
        <v>16</v>
      </c>
      <c r="D1743" s="15" t="e">
        <f>IF(A1751=A1752,_xll.ciqfunctions.udf.CIQ(A1743,"IQ_TOTAL_REV",IQ_FY-10)/I1743,_xll.ciqfunctions.udf.CIQ(A1743, "IQ_TOTAL_REV",IQ_FY-9)/I1743)</f>
        <v>#DIV/0!</v>
      </c>
      <c r="E1743" s="16"/>
      <c r="F1743" s="15">
        <f>IF(A1751=A1752,_xll.ciqfunctions.udf.CIQ(A1743,"IQ_DILUT_EPS_EXCL",IQ_FY-10), _xll.ciqfunctions.udf.CIQ(A1743, "IQ_DILUT_EPS_EXCL",IQ_FY-9))</f>
        <v>0</v>
      </c>
      <c r="G1743" s="15">
        <f>IF(A1751=A1752,_xll.ciqfunctions.udf.CIQ(A1743,"IQ_EBITDA_MARGIN",IQ_FY-10), _xll.ciqfunctions.udf.CIQ(A1743, "IQ_EBITDA_MARGIN",IQ_FY-9))</f>
        <v>0</v>
      </c>
      <c r="H1743" s="15" t="e">
        <f>IF(A1751=A1752,_xll.ciqfunctions.udf.CIQ(A1743,"IQ_TOTAL_DIV_PAID_CF",IQ_FY-10)/-I1743, _xll.ciqfunctions.udf.CIQ(A1743, "IQ_TOTAL_DIV_PAID_CF",IQ_FY-9)/-I1743)</f>
        <v>#DIV/0!</v>
      </c>
      <c r="I1743" s="17">
        <f>IF(A1751=A1752,_xll.ciqfunctions.udf.CIQ(A1743,"IQ_TOTAL_OUTSTANDING_FILING_DATE",IQ_FY-10), _xll.ciqfunctions.udf.CIQ(A1743, "IQ_TOTAL_OUTSTANDING_FILING_DATE",IQ_FY-9))</f>
        <v>0</v>
      </c>
      <c r="J1743" s="17">
        <f>IF(A1751=A1752,_xll.ciqfunctions.udf.CIQ(A1743,"IQ_CASH_OPER",IQ_FY-10), _xll.ciqfunctions.udf.CIQ(A1743, "IQ_CASH_OPER",IQ_FY-9))</f>
        <v>0</v>
      </c>
      <c r="K1743" s="17">
        <f>IF(A1751=A1752,_xll.ciqfunctions.udf.CIQ(A1743,"IQ_CAPEX",IQ_FY-10), _xll.ciqfunctions.udf.CIQ(A1743, "IQ_CAPEX",IQ_FY-9))</f>
        <v>0</v>
      </c>
      <c r="L1743" s="15" t="e">
        <f t="shared" ref="L1743:L1753" si="464">(J1743+K1743)/I1743</f>
        <v>#DIV/0!</v>
      </c>
      <c r="M1743" s="17">
        <f>IF(A1751=A1752,_xll.ciqfunctions.udf.CIQ(A1743,"IQ_TOTAL_DEBT_ISSUED",IQ_FY-10), _xll.ciqfunctions.udf.CIQ(A1743, "IQ_TOTAL_DEBT_ISSUED",IQ_FY-9))</f>
        <v>0</v>
      </c>
      <c r="N1743" s="17">
        <f>IF(A1751=A1752,_xll.ciqfunctions.udf.CIQ(A1743,"IQ_TOTAL_DEBT_REPAID",IQ_FY-10), _xll.ciqfunctions.udf.CIQ(A1743, "IQ_TOTAL_DEBT_REPAID",IQ_FY-9))</f>
        <v>0</v>
      </c>
      <c r="O1743" s="15" t="e">
        <f t="shared" ref="O1743:O1753" si="465">(M1743+N1743)/I1743</f>
        <v>#DIV/0!</v>
      </c>
      <c r="P1743" s="15" t="e">
        <f t="shared" ref="P1743:P1753" si="466">L1743+O1743</f>
        <v>#DIV/0!</v>
      </c>
      <c r="W1743" s="43"/>
      <c r="AA1743" s="43"/>
    </row>
    <row r="1744" spans="1:27">
      <c r="A1744" s="18" t="str">
        <f>_xll.ciqfunctions.udf.CIQ(A1743,"IQ_COMPANY_NAME")</f>
        <v>Samsara Inc.</v>
      </c>
      <c r="B1744" s="13">
        <v>2</v>
      </c>
      <c r="C1744" s="14" t="s">
        <v>17</v>
      </c>
      <c r="D1744" s="15" t="e">
        <f>IF(A1751=A1752,_xll.ciqfunctions.udf.CIQ(A1743,"IQ_TOTAL_REV",IQ_FY-9)/I1744, _xll.ciqfunctions.udf.CIQ(A1743, "IQ_TOTAL_REV",IQ_FY-8)/I1744)</f>
        <v>#DIV/0!</v>
      </c>
      <c r="E1744" s="16" t="e">
        <f t="shared" ref="E1744:E1753" si="467">(D1744-D1743)/D1743</f>
        <v>#DIV/0!</v>
      </c>
      <c r="F1744" s="15">
        <f>IF(A1751=A1752,_xll.ciqfunctions.udf.CIQ(A1743,"IQ_DILUT_EPS_EXCL",IQ_FY-9), _xll.ciqfunctions.udf.CIQ(A1743, "IQ_DILUT_EPS_EXCL",IQ_FY-8))</f>
        <v>0</v>
      </c>
      <c r="G1744" s="15">
        <f>IF(A1751=A1752,_xll.ciqfunctions.udf.CIQ(A1743,"IQ_EBITDA_MARGIN",IQ_FY-9), _xll.ciqfunctions.udf.CIQ(A1743, "IQ_EBITDA_MARGIN",IQ_FY-8))</f>
        <v>0</v>
      </c>
      <c r="H1744" s="15" t="e">
        <f>IF(A1751=A1752,_xll.ciqfunctions.udf.CIQ(A1743,"IQ_TOTAL_DIV_PAID_CF",IQ_FY-9)/-I1744, _xll.ciqfunctions.udf.CIQ(A1743, "IQ_TOTAL_DIV_PAID_CF",IQ_FY-8)/-I1744)</f>
        <v>#DIV/0!</v>
      </c>
      <c r="I1744" s="17">
        <f>IF(A1751=A1752,_xll.ciqfunctions.udf.CIQ(A1743,"IQ_TOTAL_OUTSTANDING_FILING_DATE",IQ_FY-9), _xll.ciqfunctions.udf.CIQ(A1743, "IQ_TOTAL_OUTSTANDING_FILING_DATE",IQ_FY-8))</f>
        <v>0</v>
      </c>
      <c r="J1744" s="17">
        <f>IF(A1751=A1752,_xll.ciqfunctions.udf.CIQ(A1743,"IQ_CASH_OPER",IQ_FY-9), _xll.ciqfunctions.udf.CIQ(A1743, "IQ_CASH_OPER",IQ_FY-8))</f>
        <v>0</v>
      </c>
      <c r="K1744" s="17">
        <f>IF(A1751=A1752,_xll.ciqfunctions.udf.CIQ(A1743,"IQ_CAPEX",IQ_FY-9), _xll.ciqfunctions.udf.CIQ(A1743, "IQ_CAPEX",IQ_FY-8))</f>
        <v>0</v>
      </c>
      <c r="L1744" s="15" t="e">
        <f t="shared" si="464"/>
        <v>#DIV/0!</v>
      </c>
      <c r="M1744" s="17">
        <f>IF(A1751=A1752,_xll.ciqfunctions.udf.CIQ(A1743,"IQ_TOTAL_DEBT_ISSUED",IQ_FY-9), _xll.ciqfunctions.udf.CIQ(A1743, "IQ_TOTAL_DEBT_ISSUED",IQ_FY-8))</f>
        <v>0</v>
      </c>
      <c r="N1744" s="17">
        <f>IF(A1751=A1752,_xll.ciqfunctions.udf.CIQ(A1743,"IQ_TOTAL_DEBT_REPAID",IQ_FY-9), _xll.ciqfunctions.udf.CIQ(A1743, "IQ_TOTAL_DEBT_REPAID",IQ_FY-8))</f>
        <v>0</v>
      </c>
      <c r="O1744" s="15" t="e">
        <f t="shared" si="465"/>
        <v>#DIV/0!</v>
      </c>
      <c r="P1744" s="15" t="e">
        <f t="shared" si="466"/>
        <v>#DIV/0!</v>
      </c>
      <c r="Q1744" s="25" t="s">
        <v>18</v>
      </c>
      <c r="R1744" s="39" t="s">
        <v>19</v>
      </c>
      <c r="S1744" s="1" t="e">
        <f>R1742/((AVERAGE(P1748:P1753))*(1+E1754)^3)</f>
        <v>#DIV/0!</v>
      </c>
      <c r="U1744" s="25" t="s">
        <v>48</v>
      </c>
      <c r="V1744" s="39" t="s">
        <v>19</v>
      </c>
      <c r="W1744" s="1" t="e">
        <f>V1742/((AVERAGE(P1748:P1753))*(1+E1754)^3)</f>
        <v>#DIV/0!</v>
      </c>
      <c r="Y1744" s="25" t="s">
        <v>39</v>
      </c>
      <c r="Z1744" s="39" t="s">
        <v>19</v>
      </c>
      <c r="AA1744" s="1" t="e">
        <f>Z1742/((AVERAGE(P1748:P1753))*(1+E1754)^3)</f>
        <v>#DIV/0!</v>
      </c>
    </row>
    <row r="1745" spans="1:27">
      <c r="B1745" s="13">
        <v>3</v>
      </c>
      <c r="C1745" s="14" t="s">
        <v>20</v>
      </c>
      <c r="D1745" s="15" t="e" cm="1">
        <f t="array" ref="D1745">_xlfn.SINGLE(IF(A1751=A1752,_xll.ciqfunctions.udf.CIQ(A1743,"IQ_TOTAL_REV",IQ_FY-8)/I1745, _xll.ciqfunctions.udf.CIQ(A1743, "IQ_TOTAL_REV",IQ_FY-7)/I1745))</f>
        <v>#DIV/0!</v>
      </c>
      <c r="E1745" s="16" t="e">
        <f t="shared" si="467"/>
        <v>#DIV/0!</v>
      </c>
      <c r="F1745" s="15">
        <f>IF(A1751=A1752,_xll.ciqfunctions.udf.CIQ(A1743,"IQ_DILUT_EPS_EXCL",IQ_FY-8), _xll.ciqfunctions.udf.CIQ(A1743, "IQ_DILUT_EPS_EXCL",IQ_FY-7))</f>
        <v>0</v>
      </c>
      <c r="G1745" s="15">
        <f>IF(A1751=A1752,_xll.ciqfunctions.udf.CIQ(A1743,"IQ_EBITDA_MARGIN",IQ_FY-8), _xll.ciqfunctions.udf.CIQ(A1743, "IQ_EBITDA_MARGIN",IQ_FY-7))</f>
        <v>0</v>
      </c>
      <c r="H1745" s="15" t="e">
        <f>IF(A1751=A1752,_xll.ciqfunctions.udf.CIQ(A1743,"IQ_TOTAL_DIV_PAID_CF",IQ_FY-8)/-I1745, _xll.ciqfunctions.udf.CIQ(A1743, "IQ_TOTAL_DIV_PAID_CF",IQ_FY-7)/-I1745)</f>
        <v>#DIV/0!</v>
      </c>
      <c r="I1745" s="17">
        <f>IF(A1751=A1752,_xll.ciqfunctions.udf.CIQ(A1743,"IQ_TOTAL_OUTSTANDING_FILING_DATE",IQ_FY-8), _xll.ciqfunctions.udf.CIQ(A1743, "IQ_TOTAL_OUTSTANDING_FILING_DATE",IQ_FY-7))</f>
        <v>0</v>
      </c>
      <c r="J1745" s="17">
        <f>IF(A1751=A1752,_xll.ciqfunctions.udf.CIQ(A1743,"IQ_CASH_OPER",IQ_FY-8), _xll.ciqfunctions.udf.CIQ(A1743, "IQ_CASH_OPER",IQ_FY-7))</f>
        <v>0</v>
      </c>
      <c r="K1745" s="17">
        <f>IF(A1751=A1752,_xll.ciqfunctions.udf.CIQ(A1743,"IQ_CAPEX",IQ_FY-8), _xll.ciqfunctions.udf.CIQ(A1743, "IQ_CAPEX",IQ_FY-7))</f>
        <v>0</v>
      </c>
      <c r="L1745" s="15" t="e">
        <f t="shared" si="464"/>
        <v>#DIV/0!</v>
      </c>
      <c r="M1745" s="17">
        <f>IF(A1751=A1752,_xll.ciqfunctions.udf.CIQ(A1743,"IQ_TOTAL_DEBT_ISSUED",IQ_FY-8), _xll.ciqfunctions.udf.CIQ(A1743, "IQ_TOTAL_DEBT_ISSUED",IQ_FY-7))</f>
        <v>0</v>
      </c>
      <c r="N1745" s="17">
        <f>IF(A1751=A1752,_xll.ciqfunctions.udf.CIQ(A1743,"IQ_TOTAL_DEBT_REPAID",IQ_FY-8), _xll.ciqfunctions.udf.CIQ(A1743, "IQ_TOTAL_DEBT_REPAID",IQ_FY-7))</f>
        <v>0</v>
      </c>
      <c r="O1745" s="15" t="e">
        <f t="shared" si="465"/>
        <v>#DIV/0!</v>
      </c>
      <c r="P1745" s="15" t="e">
        <f t="shared" si="466"/>
        <v>#DIV/0!</v>
      </c>
      <c r="Q1745" s="25" t="s">
        <v>21</v>
      </c>
      <c r="R1745" s="38" t="s">
        <v>49</v>
      </c>
      <c r="S1745" s="2">
        <f>(R1742*I1753)/1000</f>
        <v>14.561395073199998</v>
      </c>
      <c r="U1745" s="25" t="s">
        <v>59</v>
      </c>
      <c r="V1745" s="38" t="s">
        <v>49</v>
      </c>
      <c r="W1745" s="2">
        <f>(V1742*I1753)/1000</f>
        <v>14.561395073199998</v>
      </c>
      <c r="Y1745" s="25" t="s">
        <v>46</v>
      </c>
      <c r="Z1745" s="38" t="s">
        <v>49</v>
      </c>
      <c r="AA1745" s="2">
        <f>(Z1742*I1753)/1000</f>
        <v>14.561395073199998</v>
      </c>
    </row>
    <row r="1746" spans="1:27">
      <c r="A1746" s="18"/>
      <c r="B1746" s="13">
        <v>4</v>
      </c>
      <c r="C1746" s="14" t="s">
        <v>22</v>
      </c>
      <c r="D1746" s="15" t="e" cm="1">
        <f t="array" ref="D1746">_xlfn.SINGLE(IF(A1751=A1752,_xll.ciqfunctions.udf.CIQ(A1743,"IQ_TOTAL_REV",IQ_FY-7)/I1746, _xll.ciqfunctions.udf.CIQ(A1743, "IQ_TOTAL_REV",IQ_FY-6)/I1746))</f>
        <v>#DIV/0!</v>
      </c>
      <c r="E1746" s="16" t="e">
        <f t="shared" si="467"/>
        <v>#DIV/0!</v>
      </c>
      <c r="F1746" s="15">
        <f>IF(A1751=A1752,_xll.ciqfunctions.udf.CIQ(A1743,"IQ_DILUT_EPS_EXCL",IQ_FY-7), _xll.ciqfunctions.udf.CIQ(A1743, "IQ_DILUT_EPS_EXCL",IQ_FY-6))</f>
        <v>0</v>
      </c>
      <c r="G1746" s="15">
        <f>IF(A1751=A1752,_xll.ciqfunctions.udf.CIQ(A1743,"IQ_EBITDA_MARGIN",IQ_FY-7), _xll.ciqfunctions.udf.CIQ(A1743, "IQ_EBITDA_MARGIN",IQ_FY-6))</f>
        <v>0</v>
      </c>
      <c r="H1746" s="15" t="e">
        <f>IF(A1751=A1752,_xll.ciqfunctions.udf.CIQ(A1743,"IQ_TOTAL_DIV_PAID_CF",IQ_FY-7)/-I1746, _xll.ciqfunctions.udf.CIQ(A1743, "IQ_TOTAL_DIV_PAID_CF",IQ_FY-6)/-I1746)</f>
        <v>#DIV/0!</v>
      </c>
      <c r="I1746" s="17">
        <f>IF(A1751=A1752,_xll.ciqfunctions.udf.CIQ(A1743,"IQ_TOTAL_OUTSTANDING_FILING_DATE",IQ_FY-7), _xll.ciqfunctions.udf.CIQ(A1743, "IQ_TOTAL_OUTSTANDING_FILING_DATE",IQ_FY-6))</f>
        <v>0</v>
      </c>
      <c r="J1746" s="17">
        <f>IF(A1751=A1752,_xll.ciqfunctions.udf.CIQ(A1743,"IQ_CASH_OPER",IQ_FY-7), _xll.ciqfunctions.udf.CIQ(A1743, "IQ_CASH_OPER",IQ_FY-6))</f>
        <v>0</v>
      </c>
      <c r="K1746" s="17">
        <f>IF(A1751=A1752,_xll.ciqfunctions.udf.CIQ(A1743,"IQ_CAPEX",IQ_FY-7), _xll.ciqfunctions.udf.CIQ(A1743, "IQ_CAPEX",IQ_FY-6))</f>
        <v>0</v>
      </c>
      <c r="L1746" s="15" t="e">
        <f t="shared" si="464"/>
        <v>#DIV/0!</v>
      </c>
      <c r="M1746" s="17">
        <f>IF(A1751=A1752,_xll.ciqfunctions.udf.CIQ(A1743,"IQ_TOTAL_DEBT_ISSUED",IQ_FY-7), _xll.ciqfunctions.udf.CIQ(A1743, "IQ_TOTAL_DEBT_ISSUED",IQ_FY-6))</f>
        <v>0</v>
      </c>
      <c r="N1746" s="17">
        <f>IF(A1751=A1752,_xll.ciqfunctions.udf.CIQ(A1743,"IQ_TOTAL_DEBT_REPAID",IQ_FY-7), _xll.ciqfunctions.udf.CIQ(A1743, "IQ_TOTAL_DEBT_REPAID",IQ_FY-6))</f>
        <v>0</v>
      </c>
      <c r="O1746" s="15" t="e">
        <f t="shared" si="465"/>
        <v>#DIV/0!</v>
      </c>
      <c r="P1746" s="15" t="e">
        <f t="shared" si="466"/>
        <v>#DIV/0!</v>
      </c>
      <c r="Q1746" s="25" t="s">
        <v>23</v>
      </c>
      <c r="R1746" s="38" t="s">
        <v>24</v>
      </c>
      <c r="S1746" s="1" t="e">
        <f>R1742/(AVERAGE(H1748:H1753)*(1+H1754)/(0.5-H1754))</f>
        <v>#DIV/0!</v>
      </c>
      <c r="U1746" s="25" t="s">
        <v>40</v>
      </c>
      <c r="V1746" s="38" t="s">
        <v>24</v>
      </c>
      <c r="W1746" s="1" t="e">
        <f>V1742/(AVERAGE(H1748:H1753)*(1+H1754)/(0.5-H1754))</f>
        <v>#DIV/0!</v>
      </c>
      <c r="Y1746" s="25" t="s">
        <v>47</v>
      </c>
      <c r="Z1746" s="38" t="s">
        <v>24</v>
      </c>
      <c r="AA1746" s="1" t="e">
        <f>Z1742/(AVERAGE(H1748:H1753)*(1+H1754)/(0.5-H1754))</f>
        <v>#DIV/0!</v>
      </c>
    </row>
    <row r="1747" spans="1:27">
      <c r="B1747" s="13">
        <v>5</v>
      </c>
      <c r="C1747" s="14" t="s">
        <v>25</v>
      </c>
      <c r="D1747" s="15" t="e" cm="1">
        <f t="array" ref="D1747">_xlfn.SINGLE(IF(A1751=A1752,_xll.ciqfunctions.udf.CIQ(A1743,"IQ_TOTAL_REV",IQ_FY-6)/I1747, _xll.ciqfunctions.udf.CIQ(A1743, "IQ_TOTAL_REV",IQ_FY-5)/I1747))</f>
        <v>#DIV/0!</v>
      </c>
      <c r="E1747" s="16" t="e">
        <f t="shared" si="467"/>
        <v>#DIV/0!</v>
      </c>
      <c r="F1747" s="15">
        <f>IF(A1751=A1752,_xll.ciqfunctions.udf.CIQ(A1743,"IQ_DILUT_EPS_EXCL",IQ_FY-6), _xll.ciqfunctions.udf.CIQ(A1743, "IQ_DILUT_EPS_EXCL",IQ_FY-5))</f>
        <v>0</v>
      </c>
      <c r="G1747" s="15">
        <f>IF(A1751=A1752,_xll.ciqfunctions.udf.CIQ(A1743,"IQ_EBITDA_MARGIN",IQ_FY-6), _xll.ciqfunctions.udf.CIQ(A1743, "IQ_EBITDA_MARGIN",IQ_FY-5))</f>
        <v>0</v>
      </c>
      <c r="H1747" s="15" t="e">
        <f>IF(A1751=A1752,_xll.ciqfunctions.udf.CIQ(A1743,"IQ_TOTAL_DIV_PAID_CF",IQ_FY-6)/-I1747, _xll.ciqfunctions.udf.CIQ(A1743, "IQ_TOTAL_DIV_PAID_CF",IQ_FY-5)/-I1747)</f>
        <v>#DIV/0!</v>
      </c>
      <c r="I1747" s="17">
        <f>IF(A1751=A1752,_xll.ciqfunctions.udf.CIQ(A1743,"IQ_TOTAL_OUTSTANDING_FILING_DATE",IQ_FY-6), _xll.ciqfunctions.udf.CIQ(A1743, "IQ_TOTAL_OUTSTANDING_FILING_DATE",IQ_FY-5))</f>
        <v>0</v>
      </c>
      <c r="J1747" s="17">
        <f>IF(A1751=A1752,_xll.ciqfunctions.udf.CIQ(A1743,"IQ_CASH_OPER",IQ_FY-6), _xll.ciqfunctions.udf.CIQ(A1743, "IQ_CASH_OPER",IQ_FY-5))</f>
        <v>0</v>
      </c>
      <c r="K1747" s="17">
        <f>IF(A1751=A1752,_xll.ciqfunctions.udf.CIQ(A1743,"IQ_CAPEX",IQ_FY-6), _xll.ciqfunctions.udf.CIQ(A1743, "IQ_CAPEX",IQ_FY-5))</f>
        <v>0</v>
      </c>
      <c r="L1747" s="15" t="e">
        <f t="shared" si="464"/>
        <v>#DIV/0!</v>
      </c>
      <c r="M1747" s="17">
        <f>IF(A1751=A1752,_xll.ciqfunctions.udf.CIQ(A1743,"IQ_TOTAL_DEBT_ISSUED",IQ_FY-6), _xll.ciqfunctions.udf.CIQ(A1743, "IQ_TOTAL_DEBT_ISSUED",IQ_FY-5))</f>
        <v>0</v>
      </c>
      <c r="N1747" s="17">
        <f>IF(A1751=A1752,_xll.ciqfunctions.udf.CIQ(A1743,"IQ_TOTAL_DEBT_REPAID",IQ_FY-6), _xll.ciqfunctions.udf.CIQ(A1743, "IQ_TOTAL_DEBT_REPAID",IQ_FY-5))</f>
        <v>0</v>
      </c>
      <c r="O1747" s="15" t="e">
        <f t="shared" si="465"/>
        <v>#DIV/0!</v>
      </c>
      <c r="P1747" s="15" t="e">
        <f t="shared" si="466"/>
        <v>#DIV/0!</v>
      </c>
      <c r="Q1747" s="18"/>
      <c r="R1747" s="38" t="s">
        <v>50</v>
      </c>
      <c r="S1747" s="3" t="e">
        <f>I1754</f>
        <v>#DIV/0!</v>
      </c>
      <c r="U1747" s="18"/>
      <c r="V1747" s="38" t="s">
        <v>50</v>
      </c>
      <c r="W1747" s="3" t="e">
        <f>I1754</f>
        <v>#DIV/0!</v>
      </c>
      <c r="Y1747" s="18"/>
      <c r="Z1747" s="38" t="s">
        <v>50</v>
      </c>
      <c r="AA1747" s="3" t="e">
        <f>I1754</f>
        <v>#DIV/0!</v>
      </c>
    </row>
    <row r="1748" spans="1:27">
      <c r="B1748" s="13">
        <v>6</v>
      </c>
      <c r="C1748" s="14" t="s">
        <v>26</v>
      </c>
      <c r="D1748" s="15" t="e" cm="1">
        <f t="array" ref="D1748">_xlfn.SINGLE(IF(A1751=A1752,_xll.ciqfunctions.udf.CIQ(A1743,"IQ_TOTAL_REV",IQ_FY-5)/I1748, _xll.ciqfunctions.udf.CIQ(A1743, "IQ_TOTAL_REV",IQ_FY-4)/I1748))</f>
        <v>#DIV/0!</v>
      </c>
      <c r="E1748" s="16" t="e">
        <f t="shared" si="467"/>
        <v>#DIV/0!</v>
      </c>
      <c r="F1748" s="15">
        <f>IF(A1751=A1752,_xll.ciqfunctions.udf.CIQ(A1743,"IQ_DILUT_EPS_EXCL",IQ_FY-5), _xll.ciqfunctions.udf.CIQ(A1743, "IQ_DILUT_EPS_EXCL",IQ_FY-4))</f>
        <v>0</v>
      </c>
      <c r="G1748" s="15">
        <f>IF(A1751=A1752,_xll.ciqfunctions.udf.CIQ(A1743,"IQ_EBITDA_MARGIN",IQ_FY-5), _xll.ciqfunctions.udf.CIQ(A1743, "IQ_EBITDA_MARGIN",IQ_FY-4))</f>
        <v>0</v>
      </c>
      <c r="H1748" s="15" t="e">
        <f>IF(A1751=A1752,_xll.ciqfunctions.udf.CIQ(A1743,"IQ_TOTAL_DIV_PAID_CF",IQ_FY-5)/-I1748, _xll.ciqfunctions.udf.CIQ(A1743, "IQ_TOTAL_DIV_PAID_CF",IQ_FY-4)/-I1748)</f>
        <v>#DIV/0!</v>
      </c>
      <c r="I1748" s="17">
        <f>IF(A1751=A1752,_xll.ciqfunctions.udf.CIQ(A1743,"IQ_TOTAL_OUTSTANDING_FILING_DATE",IQ_FY-5), _xll.ciqfunctions.udf.CIQ(A1743, "IQ_TOTAL_OUTSTANDING_FILING_DATE",IQ_FY-4))</f>
        <v>0</v>
      </c>
      <c r="J1748" s="17">
        <f>IF(A1751=A1752,_xll.ciqfunctions.udf.CIQ(A1743,"IQ_CASH_OPER",IQ_FY-5), _xll.ciqfunctions.udf.CIQ(A1743, "IQ_CASH_OPER",IQ_FY-4))</f>
        <v>0</v>
      </c>
      <c r="K1748" s="17">
        <f>IF(A1751=A1752,_xll.ciqfunctions.udf.CIQ(A1743,"IQ_CAPEX",IQ_FY-5), _xll.ciqfunctions.udf.CIQ(A1743, "IQ_CAPEX",IQ_FY-4))</f>
        <v>0</v>
      </c>
      <c r="L1748" s="15" t="e">
        <f t="shared" si="464"/>
        <v>#DIV/0!</v>
      </c>
      <c r="M1748" s="17">
        <f>IF(A1751=A1752,_xll.ciqfunctions.udf.CIQ(A1743,"IQ_TOTAL_DEBT_ISSUED",IQ_FY-5), _xll.ciqfunctions.udf.CIQ(A1743, "IQ_TOTAL_DEBT_ISSUED",IQ_FY-4))</f>
        <v>0</v>
      </c>
      <c r="N1748" s="17">
        <f>IF(A1751=A1752,_xll.ciqfunctions.udf.CIQ(A1743,"IQ_TOTAL_DEBT_REPAID",IQ_FY-5), _xll.ciqfunctions.udf.CIQ(A1743, "IQ_TOTAL_DEBT_REPAID",IQ_FY-4))</f>
        <v>0</v>
      </c>
      <c r="O1748" s="15" t="e">
        <f t="shared" si="465"/>
        <v>#DIV/0!</v>
      </c>
      <c r="P1748" s="15" t="e">
        <f t="shared" si="466"/>
        <v>#DIV/0!</v>
      </c>
      <c r="Q1748" s="25" t="s">
        <v>27</v>
      </c>
      <c r="R1748" s="38" t="s">
        <v>51</v>
      </c>
      <c r="S1748" s="4" t="e">
        <f>AVERAGE(F1748:F1753)/AVERAGE(D1748:D1753)</f>
        <v>#DIV/0!</v>
      </c>
      <c r="U1748" s="25" t="s">
        <v>58</v>
      </c>
      <c r="V1748" s="38" t="s">
        <v>51</v>
      </c>
      <c r="W1748" s="4" t="e">
        <f>AVERAGE(F1748:F1753)/AVERAGE(D1748:D1753)</f>
        <v>#DIV/0!</v>
      </c>
      <c r="Y1748" s="25" t="s">
        <v>56</v>
      </c>
      <c r="Z1748" s="38" t="s">
        <v>51</v>
      </c>
      <c r="AA1748" s="4" t="e">
        <f>AVERAGE(F1748:F1753)/AVERAGE(D1748:D1753)</f>
        <v>#DIV/0!</v>
      </c>
    </row>
    <row r="1749" spans="1:27">
      <c r="A1749" s="18"/>
      <c r="B1749" s="13">
        <v>7</v>
      </c>
      <c r="C1749" s="14" t="s">
        <v>28</v>
      </c>
      <c r="D1749" s="15" cm="1">
        <f t="array" ref="D1749">_xlfn.SINGLE(IF(A1751=A1752,_xll.ciqfunctions.udf.CIQ(A1743,"IQ_TOTAL_REV",IQ_FY-4)/I1749, _xll.ciqfunctions.udf.CIQ(A1743, "IQ_TOTAL_REV",IQ_FY-3)/I1749))</f>
        <v>0.49692601521385849</v>
      </c>
      <c r="E1749" s="16" t="e">
        <f t="shared" si="467"/>
        <v>#DIV/0!</v>
      </c>
      <c r="F1749" s="15">
        <f>IF(A1751=A1752,_xll.ciqfunctions.udf.CIQ(A1743,"IQ_DILUT_EPS_EXCL",IQ_FY-4), _xll.ciqfunctions.udf.CIQ(A1743, "IQ_DILUT_EPS_EXCL",IQ_FY-3))</f>
        <v>-0.97741999999999996</v>
      </c>
      <c r="G1749" s="15">
        <f>IF(A1751=A1752,_xll.ciqfunctions.udf.CIQ(A1743,"IQ_EBITDA_MARGIN",IQ_FY-4), _xll.ciqfunctions.udf.CIQ(A1743, "IQ_EBITDA_MARGIN",IQ_FY-3))</f>
        <v>-188.1833</v>
      </c>
      <c r="H1749" s="15">
        <f>IF(A1751=A1752,_xll.ciqfunctions.udf.CIQ(A1743,"IQ_TOTAL_DIV_PAID_CF",IQ_FY-4)/-I1749, _xll.ciqfunctions.udf.CIQ(A1743, "IQ_TOTAL_DIV_PAID_CF",IQ_FY-3)/-I1749)</f>
        <v>0</v>
      </c>
      <c r="I1749" s="17">
        <f>IF(A1751=A1752,_xll.ciqfunctions.udf.CIQ(A1743,"IQ_TOTAL_OUTSTANDING_FILING_DATE",IQ_FY-4), _xll.ciqfunctions.udf.CIQ(A1743, "IQ_TOTAL_OUTSTANDING_FILING_DATE",IQ_FY-3))</f>
        <v>241.21297000000001</v>
      </c>
      <c r="J1749" s="17">
        <f>IF(A1751=A1752,_xll.ciqfunctions.udf.CIQ(A1743,"IQ_CASH_OPER",IQ_FY-4), _xll.ciqfunctions.udf.CIQ(A1743, "IQ_CASH_OPER",IQ_FY-3))</f>
        <v>-192.52500000000001</v>
      </c>
      <c r="K1749" s="17">
        <f>IF(A1751=A1752,_xll.ciqfunctions.udf.CIQ(A1743,"IQ_CAPEX",IQ_FY-4), _xll.ciqfunctions.udf.CIQ(A1743, "IQ_CAPEX",IQ_FY-3))</f>
        <v>-29.99</v>
      </c>
      <c r="L1749" s="15">
        <f t="shared" si="464"/>
        <v>-0.92248356296927148</v>
      </c>
      <c r="M1749" s="17">
        <f>IF(A1751=A1752,_xll.ciqfunctions.udf.CIQ(A1743,"IQ_TOTAL_DEBT_ISSUED",IQ_FY-4), _xll.ciqfunctions.udf.CIQ(A1743, "IQ_TOTAL_DEBT_ISSUED",IQ_FY-3))</f>
        <v>0</v>
      </c>
      <c r="N1749" s="17">
        <f>IF(A1751=A1752,_xll.ciqfunctions.udf.CIQ(A1743,"IQ_TOTAL_DEBT_REPAID",IQ_FY-4), _xll.ciqfunctions.udf.CIQ(A1743, "IQ_TOTAL_DEBT_REPAID",IQ_FY-3))</f>
        <v>0</v>
      </c>
      <c r="O1749" s="15">
        <f t="shared" si="465"/>
        <v>0</v>
      </c>
      <c r="P1749" s="15">
        <f t="shared" si="466"/>
        <v>-0.92248356296927148</v>
      </c>
      <c r="Q1749" s="18"/>
      <c r="R1749" s="38" t="s">
        <v>29</v>
      </c>
      <c r="S1749" s="4" t="e">
        <f>(AVERAGE(P1748:P1753)/_xlfn.STDEV.P(P1748:P1753))/(IF(A1751=A1752,(_xlfn.SINGLE(_xll.ciqfunctions.udf.CIQ(A1743,"IQ_total_assets",IQ_FY)) - _xlfn.SINGLE(_xll.ciqfunctions.udf.CIQ(A1743,"iq_gw_intan", IQ_FY)))/I1753, (_xlfn.SINGLE(_xll.ciqfunctions.udf.CIQ(A1743, "IQ_total_assets",IQ_LTM))-_xlfn.SINGLE(_xll.ciqfunctions.udf.CIQ(A1743,"iq_gw_intan",IQ_LTM)))/I1753))</f>
        <v>#DIV/0!</v>
      </c>
      <c r="U1749" s="18"/>
      <c r="V1749" s="38" t="s">
        <v>29</v>
      </c>
      <c r="W1749" s="4" t="e">
        <f>(AVERAGE(P1748:P1753)/_xlfn.STDEV.P(P1748:P1753))/(IF(A1751=A1752,(_xlfn.SINGLE(_xll.ciqfunctions.udf.CIQ(A1743,"IQ_total_assets",IQ_FY)) - _xlfn.SINGLE(_xll.ciqfunctions.udf.CIQ(A1743,"iq_gw_intan", IQ_FY)))/I1753, (_xlfn.SINGLE(_xll.ciqfunctions.udf.CIQ(A1743, "IQ_total_assets",IQ_LTM))-_xlfn.SINGLE(_xll.ciqfunctions.udf.CIQ(A1743,"iq_gw_intan",IQ_LTM)))/I1753))</f>
        <v>#DIV/0!</v>
      </c>
      <c r="Y1749" s="18"/>
      <c r="Z1749" s="38" t="s">
        <v>29</v>
      </c>
      <c r="AA1749" s="4" t="e">
        <f>(AVERAGE(P1748:P1753)/_xlfn.STDEV.P(P1748:P1753))/(IF(A1751=A1752,(_xlfn.SINGLE(_xll.ciqfunctions.udf.CIQ(A1743,"IQ_total_assets",IQ_FY)) - _xlfn.SINGLE(_xll.ciqfunctions.udf.CIQ(A1743,"iq_gw_intan", IQ_FY)))/I1753, (_xlfn.SINGLE(_xll.ciqfunctions.udf.CIQ(A1743, "IQ_total_assets",IQ_LTM))-_xlfn.SINGLE(_xll.ciqfunctions.udf.CIQ(A1743,"iq_gw_intan",IQ_LTM)))/I1753))</f>
        <v>#DIV/0!</v>
      </c>
    </row>
    <row r="1750" spans="1:27">
      <c r="A1750" s="18"/>
      <c r="B1750" s="13">
        <v>8</v>
      </c>
      <c r="C1750" s="14" t="s">
        <v>30</v>
      </c>
      <c r="D1750" s="15" cm="1">
        <f t="array" ref="D1750">_xlfn.SINGLE(IF(A1751=A1752,_xll.ciqfunctions.udf.CIQ(A1743,"IQ_TOTAL_REV",IQ_FY-3)/I1750, _xll.ciqfunctions.udf.CIQ(A1743, "IQ_TOTAL_REV",IQ_FY-2)/I1750))</f>
        <v>1.0064106552552694</v>
      </c>
      <c r="E1750" s="16">
        <f t="shared" si="467"/>
        <v>1.0252726249845214</v>
      </c>
      <c r="F1750" s="15">
        <f>IF(A1751=A1752,_xll.ciqfunctions.udf.CIQ(A1743,"IQ_DILUT_EPS_EXCL",IQ_FY-3), _xll.ciqfunctions.udf.CIQ(A1743, "IQ_DILUT_EPS_EXCL",IQ_FY-2))</f>
        <v>-0.91871999999999998</v>
      </c>
      <c r="G1750" s="15">
        <f>IF(A1751=A1752,_xll.ciqfunctions.udf.CIQ(A1743,"IQ_EBITDA_MARGIN",IQ_FY-3), _xll.ciqfunctions.udf.CIQ(A1743, "IQ_EBITDA_MARGIN",IQ_FY-2))</f>
        <v>-77.944800000000001</v>
      </c>
      <c r="H1750" s="15">
        <f>IF(A1751=A1752,_xll.ciqfunctions.udf.CIQ(A1743,"IQ_TOTAL_DIV_PAID_CF",IQ_FY-3)/-I1750, _xll.ciqfunctions.udf.CIQ(A1743, "IQ_TOTAL_DIV_PAID_CF",IQ_FY-2)/-I1750)</f>
        <v>0</v>
      </c>
      <c r="I1750" s="17">
        <f>IF(A1751=A1752,_xll.ciqfunctions.udf.CIQ(A1743,"IQ_TOTAL_OUTSTANDING_FILING_DATE",IQ_FY-3), _xll.ciqfunctions.udf.CIQ(A1743, "IQ_TOTAL_OUTSTANDING_FILING_DATE",IQ_FY-2))</f>
        <v>248.31315000000001</v>
      </c>
      <c r="J1750" s="17">
        <f>IF(A1751=A1752,_xll.ciqfunctions.udf.CIQ(A1743,"IQ_CASH_OPER",IQ_FY-3), _xll.ciqfunctions.udf.CIQ(A1743, "IQ_CASH_OPER",IQ_FY-2))</f>
        <v>-171.76900000000001</v>
      </c>
      <c r="K1750" s="17">
        <f>IF(A1751=A1752,_xll.ciqfunctions.udf.CIQ(A1743,"IQ_CAPEX",IQ_FY-3), _xll.ciqfunctions.udf.CIQ(A1743, "IQ_CAPEX",IQ_FY-2))</f>
        <v>-32.101999999999997</v>
      </c>
      <c r="L1750" s="15">
        <f t="shared" si="464"/>
        <v>-0.82102377582500163</v>
      </c>
      <c r="M1750" s="17">
        <f>IF(A1751=A1752,_xll.ciqfunctions.udf.CIQ(A1743,"IQ_TOTAL_DEBT_ISSUED",IQ_FY-3), _xll.ciqfunctions.udf.CIQ(A1743, "IQ_TOTAL_DEBT_ISSUED",IQ_FY-2))</f>
        <v>0</v>
      </c>
      <c r="N1750" s="17">
        <f>IF(A1751=A1752,_xll.ciqfunctions.udf.CIQ(A1743,"IQ_TOTAL_DEBT_REPAID",IQ_FY-3), _xll.ciqfunctions.udf.CIQ(A1743, "IQ_TOTAL_DEBT_REPAID",IQ_FY-2))</f>
        <v>-0.16800000000000001</v>
      </c>
      <c r="O1750" s="15">
        <f t="shared" si="465"/>
        <v>-6.7656505505246103E-4</v>
      </c>
      <c r="P1750" s="15">
        <f t="shared" si="466"/>
        <v>-0.82170034088005406</v>
      </c>
      <c r="Q1750" s="18"/>
      <c r="R1750" s="39" t="s">
        <v>31</v>
      </c>
      <c r="S1750" s="5" t="e">
        <f>IF(NOT(D1743&gt;0),FALSE,SLOPE(G1743:G1753,B1743:B1753))</f>
        <v>#DIV/0!</v>
      </c>
      <c r="U1750" s="18"/>
      <c r="V1750" s="39" t="s">
        <v>31</v>
      </c>
      <c r="W1750" s="5" t="e">
        <f>IF(NOT(D1743&gt;0),FALSE,SLOPE(G1743:G1753,B1743:B1753))</f>
        <v>#DIV/0!</v>
      </c>
      <c r="Y1750" s="18"/>
      <c r="Z1750" s="39" t="s">
        <v>31</v>
      </c>
      <c r="AA1750" s="5" t="e">
        <f>IF(NOT(L1743&gt;0),FALSE,SLOPE(O1743:O1753,J1743:J1753))</f>
        <v>#DIV/0!</v>
      </c>
    </row>
    <row r="1751" spans="1:27">
      <c r="A1751" s="19">
        <f>_xll.ciqfunctions.udf.CIQ(A1743,"IQ_TOTAL_REV",IQ_FY)</f>
        <v>652.54499999999996</v>
      </c>
      <c r="B1751" s="13">
        <v>9</v>
      </c>
      <c r="C1751" s="14" t="s">
        <v>32</v>
      </c>
      <c r="D1751" s="15" cm="1">
        <f t="array" ref="D1751">_xlfn.SINGLE(IF(A1751=A1752,_xll.ciqfunctions.udf.CIQ(A1743,"IQ_TOTAL_REV",IQ_FY-2)/I1751, _xll.ciqfunctions.udf.CIQ(A1743, "IQ_TOTAL_REV",IQ_FY-1)/I1751))</f>
        <v>0.84191506415611161</v>
      </c>
      <c r="E1751" s="16">
        <f t="shared" si="467"/>
        <v>-0.16344778370558347</v>
      </c>
      <c r="F1751" s="15">
        <f>IF(A1751=A1752,_xll.ciqfunctions.udf.CIQ(A1743,"IQ_DILUT_EPS_EXCL",IQ_FY-2), _xll.ciqfunctions.udf.CIQ(A1743, "IQ_DILUT_EPS_EXCL",IQ_FY-1))</f>
        <v>-1.2791699999999999</v>
      </c>
      <c r="G1751" s="15">
        <f>IF(A1751=A1752,_xll.ciqfunctions.udf.CIQ(A1743,"IQ_EBITDA_MARGIN",IQ_FY-2), _xll.ciqfunctions.udf.CIQ(A1743, "IQ_EBITDA_MARGIN",IQ_FY-1))</f>
        <v>-80.603200000000001</v>
      </c>
      <c r="H1751" s="15">
        <f>IF(A1751=A1752,_xll.ciqfunctions.udf.CIQ(A1743,"IQ_TOTAL_DIV_PAID_CF",IQ_FY-2)/-I1751, _xll.ciqfunctions.udf.CIQ(A1743, "IQ_TOTAL_DIV_PAID_CF",IQ_FY-1)/-I1751)</f>
        <v>0</v>
      </c>
      <c r="I1751" s="17">
        <f>IF(A1751=A1752,_xll.ciqfunctions.udf.CIQ(A1743,"IQ_TOTAL_OUTSTANDING_FILING_DATE",IQ_FY-2), _xll.ciqfunctions.udf.CIQ(A1743, "IQ_TOTAL_OUTSTANDING_FILING_DATE",IQ_FY-1))</f>
        <v>508.77460000000002</v>
      </c>
      <c r="J1751" s="17">
        <f>IF(A1751=A1752,_xll.ciqfunctions.udf.CIQ(A1743,"IQ_CASH_OPER",IQ_FY-2), _xll.ciqfunctions.udf.CIQ(A1743, "IQ_CASH_OPER",IQ_FY-1))</f>
        <v>-171.48099999999999</v>
      </c>
      <c r="K1751" s="17">
        <f>IF(A1751=A1752,_xll.ciqfunctions.udf.CIQ(A1743,"IQ_CAPEX",IQ_FY-2), _xll.ciqfunctions.udf.CIQ(A1743, "IQ_CAPEX",IQ_FY-1))</f>
        <v>-19.353000000000002</v>
      </c>
      <c r="L1751" s="15">
        <f t="shared" si="464"/>
        <v>-0.37508554868894789</v>
      </c>
      <c r="M1751" s="17">
        <f>IF(A1751=A1752,_xll.ciqfunctions.udf.CIQ(A1743,"IQ_TOTAL_DEBT_ISSUED",IQ_FY-2), _xll.ciqfunctions.udf.CIQ(A1743, "IQ_TOTAL_DEBT_ISSUED",IQ_FY-1))</f>
        <v>0</v>
      </c>
      <c r="N1751" s="17">
        <f>IF(A1751=A1752,_xll.ciqfunctions.udf.CIQ(A1743,"IQ_TOTAL_DEBT_REPAID",IQ_FY-2), _xll.ciqfunctions.udf.CIQ(A1743, "IQ_TOTAL_DEBT_REPAID",IQ_FY-1))</f>
        <v>-0.54500000000000004</v>
      </c>
      <c r="O1751" s="15">
        <f t="shared" si="465"/>
        <v>-1.0712012745919314E-3</v>
      </c>
      <c r="P1751" s="15">
        <f t="shared" si="466"/>
        <v>-0.37615674996353982</v>
      </c>
      <c r="Q1751" s="25" t="s">
        <v>33</v>
      </c>
      <c r="R1751" s="38" t="s">
        <v>52</v>
      </c>
      <c r="S1751" s="4" t="e">
        <f>(AVERAGE(O1748:O1753)/AVERAGE(P1748:P1753))</f>
        <v>#DIV/0!</v>
      </c>
      <c r="U1751" s="25" t="s">
        <v>54</v>
      </c>
      <c r="V1751" s="38" t="s">
        <v>52</v>
      </c>
      <c r="W1751" s="4" t="e">
        <f>(AVERAGE(O1748:O1753)/AVERAGE(P1748:P1753))</f>
        <v>#DIV/0!</v>
      </c>
      <c r="Y1751" s="25" t="s">
        <v>60</v>
      </c>
      <c r="Z1751" s="38" t="s">
        <v>52</v>
      </c>
      <c r="AA1751" s="4" t="e">
        <f>(AVERAGE(O1748:O1753)/AVERAGE(P1748:P1753))</f>
        <v>#DIV/0!</v>
      </c>
    </row>
    <row r="1752" spans="1:27">
      <c r="A1752" s="19">
        <f>_xll.ciqfunctions.udf.CIQ(A1743,"IQ_TOTAL_REV",IQ_LTM)</f>
        <v>779.95399999999995</v>
      </c>
      <c r="B1752" s="13">
        <v>10</v>
      </c>
      <c r="C1752" s="14" t="s">
        <v>34</v>
      </c>
      <c r="D1752" s="15" cm="1">
        <f t="array" ref="D1752">_xlfn.SINGLE(IF(A1751=A1752,_xll.ciqfunctions.udf.CIQ(A1743,"IQ_TOTAL_REV",IQ_FY-1)/I1752, _xll.ciqfunctions.udf.CIQ(A1743, "IQ_TOTAL_REV",IQ_FY)/I1752))</f>
        <v>1.2444630457914798</v>
      </c>
      <c r="E1752" s="16">
        <f t="shared" si="467"/>
        <v>0.47813372010258504</v>
      </c>
      <c r="F1752" s="15">
        <f>IF(A1751=A1752,_xll.ciqfunctions.udf.CIQ(A1743,"IQ_DILUT_EPS_EXCL",IQ_FY-1), _xll.ciqfunctions.udf.CIQ(A1743, "IQ_DILUT_EPS_EXCL",IQ_FY))</f>
        <v>-0.48110000000000003</v>
      </c>
      <c r="G1752" s="15">
        <f>IF(A1751=A1752,_xll.ciqfunctions.udf.CIQ(A1743,"IQ_EBITDA_MARGIN",IQ_FY-1), _xll.ciqfunctions.udf.CIQ(A1743, "IQ_EBITDA_MARGIN",IQ_FY))</f>
        <v>-38.393000000000001</v>
      </c>
      <c r="H1752" s="15">
        <f>IF(A1751=A1752,_xll.ciqfunctions.udf.CIQ(A1743,"IQ_TOTAL_DIV_PAID_CF",IQ_FY-1)/-I1752, _xll.ciqfunctions.udf.CIQ(A1743, "IQ_TOTAL_DIV_PAID_CF",IQ_FY)/-I1752)</f>
        <v>0</v>
      </c>
      <c r="I1752" s="17">
        <f>IF(A1751=A1752,_xll.ciqfunctions.udf.CIQ(A1743,"IQ_TOTAL_OUTSTANDING_FILING_DATE",IQ_FY-1), _xll.ciqfunctions.udf.CIQ(A1743, "IQ_TOTAL_OUTSTANDING_FILING_DATE",IQ_FY))</f>
        <v>524.35868000000005</v>
      </c>
      <c r="J1752" s="17">
        <f>IF(A1751=A1752,_xll.ciqfunctions.udf.CIQ(A1743,"IQ_CASH_OPER",IQ_FY-1), _xll.ciqfunctions.udf.CIQ(A1743, "IQ_CASH_OPER",IQ_FY))</f>
        <v>-103.021</v>
      </c>
      <c r="K1752" s="17">
        <f>IF(A1751=A1752,_xll.ciqfunctions.udf.CIQ(A1743,"IQ_CAPEX",IQ_FY-1), _xll.ciqfunctions.udf.CIQ(A1743, "IQ_CAPEX",IQ_FY))</f>
        <v>-33.24</v>
      </c>
      <c r="L1752" s="15">
        <f t="shared" si="464"/>
        <v>-0.25986219966836438</v>
      </c>
      <c r="M1752" s="17">
        <f>IF(A1751=A1752,_xll.ciqfunctions.udf.CIQ(A1743,"IQ_TOTAL_DEBT_ISSUED",IQ_FY-1), _xll.ciqfunctions.udf.CIQ(A1743, "IQ_TOTAL_DEBT_ISSUED",IQ_FY))</f>
        <v>0</v>
      </c>
      <c r="N1752" s="17">
        <f>IF(A1751=A1752,_xll.ciqfunctions.udf.CIQ(A1743,"IQ_TOTAL_DEBT_REPAID",IQ_FY-1), _xll.ciqfunctions.udf.CIQ(A1743, "IQ_TOTAL_DEBT_REPAID",IQ_FY))</f>
        <v>-1.3029999999999999</v>
      </c>
      <c r="O1752" s="15">
        <f t="shared" si="465"/>
        <v>-2.4849402702745377E-3</v>
      </c>
      <c r="P1752" s="15">
        <f t="shared" si="466"/>
        <v>-0.2623471399386389</v>
      </c>
      <c r="Q1752" s="25" t="s">
        <v>44</v>
      </c>
      <c r="R1752" s="38" t="s">
        <v>35</v>
      </c>
      <c r="S1752" s="1" t="str">
        <f>_xll.ciqfunctions.udf.CIQ(A1743,"IQ_TEV_EBITDA")</f>
        <v>NM</v>
      </c>
      <c r="U1752" s="25" t="s">
        <v>55</v>
      </c>
      <c r="V1752" s="38" t="s">
        <v>53</v>
      </c>
      <c r="W1752" s="1" t="e">
        <f>V1742/(AVERAGE(D1748:D1753)/_xlfn.STDEV.P(E1748:E1753))</f>
        <v>#DIV/0!</v>
      </c>
      <c r="Y1752" s="25" t="s">
        <v>57</v>
      </c>
      <c r="Z1752" s="38" t="s">
        <v>53</v>
      </c>
      <c r="AA1752" s="1" t="e">
        <f>Z1742/(AVERAGE(D1748:D1753)/_xlfn.STDEV.P(E1748:E1753))</f>
        <v>#DIV/0!</v>
      </c>
    </row>
    <row r="1753" spans="1:27">
      <c r="B1753" s="13">
        <v>11</v>
      </c>
      <c r="C1753" s="20" t="s">
        <v>36</v>
      </c>
      <c r="D1753" s="21" cm="1">
        <f t="array" ref="D1753">_xlfn.SINGLE(IF(A1751=A1752,_xll.ciqfunctions.udf.CIQ(A1743,"IQ_TOTAL_REV",IQ_FY)/I1753, _xll.ciqfunctions.udf.CIQ(A1743, "IQ_TOTAL_REV",IQ_LTM)/I1753))</f>
        <v>1.457988590603801</v>
      </c>
      <c r="E1753" s="22">
        <f t="shared" si="467"/>
        <v>0.17158046238047892</v>
      </c>
      <c r="F1753" s="21">
        <f>IF(A1751=A1752,_xll.ciqfunctions.udf.CIQ(A1743,"IQ_DILUT_EPS_EXCL",IQ_FY), _xll.ciqfunctions.udf.CIQ(A1743, "IQ_DILUT_EPS_EXCL",IQ_LTM))</f>
        <v>-0.45791999999999999</v>
      </c>
      <c r="G1753" s="21">
        <f>IF(A1751=A1752,_xll.ciqfunctions.udf.CIQ(A1743,"IQ_EBITDA_MARGIN",IQ_FY), _xll.ciqfunctions.udf.CIQ(A1743, "IQ_EBITDA_MARGIN",IQ_LTM))</f>
        <v>-33.231099999999998</v>
      </c>
      <c r="H1753" s="21">
        <f>IF(A1751=A1752,_xll.ciqfunctions.udf.CIQ(A1743,"IQ_TOTAL_DIV_PAID_CF",IQ_FY)/-I1753, _xll.ciqfunctions.udf.CIQ(A1743, "IQ_TOTAL_DIV_PAID_CF",IQ_LTM)/-I1753)</f>
        <v>0</v>
      </c>
      <c r="I1753" s="23">
        <f>IF(A1751=A1752,_xll.ciqfunctions.udf.CIQ(A1743,"IQ_TOTAL_OUTSTANDING_FILING_DATE",IQ_FY),_xll.ciqfunctions.udf.CIQ(A1743,"IQ_sharesoutstanding"))</f>
        <v>534.95205999999996</v>
      </c>
      <c r="J1753" s="23">
        <f>IF(A1751=A1752,_xll.ciqfunctions.udf.CIQ(A1743,"IQ_CASH_OPER",IQ_FY), _xll.ciqfunctions.udf.CIQ(A1743, "IQ_CASH_OPER",IQ_LTM))</f>
        <v>0.91300000000000003</v>
      </c>
      <c r="K1753" s="23">
        <f>IF(A1751=A1752,_xll.ciqfunctions.udf.CIQ(A1743,"IQ_CAPEX",IQ_FY), _xll.ciqfunctions.udf.CIQ(A1743, "IQ_CAPEX",IQ_LTM))</f>
        <v>-21.812999999999999</v>
      </c>
      <c r="L1753" s="21">
        <f t="shared" si="464"/>
        <v>-3.9068921428211716E-2</v>
      </c>
      <c r="M1753" s="23">
        <f>IF(A1751=A1752,_xll.ciqfunctions.udf.CIQ(A1743,"IQ_TOTAL_DEBT_ISSUED",IQ_FY), _xll.ciqfunctions.udf.CIQ(A1743, "IQ_TOTAL_DEBT_ISSUED",IQ_LTM))</f>
        <v>0</v>
      </c>
      <c r="N1753" s="23">
        <f>IF(A1751=A1752,_xll.ciqfunctions.udf.CIQ(A1743,"IQ_TOTAL_DEBT_REPAID",IQ_FY), _xll.ciqfunctions.udf.CIQ(A1743, "IQ_TOTAL_DEBT_REPAID",IQ_LTM))</f>
        <v>-1.7310000000000001</v>
      </c>
      <c r="O1753" s="21">
        <f t="shared" si="465"/>
        <v>-3.2358039709203105E-3</v>
      </c>
      <c r="P1753" s="21">
        <f t="shared" si="466"/>
        <v>-4.2304725399132027E-2</v>
      </c>
      <c r="Q1753" s="25" t="s">
        <v>45</v>
      </c>
      <c r="S1753" s="45"/>
      <c r="U1753" s="25"/>
      <c r="W1753" s="45"/>
      <c r="Y1753" s="25"/>
      <c r="AA1753" s="45"/>
    </row>
    <row r="1754" spans="1:27">
      <c r="B1754" s="24"/>
      <c r="C1754" s="25" t="s">
        <v>37</v>
      </c>
      <c r="E1754" s="26" t="e">
        <f>((D1753/D1748)^(1/5))-1</f>
        <v>#DIV/0!</v>
      </c>
      <c r="F1754" s="27" t="e">
        <f>((F1753/F1748)^(1/5))-1</f>
        <v>#DIV/0!</v>
      </c>
      <c r="G1754" s="28"/>
      <c r="H1754" s="27" t="e">
        <f>((H1753/H1748)^(1/5))-1</f>
        <v>#DIV/0!</v>
      </c>
      <c r="I1754" s="27" t="e">
        <f>((I1753/I1748)^(1/5))-1</f>
        <v>#DIV/0!</v>
      </c>
      <c r="J1754" s="27"/>
      <c r="K1754" s="27"/>
      <c r="L1754" s="26" t="e">
        <f>((L1753/L1748)^(1/5))-1</f>
        <v>#DIV/0!</v>
      </c>
      <c r="M1754" s="26"/>
      <c r="N1754" s="26"/>
      <c r="O1754" s="26"/>
      <c r="P1754" s="26" t="e">
        <f>((P1753/P1748)^(1/5))-1</f>
        <v>#DIV/0!</v>
      </c>
      <c r="Q1754" s="18"/>
      <c r="R1754" s="36"/>
      <c r="S1754" s="45"/>
      <c r="U1754" s="18"/>
      <c r="V1754" s="36"/>
      <c r="W1754" s="45"/>
      <c r="Y1754" s="18"/>
      <c r="Z1754" s="36"/>
      <c r="AA1754" s="45"/>
    </row>
    <row r="1755" spans="1:27">
      <c r="A1755" s="29"/>
      <c r="B1755" s="30"/>
      <c r="C1755" s="31" t="s">
        <v>38</v>
      </c>
      <c r="D1755" s="29"/>
      <c r="E1755" s="32" t="e">
        <f>((D1753/D1743)^(1/10))-1</f>
        <v>#DIV/0!</v>
      </c>
      <c r="F1755" s="33" t="e">
        <f>((F1753/F1743)^(1/10))-1</f>
        <v>#DIV/0!</v>
      </c>
      <c r="G1755" s="34"/>
      <c r="H1755" s="33" t="e">
        <f>((H1753/H1743)^(1/10))-1</f>
        <v>#DIV/0!</v>
      </c>
      <c r="I1755" s="33" t="e">
        <f>((I1753/I1743)^(1/10))-1</f>
        <v>#DIV/0!</v>
      </c>
      <c r="J1755" s="33"/>
      <c r="K1755" s="33"/>
      <c r="L1755" s="32" t="e">
        <f>((L1753/L1743)^(1/10))-1</f>
        <v>#DIV/0!</v>
      </c>
      <c r="M1755" s="32"/>
      <c r="N1755" s="32"/>
      <c r="O1755" s="32"/>
      <c r="P1755" s="32" t="e">
        <f>((P1753/P1743)^(1/10))-1</f>
        <v>#DIV/0!</v>
      </c>
      <c r="Q1755" s="40"/>
      <c r="R1755" s="41"/>
      <c r="S1755" s="46"/>
      <c r="U1755" s="40"/>
      <c r="V1755" s="41"/>
      <c r="W1755" s="46"/>
      <c r="Y1755" s="40"/>
      <c r="Z1755" s="41"/>
      <c r="AA1755" s="46"/>
    </row>
    <row r="1756" spans="1:27">
      <c r="B1756" s="24"/>
      <c r="C1756" s="25"/>
      <c r="E1756" s="26"/>
      <c r="F1756" s="27"/>
      <c r="G1756" s="28"/>
      <c r="H1756" s="27"/>
      <c r="I1756" s="27"/>
      <c r="J1756" s="27"/>
      <c r="K1756" s="27"/>
      <c r="L1756" s="26"/>
      <c r="M1756" s="17"/>
      <c r="N1756" s="17"/>
      <c r="O1756" s="17"/>
      <c r="P1756" s="35"/>
      <c r="Q1756" s="18"/>
      <c r="R1756" s="36"/>
    </row>
    <row r="1757" spans="1:27">
      <c r="A1757" s="9" t="s">
        <v>0</v>
      </c>
      <c r="B1757" s="10"/>
      <c r="C1757" s="9" t="s">
        <v>1</v>
      </c>
      <c r="D1757" s="9" t="s">
        <v>2</v>
      </c>
      <c r="E1757" s="9" t="s">
        <v>3</v>
      </c>
      <c r="F1757" s="11" t="s">
        <v>4</v>
      </c>
      <c r="G1757" s="11" t="s">
        <v>5</v>
      </c>
      <c r="H1757" s="9" t="s">
        <v>6</v>
      </c>
      <c r="I1757" s="11" t="s">
        <v>7</v>
      </c>
      <c r="J1757" s="11" t="s">
        <v>8</v>
      </c>
      <c r="K1757" s="11" t="s">
        <v>9</v>
      </c>
      <c r="L1757" s="11" t="s">
        <v>10</v>
      </c>
      <c r="M1757" s="11" t="s">
        <v>11</v>
      </c>
      <c r="N1757" s="11" t="s">
        <v>12</v>
      </c>
      <c r="O1757" s="11" t="s">
        <v>13</v>
      </c>
      <c r="P1757" s="11" t="s">
        <v>14</v>
      </c>
      <c r="Q1757" s="37" t="s">
        <v>15</v>
      </c>
      <c r="R1757" s="42">
        <f>_xll.ciqfunctions.udf.CIQ(A1758,("IQ_LASTSALEPRICE"))</f>
        <v>185.16</v>
      </c>
      <c r="S1757" s="44"/>
      <c r="U1757" s="37" t="s">
        <v>15</v>
      </c>
      <c r="V1757" s="42">
        <f>_xll.ciqfunctions.udf.CIQ(A1758,("IQ_LASTSALEPRICE"))</f>
        <v>185.16</v>
      </c>
      <c r="W1757" s="44"/>
      <c r="Y1757" s="37" t="s">
        <v>15</v>
      </c>
      <c r="Z1757" s="42">
        <f>_xll.ciqfunctions.udf.CIQ(A1758,("IQ_LASTSALEPRICE"))</f>
        <v>185.16</v>
      </c>
      <c r="AA1757" s="44"/>
    </row>
    <row r="1758" spans="1:27">
      <c r="A1758" s="12" t="str">
        <f>Analysis!B119</f>
        <v>NasdaqGS:AZPN</v>
      </c>
      <c r="B1758" s="13">
        <v>1</v>
      </c>
      <c r="C1758" s="14" t="s">
        <v>16</v>
      </c>
      <c r="D1758" s="15" t="e">
        <f>IF(A1766=A1767,_xll.ciqfunctions.udf.CIQ(A1758,"IQ_TOTAL_REV",IQ_FY-10)/I1758,_xll.ciqfunctions.udf.CIQ(A1758, "IQ_TOTAL_REV",IQ_FY-9)/I1758)</f>
        <v>#DIV/0!</v>
      </c>
      <c r="E1758" s="16"/>
      <c r="F1758" s="15">
        <f>IF(A1766=A1767,_xll.ciqfunctions.udf.CIQ(A1758,"IQ_DILUT_EPS_EXCL",IQ_FY-10), _xll.ciqfunctions.udf.CIQ(A1758, "IQ_DILUT_EPS_EXCL",IQ_FY-9))</f>
        <v>0</v>
      </c>
      <c r="G1758" s="15">
        <f>IF(A1766=A1767,_xll.ciqfunctions.udf.CIQ(A1758,"IQ_EBITDA_MARGIN",IQ_FY-10), _xll.ciqfunctions.udf.CIQ(A1758, "IQ_EBITDA_MARGIN",IQ_FY-9))</f>
        <v>0</v>
      </c>
      <c r="H1758" s="15" t="e">
        <f>IF(A1766=A1767,_xll.ciqfunctions.udf.CIQ(A1758,"IQ_TOTAL_DIV_PAID_CF",IQ_FY-10)/-I1758, _xll.ciqfunctions.udf.CIQ(A1758, "IQ_TOTAL_DIV_PAID_CF",IQ_FY-9)/-I1758)</f>
        <v>#DIV/0!</v>
      </c>
      <c r="I1758" s="17">
        <f>IF(A1766=A1767,_xll.ciqfunctions.udf.CIQ(A1758,"IQ_TOTAL_OUTSTANDING_FILING_DATE",IQ_FY-10), _xll.ciqfunctions.udf.CIQ(A1758, "IQ_TOTAL_OUTSTANDING_FILING_DATE",IQ_FY-9))</f>
        <v>0</v>
      </c>
      <c r="J1758" s="17">
        <f>IF(A1766=A1767,_xll.ciqfunctions.udf.CIQ(A1758,"IQ_CASH_OPER",IQ_FY-10), _xll.ciqfunctions.udf.CIQ(A1758, "IQ_CASH_OPER",IQ_FY-9))</f>
        <v>0</v>
      </c>
      <c r="K1758" s="17">
        <f>IF(A1766=A1767,_xll.ciqfunctions.udf.CIQ(A1758,"IQ_CAPEX",IQ_FY-10), _xll.ciqfunctions.udf.CIQ(A1758, "IQ_CAPEX",IQ_FY-9))</f>
        <v>0</v>
      </c>
      <c r="L1758" s="15" t="e">
        <f t="shared" ref="L1758:L1768" si="468">(J1758+K1758)/I1758</f>
        <v>#DIV/0!</v>
      </c>
      <c r="M1758" s="17">
        <f>IF(A1766=A1767,_xll.ciqfunctions.udf.CIQ(A1758,"IQ_TOTAL_DEBT_ISSUED",IQ_FY-10), _xll.ciqfunctions.udf.CIQ(A1758, "IQ_TOTAL_DEBT_ISSUED",IQ_FY-9))</f>
        <v>0</v>
      </c>
      <c r="N1758" s="17">
        <f>IF(A1766=A1767,_xll.ciqfunctions.udf.CIQ(A1758,"IQ_TOTAL_DEBT_REPAID",IQ_FY-10), _xll.ciqfunctions.udf.CIQ(A1758, "IQ_TOTAL_DEBT_REPAID",IQ_FY-9))</f>
        <v>0</v>
      </c>
      <c r="O1758" s="15" t="e">
        <f t="shared" ref="O1758:O1768" si="469">(M1758+N1758)/I1758</f>
        <v>#DIV/0!</v>
      </c>
      <c r="P1758" s="15" t="e">
        <f t="shared" ref="P1758:P1768" si="470">L1758+O1758</f>
        <v>#DIV/0!</v>
      </c>
      <c r="W1758" s="43"/>
      <c r="AA1758" s="43"/>
    </row>
    <row r="1759" spans="1:27">
      <c r="A1759" s="18" t="str">
        <f>_xll.ciqfunctions.udf.CIQ(A1758,"IQ_COMPANY_NAME")</f>
        <v>Aspen Technology, Inc.</v>
      </c>
      <c r="B1759" s="13">
        <v>2</v>
      </c>
      <c r="C1759" s="14" t="s">
        <v>17</v>
      </c>
      <c r="D1759" s="15" t="e">
        <f>IF(A1766=A1767,_xll.ciqfunctions.udf.CIQ(A1758,"IQ_TOTAL_REV",IQ_FY-9)/I1759, _xll.ciqfunctions.udf.CIQ(A1758, "IQ_TOTAL_REV",IQ_FY-8)/I1759)</f>
        <v>#DIV/0!</v>
      </c>
      <c r="E1759" s="16" t="e">
        <f t="shared" ref="E1759:E1768" si="471">(D1759-D1758)/D1758</f>
        <v>#DIV/0!</v>
      </c>
      <c r="F1759" s="15">
        <f>IF(A1766=A1767,_xll.ciqfunctions.udf.CIQ(A1758,"IQ_DILUT_EPS_EXCL",IQ_FY-9), _xll.ciqfunctions.udf.CIQ(A1758, "IQ_DILUT_EPS_EXCL",IQ_FY-8))</f>
        <v>0</v>
      </c>
      <c r="G1759" s="15">
        <f>IF(A1766=A1767,_xll.ciqfunctions.udf.CIQ(A1758,"IQ_EBITDA_MARGIN",IQ_FY-9), _xll.ciqfunctions.udf.CIQ(A1758, "IQ_EBITDA_MARGIN",IQ_FY-8))</f>
        <v>0</v>
      </c>
      <c r="H1759" s="15" t="e">
        <f>IF(A1766=A1767,_xll.ciqfunctions.udf.CIQ(A1758,"IQ_TOTAL_DIV_PAID_CF",IQ_FY-9)/-I1759, _xll.ciqfunctions.udf.CIQ(A1758, "IQ_TOTAL_DIV_PAID_CF",IQ_FY-8)/-I1759)</f>
        <v>#DIV/0!</v>
      </c>
      <c r="I1759" s="17">
        <f>IF(A1766=A1767,_xll.ciqfunctions.udf.CIQ(A1758,"IQ_TOTAL_OUTSTANDING_FILING_DATE",IQ_FY-9), _xll.ciqfunctions.udf.CIQ(A1758, "IQ_TOTAL_OUTSTANDING_FILING_DATE",IQ_FY-8))</f>
        <v>0</v>
      </c>
      <c r="J1759" s="17">
        <f>IF(A1766=A1767,_xll.ciqfunctions.udf.CIQ(A1758,"IQ_CASH_OPER",IQ_FY-9), _xll.ciqfunctions.udf.CIQ(A1758, "IQ_CASH_OPER",IQ_FY-8))</f>
        <v>0</v>
      </c>
      <c r="K1759" s="17">
        <f>IF(A1766=A1767,_xll.ciqfunctions.udf.CIQ(A1758,"IQ_CAPEX",IQ_FY-9), _xll.ciqfunctions.udf.CIQ(A1758, "IQ_CAPEX",IQ_FY-8))</f>
        <v>0</v>
      </c>
      <c r="L1759" s="15" t="e">
        <f t="shared" si="468"/>
        <v>#DIV/0!</v>
      </c>
      <c r="M1759" s="17">
        <f>IF(A1766=A1767,_xll.ciqfunctions.udf.CIQ(A1758,"IQ_TOTAL_DEBT_ISSUED",IQ_FY-9), _xll.ciqfunctions.udf.CIQ(A1758, "IQ_TOTAL_DEBT_ISSUED",IQ_FY-8))</f>
        <v>0</v>
      </c>
      <c r="N1759" s="17">
        <f>IF(A1766=A1767,_xll.ciqfunctions.udf.CIQ(A1758,"IQ_TOTAL_DEBT_REPAID",IQ_FY-9), _xll.ciqfunctions.udf.CIQ(A1758, "IQ_TOTAL_DEBT_REPAID",IQ_FY-8))</f>
        <v>0</v>
      </c>
      <c r="O1759" s="15" t="e">
        <f t="shared" si="469"/>
        <v>#DIV/0!</v>
      </c>
      <c r="P1759" s="15" t="e">
        <f t="shared" si="470"/>
        <v>#DIV/0!</v>
      </c>
      <c r="Q1759" s="25" t="s">
        <v>18</v>
      </c>
      <c r="R1759" s="39" t="s">
        <v>19</v>
      </c>
      <c r="S1759" s="1" t="e">
        <f>R1757/((AVERAGE(P1763:P1768))*(1+E1769)^3)</f>
        <v>#DIV/0!</v>
      </c>
      <c r="U1759" s="25" t="s">
        <v>48</v>
      </c>
      <c r="V1759" s="39" t="s">
        <v>19</v>
      </c>
      <c r="W1759" s="1" t="e">
        <f>V1757/((AVERAGE(P1763:P1768))*(1+E1769)^3)</f>
        <v>#DIV/0!</v>
      </c>
      <c r="Y1759" s="25" t="s">
        <v>39</v>
      </c>
      <c r="Z1759" s="39" t="s">
        <v>19</v>
      </c>
      <c r="AA1759" s="1" t="e">
        <f>Z1757/((AVERAGE(P1763:P1768))*(1+E1769)^3)</f>
        <v>#DIV/0!</v>
      </c>
    </row>
    <row r="1760" spans="1:27">
      <c r="B1760" s="13">
        <v>3</v>
      </c>
      <c r="C1760" s="14" t="s">
        <v>20</v>
      </c>
      <c r="D1760" s="15" t="e" cm="1">
        <f t="array" ref="D1760">_xlfn.SINGLE(IF(A1766=A1767,_xll.ciqfunctions.udf.CIQ(A1758,"IQ_TOTAL_REV",IQ_FY-8)/I1760, _xll.ciqfunctions.udf.CIQ(A1758, "IQ_TOTAL_REV",IQ_FY-7)/I1760))</f>
        <v>#DIV/0!</v>
      </c>
      <c r="E1760" s="16" t="e">
        <f t="shared" si="471"/>
        <v>#DIV/0!</v>
      </c>
      <c r="F1760" s="15">
        <f>IF(A1766=A1767,_xll.ciqfunctions.udf.CIQ(A1758,"IQ_DILUT_EPS_EXCL",IQ_FY-8), _xll.ciqfunctions.udf.CIQ(A1758, "IQ_DILUT_EPS_EXCL",IQ_FY-7))</f>
        <v>0</v>
      </c>
      <c r="G1760" s="15">
        <f>IF(A1766=A1767,_xll.ciqfunctions.udf.CIQ(A1758,"IQ_EBITDA_MARGIN",IQ_FY-8), _xll.ciqfunctions.udf.CIQ(A1758, "IQ_EBITDA_MARGIN",IQ_FY-7))</f>
        <v>0</v>
      </c>
      <c r="H1760" s="15" t="e">
        <f>IF(A1766=A1767,_xll.ciqfunctions.udf.CIQ(A1758,"IQ_TOTAL_DIV_PAID_CF",IQ_FY-8)/-I1760, _xll.ciqfunctions.udf.CIQ(A1758, "IQ_TOTAL_DIV_PAID_CF",IQ_FY-7)/-I1760)</f>
        <v>#DIV/0!</v>
      </c>
      <c r="I1760" s="17">
        <f>IF(A1766=A1767,_xll.ciqfunctions.udf.CIQ(A1758,"IQ_TOTAL_OUTSTANDING_FILING_DATE",IQ_FY-8), _xll.ciqfunctions.udf.CIQ(A1758, "IQ_TOTAL_OUTSTANDING_FILING_DATE",IQ_FY-7))</f>
        <v>0</v>
      </c>
      <c r="J1760" s="17">
        <f>IF(A1766=A1767,_xll.ciqfunctions.udf.CIQ(A1758,"IQ_CASH_OPER",IQ_FY-8), _xll.ciqfunctions.udf.CIQ(A1758, "IQ_CASH_OPER",IQ_FY-7))</f>
        <v>0</v>
      </c>
      <c r="K1760" s="17">
        <f>IF(A1766=A1767,_xll.ciqfunctions.udf.CIQ(A1758,"IQ_CAPEX",IQ_FY-8), _xll.ciqfunctions.udf.CIQ(A1758, "IQ_CAPEX",IQ_FY-7))</f>
        <v>0</v>
      </c>
      <c r="L1760" s="15" t="e">
        <f t="shared" si="468"/>
        <v>#DIV/0!</v>
      </c>
      <c r="M1760" s="17">
        <f>IF(A1766=A1767,_xll.ciqfunctions.udf.CIQ(A1758,"IQ_TOTAL_DEBT_ISSUED",IQ_FY-8), _xll.ciqfunctions.udf.CIQ(A1758, "IQ_TOTAL_DEBT_ISSUED",IQ_FY-7))</f>
        <v>0</v>
      </c>
      <c r="N1760" s="17">
        <f>IF(A1766=A1767,_xll.ciqfunctions.udf.CIQ(A1758,"IQ_TOTAL_DEBT_REPAID",IQ_FY-8), _xll.ciqfunctions.udf.CIQ(A1758, "IQ_TOTAL_DEBT_REPAID",IQ_FY-7))</f>
        <v>0</v>
      </c>
      <c r="O1760" s="15" t="e">
        <f t="shared" si="469"/>
        <v>#DIV/0!</v>
      </c>
      <c r="P1760" s="15" t="e">
        <f t="shared" si="470"/>
        <v>#DIV/0!</v>
      </c>
      <c r="Q1760" s="25" t="s">
        <v>21</v>
      </c>
      <c r="R1760" s="38" t="s">
        <v>49</v>
      </c>
      <c r="S1760" s="2">
        <f>(R1757*I1768)/1000</f>
        <v>11.794571646</v>
      </c>
      <c r="U1760" s="25" t="s">
        <v>59</v>
      </c>
      <c r="V1760" s="38" t="s">
        <v>49</v>
      </c>
      <c r="W1760" s="2">
        <f>(V1757*I1768)/1000</f>
        <v>11.794571646</v>
      </c>
      <c r="Y1760" s="25" t="s">
        <v>46</v>
      </c>
      <c r="Z1760" s="38" t="s">
        <v>49</v>
      </c>
      <c r="AA1760" s="2">
        <f>(Z1757*I1768)/1000</f>
        <v>11.794571646</v>
      </c>
    </row>
    <row r="1761" spans="1:27">
      <c r="A1761" s="18"/>
      <c r="B1761" s="13">
        <v>4</v>
      </c>
      <c r="C1761" s="14" t="s">
        <v>22</v>
      </c>
      <c r="D1761" s="15" t="e" cm="1">
        <f t="array" ref="D1761">_xlfn.SINGLE(IF(A1766=A1767,_xll.ciqfunctions.udf.CIQ(A1758,"IQ_TOTAL_REV",IQ_FY-7)/I1761, _xll.ciqfunctions.udf.CIQ(A1758, "IQ_TOTAL_REV",IQ_FY-6)/I1761))</f>
        <v>#DIV/0!</v>
      </c>
      <c r="E1761" s="16" t="e">
        <f t="shared" si="471"/>
        <v>#DIV/0!</v>
      </c>
      <c r="F1761" s="15">
        <f>IF(A1766=A1767,_xll.ciqfunctions.udf.CIQ(A1758,"IQ_DILUT_EPS_EXCL",IQ_FY-7), _xll.ciqfunctions.udf.CIQ(A1758, "IQ_DILUT_EPS_EXCL",IQ_FY-6))</f>
        <v>0</v>
      </c>
      <c r="G1761" s="15">
        <f>IF(A1766=A1767,_xll.ciqfunctions.udf.CIQ(A1758,"IQ_EBITDA_MARGIN",IQ_FY-7), _xll.ciqfunctions.udf.CIQ(A1758, "IQ_EBITDA_MARGIN",IQ_FY-6))</f>
        <v>0</v>
      </c>
      <c r="H1761" s="15" t="e">
        <f>IF(A1766=A1767,_xll.ciqfunctions.udf.CIQ(A1758,"IQ_TOTAL_DIV_PAID_CF",IQ_FY-7)/-I1761, _xll.ciqfunctions.udf.CIQ(A1758, "IQ_TOTAL_DIV_PAID_CF",IQ_FY-6)/-I1761)</f>
        <v>#DIV/0!</v>
      </c>
      <c r="I1761" s="17">
        <f>IF(A1766=A1767,_xll.ciqfunctions.udf.CIQ(A1758,"IQ_TOTAL_OUTSTANDING_FILING_DATE",IQ_FY-7), _xll.ciqfunctions.udf.CIQ(A1758, "IQ_TOTAL_OUTSTANDING_FILING_DATE",IQ_FY-6))</f>
        <v>0</v>
      </c>
      <c r="J1761" s="17">
        <f>IF(A1766=A1767,_xll.ciqfunctions.udf.CIQ(A1758,"IQ_CASH_OPER",IQ_FY-7), _xll.ciqfunctions.udf.CIQ(A1758, "IQ_CASH_OPER",IQ_FY-6))</f>
        <v>0</v>
      </c>
      <c r="K1761" s="17">
        <f>IF(A1766=A1767,_xll.ciqfunctions.udf.CIQ(A1758,"IQ_CAPEX",IQ_FY-7), _xll.ciqfunctions.udf.CIQ(A1758, "IQ_CAPEX",IQ_FY-6))</f>
        <v>0</v>
      </c>
      <c r="L1761" s="15" t="e">
        <f t="shared" si="468"/>
        <v>#DIV/0!</v>
      </c>
      <c r="M1761" s="17">
        <f>IF(A1766=A1767,_xll.ciqfunctions.udf.CIQ(A1758,"IQ_TOTAL_DEBT_ISSUED",IQ_FY-7), _xll.ciqfunctions.udf.CIQ(A1758, "IQ_TOTAL_DEBT_ISSUED",IQ_FY-6))</f>
        <v>0</v>
      </c>
      <c r="N1761" s="17">
        <f>IF(A1766=A1767,_xll.ciqfunctions.udf.CIQ(A1758,"IQ_TOTAL_DEBT_REPAID",IQ_FY-7), _xll.ciqfunctions.udf.CIQ(A1758, "IQ_TOTAL_DEBT_REPAID",IQ_FY-6))</f>
        <v>0</v>
      </c>
      <c r="O1761" s="15" t="e">
        <f t="shared" si="469"/>
        <v>#DIV/0!</v>
      </c>
      <c r="P1761" s="15" t="e">
        <f t="shared" si="470"/>
        <v>#DIV/0!</v>
      </c>
      <c r="Q1761" s="25" t="s">
        <v>23</v>
      </c>
      <c r="R1761" s="38" t="s">
        <v>24</v>
      </c>
      <c r="S1761" s="1" t="e">
        <f>R1757/(AVERAGE(H1763:H1768)*(1+H1769)/(0.5-H1769))</f>
        <v>#DIV/0!</v>
      </c>
      <c r="U1761" s="25" t="s">
        <v>40</v>
      </c>
      <c r="V1761" s="38" t="s">
        <v>24</v>
      </c>
      <c r="W1761" s="1" t="e">
        <f>V1757/(AVERAGE(H1763:H1768)*(1+H1769)/(0.5-H1769))</f>
        <v>#DIV/0!</v>
      </c>
      <c r="Y1761" s="25" t="s">
        <v>47</v>
      </c>
      <c r="Z1761" s="38" t="s">
        <v>24</v>
      </c>
      <c r="AA1761" s="1" t="e">
        <f>Z1757/(AVERAGE(H1763:H1768)*(1+H1769)/(0.5-H1769))</f>
        <v>#DIV/0!</v>
      </c>
    </row>
    <row r="1762" spans="1:27">
      <c r="B1762" s="13">
        <v>5</v>
      </c>
      <c r="C1762" s="14" t="s">
        <v>25</v>
      </c>
      <c r="D1762" s="15" t="e" cm="1">
        <f t="array" ref="D1762">_xlfn.SINGLE(IF(A1766=A1767,_xll.ciqfunctions.udf.CIQ(A1758,"IQ_TOTAL_REV",IQ_FY-6)/I1762, _xll.ciqfunctions.udf.CIQ(A1758, "IQ_TOTAL_REV",IQ_FY-5)/I1762))</f>
        <v>#DIV/0!</v>
      </c>
      <c r="E1762" s="16" t="e">
        <f t="shared" si="471"/>
        <v>#DIV/0!</v>
      </c>
      <c r="F1762" s="15">
        <f>IF(A1766=A1767,_xll.ciqfunctions.udf.CIQ(A1758,"IQ_DILUT_EPS_EXCL",IQ_FY-6), _xll.ciqfunctions.udf.CIQ(A1758, "IQ_DILUT_EPS_EXCL",IQ_FY-5))</f>
        <v>0</v>
      </c>
      <c r="G1762" s="15">
        <f>IF(A1766=A1767,_xll.ciqfunctions.udf.CIQ(A1758,"IQ_EBITDA_MARGIN",IQ_FY-6), _xll.ciqfunctions.udf.CIQ(A1758, "IQ_EBITDA_MARGIN",IQ_FY-5))</f>
        <v>0</v>
      </c>
      <c r="H1762" s="15" t="e">
        <f>IF(A1766=A1767,_xll.ciqfunctions.udf.CIQ(A1758,"IQ_TOTAL_DIV_PAID_CF",IQ_FY-6)/-I1762, _xll.ciqfunctions.udf.CIQ(A1758, "IQ_TOTAL_DIV_PAID_CF",IQ_FY-5)/-I1762)</f>
        <v>#DIV/0!</v>
      </c>
      <c r="I1762" s="17">
        <f>IF(A1766=A1767,_xll.ciqfunctions.udf.CIQ(A1758,"IQ_TOTAL_OUTSTANDING_FILING_DATE",IQ_FY-6), _xll.ciqfunctions.udf.CIQ(A1758, "IQ_TOTAL_OUTSTANDING_FILING_DATE",IQ_FY-5))</f>
        <v>0</v>
      </c>
      <c r="J1762" s="17">
        <f>IF(A1766=A1767,_xll.ciqfunctions.udf.CIQ(A1758,"IQ_CASH_OPER",IQ_FY-6), _xll.ciqfunctions.udf.CIQ(A1758, "IQ_CASH_OPER",IQ_FY-5))</f>
        <v>0</v>
      </c>
      <c r="K1762" s="17">
        <f>IF(A1766=A1767,_xll.ciqfunctions.udf.CIQ(A1758,"IQ_CAPEX",IQ_FY-6), _xll.ciqfunctions.udf.CIQ(A1758, "IQ_CAPEX",IQ_FY-5))</f>
        <v>0</v>
      </c>
      <c r="L1762" s="15" t="e">
        <f t="shared" si="468"/>
        <v>#DIV/0!</v>
      </c>
      <c r="M1762" s="17">
        <f>IF(A1766=A1767,_xll.ciqfunctions.udf.CIQ(A1758,"IQ_TOTAL_DEBT_ISSUED",IQ_FY-6), _xll.ciqfunctions.udf.CIQ(A1758, "IQ_TOTAL_DEBT_ISSUED",IQ_FY-5))</f>
        <v>0</v>
      </c>
      <c r="N1762" s="17">
        <f>IF(A1766=A1767,_xll.ciqfunctions.udf.CIQ(A1758,"IQ_TOTAL_DEBT_REPAID",IQ_FY-6), _xll.ciqfunctions.udf.CIQ(A1758, "IQ_TOTAL_DEBT_REPAID",IQ_FY-5))</f>
        <v>0</v>
      </c>
      <c r="O1762" s="15" t="e">
        <f t="shared" si="469"/>
        <v>#DIV/0!</v>
      </c>
      <c r="P1762" s="15" t="e">
        <f t="shared" si="470"/>
        <v>#DIV/0!</v>
      </c>
      <c r="Q1762" s="18"/>
      <c r="R1762" s="38" t="s">
        <v>50</v>
      </c>
      <c r="S1762" s="3" t="e">
        <f>I1769</f>
        <v>#DIV/0!</v>
      </c>
      <c r="U1762" s="18"/>
      <c r="V1762" s="38" t="s">
        <v>50</v>
      </c>
      <c r="W1762" s="3" t="e">
        <f>I1769</f>
        <v>#DIV/0!</v>
      </c>
      <c r="Y1762" s="18"/>
      <c r="Z1762" s="38" t="s">
        <v>50</v>
      </c>
      <c r="AA1762" s="3" t="e">
        <f>I1769</f>
        <v>#DIV/0!</v>
      </c>
    </row>
    <row r="1763" spans="1:27">
      <c r="B1763" s="13">
        <v>6</v>
      </c>
      <c r="C1763" s="14" t="s">
        <v>26</v>
      </c>
      <c r="D1763" s="15" t="e" cm="1">
        <f t="array" ref="D1763">_xlfn.SINGLE(IF(A1766=A1767,_xll.ciqfunctions.udf.CIQ(A1758,"IQ_TOTAL_REV",IQ_FY-5)/I1763, _xll.ciqfunctions.udf.CIQ(A1758, "IQ_TOTAL_REV",IQ_FY-4)/I1763))</f>
        <v>#DIV/0!</v>
      </c>
      <c r="E1763" s="16" t="e">
        <f t="shared" si="471"/>
        <v>#DIV/0!</v>
      </c>
      <c r="F1763" s="15">
        <f>IF(A1766=A1767,_xll.ciqfunctions.udf.CIQ(A1758,"IQ_DILUT_EPS_EXCL",IQ_FY-5), _xll.ciqfunctions.udf.CIQ(A1758, "IQ_DILUT_EPS_EXCL",IQ_FY-4))</f>
        <v>0</v>
      </c>
      <c r="G1763" s="15">
        <f>IF(A1766=A1767,_xll.ciqfunctions.udf.CIQ(A1758,"IQ_EBITDA_MARGIN",IQ_FY-5), _xll.ciqfunctions.udf.CIQ(A1758, "IQ_EBITDA_MARGIN",IQ_FY-4))</f>
        <v>5.9866000000000001</v>
      </c>
      <c r="H1763" s="15" t="e">
        <f>IF(A1766=A1767,_xll.ciqfunctions.udf.CIQ(A1758,"IQ_TOTAL_DIV_PAID_CF",IQ_FY-5)/-I1763, _xll.ciqfunctions.udf.CIQ(A1758, "IQ_TOTAL_DIV_PAID_CF",IQ_FY-4)/-I1763)</f>
        <v>#DIV/0!</v>
      </c>
      <c r="I1763" s="17">
        <f>IF(A1766=A1767,_xll.ciqfunctions.udf.CIQ(A1758,"IQ_TOTAL_OUTSTANDING_FILING_DATE",IQ_FY-5), _xll.ciqfunctions.udf.CIQ(A1758, "IQ_TOTAL_OUTSTANDING_FILING_DATE",IQ_FY-4))</f>
        <v>0</v>
      </c>
      <c r="J1763" s="17">
        <f>IF(A1766=A1767,_xll.ciqfunctions.udf.CIQ(A1758,"IQ_CASH_OPER",IQ_FY-5), _xll.ciqfunctions.udf.CIQ(A1758, "IQ_CASH_OPER",IQ_FY-4))</f>
        <v>31.36</v>
      </c>
      <c r="K1763" s="17">
        <f>IF(A1766=A1767,_xll.ciqfunctions.udf.CIQ(A1758,"IQ_CAPEX",IQ_FY-5), _xll.ciqfunctions.udf.CIQ(A1758, "IQ_CAPEX",IQ_FY-4))</f>
        <v>-5.1639999999999997</v>
      </c>
      <c r="L1763" s="15" t="e">
        <f t="shared" si="468"/>
        <v>#DIV/0!</v>
      </c>
      <c r="M1763" s="17">
        <f>IF(A1766=A1767,_xll.ciqfunctions.udf.CIQ(A1758,"IQ_TOTAL_DEBT_ISSUED",IQ_FY-5), _xll.ciqfunctions.udf.CIQ(A1758, "IQ_TOTAL_DEBT_ISSUED",IQ_FY-4))</f>
        <v>0</v>
      </c>
      <c r="N1763" s="17">
        <f>IF(A1766=A1767,_xll.ciqfunctions.udf.CIQ(A1758,"IQ_TOTAL_DEBT_REPAID",IQ_FY-5), _xll.ciqfunctions.udf.CIQ(A1758, "IQ_TOTAL_DEBT_REPAID",IQ_FY-4))</f>
        <v>0</v>
      </c>
      <c r="O1763" s="15" t="e">
        <f t="shared" si="469"/>
        <v>#DIV/0!</v>
      </c>
      <c r="P1763" s="15" t="e">
        <f t="shared" si="470"/>
        <v>#DIV/0!</v>
      </c>
      <c r="Q1763" s="25" t="s">
        <v>27</v>
      </c>
      <c r="R1763" s="38" t="s">
        <v>51</v>
      </c>
      <c r="S1763" s="4" t="e">
        <f>AVERAGE(F1763:F1768)/AVERAGE(D1763:D1768)</f>
        <v>#DIV/0!</v>
      </c>
      <c r="U1763" s="25" t="s">
        <v>58</v>
      </c>
      <c r="V1763" s="38" t="s">
        <v>51</v>
      </c>
      <c r="W1763" s="4" t="e">
        <f>AVERAGE(F1763:F1768)/AVERAGE(D1763:D1768)</f>
        <v>#DIV/0!</v>
      </c>
      <c r="Y1763" s="25" t="s">
        <v>56</v>
      </c>
      <c r="Z1763" s="38" t="s">
        <v>51</v>
      </c>
      <c r="AA1763" s="4" t="e">
        <f>AVERAGE(F1763:F1768)/AVERAGE(D1763:D1768)</f>
        <v>#DIV/0!</v>
      </c>
    </row>
    <row r="1764" spans="1:27">
      <c r="A1764" s="18"/>
      <c r="B1764" s="13">
        <v>7</v>
      </c>
      <c r="C1764" s="14" t="s">
        <v>28</v>
      </c>
      <c r="D1764" s="15" cm="1">
        <f t="array" ref="D1764">_xlfn.SINGLE(IF(A1766=A1767,_xll.ciqfunctions.udf.CIQ(A1758,"IQ_TOTAL_REV",IQ_FY-4)/I1764, _xll.ciqfunctions.udf.CIQ(A1758, "IQ_TOTAL_REV",IQ_FY-3)/I1764))</f>
        <v>3.5941114905805884</v>
      </c>
      <c r="E1764" s="16" t="e">
        <f t="shared" si="471"/>
        <v>#DIV/0!</v>
      </c>
      <c r="F1764" s="15">
        <f>IF(A1766=A1767,_xll.ciqfunctions.udf.CIQ(A1758,"IQ_DILUT_EPS_EXCL",IQ_FY-4), _xll.ciqfunctions.udf.CIQ(A1758, "IQ_DILUT_EPS_EXCL",IQ_FY-3))</f>
        <v>-0.56000000000000005</v>
      </c>
      <c r="G1764" s="15">
        <f>IF(A1766=A1767,_xll.ciqfunctions.udf.CIQ(A1758,"IQ_EBITDA_MARGIN",IQ_FY-4), _xll.ciqfunctions.udf.CIQ(A1758, "IQ_EBITDA_MARGIN",IQ_FY-3))</f>
        <v>12.847200000000001</v>
      </c>
      <c r="H1764" s="15">
        <f>IF(A1766=A1767,_xll.ciqfunctions.udf.CIQ(A1758,"IQ_TOTAL_DIV_PAID_CF",IQ_FY-4)/-I1764, _xll.ciqfunctions.udf.CIQ(A1758, "IQ_TOTAL_DIV_PAID_CF",IQ_FY-3)/-I1764)</f>
        <v>0</v>
      </c>
      <c r="I1764" s="17">
        <f>IF(A1766=A1767,_xll.ciqfunctions.udf.CIQ(A1758,"IQ_TOTAL_OUTSTANDING_FILING_DATE",IQ_FY-4), _xll.ciqfunctions.udf.CIQ(A1758, "IQ_TOTAL_OUTSTANDING_FILING_DATE",IQ_FY-3))</f>
        <v>36.308</v>
      </c>
      <c r="J1764" s="17">
        <f>IF(A1766=A1767,_xll.ciqfunctions.udf.CIQ(A1758,"IQ_CASH_OPER",IQ_FY-4), _xll.ciqfunctions.udf.CIQ(A1758, "IQ_CASH_OPER",IQ_FY-3))</f>
        <v>15.205</v>
      </c>
      <c r="K1764" s="17">
        <f>IF(A1766=A1767,_xll.ciqfunctions.udf.CIQ(A1758,"IQ_CAPEX",IQ_FY-4), _xll.ciqfunctions.udf.CIQ(A1758, "IQ_CAPEX",IQ_FY-3))</f>
        <v>-2.4590000000000001</v>
      </c>
      <c r="L1764" s="15">
        <f t="shared" si="468"/>
        <v>0.3510521097278837</v>
      </c>
      <c r="M1764" s="17">
        <f>IF(A1766=A1767,_xll.ciqfunctions.udf.CIQ(A1758,"IQ_TOTAL_DEBT_ISSUED",IQ_FY-4), _xll.ciqfunctions.udf.CIQ(A1758, "IQ_TOTAL_DEBT_ISSUED",IQ_FY-3))</f>
        <v>0</v>
      </c>
      <c r="N1764" s="17">
        <f>IF(A1766=A1767,_xll.ciqfunctions.udf.CIQ(A1758,"IQ_TOTAL_DEBT_REPAID",IQ_FY-4), _xll.ciqfunctions.udf.CIQ(A1758, "IQ_TOTAL_DEBT_REPAID",IQ_FY-3))</f>
        <v>0</v>
      </c>
      <c r="O1764" s="15">
        <f t="shared" si="469"/>
        <v>0</v>
      </c>
      <c r="P1764" s="15">
        <f t="shared" si="470"/>
        <v>0.3510521097278837</v>
      </c>
      <c r="Q1764" s="18"/>
      <c r="R1764" s="38" t="s">
        <v>29</v>
      </c>
      <c r="S1764" s="4" t="e">
        <f>(AVERAGE(P1763:P1768)/_xlfn.STDEV.P(P1763:P1768))/(IF(A1766=A1767,(_xlfn.SINGLE(_xll.ciqfunctions.udf.CIQ(A1758,"IQ_total_assets",IQ_FY)) - _xlfn.SINGLE(_xll.ciqfunctions.udf.CIQ(A1758,"iq_gw_intan", IQ_FY)))/I1768, (_xlfn.SINGLE(_xll.ciqfunctions.udf.CIQ(A1758, "IQ_total_assets",IQ_LTM))-_xlfn.SINGLE(_xll.ciqfunctions.udf.CIQ(A1758,"iq_gw_intan",IQ_LTM)))/I1768))</f>
        <v>#DIV/0!</v>
      </c>
      <c r="U1764" s="18"/>
      <c r="V1764" s="38" t="s">
        <v>29</v>
      </c>
      <c r="W1764" s="4" t="e">
        <f>(AVERAGE(P1763:P1768)/_xlfn.STDEV.P(P1763:P1768))/(IF(A1766=A1767,(_xlfn.SINGLE(_xll.ciqfunctions.udf.CIQ(A1758,"IQ_total_assets",IQ_FY)) - _xlfn.SINGLE(_xll.ciqfunctions.udf.CIQ(A1758,"iq_gw_intan", IQ_FY)))/I1768, (_xlfn.SINGLE(_xll.ciqfunctions.udf.CIQ(A1758, "IQ_total_assets",IQ_LTM))-_xlfn.SINGLE(_xll.ciqfunctions.udf.CIQ(A1758,"iq_gw_intan",IQ_LTM)))/I1768))</f>
        <v>#DIV/0!</v>
      </c>
      <c r="Y1764" s="18"/>
      <c r="Z1764" s="38" t="s">
        <v>29</v>
      </c>
      <c r="AA1764" s="4" t="e">
        <f>(AVERAGE(P1763:P1768)/_xlfn.STDEV.P(P1763:P1768))/(IF(A1766=A1767,(_xlfn.SINGLE(_xll.ciqfunctions.udf.CIQ(A1758,"IQ_total_assets",IQ_FY)) - _xlfn.SINGLE(_xll.ciqfunctions.udf.CIQ(A1758,"iq_gw_intan", IQ_FY)))/I1768, (_xlfn.SINGLE(_xll.ciqfunctions.udf.CIQ(A1758, "IQ_total_assets",IQ_LTM))-_xlfn.SINGLE(_xll.ciqfunctions.udf.CIQ(A1758,"iq_gw_intan",IQ_LTM)))/I1768))</f>
        <v>#DIV/0!</v>
      </c>
    </row>
    <row r="1765" spans="1:27">
      <c r="A1765" s="18"/>
      <c r="B1765" s="13">
        <v>8</v>
      </c>
      <c r="C1765" s="14" t="s">
        <v>30</v>
      </c>
      <c r="D1765" s="15" cm="1">
        <f t="array" ref="D1765">_xlfn.SINGLE(IF(A1766=A1767,_xll.ciqfunctions.udf.CIQ(A1758,"IQ_TOTAL_REV",IQ_FY-3)/I1765, _xll.ciqfunctions.udf.CIQ(A1758, "IQ_TOTAL_REV",IQ_FY-2)/I1765))</f>
        <v>8.2802688112812604</v>
      </c>
      <c r="E1765" s="16">
        <f t="shared" si="471"/>
        <v>1.303843059121039</v>
      </c>
      <c r="F1765" s="15">
        <f>IF(A1766=A1767,_xll.ciqfunctions.udf.CIQ(A1758,"IQ_DILUT_EPS_EXCL",IQ_FY-3), _xll.ciqfunctions.udf.CIQ(A1758, "IQ_DILUT_EPS_EXCL",IQ_FY-2))</f>
        <v>-0.56999999999999995</v>
      </c>
      <c r="G1765" s="15">
        <f>IF(A1766=A1767,_xll.ciqfunctions.udf.CIQ(A1758,"IQ_EBITDA_MARGIN",IQ_FY-3), _xll.ciqfunctions.udf.CIQ(A1758, "IQ_EBITDA_MARGIN",IQ_FY-2))</f>
        <v>22.510899999999999</v>
      </c>
      <c r="H1765" s="15">
        <f>IF(A1766=A1767,_xll.ciqfunctions.udf.CIQ(A1758,"IQ_TOTAL_DIV_PAID_CF",IQ_FY-3)/-I1765, _xll.ciqfunctions.udf.CIQ(A1758, "IQ_TOTAL_DIV_PAID_CF",IQ_FY-2)/-I1765)</f>
        <v>0</v>
      </c>
      <c r="I1765" s="17">
        <f>IF(A1766=A1767,_xll.ciqfunctions.udf.CIQ(A1758,"IQ_TOTAL_OUTSTANDING_FILING_DATE",IQ_FY-3), _xll.ciqfunctions.udf.CIQ(A1758, "IQ_TOTAL_OUTSTANDING_FILING_DATE",IQ_FY-2))</f>
        <v>36.308</v>
      </c>
      <c r="J1765" s="17">
        <f>IF(A1766=A1767,_xll.ciqfunctions.udf.CIQ(A1758,"IQ_CASH_OPER",IQ_FY-3), _xll.ciqfunctions.udf.CIQ(A1758, "IQ_CASH_OPER",IQ_FY-2))</f>
        <v>54.8</v>
      </c>
      <c r="K1765" s="17">
        <f>IF(A1766=A1767,_xll.ciqfunctions.udf.CIQ(A1758,"IQ_CAPEX",IQ_FY-3), _xll.ciqfunctions.udf.CIQ(A1758, "IQ_CAPEX",IQ_FY-2))</f>
        <v>-6.1849999999999996</v>
      </c>
      <c r="L1765" s="15">
        <f t="shared" si="468"/>
        <v>1.3389611104990635</v>
      </c>
      <c r="M1765" s="17">
        <f>IF(A1766=A1767,_xll.ciqfunctions.udf.CIQ(A1758,"IQ_TOTAL_DEBT_ISSUED",IQ_FY-3), _xll.ciqfunctions.udf.CIQ(A1758, "IQ_TOTAL_DEBT_ISSUED",IQ_FY-2))</f>
        <v>0</v>
      </c>
      <c r="N1765" s="17">
        <f>IF(A1766=A1767,_xll.ciqfunctions.udf.CIQ(A1758,"IQ_TOTAL_DEBT_REPAID",IQ_FY-3), _xll.ciqfunctions.udf.CIQ(A1758, "IQ_TOTAL_DEBT_REPAID",IQ_FY-2))</f>
        <v>0</v>
      </c>
      <c r="O1765" s="15">
        <f t="shared" si="469"/>
        <v>0</v>
      </c>
      <c r="P1765" s="15">
        <f t="shared" si="470"/>
        <v>1.3389611104990635</v>
      </c>
      <c r="Q1765" s="18"/>
      <c r="R1765" s="39" t="s">
        <v>31</v>
      </c>
      <c r="S1765" s="5" t="e">
        <f>IF(NOT(D1758&gt;0),FALSE,SLOPE(G1758:G1768,B1758:B1768))</f>
        <v>#DIV/0!</v>
      </c>
      <c r="U1765" s="18"/>
      <c r="V1765" s="39" t="s">
        <v>31</v>
      </c>
      <c r="W1765" s="5" t="e">
        <f>IF(NOT(D1758&gt;0),FALSE,SLOPE(G1758:G1768,B1758:B1768))</f>
        <v>#DIV/0!</v>
      </c>
      <c r="Y1765" s="18"/>
      <c r="Z1765" s="39" t="s">
        <v>31</v>
      </c>
      <c r="AA1765" s="5" t="e">
        <f>IF(NOT(L1758&gt;0),FALSE,SLOPE(O1758:O1768,J1758:J1768))</f>
        <v>#DIV/0!</v>
      </c>
    </row>
    <row r="1766" spans="1:27">
      <c r="A1766" s="19">
        <f>_xll.ciqfunctions.udf.CIQ(A1758,"IQ_TOTAL_REV",IQ_FY)</f>
        <v>1044.1780000000001</v>
      </c>
      <c r="B1766" s="13">
        <v>9</v>
      </c>
      <c r="C1766" s="14" t="s">
        <v>32</v>
      </c>
      <c r="D1766" s="15" cm="1">
        <f t="array" ref="D1766">_xlfn.SINGLE(IF(A1766=A1767,_xll.ciqfunctions.udf.CIQ(A1758,"IQ_TOTAL_REV",IQ_FY-2)/I1766, _xll.ciqfunctions.udf.CIQ(A1758, "IQ_TOTAL_REV",IQ_FY-1)/I1766))</f>
        <v>7.4854934042868875</v>
      </c>
      <c r="E1766" s="16">
        <f t="shared" si="471"/>
        <v>-9.5984251853218766E-2</v>
      </c>
      <c r="F1766" s="15">
        <f>IF(A1766=A1767,_xll.ciqfunctions.udf.CIQ(A1758,"IQ_DILUT_EPS_EXCL",IQ_FY-2), _xll.ciqfunctions.udf.CIQ(A1758, "IQ_DILUT_EPS_EXCL",IQ_FY-1))</f>
        <v>1.05453</v>
      </c>
      <c r="G1766" s="15">
        <f>IF(A1766=A1767,_xll.ciqfunctions.udf.CIQ(A1758,"IQ_EBITDA_MARGIN",IQ_FY-2), _xll.ciqfunctions.udf.CIQ(A1758, "IQ_EBITDA_MARGIN",IQ_FY-1))</f>
        <v>35.857900000000001</v>
      </c>
      <c r="H1766" s="15">
        <f>IF(A1766=A1767,_xll.ciqfunctions.udf.CIQ(A1758,"IQ_TOTAL_DIV_PAID_CF",IQ_FY-2)/-I1766, _xll.ciqfunctions.udf.CIQ(A1758, "IQ_TOTAL_DIV_PAID_CF",IQ_FY-1)/-I1766)</f>
        <v>0</v>
      </c>
      <c r="I1766" s="17">
        <f>IF(A1766=A1767,_xll.ciqfunctions.udf.CIQ(A1758,"IQ_TOTAL_OUTSTANDING_FILING_DATE",IQ_FY-2), _xll.ciqfunctions.udf.CIQ(A1758, "IQ_TOTAL_OUTSTANDING_FILING_DATE",IQ_FY-1))</f>
        <v>64.432760000000002</v>
      </c>
      <c r="J1766" s="17">
        <f>IF(A1766=A1767,_xll.ciqfunctions.udf.CIQ(A1758,"IQ_CASH_OPER",IQ_FY-2), _xll.ciqfunctions.udf.CIQ(A1758, "IQ_CASH_OPER",IQ_FY-1))</f>
        <v>19.776</v>
      </c>
      <c r="K1766" s="17">
        <f>IF(A1766=A1767,_xll.ciqfunctions.udf.CIQ(A1758,"IQ_CAPEX",IQ_FY-2), _xll.ciqfunctions.udf.CIQ(A1758, "IQ_CAPEX",IQ_FY-1))</f>
        <v>-4.87</v>
      </c>
      <c r="L1766" s="15">
        <f t="shared" si="468"/>
        <v>0.23134194468776439</v>
      </c>
      <c r="M1766" s="17">
        <f>IF(A1766=A1767,_xll.ciqfunctions.udf.CIQ(A1758,"IQ_TOTAL_DEBT_ISSUED",IQ_FY-2), _xll.ciqfunctions.udf.CIQ(A1758, "IQ_TOTAL_DEBT_ISSUED",IQ_FY-1))</f>
        <v>0</v>
      </c>
      <c r="N1766" s="17">
        <f>IF(A1766=A1767,_xll.ciqfunctions.udf.CIQ(A1758,"IQ_TOTAL_DEBT_REPAID",IQ_FY-2), _xll.ciqfunctions.udf.CIQ(A1758, "IQ_TOTAL_DEBT_REPAID",IQ_FY-1))</f>
        <v>-6</v>
      </c>
      <c r="O1766" s="15">
        <f t="shared" si="469"/>
        <v>-9.3120331955359348E-2</v>
      </c>
      <c r="P1766" s="15">
        <f t="shared" si="470"/>
        <v>0.13822161273240505</v>
      </c>
      <c r="Q1766" s="25" t="s">
        <v>33</v>
      </c>
      <c r="R1766" s="38" t="s">
        <v>52</v>
      </c>
      <c r="S1766" s="4" t="e">
        <f>(AVERAGE(O1763:O1768)/AVERAGE(P1763:P1768))</f>
        <v>#DIV/0!</v>
      </c>
      <c r="U1766" s="25" t="s">
        <v>54</v>
      </c>
      <c r="V1766" s="38" t="s">
        <v>52</v>
      </c>
      <c r="W1766" s="4" t="e">
        <f>(AVERAGE(O1763:O1768)/AVERAGE(P1763:P1768))</f>
        <v>#DIV/0!</v>
      </c>
      <c r="Y1766" s="25" t="s">
        <v>60</v>
      </c>
      <c r="Z1766" s="38" t="s">
        <v>52</v>
      </c>
      <c r="AA1766" s="4" t="e">
        <f>(AVERAGE(O1763:O1768)/AVERAGE(P1763:P1768))</f>
        <v>#DIV/0!</v>
      </c>
    </row>
    <row r="1767" spans="1:27">
      <c r="A1767" s="19">
        <f>_xll.ciqfunctions.udf.CIQ(A1758,"IQ_TOTAL_REV",IQ_LTM)</f>
        <v>1042.6669999999999</v>
      </c>
      <c r="B1767" s="13">
        <v>10</v>
      </c>
      <c r="C1767" s="14" t="s">
        <v>34</v>
      </c>
      <c r="D1767" s="15" cm="1">
        <f t="array" ref="D1767">_xlfn.SINGLE(IF(A1766=A1767,_xll.ciqfunctions.udf.CIQ(A1758,"IQ_TOTAL_REV",IQ_FY-1)/I1767, _xll.ciqfunctions.udf.CIQ(A1758, "IQ_TOTAL_REV",IQ_FY)/I1767))</f>
        <v>16.197535291887537</v>
      </c>
      <c r="E1767" s="16">
        <f t="shared" si="471"/>
        <v>1.163856731556443</v>
      </c>
      <c r="F1767" s="15">
        <f>IF(A1766=A1767,_xll.ciqfunctions.udf.CIQ(A1758,"IQ_DILUT_EPS_EXCL",IQ_FY-1), _xll.ciqfunctions.udf.CIQ(A1758, "IQ_DILUT_EPS_EXCL",IQ_FY))</f>
        <v>-1.67</v>
      </c>
      <c r="G1767" s="15">
        <f>IF(A1766=A1767,_xll.ciqfunctions.udf.CIQ(A1758,"IQ_EBITDA_MARGIN",IQ_FY-1), _xll.ciqfunctions.udf.CIQ(A1758, "IQ_EBITDA_MARGIN",IQ_FY))</f>
        <v>29.5307</v>
      </c>
      <c r="H1767" s="15">
        <f>IF(A1766=A1767,_xll.ciqfunctions.udf.CIQ(A1758,"IQ_TOTAL_DIV_PAID_CF",IQ_FY-1)/-I1767, _xll.ciqfunctions.udf.CIQ(A1758, "IQ_TOTAL_DIV_PAID_CF",IQ_FY)/-I1767)</f>
        <v>0</v>
      </c>
      <c r="I1767" s="17">
        <f>IF(A1766=A1767,_xll.ciqfunctions.udf.CIQ(A1758,"IQ_TOTAL_OUTSTANDING_FILING_DATE",IQ_FY-1), _xll.ciqfunctions.udf.CIQ(A1758, "IQ_TOTAL_OUTSTANDING_FILING_DATE",IQ_FY))</f>
        <v>64.465239999999994</v>
      </c>
      <c r="J1767" s="17">
        <f>IF(A1766=A1767,_xll.ciqfunctions.udf.CIQ(A1758,"IQ_CASH_OPER",IQ_FY-1), _xll.ciqfunctions.udf.CIQ(A1758, "IQ_CASH_OPER",IQ_FY))</f>
        <v>299.209</v>
      </c>
      <c r="K1767" s="17">
        <f>IF(A1766=A1767,_xll.ciqfunctions.udf.CIQ(A1758,"IQ_CAPEX",IQ_FY-1), _xll.ciqfunctions.udf.CIQ(A1758, "IQ_CAPEX",IQ_FY))</f>
        <v>-6.577</v>
      </c>
      <c r="L1767" s="15">
        <f t="shared" si="468"/>
        <v>4.539376569450452</v>
      </c>
      <c r="M1767" s="17">
        <f>IF(A1766=A1767,_xll.ciqfunctions.udf.CIQ(A1758,"IQ_TOTAL_DEBT_ISSUED",IQ_FY-1), _xll.ciqfunctions.udf.CIQ(A1758, "IQ_TOTAL_DEBT_ISSUED",IQ_FY))</f>
        <v>0</v>
      </c>
      <c r="N1767" s="17">
        <f>IF(A1766=A1767,_xll.ciqfunctions.udf.CIQ(A1758,"IQ_TOTAL_DEBT_REPAID",IQ_FY-1), _xll.ciqfunctions.udf.CIQ(A1758, "IQ_TOTAL_DEBT_REPAID",IQ_FY))</f>
        <v>-276</v>
      </c>
      <c r="O1767" s="15">
        <f t="shared" si="469"/>
        <v>-4.2813770646010161</v>
      </c>
      <c r="P1767" s="15">
        <f t="shared" si="470"/>
        <v>0.2579995048494359</v>
      </c>
      <c r="Q1767" s="25" t="s">
        <v>44</v>
      </c>
      <c r="R1767" s="38" t="s">
        <v>35</v>
      </c>
      <c r="S1767" s="1">
        <f>_xll.ciqfunctions.udf.CIQ(A1758,"IQ_TEV_EBITDA")</f>
        <v>37.11815</v>
      </c>
      <c r="U1767" s="25" t="s">
        <v>55</v>
      </c>
      <c r="V1767" s="38" t="s">
        <v>53</v>
      </c>
      <c r="W1767" s="1" t="e">
        <f>V1757/(AVERAGE(D1763:D1768)/_xlfn.STDEV.P(E1763:E1768))</f>
        <v>#DIV/0!</v>
      </c>
      <c r="Y1767" s="25" t="s">
        <v>57</v>
      </c>
      <c r="Z1767" s="38" t="s">
        <v>53</v>
      </c>
      <c r="AA1767" s="1" t="e">
        <f>Z1757/(AVERAGE(D1763:D1768)/_xlfn.STDEV.P(E1763:E1768))</f>
        <v>#DIV/0!</v>
      </c>
    </row>
    <row r="1768" spans="1:27">
      <c r="B1768" s="13">
        <v>11</v>
      </c>
      <c r="C1768" s="20" t="s">
        <v>36</v>
      </c>
      <c r="D1768" s="21" cm="1">
        <f t="array" ref="D1768">_xlfn.SINGLE(IF(A1766=A1767,_xll.ciqfunctions.udf.CIQ(A1758,"IQ_TOTAL_REV",IQ_FY)/I1768, _xll.ciqfunctions.udf.CIQ(A1758, "IQ_TOTAL_REV",IQ_LTM)/I1768))</f>
        <v>16.368565770294357</v>
      </c>
      <c r="E1768" s="22">
        <f t="shared" si="471"/>
        <v>1.0559043417703175E-2</v>
      </c>
      <c r="F1768" s="21">
        <f>IF(A1766=A1767,_xll.ciqfunctions.udf.CIQ(A1758,"IQ_DILUT_EPS_EXCL",IQ_FY), _xll.ciqfunctions.udf.CIQ(A1758, "IQ_DILUT_EPS_EXCL",IQ_LTM))</f>
        <v>-2.03898</v>
      </c>
      <c r="G1768" s="21">
        <f>IF(A1766=A1767,_xll.ciqfunctions.udf.CIQ(A1758,"IQ_EBITDA_MARGIN",IQ_FY), _xll.ciqfunctions.udf.CIQ(A1758, "IQ_EBITDA_MARGIN",IQ_LTM))</f>
        <v>28.7713</v>
      </c>
      <c r="H1768" s="21">
        <f>IF(A1766=A1767,_xll.ciqfunctions.udf.CIQ(A1758,"IQ_TOTAL_DIV_PAID_CF",IQ_FY)/-I1768, _xll.ciqfunctions.udf.CIQ(A1758, "IQ_TOTAL_DIV_PAID_CF",IQ_LTM)/-I1768)</f>
        <v>0</v>
      </c>
      <c r="I1768" s="23">
        <f>IF(A1766=A1767,_xll.ciqfunctions.udf.CIQ(A1758,"IQ_TOTAL_OUTSTANDING_FILING_DATE",IQ_FY),_xll.ciqfunctions.udf.CIQ(A1758,"IQ_sharesoutstanding"))</f>
        <v>63.699350000000003</v>
      </c>
      <c r="J1768" s="23">
        <f>IF(A1766=A1767,_xll.ciqfunctions.udf.CIQ(A1758,"IQ_CASH_OPER",IQ_FY), _xll.ciqfunctions.udf.CIQ(A1758, "IQ_CASH_OPER",IQ_LTM))</f>
        <v>311.113</v>
      </c>
      <c r="K1768" s="23">
        <f>IF(A1766=A1767,_xll.ciqfunctions.udf.CIQ(A1758,"IQ_CAPEX",IQ_FY), _xll.ciqfunctions.udf.CIQ(A1758, "IQ_CAPEX",IQ_LTM))</f>
        <v>-18.693000000000001</v>
      </c>
      <c r="L1768" s="21">
        <f t="shared" si="468"/>
        <v>4.5906276908634078</v>
      </c>
      <c r="M1768" s="23">
        <f>IF(A1766=A1767,_xll.ciqfunctions.udf.CIQ(A1758,"IQ_TOTAL_DEBT_ISSUED",IQ_FY), _xll.ciqfunctions.udf.CIQ(A1758, "IQ_TOTAL_DEBT_ISSUED",IQ_LTM))</f>
        <v>0</v>
      </c>
      <c r="N1768" s="23">
        <f>IF(A1766=A1767,_xll.ciqfunctions.udf.CIQ(A1758,"IQ_TOTAL_DEBT_REPAID",IQ_FY), _xll.ciqfunctions.udf.CIQ(A1758, "IQ_TOTAL_DEBT_REPAID",IQ_LTM))</f>
        <v>-270</v>
      </c>
      <c r="O1768" s="21">
        <f t="shared" si="469"/>
        <v>-4.2386617759835854</v>
      </c>
      <c r="P1768" s="21">
        <f t="shared" si="470"/>
        <v>0.35196591487982243</v>
      </c>
      <c r="Q1768" s="25" t="s">
        <v>45</v>
      </c>
      <c r="S1768" s="45"/>
      <c r="U1768" s="25"/>
      <c r="W1768" s="45"/>
      <c r="Y1768" s="25"/>
      <c r="AA1768" s="45"/>
    </row>
    <row r="1769" spans="1:27">
      <c r="B1769" s="24"/>
      <c r="C1769" s="25" t="s">
        <v>37</v>
      </c>
      <c r="E1769" s="26" t="e">
        <f>((D1768/D1763)^(1/5))-1</f>
        <v>#DIV/0!</v>
      </c>
      <c r="F1769" s="27" t="e">
        <f>((F1768/F1763)^(1/5))-1</f>
        <v>#DIV/0!</v>
      </c>
      <c r="G1769" s="28"/>
      <c r="H1769" s="27" t="e">
        <f>((H1768/H1763)^(1/5))-1</f>
        <v>#DIV/0!</v>
      </c>
      <c r="I1769" s="27" t="e">
        <f>((I1768/I1763)^(1/5))-1</f>
        <v>#DIV/0!</v>
      </c>
      <c r="J1769" s="27"/>
      <c r="K1769" s="27"/>
      <c r="L1769" s="26" t="e">
        <f>((L1768/L1763)^(1/5))-1</f>
        <v>#DIV/0!</v>
      </c>
      <c r="M1769" s="26"/>
      <c r="N1769" s="26"/>
      <c r="O1769" s="26"/>
      <c r="P1769" s="26" t="e">
        <f>((P1768/P1763)^(1/5))-1</f>
        <v>#DIV/0!</v>
      </c>
      <c r="Q1769" s="18"/>
      <c r="R1769" s="36"/>
      <c r="S1769" s="45"/>
      <c r="U1769" s="18"/>
      <c r="V1769" s="36"/>
      <c r="W1769" s="45"/>
      <c r="Y1769" s="18"/>
      <c r="Z1769" s="36"/>
      <c r="AA1769" s="45"/>
    </row>
    <row r="1770" spans="1:27">
      <c r="A1770" s="29"/>
      <c r="B1770" s="30"/>
      <c r="C1770" s="31" t="s">
        <v>38</v>
      </c>
      <c r="D1770" s="29"/>
      <c r="E1770" s="32" t="e">
        <f>((D1768/D1758)^(1/10))-1</f>
        <v>#DIV/0!</v>
      </c>
      <c r="F1770" s="33" t="e">
        <f>((F1768/F1758)^(1/10))-1</f>
        <v>#DIV/0!</v>
      </c>
      <c r="G1770" s="34"/>
      <c r="H1770" s="33" t="e">
        <f>((H1768/H1758)^(1/10))-1</f>
        <v>#DIV/0!</v>
      </c>
      <c r="I1770" s="33" t="e">
        <f>((I1768/I1758)^(1/10))-1</f>
        <v>#DIV/0!</v>
      </c>
      <c r="J1770" s="33"/>
      <c r="K1770" s="33"/>
      <c r="L1770" s="32" t="e">
        <f>((L1768/L1758)^(1/10))-1</f>
        <v>#DIV/0!</v>
      </c>
      <c r="M1770" s="32"/>
      <c r="N1770" s="32"/>
      <c r="O1770" s="32"/>
      <c r="P1770" s="32" t="e">
        <f>((P1768/P1758)^(1/10))-1</f>
        <v>#DIV/0!</v>
      </c>
      <c r="Q1770" s="40"/>
      <c r="R1770" s="41"/>
      <c r="S1770" s="46"/>
      <c r="U1770" s="40"/>
      <c r="V1770" s="41"/>
      <c r="W1770" s="46"/>
      <c r="Y1770" s="40"/>
      <c r="Z1770" s="41"/>
      <c r="AA1770" s="46"/>
    </row>
    <row r="1771" spans="1:27">
      <c r="B1771" s="24"/>
      <c r="C1771" s="25"/>
      <c r="E1771" s="26"/>
      <c r="F1771" s="27"/>
      <c r="G1771" s="28"/>
      <c r="H1771" s="27"/>
      <c r="I1771" s="27"/>
      <c r="J1771" s="27"/>
      <c r="K1771" s="27"/>
      <c r="L1771" s="26"/>
      <c r="M1771" s="17"/>
      <c r="N1771" s="17"/>
      <c r="O1771" s="17"/>
      <c r="P1771" s="35"/>
      <c r="Q1771" s="18"/>
      <c r="R1771" s="36"/>
    </row>
    <row r="1772" spans="1:27">
      <c r="A1772" s="9" t="s">
        <v>0</v>
      </c>
      <c r="B1772" s="10"/>
      <c r="C1772" s="9" t="s">
        <v>1</v>
      </c>
      <c r="D1772" s="9" t="s">
        <v>2</v>
      </c>
      <c r="E1772" s="9" t="s">
        <v>3</v>
      </c>
      <c r="F1772" s="11" t="s">
        <v>4</v>
      </c>
      <c r="G1772" s="11" t="s">
        <v>5</v>
      </c>
      <c r="H1772" s="9" t="s">
        <v>6</v>
      </c>
      <c r="I1772" s="11" t="s">
        <v>7</v>
      </c>
      <c r="J1772" s="11" t="s">
        <v>8</v>
      </c>
      <c r="K1772" s="11" t="s">
        <v>9</v>
      </c>
      <c r="L1772" s="11" t="s">
        <v>10</v>
      </c>
      <c r="M1772" s="11" t="s">
        <v>11</v>
      </c>
      <c r="N1772" s="11" t="s">
        <v>12</v>
      </c>
      <c r="O1772" s="11" t="s">
        <v>13</v>
      </c>
      <c r="P1772" s="11" t="s">
        <v>14</v>
      </c>
      <c r="Q1772" s="37" t="s">
        <v>15</v>
      </c>
      <c r="R1772" s="42">
        <f>_xll.ciqfunctions.udf.CIQ(A1773,("IQ_LASTSALEPRICE"))</f>
        <v>19.14</v>
      </c>
      <c r="S1772" s="44"/>
      <c r="U1772" s="37" t="s">
        <v>15</v>
      </c>
      <c r="V1772" s="42">
        <f>_xll.ciqfunctions.udf.CIQ(A1773,("IQ_LASTSALEPRICE"))</f>
        <v>19.14</v>
      </c>
      <c r="W1772" s="44"/>
      <c r="Y1772" s="37" t="s">
        <v>15</v>
      </c>
      <c r="Z1772" s="42">
        <f>_xll.ciqfunctions.udf.CIQ(A1773,("IQ_LASTSALEPRICE"))</f>
        <v>19.14</v>
      </c>
      <c r="AA1772" s="44"/>
    </row>
    <row r="1773" spans="1:27">
      <c r="A1773" s="12" t="str">
        <f>Analysis!B120</f>
        <v>NasdaqGS:CFLT</v>
      </c>
      <c r="B1773" s="13">
        <v>1</v>
      </c>
      <c r="C1773" s="14" t="s">
        <v>16</v>
      </c>
      <c r="D1773" s="15" t="e">
        <f>IF(A1781=A1782,_xll.ciqfunctions.udf.CIQ(A1773,"IQ_TOTAL_REV",IQ_FY-10)/I1773,_xll.ciqfunctions.udf.CIQ(A1773, "IQ_TOTAL_REV",IQ_FY-9)/I1773)</f>
        <v>#DIV/0!</v>
      </c>
      <c r="E1773" s="16"/>
      <c r="F1773" s="15">
        <f>IF(A1781=A1782,_xll.ciqfunctions.udf.CIQ(A1773,"IQ_DILUT_EPS_EXCL",IQ_FY-10), _xll.ciqfunctions.udf.CIQ(A1773, "IQ_DILUT_EPS_EXCL",IQ_FY-9))</f>
        <v>0</v>
      </c>
      <c r="G1773" s="15">
        <f>IF(A1781=A1782,_xll.ciqfunctions.udf.CIQ(A1773,"IQ_EBITDA_MARGIN",IQ_FY-10), _xll.ciqfunctions.udf.CIQ(A1773, "IQ_EBITDA_MARGIN",IQ_FY-9))</f>
        <v>0</v>
      </c>
      <c r="H1773" s="15" t="e">
        <f>IF(A1781=A1782,_xll.ciqfunctions.udf.CIQ(A1773,"IQ_TOTAL_DIV_PAID_CF",IQ_FY-10)/-I1773, _xll.ciqfunctions.udf.CIQ(A1773, "IQ_TOTAL_DIV_PAID_CF",IQ_FY-9)/-I1773)</f>
        <v>#DIV/0!</v>
      </c>
      <c r="I1773" s="17">
        <f>IF(A1781=A1782,_xll.ciqfunctions.udf.CIQ(A1773,"IQ_TOTAL_OUTSTANDING_FILING_DATE",IQ_FY-10), _xll.ciqfunctions.udf.CIQ(A1773, "IQ_TOTAL_OUTSTANDING_FILING_DATE",IQ_FY-9))</f>
        <v>0</v>
      </c>
      <c r="J1773" s="17">
        <f>IF(A1781=A1782,_xll.ciqfunctions.udf.CIQ(A1773,"IQ_CASH_OPER",IQ_FY-10), _xll.ciqfunctions.udf.CIQ(A1773, "IQ_CASH_OPER",IQ_FY-9))</f>
        <v>0</v>
      </c>
      <c r="K1773" s="17">
        <f>IF(A1781=A1782,_xll.ciqfunctions.udf.CIQ(A1773,"IQ_CAPEX",IQ_FY-10), _xll.ciqfunctions.udf.CIQ(A1773, "IQ_CAPEX",IQ_FY-9))</f>
        <v>0</v>
      </c>
      <c r="L1773" s="15" t="e">
        <f t="shared" ref="L1773:L1783" si="472">(J1773+K1773)/I1773</f>
        <v>#DIV/0!</v>
      </c>
      <c r="M1773" s="17">
        <f>IF(A1781=A1782,_xll.ciqfunctions.udf.CIQ(A1773,"IQ_TOTAL_DEBT_ISSUED",IQ_FY-10), _xll.ciqfunctions.udf.CIQ(A1773, "IQ_TOTAL_DEBT_ISSUED",IQ_FY-9))</f>
        <v>0</v>
      </c>
      <c r="N1773" s="17">
        <f>IF(A1781=A1782,_xll.ciqfunctions.udf.CIQ(A1773,"IQ_TOTAL_DEBT_REPAID",IQ_FY-10), _xll.ciqfunctions.udf.CIQ(A1773, "IQ_TOTAL_DEBT_REPAID",IQ_FY-9))</f>
        <v>0</v>
      </c>
      <c r="O1773" s="15" t="e">
        <f t="shared" ref="O1773:O1783" si="473">(M1773+N1773)/I1773</f>
        <v>#DIV/0!</v>
      </c>
      <c r="P1773" s="15" t="e">
        <f t="shared" ref="P1773:P1783" si="474">L1773+O1773</f>
        <v>#DIV/0!</v>
      </c>
      <c r="W1773" s="43"/>
      <c r="AA1773" s="43"/>
    </row>
    <row r="1774" spans="1:27">
      <c r="A1774" s="18" t="str">
        <f>_xll.ciqfunctions.udf.CIQ(A1773,"IQ_COMPANY_NAME")</f>
        <v>Confluent, Inc.</v>
      </c>
      <c r="B1774" s="13">
        <v>2</v>
      </c>
      <c r="C1774" s="14" t="s">
        <v>17</v>
      </c>
      <c r="D1774" s="15" t="e">
        <f>IF(A1781=A1782,_xll.ciqfunctions.udf.CIQ(A1773,"IQ_TOTAL_REV",IQ_FY-9)/I1774, _xll.ciqfunctions.udf.CIQ(A1773, "IQ_TOTAL_REV",IQ_FY-8)/I1774)</f>
        <v>#DIV/0!</v>
      </c>
      <c r="E1774" s="16" t="e">
        <f t="shared" ref="E1774:E1783" si="475">(D1774-D1773)/D1773</f>
        <v>#DIV/0!</v>
      </c>
      <c r="F1774" s="15">
        <f>IF(A1781=A1782,_xll.ciqfunctions.udf.CIQ(A1773,"IQ_DILUT_EPS_EXCL",IQ_FY-9), _xll.ciqfunctions.udf.CIQ(A1773, "IQ_DILUT_EPS_EXCL",IQ_FY-8))</f>
        <v>0</v>
      </c>
      <c r="G1774" s="15">
        <f>IF(A1781=A1782,_xll.ciqfunctions.udf.CIQ(A1773,"IQ_EBITDA_MARGIN",IQ_FY-9), _xll.ciqfunctions.udf.CIQ(A1773, "IQ_EBITDA_MARGIN",IQ_FY-8))</f>
        <v>0</v>
      </c>
      <c r="H1774" s="15" t="e">
        <f>IF(A1781=A1782,_xll.ciqfunctions.udf.CIQ(A1773,"IQ_TOTAL_DIV_PAID_CF",IQ_FY-9)/-I1774, _xll.ciqfunctions.udf.CIQ(A1773, "IQ_TOTAL_DIV_PAID_CF",IQ_FY-8)/-I1774)</f>
        <v>#DIV/0!</v>
      </c>
      <c r="I1774" s="17">
        <f>IF(A1781=A1782,_xll.ciqfunctions.udf.CIQ(A1773,"IQ_TOTAL_OUTSTANDING_FILING_DATE",IQ_FY-9), _xll.ciqfunctions.udf.CIQ(A1773, "IQ_TOTAL_OUTSTANDING_FILING_DATE",IQ_FY-8))</f>
        <v>0</v>
      </c>
      <c r="J1774" s="17">
        <f>IF(A1781=A1782,_xll.ciqfunctions.udf.CIQ(A1773,"IQ_CASH_OPER",IQ_FY-9), _xll.ciqfunctions.udf.CIQ(A1773, "IQ_CASH_OPER",IQ_FY-8))</f>
        <v>0</v>
      </c>
      <c r="K1774" s="17">
        <f>IF(A1781=A1782,_xll.ciqfunctions.udf.CIQ(A1773,"IQ_CAPEX",IQ_FY-9), _xll.ciqfunctions.udf.CIQ(A1773, "IQ_CAPEX",IQ_FY-8))</f>
        <v>0</v>
      </c>
      <c r="L1774" s="15" t="e">
        <f t="shared" si="472"/>
        <v>#DIV/0!</v>
      </c>
      <c r="M1774" s="17">
        <f>IF(A1781=A1782,_xll.ciqfunctions.udf.CIQ(A1773,"IQ_TOTAL_DEBT_ISSUED",IQ_FY-9), _xll.ciqfunctions.udf.CIQ(A1773, "IQ_TOTAL_DEBT_ISSUED",IQ_FY-8))</f>
        <v>0</v>
      </c>
      <c r="N1774" s="17">
        <f>IF(A1781=A1782,_xll.ciqfunctions.udf.CIQ(A1773,"IQ_TOTAL_DEBT_REPAID",IQ_FY-9), _xll.ciqfunctions.udf.CIQ(A1773, "IQ_TOTAL_DEBT_REPAID",IQ_FY-8))</f>
        <v>0</v>
      </c>
      <c r="O1774" s="15" t="e">
        <f t="shared" si="473"/>
        <v>#DIV/0!</v>
      </c>
      <c r="P1774" s="15" t="e">
        <f t="shared" si="474"/>
        <v>#DIV/0!</v>
      </c>
      <c r="Q1774" s="25" t="s">
        <v>18</v>
      </c>
      <c r="R1774" s="39" t="s">
        <v>19</v>
      </c>
      <c r="S1774" s="1" t="e">
        <f>R1772/((AVERAGE(P1778:P1783))*(1+E1784)^3)</f>
        <v>#DIV/0!</v>
      </c>
      <c r="U1774" s="25" t="s">
        <v>48</v>
      </c>
      <c r="V1774" s="39" t="s">
        <v>19</v>
      </c>
      <c r="W1774" s="1" t="e">
        <f>V1772/((AVERAGE(P1778:P1783))*(1+E1784)^3)</f>
        <v>#DIV/0!</v>
      </c>
      <c r="Y1774" s="25" t="s">
        <v>39</v>
      </c>
      <c r="Z1774" s="39" t="s">
        <v>19</v>
      </c>
      <c r="AA1774" s="1" t="e">
        <f>Z1772/((AVERAGE(P1778:P1783))*(1+E1784)^3)</f>
        <v>#DIV/0!</v>
      </c>
    </row>
    <row r="1775" spans="1:27">
      <c r="B1775" s="13">
        <v>3</v>
      </c>
      <c r="C1775" s="14" t="s">
        <v>20</v>
      </c>
      <c r="D1775" s="15" t="e" cm="1">
        <f t="array" ref="D1775">_xlfn.SINGLE(IF(A1781=A1782,_xll.ciqfunctions.udf.CIQ(A1773,"IQ_TOTAL_REV",IQ_FY-8)/I1775, _xll.ciqfunctions.udf.CIQ(A1773, "IQ_TOTAL_REV",IQ_FY-7)/I1775))</f>
        <v>#DIV/0!</v>
      </c>
      <c r="E1775" s="16" t="e">
        <f t="shared" si="475"/>
        <v>#DIV/0!</v>
      </c>
      <c r="F1775" s="15">
        <f>IF(A1781=A1782,_xll.ciqfunctions.udf.CIQ(A1773,"IQ_DILUT_EPS_EXCL",IQ_FY-8), _xll.ciqfunctions.udf.CIQ(A1773, "IQ_DILUT_EPS_EXCL",IQ_FY-7))</f>
        <v>0</v>
      </c>
      <c r="G1775" s="15">
        <f>IF(A1781=A1782,_xll.ciqfunctions.udf.CIQ(A1773,"IQ_EBITDA_MARGIN",IQ_FY-8), _xll.ciqfunctions.udf.CIQ(A1773, "IQ_EBITDA_MARGIN",IQ_FY-7))</f>
        <v>0</v>
      </c>
      <c r="H1775" s="15" t="e">
        <f>IF(A1781=A1782,_xll.ciqfunctions.udf.CIQ(A1773,"IQ_TOTAL_DIV_PAID_CF",IQ_FY-8)/-I1775, _xll.ciqfunctions.udf.CIQ(A1773, "IQ_TOTAL_DIV_PAID_CF",IQ_FY-7)/-I1775)</f>
        <v>#DIV/0!</v>
      </c>
      <c r="I1775" s="17">
        <f>IF(A1781=A1782,_xll.ciqfunctions.udf.CIQ(A1773,"IQ_TOTAL_OUTSTANDING_FILING_DATE",IQ_FY-8), _xll.ciqfunctions.udf.CIQ(A1773, "IQ_TOTAL_OUTSTANDING_FILING_DATE",IQ_FY-7))</f>
        <v>0</v>
      </c>
      <c r="J1775" s="17">
        <f>IF(A1781=A1782,_xll.ciqfunctions.udf.CIQ(A1773,"IQ_CASH_OPER",IQ_FY-8), _xll.ciqfunctions.udf.CIQ(A1773, "IQ_CASH_OPER",IQ_FY-7))</f>
        <v>0</v>
      </c>
      <c r="K1775" s="17">
        <f>IF(A1781=A1782,_xll.ciqfunctions.udf.CIQ(A1773,"IQ_CAPEX",IQ_FY-8), _xll.ciqfunctions.udf.CIQ(A1773, "IQ_CAPEX",IQ_FY-7))</f>
        <v>0</v>
      </c>
      <c r="L1775" s="15" t="e">
        <f t="shared" si="472"/>
        <v>#DIV/0!</v>
      </c>
      <c r="M1775" s="17">
        <f>IF(A1781=A1782,_xll.ciqfunctions.udf.CIQ(A1773,"IQ_TOTAL_DEBT_ISSUED",IQ_FY-8), _xll.ciqfunctions.udf.CIQ(A1773, "IQ_TOTAL_DEBT_ISSUED",IQ_FY-7))</f>
        <v>0</v>
      </c>
      <c r="N1775" s="17">
        <f>IF(A1781=A1782,_xll.ciqfunctions.udf.CIQ(A1773,"IQ_TOTAL_DEBT_REPAID",IQ_FY-8), _xll.ciqfunctions.udf.CIQ(A1773, "IQ_TOTAL_DEBT_REPAID",IQ_FY-7))</f>
        <v>0</v>
      </c>
      <c r="O1775" s="15" t="e">
        <f t="shared" si="473"/>
        <v>#DIV/0!</v>
      </c>
      <c r="P1775" s="15" t="e">
        <f t="shared" si="474"/>
        <v>#DIV/0!</v>
      </c>
      <c r="Q1775" s="25" t="s">
        <v>21</v>
      </c>
      <c r="R1775" s="38" t="s">
        <v>49</v>
      </c>
      <c r="S1775" s="2">
        <f>(R1772*I1783)/1000</f>
        <v>5.8927290312</v>
      </c>
      <c r="U1775" s="25" t="s">
        <v>59</v>
      </c>
      <c r="V1775" s="38" t="s">
        <v>49</v>
      </c>
      <c r="W1775" s="2">
        <f>(V1772*I1783)/1000</f>
        <v>5.8927290312</v>
      </c>
      <c r="Y1775" s="25" t="s">
        <v>46</v>
      </c>
      <c r="Z1775" s="38" t="s">
        <v>49</v>
      </c>
      <c r="AA1775" s="2">
        <f>(Z1772*I1783)/1000</f>
        <v>5.8927290312</v>
      </c>
    </row>
    <row r="1776" spans="1:27">
      <c r="A1776" s="18"/>
      <c r="B1776" s="13">
        <v>4</v>
      </c>
      <c r="C1776" s="14" t="s">
        <v>22</v>
      </c>
      <c r="D1776" s="15" t="e" cm="1">
        <f t="array" ref="D1776">_xlfn.SINGLE(IF(A1781=A1782,_xll.ciqfunctions.udf.CIQ(A1773,"IQ_TOTAL_REV",IQ_FY-7)/I1776, _xll.ciqfunctions.udf.CIQ(A1773, "IQ_TOTAL_REV",IQ_FY-6)/I1776))</f>
        <v>#DIV/0!</v>
      </c>
      <c r="E1776" s="16" t="e">
        <f t="shared" si="475"/>
        <v>#DIV/0!</v>
      </c>
      <c r="F1776" s="15">
        <f>IF(A1781=A1782,_xll.ciqfunctions.udf.CIQ(A1773,"IQ_DILUT_EPS_EXCL",IQ_FY-7), _xll.ciqfunctions.udf.CIQ(A1773, "IQ_DILUT_EPS_EXCL",IQ_FY-6))</f>
        <v>0</v>
      </c>
      <c r="G1776" s="15">
        <f>IF(A1781=A1782,_xll.ciqfunctions.udf.CIQ(A1773,"IQ_EBITDA_MARGIN",IQ_FY-7), _xll.ciqfunctions.udf.CIQ(A1773, "IQ_EBITDA_MARGIN",IQ_FY-6))</f>
        <v>0</v>
      </c>
      <c r="H1776" s="15" t="e">
        <f>IF(A1781=A1782,_xll.ciqfunctions.udf.CIQ(A1773,"IQ_TOTAL_DIV_PAID_CF",IQ_FY-7)/-I1776, _xll.ciqfunctions.udf.CIQ(A1773, "IQ_TOTAL_DIV_PAID_CF",IQ_FY-6)/-I1776)</f>
        <v>#DIV/0!</v>
      </c>
      <c r="I1776" s="17">
        <f>IF(A1781=A1782,_xll.ciqfunctions.udf.CIQ(A1773,"IQ_TOTAL_OUTSTANDING_FILING_DATE",IQ_FY-7), _xll.ciqfunctions.udf.CIQ(A1773, "IQ_TOTAL_OUTSTANDING_FILING_DATE",IQ_FY-6))</f>
        <v>0</v>
      </c>
      <c r="J1776" s="17">
        <f>IF(A1781=A1782,_xll.ciqfunctions.udf.CIQ(A1773,"IQ_CASH_OPER",IQ_FY-7), _xll.ciqfunctions.udf.CIQ(A1773, "IQ_CASH_OPER",IQ_FY-6))</f>
        <v>0</v>
      </c>
      <c r="K1776" s="17">
        <f>IF(A1781=A1782,_xll.ciqfunctions.udf.CIQ(A1773,"IQ_CAPEX",IQ_FY-7), _xll.ciqfunctions.udf.CIQ(A1773, "IQ_CAPEX",IQ_FY-6))</f>
        <v>0</v>
      </c>
      <c r="L1776" s="15" t="e">
        <f t="shared" si="472"/>
        <v>#DIV/0!</v>
      </c>
      <c r="M1776" s="17">
        <f>IF(A1781=A1782,_xll.ciqfunctions.udf.CIQ(A1773,"IQ_TOTAL_DEBT_ISSUED",IQ_FY-7), _xll.ciqfunctions.udf.CIQ(A1773, "IQ_TOTAL_DEBT_ISSUED",IQ_FY-6))</f>
        <v>0</v>
      </c>
      <c r="N1776" s="17">
        <f>IF(A1781=A1782,_xll.ciqfunctions.udf.CIQ(A1773,"IQ_TOTAL_DEBT_REPAID",IQ_FY-7), _xll.ciqfunctions.udf.CIQ(A1773, "IQ_TOTAL_DEBT_REPAID",IQ_FY-6))</f>
        <v>0</v>
      </c>
      <c r="O1776" s="15" t="e">
        <f t="shared" si="473"/>
        <v>#DIV/0!</v>
      </c>
      <c r="P1776" s="15" t="e">
        <f t="shared" si="474"/>
        <v>#DIV/0!</v>
      </c>
      <c r="Q1776" s="25" t="s">
        <v>23</v>
      </c>
      <c r="R1776" s="38" t="s">
        <v>24</v>
      </c>
      <c r="S1776" s="1" t="e">
        <f>R1772/(AVERAGE(H1778:H1783)*(1+H1784)/(0.5-H1784))</f>
        <v>#DIV/0!</v>
      </c>
      <c r="U1776" s="25" t="s">
        <v>40</v>
      </c>
      <c r="V1776" s="38" t="s">
        <v>24</v>
      </c>
      <c r="W1776" s="1" t="e">
        <f>V1772/(AVERAGE(H1778:H1783)*(1+H1784)/(0.5-H1784))</f>
        <v>#DIV/0!</v>
      </c>
      <c r="Y1776" s="25" t="s">
        <v>47</v>
      </c>
      <c r="Z1776" s="38" t="s">
        <v>24</v>
      </c>
      <c r="AA1776" s="1" t="e">
        <f>Z1772/(AVERAGE(H1778:H1783)*(1+H1784)/(0.5-H1784))</f>
        <v>#DIV/0!</v>
      </c>
    </row>
    <row r="1777" spans="1:27">
      <c r="B1777" s="13">
        <v>5</v>
      </c>
      <c r="C1777" s="14" t="s">
        <v>25</v>
      </c>
      <c r="D1777" s="15" t="e" cm="1">
        <f t="array" ref="D1777">_xlfn.SINGLE(IF(A1781=A1782,_xll.ciqfunctions.udf.CIQ(A1773,"IQ_TOTAL_REV",IQ_FY-6)/I1777, _xll.ciqfunctions.udf.CIQ(A1773, "IQ_TOTAL_REV",IQ_FY-5)/I1777))</f>
        <v>#DIV/0!</v>
      </c>
      <c r="E1777" s="16" t="e">
        <f t="shared" si="475"/>
        <v>#DIV/0!</v>
      </c>
      <c r="F1777" s="15">
        <f>IF(A1781=A1782,_xll.ciqfunctions.udf.CIQ(A1773,"IQ_DILUT_EPS_EXCL",IQ_FY-6), _xll.ciqfunctions.udf.CIQ(A1773, "IQ_DILUT_EPS_EXCL",IQ_FY-5))</f>
        <v>0</v>
      </c>
      <c r="G1777" s="15">
        <f>IF(A1781=A1782,_xll.ciqfunctions.udf.CIQ(A1773,"IQ_EBITDA_MARGIN",IQ_FY-6), _xll.ciqfunctions.udf.CIQ(A1773, "IQ_EBITDA_MARGIN",IQ_FY-5))</f>
        <v>0</v>
      </c>
      <c r="H1777" s="15" t="e">
        <f>IF(A1781=A1782,_xll.ciqfunctions.udf.CIQ(A1773,"IQ_TOTAL_DIV_PAID_CF",IQ_FY-6)/-I1777, _xll.ciqfunctions.udf.CIQ(A1773, "IQ_TOTAL_DIV_PAID_CF",IQ_FY-5)/-I1777)</f>
        <v>#DIV/0!</v>
      </c>
      <c r="I1777" s="17">
        <f>IF(A1781=A1782,_xll.ciqfunctions.udf.CIQ(A1773,"IQ_TOTAL_OUTSTANDING_FILING_DATE",IQ_FY-6), _xll.ciqfunctions.udf.CIQ(A1773, "IQ_TOTAL_OUTSTANDING_FILING_DATE",IQ_FY-5))</f>
        <v>0</v>
      </c>
      <c r="J1777" s="17">
        <f>IF(A1781=A1782,_xll.ciqfunctions.udf.CIQ(A1773,"IQ_CASH_OPER",IQ_FY-6), _xll.ciqfunctions.udf.CIQ(A1773, "IQ_CASH_OPER",IQ_FY-5))</f>
        <v>0</v>
      </c>
      <c r="K1777" s="17">
        <f>IF(A1781=A1782,_xll.ciqfunctions.udf.CIQ(A1773,"IQ_CAPEX",IQ_FY-6), _xll.ciqfunctions.udf.CIQ(A1773, "IQ_CAPEX",IQ_FY-5))</f>
        <v>0</v>
      </c>
      <c r="L1777" s="15" t="e">
        <f t="shared" si="472"/>
        <v>#DIV/0!</v>
      </c>
      <c r="M1777" s="17">
        <f>IF(A1781=A1782,_xll.ciqfunctions.udf.CIQ(A1773,"IQ_TOTAL_DEBT_ISSUED",IQ_FY-6), _xll.ciqfunctions.udf.CIQ(A1773, "IQ_TOTAL_DEBT_ISSUED",IQ_FY-5))</f>
        <v>0</v>
      </c>
      <c r="N1777" s="17">
        <f>IF(A1781=A1782,_xll.ciqfunctions.udf.CIQ(A1773,"IQ_TOTAL_DEBT_REPAID",IQ_FY-6), _xll.ciqfunctions.udf.CIQ(A1773, "IQ_TOTAL_DEBT_REPAID",IQ_FY-5))</f>
        <v>0</v>
      </c>
      <c r="O1777" s="15" t="e">
        <f t="shared" si="473"/>
        <v>#DIV/0!</v>
      </c>
      <c r="P1777" s="15" t="e">
        <f t="shared" si="474"/>
        <v>#DIV/0!</v>
      </c>
      <c r="Q1777" s="18"/>
      <c r="R1777" s="38" t="s">
        <v>50</v>
      </c>
      <c r="S1777" s="3" t="e">
        <f>I1784</f>
        <v>#DIV/0!</v>
      </c>
      <c r="U1777" s="18"/>
      <c r="V1777" s="38" t="s">
        <v>50</v>
      </c>
      <c r="W1777" s="3" t="e">
        <f>I1784</f>
        <v>#DIV/0!</v>
      </c>
      <c r="Y1777" s="18"/>
      <c r="Z1777" s="38" t="s">
        <v>50</v>
      </c>
      <c r="AA1777" s="3" t="e">
        <f>I1784</f>
        <v>#DIV/0!</v>
      </c>
    </row>
    <row r="1778" spans="1:27">
      <c r="B1778" s="13">
        <v>6</v>
      </c>
      <c r="C1778" s="14" t="s">
        <v>26</v>
      </c>
      <c r="D1778" s="15" t="e" cm="1">
        <f t="array" ref="D1778">_xlfn.SINGLE(IF(A1781=A1782,_xll.ciqfunctions.udf.CIQ(A1773,"IQ_TOTAL_REV",IQ_FY-5)/I1778, _xll.ciqfunctions.udf.CIQ(A1773, "IQ_TOTAL_REV",IQ_FY-4)/I1778))</f>
        <v>#DIV/0!</v>
      </c>
      <c r="E1778" s="16" t="e">
        <f t="shared" si="475"/>
        <v>#DIV/0!</v>
      </c>
      <c r="F1778" s="15">
        <f>IF(A1781=A1782,_xll.ciqfunctions.udf.CIQ(A1773,"IQ_DILUT_EPS_EXCL",IQ_FY-5), _xll.ciqfunctions.udf.CIQ(A1773, "IQ_DILUT_EPS_EXCL",IQ_FY-4))</f>
        <v>0</v>
      </c>
      <c r="G1778" s="15">
        <f>IF(A1781=A1782,_xll.ciqfunctions.udf.CIQ(A1773,"IQ_EBITDA_MARGIN",IQ_FY-5), _xll.ciqfunctions.udf.CIQ(A1773, "IQ_EBITDA_MARGIN",IQ_FY-4))</f>
        <v>0</v>
      </c>
      <c r="H1778" s="15" t="e">
        <f>IF(A1781=A1782,_xll.ciqfunctions.udf.CIQ(A1773,"IQ_TOTAL_DIV_PAID_CF",IQ_FY-5)/-I1778, _xll.ciqfunctions.udf.CIQ(A1773, "IQ_TOTAL_DIV_PAID_CF",IQ_FY-4)/-I1778)</f>
        <v>#DIV/0!</v>
      </c>
      <c r="I1778" s="17">
        <f>IF(A1781=A1782,_xll.ciqfunctions.udf.CIQ(A1773,"IQ_TOTAL_OUTSTANDING_FILING_DATE",IQ_FY-5), _xll.ciqfunctions.udf.CIQ(A1773, "IQ_TOTAL_OUTSTANDING_FILING_DATE",IQ_FY-4))</f>
        <v>0</v>
      </c>
      <c r="J1778" s="17">
        <f>IF(A1781=A1782,_xll.ciqfunctions.udf.CIQ(A1773,"IQ_CASH_OPER",IQ_FY-5), _xll.ciqfunctions.udf.CIQ(A1773, "IQ_CASH_OPER",IQ_FY-4))</f>
        <v>0</v>
      </c>
      <c r="K1778" s="17">
        <f>IF(A1781=A1782,_xll.ciqfunctions.udf.CIQ(A1773,"IQ_CAPEX",IQ_FY-5), _xll.ciqfunctions.udf.CIQ(A1773, "IQ_CAPEX",IQ_FY-4))</f>
        <v>0</v>
      </c>
      <c r="L1778" s="15" t="e">
        <f t="shared" si="472"/>
        <v>#DIV/0!</v>
      </c>
      <c r="M1778" s="17">
        <f>IF(A1781=A1782,_xll.ciqfunctions.udf.CIQ(A1773,"IQ_TOTAL_DEBT_ISSUED",IQ_FY-5), _xll.ciqfunctions.udf.CIQ(A1773, "IQ_TOTAL_DEBT_ISSUED",IQ_FY-4))</f>
        <v>0</v>
      </c>
      <c r="N1778" s="17">
        <f>IF(A1781=A1782,_xll.ciqfunctions.udf.CIQ(A1773,"IQ_TOTAL_DEBT_REPAID",IQ_FY-5), _xll.ciqfunctions.udf.CIQ(A1773, "IQ_TOTAL_DEBT_REPAID",IQ_FY-4))</f>
        <v>0</v>
      </c>
      <c r="O1778" s="15" t="e">
        <f t="shared" si="473"/>
        <v>#DIV/0!</v>
      </c>
      <c r="P1778" s="15" t="e">
        <f t="shared" si="474"/>
        <v>#DIV/0!</v>
      </c>
      <c r="Q1778" s="25" t="s">
        <v>27</v>
      </c>
      <c r="R1778" s="38" t="s">
        <v>51</v>
      </c>
      <c r="S1778" s="4" t="e">
        <f>AVERAGE(F1778:F1783)/AVERAGE(D1778:D1783)</f>
        <v>#DIV/0!</v>
      </c>
      <c r="U1778" s="25" t="s">
        <v>58</v>
      </c>
      <c r="V1778" s="38" t="s">
        <v>51</v>
      </c>
      <c r="W1778" s="4" t="e">
        <f>AVERAGE(F1778:F1783)/AVERAGE(D1778:D1783)</f>
        <v>#DIV/0!</v>
      </c>
      <c r="Y1778" s="25" t="s">
        <v>56</v>
      </c>
      <c r="Z1778" s="38" t="s">
        <v>51</v>
      </c>
      <c r="AA1778" s="4" t="e">
        <f>AVERAGE(F1778:F1783)/AVERAGE(D1778:D1783)</f>
        <v>#DIV/0!</v>
      </c>
    </row>
    <row r="1779" spans="1:27">
      <c r="A1779" s="18"/>
      <c r="B1779" s="13">
        <v>7</v>
      </c>
      <c r="C1779" s="14" t="s">
        <v>28</v>
      </c>
      <c r="D1779" s="15" cm="1">
        <f t="array" ref="D1779">_xlfn.SINGLE(IF(A1781=A1782,_xll.ciqfunctions.udf.CIQ(A1773,"IQ_TOTAL_REV",IQ_FY-4)/I1779, _xll.ciqfunctions.udf.CIQ(A1773, "IQ_TOTAL_REV",IQ_FY-3)/I1779))</f>
        <v>1.5593742641883228</v>
      </c>
      <c r="E1779" s="16" t="e">
        <f t="shared" si="475"/>
        <v>#DIV/0!</v>
      </c>
      <c r="F1779" s="15">
        <f>IF(A1781=A1782,_xll.ciqfunctions.udf.CIQ(A1773,"IQ_DILUT_EPS_EXCL",IQ_FY-4), _xll.ciqfunctions.udf.CIQ(A1773, "IQ_DILUT_EPS_EXCL",IQ_FY-3))</f>
        <v>-0.98933000000000004</v>
      </c>
      <c r="G1779" s="15">
        <f>IF(A1781=A1782,_xll.ciqfunctions.udf.CIQ(A1773,"IQ_EBITDA_MARGIN",IQ_FY-4), _xll.ciqfunctions.udf.CIQ(A1773, "IQ_EBITDA_MARGIN",IQ_FY-3))</f>
        <v>-64.688000000000002</v>
      </c>
      <c r="H1779" s="15">
        <f>IF(A1781=A1782,_xll.ciqfunctions.udf.CIQ(A1773,"IQ_TOTAL_DIV_PAID_CF",IQ_FY-4)/-I1779, _xll.ciqfunctions.udf.CIQ(A1773, "IQ_TOTAL_DIV_PAID_CF",IQ_FY-3)/-I1779)</f>
        <v>0</v>
      </c>
      <c r="I1779" s="17">
        <f>IF(A1781=A1782,_xll.ciqfunctions.udf.CIQ(A1773,"IQ_TOTAL_OUTSTANDING_FILING_DATE",IQ_FY-4), _xll.ciqfunctions.udf.CIQ(A1773, "IQ_TOTAL_OUTSTANDING_FILING_DATE",IQ_FY-3))</f>
        <v>96.06738</v>
      </c>
      <c r="J1779" s="17">
        <f>IF(A1781=A1782,_xll.ciqfunctions.udf.CIQ(A1773,"IQ_CASH_OPER",IQ_FY-4), _xll.ciqfunctions.udf.CIQ(A1773, "IQ_CASH_OPER",IQ_FY-3))</f>
        <v>-68.834000000000003</v>
      </c>
      <c r="K1779" s="17">
        <f>IF(A1781=A1782,_xll.ciqfunctions.udf.CIQ(A1773,"IQ_CAPEX",IQ_FY-4), _xll.ciqfunctions.udf.CIQ(A1773, "IQ_CAPEX",IQ_FY-3))</f>
        <v>-1.954</v>
      </c>
      <c r="L1779" s="15">
        <f t="shared" si="472"/>
        <v>-0.73685781791904803</v>
      </c>
      <c r="M1779" s="17">
        <f>IF(A1781=A1782,_xll.ciqfunctions.udf.CIQ(A1773,"IQ_TOTAL_DEBT_ISSUED",IQ_FY-4), _xll.ciqfunctions.udf.CIQ(A1773, "IQ_TOTAL_DEBT_ISSUED",IQ_FY-3))</f>
        <v>0</v>
      </c>
      <c r="N1779" s="17">
        <f>IF(A1781=A1782,_xll.ciqfunctions.udf.CIQ(A1773,"IQ_TOTAL_DEBT_REPAID",IQ_FY-4), _xll.ciqfunctions.udf.CIQ(A1773, "IQ_TOTAL_DEBT_REPAID",IQ_FY-3))</f>
        <v>0</v>
      </c>
      <c r="O1779" s="15">
        <f t="shared" si="473"/>
        <v>0</v>
      </c>
      <c r="P1779" s="15">
        <f t="shared" si="474"/>
        <v>-0.73685781791904803</v>
      </c>
      <c r="Q1779" s="18"/>
      <c r="R1779" s="38" t="s">
        <v>29</v>
      </c>
      <c r="S1779" s="4" t="e">
        <f>(AVERAGE(P1778:P1783)/_xlfn.STDEV.P(P1778:P1783))/(IF(A1781=A1782,(_xlfn.SINGLE(_xll.ciqfunctions.udf.CIQ(A1773,"IQ_total_assets",IQ_FY)) - _xlfn.SINGLE(_xll.ciqfunctions.udf.CIQ(A1773,"iq_gw_intan", IQ_FY)))/I1783, (_xlfn.SINGLE(_xll.ciqfunctions.udf.CIQ(A1773, "IQ_total_assets",IQ_LTM))-_xlfn.SINGLE(_xll.ciqfunctions.udf.CIQ(A1773,"iq_gw_intan",IQ_LTM)))/I1783))</f>
        <v>#DIV/0!</v>
      </c>
      <c r="U1779" s="18"/>
      <c r="V1779" s="38" t="s">
        <v>29</v>
      </c>
      <c r="W1779" s="4" t="e">
        <f>(AVERAGE(P1778:P1783)/_xlfn.STDEV.P(P1778:P1783))/(IF(A1781=A1782,(_xlfn.SINGLE(_xll.ciqfunctions.udf.CIQ(A1773,"IQ_total_assets",IQ_FY)) - _xlfn.SINGLE(_xll.ciqfunctions.udf.CIQ(A1773,"iq_gw_intan", IQ_FY)))/I1783, (_xlfn.SINGLE(_xll.ciqfunctions.udf.CIQ(A1773, "IQ_total_assets",IQ_LTM))-_xlfn.SINGLE(_xll.ciqfunctions.udf.CIQ(A1773,"iq_gw_intan",IQ_LTM)))/I1783))</f>
        <v>#DIV/0!</v>
      </c>
      <c r="Y1779" s="18"/>
      <c r="Z1779" s="38" t="s">
        <v>29</v>
      </c>
      <c r="AA1779" s="4" t="e">
        <f>(AVERAGE(P1778:P1783)/_xlfn.STDEV.P(P1778:P1783))/(IF(A1781=A1782,(_xlfn.SINGLE(_xll.ciqfunctions.udf.CIQ(A1773,"IQ_total_assets",IQ_FY)) - _xlfn.SINGLE(_xll.ciqfunctions.udf.CIQ(A1773,"iq_gw_intan", IQ_FY)))/I1783, (_xlfn.SINGLE(_xll.ciqfunctions.udf.CIQ(A1773, "IQ_total_assets",IQ_LTM))-_xlfn.SINGLE(_xll.ciqfunctions.udf.CIQ(A1773,"iq_gw_intan",IQ_LTM)))/I1783))</f>
        <v>#DIV/0!</v>
      </c>
    </row>
    <row r="1780" spans="1:27">
      <c r="A1780" s="18"/>
      <c r="B1780" s="13">
        <v>8</v>
      </c>
      <c r="C1780" s="14" t="s">
        <v>30</v>
      </c>
      <c r="D1780" s="15" cm="1">
        <f t="array" ref="D1780">_xlfn.SINGLE(IF(A1781=A1782,_xll.ciqfunctions.udf.CIQ(A1773,"IQ_TOTAL_REV",IQ_FY-3)/I1780, _xll.ciqfunctions.udf.CIQ(A1773, "IQ_TOTAL_REV",IQ_FY-2)/I1780))</f>
        <v>2.1615501959654937</v>
      </c>
      <c r="E1780" s="16">
        <f t="shared" si="475"/>
        <v>0.38616510840687263</v>
      </c>
      <c r="F1780" s="15">
        <f>IF(A1781=A1782,_xll.ciqfunctions.udf.CIQ(A1773,"IQ_DILUT_EPS_EXCL",IQ_FY-3), _xll.ciqfunctions.udf.CIQ(A1773, "IQ_DILUT_EPS_EXCL",IQ_FY-2))</f>
        <v>-2.20526</v>
      </c>
      <c r="G1780" s="15">
        <f>IF(A1781=A1782,_xll.ciqfunctions.udf.CIQ(A1773,"IQ_EBITDA_MARGIN",IQ_FY-3), _xll.ciqfunctions.udf.CIQ(A1773, "IQ_EBITDA_MARGIN",IQ_FY-2))</f>
        <v>-97.899600000000007</v>
      </c>
      <c r="H1780" s="15">
        <f>IF(A1781=A1782,_xll.ciqfunctions.udf.CIQ(A1773,"IQ_TOTAL_DIV_PAID_CF",IQ_FY-3)/-I1780, _xll.ciqfunctions.udf.CIQ(A1773, "IQ_TOTAL_DIV_PAID_CF",IQ_FY-2)/-I1780)</f>
        <v>0</v>
      </c>
      <c r="I1780" s="17">
        <f>IF(A1781=A1782,_xll.ciqfunctions.udf.CIQ(A1773,"IQ_TOTAL_OUTSTANDING_FILING_DATE",IQ_FY-3), _xll.ciqfunctions.udf.CIQ(A1773, "IQ_TOTAL_OUTSTANDING_FILING_DATE",IQ_FY-2))</f>
        <v>109.44784</v>
      </c>
      <c r="J1780" s="17">
        <f>IF(A1781=A1782,_xll.ciqfunctions.udf.CIQ(A1773,"IQ_CASH_OPER",IQ_FY-3), _xll.ciqfunctions.udf.CIQ(A1773, "IQ_CASH_OPER",IQ_FY-2))</f>
        <v>-82.057000000000002</v>
      </c>
      <c r="K1780" s="17">
        <f>IF(A1781=A1782,_xll.ciqfunctions.udf.CIQ(A1773,"IQ_CAPEX",IQ_FY-3), _xll.ciqfunctions.udf.CIQ(A1773, "IQ_CAPEX",IQ_FY-2))</f>
        <v>-1.04</v>
      </c>
      <c r="L1780" s="15">
        <f t="shared" si="472"/>
        <v>-0.75923837327442922</v>
      </c>
      <c r="M1780" s="17">
        <f>IF(A1781=A1782,_xll.ciqfunctions.udf.CIQ(A1773,"IQ_TOTAL_DEBT_ISSUED",IQ_FY-3), _xll.ciqfunctions.udf.CIQ(A1773, "IQ_TOTAL_DEBT_ISSUED",IQ_FY-2))</f>
        <v>0</v>
      </c>
      <c r="N1780" s="17">
        <f>IF(A1781=A1782,_xll.ciqfunctions.udf.CIQ(A1773,"IQ_TOTAL_DEBT_REPAID",IQ_FY-3), _xll.ciqfunctions.udf.CIQ(A1773, "IQ_TOTAL_DEBT_REPAID",IQ_FY-2))</f>
        <v>0</v>
      </c>
      <c r="O1780" s="15">
        <f t="shared" si="473"/>
        <v>0</v>
      </c>
      <c r="P1780" s="15">
        <f t="shared" si="474"/>
        <v>-0.75923837327442922</v>
      </c>
      <c r="Q1780" s="18"/>
      <c r="R1780" s="39" t="s">
        <v>31</v>
      </c>
      <c r="S1780" s="5" t="e">
        <f>IF(NOT(D1773&gt;0),FALSE,SLOPE(G1773:G1783,B1773:B1783))</f>
        <v>#DIV/0!</v>
      </c>
      <c r="U1780" s="18"/>
      <c r="V1780" s="39" t="s">
        <v>31</v>
      </c>
      <c r="W1780" s="5" t="e">
        <f>IF(NOT(D1773&gt;0),FALSE,SLOPE(G1773:G1783,B1773:B1783))</f>
        <v>#DIV/0!</v>
      </c>
      <c r="Y1780" s="18"/>
      <c r="Z1780" s="39" t="s">
        <v>31</v>
      </c>
      <c r="AA1780" s="5" t="e">
        <f>IF(NOT(L1773&gt;0),FALSE,SLOPE(O1773:O1783,J1773:J1783))</f>
        <v>#DIV/0!</v>
      </c>
    </row>
    <row r="1781" spans="1:27">
      <c r="A1781" s="19">
        <f>_xll.ciqfunctions.udf.CIQ(A1773,"IQ_TOTAL_REV",IQ_FY)</f>
        <v>585.94399999999996</v>
      </c>
      <c r="B1781" s="13">
        <v>9</v>
      </c>
      <c r="C1781" s="14" t="s">
        <v>32</v>
      </c>
      <c r="D1781" s="15" cm="1">
        <f t="array" ref="D1781">_xlfn.SINGLE(IF(A1781=A1782,_xll.ciqfunctions.udf.CIQ(A1773,"IQ_TOTAL_REV",IQ_FY-2)/I1781, _xll.ciqfunctions.udf.CIQ(A1773, "IQ_TOTAL_REV",IQ_FY-1)/I1781))</f>
        <v>1.4210154238631405</v>
      </c>
      <c r="E1781" s="16">
        <f t="shared" si="475"/>
        <v>-0.34259429805727021</v>
      </c>
      <c r="F1781" s="15">
        <f>IF(A1781=A1782,_xll.ciqfunctions.udf.CIQ(A1773,"IQ_DILUT_EPS_EXCL",IQ_FY-2), _xll.ciqfunctions.udf.CIQ(A1773, "IQ_DILUT_EPS_EXCL",IQ_FY-1))</f>
        <v>-1.81734</v>
      </c>
      <c r="G1781" s="15">
        <f>IF(A1781=A1782,_xll.ciqfunctions.udf.CIQ(A1773,"IQ_EBITDA_MARGIN",IQ_FY-2), _xll.ciqfunctions.udf.CIQ(A1773, "IQ_EBITDA_MARGIN",IQ_FY-1))</f>
        <v>-86.625200000000007</v>
      </c>
      <c r="H1781" s="15">
        <f>IF(A1781=A1782,_xll.ciqfunctions.udf.CIQ(A1773,"IQ_TOTAL_DIV_PAID_CF",IQ_FY-2)/-I1781, _xll.ciqfunctions.udf.CIQ(A1773, "IQ_TOTAL_DIV_PAID_CF",IQ_FY-1)/-I1781)</f>
        <v>0</v>
      </c>
      <c r="I1781" s="17">
        <f>IF(A1781=A1782,_xll.ciqfunctions.udf.CIQ(A1773,"IQ_TOTAL_OUTSTANDING_FILING_DATE",IQ_FY-2), _xll.ciqfunctions.udf.CIQ(A1773, "IQ_TOTAL_OUTSTANDING_FILING_DATE",IQ_FY-1))</f>
        <v>272.94848000000002</v>
      </c>
      <c r="J1781" s="17">
        <f>IF(A1781=A1782,_xll.ciqfunctions.udf.CIQ(A1773,"IQ_CASH_OPER",IQ_FY-2), _xll.ciqfunctions.udf.CIQ(A1773, "IQ_CASH_OPER",IQ_FY-1))</f>
        <v>-105.06</v>
      </c>
      <c r="K1781" s="17">
        <f>IF(A1781=A1782,_xll.ciqfunctions.udf.CIQ(A1773,"IQ_CAPEX",IQ_FY-2), _xll.ciqfunctions.udf.CIQ(A1773, "IQ_CAPEX",IQ_FY-1))</f>
        <v>-3.6</v>
      </c>
      <c r="L1781" s="15">
        <f t="shared" si="472"/>
        <v>-0.39809710609123006</v>
      </c>
      <c r="M1781" s="17">
        <f>IF(A1781=A1782,_xll.ciqfunctions.udf.CIQ(A1773,"IQ_TOTAL_DEBT_ISSUED",IQ_FY-2), _xll.ciqfunctions.udf.CIQ(A1773, "IQ_TOTAL_DEBT_ISSUED",IQ_FY-1))</f>
        <v>1081.3</v>
      </c>
      <c r="N1781" s="17">
        <f>IF(A1781=A1782,_xll.ciqfunctions.udf.CIQ(A1773,"IQ_TOTAL_DEBT_REPAID",IQ_FY-2), _xll.ciqfunctions.udf.CIQ(A1773, "IQ_TOTAL_DEBT_REPAID",IQ_FY-1))</f>
        <v>0</v>
      </c>
      <c r="O1781" s="15">
        <f t="shared" si="473"/>
        <v>3.961553477051786</v>
      </c>
      <c r="P1781" s="15">
        <f t="shared" si="474"/>
        <v>3.563456370960556</v>
      </c>
      <c r="Q1781" s="25" t="s">
        <v>33</v>
      </c>
      <c r="R1781" s="38" t="s">
        <v>52</v>
      </c>
      <c r="S1781" s="4" t="e">
        <f>(AVERAGE(O1778:O1783)/AVERAGE(P1778:P1783))</f>
        <v>#DIV/0!</v>
      </c>
      <c r="U1781" s="25" t="s">
        <v>54</v>
      </c>
      <c r="V1781" s="38" t="s">
        <v>52</v>
      </c>
      <c r="W1781" s="4" t="e">
        <f>(AVERAGE(O1778:O1783)/AVERAGE(P1778:P1783))</f>
        <v>#DIV/0!</v>
      </c>
      <c r="Y1781" s="25" t="s">
        <v>60</v>
      </c>
      <c r="Z1781" s="38" t="s">
        <v>52</v>
      </c>
      <c r="AA1781" s="4" t="e">
        <f>(AVERAGE(O1778:O1783)/AVERAGE(P1778:P1783))</f>
        <v>#DIV/0!</v>
      </c>
    </row>
    <row r="1782" spans="1:27">
      <c r="A1782" s="19">
        <f>_xll.ciqfunctions.udf.CIQ(A1773,"IQ_TOTAL_REV",IQ_LTM)</f>
        <v>732.43399999999997</v>
      </c>
      <c r="B1782" s="13">
        <v>10</v>
      </c>
      <c r="C1782" s="14" t="s">
        <v>34</v>
      </c>
      <c r="D1782" s="15" cm="1">
        <f t="array" ref="D1782">_xlfn.SINGLE(IF(A1781=A1782,_xll.ciqfunctions.udf.CIQ(A1773,"IQ_TOTAL_REV",IQ_FY-1)/I1782, _xll.ciqfunctions.udf.CIQ(A1773, "IQ_TOTAL_REV",IQ_FY)/I1782))</f>
        <v>2.012657389994069</v>
      </c>
      <c r="E1782" s="16">
        <f t="shared" si="475"/>
        <v>0.41635154425171822</v>
      </c>
      <c r="F1782" s="15">
        <f>IF(A1781=A1782,_xll.ciqfunctions.udf.CIQ(A1773,"IQ_DILUT_EPS_EXCL",IQ_FY-1), _xll.ciqfunctions.udf.CIQ(A1773, "IQ_DILUT_EPS_EXCL",IQ_FY))</f>
        <v>-1.6157900000000001</v>
      </c>
      <c r="G1782" s="15">
        <f>IF(A1781=A1782,_xll.ciqfunctions.udf.CIQ(A1773,"IQ_EBITDA_MARGIN",IQ_FY-1), _xll.ciqfunctions.udf.CIQ(A1773, "IQ_EBITDA_MARGIN",IQ_FY))</f>
        <v>-77.4739</v>
      </c>
      <c r="H1782" s="15">
        <f>IF(A1781=A1782,_xll.ciqfunctions.udf.CIQ(A1773,"IQ_TOTAL_DIV_PAID_CF",IQ_FY-1)/-I1782, _xll.ciqfunctions.udf.CIQ(A1773, "IQ_TOTAL_DIV_PAID_CF",IQ_FY)/-I1782)</f>
        <v>0</v>
      </c>
      <c r="I1782" s="17">
        <f>IF(A1781=A1782,_xll.ciqfunctions.udf.CIQ(A1773,"IQ_TOTAL_OUTSTANDING_FILING_DATE",IQ_FY-1), _xll.ciqfunctions.udf.CIQ(A1773, "IQ_TOTAL_OUTSTANDING_FILING_DATE",IQ_FY))</f>
        <v>291.12952999999999</v>
      </c>
      <c r="J1782" s="17">
        <f>IF(A1781=A1782,_xll.ciqfunctions.udf.CIQ(A1773,"IQ_CASH_OPER",IQ_FY-1), _xll.ciqfunctions.udf.CIQ(A1773, "IQ_CASH_OPER",IQ_FY))</f>
        <v>-157.333</v>
      </c>
      <c r="K1782" s="17">
        <f>IF(A1781=A1782,_xll.ciqfunctions.udf.CIQ(A1773,"IQ_CAPEX",IQ_FY-1), _xll.ciqfunctions.udf.CIQ(A1773, "IQ_CAPEX",IQ_FY))</f>
        <v>-4.1210000000000004</v>
      </c>
      <c r="L1782" s="15">
        <f t="shared" si="472"/>
        <v>-0.55457788840589273</v>
      </c>
      <c r="M1782" s="17">
        <f>IF(A1781=A1782,_xll.ciqfunctions.udf.CIQ(A1773,"IQ_TOTAL_DEBT_ISSUED",IQ_FY-1), _xll.ciqfunctions.udf.CIQ(A1773, "IQ_TOTAL_DEBT_ISSUED",IQ_FY))</f>
        <v>0</v>
      </c>
      <c r="N1782" s="17">
        <f>IF(A1781=A1782,_xll.ciqfunctions.udf.CIQ(A1773,"IQ_TOTAL_DEBT_REPAID",IQ_FY-1), _xll.ciqfunctions.udf.CIQ(A1773, "IQ_TOTAL_DEBT_REPAID",IQ_FY))</f>
        <v>-0.78600000000000003</v>
      </c>
      <c r="O1782" s="15">
        <f t="shared" si="473"/>
        <v>-2.6998291791286168E-3</v>
      </c>
      <c r="P1782" s="15">
        <f t="shared" si="474"/>
        <v>-0.55727771758502131</v>
      </c>
      <c r="Q1782" s="25" t="s">
        <v>44</v>
      </c>
      <c r="R1782" s="38" t="s">
        <v>35</v>
      </c>
      <c r="S1782" s="1" t="str">
        <f>_xll.ciqfunctions.udf.CIQ(A1773,"IQ_TEV_EBITDA")</f>
        <v>NM</v>
      </c>
      <c r="U1782" s="25" t="s">
        <v>55</v>
      </c>
      <c r="V1782" s="38" t="s">
        <v>53</v>
      </c>
      <c r="W1782" s="1" t="e">
        <f>V1772/(AVERAGE(D1778:D1783)/_xlfn.STDEV.P(E1778:E1783))</f>
        <v>#DIV/0!</v>
      </c>
      <c r="Y1782" s="25" t="s">
        <v>57</v>
      </c>
      <c r="Z1782" s="38" t="s">
        <v>53</v>
      </c>
      <c r="AA1782" s="1" t="e">
        <f>Z1772/(AVERAGE(D1778:D1783)/_xlfn.STDEV.P(E1778:E1783))</f>
        <v>#DIV/0!</v>
      </c>
    </row>
    <row r="1783" spans="1:27">
      <c r="B1783" s="13">
        <v>11</v>
      </c>
      <c r="C1783" s="20" t="s">
        <v>36</v>
      </c>
      <c r="D1783" s="21" cm="1">
        <f t="array" ref="D1783">_xlfn.SINGLE(IF(A1781=A1782,_xll.ciqfunctions.udf.CIQ(A1773,"IQ_TOTAL_REV",IQ_FY)/I1783, _xll.ciqfunctions.udf.CIQ(A1773, "IQ_TOTAL_REV",IQ_LTM)/I1783))</f>
        <v>2.3789973517830671</v>
      </c>
      <c r="E1783" s="22">
        <f t="shared" si="475"/>
        <v>0.18201804420874521</v>
      </c>
      <c r="F1783" s="21">
        <f>IF(A1781=A1782,_xll.ciqfunctions.udf.CIQ(A1773,"IQ_DILUT_EPS_EXCL",IQ_FY), _xll.ciqfunctions.udf.CIQ(A1773, "IQ_DILUT_EPS_EXCL",IQ_LTM))</f>
        <v>-1.5401199999999999</v>
      </c>
      <c r="G1783" s="21">
        <f>IF(A1781=A1782,_xll.ciqfunctions.udf.CIQ(A1773,"IQ_EBITDA_MARGIN",IQ_FY), _xll.ciqfunctions.udf.CIQ(A1773, "IQ_EBITDA_MARGIN",IQ_LTM))</f>
        <v>-62.893300000000004</v>
      </c>
      <c r="H1783" s="21">
        <f>IF(A1781=A1782,_xll.ciqfunctions.udf.CIQ(A1773,"IQ_TOTAL_DIV_PAID_CF",IQ_FY)/-I1783, _xll.ciqfunctions.udf.CIQ(A1773, "IQ_TOTAL_DIV_PAID_CF",IQ_LTM)/-I1783)</f>
        <v>0</v>
      </c>
      <c r="I1783" s="23">
        <f>IF(A1781=A1782,_xll.ciqfunctions.udf.CIQ(A1773,"IQ_TOTAL_OUTSTANDING_FILING_DATE",IQ_FY),_xll.ciqfunctions.udf.CIQ(A1773,"IQ_sharesoutstanding"))</f>
        <v>307.87508000000003</v>
      </c>
      <c r="J1783" s="23">
        <f>IF(A1781=A1782,_xll.ciqfunctions.udf.CIQ(A1773,"IQ_CASH_OPER",IQ_FY), _xll.ciqfunctions.udf.CIQ(A1773, "IQ_CASH_OPER",IQ_LTM))</f>
        <v>-142.97</v>
      </c>
      <c r="K1783" s="23">
        <f>IF(A1781=A1782,_xll.ciqfunctions.udf.CIQ(A1773,"IQ_CAPEX",IQ_FY), _xll.ciqfunctions.udf.CIQ(A1773, "IQ_CAPEX",IQ_LTM))</f>
        <v>-2.7240000000000002</v>
      </c>
      <c r="L1783" s="21">
        <f t="shared" si="472"/>
        <v>-0.47322439997417126</v>
      </c>
      <c r="M1783" s="23">
        <f>IF(A1781=A1782,_xll.ciqfunctions.udf.CIQ(A1773,"IQ_TOTAL_DEBT_ISSUED",IQ_FY), _xll.ciqfunctions.udf.CIQ(A1773, "IQ_TOTAL_DEBT_ISSUED",IQ_LTM))</f>
        <v>0</v>
      </c>
      <c r="N1783" s="23">
        <f>IF(A1781=A1782,_xll.ciqfunctions.udf.CIQ(A1773,"IQ_TOTAL_DEBT_REPAID",IQ_FY), _xll.ciqfunctions.udf.CIQ(A1773, "IQ_TOTAL_DEBT_REPAID",IQ_LTM))</f>
        <v>-0.78600000000000003</v>
      </c>
      <c r="O1783" s="21">
        <f t="shared" si="473"/>
        <v>-2.5529835022698164E-3</v>
      </c>
      <c r="P1783" s="21">
        <f t="shared" si="474"/>
        <v>-0.47577738347644105</v>
      </c>
      <c r="Q1783" s="25" t="s">
        <v>45</v>
      </c>
      <c r="S1783" s="45"/>
      <c r="U1783" s="25"/>
      <c r="W1783" s="45"/>
      <c r="Y1783" s="25"/>
      <c r="AA1783" s="45"/>
    </row>
    <row r="1784" spans="1:27">
      <c r="B1784" s="24"/>
      <c r="C1784" s="25" t="s">
        <v>37</v>
      </c>
      <c r="E1784" s="26" t="e">
        <f>((D1783/D1778)^(1/5))-1</f>
        <v>#DIV/0!</v>
      </c>
      <c r="F1784" s="27" t="e">
        <f>((F1783/F1778)^(1/5))-1</f>
        <v>#DIV/0!</v>
      </c>
      <c r="G1784" s="28"/>
      <c r="H1784" s="27" t="e">
        <f>((H1783/H1778)^(1/5))-1</f>
        <v>#DIV/0!</v>
      </c>
      <c r="I1784" s="27" t="e">
        <f>((I1783/I1778)^(1/5))-1</f>
        <v>#DIV/0!</v>
      </c>
      <c r="J1784" s="27"/>
      <c r="K1784" s="27"/>
      <c r="L1784" s="26" t="e">
        <f>((L1783/L1778)^(1/5))-1</f>
        <v>#DIV/0!</v>
      </c>
      <c r="M1784" s="26"/>
      <c r="N1784" s="26"/>
      <c r="O1784" s="26"/>
      <c r="P1784" s="26" t="e">
        <f>((P1783/P1778)^(1/5))-1</f>
        <v>#DIV/0!</v>
      </c>
      <c r="Q1784" s="18"/>
      <c r="R1784" s="36"/>
      <c r="S1784" s="45"/>
      <c r="U1784" s="18"/>
      <c r="V1784" s="36"/>
      <c r="W1784" s="45"/>
      <c r="Y1784" s="18"/>
      <c r="Z1784" s="36"/>
      <c r="AA1784" s="45"/>
    </row>
    <row r="1785" spans="1:27">
      <c r="A1785" s="29"/>
      <c r="B1785" s="30"/>
      <c r="C1785" s="31" t="s">
        <v>38</v>
      </c>
      <c r="D1785" s="29"/>
      <c r="E1785" s="32" t="e">
        <f>((D1783/D1773)^(1/10))-1</f>
        <v>#DIV/0!</v>
      </c>
      <c r="F1785" s="33" t="e">
        <f>((F1783/F1773)^(1/10))-1</f>
        <v>#DIV/0!</v>
      </c>
      <c r="G1785" s="34"/>
      <c r="H1785" s="33" t="e">
        <f>((H1783/H1773)^(1/10))-1</f>
        <v>#DIV/0!</v>
      </c>
      <c r="I1785" s="33" t="e">
        <f>((I1783/I1773)^(1/10))-1</f>
        <v>#DIV/0!</v>
      </c>
      <c r="J1785" s="33"/>
      <c r="K1785" s="33"/>
      <c r="L1785" s="32" t="e">
        <f>((L1783/L1773)^(1/10))-1</f>
        <v>#DIV/0!</v>
      </c>
      <c r="M1785" s="32"/>
      <c r="N1785" s="32"/>
      <c r="O1785" s="32"/>
      <c r="P1785" s="32" t="e">
        <f>((P1783/P1773)^(1/10))-1</f>
        <v>#DIV/0!</v>
      </c>
      <c r="Q1785" s="40"/>
      <c r="R1785" s="41"/>
      <c r="S1785" s="46"/>
      <c r="U1785" s="40"/>
      <c r="V1785" s="41"/>
      <c r="W1785" s="46"/>
      <c r="Y1785" s="40"/>
      <c r="Z1785" s="41"/>
      <c r="AA1785" s="46"/>
    </row>
    <row r="1786" spans="1:27">
      <c r="B1786" s="24"/>
      <c r="C1786" s="25"/>
      <c r="E1786" s="26"/>
      <c r="F1786" s="27"/>
      <c r="G1786" s="28"/>
      <c r="H1786" s="27"/>
      <c r="I1786" s="27"/>
      <c r="J1786" s="27"/>
      <c r="K1786" s="27"/>
      <c r="L1786" s="26"/>
      <c r="M1786" s="17"/>
      <c r="N1786" s="17"/>
      <c r="O1786" s="17"/>
      <c r="P1786" s="35"/>
      <c r="Q1786" s="18"/>
      <c r="R1786" s="36"/>
    </row>
    <row r="1787" spans="1:27">
      <c r="A1787" s="9" t="s">
        <v>0</v>
      </c>
      <c r="B1787" s="10"/>
      <c r="C1787" s="9" t="s">
        <v>1</v>
      </c>
      <c r="D1787" s="9" t="s">
        <v>2</v>
      </c>
      <c r="E1787" s="9" t="s">
        <v>3</v>
      </c>
      <c r="F1787" s="11" t="s">
        <v>4</v>
      </c>
      <c r="G1787" s="11" t="s">
        <v>5</v>
      </c>
      <c r="H1787" s="9" t="s">
        <v>6</v>
      </c>
      <c r="I1787" s="11" t="s">
        <v>7</v>
      </c>
      <c r="J1787" s="11" t="s">
        <v>8</v>
      </c>
      <c r="K1787" s="11" t="s">
        <v>9</v>
      </c>
      <c r="L1787" s="11" t="s">
        <v>10</v>
      </c>
      <c r="M1787" s="11" t="s">
        <v>11</v>
      </c>
      <c r="N1787" s="11" t="s">
        <v>12</v>
      </c>
      <c r="O1787" s="11" t="s">
        <v>13</v>
      </c>
      <c r="P1787" s="11" t="s">
        <v>14</v>
      </c>
      <c r="Q1787" s="37" t="s">
        <v>15</v>
      </c>
      <c r="R1787" s="42">
        <f>_xll.ciqfunctions.udf.CIQ(A1788,("IQ_LASTSALEPRICE"))</f>
        <v>18.53</v>
      </c>
      <c r="S1787" s="44"/>
      <c r="U1787" s="37" t="s">
        <v>15</v>
      </c>
      <c r="V1787" s="42">
        <f>_xll.ciqfunctions.udf.CIQ(A1788,("IQ_LASTSALEPRICE"))</f>
        <v>18.53</v>
      </c>
      <c r="W1787" s="44"/>
      <c r="Y1787" s="37" t="s">
        <v>15</v>
      </c>
      <c r="Z1787" s="42">
        <f>_xll.ciqfunctions.udf.CIQ(A1788,("IQ_LASTSALEPRICE"))</f>
        <v>18.53</v>
      </c>
      <c r="AA1787" s="44"/>
    </row>
    <row r="1788" spans="1:27">
      <c r="A1788" s="12" t="str">
        <f>Analysis!B121</f>
        <v>NYSE:PATH</v>
      </c>
      <c r="B1788" s="13">
        <v>1</v>
      </c>
      <c r="C1788" s="14" t="s">
        <v>16</v>
      </c>
      <c r="D1788" s="15" t="e">
        <f>IF(A1796=A1797,_xll.ciqfunctions.udf.CIQ(A1788,"IQ_TOTAL_REV",IQ_FY-10)/I1788,_xll.ciqfunctions.udf.CIQ(A1788, "IQ_TOTAL_REV",IQ_FY-9)/I1788)</f>
        <v>#DIV/0!</v>
      </c>
      <c r="E1788" s="16"/>
      <c r="F1788" s="15">
        <f>IF(A1796=A1797,_xll.ciqfunctions.udf.CIQ(A1788,"IQ_DILUT_EPS_EXCL",IQ_FY-10), _xll.ciqfunctions.udf.CIQ(A1788, "IQ_DILUT_EPS_EXCL",IQ_FY-9))</f>
        <v>0</v>
      </c>
      <c r="G1788" s="15">
        <f>IF(A1796=A1797,_xll.ciqfunctions.udf.CIQ(A1788,"IQ_EBITDA_MARGIN",IQ_FY-10), _xll.ciqfunctions.udf.CIQ(A1788, "IQ_EBITDA_MARGIN",IQ_FY-9))</f>
        <v>0</v>
      </c>
      <c r="H1788" s="15" t="e">
        <f>IF(A1796=A1797,_xll.ciqfunctions.udf.CIQ(A1788,"IQ_TOTAL_DIV_PAID_CF",IQ_FY-10)/-I1788, _xll.ciqfunctions.udf.CIQ(A1788, "IQ_TOTAL_DIV_PAID_CF",IQ_FY-9)/-I1788)</f>
        <v>#DIV/0!</v>
      </c>
      <c r="I1788" s="17">
        <f>IF(A1796=A1797,_xll.ciqfunctions.udf.CIQ(A1788,"IQ_TOTAL_OUTSTANDING_FILING_DATE",IQ_FY-10), _xll.ciqfunctions.udf.CIQ(A1788, "IQ_TOTAL_OUTSTANDING_FILING_DATE",IQ_FY-9))</f>
        <v>0</v>
      </c>
      <c r="J1788" s="17">
        <f>IF(A1796=A1797,_xll.ciqfunctions.udf.CIQ(A1788,"IQ_CASH_OPER",IQ_FY-10), _xll.ciqfunctions.udf.CIQ(A1788, "IQ_CASH_OPER",IQ_FY-9))</f>
        <v>0</v>
      </c>
      <c r="K1788" s="17">
        <f>IF(A1796=A1797,_xll.ciqfunctions.udf.CIQ(A1788,"IQ_CAPEX",IQ_FY-10), _xll.ciqfunctions.udf.CIQ(A1788, "IQ_CAPEX",IQ_FY-9))</f>
        <v>0</v>
      </c>
      <c r="L1788" s="15" t="e">
        <f t="shared" ref="L1788:L1798" si="476">(J1788+K1788)/I1788</f>
        <v>#DIV/0!</v>
      </c>
      <c r="M1788" s="17">
        <f>IF(A1796=A1797,_xll.ciqfunctions.udf.CIQ(A1788,"IQ_TOTAL_DEBT_ISSUED",IQ_FY-10), _xll.ciqfunctions.udf.CIQ(A1788, "IQ_TOTAL_DEBT_ISSUED",IQ_FY-9))</f>
        <v>0</v>
      </c>
      <c r="N1788" s="17">
        <f>IF(A1796=A1797,_xll.ciqfunctions.udf.CIQ(A1788,"IQ_TOTAL_DEBT_REPAID",IQ_FY-10), _xll.ciqfunctions.udf.CIQ(A1788, "IQ_TOTAL_DEBT_REPAID",IQ_FY-9))</f>
        <v>0</v>
      </c>
      <c r="O1788" s="15" t="e">
        <f t="shared" ref="O1788:O1798" si="477">(M1788+N1788)/I1788</f>
        <v>#DIV/0!</v>
      </c>
      <c r="P1788" s="15" t="e">
        <f t="shared" ref="P1788:P1798" si="478">L1788+O1788</f>
        <v>#DIV/0!</v>
      </c>
      <c r="W1788" s="43"/>
      <c r="AA1788" s="43"/>
    </row>
    <row r="1789" spans="1:27">
      <c r="A1789" s="18" t="str">
        <f>_xll.ciqfunctions.udf.CIQ(A1788,"IQ_COMPANY_NAME")</f>
        <v>UiPath Inc.</v>
      </c>
      <c r="B1789" s="13">
        <v>2</v>
      </c>
      <c r="C1789" s="14" t="s">
        <v>17</v>
      </c>
      <c r="D1789" s="15" t="e">
        <f>IF(A1796=A1797,_xll.ciqfunctions.udf.CIQ(A1788,"IQ_TOTAL_REV",IQ_FY-9)/I1789, _xll.ciqfunctions.udf.CIQ(A1788, "IQ_TOTAL_REV",IQ_FY-8)/I1789)</f>
        <v>#DIV/0!</v>
      </c>
      <c r="E1789" s="16" t="e">
        <f t="shared" ref="E1789:E1798" si="479">(D1789-D1788)/D1788</f>
        <v>#DIV/0!</v>
      </c>
      <c r="F1789" s="15">
        <f>IF(A1796=A1797,_xll.ciqfunctions.udf.CIQ(A1788,"IQ_DILUT_EPS_EXCL",IQ_FY-9), _xll.ciqfunctions.udf.CIQ(A1788, "IQ_DILUT_EPS_EXCL",IQ_FY-8))</f>
        <v>0</v>
      </c>
      <c r="G1789" s="15">
        <f>IF(A1796=A1797,_xll.ciqfunctions.udf.CIQ(A1788,"IQ_EBITDA_MARGIN",IQ_FY-9), _xll.ciqfunctions.udf.CIQ(A1788, "IQ_EBITDA_MARGIN",IQ_FY-8))</f>
        <v>0</v>
      </c>
      <c r="H1789" s="15" t="e">
        <f>IF(A1796=A1797,_xll.ciqfunctions.udf.CIQ(A1788,"IQ_TOTAL_DIV_PAID_CF",IQ_FY-9)/-I1789, _xll.ciqfunctions.udf.CIQ(A1788, "IQ_TOTAL_DIV_PAID_CF",IQ_FY-8)/-I1789)</f>
        <v>#DIV/0!</v>
      </c>
      <c r="I1789" s="17">
        <f>IF(A1796=A1797,_xll.ciqfunctions.udf.CIQ(A1788,"IQ_TOTAL_OUTSTANDING_FILING_DATE",IQ_FY-9), _xll.ciqfunctions.udf.CIQ(A1788, "IQ_TOTAL_OUTSTANDING_FILING_DATE",IQ_FY-8))</f>
        <v>0</v>
      </c>
      <c r="J1789" s="17">
        <f>IF(A1796=A1797,_xll.ciqfunctions.udf.CIQ(A1788,"IQ_CASH_OPER",IQ_FY-9), _xll.ciqfunctions.udf.CIQ(A1788, "IQ_CASH_OPER",IQ_FY-8))</f>
        <v>0</v>
      </c>
      <c r="K1789" s="17">
        <f>IF(A1796=A1797,_xll.ciqfunctions.udf.CIQ(A1788,"IQ_CAPEX",IQ_FY-9), _xll.ciqfunctions.udf.CIQ(A1788, "IQ_CAPEX",IQ_FY-8))</f>
        <v>0</v>
      </c>
      <c r="L1789" s="15" t="e">
        <f t="shared" si="476"/>
        <v>#DIV/0!</v>
      </c>
      <c r="M1789" s="17">
        <f>IF(A1796=A1797,_xll.ciqfunctions.udf.CIQ(A1788,"IQ_TOTAL_DEBT_ISSUED",IQ_FY-9), _xll.ciqfunctions.udf.CIQ(A1788, "IQ_TOTAL_DEBT_ISSUED",IQ_FY-8))</f>
        <v>0</v>
      </c>
      <c r="N1789" s="17">
        <f>IF(A1796=A1797,_xll.ciqfunctions.udf.CIQ(A1788,"IQ_TOTAL_DEBT_REPAID",IQ_FY-9), _xll.ciqfunctions.udf.CIQ(A1788, "IQ_TOTAL_DEBT_REPAID",IQ_FY-8))</f>
        <v>0</v>
      </c>
      <c r="O1789" s="15" t="e">
        <f t="shared" si="477"/>
        <v>#DIV/0!</v>
      </c>
      <c r="P1789" s="15" t="e">
        <f t="shared" si="478"/>
        <v>#DIV/0!</v>
      </c>
      <c r="Q1789" s="25" t="s">
        <v>18</v>
      </c>
      <c r="R1789" s="39" t="s">
        <v>19</v>
      </c>
      <c r="S1789" s="1" t="e">
        <f>R1787/((AVERAGE(P1793:P1798))*(1+E1799)^3)</f>
        <v>#DIV/0!</v>
      </c>
      <c r="U1789" s="25" t="s">
        <v>48</v>
      </c>
      <c r="V1789" s="39" t="s">
        <v>19</v>
      </c>
      <c r="W1789" s="1" t="e">
        <f>V1787/((AVERAGE(P1793:P1798))*(1+E1799)^3)</f>
        <v>#DIV/0!</v>
      </c>
      <c r="Y1789" s="25" t="s">
        <v>39</v>
      </c>
      <c r="Z1789" s="39" t="s">
        <v>19</v>
      </c>
      <c r="AA1789" s="1" t="e">
        <f>Z1787/((AVERAGE(P1793:P1798))*(1+E1799)^3)</f>
        <v>#DIV/0!</v>
      </c>
    </row>
    <row r="1790" spans="1:27">
      <c r="B1790" s="13">
        <v>3</v>
      </c>
      <c r="C1790" s="14" t="s">
        <v>20</v>
      </c>
      <c r="D1790" s="15" t="e" cm="1">
        <f t="array" ref="D1790">_xlfn.SINGLE(IF(A1796=A1797,_xll.ciqfunctions.udf.CIQ(A1788,"IQ_TOTAL_REV",IQ_FY-8)/I1790, _xll.ciqfunctions.udf.CIQ(A1788, "IQ_TOTAL_REV",IQ_FY-7)/I1790))</f>
        <v>#DIV/0!</v>
      </c>
      <c r="E1790" s="16" t="e">
        <f t="shared" si="479"/>
        <v>#DIV/0!</v>
      </c>
      <c r="F1790" s="15">
        <f>IF(A1796=A1797,_xll.ciqfunctions.udf.CIQ(A1788,"IQ_DILUT_EPS_EXCL",IQ_FY-8), _xll.ciqfunctions.udf.CIQ(A1788, "IQ_DILUT_EPS_EXCL",IQ_FY-7))</f>
        <v>0</v>
      </c>
      <c r="G1790" s="15">
        <f>IF(A1796=A1797,_xll.ciqfunctions.udf.CIQ(A1788,"IQ_EBITDA_MARGIN",IQ_FY-8), _xll.ciqfunctions.udf.CIQ(A1788, "IQ_EBITDA_MARGIN",IQ_FY-7))</f>
        <v>0</v>
      </c>
      <c r="H1790" s="15" t="e">
        <f>IF(A1796=A1797,_xll.ciqfunctions.udf.CIQ(A1788,"IQ_TOTAL_DIV_PAID_CF",IQ_FY-8)/-I1790, _xll.ciqfunctions.udf.CIQ(A1788, "IQ_TOTAL_DIV_PAID_CF",IQ_FY-7)/-I1790)</f>
        <v>#DIV/0!</v>
      </c>
      <c r="I1790" s="17">
        <f>IF(A1796=A1797,_xll.ciqfunctions.udf.CIQ(A1788,"IQ_TOTAL_OUTSTANDING_FILING_DATE",IQ_FY-8), _xll.ciqfunctions.udf.CIQ(A1788, "IQ_TOTAL_OUTSTANDING_FILING_DATE",IQ_FY-7))</f>
        <v>0</v>
      </c>
      <c r="J1790" s="17">
        <f>IF(A1796=A1797,_xll.ciqfunctions.udf.CIQ(A1788,"IQ_CASH_OPER",IQ_FY-8), _xll.ciqfunctions.udf.CIQ(A1788, "IQ_CASH_OPER",IQ_FY-7))</f>
        <v>0</v>
      </c>
      <c r="K1790" s="17">
        <f>IF(A1796=A1797,_xll.ciqfunctions.udf.CIQ(A1788,"IQ_CAPEX",IQ_FY-8), _xll.ciqfunctions.udf.CIQ(A1788, "IQ_CAPEX",IQ_FY-7))</f>
        <v>0</v>
      </c>
      <c r="L1790" s="15" t="e">
        <f t="shared" si="476"/>
        <v>#DIV/0!</v>
      </c>
      <c r="M1790" s="17">
        <f>IF(A1796=A1797,_xll.ciqfunctions.udf.CIQ(A1788,"IQ_TOTAL_DEBT_ISSUED",IQ_FY-8), _xll.ciqfunctions.udf.CIQ(A1788, "IQ_TOTAL_DEBT_ISSUED",IQ_FY-7))</f>
        <v>0</v>
      </c>
      <c r="N1790" s="17">
        <f>IF(A1796=A1797,_xll.ciqfunctions.udf.CIQ(A1788,"IQ_TOTAL_DEBT_REPAID",IQ_FY-8), _xll.ciqfunctions.udf.CIQ(A1788, "IQ_TOTAL_DEBT_REPAID",IQ_FY-7))</f>
        <v>0</v>
      </c>
      <c r="O1790" s="15" t="e">
        <f t="shared" si="477"/>
        <v>#DIV/0!</v>
      </c>
      <c r="P1790" s="15" t="e">
        <f t="shared" si="478"/>
        <v>#DIV/0!</v>
      </c>
      <c r="Q1790" s="25" t="s">
        <v>21</v>
      </c>
      <c r="R1790" s="38" t="s">
        <v>49</v>
      </c>
      <c r="S1790" s="2">
        <f>(R1787*I1798)/1000</f>
        <v>10.501656807700002</v>
      </c>
      <c r="U1790" s="25" t="s">
        <v>59</v>
      </c>
      <c r="V1790" s="38" t="s">
        <v>49</v>
      </c>
      <c r="W1790" s="2">
        <f>(V1787*I1798)/1000</f>
        <v>10.501656807700002</v>
      </c>
      <c r="Y1790" s="25" t="s">
        <v>46</v>
      </c>
      <c r="Z1790" s="38" t="s">
        <v>49</v>
      </c>
      <c r="AA1790" s="2">
        <f>(Z1787*I1798)/1000</f>
        <v>10.501656807700002</v>
      </c>
    </row>
    <row r="1791" spans="1:27">
      <c r="A1791" s="18"/>
      <c r="B1791" s="13">
        <v>4</v>
      </c>
      <c r="C1791" s="14" t="s">
        <v>22</v>
      </c>
      <c r="D1791" s="15" t="e" cm="1">
        <f t="array" ref="D1791">_xlfn.SINGLE(IF(A1796=A1797,_xll.ciqfunctions.udf.CIQ(A1788,"IQ_TOTAL_REV",IQ_FY-7)/I1791, _xll.ciqfunctions.udf.CIQ(A1788, "IQ_TOTAL_REV",IQ_FY-6)/I1791))</f>
        <v>#DIV/0!</v>
      </c>
      <c r="E1791" s="16" t="e">
        <f t="shared" si="479"/>
        <v>#DIV/0!</v>
      </c>
      <c r="F1791" s="15">
        <f>IF(A1796=A1797,_xll.ciqfunctions.udf.CIQ(A1788,"IQ_DILUT_EPS_EXCL",IQ_FY-7), _xll.ciqfunctions.udf.CIQ(A1788, "IQ_DILUT_EPS_EXCL",IQ_FY-6))</f>
        <v>0</v>
      </c>
      <c r="G1791" s="15">
        <f>IF(A1796=A1797,_xll.ciqfunctions.udf.CIQ(A1788,"IQ_EBITDA_MARGIN",IQ_FY-7), _xll.ciqfunctions.udf.CIQ(A1788, "IQ_EBITDA_MARGIN",IQ_FY-6))</f>
        <v>0</v>
      </c>
      <c r="H1791" s="15" t="e">
        <f>IF(A1796=A1797,_xll.ciqfunctions.udf.CIQ(A1788,"IQ_TOTAL_DIV_PAID_CF",IQ_FY-7)/-I1791, _xll.ciqfunctions.udf.CIQ(A1788, "IQ_TOTAL_DIV_PAID_CF",IQ_FY-6)/-I1791)</f>
        <v>#DIV/0!</v>
      </c>
      <c r="I1791" s="17">
        <f>IF(A1796=A1797,_xll.ciqfunctions.udf.CIQ(A1788,"IQ_TOTAL_OUTSTANDING_FILING_DATE",IQ_FY-7), _xll.ciqfunctions.udf.CIQ(A1788, "IQ_TOTAL_OUTSTANDING_FILING_DATE",IQ_FY-6))</f>
        <v>0</v>
      </c>
      <c r="J1791" s="17">
        <f>IF(A1796=A1797,_xll.ciqfunctions.udf.CIQ(A1788,"IQ_CASH_OPER",IQ_FY-7), _xll.ciqfunctions.udf.CIQ(A1788, "IQ_CASH_OPER",IQ_FY-6))</f>
        <v>0</v>
      </c>
      <c r="K1791" s="17">
        <f>IF(A1796=A1797,_xll.ciqfunctions.udf.CIQ(A1788,"IQ_CAPEX",IQ_FY-7), _xll.ciqfunctions.udf.CIQ(A1788, "IQ_CAPEX",IQ_FY-6))</f>
        <v>0</v>
      </c>
      <c r="L1791" s="15" t="e">
        <f t="shared" si="476"/>
        <v>#DIV/0!</v>
      </c>
      <c r="M1791" s="17">
        <f>IF(A1796=A1797,_xll.ciqfunctions.udf.CIQ(A1788,"IQ_TOTAL_DEBT_ISSUED",IQ_FY-7), _xll.ciqfunctions.udf.CIQ(A1788, "IQ_TOTAL_DEBT_ISSUED",IQ_FY-6))</f>
        <v>0</v>
      </c>
      <c r="N1791" s="17">
        <f>IF(A1796=A1797,_xll.ciqfunctions.udf.CIQ(A1788,"IQ_TOTAL_DEBT_REPAID",IQ_FY-7), _xll.ciqfunctions.udf.CIQ(A1788, "IQ_TOTAL_DEBT_REPAID",IQ_FY-6))</f>
        <v>0</v>
      </c>
      <c r="O1791" s="15" t="e">
        <f t="shared" si="477"/>
        <v>#DIV/0!</v>
      </c>
      <c r="P1791" s="15" t="e">
        <f t="shared" si="478"/>
        <v>#DIV/0!</v>
      </c>
      <c r="Q1791" s="25" t="s">
        <v>23</v>
      </c>
      <c r="R1791" s="38" t="s">
        <v>24</v>
      </c>
      <c r="S1791" s="1" t="e">
        <f>R1787/(AVERAGE(H1793:H1798)*(1+H1799)/(0.5-H1799))</f>
        <v>#DIV/0!</v>
      </c>
      <c r="U1791" s="25" t="s">
        <v>40</v>
      </c>
      <c r="V1791" s="38" t="s">
        <v>24</v>
      </c>
      <c r="W1791" s="1" t="e">
        <f>V1787/(AVERAGE(H1793:H1798)*(1+H1799)/(0.5-H1799))</f>
        <v>#DIV/0!</v>
      </c>
      <c r="Y1791" s="25" t="s">
        <v>47</v>
      </c>
      <c r="Z1791" s="38" t="s">
        <v>24</v>
      </c>
      <c r="AA1791" s="1" t="e">
        <f>Z1787/(AVERAGE(H1793:H1798)*(1+H1799)/(0.5-H1799))</f>
        <v>#DIV/0!</v>
      </c>
    </row>
    <row r="1792" spans="1:27">
      <c r="B1792" s="13">
        <v>5</v>
      </c>
      <c r="C1792" s="14" t="s">
        <v>25</v>
      </c>
      <c r="D1792" s="15" t="e" cm="1">
        <f t="array" ref="D1792">_xlfn.SINGLE(IF(A1796=A1797,_xll.ciqfunctions.udf.CIQ(A1788,"IQ_TOTAL_REV",IQ_FY-6)/I1792, _xll.ciqfunctions.udf.CIQ(A1788, "IQ_TOTAL_REV",IQ_FY-5)/I1792))</f>
        <v>#DIV/0!</v>
      </c>
      <c r="E1792" s="16" t="e">
        <f t="shared" si="479"/>
        <v>#DIV/0!</v>
      </c>
      <c r="F1792" s="15">
        <f>IF(A1796=A1797,_xll.ciqfunctions.udf.CIQ(A1788,"IQ_DILUT_EPS_EXCL",IQ_FY-6), _xll.ciqfunctions.udf.CIQ(A1788, "IQ_DILUT_EPS_EXCL",IQ_FY-5))</f>
        <v>0</v>
      </c>
      <c r="G1792" s="15">
        <f>IF(A1796=A1797,_xll.ciqfunctions.udf.CIQ(A1788,"IQ_EBITDA_MARGIN",IQ_FY-6), _xll.ciqfunctions.udf.CIQ(A1788, "IQ_EBITDA_MARGIN",IQ_FY-5))</f>
        <v>0</v>
      </c>
      <c r="H1792" s="15" t="e">
        <f>IF(A1796=A1797,_xll.ciqfunctions.udf.CIQ(A1788,"IQ_TOTAL_DIV_PAID_CF",IQ_FY-6)/-I1792, _xll.ciqfunctions.udf.CIQ(A1788, "IQ_TOTAL_DIV_PAID_CF",IQ_FY-5)/-I1792)</f>
        <v>#DIV/0!</v>
      </c>
      <c r="I1792" s="17">
        <f>IF(A1796=A1797,_xll.ciqfunctions.udf.CIQ(A1788,"IQ_TOTAL_OUTSTANDING_FILING_DATE",IQ_FY-6), _xll.ciqfunctions.udf.CIQ(A1788, "IQ_TOTAL_OUTSTANDING_FILING_DATE",IQ_FY-5))</f>
        <v>0</v>
      </c>
      <c r="J1792" s="17">
        <f>IF(A1796=A1797,_xll.ciqfunctions.udf.CIQ(A1788,"IQ_CASH_OPER",IQ_FY-6), _xll.ciqfunctions.udf.CIQ(A1788, "IQ_CASH_OPER",IQ_FY-5))</f>
        <v>0</v>
      </c>
      <c r="K1792" s="17">
        <f>IF(A1796=A1797,_xll.ciqfunctions.udf.CIQ(A1788,"IQ_CAPEX",IQ_FY-6), _xll.ciqfunctions.udf.CIQ(A1788, "IQ_CAPEX",IQ_FY-5))</f>
        <v>0</v>
      </c>
      <c r="L1792" s="15" t="e">
        <f t="shared" si="476"/>
        <v>#DIV/0!</v>
      </c>
      <c r="M1792" s="17">
        <f>IF(A1796=A1797,_xll.ciqfunctions.udf.CIQ(A1788,"IQ_TOTAL_DEBT_ISSUED",IQ_FY-6), _xll.ciqfunctions.udf.CIQ(A1788, "IQ_TOTAL_DEBT_ISSUED",IQ_FY-5))</f>
        <v>0</v>
      </c>
      <c r="N1792" s="17">
        <f>IF(A1796=A1797,_xll.ciqfunctions.udf.CIQ(A1788,"IQ_TOTAL_DEBT_REPAID",IQ_FY-6), _xll.ciqfunctions.udf.CIQ(A1788, "IQ_TOTAL_DEBT_REPAID",IQ_FY-5))</f>
        <v>0</v>
      </c>
      <c r="O1792" s="15" t="e">
        <f t="shared" si="477"/>
        <v>#DIV/0!</v>
      </c>
      <c r="P1792" s="15" t="e">
        <f t="shared" si="478"/>
        <v>#DIV/0!</v>
      </c>
      <c r="Q1792" s="18"/>
      <c r="R1792" s="38" t="s">
        <v>50</v>
      </c>
      <c r="S1792" s="3" t="e">
        <f>I1799</f>
        <v>#DIV/0!</v>
      </c>
      <c r="U1792" s="18"/>
      <c r="V1792" s="38" t="s">
        <v>50</v>
      </c>
      <c r="W1792" s="3" t="e">
        <f>I1799</f>
        <v>#DIV/0!</v>
      </c>
      <c r="Y1792" s="18"/>
      <c r="Z1792" s="38" t="s">
        <v>50</v>
      </c>
      <c r="AA1792" s="3" t="e">
        <f>I1799</f>
        <v>#DIV/0!</v>
      </c>
    </row>
    <row r="1793" spans="1:27">
      <c r="B1793" s="13">
        <v>6</v>
      </c>
      <c r="C1793" s="14" t="s">
        <v>26</v>
      </c>
      <c r="D1793" s="15" t="e" cm="1">
        <f t="array" ref="D1793">_xlfn.SINGLE(IF(A1796=A1797,_xll.ciqfunctions.udf.CIQ(A1788,"IQ_TOTAL_REV",IQ_FY-5)/I1793, _xll.ciqfunctions.udf.CIQ(A1788, "IQ_TOTAL_REV",IQ_FY-4)/I1793))</f>
        <v>#DIV/0!</v>
      </c>
      <c r="E1793" s="16" t="e">
        <f t="shared" si="479"/>
        <v>#DIV/0!</v>
      </c>
      <c r="F1793" s="15">
        <f>IF(A1796=A1797,_xll.ciqfunctions.udf.CIQ(A1788,"IQ_DILUT_EPS_EXCL",IQ_FY-5), _xll.ciqfunctions.udf.CIQ(A1788, "IQ_DILUT_EPS_EXCL",IQ_FY-4))</f>
        <v>0</v>
      </c>
      <c r="G1793" s="15">
        <f>IF(A1796=A1797,_xll.ciqfunctions.udf.CIQ(A1788,"IQ_EBITDA_MARGIN",IQ_FY-5), _xll.ciqfunctions.udf.CIQ(A1788, "IQ_EBITDA_MARGIN",IQ_FY-4))</f>
        <v>0</v>
      </c>
      <c r="H1793" s="15" t="e">
        <f>IF(A1796=A1797,_xll.ciqfunctions.udf.CIQ(A1788,"IQ_TOTAL_DIV_PAID_CF",IQ_FY-5)/-I1793, _xll.ciqfunctions.udf.CIQ(A1788, "IQ_TOTAL_DIV_PAID_CF",IQ_FY-4)/-I1793)</f>
        <v>#DIV/0!</v>
      </c>
      <c r="I1793" s="17">
        <f>IF(A1796=A1797,_xll.ciqfunctions.udf.CIQ(A1788,"IQ_TOTAL_OUTSTANDING_FILING_DATE",IQ_FY-5), _xll.ciqfunctions.udf.CIQ(A1788, "IQ_TOTAL_OUTSTANDING_FILING_DATE",IQ_FY-4))</f>
        <v>0</v>
      </c>
      <c r="J1793" s="17">
        <f>IF(A1796=A1797,_xll.ciqfunctions.udf.CIQ(A1788,"IQ_CASH_OPER",IQ_FY-5), _xll.ciqfunctions.udf.CIQ(A1788, "IQ_CASH_OPER",IQ_FY-4))</f>
        <v>0</v>
      </c>
      <c r="K1793" s="17">
        <f>IF(A1796=A1797,_xll.ciqfunctions.udf.CIQ(A1788,"IQ_CAPEX",IQ_FY-5), _xll.ciqfunctions.udf.CIQ(A1788, "IQ_CAPEX",IQ_FY-4))</f>
        <v>0</v>
      </c>
      <c r="L1793" s="15" t="e">
        <f t="shared" si="476"/>
        <v>#DIV/0!</v>
      </c>
      <c r="M1793" s="17">
        <f>IF(A1796=A1797,_xll.ciqfunctions.udf.CIQ(A1788,"IQ_TOTAL_DEBT_ISSUED",IQ_FY-5), _xll.ciqfunctions.udf.CIQ(A1788, "IQ_TOTAL_DEBT_ISSUED",IQ_FY-4))</f>
        <v>0</v>
      </c>
      <c r="N1793" s="17">
        <f>IF(A1796=A1797,_xll.ciqfunctions.udf.CIQ(A1788,"IQ_TOTAL_DEBT_REPAID",IQ_FY-5), _xll.ciqfunctions.udf.CIQ(A1788, "IQ_TOTAL_DEBT_REPAID",IQ_FY-4))</f>
        <v>0</v>
      </c>
      <c r="O1793" s="15" t="e">
        <f t="shared" si="477"/>
        <v>#DIV/0!</v>
      </c>
      <c r="P1793" s="15" t="e">
        <f t="shared" si="478"/>
        <v>#DIV/0!</v>
      </c>
      <c r="Q1793" s="25" t="s">
        <v>27</v>
      </c>
      <c r="R1793" s="38" t="s">
        <v>51</v>
      </c>
      <c r="S1793" s="4" t="e">
        <f>AVERAGE(F1793:F1798)/AVERAGE(D1793:D1798)</f>
        <v>#DIV/0!</v>
      </c>
      <c r="U1793" s="25" t="s">
        <v>58</v>
      </c>
      <c r="V1793" s="38" t="s">
        <v>51</v>
      </c>
      <c r="W1793" s="4" t="e">
        <f>AVERAGE(F1793:F1798)/AVERAGE(D1793:D1798)</f>
        <v>#DIV/0!</v>
      </c>
      <c r="Y1793" s="25" t="s">
        <v>56</v>
      </c>
      <c r="Z1793" s="38" t="s">
        <v>51</v>
      </c>
      <c r="AA1793" s="4" t="e">
        <f>AVERAGE(F1793:F1798)/AVERAGE(D1793:D1798)</f>
        <v>#DIV/0!</v>
      </c>
    </row>
    <row r="1794" spans="1:27">
      <c r="A1794" s="18"/>
      <c r="B1794" s="13">
        <v>7</v>
      </c>
      <c r="C1794" s="14" t="s">
        <v>28</v>
      </c>
      <c r="D1794" s="15" cm="1">
        <f t="array" ref="D1794">_xlfn.SINGLE(IF(A1796=A1797,_xll.ciqfunctions.udf.CIQ(A1788,"IQ_TOTAL_REV",IQ_FY-4)/I1794, _xll.ciqfunctions.udf.CIQ(A1788, "IQ_TOTAL_REV",IQ_FY-3)/I1794))</f>
        <v>2.1326400394355316</v>
      </c>
      <c r="E1794" s="16" t="e">
        <f t="shared" si="479"/>
        <v>#DIV/0!</v>
      </c>
      <c r="F1794" s="15">
        <f>IF(A1796=A1797,_xll.ciqfunctions.udf.CIQ(A1788,"IQ_DILUT_EPS_EXCL",IQ_FY-4), _xll.ciqfunctions.udf.CIQ(A1788, "IQ_DILUT_EPS_EXCL",IQ_FY-3))</f>
        <v>-3.4120400000000002</v>
      </c>
      <c r="G1794" s="15">
        <f>IF(A1796=A1797,_xll.ciqfunctions.udf.CIQ(A1788,"IQ_EBITDA_MARGIN",IQ_FY-4), _xll.ciqfunctions.udf.CIQ(A1788, "IQ_EBITDA_MARGIN",IQ_FY-3))</f>
        <v>-147.95179999999999</v>
      </c>
      <c r="H1794" s="15">
        <f>IF(A1796=A1797,_xll.ciqfunctions.udf.CIQ(A1788,"IQ_TOTAL_DIV_PAID_CF",IQ_FY-4)/-I1794, _xll.ciqfunctions.udf.CIQ(A1788, "IQ_TOTAL_DIV_PAID_CF",IQ_FY-3)/-I1794)</f>
        <v>0</v>
      </c>
      <c r="I1794" s="17">
        <f>IF(A1796=A1797,_xll.ciqfunctions.udf.CIQ(A1788,"IQ_TOTAL_OUTSTANDING_FILING_DATE",IQ_FY-4), _xll.ciqfunctions.udf.CIQ(A1788, "IQ_TOTAL_OUTSTANDING_FILING_DATE",IQ_FY-3))</f>
        <v>157.62434999999999</v>
      </c>
      <c r="J1794" s="17">
        <f>IF(A1796=A1797,_xll.ciqfunctions.udf.CIQ(A1788,"IQ_CASH_OPER",IQ_FY-4), _xll.ciqfunctions.udf.CIQ(A1788, "IQ_CASH_OPER",IQ_FY-3))</f>
        <v>-359.43599999999998</v>
      </c>
      <c r="K1794" s="17">
        <f>IF(A1796=A1797,_xll.ciqfunctions.udf.CIQ(A1788,"IQ_CAPEX",IQ_FY-4), _xll.ciqfunctions.udf.CIQ(A1788, "IQ_CAPEX",IQ_FY-3))</f>
        <v>-15.747999999999999</v>
      </c>
      <c r="L1794" s="15">
        <f t="shared" si="476"/>
        <v>-2.3802413776805422</v>
      </c>
      <c r="M1794" s="17">
        <f>IF(A1796=A1797,_xll.ciqfunctions.udf.CIQ(A1788,"IQ_TOTAL_DEBT_ISSUED",IQ_FY-4), _xll.ciqfunctions.udf.CIQ(A1788, "IQ_TOTAL_DEBT_ISSUED",IQ_FY-3))</f>
        <v>0</v>
      </c>
      <c r="N1794" s="17">
        <f>IF(A1796=A1797,_xll.ciqfunctions.udf.CIQ(A1788,"IQ_TOTAL_DEBT_REPAID",IQ_FY-4), _xll.ciqfunctions.udf.CIQ(A1788, "IQ_TOTAL_DEBT_REPAID",IQ_FY-3))</f>
        <v>0</v>
      </c>
      <c r="O1794" s="15">
        <f t="shared" si="477"/>
        <v>0</v>
      </c>
      <c r="P1794" s="15">
        <f t="shared" si="478"/>
        <v>-2.3802413776805422</v>
      </c>
      <c r="Q1794" s="18"/>
      <c r="R1794" s="38" t="s">
        <v>29</v>
      </c>
      <c r="S1794" s="4" t="e">
        <f>(AVERAGE(P1793:P1798)/_xlfn.STDEV.P(P1793:P1798))/(IF(A1796=A1797,(_xlfn.SINGLE(_xll.ciqfunctions.udf.CIQ(A1788,"IQ_total_assets",IQ_FY)) - _xlfn.SINGLE(_xll.ciqfunctions.udf.CIQ(A1788,"iq_gw_intan", IQ_FY)))/I1798, (_xlfn.SINGLE(_xll.ciqfunctions.udf.CIQ(A1788, "IQ_total_assets",IQ_LTM))-_xlfn.SINGLE(_xll.ciqfunctions.udf.CIQ(A1788,"iq_gw_intan",IQ_LTM)))/I1798))</f>
        <v>#DIV/0!</v>
      </c>
      <c r="U1794" s="18"/>
      <c r="V1794" s="38" t="s">
        <v>29</v>
      </c>
      <c r="W1794" s="4" t="e">
        <f>(AVERAGE(P1793:P1798)/_xlfn.STDEV.P(P1793:P1798))/(IF(A1796=A1797,(_xlfn.SINGLE(_xll.ciqfunctions.udf.CIQ(A1788,"IQ_total_assets",IQ_FY)) - _xlfn.SINGLE(_xll.ciqfunctions.udf.CIQ(A1788,"iq_gw_intan", IQ_FY)))/I1798, (_xlfn.SINGLE(_xll.ciqfunctions.udf.CIQ(A1788, "IQ_total_assets",IQ_LTM))-_xlfn.SINGLE(_xll.ciqfunctions.udf.CIQ(A1788,"iq_gw_intan",IQ_LTM)))/I1798))</f>
        <v>#DIV/0!</v>
      </c>
      <c r="Y1794" s="18"/>
      <c r="Z1794" s="38" t="s">
        <v>29</v>
      </c>
      <c r="AA1794" s="4" t="e">
        <f>(AVERAGE(P1793:P1798)/_xlfn.STDEV.P(P1793:P1798))/(IF(A1796=A1797,(_xlfn.SINGLE(_xll.ciqfunctions.udf.CIQ(A1788,"IQ_total_assets",IQ_FY)) - _xlfn.SINGLE(_xll.ciqfunctions.udf.CIQ(A1788,"iq_gw_intan", IQ_FY)))/I1798, (_xlfn.SINGLE(_xll.ciqfunctions.udf.CIQ(A1788, "IQ_total_assets",IQ_LTM))-_xlfn.SINGLE(_xll.ciqfunctions.udf.CIQ(A1788,"iq_gw_intan",IQ_LTM)))/I1798))</f>
        <v>#DIV/0!</v>
      </c>
    </row>
    <row r="1795" spans="1:27">
      <c r="A1795" s="18"/>
      <c r="B1795" s="13">
        <v>8</v>
      </c>
      <c r="C1795" s="14" t="s">
        <v>30</v>
      </c>
      <c r="D1795" s="15" cm="1">
        <f t="array" ref="D1795">_xlfn.SINGLE(IF(A1796=A1797,_xll.ciqfunctions.udf.CIQ(A1788,"IQ_TOTAL_REV",IQ_FY-3)/I1795, _xll.ciqfunctions.udf.CIQ(A1788, "IQ_TOTAL_REV",IQ_FY-2)/I1795))</f>
        <v>3.2698850476736596</v>
      </c>
      <c r="E1795" s="16">
        <f t="shared" si="479"/>
        <v>0.53325689624543238</v>
      </c>
      <c r="F1795" s="15">
        <f>IF(A1796=A1797,_xll.ciqfunctions.udf.CIQ(A1788,"IQ_DILUT_EPS_EXCL",IQ_FY-3), _xll.ciqfunctions.udf.CIQ(A1788, "IQ_DILUT_EPS_EXCL",IQ_FY-2))</f>
        <v>-0.55000000000000004</v>
      </c>
      <c r="G1795" s="15">
        <f>IF(A1796=A1797,_xll.ciqfunctions.udf.CIQ(A1788,"IQ_EBITDA_MARGIN",IQ_FY-3), _xll.ciqfunctions.udf.CIQ(A1788, "IQ_EBITDA_MARGIN",IQ_FY-2))</f>
        <v>-16.356300000000001</v>
      </c>
      <c r="H1795" s="15">
        <f>IF(A1796=A1797,_xll.ciqfunctions.udf.CIQ(A1788,"IQ_TOTAL_DIV_PAID_CF",IQ_FY-3)/-I1795, _xll.ciqfunctions.udf.CIQ(A1788, "IQ_TOTAL_DIV_PAID_CF",IQ_FY-2)/-I1795)</f>
        <v>0</v>
      </c>
      <c r="I1795" s="17">
        <f>IF(A1796=A1797,_xll.ciqfunctions.udf.CIQ(A1788,"IQ_TOTAL_OUTSTANDING_FILING_DATE",IQ_FY-3), _xll.ciqfunctions.udf.CIQ(A1788, "IQ_TOTAL_OUTSTANDING_FILING_DATE",IQ_FY-2))</f>
        <v>185.83008000000001</v>
      </c>
      <c r="J1795" s="17">
        <f>IF(A1796=A1797,_xll.ciqfunctions.udf.CIQ(A1788,"IQ_CASH_OPER",IQ_FY-3), _xll.ciqfunctions.udf.CIQ(A1788, "IQ_CASH_OPER",IQ_FY-2))</f>
        <v>29.177</v>
      </c>
      <c r="K1795" s="17">
        <f>IF(A1796=A1797,_xll.ciqfunctions.udf.CIQ(A1788,"IQ_CAPEX",IQ_FY-3), _xll.ciqfunctions.udf.CIQ(A1788, "IQ_CAPEX",IQ_FY-2))</f>
        <v>-1.9530000000000001</v>
      </c>
      <c r="L1795" s="15">
        <f t="shared" si="476"/>
        <v>0.14649942571191918</v>
      </c>
      <c r="M1795" s="17">
        <f>IF(A1796=A1797,_xll.ciqfunctions.udf.CIQ(A1788,"IQ_TOTAL_DEBT_ISSUED",IQ_FY-3), _xll.ciqfunctions.udf.CIQ(A1788, "IQ_TOTAL_DEBT_ISSUED",IQ_FY-2))</f>
        <v>78.587000000000003</v>
      </c>
      <c r="N1795" s="17">
        <f>IF(A1796=A1797,_xll.ciqfunctions.udf.CIQ(A1788,"IQ_TOTAL_DEBT_REPAID",IQ_FY-3), _xll.ciqfunctions.udf.CIQ(A1788, "IQ_TOTAL_DEBT_REPAID",IQ_FY-2))</f>
        <v>-78.587000000000003</v>
      </c>
      <c r="O1795" s="15">
        <f t="shared" si="477"/>
        <v>0</v>
      </c>
      <c r="P1795" s="15">
        <f t="shared" si="478"/>
        <v>0.14649942571191918</v>
      </c>
      <c r="Q1795" s="18"/>
      <c r="R1795" s="39" t="s">
        <v>31</v>
      </c>
      <c r="S1795" s="5" t="e">
        <f>IF(NOT(D1788&gt;0),FALSE,SLOPE(G1788:G1798,B1788:B1798))</f>
        <v>#DIV/0!</v>
      </c>
      <c r="U1795" s="18"/>
      <c r="V1795" s="39" t="s">
        <v>31</v>
      </c>
      <c r="W1795" s="5" t="e">
        <f>IF(NOT(D1788&gt;0),FALSE,SLOPE(G1788:G1798,B1788:B1798))</f>
        <v>#DIV/0!</v>
      </c>
      <c r="Y1795" s="18"/>
      <c r="Z1795" s="39" t="s">
        <v>31</v>
      </c>
      <c r="AA1795" s="5" t="e">
        <f>IF(NOT(L1788&gt;0),FALSE,SLOPE(O1788:O1798,J1788:J1798))</f>
        <v>#DIV/0!</v>
      </c>
    </row>
    <row r="1796" spans="1:27">
      <c r="A1796" s="19">
        <f>_xll.ciqfunctions.udf.CIQ(A1788,"IQ_TOTAL_REV",IQ_FY)</f>
        <v>1058.5809999999999</v>
      </c>
      <c r="B1796" s="13">
        <v>9</v>
      </c>
      <c r="C1796" s="14" t="s">
        <v>32</v>
      </c>
      <c r="D1796" s="15" cm="1">
        <f t="array" ref="D1796">_xlfn.SINGLE(IF(A1796=A1797,_xll.ciqfunctions.udf.CIQ(A1788,"IQ_TOTAL_REV",IQ_FY-2)/I1796, _xll.ciqfunctions.udf.CIQ(A1788, "IQ_TOTAL_REV",IQ_FY-1)/I1796))</f>
        <v>1.6459563182158354</v>
      </c>
      <c r="E1796" s="16">
        <f t="shared" si="479"/>
        <v>-0.49663174875617072</v>
      </c>
      <c r="F1796" s="15">
        <f>IF(A1796=A1797,_xll.ciqfunctions.udf.CIQ(A1788,"IQ_DILUT_EPS_EXCL",IQ_FY-2), _xll.ciqfunctions.udf.CIQ(A1788, "IQ_DILUT_EPS_EXCL",IQ_FY-1))</f>
        <v>-1.1599999999999999</v>
      </c>
      <c r="G1796" s="15">
        <f>IF(A1796=A1797,_xll.ciqfunctions.udf.CIQ(A1788,"IQ_EBITDA_MARGIN",IQ_FY-2), _xll.ciqfunctions.udf.CIQ(A1788, "IQ_EBITDA_MARGIN",IQ_FY-1))</f>
        <v>-54.708799999999997</v>
      </c>
      <c r="H1796" s="15">
        <f>IF(A1796=A1797,_xll.ciqfunctions.udf.CIQ(A1788,"IQ_TOTAL_DIV_PAID_CF",IQ_FY-2)/-I1796, _xll.ciqfunctions.udf.CIQ(A1788, "IQ_TOTAL_DIV_PAID_CF",IQ_FY-1)/-I1796)</f>
        <v>0</v>
      </c>
      <c r="I1796" s="17">
        <f>IF(A1796=A1797,_xll.ciqfunctions.udf.CIQ(A1788,"IQ_TOTAL_OUTSTANDING_FILING_DATE",IQ_FY-2), _xll.ciqfunctions.udf.CIQ(A1788, "IQ_TOTAL_OUTSTANDING_FILING_DATE",IQ_FY-1))</f>
        <v>542.08729000000005</v>
      </c>
      <c r="J1796" s="17">
        <f>IF(A1796=A1797,_xll.ciqfunctions.udf.CIQ(A1788,"IQ_CASH_OPER",IQ_FY-2), _xll.ciqfunctions.udf.CIQ(A1788, "IQ_CASH_OPER",IQ_FY-1))</f>
        <v>-54.963000000000001</v>
      </c>
      <c r="K1796" s="17">
        <f>IF(A1796=A1797,_xll.ciqfunctions.udf.CIQ(A1788,"IQ_CAPEX",IQ_FY-2), _xll.ciqfunctions.udf.CIQ(A1788, "IQ_CAPEX",IQ_FY-1))</f>
        <v>-8.8789999999999996</v>
      </c>
      <c r="L1796" s="15">
        <f t="shared" si="476"/>
        <v>-0.11777070072976623</v>
      </c>
      <c r="M1796" s="17">
        <f>IF(A1796=A1797,_xll.ciqfunctions.udf.CIQ(A1788,"IQ_TOTAL_DEBT_ISSUED",IQ_FY-2), _xll.ciqfunctions.udf.CIQ(A1788, "IQ_TOTAL_DEBT_ISSUED",IQ_FY-1))</f>
        <v>0</v>
      </c>
      <c r="N1796" s="17">
        <f>IF(A1796=A1797,_xll.ciqfunctions.udf.CIQ(A1788,"IQ_TOTAL_DEBT_REPAID",IQ_FY-2), _xll.ciqfunctions.udf.CIQ(A1788, "IQ_TOTAL_DEBT_REPAID",IQ_FY-1))</f>
        <v>0</v>
      </c>
      <c r="O1796" s="15">
        <f t="shared" si="477"/>
        <v>0</v>
      </c>
      <c r="P1796" s="15">
        <f t="shared" si="478"/>
        <v>-0.11777070072976623</v>
      </c>
      <c r="Q1796" s="25" t="s">
        <v>33</v>
      </c>
      <c r="R1796" s="38" t="s">
        <v>52</v>
      </c>
      <c r="S1796" s="4" t="e">
        <f>(AVERAGE(O1793:O1798)/AVERAGE(P1793:P1798))</f>
        <v>#DIV/0!</v>
      </c>
      <c r="U1796" s="25" t="s">
        <v>54</v>
      </c>
      <c r="V1796" s="38" t="s">
        <v>52</v>
      </c>
      <c r="W1796" s="4" t="e">
        <f>(AVERAGE(O1793:O1798)/AVERAGE(P1793:P1798))</f>
        <v>#DIV/0!</v>
      </c>
      <c r="Y1796" s="25" t="s">
        <v>60</v>
      </c>
      <c r="Z1796" s="38" t="s">
        <v>52</v>
      </c>
      <c r="AA1796" s="4" t="e">
        <f>(AVERAGE(O1793:O1798)/AVERAGE(P1793:P1798))</f>
        <v>#DIV/0!</v>
      </c>
    </row>
    <row r="1797" spans="1:27">
      <c r="A1797" s="19">
        <f>_xll.ciqfunctions.udf.CIQ(A1788,"IQ_TOTAL_REV",IQ_LTM)</f>
        <v>1148.191</v>
      </c>
      <c r="B1797" s="13">
        <v>10</v>
      </c>
      <c r="C1797" s="14" t="s">
        <v>34</v>
      </c>
      <c r="D1797" s="15" cm="1">
        <f t="array" ref="D1797">_xlfn.SINGLE(IF(A1796=A1797,_xll.ciqfunctions.udf.CIQ(A1788,"IQ_TOTAL_REV",IQ_FY-1)/I1797, _xll.ciqfunctions.udf.CIQ(A1788, "IQ_TOTAL_REV",IQ_FY)/I1797))</f>
        <v>1.8990630074525656</v>
      </c>
      <c r="E1797" s="16">
        <f t="shared" si="479"/>
        <v>0.15377485200281002</v>
      </c>
      <c r="F1797" s="15">
        <f>IF(A1796=A1797,_xll.ciqfunctions.udf.CIQ(A1788,"IQ_DILUT_EPS_EXCL",IQ_FY-1), _xll.ciqfunctions.udf.CIQ(A1788, "IQ_DILUT_EPS_EXCL",IQ_FY))</f>
        <v>-0.6</v>
      </c>
      <c r="G1797" s="15">
        <f>IF(A1796=A1797,_xll.ciqfunctions.udf.CIQ(A1788,"IQ_EBITDA_MARGIN",IQ_FY-1), _xll.ciqfunctions.udf.CIQ(A1788, "IQ_EBITDA_MARGIN",IQ_FY))</f>
        <v>-29.1157</v>
      </c>
      <c r="H1797" s="15">
        <f>IF(A1796=A1797,_xll.ciqfunctions.udf.CIQ(A1788,"IQ_TOTAL_DIV_PAID_CF",IQ_FY-1)/-I1797, _xll.ciqfunctions.udf.CIQ(A1788, "IQ_TOTAL_DIV_PAID_CF",IQ_FY)/-I1797)</f>
        <v>0</v>
      </c>
      <c r="I1797" s="17">
        <f>IF(A1796=A1797,_xll.ciqfunctions.udf.CIQ(A1788,"IQ_TOTAL_OUTSTANDING_FILING_DATE",IQ_FY-1), _xll.ciqfunctions.udf.CIQ(A1788, "IQ_TOTAL_OUTSTANDING_FILING_DATE",IQ_FY))</f>
        <v>557.42278999999996</v>
      </c>
      <c r="J1797" s="17">
        <f>IF(A1796=A1797,_xll.ciqfunctions.udf.CIQ(A1788,"IQ_CASH_OPER",IQ_FY-1), _xll.ciqfunctions.udf.CIQ(A1788, "IQ_CASH_OPER",IQ_FY))</f>
        <v>-9.9809999999999999</v>
      </c>
      <c r="K1797" s="17">
        <f>IF(A1796=A1797,_xll.ciqfunctions.udf.CIQ(A1788,"IQ_CAPEX",IQ_FY-1), _xll.ciqfunctions.udf.CIQ(A1788, "IQ_CAPEX",IQ_FY))</f>
        <v>-23.815000000000001</v>
      </c>
      <c r="L1797" s="15">
        <f t="shared" si="476"/>
        <v>-6.062902451476733E-2</v>
      </c>
      <c r="M1797" s="17">
        <f>IF(A1796=A1797,_xll.ciqfunctions.udf.CIQ(A1788,"IQ_TOTAL_DEBT_ISSUED",IQ_FY-1), _xll.ciqfunctions.udf.CIQ(A1788, "IQ_TOTAL_DEBT_ISSUED",IQ_FY))</f>
        <v>0</v>
      </c>
      <c r="N1797" s="17">
        <f>IF(A1796=A1797,_xll.ciqfunctions.udf.CIQ(A1788,"IQ_TOTAL_DEBT_REPAID",IQ_FY-1), _xll.ciqfunctions.udf.CIQ(A1788, "IQ_TOTAL_DEBT_REPAID",IQ_FY))</f>
        <v>0</v>
      </c>
      <c r="O1797" s="15">
        <f t="shared" si="477"/>
        <v>0</v>
      </c>
      <c r="P1797" s="15">
        <f t="shared" si="478"/>
        <v>-6.062902451476733E-2</v>
      </c>
      <c r="Q1797" s="25" t="s">
        <v>44</v>
      </c>
      <c r="R1797" s="38" t="s">
        <v>35</v>
      </c>
      <c r="S1797" s="1" t="str">
        <f>_xll.ciqfunctions.udf.CIQ(A1788,"IQ_TEV_EBITDA")</f>
        <v>NM</v>
      </c>
      <c r="U1797" s="25" t="s">
        <v>55</v>
      </c>
      <c r="V1797" s="38" t="s">
        <v>53</v>
      </c>
      <c r="W1797" s="1" t="e">
        <f>V1787/(AVERAGE(D1793:D1798)/_xlfn.STDEV.P(E1793:E1798))</f>
        <v>#DIV/0!</v>
      </c>
      <c r="Y1797" s="25" t="s">
        <v>57</v>
      </c>
      <c r="Z1797" s="38" t="s">
        <v>53</v>
      </c>
      <c r="AA1797" s="1" t="e">
        <f>Z1787/(AVERAGE(D1793:D1798)/_xlfn.STDEV.P(E1793:E1798))</f>
        <v>#DIV/0!</v>
      </c>
    </row>
    <row r="1798" spans="1:27">
      <c r="B1798" s="13">
        <v>11</v>
      </c>
      <c r="C1798" s="20" t="s">
        <v>36</v>
      </c>
      <c r="D1798" s="21" cm="1">
        <f t="array" ref="D1798">_xlfn.SINGLE(IF(A1796=A1797,_xll.ciqfunctions.udf.CIQ(A1788,"IQ_TOTAL_REV",IQ_FY)/I1798, _xll.ciqfunctions.udf.CIQ(A1788, "IQ_TOTAL_REV",IQ_LTM)/I1798))</f>
        <v>2.0259640568714907</v>
      </c>
      <c r="E1798" s="22">
        <f t="shared" si="479"/>
        <v>6.6822980028004575E-2</v>
      </c>
      <c r="F1798" s="21">
        <f>IF(A1796=A1797,_xll.ciqfunctions.udf.CIQ(A1788,"IQ_DILUT_EPS_EXCL",IQ_FY), _xll.ciqfunctions.udf.CIQ(A1788, "IQ_DILUT_EPS_EXCL",IQ_LTM))</f>
        <v>-0.32025999999999999</v>
      </c>
      <c r="G1798" s="21">
        <f>IF(A1796=A1797,_xll.ciqfunctions.udf.CIQ(A1788,"IQ_EBITDA_MARGIN",IQ_FY), _xll.ciqfunctions.udf.CIQ(A1788, "IQ_EBITDA_MARGIN",IQ_LTM))</f>
        <v>-17.627500000000001</v>
      </c>
      <c r="H1798" s="21">
        <f>IF(A1796=A1797,_xll.ciqfunctions.udf.CIQ(A1788,"IQ_TOTAL_DIV_PAID_CF",IQ_FY)/-I1798, _xll.ciqfunctions.udf.CIQ(A1788, "IQ_TOTAL_DIV_PAID_CF",IQ_LTM)/-I1798)</f>
        <v>0</v>
      </c>
      <c r="I1798" s="23">
        <f>IF(A1796=A1797,_xll.ciqfunctions.udf.CIQ(A1788,"IQ_TOTAL_OUTSTANDING_FILING_DATE",IQ_FY),_xll.ciqfunctions.udf.CIQ(A1788,"IQ_sharesoutstanding"))</f>
        <v>566.73809000000006</v>
      </c>
      <c r="J1798" s="23">
        <f>IF(A1796=A1797,_xll.ciqfunctions.udf.CIQ(A1788,"IQ_CASH_OPER",IQ_FY), _xll.ciqfunctions.udf.CIQ(A1788, "IQ_CASH_OPER",IQ_LTM))</f>
        <v>178.26599999999999</v>
      </c>
      <c r="K1798" s="23">
        <f>IF(A1796=A1797,_xll.ciqfunctions.udf.CIQ(A1788,"IQ_CAPEX",IQ_FY), _xll.ciqfunctions.udf.CIQ(A1788, "IQ_CAPEX",IQ_LTM))</f>
        <v>-10.393000000000001</v>
      </c>
      <c r="L1798" s="21">
        <f t="shared" si="476"/>
        <v>0.2962091360402474</v>
      </c>
      <c r="M1798" s="23">
        <f>IF(A1796=A1797,_xll.ciqfunctions.udf.CIQ(A1788,"IQ_TOTAL_DEBT_ISSUED",IQ_FY), _xll.ciqfunctions.udf.CIQ(A1788, "IQ_TOTAL_DEBT_ISSUED",IQ_LTM))</f>
        <v>0</v>
      </c>
      <c r="N1798" s="23">
        <f>IF(A1796=A1797,_xll.ciqfunctions.udf.CIQ(A1788,"IQ_TOTAL_DEBT_REPAID",IQ_FY), _xll.ciqfunctions.udf.CIQ(A1788, "IQ_TOTAL_DEBT_REPAID",IQ_LTM))</f>
        <v>0</v>
      </c>
      <c r="O1798" s="21">
        <f t="shared" si="477"/>
        <v>0</v>
      </c>
      <c r="P1798" s="21">
        <f t="shared" si="478"/>
        <v>0.2962091360402474</v>
      </c>
      <c r="Q1798" s="25" t="s">
        <v>45</v>
      </c>
      <c r="S1798" s="45"/>
      <c r="U1798" s="25"/>
      <c r="W1798" s="45"/>
      <c r="Y1798" s="25"/>
      <c r="AA1798" s="45"/>
    </row>
    <row r="1799" spans="1:27">
      <c r="B1799" s="24"/>
      <c r="C1799" s="25" t="s">
        <v>37</v>
      </c>
      <c r="E1799" s="26" t="e">
        <f>((D1798/D1793)^(1/5))-1</f>
        <v>#DIV/0!</v>
      </c>
      <c r="F1799" s="27" t="e">
        <f>((F1798/F1793)^(1/5))-1</f>
        <v>#DIV/0!</v>
      </c>
      <c r="G1799" s="28"/>
      <c r="H1799" s="27" t="e">
        <f>((H1798/H1793)^(1/5))-1</f>
        <v>#DIV/0!</v>
      </c>
      <c r="I1799" s="27" t="e">
        <f>((I1798/I1793)^(1/5))-1</f>
        <v>#DIV/0!</v>
      </c>
      <c r="J1799" s="27"/>
      <c r="K1799" s="27"/>
      <c r="L1799" s="26" t="e">
        <f>((L1798/L1793)^(1/5))-1</f>
        <v>#DIV/0!</v>
      </c>
      <c r="M1799" s="26"/>
      <c r="N1799" s="26"/>
      <c r="O1799" s="26"/>
      <c r="P1799" s="26" t="e">
        <f>((P1798/P1793)^(1/5))-1</f>
        <v>#DIV/0!</v>
      </c>
      <c r="Q1799" s="18"/>
      <c r="R1799" s="36"/>
      <c r="S1799" s="45"/>
      <c r="U1799" s="18"/>
      <c r="V1799" s="36"/>
      <c r="W1799" s="45"/>
      <c r="Y1799" s="18"/>
      <c r="Z1799" s="36"/>
      <c r="AA1799" s="45"/>
    </row>
    <row r="1800" spans="1:27">
      <c r="A1800" s="29"/>
      <c r="B1800" s="30"/>
      <c r="C1800" s="31" t="s">
        <v>38</v>
      </c>
      <c r="D1800" s="29"/>
      <c r="E1800" s="32" t="e">
        <f>((D1798/D1788)^(1/10))-1</f>
        <v>#DIV/0!</v>
      </c>
      <c r="F1800" s="33" t="e">
        <f>((F1798/F1788)^(1/10))-1</f>
        <v>#DIV/0!</v>
      </c>
      <c r="G1800" s="34"/>
      <c r="H1800" s="33" t="e">
        <f>((H1798/H1788)^(1/10))-1</f>
        <v>#DIV/0!</v>
      </c>
      <c r="I1800" s="33" t="e">
        <f>((I1798/I1788)^(1/10))-1</f>
        <v>#DIV/0!</v>
      </c>
      <c r="J1800" s="33"/>
      <c r="K1800" s="33"/>
      <c r="L1800" s="32" t="e">
        <f>((L1798/L1788)^(1/10))-1</f>
        <v>#DIV/0!</v>
      </c>
      <c r="M1800" s="32"/>
      <c r="N1800" s="32"/>
      <c r="O1800" s="32"/>
      <c r="P1800" s="32" t="e">
        <f>((P1798/P1788)^(1/10))-1</f>
        <v>#DIV/0!</v>
      </c>
      <c r="Q1800" s="40"/>
      <c r="R1800" s="41"/>
      <c r="S1800" s="46"/>
      <c r="U1800" s="40"/>
      <c r="V1800" s="41"/>
      <c r="W1800" s="46"/>
      <c r="Y1800" s="40"/>
      <c r="Z1800" s="41"/>
      <c r="AA1800" s="46"/>
    </row>
    <row r="1801" spans="1:27">
      <c r="B1801" s="24"/>
      <c r="C1801" s="25"/>
      <c r="E1801" s="26"/>
      <c r="F1801" s="27"/>
      <c r="G1801" s="28"/>
      <c r="H1801" s="27"/>
      <c r="I1801" s="27"/>
      <c r="J1801" s="27"/>
      <c r="K1801" s="27"/>
      <c r="L1801" s="26"/>
      <c r="M1801" s="17"/>
      <c r="N1801" s="17"/>
      <c r="O1801" s="17"/>
      <c r="P1801" s="35"/>
      <c r="Q1801" s="18"/>
      <c r="R1801" s="36"/>
    </row>
    <row r="1802" spans="1:27">
      <c r="A1802" s="9" t="s">
        <v>0</v>
      </c>
      <c r="B1802" s="10"/>
      <c r="C1802" s="9" t="s">
        <v>1</v>
      </c>
      <c r="D1802" s="9" t="s">
        <v>2</v>
      </c>
      <c r="E1802" s="9" t="s">
        <v>3</v>
      </c>
      <c r="F1802" s="11" t="s">
        <v>4</v>
      </c>
      <c r="G1802" s="11" t="s">
        <v>5</v>
      </c>
      <c r="H1802" s="9" t="s">
        <v>6</v>
      </c>
      <c r="I1802" s="11" t="s">
        <v>7</v>
      </c>
      <c r="J1802" s="11" t="s">
        <v>8</v>
      </c>
      <c r="K1802" s="11" t="s">
        <v>9</v>
      </c>
      <c r="L1802" s="11" t="s">
        <v>10</v>
      </c>
      <c r="M1802" s="11" t="s">
        <v>11</v>
      </c>
      <c r="N1802" s="11" t="s">
        <v>12</v>
      </c>
      <c r="O1802" s="11" t="s">
        <v>13</v>
      </c>
      <c r="P1802" s="11" t="s">
        <v>14</v>
      </c>
      <c r="Q1802" s="37" t="s">
        <v>15</v>
      </c>
      <c r="R1802" s="42">
        <f>_xll.ciqfunctions.udf.CIQ(A1803,("IQ_LASTSALEPRICE"))</f>
        <v>30.14</v>
      </c>
      <c r="S1802" s="44"/>
      <c r="U1802" s="37" t="s">
        <v>15</v>
      </c>
      <c r="V1802" s="42">
        <f>_xll.ciqfunctions.udf.CIQ(A1803,("IQ_LASTSALEPRICE"))</f>
        <v>30.14</v>
      </c>
      <c r="W1802" s="44"/>
      <c r="Y1802" s="37" t="s">
        <v>15</v>
      </c>
      <c r="Z1802" s="42">
        <f>_xll.ciqfunctions.udf.CIQ(A1803,("IQ_LASTSALEPRICE"))</f>
        <v>30.14</v>
      </c>
      <c r="AA1802" s="44"/>
    </row>
    <row r="1803" spans="1:27">
      <c r="A1803" s="12" t="str">
        <f>Analysis!B122</f>
        <v>NYSE:KVYO</v>
      </c>
      <c r="B1803" s="13">
        <v>1</v>
      </c>
      <c r="C1803" s="14" t="s">
        <v>16</v>
      </c>
      <c r="D1803" s="15" t="e">
        <f>IF(A1811=A1812,_xll.ciqfunctions.udf.CIQ(A1803,"IQ_TOTAL_REV",IQ_FY-10)/I1803,_xll.ciqfunctions.udf.CIQ(A1803, "IQ_TOTAL_REV",IQ_FY-9)/I1803)</f>
        <v>#DIV/0!</v>
      </c>
      <c r="E1803" s="16"/>
      <c r="F1803" s="15">
        <f>IF(A1811=A1812,_xll.ciqfunctions.udf.CIQ(A1803,"IQ_DILUT_EPS_EXCL",IQ_FY-10), _xll.ciqfunctions.udf.CIQ(A1803, "IQ_DILUT_EPS_EXCL",IQ_FY-9))</f>
        <v>0</v>
      </c>
      <c r="G1803" s="15">
        <f>IF(A1811=A1812,_xll.ciqfunctions.udf.CIQ(A1803,"IQ_EBITDA_MARGIN",IQ_FY-10), _xll.ciqfunctions.udf.CIQ(A1803, "IQ_EBITDA_MARGIN",IQ_FY-9))</f>
        <v>0</v>
      </c>
      <c r="H1803" s="15" t="e">
        <f>IF(A1811=A1812,_xll.ciqfunctions.udf.CIQ(A1803,"IQ_TOTAL_DIV_PAID_CF",IQ_FY-10)/-I1803, _xll.ciqfunctions.udf.CIQ(A1803, "IQ_TOTAL_DIV_PAID_CF",IQ_FY-9)/-I1803)</f>
        <v>#DIV/0!</v>
      </c>
      <c r="I1803" s="17">
        <f>IF(A1811=A1812,_xll.ciqfunctions.udf.CIQ(A1803,"IQ_TOTAL_OUTSTANDING_FILING_DATE",IQ_FY-10), _xll.ciqfunctions.udf.CIQ(A1803, "IQ_TOTAL_OUTSTANDING_FILING_DATE",IQ_FY-9))</f>
        <v>0</v>
      </c>
      <c r="J1803" s="17">
        <f>IF(A1811=A1812,_xll.ciqfunctions.udf.CIQ(A1803,"IQ_CASH_OPER",IQ_FY-10), _xll.ciqfunctions.udf.CIQ(A1803, "IQ_CASH_OPER",IQ_FY-9))</f>
        <v>0</v>
      </c>
      <c r="K1803" s="17">
        <f>IF(A1811=A1812,_xll.ciqfunctions.udf.CIQ(A1803,"IQ_CAPEX",IQ_FY-10), _xll.ciqfunctions.udf.CIQ(A1803, "IQ_CAPEX",IQ_FY-9))</f>
        <v>0</v>
      </c>
      <c r="L1803" s="15" t="e">
        <f t="shared" ref="L1803:L1813" si="480">(J1803+K1803)/I1803</f>
        <v>#DIV/0!</v>
      </c>
      <c r="M1803" s="17">
        <f>IF(A1811=A1812,_xll.ciqfunctions.udf.CIQ(A1803,"IQ_TOTAL_DEBT_ISSUED",IQ_FY-10), _xll.ciqfunctions.udf.CIQ(A1803, "IQ_TOTAL_DEBT_ISSUED",IQ_FY-9))</f>
        <v>0</v>
      </c>
      <c r="N1803" s="17">
        <f>IF(A1811=A1812,_xll.ciqfunctions.udf.CIQ(A1803,"IQ_TOTAL_DEBT_REPAID",IQ_FY-10), _xll.ciqfunctions.udf.CIQ(A1803, "IQ_TOTAL_DEBT_REPAID",IQ_FY-9))</f>
        <v>0</v>
      </c>
      <c r="O1803" s="15" t="e">
        <f t="shared" ref="O1803:O1813" si="481">(M1803+N1803)/I1803</f>
        <v>#DIV/0!</v>
      </c>
      <c r="P1803" s="15" t="e">
        <f t="shared" ref="P1803:P1813" si="482">L1803+O1803</f>
        <v>#DIV/0!</v>
      </c>
      <c r="W1803" s="43"/>
      <c r="AA1803" s="43"/>
    </row>
    <row r="1804" spans="1:27">
      <c r="A1804" s="18" t="str">
        <f>_xll.ciqfunctions.udf.CIQ(A1803,"IQ_COMPANY_NAME")</f>
        <v>Klaviyo, Inc.</v>
      </c>
      <c r="B1804" s="13">
        <v>2</v>
      </c>
      <c r="C1804" s="14" t="s">
        <v>17</v>
      </c>
      <c r="D1804" s="15" t="e">
        <f>IF(A1811=A1812,_xll.ciqfunctions.udf.CIQ(A1803,"IQ_TOTAL_REV",IQ_FY-9)/I1804, _xll.ciqfunctions.udf.CIQ(A1803, "IQ_TOTAL_REV",IQ_FY-8)/I1804)</f>
        <v>#DIV/0!</v>
      </c>
      <c r="E1804" s="16" t="e">
        <f t="shared" ref="E1804:E1813" si="483">(D1804-D1803)/D1803</f>
        <v>#DIV/0!</v>
      </c>
      <c r="F1804" s="15">
        <f>IF(A1811=A1812,_xll.ciqfunctions.udf.CIQ(A1803,"IQ_DILUT_EPS_EXCL",IQ_FY-9), _xll.ciqfunctions.udf.CIQ(A1803, "IQ_DILUT_EPS_EXCL",IQ_FY-8))</f>
        <v>0</v>
      </c>
      <c r="G1804" s="15">
        <f>IF(A1811=A1812,_xll.ciqfunctions.udf.CIQ(A1803,"IQ_EBITDA_MARGIN",IQ_FY-9), _xll.ciqfunctions.udf.CIQ(A1803, "IQ_EBITDA_MARGIN",IQ_FY-8))</f>
        <v>0</v>
      </c>
      <c r="H1804" s="15" t="e">
        <f>IF(A1811=A1812,_xll.ciqfunctions.udf.CIQ(A1803,"IQ_TOTAL_DIV_PAID_CF",IQ_FY-9)/-I1804, _xll.ciqfunctions.udf.CIQ(A1803, "IQ_TOTAL_DIV_PAID_CF",IQ_FY-8)/-I1804)</f>
        <v>#DIV/0!</v>
      </c>
      <c r="I1804" s="17">
        <f>IF(A1811=A1812,_xll.ciqfunctions.udf.CIQ(A1803,"IQ_TOTAL_OUTSTANDING_FILING_DATE",IQ_FY-9), _xll.ciqfunctions.udf.CIQ(A1803, "IQ_TOTAL_OUTSTANDING_FILING_DATE",IQ_FY-8))</f>
        <v>0</v>
      </c>
      <c r="J1804" s="17">
        <f>IF(A1811=A1812,_xll.ciqfunctions.udf.CIQ(A1803,"IQ_CASH_OPER",IQ_FY-9), _xll.ciqfunctions.udf.CIQ(A1803, "IQ_CASH_OPER",IQ_FY-8))</f>
        <v>0</v>
      </c>
      <c r="K1804" s="17">
        <f>IF(A1811=A1812,_xll.ciqfunctions.udf.CIQ(A1803,"IQ_CAPEX",IQ_FY-9), _xll.ciqfunctions.udf.CIQ(A1803, "IQ_CAPEX",IQ_FY-8))</f>
        <v>0</v>
      </c>
      <c r="L1804" s="15" t="e">
        <f t="shared" si="480"/>
        <v>#DIV/0!</v>
      </c>
      <c r="M1804" s="17">
        <f>IF(A1811=A1812,_xll.ciqfunctions.udf.CIQ(A1803,"IQ_TOTAL_DEBT_ISSUED",IQ_FY-9), _xll.ciqfunctions.udf.CIQ(A1803, "IQ_TOTAL_DEBT_ISSUED",IQ_FY-8))</f>
        <v>0</v>
      </c>
      <c r="N1804" s="17">
        <f>IF(A1811=A1812,_xll.ciqfunctions.udf.CIQ(A1803,"IQ_TOTAL_DEBT_REPAID",IQ_FY-9), _xll.ciqfunctions.udf.CIQ(A1803, "IQ_TOTAL_DEBT_REPAID",IQ_FY-8))</f>
        <v>0</v>
      </c>
      <c r="O1804" s="15" t="e">
        <f t="shared" si="481"/>
        <v>#DIV/0!</v>
      </c>
      <c r="P1804" s="15" t="e">
        <f t="shared" si="482"/>
        <v>#DIV/0!</v>
      </c>
      <c r="Q1804" s="25" t="s">
        <v>18</v>
      </c>
      <c r="R1804" s="39" t="s">
        <v>19</v>
      </c>
      <c r="S1804" s="1" t="e">
        <f>R1802/((AVERAGE(P1808:P1813))*(1+E1814)^3)</f>
        <v>#DIV/0!</v>
      </c>
      <c r="U1804" s="25" t="s">
        <v>48</v>
      </c>
      <c r="V1804" s="39" t="s">
        <v>19</v>
      </c>
      <c r="W1804" s="1" t="e">
        <f>V1802/((AVERAGE(P1808:P1813))*(1+E1814)^3)</f>
        <v>#DIV/0!</v>
      </c>
      <c r="Y1804" s="25" t="s">
        <v>39</v>
      </c>
      <c r="Z1804" s="39" t="s">
        <v>19</v>
      </c>
      <c r="AA1804" s="1" t="e">
        <f>Z1802/((AVERAGE(P1808:P1813))*(1+E1814)^3)</f>
        <v>#DIV/0!</v>
      </c>
    </row>
    <row r="1805" spans="1:27">
      <c r="B1805" s="13">
        <v>3</v>
      </c>
      <c r="C1805" s="14" t="s">
        <v>20</v>
      </c>
      <c r="D1805" s="15" t="e" cm="1">
        <f t="array" ref="D1805">_xlfn.SINGLE(IF(A1811=A1812,_xll.ciqfunctions.udf.CIQ(A1803,"IQ_TOTAL_REV",IQ_FY-8)/I1805, _xll.ciqfunctions.udf.CIQ(A1803, "IQ_TOTAL_REV",IQ_FY-7)/I1805))</f>
        <v>#DIV/0!</v>
      </c>
      <c r="E1805" s="16" t="e">
        <f t="shared" si="483"/>
        <v>#DIV/0!</v>
      </c>
      <c r="F1805" s="15">
        <f>IF(A1811=A1812,_xll.ciqfunctions.udf.CIQ(A1803,"IQ_DILUT_EPS_EXCL",IQ_FY-8), _xll.ciqfunctions.udf.CIQ(A1803, "IQ_DILUT_EPS_EXCL",IQ_FY-7))</f>
        <v>0</v>
      </c>
      <c r="G1805" s="15">
        <f>IF(A1811=A1812,_xll.ciqfunctions.udf.CIQ(A1803,"IQ_EBITDA_MARGIN",IQ_FY-8), _xll.ciqfunctions.udf.CIQ(A1803, "IQ_EBITDA_MARGIN",IQ_FY-7))</f>
        <v>0</v>
      </c>
      <c r="H1805" s="15" t="e">
        <f>IF(A1811=A1812,_xll.ciqfunctions.udf.CIQ(A1803,"IQ_TOTAL_DIV_PAID_CF",IQ_FY-8)/-I1805, _xll.ciqfunctions.udf.CIQ(A1803, "IQ_TOTAL_DIV_PAID_CF",IQ_FY-7)/-I1805)</f>
        <v>#DIV/0!</v>
      </c>
      <c r="I1805" s="17">
        <f>IF(A1811=A1812,_xll.ciqfunctions.udf.CIQ(A1803,"IQ_TOTAL_OUTSTANDING_FILING_DATE",IQ_FY-8), _xll.ciqfunctions.udf.CIQ(A1803, "IQ_TOTAL_OUTSTANDING_FILING_DATE",IQ_FY-7))</f>
        <v>0</v>
      </c>
      <c r="J1805" s="17">
        <f>IF(A1811=A1812,_xll.ciqfunctions.udf.CIQ(A1803,"IQ_CASH_OPER",IQ_FY-8), _xll.ciqfunctions.udf.CIQ(A1803, "IQ_CASH_OPER",IQ_FY-7))</f>
        <v>0</v>
      </c>
      <c r="K1805" s="17">
        <f>IF(A1811=A1812,_xll.ciqfunctions.udf.CIQ(A1803,"IQ_CAPEX",IQ_FY-8), _xll.ciqfunctions.udf.CIQ(A1803, "IQ_CAPEX",IQ_FY-7))</f>
        <v>0</v>
      </c>
      <c r="L1805" s="15" t="e">
        <f t="shared" si="480"/>
        <v>#DIV/0!</v>
      </c>
      <c r="M1805" s="17">
        <f>IF(A1811=A1812,_xll.ciqfunctions.udf.CIQ(A1803,"IQ_TOTAL_DEBT_ISSUED",IQ_FY-8), _xll.ciqfunctions.udf.CIQ(A1803, "IQ_TOTAL_DEBT_ISSUED",IQ_FY-7))</f>
        <v>0</v>
      </c>
      <c r="N1805" s="17">
        <f>IF(A1811=A1812,_xll.ciqfunctions.udf.CIQ(A1803,"IQ_TOTAL_DEBT_REPAID",IQ_FY-8), _xll.ciqfunctions.udf.CIQ(A1803, "IQ_TOTAL_DEBT_REPAID",IQ_FY-7))</f>
        <v>0</v>
      </c>
      <c r="O1805" s="15" t="e">
        <f t="shared" si="481"/>
        <v>#DIV/0!</v>
      </c>
      <c r="P1805" s="15" t="e">
        <f t="shared" si="482"/>
        <v>#DIV/0!</v>
      </c>
      <c r="Q1805" s="25" t="s">
        <v>21</v>
      </c>
      <c r="R1805" s="38" t="s">
        <v>49</v>
      </c>
      <c r="S1805" s="2">
        <f>(R1802*I1813)/1000</f>
        <v>7.7969482470000004</v>
      </c>
      <c r="U1805" s="25" t="s">
        <v>59</v>
      </c>
      <c r="V1805" s="38" t="s">
        <v>49</v>
      </c>
      <c r="W1805" s="2">
        <f>(V1802*I1813)/1000</f>
        <v>7.7969482470000004</v>
      </c>
      <c r="Y1805" s="25" t="s">
        <v>46</v>
      </c>
      <c r="Z1805" s="38" t="s">
        <v>49</v>
      </c>
      <c r="AA1805" s="2">
        <f>(Z1802*I1813)/1000</f>
        <v>7.7969482470000004</v>
      </c>
    </row>
    <row r="1806" spans="1:27">
      <c r="A1806" s="18"/>
      <c r="B1806" s="13">
        <v>4</v>
      </c>
      <c r="C1806" s="14" t="s">
        <v>22</v>
      </c>
      <c r="D1806" s="15" t="e" cm="1">
        <f t="array" ref="D1806">_xlfn.SINGLE(IF(A1811=A1812,_xll.ciqfunctions.udf.CIQ(A1803,"IQ_TOTAL_REV",IQ_FY-7)/I1806, _xll.ciqfunctions.udf.CIQ(A1803, "IQ_TOTAL_REV",IQ_FY-6)/I1806))</f>
        <v>#DIV/0!</v>
      </c>
      <c r="E1806" s="16" t="e">
        <f t="shared" si="483"/>
        <v>#DIV/0!</v>
      </c>
      <c r="F1806" s="15">
        <f>IF(A1811=A1812,_xll.ciqfunctions.udf.CIQ(A1803,"IQ_DILUT_EPS_EXCL",IQ_FY-7), _xll.ciqfunctions.udf.CIQ(A1803, "IQ_DILUT_EPS_EXCL",IQ_FY-6))</f>
        <v>0</v>
      </c>
      <c r="G1806" s="15">
        <f>IF(A1811=A1812,_xll.ciqfunctions.udf.CIQ(A1803,"IQ_EBITDA_MARGIN",IQ_FY-7), _xll.ciqfunctions.udf.CIQ(A1803, "IQ_EBITDA_MARGIN",IQ_FY-6))</f>
        <v>0</v>
      </c>
      <c r="H1806" s="15" t="e">
        <f>IF(A1811=A1812,_xll.ciqfunctions.udf.CIQ(A1803,"IQ_TOTAL_DIV_PAID_CF",IQ_FY-7)/-I1806, _xll.ciqfunctions.udf.CIQ(A1803, "IQ_TOTAL_DIV_PAID_CF",IQ_FY-6)/-I1806)</f>
        <v>#DIV/0!</v>
      </c>
      <c r="I1806" s="17">
        <f>IF(A1811=A1812,_xll.ciqfunctions.udf.CIQ(A1803,"IQ_TOTAL_OUTSTANDING_FILING_DATE",IQ_FY-7), _xll.ciqfunctions.udf.CIQ(A1803, "IQ_TOTAL_OUTSTANDING_FILING_DATE",IQ_FY-6))</f>
        <v>0</v>
      </c>
      <c r="J1806" s="17">
        <f>IF(A1811=A1812,_xll.ciqfunctions.udf.CIQ(A1803,"IQ_CASH_OPER",IQ_FY-7), _xll.ciqfunctions.udf.CIQ(A1803, "IQ_CASH_OPER",IQ_FY-6))</f>
        <v>0</v>
      </c>
      <c r="K1806" s="17">
        <f>IF(A1811=A1812,_xll.ciqfunctions.udf.CIQ(A1803,"IQ_CAPEX",IQ_FY-7), _xll.ciqfunctions.udf.CIQ(A1803, "IQ_CAPEX",IQ_FY-6))</f>
        <v>0</v>
      </c>
      <c r="L1806" s="15" t="e">
        <f t="shared" si="480"/>
        <v>#DIV/0!</v>
      </c>
      <c r="M1806" s="17">
        <f>IF(A1811=A1812,_xll.ciqfunctions.udf.CIQ(A1803,"IQ_TOTAL_DEBT_ISSUED",IQ_FY-7), _xll.ciqfunctions.udf.CIQ(A1803, "IQ_TOTAL_DEBT_ISSUED",IQ_FY-6))</f>
        <v>0</v>
      </c>
      <c r="N1806" s="17">
        <f>IF(A1811=A1812,_xll.ciqfunctions.udf.CIQ(A1803,"IQ_TOTAL_DEBT_REPAID",IQ_FY-7), _xll.ciqfunctions.udf.CIQ(A1803, "IQ_TOTAL_DEBT_REPAID",IQ_FY-6))</f>
        <v>0</v>
      </c>
      <c r="O1806" s="15" t="e">
        <f t="shared" si="481"/>
        <v>#DIV/0!</v>
      </c>
      <c r="P1806" s="15" t="e">
        <f t="shared" si="482"/>
        <v>#DIV/0!</v>
      </c>
      <c r="Q1806" s="25" t="s">
        <v>23</v>
      </c>
      <c r="R1806" s="38" t="s">
        <v>24</v>
      </c>
      <c r="S1806" s="1" t="e">
        <f>R1802/(AVERAGE(H1808:H1813)*(1+H1814)/(0.5-H1814))</f>
        <v>#DIV/0!</v>
      </c>
      <c r="U1806" s="25" t="s">
        <v>40</v>
      </c>
      <c r="V1806" s="38" t="s">
        <v>24</v>
      </c>
      <c r="W1806" s="1" t="e">
        <f>V1802/(AVERAGE(H1808:H1813)*(1+H1814)/(0.5-H1814))</f>
        <v>#DIV/0!</v>
      </c>
      <c r="Y1806" s="25" t="s">
        <v>47</v>
      </c>
      <c r="Z1806" s="38" t="s">
        <v>24</v>
      </c>
      <c r="AA1806" s="1" t="e">
        <f>Z1802/(AVERAGE(H1808:H1813)*(1+H1814)/(0.5-H1814))</f>
        <v>#DIV/0!</v>
      </c>
    </row>
    <row r="1807" spans="1:27">
      <c r="B1807" s="13">
        <v>5</v>
      </c>
      <c r="C1807" s="14" t="s">
        <v>25</v>
      </c>
      <c r="D1807" s="15" t="e" cm="1">
        <f t="array" ref="D1807">_xlfn.SINGLE(IF(A1811=A1812,_xll.ciqfunctions.udf.CIQ(A1803,"IQ_TOTAL_REV",IQ_FY-6)/I1807, _xll.ciqfunctions.udf.CIQ(A1803, "IQ_TOTAL_REV",IQ_FY-5)/I1807))</f>
        <v>#DIV/0!</v>
      </c>
      <c r="E1807" s="16" t="e">
        <f t="shared" si="483"/>
        <v>#DIV/0!</v>
      </c>
      <c r="F1807" s="15">
        <f>IF(A1811=A1812,_xll.ciqfunctions.udf.CIQ(A1803,"IQ_DILUT_EPS_EXCL",IQ_FY-6), _xll.ciqfunctions.udf.CIQ(A1803, "IQ_DILUT_EPS_EXCL",IQ_FY-5))</f>
        <v>0</v>
      </c>
      <c r="G1807" s="15">
        <f>IF(A1811=A1812,_xll.ciqfunctions.udf.CIQ(A1803,"IQ_EBITDA_MARGIN",IQ_FY-6), _xll.ciqfunctions.udf.CIQ(A1803, "IQ_EBITDA_MARGIN",IQ_FY-5))</f>
        <v>0</v>
      </c>
      <c r="H1807" s="15" t="e">
        <f>IF(A1811=A1812,_xll.ciqfunctions.udf.CIQ(A1803,"IQ_TOTAL_DIV_PAID_CF",IQ_FY-6)/-I1807, _xll.ciqfunctions.udf.CIQ(A1803, "IQ_TOTAL_DIV_PAID_CF",IQ_FY-5)/-I1807)</f>
        <v>#DIV/0!</v>
      </c>
      <c r="I1807" s="17">
        <f>IF(A1811=A1812,_xll.ciqfunctions.udf.CIQ(A1803,"IQ_TOTAL_OUTSTANDING_FILING_DATE",IQ_FY-6), _xll.ciqfunctions.udf.CIQ(A1803, "IQ_TOTAL_OUTSTANDING_FILING_DATE",IQ_FY-5))</f>
        <v>0</v>
      </c>
      <c r="J1807" s="17">
        <f>IF(A1811=A1812,_xll.ciqfunctions.udf.CIQ(A1803,"IQ_CASH_OPER",IQ_FY-6), _xll.ciqfunctions.udf.CIQ(A1803, "IQ_CASH_OPER",IQ_FY-5))</f>
        <v>0</v>
      </c>
      <c r="K1807" s="17">
        <f>IF(A1811=A1812,_xll.ciqfunctions.udf.CIQ(A1803,"IQ_CAPEX",IQ_FY-6), _xll.ciqfunctions.udf.CIQ(A1803, "IQ_CAPEX",IQ_FY-5))</f>
        <v>0</v>
      </c>
      <c r="L1807" s="15" t="e">
        <f t="shared" si="480"/>
        <v>#DIV/0!</v>
      </c>
      <c r="M1807" s="17">
        <f>IF(A1811=A1812,_xll.ciqfunctions.udf.CIQ(A1803,"IQ_TOTAL_DEBT_ISSUED",IQ_FY-6), _xll.ciqfunctions.udf.CIQ(A1803, "IQ_TOTAL_DEBT_ISSUED",IQ_FY-5))</f>
        <v>0</v>
      </c>
      <c r="N1807" s="17">
        <f>IF(A1811=A1812,_xll.ciqfunctions.udf.CIQ(A1803,"IQ_TOTAL_DEBT_REPAID",IQ_FY-6), _xll.ciqfunctions.udf.CIQ(A1803, "IQ_TOTAL_DEBT_REPAID",IQ_FY-5))</f>
        <v>0</v>
      </c>
      <c r="O1807" s="15" t="e">
        <f t="shared" si="481"/>
        <v>#DIV/0!</v>
      </c>
      <c r="P1807" s="15" t="e">
        <f t="shared" si="482"/>
        <v>#DIV/0!</v>
      </c>
      <c r="Q1807" s="18"/>
      <c r="R1807" s="38" t="s">
        <v>50</v>
      </c>
      <c r="S1807" s="3" t="e">
        <f>I1814</f>
        <v>#DIV/0!</v>
      </c>
      <c r="U1807" s="18"/>
      <c r="V1807" s="38" t="s">
        <v>50</v>
      </c>
      <c r="W1807" s="3" t="e">
        <f>I1814</f>
        <v>#DIV/0!</v>
      </c>
      <c r="Y1807" s="18"/>
      <c r="Z1807" s="38" t="s">
        <v>50</v>
      </c>
      <c r="AA1807" s="3" t="e">
        <f>I1814</f>
        <v>#DIV/0!</v>
      </c>
    </row>
    <row r="1808" spans="1:27">
      <c r="B1808" s="13">
        <v>6</v>
      </c>
      <c r="C1808" s="14" t="s">
        <v>26</v>
      </c>
      <c r="D1808" s="15" t="e" cm="1">
        <f t="array" ref="D1808">_xlfn.SINGLE(IF(A1811=A1812,_xll.ciqfunctions.udf.CIQ(A1803,"IQ_TOTAL_REV",IQ_FY-5)/I1808, _xll.ciqfunctions.udf.CIQ(A1803, "IQ_TOTAL_REV",IQ_FY-4)/I1808))</f>
        <v>#DIV/0!</v>
      </c>
      <c r="E1808" s="16" t="e">
        <f t="shared" si="483"/>
        <v>#DIV/0!</v>
      </c>
      <c r="F1808" s="15">
        <f>IF(A1811=A1812,_xll.ciqfunctions.udf.CIQ(A1803,"IQ_DILUT_EPS_EXCL",IQ_FY-5), _xll.ciqfunctions.udf.CIQ(A1803, "IQ_DILUT_EPS_EXCL",IQ_FY-4))</f>
        <v>0</v>
      </c>
      <c r="G1808" s="15">
        <f>IF(A1811=A1812,_xll.ciqfunctions.udf.CIQ(A1803,"IQ_EBITDA_MARGIN",IQ_FY-5), _xll.ciqfunctions.udf.CIQ(A1803, "IQ_EBITDA_MARGIN",IQ_FY-4))</f>
        <v>0</v>
      </c>
      <c r="H1808" s="15" t="e">
        <f>IF(A1811=A1812,_xll.ciqfunctions.udf.CIQ(A1803,"IQ_TOTAL_DIV_PAID_CF",IQ_FY-5)/-I1808, _xll.ciqfunctions.udf.CIQ(A1803, "IQ_TOTAL_DIV_PAID_CF",IQ_FY-4)/-I1808)</f>
        <v>#DIV/0!</v>
      </c>
      <c r="I1808" s="17">
        <f>IF(A1811=A1812,_xll.ciqfunctions.udf.CIQ(A1803,"IQ_TOTAL_OUTSTANDING_FILING_DATE",IQ_FY-5), _xll.ciqfunctions.udf.CIQ(A1803, "IQ_TOTAL_OUTSTANDING_FILING_DATE",IQ_FY-4))</f>
        <v>0</v>
      </c>
      <c r="J1808" s="17">
        <f>IF(A1811=A1812,_xll.ciqfunctions.udf.CIQ(A1803,"IQ_CASH_OPER",IQ_FY-5), _xll.ciqfunctions.udf.CIQ(A1803, "IQ_CASH_OPER",IQ_FY-4))</f>
        <v>0</v>
      </c>
      <c r="K1808" s="17">
        <f>IF(A1811=A1812,_xll.ciqfunctions.udf.CIQ(A1803,"IQ_CAPEX",IQ_FY-5), _xll.ciqfunctions.udf.CIQ(A1803, "IQ_CAPEX",IQ_FY-4))</f>
        <v>0</v>
      </c>
      <c r="L1808" s="15" t="e">
        <f t="shared" si="480"/>
        <v>#DIV/0!</v>
      </c>
      <c r="M1808" s="17">
        <f>IF(A1811=A1812,_xll.ciqfunctions.udf.CIQ(A1803,"IQ_TOTAL_DEBT_ISSUED",IQ_FY-5), _xll.ciqfunctions.udf.CIQ(A1803, "IQ_TOTAL_DEBT_ISSUED",IQ_FY-4))</f>
        <v>0</v>
      </c>
      <c r="N1808" s="17">
        <f>IF(A1811=A1812,_xll.ciqfunctions.udf.CIQ(A1803,"IQ_TOTAL_DEBT_REPAID",IQ_FY-5), _xll.ciqfunctions.udf.CIQ(A1803, "IQ_TOTAL_DEBT_REPAID",IQ_FY-4))</f>
        <v>0</v>
      </c>
      <c r="O1808" s="15" t="e">
        <f t="shared" si="481"/>
        <v>#DIV/0!</v>
      </c>
      <c r="P1808" s="15" t="e">
        <f t="shared" si="482"/>
        <v>#DIV/0!</v>
      </c>
      <c r="Q1808" s="25" t="s">
        <v>27</v>
      </c>
      <c r="R1808" s="38" t="s">
        <v>51</v>
      </c>
      <c r="S1808" s="4" t="e">
        <f>AVERAGE(F1808:F1813)/AVERAGE(D1808:D1813)</f>
        <v>#DIV/0!</v>
      </c>
      <c r="U1808" s="25" t="s">
        <v>58</v>
      </c>
      <c r="V1808" s="38" t="s">
        <v>51</v>
      </c>
      <c r="W1808" s="4" t="e">
        <f>AVERAGE(F1808:F1813)/AVERAGE(D1808:D1813)</f>
        <v>#DIV/0!</v>
      </c>
      <c r="Y1808" s="25" t="s">
        <v>56</v>
      </c>
      <c r="Z1808" s="38" t="s">
        <v>51</v>
      </c>
      <c r="AA1808" s="4" t="e">
        <f>AVERAGE(F1808:F1813)/AVERAGE(D1808:D1813)</f>
        <v>#DIV/0!</v>
      </c>
    </row>
    <row r="1809" spans="1:27">
      <c r="A1809" s="18"/>
      <c r="B1809" s="13">
        <v>7</v>
      </c>
      <c r="C1809" s="14" t="s">
        <v>28</v>
      </c>
      <c r="D1809" s="15" t="e" cm="1">
        <f t="array" ref="D1809">_xlfn.SINGLE(IF(A1811=A1812,_xll.ciqfunctions.udf.CIQ(A1803,"IQ_TOTAL_REV",IQ_FY-4)/I1809, _xll.ciqfunctions.udf.CIQ(A1803, "IQ_TOTAL_REV",IQ_FY-3)/I1809))</f>
        <v>#DIV/0!</v>
      </c>
      <c r="E1809" s="16" t="e">
        <f t="shared" si="483"/>
        <v>#DIV/0!</v>
      </c>
      <c r="F1809" s="15">
        <f>IF(A1811=A1812,_xll.ciqfunctions.udf.CIQ(A1803,"IQ_DILUT_EPS_EXCL",IQ_FY-4), _xll.ciqfunctions.udf.CIQ(A1803, "IQ_DILUT_EPS_EXCL",IQ_FY-3))</f>
        <v>0</v>
      </c>
      <c r="G1809" s="15">
        <f>IF(A1811=A1812,_xll.ciqfunctions.udf.CIQ(A1803,"IQ_EBITDA_MARGIN",IQ_FY-4), _xll.ciqfunctions.udf.CIQ(A1803, "IQ_EBITDA_MARGIN",IQ_FY-3))</f>
        <v>0</v>
      </c>
      <c r="H1809" s="15" t="e">
        <f>IF(A1811=A1812,_xll.ciqfunctions.udf.CIQ(A1803,"IQ_TOTAL_DIV_PAID_CF",IQ_FY-4)/-I1809, _xll.ciqfunctions.udf.CIQ(A1803, "IQ_TOTAL_DIV_PAID_CF",IQ_FY-3)/-I1809)</f>
        <v>#DIV/0!</v>
      </c>
      <c r="I1809" s="17">
        <f>IF(A1811=A1812,_xll.ciqfunctions.udf.CIQ(A1803,"IQ_TOTAL_OUTSTANDING_FILING_DATE",IQ_FY-4), _xll.ciqfunctions.udf.CIQ(A1803, "IQ_TOTAL_OUTSTANDING_FILING_DATE",IQ_FY-3))</f>
        <v>0</v>
      </c>
      <c r="J1809" s="17">
        <f>IF(A1811=A1812,_xll.ciqfunctions.udf.CIQ(A1803,"IQ_CASH_OPER",IQ_FY-4), _xll.ciqfunctions.udf.CIQ(A1803, "IQ_CASH_OPER",IQ_FY-3))</f>
        <v>0</v>
      </c>
      <c r="K1809" s="17">
        <f>IF(A1811=A1812,_xll.ciqfunctions.udf.CIQ(A1803,"IQ_CAPEX",IQ_FY-4), _xll.ciqfunctions.udf.CIQ(A1803, "IQ_CAPEX",IQ_FY-3))</f>
        <v>0</v>
      </c>
      <c r="L1809" s="15" t="e">
        <f t="shared" si="480"/>
        <v>#DIV/0!</v>
      </c>
      <c r="M1809" s="17">
        <f>IF(A1811=A1812,_xll.ciqfunctions.udf.CIQ(A1803,"IQ_TOTAL_DEBT_ISSUED",IQ_FY-4), _xll.ciqfunctions.udf.CIQ(A1803, "IQ_TOTAL_DEBT_ISSUED",IQ_FY-3))</f>
        <v>0</v>
      </c>
      <c r="N1809" s="17">
        <f>IF(A1811=A1812,_xll.ciqfunctions.udf.CIQ(A1803,"IQ_TOTAL_DEBT_REPAID",IQ_FY-4), _xll.ciqfunctions.udf.CIQ(A1803, "IQ_TOTAL_DEBT_REPAID",IQ_FY-3))</f>
        <v>0</v>
      </c>
      <c r="O1809" s="15" t="e">
        <f t="shared" si="481"/>
        <v>#DIV/0!</v>
      </c>
      <c r="P1809" s="15" t="e">
        <f t="shared" si="482"/>
        <v>#DIV/0!</v>
      </c>
      <c r="Q1809" s="18"/>
      <c r="R1809" s="38" t="s">
        <v>29</v>
      </c>
      <c r="S1809" s="4" t="e">
        <f>(AVERAGE(P1808:P1813)/_xlfn.STDEV.P(P1808:P1813))/(IF(A1811=A1812,(_xlfn.SINGLE(_xll.ciqfunctions.udf.CIQ(A1803,"IQ_total_assets",IQ_FY)) - _xlfn.SINGLE(_xll.ciqfunctions.udf.CIQ(A1803,"iq_gw_intan", IQ_FY)))/I1813, (_xlfn.SINGLE(_xll.ciqfunctions.udf.CIQ(A1803, "IQ_total_assets",IQ_LTM))-_xlfn.SINGLE(_xll.ciqfunctions.udf.CIQ(A1803,"iq_gw_intan",IQ_LTM)))/I1813))</f>
        <v>#DIV/0!</v>
      </c>
      <c r="U1809" s="18"/>
      <c r="V1809" s="38" t="s">
        <v>29</v>
      </c>
      <c r="W1809" s="4" t="e">
        <f>(AVERAGE(P1808:P1813)/_xlfn.STDEV.P(P1808:P1813))/(IF(A1811=A1812,(_xlfn.SINGLE(_xll.ciqfunctions.udf.CIQ(A1803,"IQ_total_assets",IQ_FY)) - _xlfn.SINGLE(_xll.ciqfunctions.udf.CIQ(A1803,"iq_gw_intan", IQ_FY)))/I1813, (_xlfn.SINGLE(_xll.ciqfunctions.udf.CIQ(A1803, "IQ_total_assets",IQ_LTM))-_xlfn.SINGLE(_xll.ciqfunctions.udf.CIQ(A1803,"iq_gw_intan",IQ_LTM)))/I1813))</f>
        <v>#DIV/0!</v>
      </c>
      <c r="Y1809" s="18"/>
      <c r="Z1809" s="38" t="s">
        <v>29</v>
      </c>
      <c r="AA1809" s="4" t="e">
        <f>(AVERAGE(P1808:P1813)/_xlfn.STDEV.P(P1808:P1813))/(IF(A1811=A1812,(_xlfn.SINGLE(_xll.ciqfunctions.udf.CIQ(A1803,"IQ_total_assets",IQ_FY)) - _xlfn.SINGLE(_xll.ciqfunctions.udf.CIQ(A1803,"iq_gw_intan", IQ_FY)))/I1813, (_xlfn.SINGLE(_xll.ciqfunctions.udf.CIQ(A1803, "IQ_total_assets",IQ_LTM))-_xlfn.SINGLE(_xll.ciqfunctions.udf.CIQ(A1803,"iq_gw_intan",IQ_LTM)))/I1813))</f>
        <v>#DIV/0!</v>
      </c>
    </row>
    <row r="1810" spans="1:27">
      <c r="A1810" s="18"/>
      <c r="B1810" s="13">
        <v>8</v>
      </c>
      <c r="C1810" s="14" t="s">
        <v>30</v>
      </c>
      <c r="D1810" s="15" t="e" cm="1">
        <f t="array" ref="D1810">_xlfn.SINGLE(IF(A1811=A1812,_xll.ciqfunctions.udf.CIQ(A1803,"IQ_TOTAL_REV",IQ_FY-3)/I1810, _xll.ciqfunctions.udf.CIQ(A1803, "IQ_TOTAL_REV",IQ_FY-2)/I1810))</f>
        <v>#DIV/0!</v>
      </c>
      <c r="E1810" s="16" t="e">
        <f t="shared" si="483"/>
        <v>#DIV/0!</v>
      </c>
      <c r="F1810" s="15">
        <f>IF(A1811=A1812,_xll.ciqfunctions.udf.CIQ(A1803,"IQ_DILUT_EPS_EXCL",IQ_FY-3), _xll.ciqfunctions.udf.CIQ(A1803, "IQ_DILUT_EPS_EXCL",IQ_FY-2))</f>
        <v>0</v>
      </c>
      <c r="G1810" s="15">
        <f>IF(A1811=A1812,_xll.ciqfunctions.udf.CIQ(A1803,"IQ_EBITDA_MARGIN",IQ_FY-3), _xll.ciqfunctions.udf.CIQ(A1803, "IQ_EBITDA_MARGIN",IQ_FY-2))</f>
        <v>0</v>
      </c>
      <c r="H1810" s="15" t="e">
        <f>IF(A1811=A1812,_xll.ciqfunctions.udf.CIQ(A1803,"IQ_TOTAL_DIV_PAID_CF",IQ_FY-3)/-I1810, _xll.ciqfunctions.udf.CIQ(A1803, "IQ_TOTAL_DIV_PAID_CF",IQ_FY-2)/-I1810)</f>
        <v>#DIV/0!</v>
      </c>
      <c r="I1810" s="17">
        <f>IF(A1811=A1812,_xll.ciqfunctions.udf.CIQ(A1803,"IQ_TOTAL_OUTSTANDING_FILING_DATE",IQ_FY-3), _xll.ciqfunctions.udf.CIQ(A1803, "IQ_TOTAL_OUTSTANDING_FILING_DATE",IQ_FY-2))</f>
        <v>0</v>
      </c>
      <c r="J1810" s="17">
        <f>IF(A1811=A1812,_xll.ciqfunctions.udf.CIQ(A1803,"IQ_CASH_OPER",IQ_FY-3), _xll.ciqfunctions.udf.CIQ(A1803, "IQ_CASH_OPER",IQ_FY-2))</f>
        <v>0</v>
      </c>
      <c r="K1810" s="17">
        <f>IF(A1811=A1812,_xll.ciqfunctions.udf.CIQ(A1803,"IQ_CAPEX",IQ_FY-3), _xll.ciqfunctions.udf.CIQ(A1803, "IQ_CAPEX",IQ_FY-2))</f>
        <v>0</v>
      </c>
      <c r="L1810" s="15" t="e">
        <f t="shared" si="480"/>
        <v>#DIV/0!</v>
      </c>
      <c r="M1810" s="17">
        <f>IF(A1811=A1812,_xll.ciqfunctions.udf.CIQ(A1803,"IQ_TOTAL_DEBT_ISSUED",IQ_FY-3), _xll.ciqfunctions.udf.CIQ(A1803, "IQ_TOTAL_DEBT_ISSUED",IQ_FY-2))</f>
        <v>0</v>
      </c>
      <c r="N1810" s="17">
        <f>IF(A1811=A1812,_xll.ciqfunctions.udf.CIQ(A1803,"IQ_TOTAL_DEBT_REPAID",IQ_FY-3), _xll.ciqfunctions.udf.CIQ(A1803, "IQ_TOTAL_DEBT_REPAID",IQ_FY-2))</f>
        <v>0</v>
      </c>
      <c r="O1810" s="15" t="e">
        <f t="shared" si="481"/>
        <v>#DIV/0!</v>
      </c>
      <c r="P1810" s="15" t="e">
        <f t="shared" si="482"/>
        <v>#DIV/0!</v>
      </c>
      <c r="Q1810" s="18"/>
      <c r="R1810" s="39" t="s">
        <v>31</v>
      </c>
      <c r="S1810" s="5" t="e">
        <f>IF(NOT(D1803&gt;0),FALSE,SLOPE(G1803:G1813,B1803:B1813))</f>
        <v>#DIV/0!</v>
      </c>
      <c r="U1810" s="18"/>
      <c r="V1810" s="39" t="s">
        <v>31</v>
      </c>
      <c r="W1810" s="5" t="e">
        <f>IF(NOT(D1803&gt;0),FALSE,SLOPE(G1803:G1813,B1803:B1813))</f>
        <v>#DIV/0!</v>
      </c>
      <c r="Y1810" s="18"/>
      <c r="Z1810" s="39" t="s">
        <v>31</v>
      </c>
      <c r="AA1810" s="5" t="e">
        <f>IF(NOT(L1803&gt;0),FALSE,SLOPE(O1803:O1813,J1803:J1813))</f>
        <v>#DIV/0!</v>
      </c>
    </row>
    <row r="1811" spans="1:27">
      <c r="A1811" s="19">
        <f>_xll.ciqfunctions.udf.CIQ(A1803,"IQ_TOTAL_REV",IQ_FY)</f>
        <v>472.74799999999999</v>
      </c>
      <c r="B1811" s="13">
        <v>9</v>
      </c>
      <c r="C1811" s="14" t="s">
        <v>32</v>
      </c>
      <c r="D1811" s="15" cm="1">
        <f t="array" ref="D1811">_xlfn.SINGLE(IF(A1811=A1812,_xll.ciqfunctions.udf.CIQ(A1803,"IQ_TOTAL_REV",IQ_FY-2)/I1811, _xll.ciqfunctions.udf.CIQ(A1803, "IQ_TOTAL_REV",IQ_FY-1)/I1811))</f>
        <v>1.3159158904088004</v>
      </c>
      <c r="E1811" s="16" t="e">
        <f t="shared" si="483"/>
        <v>#DIV/0!</v>
      </c>
      <c r="F1811" s="15">
        <f>IF(A1811=A1812,_xll.ciqfunctions.udf.CIQ(A1803,"IQ_DILUT_EPS_EXCL",IQ_FY-2), _xll.ciqfunctions.udf.CIQ(A1803, "IQ_DILUT_EPS_EXCL",IQ_FY-1))</f>
        <v>-0.35946</v>
      </c>
      <c r="G1811" s="15">
        <f>IF(A1811=A1812,_xll.ciqfunctions.udf.CIQ(A1803,"IQ_EBITDA_MARGIN",IQ_FY-2), _xll.ciqfunctions.udf.CIQ(A1803, "IQ_EBITDA_MARGIN",IQ_FY-1))</f>
        <v>-25.434200000000001</v>
      </c>
      <c r="H1811" s="15">
        <f>IF(A1811=A1812,_xll.ciqfunctions.udf.CIQ(A1803,"IQ_TOTAL_DIV_PAID_CF",IQ_FY-2)/-I1811, _xll.ciqfunctions.udf.CIQ(A1803, "IQ_TOTAL_DIV_PAID_CF",IQ_FY-1)/-I1811)</f>
        <v>0</v>
      </c>
      <c r="I1811" s="17">
        <f>IF(A1811=A1812,_xll.ciqfunctions.udf.CIQ(A1803,"IQ_TOTAL_OUTSTANDING_FILING_DATE",IQ_FY-2), _xll.ciqfunctions.udf.CIQ(A1803, "IQ_TOTAL_OUTSTANDING_FILING_DATE",IQ_FY-1))</f>
        <v>220.86518000000001</v>
      </c>
      <c r="J1811" s="17">
        <f>IF(A1811=A1812,_xll.ciqfunctions.udf.CIQ(A1803,"IQ_CASH_OPER",IQ_FY-2), _xll.ciqfunctions.udf.CIQ(A1803, "IQ_CASH_OPER",IQ_FY-1))</f>
        <v>-22.738</v>
      </c>
      <c r="K1811" s="17">
        <f>IF(A1811=A1812,_xll.ciqfunctions.udf.CIQ(A1803,"IQ_CAPEX",IQ_FY-2), _xll.ciqfunctions.udf.CIQ(A1803, "IQ_CAPEX",IQ_FY-1))</f>
        <v>-13.023</v>
      </c>
      <c r="L1811" s="15">
        <f t="shared" si="480"/>
        <v>-0.16191325404937074</v>
      </c>
      <c r="M1811" s="17">
        <f>IF(A1811=A1812,_xll.ciqfunctions.udf.CIQ(A1803,"IQ_TOTAL_DEBT_ISSUED",IQ_FY-2), _xll.ciqfunctions.udf.CIQ(A1803, "IQ_TOTAL_DEBT_ISSUED",IQ_FY-1))</f>
        <v>0</v>
      </c>
      <c r="N1811" s="17">
        <f>IF(A1811=A1812,_xll.ciqfunctions.udf.CIQ(A1803,"IQ_TOTAL_DEBT_REPAID",IQ_FY-2), _xll.ciqfunctions.udf.CIQ(A1803, "IQ_TOTAL_DEBT_REPAID",IQ_FY-1))</f>
        <v>-1.6E-2</v>
      </c>
      <c r="O1811" s="15">
        <f t="shared" si="481"/>
        <v>-7.2442383176922682E-5</v>
      </c>
      <c r="P1811" s="15">
        <f t="shared" si="482"/>
        <v>-0.16198569643254765</v>
      </c>
      <c r="Q1811" s="25" t="s">
        <v>33</v>
      </c>
      <c r="R1811" s="38" t="s">
        <v>52</v>
      </c>
      <c r="S1811" s="4" t="e">
        <f>(AVERAGE(O1808:O1813)/AVERAGE(P1808:P1813))</f>
        <v>#DIV/0!</v>
      </c>
      <c r="U1811" s="25" t="s">
        <v>54</v>
      </c>
      <c r="V1811" s="38" t="s">
        <v>52</v>
      </c>
      <c r="W1811" s="4" t="e">
        <f>(AVERAGE(O1808:O1813)/AVERAGE(P1808:P1813))</f>
        <v>#DIV/0!</v>
      </c>
      <c r="Y1811" s="25" t="s">
        <v>60</v>
      </c>
      <c r="Z1811" s="38" t="s">
        <v>52</v>
      </c>
      <c r="AA1811" s="4" t="e">
        <f>(AVERAGE(O1808:O1813)/AVERAGE(P1808:P1813))</f>
        <v>#DIV/0!</v>
      </c>
    </row>
    <row r="1812" spans="1:27">
      <c r="A1812" s="19">
        <f>_xll.ciqfunctions.udf.CIQ(A1803,"IQ_TOTAL_REV",IQ_LTM)</f>
        <v>641.71600000000001</v>
      </c>
      <c r="B1812" s="13">
        <v>10</v>
      </c>
      <c r="C1812" s="14" t="s">
        <v>34</v>
      </c>
      <c r="D1812" s="15" cm="1">
        <f t="array" ref="D1812">_xlfn.SINGLE(IF(A1811=A1812,_xll.ciqfunctions.udf.CIQ(A1803,"IQ_TOTAL_REV",IQ_FY-1)/I1812, _xll.ciqfunctions.udf.CIQ(A1803, "IQ_TOTAL_REV",IQ_FY)/I1812))</f>
        <v>2.7669494146831024</v>
      </c>
      <c r="E1812" s="16">
        <f t="shared" si="483"/>
        <v>1.1026795366256472</v>
      </c>
      <c r="F1812" s="15">
        <f>IF(A1811=A1812,_xll.ciqfunctions.udf.CIQ(A1803,"IQ_DILUT_EPS_EXCL",IQ_FY-1), _xll.ciqfunctions.udf.CIQ(A1803, "IQ_DILUT_EPS_EXCL",IQ_FY))</f>
        <v>-0.21401999999999999</v>
      </c>
      <c r="G1812" s="15">
        <f>IF(A1811=A1812,_xll.ciqfunctions.udf.CIQ(A1803,"IQ_EBITDA_MARGIN",IQ_FY-1), _xll.ciqfunctions.udf.CIQ(A1803, "IQ_EBITDA_MARGIN",IQ_FY))</f>
        <v>-9.7216000000000005</v>
      </c>
      <c r="H1812" s="15">
        <f>IF(A1811=A1812,_xll.ciqfunctions.udf.CIQ(A1803,"IQ_TOTAL_DIV_PAID_CF",IQ_FY-1)/-I1812, _xll.ciqfunctions.udf.CIQ(A1803, "IQ_TOTAL_DIV_PAID_CF",IQ_FY)/-I1812)</f>
        <v>0</v>
      </c>
      <c r="I1812" s="17">
        <f>IF(A1811=A1812,_xll.ciqfunctions.udf.CIQ(A1803,"IQ_TOTAL_OUTSTANDING_FILING_DATE",IQ_FY-1), _xll.ciqfunctions.udf.CIQ(A1803, "IQ_TOTAL_OUTSTANDING_FILING_DATE",IQ_FY))</f>
        <v>170.85531</v>
      </c>
      <c r="J1812" s="17">
        <f>IF(A1811=A1812,_xll.ciqfunctions.udf.CIQ(A1803,"IQ_CASH_OPER",IQ_FY-1), _xll.ciqfunctions.udf.CIQ(A1803, "IQ_CASH_OPER",IQ_FY))</f>
        <v>-23.552</v>
      </c>
      <c r="K1812" s="17">
        <f>IF(A1811=A1812,_xll.ciqfunctions.udf.CIQ(A1803,"IQ_CAPEX",IQ_FY-1), _xll.ciqfunctions.udf.CIQ(A1803, "IQ_CAPEX",IQ_FY))</f>
        <v>-15.821</v>
      </c>
      <c r="L1812" s="15">
        <f t="shared" si="480"/>
        <v>-0.23044645203008321</v>
      </c>
      <c r="M1812" s="17">
        <f>IF(A1811=A1812,_xll.ciqfunctions.udf.CIQ(A1803,"IQ_TOTAL_DEBT_ISSUED",IQ_FY-1), _xll.ciqfunctions.udf.CIQ(A1803, "IQ_TOTAL_DEBT_ISSUED",IQ_FY))</f>
        <v>0</v>
      </c>
      <c r="N1812" s="17">
        <f>IF(A1811=A1812,_xll.ciqfunctions.udf.CIQ(A1803,"IQ_TOTAL_DEBT_REPAID",IQ_FY-1), _xll.ciqfunctions.udf.CIQ(A1803, "IQ_TOTAL_DEBT_REPAID",IQ_FY))</f>
        <v>-2.1000000000000001E-2</v>
      </c>
      <c r="O1812" s="15">
        <f t="shared" si="481"/>
        <v>-1.2291101751534677E-4</v>
      </c>
      <c r="P1812" s="15">
        <f t="shared" si="482"/>
        <v>-0.23056936304759856</v>
      </c>
      <c r="Q1812" s="25" t="s">
        <v>44</v>
      </c>
      <c r="R1812" s="38" t="s">
        <v>35</v>
      </c>
      <c r="S1812" s="1" t="str">
        <f>_xll.ciqfunctions.udf.CIQ(A1803,"IQ_TEV_EBITDA")</f>
        <v>NM</v>
      </c>
      <c r="U1812" s="25" t="s">
        <v>55</v>
      </c>
      <c r="V1812" s="38" t="s">
        <v>53</v>
      </c>
      <c r="W1812" s="1" t="e">
        <f>V1802/(AVERAGE(D1808:D1813)/_xlfn.STDEV.P(E1808:E1813))</f>
        <v>#DIV/0!</v>
      </c>
      <c r="Y1812" s="25" t="s">
        <v>57</v>
      </c>
      <c r="Z1812" s="38" t="s">
        <v>53</v>
      </c>
      <c r="AA1812" s="1" t="e">
        <f>Z1802/(AVERAGE(D1808:D1813)/_xlfn.STDEV.P(E1808:E1813))</f>
        <v>#DIV/0!</v>
      </c>
    </row>
    <row r="1813" spans="1:27">
      <c r="B1813" s="13">
        <v>11</v>
      </c>
      <c r="C1813" s="20" t="s">
        <v>36</v>
      </c>
      <c r="D1813" s="21" cm="1">
        <f t="array" ref="D1813">_xlfn.SINGLE(IF(A1811=A1812,_xll.ciqfunctions.udf.CIQ(A1803,"IQ_TOTAL_REV",IQ_FY)/I1813, _xll.ciqfunctions.udf.CIQ(A1803, "IQ_TOTAL_REV",IQ_LTM)/I1813))</f>
        <v>2.4806269872885047</v>
      </c>
      <c r="E1813" s="22">
        <f t="shared" si="483"/>
        <v>-0.10347945859624257</v>
      </c>
      <c r="F1813" s="21">
        <f>IF(A1811=A1812,_xll.ciqfunctions.udf.CIQ(A1803,"IQ_DILUT_EPS_EXCL",IQ_FY), _xll.ciqfunctions.udf.CIQ(A1803, "IQ_DILUT_EPS_EXCL",IQ_LTM))</f>
        <v>-1.19425</v>
      </c>
      <c r="G1813" s="21">
        <f>IF(A1811=A1812,_xll.ciqfunctions.udf.CIQ(A1803,"IQ_EBITDA_MARGIN",IQ_FY), _xll.ciqfunctions.udf.CIQ(A1803, "IQ_EBITDA_MARGIN",IQ_LTM))</f>
        <v>-43.291400000000003</v>
      </c>
      <c r="H1813" s="21">
        <f>IF(A1811=A1812,_xll.ciqfunctions.udf.CIQ(A1803,"IQ_TOTAL_DIV_PAID_CF",IQ_FY)/-I1813, _xll.ciqfunctions.udf.CIQ(A1803, "IQ_TOTAL_DIV_PAID_CF",IQ_LTM)/-I1813)</f>
        <v>0</v>
      </c>
      <c r="I1813" s="23">
        <f>IF(A1811=A1812,_xll.ciqfunctions.udf.CIQ(A1803,"IQ_TOTAL_OUTSTANDING_FILING_DATE",IQ_FY),_xll.ciqfunctions.udf.CIQ(A1803,"IQ_sharesoutstanding"))</f>
        <v>258.69105000000002</v>
      </c>
      <c r="J1813" s="23">
        <f>IF(A1811=A1812,_xll.ciqfunctions.udf.CIQ(A1803,"IQ_CASH_OPER",IQ_FY), _xll.ciqfunctions.udf.CIQ(A1803, "IQ_CASH_OPER",IQ_LTM))</f>
        <v>101.64100000000001</v>
      </c>
      <c r="K1813" s="23">
        <f>IF(A1811=A1812,_xll.ciqfunctions.udf.CIQ(A1803,"IQ_CAPEX",IQ_FY), _xll.ciqfunctions.udf.CIQ(A1803, "IQ_CAPEX",IQ_LTM))</f>
        <v>-2.2519999999999998</v>
      </c>
      <c r="L1813" s="21">
        <f t="shared" si="480"/>
        <v>0.38419960798798414</v>
      </c>
      <c r="M1813" s="23">
        <f>IF(A1811=A1812,_xll.ciqfunctions.udf.CIQ(A1803,"IQ_TOTAL_DEBT_ISSUED",IQ_FY), _xll.ciqfunctions.udf.CIQ(A1803, "IQ_TOTAL_DEBT_ISSUED",IQ_LTM))</f>
        <v>0</v>
      </c>
      <c r="N1813" s="23">
        <f>IF(A1811=A1812,_xll.ciqfunctions.udf.CIQ(A1803,"IQ_TOTAL_DEBT_REPAID",IQ_FY), _xll.ciqfunctions.udf.CIQ(A1803, "IQ_TOTAL_DEBT_REPAID",IQ_LTM))</f>
        <v>-2.1000000000000001E-2</v>
      </c>
      <c r="O1813" s="21">
        <f t="shared" si="481"/>
        <v>-8.1177914736516783E-5</v>
      </c>
      <c r="P1813" s="21">
        <f t="shared" si="482"/>
        <v>0.38411843007324764</v>
      </c>
      <c r="Q1813" s="25" t="s">
        <v>45</v>
      </c>
      <c r="S1813" s="45"/>
      <c r="U1813" s="25"/>
      <c r="W1813" s="45"/>
      <c r="Y1813" s="25"/>
      <c r="AA1813" s="45"/>
    </row>
    <row r="1814" spans="1:27">
      <c r="B1814" s="24"/>
      <c r="C1814" s="25" t="s">
        <v>37</v>
      </c>
      <c r="E1814" s="26" t="e">
        <f>((D1813/D1808)^(1/5))-1</f>
        <v>#DIV/0!</v>
      </c>
      <c r="F1814" s="27" t="e">
        <f>((F1813/F1808)^(1/5))-1</f>
        <v>#DIV/0!</v>
      </c>
      <c r="G1814" s="28"/>
      <c r="H1814" s="27" t="e">
        <f>((H1813/H1808)^(1/5))-1</f>
        <v>#DIV/0!</v>
      </c>
      <c r="I1814" s="27" t="e">
        <f>((I1813/I1808)^(1/5))-1</f>
        <v>#DIV/0!</v>
      </c>
      <c r="J1814" s="27"/>
      <c r="K1814" s="27"/>
      <c r="L1814" s="26" t="e">
        <f>((L1813/L1808)^(1/5))-1</f>
        <v>#DIV/0!</v>
      </c>
      <c r="M1814" s="26"/>
      <c r="N1814" s="26"/>
      <c r="O1814" s="26"/>
      <c r="P1814" s="26" t="e">
        <f>((P1813/P1808)^(1/5))-1</f>
        <v>#DIV/0!</v>
      </c>
      <c r="Q1814" s="18"/>
      <c r="R1814" s="36"/>
      <c r="S1814" s="45"/>
      <c r="U1814" s="18"/>
      <c r="V1814" s="36"/>
      <c r="W1814" s="45"/>
      <c r="Y1814" s="18"/>
      <c r="Z1814" s="36"/>
      <c r="AA1814" s="45"/>
    </row>
    <row r="1815" spans="1:27">
      <c r="A1815" s="29"/>
      <c r="B1815" s="30"/>
      <c r="C1815" s="31" t="s">
        <v>38</v>
      </c>
      <c r="D1815" s="29"/>
      <c r="E1815" s="32" t="e">
        <f>((D1813/D1803)^(1/10))-1</f>
        <v>#DIV/0!</v>
      </c>
      <c r="F1815" s="33" t="e">
        <f>((F1813/F1803)^(1/10))-1</f>
        <v>#DIV/0!</v>
      </c>
      <c r="G1815" s="34"/>
      <c r="H1815" s="33" t="e">
        <f>((H1813/H1803)^(1/10))-1</f>
        <v>#DIV/0!</v>
      </c>
      <c r="I1815" s="33" t="e">
        <f>((I1813/I1803)^(1/10))-1</f>
        <v>#DIV/0!</v>
      </c>
      <c r="J1815" s="33"/>
      <c r="K1815" s="33"/>
      <c r="L1815" s="32" t="e">
        <f>((L1813/L1803)^(1/10))-1</f>
        <v>#DIV/0!</v>
      </c>
      <c r="M1815" s="32"/>
      <c r="N1815" s="32"/>
      <c r="O1815" s="32"/>
      <c r="P1815" s="32" t="e">
        <f>((P1813/P1803)^(1/10))-1</f>
        <v>#DIV/0!</v>
      </c>
      <c r="Q1815" s="40"/>
      <c r="R1815" s="41"/>
      <c r="S1815" s="46"/>
      <c r="U1815" s="40"/>
      <c r="V1815" s="41"/>
      <c r="W1815" s="46"/>
      <c r="Y1815" s="40"/>
      <c r="Z1815" s="41"/>
      <c r="AA1815" s="46"/>
    </row>
    <row r="1816" spans="1:27">
      <c r="B1816" s="24"/>
      <c r="C1816" s="25"/>
      <c r="E1816" s="26"/>
      <c r="F1816" s="27"/>
      <c r="G1816" s="28"/>
      <c r="H1816" s="27"/>
      <c r="I1816" s="27"/>
      <c r="J1816" s="27"/>
      <c r="K1816" s="27"/>
      <c r="L1816" s="26"/>
      <c r="M1816" s="17"/>
      <c r="N1816" s="17"/>
      <c r="O1816" s="17"/>
      <c r="P1816" s="35"/>
      <c r="Q1816" s="18"/>
      <c r="R1816" s="36"/>
    </row>
    <row r="1817" spans="1:27">
      <c r="A1817" s="9" t="s">
        <v>0</v>
      </c>
      <c r="B1817" s="10"/>
      <c r="C1817" s="9" t="s">
        <v>1</v>
      </c>
      <c r="D1817" s="9" t="s">
        <v>2</v>
      </c>
      <c r="E1817" s="9" t="s">
        <v>3</v>
      </c>
      <c r="F1817" s="11" t="s">
        <v>4</v>
      </c>
      <c r="G1817" s="11" t="s">
        <v>5</v>
      </c>
      <c r="H1817" s="9" t="s">
        <v>6</v>
      </c>
      <c r="I1817" s="11" t="s">
        <v>7</v>
      </c>
      <c r="J1817" s="11" t="s">
        <v>8</v>
      </c>
      <c r="K1817" s="11" t="s">
        <v>9</v>
      </c>
      <c r="L1817" s="11" t="s">
        <v>10</v>
      </c>
      <c r="M1817" s="11" t="s">
        <v>11</v>
      </c>
      <c r="N1817" s="11" t="s">
        <v>12</v>
      </c>
      <c r="O1817" s="11" t="s">
        <v>13</v>
      </c>
      <c r="P1817" s="11" t="s">
        <v>14</v>
      </c>
      <c r="Q1817" s="37" t="s">
        <v>15</v>
      </c>
      <c r="R1817" s="42">
        <f>_xll.ciqfunctions.udf.CIQ(A1818,("IQ_LASTSALEPRICE"))</f>
        <v>47.085000000000001</v>
      </c>
      <c r="S1817" s="44"/>
      <c r="U1817" s="37" t="s">
        <v>15</v>
      </c>
      <c r="V1817" s="42">
        <f>_xll.ciqfunctions.udf.CIQ(A1818,("IQ_LASTSALEPRICE"))</f>
        <v>47.085000000000001</v>
      </c>
      <c r="W1817" s="44"/>
      <c r="Y1817" s="37" t="s">
        <v>15</v>
      </c>
      <c r="Z1817" s="42">
        <f>_xll.ciqfunctions.udf.CIQ(A1818,("IQ_LASTSALEPRICE"))</f>
        <v>47.085000000000001</v>
      </c>
      <c r="AA1817" s="44"/>
    </row>
    <row r="1818" spans="1:27">
      <c r="A1818" s="12" t="str">
        <f>Analysis!B123</f>
        <v>NasdaqGS:GTLB</v>
      </c>
      <c r="B1818" s="13">
        <v>1</v>
      </c>
      <c r="C1818" s="14" t="s">
        <v>16</v>
      </c>
      <c r="D1818" s="15" t="e">
        <f>IF(A1826=A1827,_xll.ciqfunctions.udf.CIQ(A1818,"IQ_TOTAL_REV",IQ_FY-10)/I1818,_xll.ciqfunctions.udf.CIQ(A1818, "IQ_TOTAL_REV",IQ_FY-9)/I1818)</f>
        <v>#DIV/0!</v>
      </c>
      <c r="E1818" s="16"/>
      <c r="F1818" s="15">
        <f>IF(A1826=A1827,_xll.ciqfunctions.udf.CIQ(A1818,"IQ_DILUT_EPS_EXCL",IQ_FY-10), _xll.ciqfunctions.udf.CIQ(A1818, "IQ_DILUT_EPS_EXCL",IQ_FY-9))</f>
        <v>0</v>
      </c>
      <c r="G1818" s="15">
        <f>IF(A1826=A1827,_xll.ciqfunctions.udf.CIQ(A1818,"IQ_EBITDA_MARGIN",IQ_FY-10), _xll.ciqfunctions.udf.CIQ(A1818, "IQ_EBITDA_MARGIN",IQ_FY-9))</f>
        <v>0</v>
      </c>
      <c r="H1818" s="15" t="e">
        <f>IF(A1826=A1827,_xll.ciqfunctions.udf.CIQ(A1818,"IQ_TOTAL_DIV_PAID_CF",IQ_FY-10)/-I1818, _xll.ciqfunctions.udf.CIQ(A1818, "IQ_TOTAL_DIV_PAID_CF",IQ_FY-9)/-I1818)</f>
        <v>#DIV/0!</v>
      </c>
      <c r="I1818" s="17">
        <f>IF(A1826=A1827,_xll.ciqfunctions.udf.CIQ(A1818,"IQ_TOTAL_OUTSTANDING_FILING_DATE",IQ_FY-10), _xll.ciqfunctions.udf.CIQ(A1818, "IQ_TOTAL_OUTSTANDING_FILING_DATE",IQ_FY-9))</f>
        <v>0</v>
      </c>
      <c r="J1818" s="17">
        <f>IF(A1826=A1827,_xll.ciqfunctions.udf.CIQ(A1818,"IQ_CASH_OPER",IQ_FY-10), _xll.ciqfunctions.udf.CIQ(A1818, "IQ_CASH_OPER",IQ_FY-9))</f>
        <v>0</v>
      </c>
      <c r="K1818" s="17">
        <f>IF(A1826=A1827,_xll.ciqfunctions.udf.CIQ(A1818,"IQ_CAPEX",IQ_FY-10), _xll.ciqfunctions.udf.CIQ(A1818, "IQ_CAPEX",IQ_FY-9))</f>
        <v>0</v>
      </c>
      <c r="L1818" s="15" t="e">
        <f t="shared" ref="L1818:L1828" si="484">(J1818+K1818)/I1818</f>
        <v>#DIV/0!</v>
      </c>
      <c r="M1818" s="17">
        <f>IF(A1826=A1827,_xll.ciqfunctions.udf.CIQ(A1818,"IQ_TOTAL_DEBT_ISSUED",IQ_FY-10), _xll.ciqfunctions.udf.CIQ(A1818, "IQ_TOTAL_DEBT_ISSUED",IQ_FY-9))</f>
        <v>0</v>
      </c>
      <c r="N1818" s="17">
        <f>IF(A1826=A1827,_xll.ciqfunctions.udf.CIQ(A1818,"IQ_TOTAL_DEBT_REPAID",IQ_FY-10), _xll.ciqfunctions.udf.CIQ(A1818, "IQ_TOTAL_DEBT_REPAID",IQ_FY-9))</f>
        <v>0</v>
      </c>
      <c r="O1818" s="15" t="e">
        <f t="shared" ref="O1818:O1828" si="485">(M1818+N1818)/I1818</f>
        <v>#DIV/0!</v>
      </c>
      <c r="P1818" s="15" t="e">
        <f t="shared" ref="P1818:P1828" si="486">L1818+O1818</f>
        <v>#DIV/0!</v>
      </c>
      <c r="W1818" s="43"/>
      <c r="AA1818" s="43"/>
    </row>
    <row r="1819" spans="1:27">
      <c r="A1819" s="18" t="str">
        <f>_xll.ciqfunctions.udf.CIQ(A1818,"IQ_COMPANY_NAME")</f>
        <v>GitLab Inc.</v>
      </c>
      <c r="B1819" s="13">
        <v>2</v>
      </c>
      <c r="C1819" s="14" t="s">
        <v>17</v>
      </c>
      <c r="D1819" s="15" t="e">
        <f>IF(A1826=A1827,_xll.ciqfunctions.udf.CIQ(A1818,"IQ_TOTAL_REV",IQ_FY-9)/I1819, _xll.ciqfunctions.udf.CIQ(A1818, "IQ_TOTAL_REV",IQ_FY-8)/I1819)</f>
        <v>#DIV/0!</v>
      </c>
      <c r="E1819" s="16" t="e">
        <f t="shared" ref="E1819:E1828" si="487">(D1819-D1818)/D1818</f>
        <v>#DIV/0!</v>
      </c>
      <c r="F1819" s="15">
        <f>IF(A1826=A1827,_xll.ciqfunctions.udf.CIQ(A1818,"IQ_DILUT_EPS_EXCL",IQ_FY-9), _xll.ciqfunctions.udf.CIQ(A1818, "IQ_DILUT_EPS_EXCL",IQ_FY-8))</f>
        <v>0</v>
      </c>
      <c r="G1819" s="15">
        <f>IF(A1826=A1827,_xll.ciqfunctions.udf.CIQ(A1818,"IQ_EBITDA_MARGIN",IQ_FY-9), _xll.ciqfunctions.udf.CIQ(A1818, "IQ_EBITDA_MARGIN",IQ_FY-8))</f>
        <v>0</v>
      </c>
      <c r="H1819" s="15" t="e">
        <f>IF(A1826=A1827,_xll.ciqfunctions.udf.CIQ(A1818,"IQ_TOTAL_DIV_PAID_CF",IQ_FY-9)/-I1819, _xll.ciqfunctions.udf.CIQ(A1818, "IQ_TOTAL_DIV_PAID_CF",IQ_FY-8)/-I1819)</f>
        <v>#DIV/0!</v>
      </c>
      <c r="I1819" s="17">
        <f>IF(A1826=A1827,_xll.ciqfunctions.udf.CIQ(A1818,"IQ_TOTAL_OUTSTANDING_FILING_DATE",IQ_FY-9), _xll.ciqfunctions.udf.CIQ(A1818, "IQ_TOTAL_OUTSTANDING_FILING_DATE",IQ_FY-8))</f>
        <v>0</v>
      </c>
      <c r="J1819" s="17">
        <f>IF(A1826=A1827,_xll.ciqfunctions.udf.CIQ(A1818,"IQ_CASH_OPER",IQ_FY-9), _xll.ciqfunctions.udf.CIQ(A1818, "IQ_CASH_OPER",IQ_FY-8))</f>
        <v>0</v>
      </c>
      <c r="K1819" s="17">
        <f>IF(A1826=A1827,_xll.ciqfunctions.udf.CIQ(A1818,"IQ_CAPEX",IQ_FY-9), _xll.ciqfunctions.udf.CIQ(A1818, "IQ_CAPEX",IQ_FY-8))</f>
        <v>0</v>
      </c>
      <c r="L1819" s="15" t="e">
        <f t="shared" si="484"/>
        <v>#DIV/0!</v>
      </c>
      <c r="M1819" s="17">
        <f>IF(A1826=A1827,_xll.ciqfunctions.udf.CIQ(A1818,"IQ_TOTAL_DEBT_ISSUED",IQ_FY-9), _xll.ciqfunctions.udf.CIQ(A1818, "IQ_TOTAL_DEBT_ISSUED",IQ_FY-8))</f>
        <v>0</v>
      </c>
      <c r="N1819" s="17">
        <f>IF(A1826=A1827,_xll.ciqfunctions.udf.CIQ(A1818,"IQ_TOTAL_DEBT_REPAID",IQ_FY-9), _xll.ciqfunctions.udf.CIQ(A1818, "IQ_TOTAL_DEBT_REPAID",IQ_FY-8))</f>
        <v>0</v>
      </c>
      <c r="O1819" s="15" t="e">
        <f t="shared" si="485"/>
        <v>#DIV/0!</v>
      </c>
      <c r="P1819" s="15" t="e">
        <f t="shared" si="486"/>
        <v>#DIV/0!</v>
      </c>
      <c r="Q1819" s="25" t="s">
        <v>18</v>
      </c>
      <c r="R1819" s="39" t="s">
        <v>19</v>
      </c>
      <c r="S1819" s="1" t="e">
        <f>R1817/((AVERAGE(P1823:P1828))*(1+E1829)^3)</f>
        <v>#DIV/0!</v>
      </c>
      <c r="U1819" s="25" t="s">
        <v>48</v>
      </c>
      <c r="V1819" s="39" t="s">
        <v>19</v>
      </c>
      <c r="W1819" s="1" t="e">
        <f>V1817/((AVERAGE(P1823:P1828))*(1+E1829)^3)</f>
        <v>#DIV/0!</v>
      </c>
      <c r="Y1819" s="25" t="s">
        <v>39</v>
      </c>
      <c r="Z1819" s="39" t="s">
        <v>19</v>
      </c>
      <c r="AA1819" s="1" t="e">
        <f>Z1817/((AVERAGE(P1823:P1828))*(1+E1829)^3)</f>
        <v>#DIV/0!</v>
      </c>
    </row>
    <row r="1820" spans="1:27">
      <c r="B1820" s="13">
        <v>3</v>
      </c>
      <c r="C1820" s="14" t="s">
        <v>20</v>
      </c>
      <c r="D1820" s="15" t="e" cm="1">
        <f t="array" ref="D1820">_xlfn.SINGLE(IF(A1826=A1827,_xll.ciqfunctions.udf.CIQ(A1818,"IQ_TOTAL_REV",IQ_FY-8)/I1820, _xll.ciqfunctions.udf.CIQ(A1818, "IQ_TOTAL_REV",IQ_FY-7)/I1820))</f>
        <v>#DIV/0!</v>
      </c>
      <c r="E1820" s="16" t="e">
        <f t="shared" si="487"/>
        <v>#DIV/0!</v>
      </c>
      <c r="F1820" s="15">
        <f>IF(A1826=A1827,_xll.ciqfunctions.udf.CIQ(A1818,"IQ_DILUT_EPS_EXCL",IQ_FY-8), _xll.ciqfunctions.udf.CIQ(A1818, "IQ_DILUT_EPS_EXCL",IQ_FY-7))</f>
        <v>0</v>
      </c>
      <c r="G1820" s="15">
        <f>IF(A1826=A1827,_xll.ciqfunctions.udf.CIQ(A1818,"IQ_EBITDA_MARGIN",IQ_FY-8), _xll.ciqfunctions.udf.CIQ(A1818, "IQ_EBITDA_MARGIN",IQ_FY-7))</f>
        <v>0</v>
      </c>
      <c r="H1820" s="15" t="e">
        <f>IF(A1826=A1827,_xll.ciqfunctions.udf.CIQ(A1818,"IQ_TOTAL_DIV_PAID_CF",IQ_FY-8)/-I1820, _xll.ciqfunctions.udf.CIQ(A1818, "IQ_TOTAL_DIV_PAID_CF",IQ_FY-7)/-I1820)</f>
        <v>#DIV/0!</v>
      </c>
      <c r="I1820" s="17">
        <f>IF(A1826=A1827,_xll.ciqfunctions.udf.CIQ(A1818,"IQ_TOTAL_OUTSTANDING_FILING_DATE",IQ_FY-8), _xll.ciqfunctions.udf.CIQ(A1818, "IQ_TOTAL_OUTSTANDING_FILING_DATE",IQ_FY-7))</f>
        <v>0</v>
      </c>
      <c r="J1820" s="17">
        <f>IF(A1826=A1827,_xll.ciqfunctions.udf.CIQ(A1818,"IQ_CASH_OPER",IQ_FY-8), _xll.ciqfunctions.udf.CIQ(A1818, "IQ_CASH_OPER",IQ_FY-7))</f>
        <v>0</v>
      </c>
      <c r="K1820" s="17">
        <f>IF(A1826=A1827,_xll.ciqfunctions.udf.CIQ(A1818,"IQ_CAPEX",IQ_FY-8), _xll.ciqfunctions.udf.CIQ(A1818, "IQ_CAPEX",IQ_FY-7))</f>
        <v>0</v>
      </c>
      <c r="L1820" s="15" t="e">
        <f t="shared" si="484"/>
        <v>#DIV/0!</v>
      </c>
      <c r="M1820" s="17">
        <f>IF(A1826=A1827,_xll.ciqfunctions.udf.CIQ(A1818,"IQ_TOTAL_DEBT_ISSUED",IQ_FY-8), _xll.ciqfunctions.udf.CIQ(A1818, "IQ_TOTAL_DEBT_ISSUED",IQ_FY-7))</f>
        <v>0</v>
      </c>
      <c r="N1820" s="17">
        <f>IF(A1826=A1827,_xll.ciqfunctions.udf.CIQ(A1818,"IQ_TOTAL_DEBT_REPAID",IQ_FY-8), _xll.ciqfunctions.udf.CIQ(A1818, "IQ_TOTAL_DEBT_REPAID",IQ_FY-7))</f>
        <v>0</v>
      </c>
      <c r="O1820" s="15" t="e">
        <f t="shared" si="485"/>
        <v>#DIV/0!</v>
      </c>
      <c r="P1820" s="15" t="e">
        <f t="shared" si="486"/>
        <v>#DIV/0!</v>
      </c>
      <c r="Q1820" s="25" t="s">
        <v>21</v>
      </c>
      <c r="R1820" s="38" t="s">
        <v>49</v>
      </c>
      <c r="S1820" s="2">
        <f>(R1817*I1828)/1000</f>
        <v>7.2840494999999992</v>
      </c>
      <c r="U1820" s="25" t="s">
        <v>59</v>
      </c>
      <c r="V1820" s="38" t="s">
        <v>49</v>
      </c>
      <c r="W1820" s="2">
        <f>(V1817*I1828)/1000</f>
        <v>7.2840494999999992</v>
      </c>
      <c r="Y1820" s="25" t="s">
        <v>46</v>
      </c>
      <c r="Z1820" s="38" t="s">
        <v>49</v>
      </c>
      <c r="AA1820" s="2">
        <f>(Z1817*I1828)/1000</f>
        <v>7.2840494999999992</v>
      </c>
    </row>
    <row r="1821" spans="1:27">
      <c r="A1821" s="18"/>
      <c r="B1821" s="13">
        <v>4</v>
      </c>
      <c r="C1821" s="14" t="s">
        <v>22</v>
      </c>
      <c r="D1821" s="15" t="e" cm="1">
        <f t="array" ref="D1821">_xlfn.SINGLE(IF(A1826=A1827,_xll.ciqfunctions.udf.CIQ(A1818,"IQ_TOTAL_REV",IQ_FY-7)/I1821, _xll.ciqfunctions.udf.CIQ(A1818, "IQ_TOTAL_REV",IQ_FY-6)/I1821))</f>
        <v>#DIV/0!</v>
      </c>
      <c r="E1821" s="16" t="e">
        <f t="shared" si="487"/>
        <v>#DIV/0!</v>
      </c>
      <c r="F1821" s="15">
        <f>IF(A1826=A1827,_xll.ciqfunctions.udf.CIQ(A1818,"IQ_DILUT_EPS_EXCL",IQ_FY-7), _xll.ciqfunctions.udf.CIQ(A1818, "IQ_DILUT_EPS_EXCL",IQ_FY-6))</f>
        <v>0</v>
      </c>
      <c r="G1821" s="15">
        <f>IF(A1826=A1827,_xll.ciqfunctions.udf.CIQ(A1818,"IQ_EBITDA_MARGIN",IQ_FY-7), _xll.ciqfunctions.udf.CIQ(A1818, "IQ_EBITDA_MARGIN",IQ_FY-6))</f>
        <v>0</v>
      </c>
      <c r="H1821" s="15" t="e">
        <f>IF(A1826=A1827,_xll.ciqfunctions.udf.CIQ(A1818,"IQ_TOTAL_DIV_PAID_CF",IQ_FY-7)/-I1821, _xll.ciqfunctions.udf.CIQ(A1818, "IQ_TOTAL_DIV_PAID_CF",IQ_FY-6)/-I1821)</f>
        <v>#DIV/0!</v>
      </c>
      <c r="I1821" s="17">
        <f>IF(A1826=A1827,_xll.ciqfunctions.udf.CIQ(A1818,"IQ_TOTAL_OUTSTANDING_FILING_DATE",IQ_FY-7), _xll.ciqfunctions.udf.CIQ(A1818, "IQ_TOTAL_OUTSTANDING_FILING_DATE",IQ_FY-6))</f>
        <v>0</v>
      </c>
      <c r="J1821" s="17">
        <f>IF(A1826=A1827,_xll.ciqfunctions.udf.CIQ(A1818,"IQ_CASH_OPER",IQ_FY-7), _xll.ciqfunctions.udf.CIQ(A1818, "IQ_CASH_OPER",IQ_FY-6))</f>
        <v>0</v>
      </c>
      <c r="K1821" s="17">
        <f>IF(A1826=A1827,_xll.ciqfunctions.udf.CIQ(A1818,"IQ_CAPEX",IQ_FY-7), _xll.ciqfunctions.udf.CIQ(A1818, "IQ_CAPEX",IQ_FY-6))</f>
        <v>0</v>
      </c>
      <c r="L1821" s="15" t="e">
        <f t="shared" si="484"/>
        <v>#DIV/0!</v>
      </c>
      <c r="M1821" s="17">
        <f>IF(A1826=A1827,_xll.ciqfunctions.udf.CIQ(A1818,"IQ_TOTAL_DEBT_ISSUED",IQ_FY-7), _xll.ciqfunctions.udf.CIQ(A1818, "IQ_TOTAL_DEBT_ISSUED",IQ_FY-6))</f>
        <v>0</v>
      </c>
      <c r="N1821" s="17">
        <f>IF(A1826=A1827,_xll.ciqfunctions.udf.CIQ(A1818,"IQ_TOTAL_DEBT_REPAID",IQ_FY-7), _xll.ciqfunctions.udf.CIQ(A1818, "IQ_TOTAL_DEBT_REPAID",IQ_FY-6))</f>
        <v>0</v>
      </c>
      <c r="O1821" s="15" t="e">
        <f t="shared" si="485"/>
        <v>#DIV/0!</v>
      </c>
      <c r="P1821" s="15" t="e">
        <f t="shared" si="486"/>
        <v>#DIV/0!</v>
      </c>
      <c r="Q1821" s="25" t="s">
        <v>23</v>
      </c>
      <c r="R1821" s="38" t="s">
        <v>24</v>
      </c>
      <c r="S1821" s="1" t="e">
        <f>R1817/(AVERAGE(H1823:H1828)*(1+H1829)/(0.5-H1829))</f>
        <v>#DIV/0!</v>
      </c>
      <c r="U1821" s="25" t="s">
        <v>40</v>
      </c>
      <c r="V1821" s="38" t="s">
        <v>24</v>
      </c>
      <c r="W1821" s="1" t="e">
        <f>V1817/(AVERAGE(H1823:H1828)*(1+H1829)/(0.5-H1829))</f>
        <v>#DIV/0!</v>
      </c>
      <c r="Y1821" s="25" t="s">
        <v>47</v>
      </c>
      <c r="Z1821" s="38" t="s">
        <v>24</v>
      </c>
      <c r="AA1821" s="1" t="e">
        <f>Z1817/(AVERAGE(H1823:H1828)*(1+H1829)/(0.5-H1829))</f>
        <v>#DIV/0!</v>
      </c>
    </row>
    <row r="1822" spans="1:27">
      <c r="B1822" s="13">
        <v>5</v>
      </c>
      <c r="C1822" s="14" t="s">
        <v>25</v>
      </c>
      <c r="D1822" s="15" t="e" cm="1">
        <f t="array" ref="D1822">_xlfn.SINGLE(IF(A1826=A1827,_xll.ciqfunctions.udf.CIQ(A1818,"IQ_TOTAL_REV",IQ_FY-6)/I1822, _xll.ciqfunctions.udf.CIQ(A1818, "IQ_TOTAL_REV",IQ_FY-5)/I1822))</f>
        <v>#DIV/0!</v>
      </c>
      <c r="E1822" s="16" t="e">
        <f t="shared" si="487"/>
        <v>#DIV/0!</v>
      </c>
      <c r="F1822" s="15">
        <f>IF(A1826=A1827,_xll.ciqfunctions.udf.CIQ(A1818,"IQ_DILUT_EPS_EXCL",IQ_FY-6), _xll.ciqfunctions.udf.CIQ(A1818, "IQ_DILUT_EPS_EXCL",IQ_FY-5))</f>
        <v>0</v>
      </c>
      <c r="G1822" s="15">
        <f>IF(A1826=A1827,_xll.ciqfunctions.udf.CIQ(A1818,"IQ_EBITDA_MARGIN",IQ_FY-6), _xll.ciqfunctions.udf.CIQ(A1818, "IQ_EBITDA_MARGIN",IQ_FY-5))</f>
        <v>0</v>
      </c>
      <c r="H1822" s="15" t="e">
        <f>IF(A1826=A1827,_xll.ciqfunctions.udf.CIQ(A1818,"IQ_TOTAL_DIV_PAID_CF",IQ_FY-6)/-I1822, _xll.ciqfunctions.udf.CIQ(A1818, "IQ_TOTAL_DIV_PAID_CF",IQ_FY-5)/-I1822)</f>
        <v>#DIV/0!</v>
      </c>
      <c r="I1822" s="17">
        <f>IF(A1826=A1827,_xll.ciqfunctions.udf.CIQ(A1818,"IQ_TOTAL_OUTSTANDING_FILING_DATE",IQ_FY-6), _xll.ciqfunctions.udf.CIQ(A1818, "IQ_TOTAL_OUTSTANDING_FILING_DATE",IQ_FY-5))</f>
        <v>0</v>
      </c>
      <c r="J1822" s="17">
        <f>IF(A1826=A1827,_xll.ciqfunctions.udf.CIQ(A1818,"IQ_CASH_OPER",IQ_FY-6), _xll.ciqfunctions.udf.CIQ(A1818, "IQ_CASH_OPER",IQ_FY-5))</f>
        <v>0</v>
      </c>
      <c r="K1822" s="17">
        <f>IF(A1826=A1827,_xll.ciqfunctions.udf.CIQ(A1818,"IQ_CAPEX",IQ_FY-6), _xll.ciqfunctions.udf.CIQ(A1818, "IQ_CAPEX",IQ_FY-5))</f>
        <v>0</v>
      </c>
      <c r="L1822" s="15" t="e">
        <f t="shared" si="484"/>
        <v>#DIV/0!</v>
      </c>
      <c r="M1822" s="17">
        <f>IF(A1826=A1827,_xll.ciqfunctions.udf.CIQ(A1818,"IQ_TOTAL_DEBT_ISSUED",IQ_FY-6), _xll.ciqfunctions.udf.CIQ(A1818, "IQ_TOTAL_DEBT_ISSUED",IQ_FY-5))</f>
        <v>0</v>
      </c>
      <c r="N1822" s="17">
        <f>IF(A1826=A1827,_xll.ciqfunctions.udf.CIQ(A1818,"IQ_TOTAL_DEBT_REPAID",IQ_FY-6), _xll.ciqfunctions.udf.CIQ(A1818, "IQ_TOTAL_DEBT_REPAID",IQ_FY-5))</f>
        <v>0</v>
      </c>
      <c r="O1822" s="15" t="e">
        <f t="shared" si="485"/>
        <v>#DIV/0!</v>
      </c>
      <c r="P1822" s="15" t="e">
        <f t="shared" si="486"/>
        <v>#DIV/0!</v>
      </c>
      <c r="Q1822" s="18"/>
      <c r="R1822" s="38" t="s">
        <v>50</v>
      </c>
      <c r="S1822" s="3" t="e">
        <f>I1829</f>
        <v>#DIV/0!</v>
      </c>
      <c r="U1822" s="18"/>
      <c r="V1822" s="38" t="s">
        <v>50</v>
      </c>
      <c r="W1822" s="3" t="e">
        <f>I1829</f>
        <v>#DIV/0!</v>
      </c>
      <c r="Y1822" s="18"/>
      <c r="Z1822" s="38" t="s">
        <v>50</v>
      </c>
      <c r="AA1822" s="3" t="e">
        <f>I1829</f>
        <v>#DIV/0!</v>
      </c>
    </row>
    <row r="1823" spans="1:27">
      <c r="B1823" s="13">
        <v>6</v>
      </c>
      <c r="C1823" s="14" t="s">
        <v>26</v>
      </c>
      <c r="D1823" s="15" t="e" cm="1">
        <f t="array" ref="D1823">_xlfn.SINGLE(IF(A1826=A1827,_xll.ciqfunctions.udf.CIQ(A1818,"IQ_TOTAL_REV",IQ_FY-5)/I1823, _xll.ciqfunctions.udf.CIQ(A1818, "IQ_TOTAL_REV",IQ_FY-4)/I1823))</f>
        <v>#DIV/0!</v>
      </c>
      <c r="E1823" s="16" t="e">
        <f t="shared" si="487"/>
        <v>#DIV/0!</v>
      </c>
      <c r="F1823" s="15">
        <f>IF(A1826=A1827,_xll.ciqfunctions.udf.CIQ(A1818,"IQ_DILUT_EPS_EXCL",IQ_FY-5), _xll.ciqfunctions.udf.CIQ(A1818, "IQ_DILUT_EPS_EXCL",IQ_FY-4))</f>
        <v>0</v>
      </c>
      <c r="G1823" s="15">
        <f>IF(A1826=A1827,_xll.ciqfunctions.udf.CIQ(A1818,"IQ_EBITDA_MARGIN",IQ_FY-5), _xll.ciqfunctions.udf.CIQ(A1818, "IQ_EBITDA_MARGIN",IQ_FY-4))</f>
        <v>0</v>
      </c>
      <c r="H1823" s="15" t="e">
        <f>IF(A1826=A1827,_xll.ciqfunctions.udf.CIQ(A1818,"IQ_TOTAL_DIV_PAID_CF",IQ_FY-5)/-I1823, _xll.ciqfunctions.udf.CIQ(A1818, "IQ_TOTAL_DIV_PAID_CF",IQ_FY-4)/-I1823)</f>
        <v>#DIV/0!</v>
      </c>
      <c r="I1823" s="17">
        <f>IF(A1826=A1827,_xll.ciqfunctions.udf.CIQ(A1818,"IQ_TOTAL_OUTSTANDING_FILING_DATE",IQ_FY-5), _xll.ciqfunctions.udf.CIQ(A1818, "IQ_TOTAL_OUTSTANDING_FILING_DATE",IQ_FY-4))</f>
        <v>0</v>
      </c>
      <c r="J1823" s="17">
        <f>IF(A1826=A1827,_xll.ciqfunctions.udf.CIQ(A1818,"IQ_CASH_OPER",IQ_FY-5), _xll.ciqfunctions.udf.CIQ(A1818, "IQ_CASH_OPER",IQ_FY-4))</f>
        <v>0</v>
      </c>
      <c r="K1823" s="17">
        <f>IF(A1826=A1827,_xll.ciqfunctions.udf.CIQ(A1818,"IQ_CAPEX",IQ_FY-5), _xll.ciqfunctions.udf.CIQ(A1818, "IQ_CAPEX",IQ_FY-4))</f>
        <v>0</v>
      </c>
      <c r="L1823" s="15" t="e">
        <f t="shared" si="484"/>
        <v>#DIV/0!</v>
      </c>
      <c r="M1823" s="17">
        <f>IF(A1826=A1827,_xll.ciqfunctions.udf.CIQ(A1818,"IQ_TOTAL_DEBT_ISSUED",IQ_FY-5), _xll.ciqfunctions.udf.CIQ(A1818, "IQ_TOTAL_DEBT_ISSUED",IQ_FY-4))</f>
        <v>0</v>
      </c>
      <c r="N1823" s="17">
        <f>IF(A1826=A1827,_xll.ciqfunctions.udf.CIQ(A1818,"IQ_TOTAL_DEBT_REPAID",IQ_FY-5), _xll.ciqfunctions.udf.CIQ(A1818, "IQ_TOTAL_DEBT_REPAID",IQ_FY-4))</f>
        <v>0</v>
      </c>
      <c r="O1823" s="15" t="e">
        <f t="shared" si="485"/>
        <v>#DIV/0!</v>
      </c>
      <c r="P1823" s="15" t="e">
        <f t="shared" si="486"/>
        <v>#DIV/0!</v>
      </c>
      <c r="Q1823" s="25" t="s">
        <v>27</v>
      </c>
      <c r="R1823" s="38" t="s">
        <v>51</v>
      </c>
      <c r="S1823" s="4" t="e">
        <f>AVERAGE(F1823:F1828)/AVERAGE(D1823:D1828)</f>
        <v>#DIV/0!</v>
      </c>
      <c r="U1823" s="25" t="s">
        <v>58</v>
      </c>
      <c r="V1823" s="38" t="s">
        <v>51</v>
      </c>
      <c r="W1823" s="4" t="e">
        <f>AVERAGE(F1823:F1828)/AVERAGE(D1823:D1828)</f>
        <v>#DIV/0!</v>
      </c>
      <c r="Y1823" s="25" t="s">
        <v>56</v>
      </c>
      <c r="Z1823" s="38" t="s">
        <v>51</v>
      </c>
      <c r="AA1823" s="4" t="e">
        <f>AVERAGE(F1823:F1828)/AVERAGE(D1823:D1828)</f>
        <v>#DIV/0!</v>
      </c>
    </row>
    <row r="1824" spans="1:27">
      <c r="A1824" s="18"/>
      <c r="B1824" s="13">
        <v>7</v>
      </c>
      <c r="C1824" s="14" t="s">
        <v>28</v>
      </c>
      <c r="D1824" s="15" cm="1">
        <f t="array" ref="D1824">_xlfn.SINGLE(IF(A1826=A1827,_xll.ciqfunctions.udf.CIQ(A1818,"IQ_TOTAL_REV",IQ_FY-4)/I1824, _xll.ciqfunctions.udf.CIQ(A1818, "IQ_TOTAL_REV",IQ_FY-3)/I1824))</f>
        <v>1.7169823285702208</v>
      </c>
      <c r="E1824" s="16" t="e">
        <f t="shared" si="487"/>
        <v>#DIV/0!</v>
      </c>
      <c r="F1824" s="15">
        <f>IF(A1826=A1827,_xll.ciqfunctions.udf.CIQ(A1818,"IQ_DILUT_EPS_EXCL",IQ_FY-4), _xll.ciqfunctions.udf.CIQ(A1818, "IQ_DILUT_EPS_EXCL",IQ_FY-3))</f>
        <v>-2.7636099999999999</v>
      </c>
      <c r="G1824" s="15">
        <f>IF(A1826=A1827,_xll.ciqfunctions.udf.CIQ(A1818,"IQ_EBITDA_MARGIN",IQ_FY-4), _xll.ciqfunctions.udf.CIQ(A1818, "IQ_EBITDA_MARGIN",IQ_FY-3))</f>
        <v>0</v>
      </c>
      <c r="H1824" s="15">
        <f>IF(A1826=A1827,_xll.ciqfunctions.udf.CIQ(A1818,"IQ_TOTAL_DIV_PAID_CF",IQ_FY-4)/-I1824, _xll.ciqfunctions.udf.CIQ(A1818, "IQ_TOTAL_DIV_PAID_CF",IQ_FY-3)/-I1824)</f>
        <v>0</v>
      </c>
      <c r="I1824" s="17">
        <f>IF(A1826=A1827,_xll.ciqfunctions.udf.CIQ(A1818,"IQ_TOTAL_OUTSTANDING_FILING_DATE",IQ_FY-4), _xll.ciqfunctions.udf.CIQ(A1818, "IQ_TOTAL_OUTSTANDING_FILING_DATE",IQ_FY-3))</f>
        <v>47.308</v>
      </c>
      <c r="J1824" s="17">
        <f>IF(A1826=A1827,_xll.ciqfunctions.udf.CIQ(A1818,"IQ_CASH_OPER",IQ_FY-4), _xll.ciqfunctions.udf.CIQ(A1818, "IQ_CASH_OPER",IQ_FY-3))</f>
        <v>-60.165999999999997</v>
      </c>
      <c r="K1824" s="17">
        <f>IF(A1826=A1827,_xll.ciqfunctions.udf.CIQ(A1818,"IQ_CAPEX",IQ_FY-4), _xll.ciqfunctions.udf.CIQ(A1818, "IQ_CAPEX",IQ_FY-3))</f>
        <v>0</v>
      </c>
      <c r="L1824" s="15">
        <f t="shared" si="484"/>
        <v>-1.2717933541895663</v>
      </c>
      <c r="M1824" s="17">
        <f>IF(A1826=A1827,_xll.ciqfunctions.udf.CIQ(A1818,"IQ_TOTAL_DEBT_ISSUED",IQ_FY-4), _xll.ciqfunctions.udf.CIQ(A1818, "IQ_TOTAL_DEBT_ISSUED",IQ_FY-3))</f>
        <v>0</v>
      </c>
      <c r="N1824" s="17">
        <f>IF(A1826=A1827,_xll.ciqfunctions.udf.CIQ(A1818,"IQ_TOTAL_DEBT_REPAID",IQ_FY-4), _xll.ciqfunctions.udf.CIQ(A1818, "IQ_TOTAL_DEBT_REPAID",IQ_FY-3))</f>
        <v>0</v>
      </c>
      <c r="O1824" s="15">
        <f t="shared" si="485"/>
        <v>0</v>
      </c>
      <c r="P1824" s="15">
        <f t="shared" si="486"/>
        <v>-1.2717933541895663</v>
      </c>
      <c r="Q1824" s="18"/>
      <c r="R1824" s="38" t="s">
        <v>29</v>
      </c>
      <c r="S1824" s="4" t="e">
        <f>(AVERAGE(P1823:P1828)/_xlfn.STDEV.P(P1823:P1828))/(IF(A1826=A1827,(_xlfn.SINGLE(_xll.ciqfunctions.udf.CIQ(A1818,"IQ_total_assets",IQ_FY)) - _xlfn.SINGLE(_xll.ciqfunctions.udf.CIQ(A1818,"iq_gw_intan", IQ_FY)))/I1828, (_xlfn.SINGLE(_xll.ciqfunctions.udf.CIQ(A1818, "IQ_total_assets",IQ_LTM))-_xlfn.SINGLE(_xll.ciqfunctions.udf.CIQ(A1818,"iq_gw_intan",IQ_LTM)))/I1828))</f>
        <v>#DIV/0!</v>
      </c>
      <c r="U1824" s="18"/>
      <c r="V1824" s="38" t="s">
        <v>29</v>
      </c>
      <c r="W1824" s="4" t="e">
        <f>(AVERAGE(P1823:P1828)/_xlfn.STDEV.P(P1823:P1828))/(IF(A1826=A1827,(_xlfn.SINGLE(_xll.ciqfunctions.udf.CIQ(A1818,"IQ_total_assets",IQ_FY)) - _xlfn.SINGLE(_xll.ciqfunctions.udf.CIQ(A1818,"iq_gw_intan", IQ_FY)))/I1828, (_xlfn.SINGLE(_xll.ciqfunctions.udf.CIQ(A1818, "IQ_total_assets",IQ_LTM))-_xlfn.SINGLE(_xll.ciqfunctions.udf.CIQ(A1818,"iq_gw_intan",IQ_LTM)))/I1828))</f>
        <v>#DIV/0!</v>
      </c>
      <c r="Y1824" s="18"/>
      <c r="Z1824" s="38" t="s">
        <v>29</v>
      </c>
      <c r="AA1824" s="4" t="e">
        <f>(AVERAGE(P1823:P1828)/_xlfn.STDEV.P(P1823:P1828))/(IF(A1826=A1827,(_xlfn.SINGLE(_xll.ciqfunctions.udf.CIQ(A1818,"IQ_total_assets",IQ_FY)) - _xlfn.SINGLE(_xll.ciqfunctions.udf.CIQ(A1818,"iq_gw_intan", IQ_FY)))/I1828, (_xlfn.SINGLE(_xll.ciqfunctions.udf.CIQ(A1818, "IQ_total_assets",IQ_LTM))-_xlfn.SINGLE(_xll.ciqfunctions.udf.CIQ(A1818,"iq_gw_intan",IQ_LTM)))/I1828))</f>
        <v>#DIV/0!</v>
      </c>
    </row>
    <row r="1825" spans="1:27">
      <c r="A1825" s="18"/>
      <c r="B1825" s="13">
        <v>8</v>
      </c>
      <c r="C1825" s="14" t="s">
        <v>30</v>
      </c>
      <c r="D1825" s="15" cm="1">
        <f t="array" ref="D1825">_xlfn.SINGLE(IF(A1826=A1827,_xll.ciqfunctions.udf.CIQ(A1818,"IQ_TOTAL_REV",IQ_FY-3)/I1825, _xll.ciqfunctions.udf.CIQ(A1818, "IQ_TOTAL_REV",IQ_FY-2)/I1825))</f>
        <v>2.7646342068254359</v>
      </c>
      <c r="E1825" s="16">
        <f t="shared" si="487"/>
        <v>0.61017044894551953</v>
      </c>
      <c r="F1825" s="15">
        <f>IF(A1826=A1827,_xll.ciqfunctions.udf.CIQ(A1818,"IQ_DILUT_EPS_EXCL",IQ_FY-3), _xll.ciqfunctions.udf.CIQ(A1818, "IQ_DILUT_EPS_EXCL",IQ_FY-2))</f>
        <v>-3.8176899999999998</v>
      </c>
      <c r="G1825" s="15">
        <f>IF(A1826=A1827,_xll.ciqfunctions.udf.CIQ(A1818,"IQ_EBITDA_MARGIN",IQ_FY-3), _xll.ciqfunctions.udf.CIQ(A1818, "IQ_EBITDA_MARGIN",IQ_FY-2))</f>
        <v>-140.5359</v>
      </c>
      <c r="H1825" s="15">
        <f>IF(A1826=A1827,_xll.ciqfunctions.udf.CIQ(A1818,"IQ_TOTAL_DIV_PAID_CF",IQ_FY-3)/-I1825, _xll.ciqfunctions.udf.CIQ(A1818, "IQ_TOTAL_DIV_PAID_CF",IQ_FY-2)/-I1825)</f>
        <v>0</v>
      </c>
      <c r="I1825" s="17">
        <f>IF(A1826=A1827,_xll.ciqfunctions.udf.CIQ(A1818,"IQ_TOTAL_OUTSTANDING_FILING_DATE",IQ_FY-3), _xll.ciqfunctions.udf.CIQ(A1818, "IQ_TOTAL_OUTSTANDING_FILING_DATE",IQ_FY-2))</f>
        <v>55.043810000000001</v>
      </c>
      <c r="J1825" s="17">
        <f>IF(A1826=A1827,_xll.ciqfunctions.udf.CIQ(A1818,"IQ_CASH_OPER",IQ_FY-3), _xll.ciqfunctions.udf.CIQ(A1818, "IQ_CASH_OPER",IQ_FY-2))</f>
        <v>-73.58</v>
      </c>
      <c r="K1825" s="17">
        <f>IF(A1826=A1827,_xll.ciqfunctions.udf.CIQ(A1818,"IQ_CAPEX",IQ_FY-3), _xll.ciqfunctions.udf.CIQ(A1818, "IQ_CAPEX",IQ_FY-2))</f>
        <v>0</v>
      </c>
      <c r="L1825" s="15">
        <f t="shared" si="484"/>
        <v>-1.3367533969759724</v>
      </c>
      <c r="M1825" s="17">
        <f>IF(A1826=A1827,_xll.ciqfunctions.udf.CIQ(A1818,"IQ_TOTAL_DEBT_ISSUED",IQ_FY-3), _xll.ciqfunctions.udf.CIQ(A1818, "IQ_TOTAL_DEBT_ISSUED",IQ_FY-2))</f>
        <v>0</v>
      </c>
      <c r="N1825" s="17">
        <f>IF(A1826=A1827,_xll.ciqfunctions.udf.CIQ(A1818,"IQ_TOTAL_DEBT_REPAID",IQ_FY-3), _xll.ciqfunctions.udf.CIQ(A1818, "IQ_TOTAL_DEBT_REPAID",IQ_FY-2))</f>
        <v>0</v>
      </c>
      <c r="O1825" s="15">
        <f t="shared" si="485"/>
        <v>0</v>
      </c>
      <c r="P1825" s="15">
        <f t="shared" si="486"/>
        <v>-1.3367533969759724</v>
      </c>
      <c r="Q1825" s="18"/>
      <c r="R1825" s="39" t="s">
        <v>31</v>
      </c>
      <c r="S1825" s="5" t="e">
        <f>IF(NOT(D1818&gt;0),FALSE,SLOPE(G1818:G1828,B1818:B1828))</f>
        <v>#DIV/0!</v>
      </c>
      <c r="U1825" s="18"/>
      <c r="V1825" s="39" t="s">
        <v>31</v>
      </c>
      <c r="W1825" s="5" t="e">
        <f>IF(NOT(D1818&gt;0),FALSE,SLOPE(G1818:G1828,B1818:B1828))</f>
        <v>#DIV/0!</v>
      </c>
      <c r="Y1825" s="18"/>
      <c r="Z1825" s="39" t="s">
        <v>31</v>
      </c>
      <c r="AA1825" s="5" t="e">
        <f>IF(NOT(L1818&gt;0),FALSE,SLOPE(O1818:O1828,J1818:J1828))</f>
        <v>#DIV/0!</v>
      </c>
    </row>
    <row r="1826" spans="1:27">
      <c r="A1826" s="19">
        <f>_xll.ciqfunctions.udf.CIQ(A1818,"IQ_TOTAL_REV",IQ_FY)</f>
        <v>424.33600000000001</v>
      </c>
      <c r="B1826" s="13">
        <v>9</v>
      </c>
      <c r="C1826" s="14" t="s">
        <v>32</v>
      </c>
      <c r="D1826" s="15" cm="1">
        <f t="array" ref="D1826">_xlfn.SINGLE(IF(A1826=A1827,_xll.ciqfunctions.udf.CIQ(A1818,"IQ_TOTAL_REV",IQ_FY-2)/I1826, _xll.ciqfunctions.udf.CIQ(A1818, "IQ_TOTAL_REV",IQ_FY-1)/I1826))</f>
        <v>1.7117411924119241</v>
      </c>
      <c r="E1826" s="16">
        <f t="shared" si="487"/>
        <v>-0.38084351695211205</v>
      </c>
      <c r="F1826" s="15">
        <f>IF(A1826=A1827,_xll.ciqfunctions.udf.CIQ(A1818,"IQ_DILUT_EPS_EXCL",IQ_FY-2), _xll.ciqfunctions.udf.CIQ(A1818, "IQ_DILUT_EPS_EXCL",IQ_FY-1))</f>
        <v>-1.9451799999999999</v>
      </c>
      <c r="G1826" s="15">
        <f>IF(A1826=A1827,_xll.ciqfunctions.udf.CIQ(A1818,"IQ_EBITDA_MARGIN",IQ_FY-2), _xll.ciqfunctions.udf.CIQ(A1818, "IQ_EBITDA_MARGIN",IQ_FY-1))</f>
        <v>-50.84</v>
      </c>
      <c r="H1826" s="15">
        <f>IF(A1826=A1827,_xll.ciqfunctions.udf.CIQ(A1818,"IQ_TOTAL_DIV_PAID_CF",IQ_FY-2)/-I1826, _xll.ciqfunctions.udf.CIQ(A1818, "IQ_TOTAL_DIV_PAID_CF",IQ_FY-1)/-I1826)</f>
        <v>0</v>
      </c>
      <c r="I1826" s="17">
        <f>IF(A1826=A1827,_xll.ciqfunctions.udf.CIQ(A1818,"IQ_TOTAL_OUTSTANDING_FILING_DATE",IQ_FY-2), _xll.ciqfunctions.udf.CIQ(A1818, "IQ_TOTAL_OUTSTANDING_FILING_DATE",IQ_FY-1))</f>
        <v>147.6</v>
      </c>
      <c r="J1826" s="17">
        <f>IF(A1826=A1827,_xll.ciqfunctions.udf.CIQ(A1818,"IQ_CASH_OPER",IQ_FY-2), _xll.ciqfunctions.udf.CIQ(A1818, "IQ_CASH_OPER",IQ_FY-1))</f>
        <v>-49.814</v>
      </c>
      <c r="K1826" s="17">
        <f>IF(A1826=A1827,_xll.ciqfunctions.udf.CIQ(A1818,"IQ_CAPEX",IQ_FY-2), _xll.ciqfunctions.udf.CIQ(A1818, "IQ_CAPEX",IQ_FY-1))</f>
        <v>-3.5409999999999999</v>
      </c>
      <c r="L1826" s="15">
        <f t="shared" si="484"/>
        <v>-0.36148373983739834</v>
      </c>
      <c r="M1826" s="17">
        <f>IF(A1826=A1827,_xll.ciqfunctions.udf.CIQ(A1818,"IQ_TOTAL_DEBT_ISSUED",IQ_FY-2), _xll.ciqfunctions.udf.CIQ(A1818, "IQ_TOTAL_DEBT_ISSUED",IQ_FY-1))</f>
        <v>0</v>
      </c>
      <c r="N1826" s="17">
        <f>IF(A1826=A1827,_xll.ciqfunctions.udf.CIQ(A1818,"IQ_TOTAL_DEBT_REPAID",IQ_FY-2), _xll.ciqfunctions.udf.CIQ(A1818, "IQ_TOTAL_DEBT_REPAID",IQ_FY-1))</f>
        <v>0</v>
      </c>
      <c r="O1826" s="15">
        <f t="shared" si="485"/>
        <v>0</v>
      </c>
      <c r="P1826" s="15">
        <f t="shared" si="486"/>
        <v>-0.36148373983739834</v>
      </c>
      <c r="Q1826" s="25" t="s">
        <v>33</v>
      </c>
      <c r="R1826" s="38" t="s">
        <v>52</v>
      </c>
      <c r="S1826" s="4" t="e">
        <f>(AVERAGE(O1823:O1828)/AVERAGE(P1823:P1828))</f>
        <v>#DIV/0!</v>
      </c>
      <c r="U1826" s="25" t="s">
        <v>54</v>
      </c>
      <c r="V1826" s="38" t="s">
        <v>52</v>
      </c>
      <c r="W1826" s="4" t="e">
        <f>(AVERAGE(O1823:O1828)/AVERAGE(P1823:P1828))</f>
        <v>#DIV/0!</v>
      </c>
      <c r="Y1826" s="25" t="s">
        <v>60</v>
      </c>
      <c r="Z1826" s="38" t="s">
        <v>52</v>
      </c>
      <c r="AA1826" s="4" t="e">
        <f>(AVERAGE(O1823:O1828)/AVERAGE(P1823:P1828))</f>
        <v>#DIV/0!</v>
      </c>
    </row>
    <row r="1827" spans="1:27">
      <c r="A1827" s="19">
        <f>_xll.ciqfunctions.udf.CIQ(A1818,"IQ_TOTAL_REV",IQ_LTM)</f>
        <v>502.34699999999998</v>
      </c>
      <c r="B1827" s="13">
        <v>10</v>
      </c>
      <c r="C1827" s="14" t="s">
        <v>34</v>
      </c>
      <c r="D1827" s="15" cm="1">
        <f t="array" ref="D1827">_xlfn.SINGLE(IF(A1826=A1827,_xll.ciqfunctions.udf.CIQ(A1818,"IQ_TOTAL_REV",IQ_FY-1)/I1827, _xll.ciqfunctions.udf.CIQ(A1818, "IQ_TOTAL_REV",IQ_FY)/I1827))</f>
        <v>2.7953623188405796</v>
      </c>
      <c r="E1827" s="16">
        <f t="shared" si="487"/>
        <v>0.63305196558469345</v>
      </c>
      <c r="F1827" s="15">
        <f>IF(A1826=A1827,_xll.ciqfunctions.udf.CIQ(A1818,"IQ_DILUT_EPS_EXCL",IQ_FY-1), _xll.ciqfunctions.udf.CIQ(A1818, "IQ_DILUT_EPS_EXCL",IQ_FY))</f>
        <v>-1.16107</v>
      </c>
      <c r="G1827" s="15">
        <f>IF(A1826=A1827,_xll.ciqfunctions.udf.CIQ(A1818,"IQ_EBITDA_MARGIN",IQ_FY-1), _xll.ciqfunctions.udf.CIQ(A1818, "IQ_EBITDA_MARGIN",IQ_FY))</f>
        <v>-49.069099999999999</v>
      </c>
      <c r="H1827" s="15">
        <f>IF(A1826=A1827,_xll.ciqfunctions.udf.CIQ(A1818,"IQ_TOTAL_DIV_PAID_CF",IQ_FY-1)/-I1827, _xll.ciqfunctions.udf.CIQ(A1818, "IQ_TOTAL_DIV_PAID_CF",IQ_FY)/-I1827)</f>
        <v>0</v>
      </c>
      <c r="I1827" s="17">
        <f>IF(A1826=A1827,_xll.ciqfunctions.udf.CIQ(A1818,"IQ_TOTAL_OUTSTANDING_FILING_DATE",IQ_FY-1), _xll.ciqfunctions.udf.CIQ(A1818, "IQ_TOTAL_OUTSTANDING_FILING_DATE",IQ_FY))</f>
        <v>151.80000000000001</v>
      </c>
      <c r="J1827" s="17">
        <f>IF(A1826=A1827,_xll.ciqfunctions.udf.CIQ(A1818,"IQ_CASH_OPER",IQ_FY-1), _xll.ciqfunctions.udf.CIQ(A1818, "IQ_CASH_OPER",IQ_FY))</f>
        <v>-77.408000000000001</v>
      </c>
      <c r="K1827" s="17">
        <f>IF(A1826=A1827,_xll.ciqfunctions.udf.CIQ(A1818,"IQ_CAPEX",IQ_FY-1), _xll.ciqfunctions.udf.CIQ(A1818, "IQ_CAPEX",IQ_FY))</f>
        <v>-6.07</v>
      </c>
      <c r="L1827" s="15">
        <f t="shared" si="484"/>
        <v>-0.54992094861660079</v>
      </c>
      <c r="M1827" s="17">
        <f>IF(A1826=A1827,_xll.ciqfunctions.udf.CIQ(A1818,"IQ_TOTAL_DEBT_ISSUED",IQ_FY-1), _xll.ciqfunctions.udf.CIQ(A1818, "IQ_TOTAL_DEBT_ISSUED",IQ_FY))</f>
        <v>0</v>
      </c>
      <c r="N1827" s="17">
        <f>IF(A1826=A1827,_xll.ciqfunctions.udf.CIQ(A1818,"IQ_TOTAL_DEBT_REPAID",IQ_FY-1), _xll.ciqfunctions.udf.CIQ(A1818, "IQ_TOTAL_DEBT_REPAID",IQ_FY))</f>
        <v>0</v>
      </c>
      <c r="O1827" s="15">
        <f t="shared" si="485"/>
        <v>0</v>
      </c>
      <c r="P1827" s="15">
        <f t="shared" si="486"/>
        <v>-0.54992094861660079</v>
      </c>
      <c r="Q1827" s="25" t="s">
        <v>44</v>
      </c>
      <c r="R1827" s="38" t="s">
        <v>35</v>
      </c>
      <c r="S1827" s="1" t="str">
        <f>_xll.ciqfunctions.udf.CIQ(A1818,"IQ_TEV_EBITDA")</f>
        <v>NM</v>
      </c>
      <c r="U1827" s="25" t="s">
        <v>55</v>
      </c>
      <c r="V1827" s="38" t="s">
        <v>53</v>
      </c>
      <c r="W1827" s="1" t="e">
        <f>V1817/(AVERAGE(D1823:D1828)/_xlfn.STDEV.P(E1823:E1828))</f>
        <v>#DIV/0!</v>
      </c>
      <c r="Y1827" s="25" t="s">
        <v>57</v>
      </c>
      <c r="Z1827" s="38" t="s">
        <v>53</v>
      </c>
      <c r="AA1827" s="1" t="e">
        <f>Z1817/(AVERAGE(D1823:D1828)/_xlfn.STDEV.P(E1823:E1828))</f>
        <v>#DIV/0!</v>
      </c>
    </row>
    <row r="1828" spans="1:27">
      <c r="B1828" s="13">
        <v>11</v>
      </c>
      <c r="C1828" s="20" t="s">
        <v>36</v>
      </c>
      <c r="D1828" s="21" cm="1">
        <f t="array" ref="D1828">_xlfn.SINGLE(IF(A1826=A1827,_xll.ciqfunctions.udf.CIQ(A1818,"IQ_TOTAL_REV",IQ_FY)/I1828, _xll.ciqfunctions.udf.CIQ(A1818, "IQ_TOTAL_REV",IQ_LTM)/I1828))</f>
        <v>3.247233354880414</v>
      </c>
      <c r="E1828" s="22">
        <f t="shared" si="487"/>
        <v>0.16165025656754756</v>
      </c>
      <c r="F1828" s="21">
        <f>IF(A1826=A1827,_xll.ciqfunctions.udf.CIQ(A1818,"IQ_DILUT_EPS_EXCL",IQ_FY), _xll.ciqfunctions.udf.CIQ(A1818, "IQ_DILUT_EPS_EXCL",IQ_LTM))</f>
        <v>-1.2555000000000001</v>
      </c>
      <c r="G1828" s="21">
        <f>IF(A1826=A1827,_xll.ciqfunctions.udf.CIQ(A1818,"IQ_EBITDA_MARGIN",IQ_FY), _xll.ciqfunctions.udf.CIQ(A1818, "IQ_EBITDA_MARGIN",IQ_LTM))</f>
        <v>-40.517600000000002</v>
      </c>
      <c r="H1828" s="21">
        <f>IF(A1826=A1827,_xll.ciqfunctions.udf.CIQ(A1818,"IQ_TOTAL_DIV_PAID_CF",IQ_FY)/-I1828, _xll.ciqfunctions.udf.CIQ(A1818, "IQ_TOTAL_DIV_PAID_CF",IQ_LTM)/-I1828)</f>
        <v>0</v>
      </c>
      <c r="I1828" s="23">
        <f>IF(A1826=A1827,_xll.ciqfunctions.udf.CIQ(A1818,"IQ_TOTAL_OUTSTANDING_FILING_DATE",IQ_FY),_xll.ciqfunctions.udf.CIQ(A1818,"IQ_sharesoutstanding"))</f>
        <v>154.69999999999999</v>
      </c>
      <c r="J1828" s="23">
        <f>IF(A1826=A1827,_xll.ciqfunctions.udf.CIQ(A1818,"IQ_CASH_OPER",IQ_FY), _xll.ciqfunctions.udf.CIQ(A1818, "IQ_CASH_OPER",IQ_LTM))</f>
        <v>3.2309999999999999</v>
      </c>
      <c r="K1828" s="23">
        <f>IF(A1826=A1827,_xll.ciqfunctions.udf.CIQ(A1818,"IQ_CAPEX",IQ_FY), _xll.ciqfunctions.udf.CIQ(A1818, "IQ_CAPEX",IQ_LTM))</f>
        <v>-3.3690000000000002</v>
      </c>
      <c r="L1828" s="21">
        <f t="shared" si="484"/>
        <v>-8.9204912734324729E-4</v>
      </c>
      <c r="M1828" s="23">
        <f>IF(A1826=A1827,_xll.ciqfunctions.udf.CIQ(A1818,"IQ_TOTAL_DEBT_ISSUED",IQ_FY), _xll.ciqfunctions.udf.CIQ(A1818, "IQ_TOTAL_DEBT_ISSUED",IQ_LTM))</f>
        <v>0</v>
      </c>
      <c r="N1828" s="23">
        <f>IF(A1826=A1827,_xll.ciqfunctions.udf.CIQ(A1818,"IQ_TOTAL_DEBT_REPAID",IQ_FY), _xll.ciqfunctions.udf.CIQ(A1818, "IQ_TOTAL_DEBT_REPAID",IQ_LTM))</f>
        <v>0</v>
      </c>
      <c r="O1828" s="21">
        <f t="shared" si="485"/>
        <v>0</v>
      </c>
      <c r="P1828" s="21">
        <f t="shared" si="486"/>
        <v>-8.9204912734324729E-4</v>
      </c>
      <c r="Q1828" s="25" t="s">
        <v>45</v>
      </c>
      <c r="S1828" s="45"/>
      <c r="U1828" s="25"/>
      <c r="W1828" s="45"/>
      <c r="Y1828" s="25"/>
      <c r="AA1828" s="45"/>
    </row>
    <row r="1829" spans="1:27">
      <c r="B1829" s="24"/>
      <c r="C1829" s="25" t="s">
        <v>37</v>
      </c>
      <c r="E1829" s="26" t="e">
        <f>((D1828/D1823)^(1/5))-1</f>
        <v>#DIV/0!</v>
      </c>
      <c r="F1829" s="27" t="e">
        <f>((F1828/F1823)^(1/5))-1</f>
        <v>#DIV/0!</v>
      </c>
      <c r="G1829" s="28"/>
      <c r="H1829" s="27" t="e">
        <f>((H1828/H1823)^(1/5))-1</f>
        <v>#DIV/0!</v>
      </c>
      <c r="I1829" s="27" t="e">
        <f>((I1828/I1823)^(1/5))-1</f>
        <v>#DIV/0!</v>
      </c>
      <c r="J1829" s="27"/>
      <c r="K1829" s="27"/>
      <c r="L1829" s="26" t="e">
        <f>((L1828/L1823)^(1/5))-1</f>
        <v>#DIV/0!</v>
      </c>
      <c r="M1829" s="26"/>
      <c r="N1829" s="26"/>
      <c r="O1829" s="26"/>
      <c r="P1829" s="26" t="e">
        <f>((P1828/P1823)^(1/5))-1</f>
        <v>#DIV/0!</v>
      </c>
      <c r="Q1829" s="18"/>
      <c r="R1829" s="36"/>
      <c r="S1829" s="45"/>
      <c r="U1829" s="18"/>
      <c r="V1829" s="36"/>
      <c r="W1829" s="45"/>
      <c r="Y1829" s="18"/>
      <c r="Z1829" s="36"/>
      <c r="AA1829" s="45"/>
    </row>
    <row r="1830" spans="1:27">
      <c r="A1830" s="29"/>
      <c r="B1830" s="30"/>
      <c r="C1830" s="31" t="s">
        <v>38</v>
      </c>
      <c r="D1830" s="29"/>
      <c r="E1830" s="32" t="e">
        <f>((D1828/D1818)^(1/10))-1</f>
        <v>#DIV/0!</v>
      </c>
      <c r="F1830" s="33" t="e">
        <f>((F1828/F1818)^(1/10))-1</f>
        <v>#DIV/0!</v>
      </c>
      <c r="G1830" s="34"/>
      <c r="H1830" s="33" t="e">
        <f>((H1828/H1818)^(1/10))-1</f>
        <v>#DIV/0!</v>
      </c>
      <c r="I1830" s="33" t="e">
        <f>((I1828/I1818)^(1/10))-1</f>
        <v>#DIV/0!</v>
      </c>
      <c r="J1830" s="33"/>
      <c r="K1830" s="33"/>
      <c r="L1830" s="32" t="e">
        <f>((L1828/L1818)^(1/10))-1</f>
        <v>#DIV/0!</v>
      </c>
      <c r="M1830" s="32"/>
      <c r="N1830" s="32"/>
      <c r="O1830" s="32"/>
      <c r="P1830" s="32" t="e">
        <f>((P1828/P1818)^(1/10))-1</f>
        <v>#DIV/0!</v>
      </c>
      <c r="Q1830" s="40"/>
      <c r="R1830" s="41"/>
      <c r="S1830" s="46"/>
      <c r="U1830" s="40"/>
      <c r="V1830" s="41"/>
      <c r="W1830" s="46"/>
      <c r="Y1830" s="40"/>
      <c r="Z1830" s="41"/>
      <c r="AA1830" s="46"/>
    </row>
    <row r="1831" spans="1:27">
      <c r="B1831" s="24"/>
      <c r="C1831" s="25"/>
      <c r="E1831" s="26"/>
      <c r="F1831" s="27"/>
      <c r="G1831" s="28"/>
      <c r="H1831" s="27"/>
      <c r="I1831" s="27"/>
      <c r="J1831" s="27"/>
      <c r="K1831" s="27"/>
      <c r="L1831" s="26"/>
      <c r="M1831" s="17"/>
      <c r="N1831" s="17"/>
      <c r="O1831" s="17"/>
      <c r="P1831" s="35"/>
      <c r="Q1831" s="18"/>
      <c r="R1831" s="36"/>
    </row>
    <row r="1832" spans="1:27">
      <c r="A1832" s="9" t="s">
        <v>0</v>
      </c>
      <c r="B1832" s="10"/>
      <c r="C1832" s="9" t="s">
        <v>1</v>
      </c>
      <c r="D1832" s="9" t="s">
        <v>2</v>
      </c>
      <c r="E1832" s="9" t="s">
        <v>3</v>
      </c>
      <c r="F1832" s="11" t="s">
        <v>4</v>
      </c>
      <c r="G1832" s="11" t="s">
        <v>5</v>
      </c>
      <c r="H1832" s="9" t="s">
        <v>6</v>
      </c>
      <c r="I1832" s="11" t="s">
        <v>7</v>
      </c>
      <c r="J1832" s="11" t="s">
        <v>8</v>
      </c>
      <c r="K1832" s="11" t="s">
        <v>9</v>
      </c>
      <c r="L1832" s="11" t="s">
        <v>10</v>
      </c>
      <c r="M1832" s="11" t="s">
        <v>11</v>
      </c>
      <c r="N1832" s="11" t="s">
        <v>12</v>
      </c>
      <c r="O1832" s="11" t="s">
        <v>13</v>
      </c>
      <c r="P1832" s="11" t="s">
        <v>14</v>
      </c>
      <c r="Q1832" s="37" t="s">
        <v>15</v>
      </c>
      <c r="R1832" s="42">
        <f>_xll.ciqfunctions.udf.CIQ(A1833,("IQ_LASTSALEPRICE"))</f>
        <v>0</v>
      </c>
      <c r="S1832" s="44"/>
      <c r="U1832" s="37" t="s">
        <v>15</v>
      </c>
      <c r="V1832" s="42">
        <f>_xll.ciqfunctions.udf.CIQ(A1833,("IQ_LASTSALEPRICE"))</f>
        <v>0</v>
      </c>
      <c r="W1832" s="44"/>
      <c r="Y1832" s="37" t="s">
        <v>15</v>
      </c>
      <c r="Z1832" s="42">
        <f>_xll.ciqfunctions.udf.CIQ(A1833,("IQ_LASTSALEPRICE"))</f>
        <v>0</v>
      </c>
      <c r="AA1832" s="44"/>
    </row>
    <row r="1833" spans="1:27">
      <c r="A1833" s="12" t="s">
        <v>674</v>
      </c>
      <c r="B1833" s="13">
        <v>1</v>
      </c>
      <c r="C1833" s="14" t="s">
        <v>16</v>
      </c>
      <c r="D1833" s="15">
        <f>IF(A1841=A1842,_xll.ciqfunctions.udf.CIQ(A1833,"IQ_TOTAL_REV",IQ_FY-10)/I1833,_xll.ciqfunctions.udf.CIQ(A1833, "IQ_TOTAL_REV",IQ_FY-9)/I1833)</f>
        <v>9.3035585521538433</v>
      </c>
      <c r="E1833" s="16"/>
      <c r="F1833" s="15">
        <f>IF(A1841=A1842,_xll.ciqfunctions.udf.CIQ(A1833,"IQ_DILUT_EPS_EXCL",IQ_FY-10), _xll.ciqfunctions.udf.CIQ(A1833, "IQ_DILUT_EPS_EXCL",IQ_FY-9))</f>
        <v>0.64</v>
      </c>
      <c r="G1833" s="15">
        <f>IF(A1841=A1842,_xll.ciqfunctions.udf.CIQ(A1833,"IQ_EBITDA_MARGIN",IQ_FY-10), _xll.ciqfunctions.udf.CIQ(A1833, "IQ_EBITDA_MARGIN",IQ_FY-9))</f>
        <v>12.901199999999999</v>
      </c>
      <c r="H1833" s="15">
        <f>IF(A1841=A1842,_xll.ciqfunctions.udf.CIQ(A1833,"IQ_TOTAL_DIV_PAID_CF",IQ_FY-10)/-I1833, _xll.ciqfunctions.udf.CIQ(A1833, "IQ_TOTAL_DIV_PAID_CF",IQ_FY-9)/-I1833)</f>
        <v>0.55363154874648979</v>
      </c>
      <c r="I1833" s="17">
        <f>IF(A1841=A1842,_xll.ciqfunctions.udf.CIQ(A1833,"IQ_TOTAL_OUTSTANDING_FILING_DATE",IQ_FY-10), _xll.ciqfunctions.udf.CIQ(A1833, "IQ_TOTAL_OUTSTANDING_FILING_DATE",IQ_FY-9))</f>
        <v>126.03328</v>
      </c>
      <c r="J1833" s="17">
        <f>IF(A1841=A1842,_xll.ciqfunctions.udf.CIQ(A1833,"IQ_CASH_OPER",IQ_FY-10), _xll.ciqfunctions.udf.CIQ(A1833, "IQ_CASH_OPER",IQ_FY-9))</f>
        <v>169.47900000000001</v>
      </c>
      <c r="K1833" s="17">
        <f>IF(A1841=A1842,_xll.ciqfunctions.udf.CIQ(A1833,"IQ_CAPEX",IQ_FY-10), _xll.ciqfunctions.udf.CIQ(A1833, "IQ_CAPEX",IQ_FY-9))</f>
        <v>-47.795999999999999</v>
      </c>
      <c r="L1833" s="15">
        <f t="shared" ref="L1833:L1843" si="488">(J1833+K1833)/I1833</f>
        <v>0.96548308510260161</v>
      </c>
      <c r="M1833" s="17">
        <f>IF(A1841=A1842,_xll.ciqfunctions.udf.CIQ(A1833,"IQ_TOTAL_DEBT_ISSUED",IQ_FY-10), _xll.ciqfunctions.udf.CIQ(A1833, "IQ_TOTAL_DEBT_ISSUED",IQ_FY-9))</f>
        <v>0</v>
      </c>
      <c r="N1833" s="17">
        <f>IF(A1841=A1842,_xll.ciqfunctions.udf.CIQ(A1833,"IQ_TOTAL_DEBT_REPAID",IQ_FY-10), _xll.ciqfunctions.udf.CIQ(A1833, "IQ_TOTAL_DEBT_REPAID",IQ_FY-9))</f>
        <v>0</v>
      </c>
      <c r="O1833" s="15">
        <f t="shared" ref="O1833:O1843" si="489">(M1833+N1833)/I1833</f>
        <v>0</v>
      </c>
      <c r="P1833" s="15">
        <f t="shared" ref="P1833:P1843" si="490">L1833+O1833</f>
        <v>0.96548308510260161</v>
      </c>
      <c r="W1833" s="43"/>
      <c r="AA1833" s="43"/>
    </row>
    <row r="1834" spans="1:27">
      <c r="A1834" s="18" t="str">
        <f>_xll.ciqfunctions.udf.CIQ(A1833,"IQ_COMPANY_NAME")</f>
        <v>National Instruments Corporation</v>
      </c>
      <c r="B1834" s="13">
        <v>2</v>
      </c>
      <c r="C1834" s="14" t="s">
        <v>17</v>
      </c>
      <c r="D1834" s="15">
        <f>IF(A1841=A1842,_xll.ciqfunctions.udf.CIQ(A1833,"IQ_TOTAL_REV",IQ_FY-9)/I1834, _xll.ciqfunctions.udf.CIQ(A1833, "IQ_TOTAL_REV",IQ_FY-8)/I1834)</f>
        <v>9.7072509893870986</v>
      </c>
      <c r="E1834" s="16">
        <f t="shared" ref="E1834:E1843" si="491">(D1834-D1833)/D1833</f>
        <v>4.3391185745780846E-2</v>
      </c>
      <c r="F1834" s="15">
        <f>IF(A1841=A1842,_xll.ciqfunctions.udf.CIQ(A1833,"IQ_DILUT_EPS_EXCL",IQ_FY-9), _xll.ciqfunctions.udf.CIQ(A1833, "IQ_DILUT_EPS_EXCL",IQ_FY-8))</f>
        <v>0.99</v>
      </c>
      <c r="G1834" s="15">
        <f>IF(A1841=A1842,_xll.ciqfunctions.udf.CIQ(A1833,"IQ_EBITDA_MARGIN",IQ_FY-9), _xll.ciqfunctions.udf.CIQ(A1833, "IQ_EBITDA_MARGIN",IQ_FY-8))</f>
        <v>16.110499999999998</v>
      </c>
      <c r="H1834" s="15">
        <f>IF(A1841=A1842,_xll.ciqfunctions.udf.CIQ(A1833,"IQ_TOTAL_DIV_PAID_CF",IQ_FY-9)/-I1834, _xll.ciqfunctions.udf.CIQ(A1833, "IQ_TOTAL_DIV_PAID_CF",IQ_FY-8)/-I1834)</f>
        <v>0.5953530666805269</v>
      </c>
      <c r="I1834" s="17">
        <f>IF(A1841=A1842,_xll.ciqfunctions.udf.CIQ(A1833,"IQ_TOTAL_OUTSTANDING_FILING_DATE",IQ_FY-9), _xll.ciqfunctions.udf.CIQ(A1833, "IQ_TOTAL_OUTSTANDING_FILING_DATE",IQ_FY-8))</f>
        <v>128.13740999999999</v>
      </c>
      <c r="J1834" s="17">
        <f>IF(A1841=A1842,_xll.ciqfunctions.udf.CIQ(A1833,"IQ_CASH_OPER",IQ_FY-9), _xll.ciqfunctions.udf.CIQ(A1833, "IQ_CASH_OPER",IQ_FY-8))</f>
        <v>195.11</v>
      </c>
      <c r="K1834" s="17">
        <f>IF(A1841=A1842,_xll.ciqfunctions.udf.CIQ(A1833,"IQ_CAPEX",IQ_FY-9), _xll.ciqfunctions.udf.CIQ(A1833, "IQ_CAPEX",IQ_FY-8))</f>
        <v>-44.944000000000003</v>
      </c>
      <c r="L1834" s="15">
        <f t="shared" si="488"/>
        <v>1.1719138072167996</v>
      </c>
      <c r="M1834" s="17">
        <f>IF(A1841=A1842,_xll.ciqfunctions.udf.CIQ(A1833,"IQ_TOTAL_DEBT_ISSUED",IQ_FY-9), _xll.ciqfunctions.udf.CIQ(A1833, "IQ_TOTAL_DEBT_ISSUED",IQ_FY-8))</f>
        <v>0</v>
      </c>
      <c r="N1834" s="17">
        <f>IF(A1841=A1842,_xll.ciqfunctions.udf.CIQ(A1833,"IQ_TOTAL_DEBT_REPAID",IQ_FY-9), _xll.ciqfunctions.udf.CIQ(A1833, "IQ_TOTAL_DEBT_REPAID",IQ_FY-8))</f>
        <v>0</v>
      </c>
      <c r="O1834" s="15">
        <f t="shared" si="489"/>
        <v>0</v>
      </c>
      <c r="P1834" s="15">
        <f t="shared" si="490"/>
        <v>1.1719138072167996</v>
      </c>
      <c r="Q1834" s="25" t="s">
        <v>18</v>
      </c>
      <c r="R1834" s="39" t="s">
        <v>19</v>
      </c>
      <c r="S1834" s="1" t="e">
        <f>R1832/((AVERAGE(P1838:P1843))*(1+E1844)^3)</f>
        <v>#DIV/0!</v>
      </c>
      <c r="U1834" s="25" t="s">
        <v>48</v>
      </c>
      <c r="V1834" s="39" t="s">
        <v>19</v>
      </c>
      <c r="W1834" s="1" t="e">
        <f>V1832/((AVERAGE(P1838:P1843))*(1+E1844)^3)</f>
        <v>#DIV/0!</v>
      </c>
      <c r="Y1834" s="25" t="s">
        <v>39</v>
      </c>
      <c r="Z1834" s="39" t="s">
        <v>19</v>
      </c>
      <c r="AA1834" s="1" t="e">
        <f>Z1832/((AVERAGE(P1838:P1843))*(1+E1844)^3)</f>
        <v>#DIV/0!</v>
      </c>
    </row>
    <row r="1835" spans="1:27">
      <c r="B1835" s="13">
        <v>3</v>
      </c>
      <c r="C1835" s="14" t="s">
        <v>20</v>
      </c>
      <c r="D1835" s="15" cm="1">
        <f t="array" ref="D1835">_xlfn.SINGLE(IF(A1841=A1842,_xll.ciqfunctions.udf.CIQ(A1833,"IQ_TOTAL_REV",IQ_FY-8)/I1835, _xll.ciqfunctions.udf.CIQ(A1833, "IQ_TOTAL_REV",IQ_FY-7)/I1835))</f>
        <v>9.5905032843272711</v>
      </c>
      <c r="E1835" s="16">
        <f t="shared" si="491"/>
        <v>-1.2026855511150108E-2</v>
      </c>
      <c r="F1835" s="15">
        <f>IF(A1841=A1842,_xll.ciqfunctions.udf.CIQ(A1833,"IQ_DILUT_EPS_EXCL",IQ_FY-8), _xll.ciqfunctions.udf.CIQ(A1833, "IQ_DILUT_EPS_EXCL",IQ_FY-7))</f>
        <v>0.74</v>
      </c>
      <c r="G1835" s="15">
        <f>IF(A1841=A1842,_xll.ciqfunctions.udf.CIQ(A1833,"IQ_EBITDA_MARGIN",IQ_FY-8), _xll.ciqfunctions.udf.CIQ(A1833, "IQ_EBITDA_MARGIN",IQ_FY-7))</f>
        <v>15.708500000000001</v>
      </c>
      <c r="H1835" s="15">
        <f>IF(A1841=A1842,_xll.ciqfunctions.udf.CIQ(A1833,"IQ_TOTAL_DIV_PAID_CF",IQ_FY-8)/-I1835, _xll.ciqfunctions.udf.CIQ(A1833, "IQ_TOTAL_DIV_PAID_CF",IQ_FY-7)/-I1835)</f>
        <v>0.7641608610929872</v>
      </c>
      <c r="I1835" s="17">
        <f>IF(A1841=A1842,_xll.ciqfunctions.udf.CIQ(A1833,"IQ_TOTAL_OUTSTANDING_FILING_DATE",IQ_FY-8), _xll.ciqfunctions.udf.CIQ(A1833, "IQ_TOTAL_OUTSTANDING_FILING_DATE",IQ_FY-7))</f>
        <v>127.77807</v>
      </c>
      <c r="J1835" s="17">
        <f>IF(A1841=A1842,_xll.ciqfunctions.udf.CIQ(A1833,"IQ_CASH_OPER",IQ_FY-8), _xll.ciqfunctions.udf.CIQ(A1833, "IQ_CASH_OPER",IQ_FY-7))</f>
        <v>169.065</v>
      </c>
      <c r="K1835" s="17">
        <f>IF(A1841=A1842,_xll.ciqfunctions.udf.CIQ(A1833,"IQ_CAPEX",IQ_FY-8), _xll.ciqfunctions.udf.CIQ(A1833, "IQ_CAPEX",IQ_FY-7))</f>
        <v>-33.987000000000002</v>
      </c>
      <c r="L1835" s="15">
        <f t="shared" si="488"/>
        <v>1.0571297563032529</v>
      </c>
      <c r="M1835" s="17">
        <f>IF(A1841=A1842,_xll.ciqfunctions.udf.CIQ(A1833,"IQ_TOTAL_DEBT_ISSUED",IQ_FY-8), _xll.ciqfunctions.udf.CIQ(A1833, "IQ_TOTAL_DEBT_ISSUED",IQ_FY-7))</f>
        <v>54</v>
      </c>
      <c r="N1835" s="17">
        <f>IF(A1841=A1842,_xll.ciqfunctions.udf.CIQ(A1833,"IQ_TOTAL_DEBT_REPAID",IQ_FY-8), _xll.ciqfunctions.udf.CIQ(A1833, "IQ_TOTAL_DEBT_REPAID",IQ_FY-7))</f>
        <v>-17</v>
      </c>
      <c r="O1835" s="15">
        <f t="shared" si="489"/>
        <v>0.28956455516975643</v>
      </c>
      <c r="P1835" s="15">
        <f t="shared" si="490"/>
        <v>1.3466943114730094</v>
      </c>
      <c r="Q1835" s="25" t="s">
        <v>21</v>
      </c>
      <c r="R1835" s="38" t="s">
        <v>49</v>
      </c>
      <c r="S1835" s="2">
        <f>(R1832*I1843)/1000</f>
        <v>0</v>
      </c>
      <c r="U1835" s="25" t="s">
        <v>59</v>
      </c>
      <c r="V1835" s="38" t="s">
        <v>49</v>
      </c>
      <c r="W1835" s="2">
        <f>(V1832*I1843)/1000</f>
        <v>0</v>
      </c>
      <c r="Y1835" s="25" t="s">
        <v>46</v>
      </c>
      <c r="Z1835" s="38" t="s">
        <v>49</v>
      </c>
      <c r="AA1835" s="2">
        <f>(Z1832*I1843)/1000</f>
        <v>0</v>
      </c>
    </row>
    <row r="1836" spans="1:27">
      <c r="A1836" s="18"/>
      <c r="B1836" s="13">
        <v>4</v>
      </c>
      <c r="C1836" s="14" t="s">
        <v>22</v>
      </c>
      <c r="D1836" s="15" cm="1">
        <f t="array" ref="D1836">_xlfn.SINGLE(IF(A1841=A1842,_xll.ciqfunctions.udf.CIQ(A1833,"IQ_TOTAL_REV",IQ_FY-7)/I1836, _xll.ciqfunctions.udf.CIQ(A1833, "IQ_TOTAL_REV",IQ_FY-6)/I1836))</f>
        <v>9.481866065000764</v>
      </c>
      <c r="E1836" s="16">
        <f t="shared" si="491"/>
        <v>-1.1327582724885897E-2</v>
      </c>
      <c r="F1836" s="15">
        <f>IF(A1841=A1842,_xll.ciqfunctions.udf.CIQ(A1833,"IQ_DILUT_EPS_EXCL",IQ_FY-7), _xll.ciqfunctions.udf.CIQ(A1833, "IQ_DILUT_EPS_EXCL",IQ_FY-6))</f>
        <v>0.64</v>
      </c>
      <c r="G1836" s="15">
        <f>IF(A1841=A1842,_xll.ciqfunctions.udf.CIQ(A1833,"IQ_EBITDA_MARGIN",IQ_FY-7), _xll.ciqfunctions.udf.CIQ(A1833, "IQ_EBITDA_MARGIN",IQ_FY-6))</f>
        <v>14.1767</v>
      </c>
      <c r="H1836" s="15">
        <f>IF(A1841=A1842,_xll.ciqfunctions.udf.CIQ(A1833,"IQ_TOTAL_DIV_PAID_CF",IQ_FY-7)/-I1836, _xll.ciqfunctions.udf.CIQ(A1833, "IQ_TOTAL_DIV_PAID_CF",IQ_FY-6)/-I1836)</f>
        <v>0.79439200026248913</v>
      </c>
      <c r="I1836" s="17">
        <f>IF(A1841=A1842,_xll.ciqfunctions.udf.CIQ(A1833,"IQ_TOTAL_OUTSTANDING_FILING_DATE",IQ_FY-7), _xll.ciqfunctions.udf.CIQ(A1833, "IQ_TOTAL_OUTSTANDING_FILING_DATE",IQ_FY-6))</f>
        <v>129.52924999999999</v>
      </c>
      <c r="J1836" s="17">
        <f>IF(A1841=A1842,_xll.ciqfunctions.udf.CIQ(A1833,"IQ_CASH_OPER",IQ_FY-7), _xll.ciqfunctions.udf.CIQ(A1833, "IQ_CASH_OPER",IQ_FY-6))</f>
        <v>200.19900000000001</v>
      </c>
      <c r="K1836" s="17">
        <f>IF(A1841=A1842,_xll.ciqfunctions.udf.CIQ(A1833,"IQ_CAPEX",IQ_FY-7), _xll.ciqfunctions.udf.CIQ(A1833, "IQ_CAPEX",IQ_FY-6))</f>
        <v>-44.424999999999997</v>
      </c>
      <c r="L1836" s="15">
        <f t="shared" si="488"/>
        <v>1.2026163974546291</v>
      </c>
      <c r="M1836" s="17">
        <f>IF(A1841=A1842,_xll.ciqfunctions.udf.CIQ(A1833,"IQ_TOTAL_DEBT_ISSUED",IQ_FY-7), _xll.ciqfunctions.udf.CIQ(A1833, "IQ_TOTAL_DEBT_ISSUED",IQ_FY-6))</f>
        <v>15</v>
      </c>
      <c r="N1836" s="17">
        <f>IF(A1841=A1842,_xll.ciqfunctions.udf.CIQ(A1833,"IQ_TOTAL_DEBT_REPAID",IQ_FY-7), _xll.ciqfunctions.udf.CIQ(A1833, "IQ_TOTAL_DEBT_REPAID",IQ_FY-6))</f>
        <v>-27</v>
      </c>
      <c r="O1836" s="15">
        <f t="shared" si="489"/>
        <v>-9.2643167469895801E-2</v>
      </c>
      <c r="P1836" s="15">
        <f t="shared" si="490"/>
        <v>1.1099732299847334</v>
      </c>
      <c r="Q1836" s="25" t="s">
        <v>23</v>
      </c>
      <c r="R1836" s="38" t="s">
        <v>24</v>
      </c>
      <c r="S1836" s="1" t="e">
        <f>R1832/(AVERAGE(H1838:H1843)*(1+H1844)/(0.5-H1844))</f>
        <v>#DIV/0!</v>
      </c>
      <c r="U1836" s="25" t="s">
        <v>40</v>
      </c>
      <c r="V1836" s="38" t="s">
        <v>24</v>
      </c>
      <c r="W1836" s="1" t="e">
        <f>V1832/(AVERAGE(H1838:H1843)*(1+H1844)/(0.5-H1844))</f>
        <v>#DIV/0!</v>
      </c>
      <c r="Y1836" s="25" t="s">
        <v>47</v>
      </c>
      <c r="Z1836" s="38" t="s">
        <v>24</v>
      </c>
      <c r="AA1836" s="1" t="e">
        <f>Z1832/(AVERAGE(H1838:H1843)*(1+H1844)/(0.5-H1844))</f>
        <v>#DIV/0!</v>
      </c>
    </row>
    <row r="1837" spans="1:27">
      <c r="B1837" s="13">
        <v>5</v>
      </c>
      <c r="C1837" s="14" t="s">
        <v>25</v>
      </c>
      <c r="D1837" s="15" cm="1">
        <f t="array" ref="D1837">_xlfn.SINGLE(IF(A1841=A1842,_xll.ciqfunctions.udf.CIQ(A1833,"IQ_TOTAL_REV",IQ_FY-6)/I1837, _xll.ciqfunctions.udf.CIQ(A1833, "IQ_TOTAL_REV",IQ_FY-5)/I1837))</f>
        <v>9.8272776605733938</v>
      </c>
      <c r="E1837" s="16">
        <f t="shared" si="491"/>
        <v>3.642865161822996E-2</v>
      </c>
      <c r="F1837" s="15">
        <f>IF(A1841=A1842,_xll.ciqfunctions.udf.CIQ(A1833,"IQ_DILUT_EPS_EXCL",IQ_FY-6), _xll.ciqfunctions.udf.CIQ(A1833, "IQ_DILUT_EPS_EXCL",IQ_FY-5))</f>
        <v>0.4</v>
      </c>
      <c r="G1837" s="15">
        <f>IF(A1841=A1842,_xll.ciqfunctions.udf.CIQ(A1833,"IQ_EBITDA_MARGIN",IQ_FY-6), _xll.ciqfunctions.udf.CIQ(A1833, "IQ_EBITDA_MARGIN",IQ_FY-5))</f>
        <v>16.5611</v>
      </c>
      <c r="H1837" s="15">
        <f>IF(A1841=A1842,_xll.ciqfunctions.udf.CIQ(A1833,"IQ_TOTAL_DIV_PAID_CF",IQ_FY-6)/-I1837, _xll.ciqfunctions.udf.CIQ(A1833, "IQ_TOTAL_DIV_PAID_CF",IQ_FY-5)/-I1837)</f>
        <v>0.83496183066473173</v>
      </c>
      <c r="I1837" s="17">
        <f>IF(A1841=A1842,_xll.ciqfunctions.udf.CIQ(A1833,"IQ_TOTAL_OUTSTANDING_FILING_DATE",IQ_FY-6), _xll.ciqfunctions.udf.CIQ(A1833, "IQ_TOTAL_OUTSTANDING_FILING_DATE",IQ_FY-5))</f>
        <v>131.20480000000001</v>
      </c>
      <c r="J1837" s="17">
        <f>IF(A1841=A1842,_xll.ciqfunctions.udf.CIQ(A1833,"IQ_CASH_OPER",IQ_FY-6), _xll.ciqfunctions.udf.CIQ(A1833, "IQ_CASH_OPER",IQ_FY-5))</f>
        <v>224.44200000000001</v>
      </c>
      <c r="K1837" s="17">
        <f>IF(A1841=A1842,_xll.ciqfunctions.udf.CIQ(A1833,"IQ_CAPEX",IQ_FY-6), _xll.ciqfunctions.udf.CIQ(A1833, "IQ_CAPEX",IQ_FY-5))</f>
        <v>-30.256</v>
      </c>
      <c r="L1837" s="15">
        <f t="shared" si="488"/>
        <v>1.4800220723632063</v>
      </c>
      <c r="M1837" s="17">
        <f>IF(A1841=A1842,_xll.ciqfunctions.udf.CIQ(A1833,"IQ_TOTAL_DEBT_ISSUED",IQ_FY-6), _xll.ciqfunctions.udf.CIQ(A1833, "IQ_TOTAL_DEBT_ISSUED",IQ_FY-5))</f>
        <v>0</v>
      </c>
      <c r="N1837" s="17">
        <f>IF(A1841=A1842,_xll.ciqfunctions.udf.CIQ(A1833,"IQ_TOTAL_DEBT_REPAID",IQ_FY-6), _xll.ciqfunctions.udf.CIQ(A1833, "IQ_TOTAL_DEBT_REPAID",IQ_FY-5))</f>
        <v>-25</v>
      </c>
      <c r="O1837" s="15">
        <f t="shared" si="489"/>
        <v>-0.19054180944599586</v>
      </c>
      <c r="P1837" s="15">
        <f t="shared" si="490"/>
        <v>1.2894802629172104</v>
      </c>
      <c r="Q1837" s="18"/>
      <c r="R1837" s="38" t="s">
        <v>50</v>
      </c>
      <c r="S1837" s="3">
        <f>I1844</f>
        <v>-1</v>
      </c>
      <c r="U1837" s="18"/>
      <c r="V1837" s="38" t="s">
        <v>50</v>
      </c>
      <c r="W1837" s="3">
        <f>I1844</f>
        <v>-1</v>
      </c>
      <c r="Y1837" s="18"/>
      <c r="Z1837" s="38" t="s">
        <v>50</v>
      </c>
      <c r="AA1837" s="3">
        <f>I1844</f>
        <v>-1</v>
      </c>
    </row>
    <row r="1838" spans="1:27">
      <c r="B1838" s="13">
        <v>6</v>
      </c>
      <c r="C1838" s="14" t="s">
        <v>26</v>
      </c>
      <c r="D1838" s="15" cm="1">
        <f t="array" ref="D1838">_xlfn.SINGLE(IF(A1841=A1842,_xll.ciqfunctions.udf.CIQ(A1833,"IQ_TOTAL_REV",IQ_FY-5)/I1838, _xll.ciqfunctions.udf.CIQ(A1833, "IQ_TOTAL_REV",IQ_FY-4)/I1838))</f>
        <v>10.277652669948946</v>
      </c>
      <c r="E1838" s="16">
        <f t="shared" si="491"/>
        <v>4.5829071379802043E-2</v>
      </c>
      <c r="F1838" s="15">
        <f>IF(A1841=A1842,_xll.ciqfunctions.udf.CIQ(A1833,"IQ_DILUT_EPS_EXCL",IQ_FY-5), _xll.ciqfunctions.udf.CIQ(A1833, "IQ_DILUT_EPS_EXCL",IQ_FY-4))</f>
        <v>1.1599999999999999</v>
      </c>
      <c r="G1838" s="15">
        <f>IF(A1841=A1842,_xll.ciqfunctions.udf.CIQ(A1833,"IQ_EBITDA_MARGIN",IQ_FY-5), _xll.ciqfunctions.udf.CIQ(A1833, "IQ_EBITDA_MARGIN",IQ_FY-4))</f>
        <v>16.969799999999999</v>
      </c>
      <c r="H1838" s="15">
        <f>IF(A1841=A1842,_xll.ciqfunctions.udf.CIQ(A1833,"IQ_TOTAL_DIV_PAID_CF",IQ_FY-5)/-I1838, _xll.ciqfunctions.udf.CIQ(A1833, "IQ_TOTAL_DIV_PAID_CF",IQ_FY-4)/-I1838)</f>
        <v>0.91905353751334307</v>
      </c>
      <c r="I1838" s="17">
        <f>IF(A1841=A1842,_xll.ciqfunctions.udf.CIQ(A1833,"IQ_TOTAL_OUTSTANDING_FILING_DATE",IQ_FY-5), _xll.ciqfunctions.udf.CIQ(A1833, "IQ_TOTAL_OUTSTANDING_FILING_DATE",IQ_FY-4))</f>
        <v>132.24148</v>
      </c>
      <c r="J1838" s="17">
        <f>IF(A1841=A1842,_xll.ciqfunctions.udf.CIQ(A1833,"IQ_CASH_OPER",IQ_FY-5), _xll.ciqfunctions.udf.CIQ(A1833, "IQ_CASH_OPER",IQ_FY-4))</f>
        <v>274.58</v>
      </c>
      <c r="K1838" s="17">
        <f>IF(A1841=A1842,_xll.ciqfunctions.udf.CIQ(A1833,"IQ_CAPEX",IQ_FY-5), _xll.ciqfunctions.udf.CIQ(A1833, "IQ_CAPEX",IQ_FY-4))</f>
        <v>-34.658999999999999</v>
      </c>
      <c r="L1838" s="15">
        <f t="shared" si="488"/>
        <v>1.8142643291651002</v>
      </c>
      <c r="M1838" s="17">
        <f>IF(A1841=A1842,_xll.ciqfunctions.udf.CIQ(A1833,"IQ_TOTAL_DEBT_ISSUED",IQ_FY-5), _xll.ciqfunctions.udf.CIQ(A1833, "IQ_TOTAL_DEBT_ISSUED",IQ_FY-4))</f>
        <v>0</v>
      </c>
      <c r="N1838" s="17">
        <f>IF(A1841=A1842,_xll.ciqfunctions.udf.CIQ(A1833,"IQ_TOTAL_DEBT_REPAID",IQ_FY-5), _xll.ciqfunctions.udf.CIQ(A1833, "IQ_TOTAL_DEBT_REPAID",IQ_FY-4))</f>
        <v>0</v>
      </c>
      <c r="O1838" s="15">
        <f t="shared" si="489"/>
        <v>0</v>
      </c>
      <c r="P1838" s="15">
        <f t="shared" si="490"/>
        <v>1.8142643291651002</v>
      </c>
      <c r="Q1838" s="25" t="s">
        <v>27</v>
      </c>
      <c r="R1838" s="38" t="s">
        <v>51</v>
      </c>
      <c r="S1838" s="4" t="e">
        <f>AVERAGE(F1838:F1843)/AVERAGE(D1838:D1843)</f>
        <v>#DIV/0!</v>
      </c>
      <c r="U1838" s="25" t="s">
        <v>58</v>
      </c>
      <c r="V1838" s="38" t="s">
        <v>51</v>
      </c>
      <c r="W1838" s="4" t="e">
        <f>AVERAGE(F1838:F1843)/AVERAGE(D1838:D1843)</f>
        <v>#DIV/0!</v>
      </c>
      <c r="Y1838" s="25" t="s">
        <v>56</v>
      </c>
      <c r="Z1838" s="38" t="s">
        <v>51</v>
      </c>
      <c r="AA1838" s="4" t="e">
        <f>AVERAGE(F1838:F1843)/AVERAGE(D1838:D1843)</f>
        <v>#DIV/0!</v>
      </c>
    </row>
    <row r="1839" spans="1:27">
      <c r="A1839" s="18"/>
      <c r="B1839" s="13">
        <v>7</v>
      </c>
      <c r="C1839" s="14" t="s">
        <v>28</v>
      </c>
      <c r="D1839" s="15" cm="1">
        <f t="array" ref="D1839">_xlfn.SINGLE(IF(A1841=A1842,_xll.ciqfunctions.udf.CIQ(A1833,"IQ_TOTAL_REV",IQ_FY-4)/I1839, _xll.ciqfunctions.udf.CIQ(A1833, "IQ_TOTAL_REV",IQ_FY-3)/I1839))</f>
        <v>10.348838881101939</v>
      </c>
      <c r="E1839" s="16">
        <f t="shared" si="491"/>
        <v>6.9263102615965766E-3</v>
      </c>
      <c r="F1839" s="15">
        <f>IF(A1841=A1842,_xll.ciqfunctions.udf.CIQ(A1833,"IQ_DILUT_EPS_EXCL",IQ_FY-4), _xll.ciqfunctions.udf.CIQ(A1833, "IQ_DILUT_EPS_EXCL",IQ_FY-3))</f>
        <v>1.22</v>
      </c>
      <c r="G1839" s="15">
        <f>IF(A1841=A1842,_xll.ciqfunctions.udf.CIQ(A1833,"IQ_EBITDA_MARGIN",IQ_FY-4), _xll.ciqfunctions.udf.CIQ(A1833, "IQ_EBITDA_MARGIN",IQ_FY-3))</f>
        <v>15.7637</v>
      </c>
      <c r="H1839" s="15">
        <f>IF(A1841=A1842,_xll.ciqfunctions.udf.CIQ(A1833,"IQ_TOTAL_DIV_PAID_CF",IQ_FY-4)/-I1839, _xll.ciqfunctions.udf.CIQ(A1833, "IQ_TOTAL_DIV_PAID_CF",IQ_FY-3)/-I1839)</f>
        <v>1.008373503595287</v>
      </c>
      <c r="I1839" s="17">
        <f>IF(A1841=A1842,_xll.ciqfunctions.udf.CIQ(A1833,"IQ_TOTAL_OUTSTANDING_FILING_DATE",IQ_FY-4), _xll.ciqfunctions.udf.CIQ(A1833, "IQ_TOTAL_OUTSTANDING_FILING_DATE",IQ_FY-3))</f>
        <v>130.76007999999999</v>
      </c>
      <c r="J1839" s="17">
        <f>IF(A1841=A1842,_xll.ciqfunctions.udf.CIQ(A1833,"IQ_CASH_OPER",IQ_FY-4), _xll.ciqfunctions.udf.CIQ(A1833, "IQ_CASH_OPER",IQ_FY-3))</f>
        <v>224.405</v>
      </c>
      <c r="K1839" s="17">
        <f>IF(A1841=A1842,_xll.ciqfunctions.udf.CIQ(A1833,"IQ_CAPEX",IQ_FY-4), _xll.ciqfunctions.udf.CIQ(A1833, "IQ_CAPEX",IQ_FY-3))</f>
        <v>-60.856999999999999</v>
      </c>
      <c r="L1839" s="15">
        <f t="shared" si="488"/>
        <v>1.2507486994501686</v>
      </c>
      <c r="M1839" s="17">
        <f>IF(A1841=A1842,_xll.ciqfunctions.udf.CIQ(A1833,"IQ_TOTAL_DEBT_ISSUED",IQ_FY-4), _xll.ciqfunctions.udf.CIQ(A1833, "IQ_TOTAL_DEBT_ISSUED",IQ_FY-3))</f>
        <v>0</v>
      </c>
      <c r="N1839" s="17">
        <f>IF(A1841=A1842,_xll.ciqfunctions.udf.CIQ(A1833,"IQ_TOTAL_DEBT_REPAID",IQ_FY-4), _xll.ciqfunctions.udf.CIQ(A1833, "IQ_TOTAL_DEBT_REPAID",IQ_FY-3))</f>
        <v>0</v>
      </c>
      <c r="O1839" s="15">
        <f t="shared" si="489"/>
        <v>0</v>
      </c>
      <c r="P1839" s="15">
        <f t="shared" si="490"/>
        <v>1.2507486994501686</v>
      </c>
      <c r="Q1839" s="18"/>
      <c r="R1839" s="38" t="s">
        <v>29</v>
      </c>
      <c r="S1839" s="4" t="e">
        <f>(AVERAGE(P1838:P1843)/_xlfn.STDEV.P(P1838:P1843))/(IF(A1841=A1842,(_xlfn.SINGLE(_xll.ciqfunctions.udf.CIQ(A1833,"IQ_total_assets",IQ_FY)) - _xlfn.SINGLE(_xll.ciqfunctions.udf.CIQ(A1833,"iq_gw_intan", IQ_FY)))/I1843, (_xlfn.SINGLE(_xll.ciqfunctions.udf.CIQ(A1833, "IQ_total_assets",IQ_LTM))-_xlfn.SINGLE(_xll.ciqfunctions.udf.CIQ(A1833,"iq_gw_intan",IQ_LTM)))/I1843))</f>
        <v>#DIV/0!</v>
      </c>
      <c r="U1839" s="18"/>
      <c r="V1839" s="38" t="s">
        <v>29</v>
      </c>
      <c r="W1839" s="4" t="e">
        <f>(AVERAGE(P1838:P1843)/_xlfn.STDEV.P(P1838:P1843))/(IF(A1841=A1842,(_xlfn.SINGLE(_xll.ciqfunctions.udf.CIQ(A1833,"IQ_total_assets",IQ_FY)) - _xlfn.SINGLE(_xll.ciqfunctions.udf.CIQ(A1833,"iq_gw_intan", IQ_FY)))/I1843, (_xlfn.SINGLE(_xll.ciqfunctions.udf.CIQ(A1833, "IQ_total_assets",IQ_LTM))-_xlfn.SINGLE(_xll.ciqfunctions.udf.CIQ(A1833,"iq_gw_intan",IQ_LTM)))/I1843))</f>
        <v>#DIV/0!</v>
      </c>
      <c r="Y1839" s="18"/>
      <c r="Z1839" s="38" t="s">
        <v>29</v>
      </c>
      <c r="AA1839" s="4" t="e">
        <f>(AVERAGE(P1838:P1843)/_xlfn.STDEV.P(P1838:P1843))/(IF(A1841=A1842,(_xlfn.SINGLE(_xll.ciqfunctions.udf.CIQ(A1833,"IQ_total_assets",IQ_FY)) - _xlfn.SINGLE(_xll.ciqfunctions.udf.CIQ(A1833,"iq_gw_intan", IQ_FY)))/I1843, (_xlfn.SINGLE(_xll.ciqfunctions.udf.CIQ(A1833, "IQ_total_assets",IQ_LTM))-_xlfn.SINGLE(_xll.ciqfunctions.udf.CIQ(A1833,"iq_gw_intan",IQ_LTM)))/I1843))</f>
        <v>#DIV/0!</v>
      </c>
    </row>
    <row r="1840" spans="1:27">
      <c r="A1840" s="18"/>
      <c r="B1840" s="13">
        <v>8</v>
      </c>
      <c r="C1840" s="14" t="s">
        <v>30</v>
      </c>
      <c r="D1840" s="15" cm="1">
        <f t="array" ref="D1840">_xlfn.SINGLE(IF(A1841=A1842,_xll.ciqfunctions.udf.CIQ(A1833,"IQ_TOTAL_REV",IQ_FY-3)/I1840, _xll.ciqfunctions.udf.CIQ(A1833, "IQ_TOTAL_REV",IQ_FY-2)/I1840))</f>
        <v>9.7766107684496575</v>
      </c>
      <c r="E1840" s="16">
        <f t="shared" si="491"/>
        <v>-5.5293943526092536E-2</v>
      </c>
      <c r="F1840" s="15">
        <f>IF(A1841=A1842,_xll.ciqfunctions.udf.CIQ(A1833,"IQ_DILUT_EPS_EXCL",IQ_FY-3), _xll.ciqfunctions.udf.CIQ(A1833, "IQ_DILUT_EPS_EXCL",IQ_FY-2))</f>
        <v>1.0900000000000001</v>
      </c>
      <c r="G1840" s="15">
        <f>IF(A1841=A1842,_xll.ciqfunctions.udf.CIQ(A1833,"IQ_EBITDA_MARGIN",IQ_FY-3), _xll.ciqfunctions.udf.CIQ(A1833, "IQ_EBITDA_MARGIN",IQ_FY-2))</f>
        <v>13.3764</v>
      </c>
      <c r="H1840" s="15">
        <f>IF(A1841=A1842,_xll.ciqfunctions.udf.CIQ(A1833,"IQ_TOTAL_DIV_PAID_CF",IQ_FY-3)/-I1840, _xll.ciqfunctions.udf.CIQ(A1833, "IQ_TOTAL_DIV_PAID_CF",IQ_FY-2)/-I1840)</f>
        <v>1.0375203275568954</v>
      </c>
      <c r="I1840" s="17">
        <f>IF(A1841=A1842,_xll.ciqfunctions.udf.CIQ(A1833,"IQ_TOTAL_OUTSTANDING_FILING_DATE",IQ_FY-3), _xll.ciqfunctions.udf.CIQ(A1833, "IQ_TOTAL_OUTSTANDING_FILING_DATE",IQ_FY-2))</f>
        <v>131.60705999999999</v>
      </c>
      <c r="J1840" s="17">
        <f>IF(A1841=A1842,_xll.ciqfunctions.udf.CIQ(A1833,"IQ_CASH_OPER",IQ_FY-3), _xll.ciqfunctions.udf.CIQ(A1833, "IQ_CASH_OPER",IQ_FY-2))</f>
        <v>180.767</v>
      </c>
      <c r="K1840" s="17">
        <f>IF(A1841=A1842,_xll.ciqfunctions.udf.CIQ(A1833,"IQ_CAPEX",IQ_FY-3), _xll.ciqfunctions.udf.CIQ(A1833, "IQ_CAPEX",IQ_FY-2))</f>
        <v>-49.652000000000001</v>
      </c>
      <c r="L1840" s="15">
        <f t="shared" si="488"/>
        <v>0.99626114282926781</v>
      </c>
      <c r="M1840" s="17">
        <f>IF(A1841=A1842,_xll.ciqfunctions.udf.CIQ(A1833,"IQ_TOTAL_DEBT_ISSUED",IQ_FY-3), _xll.ciqfunctions.udf.CIQ(A1833, "IQ_TOTAL_DEBT_ISSUED",IQ_FY-2))</f>
        <v>190</v>
      </c>
      <c r="N1840" s="17">
        <f>IF(A1841=A1842,_xll.ciqfunctions.udf.CIQ(A1833,"IQ_TOTAL_DEBT_REPAID",IQ_FY-3), _xll.ciqfunctions.udf.CIQ(A1833, "IQ_TOTAL_DEBT_REPAID",IQ_FY-2))</f>
        <v>-91.25</v>
      </c>
      <c r="O1840" s="15">
        <f t="shared" si="489"/>
        <v>0.75033968542417107</v>
      </c>
      <c r="P1840" s="15">
        <f t="shared" si="490"/>
        <v>1.7466008282534389</v>
      </c>
      <c r="Q1840" s="18"/>
      <c r="R1840" s="39" t="s">
        <v>31</v>
      </c>
      <c r="S1840" s="5">
        <f>IF(NOT(D1833&gt;0),FALSE,SLOPE(G1833:G1843,B1833:B1843))</f>
        <v>0.47121181818181812</v>
      </c>
      <c r="U1840" s="18"/>
      <c r="V1840" s="39" t="s">
        <v>31</v>
      </c>
      <c r="W1840" s="5">
        <f>IF(NOT(D1833&gt;0),FALSE,SLOPE(G1833:G1843,B1833:B1843))</f>
        <v>0.47121181818181812</v>
      </c>
      <c r="Y1840" s="18"/>
      <c r="Z1840" s="39" t="s">
        <v>31</v>
      </c>
      <c r="AA1840" s="5" t="e">
        <f>IF(NOT(L1833&gt;0),FALSE,SLOPE(O1833:O1843,J1833:J1843))</f>
        <v>#DIV/0!</v>
      </c>
    </row>
    <row r="1841" spans="1:27">
      <c r="A1841" s="19">
        <f>_xll.ciqfunctions.udf.CIQ(A1833,"IQ_TOTAL_REV",IQ_FY)</f>
        <v>1656.9749999999999</v>
      </c>
      <c r="B1841" s="13">
        <v>9</v>
      </c>
      <c r="C1841" s="14" t="s">
        <v>32</v>
      </c>
      <c r="D1841" s="15" cm="1">
        <f t="array" ref="D1841">_xlfn.SINGLE(IF(A1841=A1842,_xll.ciqfunctions.udf.CIQ(A1833,"IQ_TOTAL_REV",IQ_FY-2)/I1841, _xll.ciqfunctions.udf.CIQ(A1833, "IQ_TOTAL_REV",IQ_FY-1)/I1841))</f>
        <v>11.131697017602805</v>
      </c>
      <c r="E1841" s="16">
        <f t="shared" si="491"/>
        <v>0.13860490933383379</v>
      </c>
      <c r="F1841" s="15">
        <f>IF(A1841=A1842,_xll.ciqfunctions.udf.CIQ(A1833,"IQ_DILUT_EPS_EXCL",IQ_FY-2), _xll.ciqfunctions.udf.CIQ(A1833, "IQ_DILUT_EPS_EXCL",IQ_FY-1))</f>
        <v>0.67</v>
      </c>
      <c r="G1841" s="15">
        <f>IF(A1841=A1842,_xll.ciqfunctions.udf.CIQ(A1833,"IQ_EBITDA_MARGIN",IQ_FY-2), _xll.ciqfunctions.udf.CIQ(A1833, "IQ_EBITDA_MARGIN",IQ_FY-1))</f>
        <v>16.646999999999998</v>
      </c>
      <c r="H1841" s="15">
        <f>IF(A1841=A1842,_xll.ciqfunctions.udf.CIQ(A1833,"IQ_TOTAL_DIV_PAID_CF",IQ_FY-2)/-I1841, _xll.ciqfunctions.udf.CIQ(A1833, "IQ_TOTAL_DIV_PAID_CF",IQ_FY-1)/-I1841)</f>
        <v>1.0839703005483436</v>
      </c>
      <c r="I1841" s="17">
        <f>IF(A1841=A1842,_xll.ciqfunctions.udf.CIQ(A1833,"IQ_TOTAL_OUTSTANDING_FILING_DATE",IQ_FY-2), _xll.ciqfunctions.udf.CIQ(A1833, "IQ_TOTAL_OUTSTANDING_FILING_DATE",IQ_FY-1))</f>
        <v>132.02668</v>
      </c>
      <c r="J1841" s="17">
        <f>IF(A1841=A1842,_xll.ciqfunctions.udf.CIQ(A1833,"IQ_CASH_OPER",IQ_FY-2), _xll.ciqfunctions.udf.CIQ(A1833, "IQ_CASH_OPER",IQ_FY-1))</f>
        <v>143.499</v>
      </c>
      <c r="K1841" s="17">
        <f>IF(A1841=A1842,_xll.ciqfunctions.udf.CIQ(A1833,"IQ_CAPEX",IQ_FY-2), _xll.ciqfunctions.udf.CIQ(A1833, "IQ_CAPEX",IQ_FY-1))</f>
        <v>-40.975000000000001</v>
      </c>
      <c r="L1841" s="15">
        <f t="shared" si="488"/>
        <v>0.77654001448798082</v>
      </c>
      <c r="M1841" s="17">
        <f>IF(A1841=A1842,_xll.ciqfunctions.udf.CIQ(A1833,"IQ_TOTAL_DEBT_ISSUED",IQ_FY-2), _xll.ciqfunctions.udf.CIQ(A1833, "IQ_TOTAL_DEBT_ISSUED",IQ_FY-1))</f>
        <v>300</v>
      </c>
      <c r="N1841" s="17">
        <f>IF(A1841=A1842,_xll.ciqfunctions.udf.CIQ(A1833,"IQ_TOTAL_DEBT_REPAID",IQ_FY-2), _xll.ciqfunctions.udf.CIQ(A1833, "IQ_TOTAL_DEBT_REPAID",IQ_FY-1))</f>
        <v>-98.75</v>
      </c>
      <c r="O1841" s="15">
        <f t="shared" si="489"/>
        <v>1.5243131161065324</v>
      </c>
      <c r="P1841" s="15">
        <f t="shared" si="490"/>
        <v>2.300853130594513</v>
      </c>
      <c r="Q1841" s="25" t="s">
        <v>33</v>
      </c>
      <c r="R1841" s="38" t="s">
        <v>52</v>
      </c>
      <c r="S1841" s="4" t="e">
        <f>(AVERAGE(O1838:O1843)/AVERAGE(P1838:P1843))</f>
        <v>#DIV/0!</v>
      </c>
      <c r="U1841" s="25" t="s">
        <v>54</v>
      </c>
      <c r="V1841" s="38" t="s">
        <v>52</v>
      </c>
      <c r="W1841" s="4" t="e">
        <f>(AVERAGE(O1838:O1843)/AVERAGE(P1838:P1843))</f>
        <v>#DIV/0!</v>
      </c>
      <c r="Y1841" s="25" t="s">
        <v>60</v>
      </c>
      <c r="Z1841" s="38" t="s">
        <v>52</v>
      </c>
      <c r="AA1841" s="4" t="e">
        <f>(AVERAGE(O1838:O1843)/AVERAGE(P1838:P1843))</f>
        <v>#DIV/0!</v>
      </c>
    </row>
    <row r="1842" spans="1:27">
      <c r="A1842" s="19">
        <f>_xll.ciqfunctions.udf.CIQ(A1833,"IQ_TOTAL_REV",IQ_LTM)</f>
        <v>1729.8340000000001</v>
      </c>
      <c r="B1842" s="13">
        <v>10</v>
      </c>
      <c r="C1842" s="14" t="s">
        <v>34</v>
      </c>
      <c r="D1842" s="15" cm="1">
        <f t="array" ref="D1842">_xlfn.SINGLE(IF(A1841=A1842,_xll.ciqfunctions.udf.CIQ(A1833,"IQ_TOTAL_REV",IQ_FY-1)/I1842, _xll.ciqfunctions.udf.CIQ(A1833, "IQ_TOTAL_REV",IQ_FY)/I1842))</f>
        <v>12.602052880289413</v>
      </c>
      <c r="E1842" s="16">
        <f t="shared" si="491"/>
        <v>0.13208730531935076</v>
      </c>
      <c r="F1842" s="15">
        <f>IF(A1841=A1842,_xll.ciqfunctions.udf.CIQ(A1833,"IQ_DILUT_EPS_EXCL",IQ_FY-1), _xll.ciqfunctions.udf.CIQ(A1833, "IQ_DILUT_EPS_EXCL",IQ_FY))</f>
        <v>1.05</v>
      </c>
      <c r="G1842" s="15">
        <f>IF(A1841=A1842,_xll.ciqfunctions.udf.CIQ(A1833,"IQ_EBITDA_MARGIN",IQ_FY-1), _xll.ciqfunctions.udf.CIQ(A1833, "IQ_EBITDA_MARGIN",IQ_FY))</f>
        <v>17.559699999999999</v>
      </c>
      <c r="H1842" s="15">
        <f>IF(A1841=A1842,_xll.ciqfunctions.udf.CIQ(A1833,"IQ_TOTAL_DIV_PAID_CF",IQ_FY-1)/-I1842, _xll.ciqfunctions.udf.CIQ(A1833, "IQ_TOTAL_DIV_PAID_CF",IQ_FY)/-I1842)</f>
        <v>1.1243528040903368</v>
      </c>
      <c r="I1842" s="17">
        <f>IF(A1841=A1842,_xll.ciqfunctions.udf.CIQ(A1833,"IQ_TOTAL_OUTSTANDING_FILING_DATE",IQ_FY-1), _xll.ciqfunctions.udf.CIQ(A1833, "IQ_TOTAL_OUTSTANDING_FILING_DATE",IQ_FY))</f>
        <v>131.48453000000001</v>
      </c>
      <c r="J1842" s="17">
        <f>IF(A1841=A1842,_xll.ciqfunctions.udf.CIQ(A1833,"IQ_CASH_OPER",IQ_FY-1), _xll.ciqfunctions.udf.CIQ(A1833, "IQ_CASH_OPER",IQ_FY))</f>
        <v>42.963999999999999</v>
      </c>
      <c r="K1842" s="17">
        <f>IF(A1841=A1842,_xll.ciqfunctions.udf.CIQ(A1833,"IQ_CAPEX",IQ_FY-1), _xll.ciqfunctions.udf.CIQ(A1833, "IQ_CAPEX",IQ_FY))</f>
        <v>-48.192999999999998</v>
      </c>
      <c r="L1842" s="15">
        <f t="shared" si="488"/>
        <v>-3.9768937075715285E-2</v>
      </c>
      <c r="M1842" s="17">
        <f>IF(A1841=A1842,_xll.ciqfunctions.udf.CIQ(A1833,"IQ_TOTAL_DEBT_ISSUED",IQ_FY-1), _xll.ciqfunctions.udf.CIQ(A1833, "IQ_TOTAL_DEBT_ISSUED",IQ_FY))</f>
        <v>768</v>
      </c>
      <c r="N1842" s="17">
        <f>IF(A1841=A1842,_xll.ciqfunctions.udf.CIQ(A1833,"IQ_TOTAL_DEBT_REPAID",IQ_FY-1), _xll.ciqfunctions.udf.CIQ(A1833, "IQ_TOTAL_DEBT_REPAID",IQ_FY))</f>
        <v>-524.25</v>
      </c>
      <c r="O1842" s="15">
        <f t="shared" si="489"/>
        <v>1.8538302566849498</v>
      </c>
      <c r="P1842" s="15">
        <f t="shared" si="490"/>
        <v>1.8140613196092346</v>
      </c>
      <c r="Q1842" s="25" t="s">
        <v>44</v>
      </c>
      <c r="R1842" s="38" t="s">
        <v>35</v>
      </c>
      <c r="S1842" s="1">
        <f>_xll.ciqfunctions.udf.CIQ(A1833,"IQ_TEV_EBITDA")</f>
        <v>0</v>
      </c>
      <c r="U1842" s="25" t="s">
        <v>55</v>
      </c>
      <c r="V1842" s="38" t="s">
        <v>53</v>
      </c>
      <c r="W1842" s="1" t="e">
        <f>V1832/(AVERAGE(D1838:D1843)/_xlfn.STDEV.P(E1838:E1843))</f>
        <v>#DIV/0!</v>
      </c>
      <c r="Y1842" s="25" t="s">
        <v>57</v>
      </c>
      <c r="Z1842" s="38" t="s">
        <v>53</v>
      </c>
      <c r="AA1842" s="1" t="e">
        <f>Z1832/(AVERAGE(D1838:D1843)/_xlfn.STDEV.P(E1838:E1843))</f>
        <v>#DIV/0!</v>
      </c>
    </row>
    <row r="1843" spans="1:27">
      <c r="B1843" s="13">
        <v>11</v>
      </c>
      <c r="C1843" s="20" t="s">
        <v>36</v>
      </c>
      <c r="D1843" s="21" t="e" cm="1">
        <f t="array" ref="D1843">_xlfn.SINGLE(IF(A1841=A1842,_xll.ciqfunctions.udf.CIQ(A1833,"IQ_TOTAL_REV",IQ_FY)/I1843, _xll.ciqfunctions.udf.CIQ(A1833, "IQ_TOTAL_REV",IQ_LTM)/I1843))</f>
        <v>#DIV/0!</v>
      </c>
      <c r="E1843" s="22" t="e">
        <f t="shared" si="491"/>
        <v>#DIV/0!</v>
      </c>
      <c r="F1843" s="21">
        <f>IF(A1841=A1842,_xll.ciqfunctions.udf.CIQ(A1833,"IQ_DILUT_EPS_EXCL",IQ_FY), _xll.ciqfunctions.udf.CIQ(A1833, "IQ_DILUT_EPS_EXCL",IQ_LTM))</f>
        <v>1.3504</v>
      </c>
      <c r="G1843" s="21">
        <f>IF(A1841=A1842,_xll.ciqfunctions.udf.CIQ(A1833,"IQ_EBITDA_MARGIN",IQ_FY), _xll.ciqfunctions.udf.CIQ(A1833, "IQ_EBITDA_MARGIN",IQ_LTM))</f>
        <v>22.024999999999999</v>
      </c>
      <c r="H1843" s="21" t="e">
        <f>IF(A1841=A1842,_xll.ciqfunctions.udf.CIQ(A1833,"IQ_TOTAL_DIV_PAID_CF",IQ_FY)/-I1843, _xll.ciqfunctions.udf.CIQ(A1833, "IQ_TOTAL_DIV_PAID_CF",IQ_LTM)/-I1843)</f>
        <v>#DIV/0!</v>
      </c>
      <c r="I1843" s="23">
        <f>IF(A1841=A1842,_xll.ciqfunctions.udf.CIQ(A1833,"IQ_TOTAL_OUTSTANDING_FILING_DATE",IQ_FY),_xll.ciqfunctions.udf.CIQ(A1833,"IQ_sharesoutstanding"))</f>
        <v>0</v>
      </c>
      <c r="J1843" s="23">
        <f>IF(A1841=A1842,_xll.ciqfunctions.udf.CIQ(A1833,"IQ_CASH_OPER",IQ_FY), _xll.ciqfunctions.udf.CIQ(A1833, "IQ_CASH_OPER",IQ_LTM))</f>
        <v>162.739</v>
      </c>
      <c r="K1843" s="23">
        <f>IF(A1841=A1842,_xll.ciqfunctions.udf.CIQ(A1833,"IQ_CAPEX",IQ_FY), _xll.ciqfunctions.udf.CIQ(A1833, "IQ_CAPEX",IQ_LTM))</f>
        <v>-59.161000000000001</v>
      </c>
      <c r="L1843" s="21" t="e">
        <f t="shared" si="488"/>
        <v>#DIV/0!</v>
      </c>
      <c r="M1843" s="23">
        <f>IF(A1841=A1842,_xll.ciqfunctions.udf.CIQ(A1833,"IQ_TOTAL_DEBT_ISSUED",IQ_FY), _xll.ciqfunctions.udf.CIQ(A1833, "IQ_TOTAL_DEBT_ISSUED",IQ_LTM))</f>
        <v>713</v>
      </c>
      <c r="N1843" s="23">
        <f>IF(A1841=A1842,_xll.ciqfunctions.udf.CIQ(A1833,"IQ_TOTAL_DEBT_REPAID",IQ_FY), _xll.ciqfunctions.udf.CIQ(A1833, "IQ_TOTAL_DEBT_REPAID",IQ_LTM))</f>
        <v>-596.75</v>
      </c>
      <c r="O1843" s="21" t="e">
        <f t="shared" si="489"/>
        <v>#DIV/0!</v>
      </c>
      <c r="P1843" s="21" t="e">
        <f t="shared" si="490"/>
        <v>#DIV/0!</v>
      </c>
      <c r="Q1843" s="25" t="s">
        <v>45</v>
      </c>
      <c r="S1843" s="45"/>
      <c r="U1843" s="25"/>
      <c r="W1843" s="45"/>
      <c r="Y1843" s="25"/>
      <c r="AA1843" s="45"/>
    </row>
    <row r="1844" spans="1:27">
      <c r="B1844" s="24"/>
      <c r="C1844" s="25" t="s">
        <v>37</v>
      </c>
      <c r="E1844" s="26" t="e">
        <f>((D1843/D1838)^(1/5))-1</f>
        <v>#DIV/0!</v>
      </c>
      <c r="F1844" s="27">
        <f>((F1843/F1838)^(1/5))-1</f>
        <v>3.0862847887111133E-2</v>
      </c>
      <c r="G1844" s="28"/>
      <c r="H1844" s="27" t="e">
        <f>((H1843/H1838)^(1/5))-1</f>
        <v>#DIV/0!</v>
      </c>
      <c r="I1844" s="27">
        <f>((I1843/I1838)^(1/5))-1</f>
        <v>-1</v>
      </c>
      <c r="J1844" s="27"/>
      <c r="K1844" s="27"/>
      <c r="L1844" s="26" t="e">
        <f>((L1843/L1838)^(1/5))-1</f>
        <v>#DIV/0!</v>
      </c>
      <c r="M1844" s="26"/>
      <c r="N1844" s="26"/>
      <c r="O1844" s="26"/>
      <c r="P1844" s="26" t="e">
        <f>((P1843/P1838)^(1/5))-1</f>
        <v>#DIV/0!</v>
      </c>
      <c r="Q1844" s="18"/>
      <c r="R1844" s="36"/>
      <c r="S1844" s="45"/>
      <c r="U1844" s="18"/>
      <c r="V1844" s="36"/>
      <c r="W1844" s="45"/>
      <c r="Y1844" s="18"/>
      <c r="Z1844" s="36"/>
      <c r="AA1844" s="45"/>
    </row>
    <row r="1845" spans="1:27">
      <c r="A1845" s="29"/>
      <c r="B1845" s="30"/>
      <c r="C1845" s="31" t="s">
        <v>38</v>
      </c>
      <c r="D1845" s="29"/>
      <c r="E1845" s="32" t="e">
        <f>((D1843/D1833)^(1/10))-1</f>
        <v>#DIV/0!</v>
      </c>
      <c r="F1845" s="33">
        <f>((F1843/F1833)^(1/10))-1</f>
        <v>7.7527209107429051E-2</v>
      </c>
      <c r="G1845" s="34"/>
      <c r="H1845" s="33" t="e">
        <f>((H1843/H1833)^(1/10))-1</f>
        <v>#DIV/0!</v>
      </c>
      <c r="I1845" s="33">
        <f>((I1843/I1833)^(1/10))-1</f>
        <v>-1</v>
      </c>
      <c r="J1845" s="33"/>
      <c r="K1845" s="33"/>
      <c r="L1845" s="32" t="e">
        <f>((L1843/L1833)^(1/10))-1</f>
        <v>#DIV/0!</v>
      </c>
      <c r="M1845" s="32"/>
      <c r="N1845" s="32"/>
      <c r="O1845" s="32"/>
      <c r="P1845" s="32" t="e">
        <f>((P1843/P1833)^(1/10))-1</f>
        <v>#DIV/0!</v>
      </c>
      <c r="Q1845" s="40"/>
      <c r="R1845" s="41"/>
      <c r="S1845" s="46"/>
      <c r="U1845" s="40"/>
      <c r="V1845" s="41"/>
      <c r="W1845" s="46"/>
      <c r="Y1845" s="40"/>
      <c r="Z1845" s="41"/>
      <c r="AA1845" s="46"/>
    </row>
    <row r="1846" spans="1:27">
      <c r="B1846" s="24"/>
      <c r="C1846" s="25"/>
      <c r="E1846" s="26"/>
      <c r="F1846" s="27"/>
      <c r="G1846" s="28"/>
      <c r="H1846" s="27"/>
      <c r="I1846" s="27"/>
      <c r="J1846" s="27"/>
      <c r="K1846" s="27"/>
      <c r="L1846" s="26"/>
      <c r="M1846" s="17"/>
      <c r="N1846" s="17"/>
      <c r="O1846" s="17"/>
      <c r="P1846" s="35"/>
      <c r="Q1846" s="18"/>
      <c r="R1846" s="36"/>
    </row>
    <row r="1847" spans="1:27">
      <c r="A1847" s="9" t="s">
        <v>0</v>
      </c>
      <c r="B1847" s="10"/>
      <c r="C1847" s="9" t="s">
        <v>1</v>
      </c>
      <c r="D1847" s="9" t="s">
        <v>2</v>
      </c>
      <c r="E1847" s="9" t="s">
        <v>3</v>
      </c>
      <c r="F1847" s="11" t="s">
        <v>4</v>
      </c>
      <c r="G1847" s="11" t="s">
        <v>5</v>
      </c>
      <c r="H1847" s="9" t="s">
        <v>6</v>
      </c>
      <c r="I1847" s="11" t="s">
        <v>7</v>
      </c>
      <c r="J1847" s="11" t="s">
        <v>8</v>
      </c>
      <c r="K1847" s="11" t="s">
        <v>9</v>
      </c>
      <c r="L1847" s="11" t="s">
        <v>10</v>
      </c>
      <c r="M1847" s="11" t="s">
        <v>11</v>
      </c>
      <c r="N1847" s="11" t="s">
        <v>12</v>
      </c>
      <c r="O1847" s="11" t="s">
        <v>13</v>
      </c>
      <c r="P1847" s="11" t="s">
        <v>14</v>
      </c>
      <c r="Q1847" s="37" t="s">
        <v>15</v>
      </c>
      <c r="R1847" s="42">
        <f>_xll.ciqfunctions.udf.CIQ(A1848,("IQ_LASTSALEPRICE"))</f>
        <v>36.524999999999999</v>
      </c>
      <c r="S1847" s="44"/>
      <c r="U1847" s="37" t="s">
        <v>15</v>
      </c>
      <c r="V1847" s="42">
        <f>_xll.ciqfunctions.udf.CIQ(A1848,("IQ_LASTSALEPRICE"))</f>
        <v>36.524999999999999</v>
      </c>
      <c r="W1847" s="44"/>
      <c r="Y1847" s="37" t="s">
        <v>15</v>
      </c>
      <c r="Z1847" s="42">
        <f>_xll.ciqfunctions.udf.CIQ(A1848,("IQ_LASTSALEPRICE"))</f>
        <v>36.524999999999999</v>
      </c>
      <c r="AA1847" s="44"/>
    </row>
    <row r="1848" spans="1:27">
      <c r="A1848" s="12" t="str">
        <f>Analysis!B125</f>
        <v>NYSE:PSTG</v>
      </c>
      <c r="B1848" s="13">
        <v>1</v>
      </c>
      <c r="C1848" s="14" t="s">
        <v>16</v>
      </c>
      <c r="D1848" s="15">
        <f>IF(A1856=A1857,_xll.ciqfunctions.udf.CIQ(A1848,"IQ_TOTAL_REV",IQ_FY-10)/I1848,_xll.ciqfunctions.udf.CIQ(A1848, "IQ_TOTAL_REV",IQ_FY-9)/I1848)</f>
        <v>1.5026196420408593</v>
      </c>
      <c r="E1848" s="16"/>
      <c r="F1848" s="15">
        <f>IF(A1856=A1857,_xll.ciqfunctions.udf.CIQ(A1848,"IQ_DILUT_EPS_EXCL",IQ_FY-10), _xll.ciqfunctions.udf.CIQ(A1848, "IQ_DILUT_EPS_EXCL",IQ_FY-9))</f>
        <v>-3.2413699999999999</v>
      </c>
      <c r="G1848" s="15">
        <f>IF(A1856=A1857,_xll.ciqfunctions.udf.CIQ(A1848,"IQ_EBITDA_MARGIN",IQ_FY-10), _xll.ciqfunctions.udf.CIQ(A1848, "IQ_EBITDA_MARGIN",IQ_FY-9))</f>
        <v>-172.4615</v>
      </c>
      <c r="H1848" s="15">
        <f>IF(A1856=A1857,_xll.ciqfunctions.udf.CIQ(A1848,"IQ_TOTAL_DIV_PAID_CF",IQ_FY-10)/-I1848, _xll.ciqfunctions.udf.CIQ(A1848, "IQ_TOTAL_DIV_PAID_CF",IQ_FY-9)/-I1848)</f>
        <v>0</v>
      </c>
      <c r="I1848" s="17">
        <f>IF(A1856=A1857,_xll.ciqfunctions.udf.CIQ(A1848,"IQ_TOTAL_OUTSTANDING_FILING_DATE",IQ_FY-10), _xll.ciqfunctions.udf.CIQ(A1848, "IQ_TOTAL_OUTSTANDING_FILING_DATE",IQ_FY-9))</f>
        <v>28.439</v>
      </c>
      <c r="J1848" s="17">
        <f>IF(A1856=A1857,_xll.ciqfunctions.udf.CIQ(A1848,"IQ_CASH_OPER",IQ_FY-10), _xll.ciqfunctions.udf.CIQ(A1848, "IQ_CASH_OPER",IQ_FY-9))</f>
        <v>-67.228999999999999</v>
      </c>
      <c r="K1848" s="17">
        <f>IF(A1856=A1857,_xll.ciqfunctions.udf.CIQ(A1848,"IQ_CAPEX",IQ_FY-10), _xll.ciqfunctions.udf.CIQ(A1848, "IQ_CAPEX",IQ_FY-9))</f>
        <v>-12.273</v>
      </c>
      <c r="L1848" s="15">
        <f t="shared" ref="L1848:L1858" si="492">(J1848+K1848)/I1848</f>
        <v>-2.7955272688913109</v>
      </c>
      <c r="M1848" s="17">
        <f>IF(A1856=A1857,_xll.ciqfunctions.udf.CIQ(A1848,"IQ_TOTAL_DEBT_ISSUED",IQ_FY-10), _xll.ciqfunctions.udf.CIQ(A1848, "IQ_TOTAL_DEBT_ISSUED",IQ_FY-9))</f>
        <v>0</v>
      </c>
      <c r="N1848" s="17">
        <f>IF(A1856=A1857,_xll.ciqfunctions.udf.CIQ(A1848,"IQ_TOTAL_DEBT_REPAID",IQ_FY-10), _xll.ciqfunctions.udf.CIQ(A1848, "IQ_TOTAL_DEBT_REPAID",IQ_FY-9))</f>
        <v>0</v>
      </c>
      <c r="O1848" s="15">
        <f t="shared" ref="O1848:O1858" si="493">(M1848+N1848)/I1848</f>
        <v>0</v>
      </c>
      <c r="P1848" s="15">
        <f t="shared" ref="P1848:P1858" si="494">L1848+O1848</f>
        <v>-2.7955272688913109</v>
      </c>
      <c r="W1848" s="43"/>
      <c r="AA1848" s="43"/>
    </row>
    <row r="1849" spans="1:27">
      <c r="A1849" s="18" t="str">
        <f>_xll.ciqfunctions.udf.CIQ(A1848,"IQ_COMPANY_NAME")</f>
        <v>Pure Storage, Inc.</v>
      </c>
      <c r="B1849" s="13">
        <v>2</v>
      </c>
      <c r="C1849" s="14" t="s">
        <v>17</v>
      </c>
      <c r="D1849" s="15">
        <f>IF(A1856=A1857,_xll.ciqfunctions.udf.CIQ(A1848,"IQ_TOTAL_REV",IQ_FY-9)/I1849, _xll.ciqfunctions.udf.CIQ(A1848, "IQ_TOTAL_REV",IQ_FY-8)/I1849)</f>
        <v>4.7840669134786777</v>
      </c>
      <c r="E1849" s="16">
        <f t="shared" ref="E1849:E1858" si="495">(D1849-D1848)/D1848</f>
        <v>2.1838176339695345</v>
      </c>
      <c r="F1849" s="15">
        <f>IF(A1856=A1857,_xll.ciqfunctions.udf.CIQ(A1848,"IQ_DILUT_EPS_EXCL",IQ_FY-9), _xll.ciqfunctions.udf.CIQ(A1848, "IQ_DILUT_EPS_EXCL",IQ_FY-8))</f>
        <v>-6.5615399999999999</v>
      </c>
      <c r="G1849" s="15">
        <f>IF(A1856=A1857,_xll.ciqfunctions.udf.CIQ(A1848,"IQ_EBITDA_MARGIN",IQ_FY-9), _xll.ciqfunctions.udf.CIQ(A1848, "IQ_EBITDA_MARGIN",IQ_FY-8))</f>
        <v>-95.116100000000003</v>
      </c>
      <c r="H1849" s="15">
        <f>IF(A1856=A1857,_xll.ciqfunctions.udf.CIQ(A1848,"IQ_TOTAL_DIV_PAID_CF",IQ_FY-9)/-I1849, _xll.ciqfunctions.udf.CIQ(A1848, "IQ_TOTAL_DIV_PAID_CF",IQ_FY-8)/-I1849)</f>
        <v>0</v>
      </c>
      <c r="I1849" s="17">
        <f>IF(A1856=A1857,_xll.ciqfunctions.udf.CIQ(A1848,"IQ_TOTAL_OUTSTANDING_FILING_DATE",IQ_FY-9), _xll.ciqfunctions.udf.CIQ(A1848, "IQ_TOTAL_OUTSTANDING_FILING_DATE",IQ_FY-8))</f>
        <v>36.465000000000003</v>
      </c>
      <c r="J1849" s="17">
        <f>IF(A1856=A1857,_xll.ciqfunctions.udf.CIQ(A1848,"IQ_CASH_OPER",IQ_FY-9), _xll.ciqfunctions.udf.CIQ(A1848, "IQ_CASH_OPER",IQ_FY-8))</f>
        <v>-143.69499999999999</v>
      </c>
      <c r="K1849" s="17">
        <f>IF(A1856=A1857,_xll.ciqfunctions.udf.CIQ(A1848,"IQ_CAPEX",IQ_FY-9), _xll.ciqfunctions.udf.CIQ(A1848, "IQ_CAPEX",IQ_FY-8))</f>
        <v>-42.226999999999997</v>
      </c>
      <c r="L1849" s="15">
        <f t="shared" si="492"/>
        <v>-5.0986425339366512</v>
      </c>
      <c r="M1849" s="17">
        <f>IF(A1856=A1857,_xll.ciqfunctions.udf.CIQ(A1848,"IQ_TOTAL_DEBT_ISSUED",IQ_FY-9), _xll.ciqfunctions.udf.CIQ(A1848, "IQ_TOTAL_DEBT_ISSUED",IQ_FY-8))</f>
        <v>0</v>
      </c>
      <c r="N1849" s="17">
        <f>IF(A1856=A1857,_xll.ciqfunctions.udf.CIQ(A1848,"IQ_TOTAL_DEBT_REPAID",IQ_FY-9), _xll.ciqfunctions.udf.CIQ(A1848, "IQ_TOTAL_DEBT_REPAID",IQ_FY-8))</f>
        <v>0</v>
      </c>
      <c r="O1849" s="15">
        <f t="shared" si="493"/>
        <v>0</v>
      </c>
      <c r="P1849" s="15">
        <f t="shared" si="494"/>
        <v>-5.0986425339366512</v>
      </c>
      <c r="Q1849" s="25" t="s">
        <v>18</v>
      </c>
      <c r="R1849" s="39" t="s">
        <v>19</v>
      </c>
      <c r="S1849" s="1">
        <f>R1847/((AVERAGE(P1853:P1858))*(1+E1859)^3)</f>
        <v>26.791317462197473</v>
      </c>
      <c r="U1849" s="25" t="s">
        <v>48</v>
      </c>
      <c r="V1849" s="39" t="s">
        <v>19</v>
      </c>
      <c r="W1849" s="1">
        <f>V1847/((AVERAGE(P1853:P1858))*(1+E1859)^3)</f>
        <v>26.791317462197473</v>
      </c>
      <c r="Y1849" s="25" t="s">
        <v>39</v>
      </c>
      <c r="Z1849" s="39" t="s">
        <v>19</v>
      </c>
      <c r="AA1849" s="1">
        <f>Z1847/((AVERAGE(P1853:P1858))*(1+E1859)^3)</f>
        <v>26.791317462197473</v>
      </c>
    </row>
    <row r="1850" spans="1:27">
      <c r="B1850" s="13">
        <v>3</v>
      </c>
      <c r="C1850" s="14" t="s">
        <v>20</v>
      </c>
      <c r="D1850" s="15" cm="1">
        <f t="array" ref="D1850">_xlfn.SINGLE(IF(A1856=A1857,_xll.ciqfunctions.udf.CIQ(A1848,"IQ_TOTAL_REV",IQ_FY-8)/I1850, _xll.ciqfunctions.udf.CIQ(A1848, "IQ_TOTAL_REV",IQ_FY-7)/I1850))</f>
        <v>2.2920735490694972</v>
      </c>
      <c r="E1850" s="16">
        <f t="shared" si="495"/>
        <v>-0.52089433728199197</v>
      </c>
      <c r="F1850" s="15">
        <f>IF(A1856=A1857,_xll.ciqfunctions.udf.CIQ(A1848,"IQ_DILUT_EPS_EXCL",IQ_FY-8), _xll.ciqfunctions.udf.CIQ(A1848, "IQ_DILUT_EPS_EXCL",IQ_FY-7))</f>
        <v>-2.59219</v>
      </c>
      <c r="G1850" s="15">
        <f>IF(A1856=A1857,_xll.ciqfunctions.udf.CIQ(A1848,"IQ_EBITDA_MARGIN",IQ_FY-8), _xll.ciqfunctions.udf.CIQ(A1848, "IQ_EBITDA_MARGIN",IQ_FY-7))</f>
        <v>-38.000100000000003</v>
      </c>
      <c r="H1850" s="15">
        <f>IF(A1856=A1857,_xll.ciqfunctions.udf.CIQ(A1848,"IQ_TOTAL_DIV_PAID_CF",IQ_FY-8)/-I1850, _xll.ciqfunctions.udf.CIQ(A1848, "IQ_TOTAL_DIV_PAID_CF",IQ_FY-7)/-I1850)</f>
        <v>0</v>
      </c>
      <c r="I1850" s="17">
        <f>IF(A1856=A1857,_xll.ciqfunctions.udf.CIQ(A1848,"IQ_TOTAL_OUTSTANDING_FILING_DATE",IQ_FY-8), _xll.ciqfunctions.udf.CIQ(A1848, "IQ_TOTAL_OUTSTANDING_FILING_DATE",IQ_FY-7))</f>
        <v>192.1112</v>
      </c>
      <c r="J1850" s="17">
        <f>IF(A1856=A1857,_xll.ciqfunctions.udf.CIQ(A1848,"IQ_CASH_OPER",IQ_FY-8), _xll.ciqfunctions.udf.CIQ(A1848, "IQ_CASH_OPER",IQ_FY-7))</f>
        <v>-7.8559999999999999</v>
      </c>
      <c r="K1850" s="17">
        <f>IF(A1856=A1857,_xll.ciqfunctions.udf.CIQ(A1848,"IQ_CAPEX",IQ_FY-8), _xll.ciqfunctions.udf.CIQ(A1848, "IQ_CAPEX",IQ_FY-7))</f>
        <v>-39.354999999999997</v>
      </c>
      <c r="L1850" s="15">
        <f t="shared" si="492"/>
        <v>-0.24574829577869484</v>
      </c>
      <c r="M1850" s="17">
        <f>IF(A1856=A1857,_xll.ciqfunctions.udf.CIQ(A1848,"IQ_TOTAL_DEBT_ISSUED",IQ_FY-8), _xll.ciqfunctions.udf.CIQ(A1848, "IQ_TOTAL_DEBT_ISSUED",IQ_FY-7))</f>
        <v>0</v>
      </c>
      <c r="N1850" s="17">
        <f>IF(A1856=A1857,_xll.ciqfunctions.udf.CIQ(A1848,"IQ_TOTAL_DEBT_REPAID",IQ_FY-8), _xll.ciqfunctions.udf.CIQ(A1848, "IQ_TOTAL_DEBT_REPAID",IQ_FY-7))</f>
        <v>0</v>
      </c>
      <c r="O1850" s="15">
        <f t="shared" si="493"/>
        <v>0</v>
      </c>
      <c r="P1850" s="15">
        <f t="shared" si="494"/>
        <v>-0.24574829577869484</v>
      </c>
      <c r="Q1850" s="25" t="s">
        <v>21</v>
      </c>
      <c r="R1850" s="38" t="s">
        <v>49</v>
      </c>
      <c r="S1850" s="2">
        <f>(R1847*I1858)/1000</f>
        <v>11.394193995749999</v>
      </c>
      <c r="U1850" s="25" t="s">
        <v>59</v>
      </c>
      <c r="V1850" s="38" t="s">
        <v>49</v>
      </c>
      <c r="W1850" s="2">
        <f>(V1847*I1858)/1000</f>
        <v>11.394193995749999</v>
      </c>
      <c r="Y1850" s="25" t="s">
        <v>46</v>
      </c>
      <c r="Z1850" s="38" t="s">
        <v>49</v>
      </c>
      <c r="AA1850" s="2">
        <f>(Z1847*I1858)/1000</f>
        <v>11.394193995749999</v>
      </c>
    </row>
    <row r="1851" spans="1:27">
      <c r="A1851" s="18"/>
      <c r="B1851" s="13">
        <v>4</v>
      </c>
      <c r="C1851" s="14" t="s">
        <v>22</v>
      </c>
      <c r="D1851" s="15" cm="1">
        <f t="array" ref="D1851">_xlfn.SINGLE(IF(A1856=A1857,_xll.ciqfunctions.udf.CIQ(A1848,"IQ_TOTAL_REV",IQ_FY-7)/I1851, _xll.ciqfunctions.udf.CIQ(A1848, "IQ_TOTAL_REV",IQ_FY-6)/I1851))</f>
        <v>3.5775916268681089</v>
      </c>
      <c r="E1851" s="16">
        <f t="shared" si="495"/>
        <v>0.56085376419115684</v>
      </c>
      <c r="F1851" s="15">
        <f>IF(A1856=A1857,_xll.ciqfunctions.udf.CIQ(A1848,"IQ_DILUT_EPS_EXCL",IQ_FY-7), _xll.ciqfunctions.udf.CIQ(A1848, "IQ_DILUT_EPS_EXCL",IQ_FY-6))</f>
        <v>-1.1377299999999999</v>
      </c>
      <c r="G1851" s="15">
        <f>IF(A1856=A1857,_xll.ciqfunctions.udf.CIQ(A1848,"IQ_EBITDA_MARGIN",IQ_FY-7), _xll.ciqfunctions.udf.CIQ(A1848, "IQ_EBITDA_MARGIN",IQ_FY-6))</f>
        <v>-19.274100000000001</v>
      </c>
      <c r="H1851" s="15">
        <f>IF(A1856=A1857,_xll.ciqfunctions.udf.CIQ(A1848,"IQ_TOTAL_DIV_PAID_CF",IQ_FY-7)/-I1851, _xll.ciqfunctions.udf.CIQ(A1848, "IQ_TOTAL_DIV_PAID_CF",IQ_FY-6)/-I1851)</f>
        <v>0</v>
      </c>
      <c r="I1851" s="17">
        <f>IF(A1856=A1857,_xll.ciqfunctions.udf.CIQ(A1848,"IQ_TOTAL_OUTSTANDING_FILING_DATE",IQ_FY-7), _xll.ciqfunctions.udf.CIQ(A1848, "IQ_TOTAL_OUTSTANDING_FILING_DATE",IQ_FY-6))</f>
        <v>206.61134000000001</v>
      </c>
      <c r="J1851" s="17">
        <f>IF(A1856=A1857,_xll.ciqfunctions.udf.CIQ(A1848,"IQ_CASH_OPER",IQ_FY-7), _xll.ciqfunctions.udf.CIQ(A1848, "IQ_CASH_OPER",IQ_FY-6))</f>
        <v>-14.362</v>
      </c>
      <c r="K1851" s="17">
        <f>IF(A1856=A1857,_xll.ciqfunctions.udf.CIQ(A1848,"IQ_CAPEX",IQ_FY-7), _xll.ciqfunctions.udf.CIQ(A1848, "IQ_CAPEX",IQ_FY-6))</f>
        <v>-76.772999999999996</v>
      </c>
      <c r="L1851" s="15">
        <f t="shared" si="492"/>
        <v>-0.4410938915550327</v>
      </c>
      <c r="M1851" s="17">
        <f>IF(A1856=A1857,_xll.ciqfunctions.udf.CIQ(A1848,"IQ_TOTAL_DEBT_ISSUED",IQ_FY-7), _xll.ciqfunctions.udf.CIQ(A1848, "IQ_TOTAL_DEBT_ISSUED",IQ_FY-6))</f>
        <v>0</v>
      </c>
      <c r="N1851" s="17">
        <f>IF(A1856=A1857,_xll.ciqfunctions.udf.CIQ(A1848,"IQ_TOTAL_DEBT_REPAID",IQ_FY-7), _xll.ciqfunctions.udf.CIQ(A1848, "IQ_TOTAL_DEBT_REPAID",IQ_FY-6))</f>
        <v>0</v>
      </c>
      <c r="O1851" s="15">
        <f t="shared" si="493"/>
        <v>0</v>
      </c>
      <c r="P1851" s="15">
        <f t="shared" si="494"/>
        <v>-0.4410938915550327</v>
      </c>
      <c r="Q1851" s="25" t="s">
        <v>23</v>
      </c>
      <c r="R1851" s="38" t="s">
        <v>24</v>
      </c>
      <c r="S1851" s="1" t="e">
        <f>R1847/(AVERAGE(H1853:H1858)*(1+H1859)/(0.5-H1859))</f>
        <v>#DIV/0!</v>
      </c>
      <c r="U1851" s="25" t="s">
        <v>40</v>
      </c>
      <c r="V1851" s="38" t="s">
        <v>24</v>
      </c>
      <c r="W1851" s="1" t="e">
        <f>V1847/(AVERAGE(H1853:H1858)*(1+H1859)/(0.5-H1859))</f>
        <v>#DIV/0!</v>
      </c>
      <c r="Y1851" s="25" t="s">
        <v>47</v>
      </c>
      <c r="Z1851" s="38" t="s">
        <v>24</v>
      </c>
      <c r="AA1851" s="1" t="e">
        <f>Z1847/(AVERAGE(H1853:H1858)*(1+H1859)/(0.5-H1859))</f>
        <v>#DIV/0!</v>
      </c>
    </row>
    <row r="1852" spans="1:27">
      <c r="B1852" s="13">
        <v>5</v>
      </c>
      <c r="C1852" s="14" t="s">
        <v>25</v>
      </c>
      <c r="D1852" s="15" cm="1">
        <f t="array" ref="D1852">_xlfn.SINGLE(IF(A1856=A1857,_xll.ciqfunctions.udf.CIQ(A1848,"IQ_TOTAL_REV",IQ_FY-6)/I1852, _xll.ciqfunctions.udf.CIQ(A1848, "IQ_TOTAL_REV",IQ_FY-5)/I1852))</f>
        <v>4.4702908104416919</v>
      </c>
      <c r="E1852" s="16">
        <f t="shared" si="495"/>
        <v>0.24952517690093898</v>
      </c>
      <c r="F1852" s="15">
        <f>IF(A1856=A1857,_xll.ciqfunctions.udf.CIQ(A1848,"IQ_DILUT_EPS_EXCL",IQ_FY-6), _xll.ciqfunctions.udf.CIQ(A1848, "IQ_DILUT_EPS_EXCL",IQ_FY-5))</f>
        <v>-0.75553000000000003</v>
      </c>
      <c r="G1852" s="15">
        <f>IF(A1856=A1857,_xll.ciqfunctions.udf.CIQ(A1848,"IQ_EBITDA_MARGIN",IQ_FY-6), _xll.ciqfunctions.udf.CIQ(A1848, "IQ_EBITDA_MARGIN",IQ_FY-5))</f>
        <v>-10.459899999999999</v>
      </c>
      <c r="H1852" s="15">
        <f>IF(A1856=A1857,_xll.ciqfunctions.udf.CIQ(A1848,"IQ_TOTAL_DIV_PAID_CF",IQ_FY-6)/-I1852, _xll.ciqfunctions.udf.CIQ(A1848, "IQ_TOTAL_DIV_PAID_CF",IQ_FY-5)/-I1852)</f>
        <v>0</v>
      </c>
      <c r="I1852" s="17">
        <f>IF(A1856=A1857,_xll.ciqfunctions.udf.CIQ(A1848,"IQ_TOTAL_OUTSTANDING_FILING_DATE",IQ_FY-6), _xll.ciqfunctions.udf.CIQ(A1848, "IQ_TOTAL_OUTSTANDING_FILING_DATE",IQ_FY-5))</f>
        <v>229.23832999999999</v>
      </c>
      <c r="J1852" s="17">
        <f>IF(A1856=A1857,_xll.ciqfunctions.udf.CIQ(A1848,"IQ_CASH_OPER",IQ_FY-6), _xll.ciqfunctions.udf.CIQ(A1848, "IQ_CASH_OPER",IQ_FY-5))</f>
        <v>72.756</v>
      </c>
      <c r="K1852" s="17">
        <f>IF(A1856=A1857,_xll.ciqfunctions.udf.CIQ(A1848,"IQ_CAPEX",IQ_FY-6), _xll.ciqfunctions.udf.CIQ(A1848, "IQ_CAPEX",IQ_FY-5))</f>
        <v>-65.06</v>
      </c>
      <c r="L1852" s="15">
        <f t="shared" si="492"/>
        <v>3.3572047048152892E-2</v>
      </c>
      <c r="M1852" s="17">
        <f>IF(A1856=A1857,_xll.ciqfunctions.udf.CIQ(A1848,"IQ_TOTAL_DEBT_ISSUED",IQ_FY-6), _xll.ciqfunctions.udf.CIQ(A1848, "IQ_TOTAL_DEBT_ISSUED",IQ_FY-5))</f>
        <v>0</v>
      </c>
      <c r="N1852" s="17">
        <f>IF(A1856=A1857,_xll.ciqfunctions.udf.CIQ(A1848,"IQ_TOTAL_DEBT_REPAID",IQ_FY-6), _xll.ciqfunctions.udf.CIQ(A1848, "IQ_TOTAL_DEBT_REPAID",IQ_FY-5))</f>
        <v>0</v>
      </c>
      <c r="O1852" s="15">
        <f t="shared" si="493"/>
        <v>0</v>
      </c>
      <c r="P1852" s="15">
        <f t="shared" si="494"/>
        <v>3.3572047048152892E-2</v>
      </c>
      <c r="Q1852" s="18"/>
      <c r="R1852" s="38" t="s">
        <v>50</v>
      </c>
      <c r="S1852" s="3">
        <f>I1859</f>
        <v>4.9566793396485842E-2</v>
      </c>
      <c r="U1852" s="18"/>
      <c r="V1852" s="38" t="s">
        <v>50</v>
      </c>
      <c r="W1852" s="3">
        <f>I1859</f>
        <v>4.9566793396485842E-2</v>
      </c>
      <c r="Y1852" s="18"/>
      <c r="Z1852" s="38" t="s">
        <v>50</v>
      </c>
      <c r="AA1852" s="3">
        <f>I1859</f>
        <v>4.9566793396485842E-2</v>
      </c>
    </row>
    <row r="1853" spans="1:27">
      <c r="B1853" s="13">
        <v>6</v>
      </c>
      <c r="C1853" s="14" t="s">
        <v>26</v>
      </c>
      <c r="D1853" s="15" cm="1">
        <f t="array" ref="D1853">_xlfn.SINGLE(IF(A1856=A1857,_xll.ciqfunctions.udf.CIQ(A1848,"IQ_TOTAL_REV",IQ_FY-5)/I1853, _xll.ciqfunctions.udf.CIQ(A1848, "IQ_TOTAL_REV",IQ_FY-4)/I1853))</f>
        <v>5.551875600986663</v>
      </c>
      <c r="E1853" s="16">
        <f t="shared" si="495"/>
        <v>0.24194953670991798</v>
      </c>
      <c r="F1853" s="15">
        <f>IF(A1856=A1857,_xll.ciqfunctions.udf.CIQ(A1848,"IQ_DILUT_EPS_EXCL",IQ_FY-5), _xll.ciqfunctions.udf.CIQ(A1848, "IQ_DILUT_EPS_EXCL",IQ_FY-4))</f>
        <v>-0.76866000000000001</v>
      </c>
      <c r="G1853" s="15">
        <f>IF(A1856=A1857,_xll.ciqfunctions.udf.CIQ(A1848,"IQ_EBITDA_MARGIN",IQ_FY-5), _xll.ciqfunctions.udf.CIQ(A1848, "IQ_EBITDA_MARGIN",IQ_FY-4))</f>
        <v>-7.4257999999999997</v>
      </c>
      <c r="H1853" s="15">
        <f>IF(A1856=A1857,_xll.ciqfunctions.udf.CIQ(A1848,"IQ_TOTAL_DIV_PAID_CF",IQ_FY-5)/-I1853, _xll.ciqfunctions.udf.CIQ(A1848, "IQ_TOTAL_DIV_PAID_CF",IQ_FY-4)/-I1853)</f>
        <v>0</v>
      </c>
      <c r="I1853" s="17">
        <f>IF(A1856=A1857,_xll.ciqfunctions.udf.CIQ(A1848,"IQ_TOTAL_OUTSTANDING_FILING_DATE",IQ_FY-5), _xll.ciqfunctions.udf.CIQ(A1848, "IQ_TOTAL_OUTSTANDING_FILING_DATE",IQ_FY-4))</f>
        <v>244.93056000000001</v>
      </c>
      <c r="J1853" s="17">
        <f>IF(A1856=A1857,_xll.ciqfunctions.udf.CIQ(A1848,"IQ_CASH_OPER",IQ_FY-5), _xll.ciqfunctions.udf.CIQ(A1848, "IQ_CASH_OPER",IQ_FY-4))</f>
        <v>164.423</v>
      </c>
      <c r="K1853" s="17">
        <f>IF(A1856=A1857,_xll.ciqfunctions.udf.CIQ(A1848,"IQ_CAPEX",IQ_FY-5), _xll.ciqfunctions.udf.CIQ(A1848, "IQ_CAPEX",IQ_FY-4))</f>
        <v>-100.246</v>
      </c>
      <c r="L1853" s="15">
        <f t="shared" si="492"/>
        <v>0.26202120307078058</v>
      </c>
      <c r="M1853" s="17">
        <f>IF(A1856=A1857,_xll.ciqfunctions.udf.CIQ(A1848,"IQ_TOTAL_DEBT_ISSUED",IQ_FY-5), _xll.ciqfunctions.udf.CIQ(A1848, "IQ_TOTAL_DEBT_ISSUED",IQ_FY-4))</f>
        <v>562.06200000000001</v>
      </c>
      <c r="N1853" s="17">
        <f>IF(A1856=A1857,_xll.ciqfunctions.udf.CIQ(A1848,"IQ_TOTAL_DEBT_REPAID",IQ_FY-5), _xll.ciqfunctions.udf.CIQ(A1848, "IQ_TOTAL_DEBT_REPAID",IQ_FY-4))</f>
        <v>-6.101</v>
      </c>
      <c r="O1853" s="15">
        <f t="shared" si="493"/>
        <v>2.2698719179836111</v>
      </c>
      <c r="P1853" s="15">
        <f t="shared" si="494"/>
        <v>2.5318931210543916</v>
      </c>
      <c r="Q1853" s="25" t="s">
        <v>27</v>
      </c>
      <c r="R1853" s="38" t="s">
        <v>51</v>
      </c>
      <c r="S1853" s="4">
        <f>AVERAGE(F1853:F1858)/AVERAGE(D1853:D1858)</f>
        <v>-6.7620721372101095E-2</v>
      </c>
      <c r="U1853" s="25" t="s">
        <v>58</v>
      </c>
      <c r="V1853" s="38" t="s">
        <v>51</v>
      </c>
      <c r="W1853" s="4">
        <f>AVERAGE(F1853:F1858)/AVERAGE(D1853:D1858)</f>
        <v>-6.7620721372101095E-2</v>
      </c>
      <c r="Y1853" s="25" t="s">
        <v>56</v>
      </c>
      <c r="Z1853" s="38" t="s">
        <v>51</v>
      </c>
      <c r="AA1853" s="4">
        <f>AVERAGE(F1853:F1858)/AVERAGE(D1853:D1858)</f>
        <v>-6.7620721372101095E-2</v>
      </c>
    </row>
    <row r="1854" spans="1:27">
      <c r="A1854" s="18"/>
      <c r="B1854" s="13">
        <v>7</v>
      </c>
      <c r="C1854" s="14" t="s">
        <v>28</v>
      </c>
      <c r="D1854" s="15" cm="1">
        <f t="array" ref="D1854">_xlfn.SINGLE(IF(A1856=A1857,_xll.ciqfunctions.udf.CIQ(A1848,"IQ_TOTAL_REV",IQ_FY-4)/I1854, _xll.ciqfunctions.udf.CIQ(A1848, "IQ_TOTAL_REV",IQ_FY-3)/I1854))</f>
        <v>6.1545389050340393</v>
      </c>
      <c r="E1854" s="16">
        <f t="shared" si="495"/>
        <v>0.10855129822078016</v>
      </c>
      <c r="F1854" s="15">
        <f>IF(A1856=A1857,_xll.ciqfunctions.udf.CIQ(A1848,"IQ_DILUT_EPS_EXCL",IQ_FY-4), _xll.ciqfunctions.udf.CIQ(A1848, "IQ_DILUT_EPS_EXCL",IQ_FY-3))</f>
        <v>-0.79498000000000002</v>
      </c>
      <c r="G1854" s="15">
        <f>IF(A1856=A1857,_xll.ciqfunctions.udf.CIQ(A1848,"IQ_EBITDA_MARGIN",IQ_FY-4), _xll.ciqfunctions.udf.CIQ(A1848, "IQ_EBITDA_MARGIN",IQ_FY-3))</f>
        <v>-6.1805000000000003</v>
      </c>
      <c r="H1854" s="15">
        <f>IF(A1856=A1857,_xll.ciqfunctions.udf.CIQ(A1848,"IQ_TOTAL_DIV_PAID_CF",IQ_FY-4)/-I1854, _xll.ciqfunctions.udf.CIQ(A1848, "IQ_TOTAL_DIV_PAID_CF",IQ_FY-3)/-I1854)</f>
        <v>0</v>
      </c>
      <c r="I1854" s="17">
        <f>IF(A1856=A1857,_xll.ciqfunctions.udf.CIQ(A1848,"IQ_TOTAL_OUTSTANDING_FILING_DATE",IQ_FY-4), _xll.ciqfunctions.udf.CIQ(A1848, "IQ_TOTAL_OUTSTANDING_FILING_DATE",IQ_FY-3))</f>
        <v>267.02893999999998</v>
      </c>
      <c r="J1854" s="17">
        <f>IF(A1856=A1857,_xll.ciqfunctions.udf.CIQ(A1848,"IQ_CASH_OPER",IQ_FY-4), _xll.ciqfunctions.udf.CIQ(A1848, "IQ_CASH_OPER",IQ_FY-3))</f>
        <v>189.57400000000001</v>
      </c>
      <c r="K1854" s="17">
        <f>IF(A1856=A1857,_xll.ciqfunctions.udf.CIQ(A1848,"IQ_CAPEX",IQ_FY-4), _xll.ciqfunctions.udf.CIQ(A1848, "IQ_CAPEX",IQ_FY-3))</f>
        <v>-87.846999999999994</v>
      </c>
      <c r="L1854" s="15">
        <f t="shared" si="492"/>
        <v>0.38095870807111776</v>
      </c>
      <c r="M1854" s="17">
        <f>IF(A1856=A1857,_xll.ciqfunctions.udf.CIQ(A1848,"IQ_TOTAL_DEBT_ISSUED",IQ_FY-4), _xll.ciqfunctions.udf.CIQ(A1848, "IQ_TOTAL_DEBT_ISSUED",IQ_FY-3))</f>
        <v>0</v>
      </c>
      <c r="N1854" s="17">
        <f>IF(A1856=A1857,_xll.ciqfunctions.udf.CIQ(A1848,"IQ_TOTAL_DEBT_REPAID",IQ_FY-4), _xll.ciqfunctions.udf.CIQ(A1848, "IQ_TOTAL_DEBT_REPAID",IQ_FY-3))</f>
        <v>-11.555</v>
      </c>
      <c r="O1854" s="15">
        <f t="shared" si="493"/>
        <v>-4.327246327682685E-2</v>
      </c>
      <c r="P1854" s="15">
        <f t="shared" si="494"/>
        <v>0.33768624479429088</v>
      </c>
      <c r="Q1854" s="18"/>
      <c r="R1854" s="38" t="s">
        <v>29</v>
      </c>
      <c r="S1854" s="4">
        <f>(AVERAGE(P1853:P1858)/_xlfn.STDEV.P(P1853:P1858))/(IF(A1856=A1857,(_xlfn.SINGLE(_xll.ciqfunctions.udf.CIQ(A1848,"IQ_total_assets",IQ_FY)) - _xlfn.SINGLE(_xll.ciqfunctions.udf.CIQ(A1848,"iq_gw_intan", IQ_FY)))/I1858, (_xlfn.SINGLE(_xll.ciqfunctions.udf.CIQ(A1848, "IQ_total_assets",IQ_LTM))-_xlfn.SINGLE(_xll.ciqfunctions.udf.CIQ(A1848,"iq_gw_intan",IQ_LTM)))/I1858))</f>
        <v>0.14346005237937801</v>
      </c>
      <c r="U1854" s="18"/>
      <c r="V1854" s="38" t="s">
        <v>29</v>
      </c>
      <c r="W1854" s="4">
        <f>(AVERAGE(P1853:P1858)/_xlfn.STDEV.P(P1853:P1858))/(IF(A1856=A1857,(_xlfn.SINGLE(_xll.ciqfunctions.udf.CIQ(A1848,"IQ_total_assets",IQ_FY)) - _xlfn.SINGLE(_xll.ciqfunctions.udf.CIQ(A1848,"iq_gw_intan", IQ_FY)))/I1858, (_xlfn.SINGLE(_xll.ciqfunctions.udf.CIQ(A1848, "IQ_total_assets",IQ_LTM))-_xlfn.SINGLE(_xll.ciqfunctions.udf.CIQ(A1848,"iq_gw_intan",IQ_LTM)))/I1858))</f>
        <v>0.14346005237937801</v>
      </c>
      <c r="Y1854" s="18"/>
      <c r="Z1854" s="38" t="s">
        <v>29</v>
      </c>
      <c r="AA1854" s="4">
        <f>(AVERAGE(P1853:P1858)/_xlfn.STDEV.P(P1853:P1858))/(IF(A1856=A1857,(_xlfn.SINGLE(_xll.ciqfunctions.udf.CIQ(A1848,"IQ_total_assets",IQ_FY)) - _xlfn.SINGLE(_xll.ciqfunctions.udf.CIQ(A1848,"iq_gw_intan", IQ_FY)))/I1858, (_xlfn.SINGLE(_xll.ciqfunctions.udf.CIQ(A1848, "IQ_total_assets",IQ_LTM))-_xlfn.SINGLE(_xll.ciqfunctions.udf.CIQ(A1848,"iq_gw_intan",IQ_LTM)))/I1858))</f>
        <v>0.14346005237937801</v>
      </c>
    </row>
    <row r="1855" spans="1:27">
      <c r="A1855" s="18"/>
      <c r="B1855" s="13">
        <v>8</v>
      </c>
      <c r="C1855" s="14" t="s">
        <v>30</v>
      </c>
      <c r="D1855" s="15" cm="1">
        <f t="array" ref="D1855">_xlfn.SINGLE(IF(A1856=A1857,_xll.ciqfunctions.udf.CIQ(A1848,"IQ_TOTAL_REV",IQ_FY-3)/I1855, _xll.ciqfunctions.udf.CIQ(A1848, "IQ_TOTAL_REV",IQ_FY-2)/I1855))</f>
        <v>6.0077202415003814</v>
      </c>
      <c r="E1855" s="16">
        <f t="shared" si="495"/>
        <v>-2.3855347378431414E-2</v>
      </c>
      <c r="F1855" s="15">
        <f>IF(A1856=A1857,_xll.ciqfunctions.udf.CIQ(A1848,"IQ_DILUT_EPS_EXCL",IQ_FY-3), _xll.ciqfunctions.udf.CIQ(A1848, "IQ_DILUT_EPS_EXCL",IQ_FY-2))</f>
        <v>-1.05321</v>
      </c>
      <c r="G1855" s="15">
        <f>IF(A1856=A1857,_xll.ciqfunctions.udf.CIQ(A1848,"IQ_EBITDA_MARGIN",IQ_FY-3), _xll.ciqfunctions.udf.CIQ(A1848, "IQ_EBITDA_MARGIN",IQ_FY-2))</f>
        <v>-9.4461999999999993</v>
      </c>
      <c r="H1855" s="15">
        <f>IF(A1856=A1857,_xll.ciqfunctions.udf.CIQ(A1848,"IQ_TOTAL_DIV_PAID_CF",IQ_FY-3)/-I1855, _xll.ciqfunctions.udf.CIQ(A1848, "IQ_TOTAL_DIV_PAID_CF",IQ_FY-2)/-I1855)</f>
        <v>0</v>
      </c>
      <c r="I1855" s="17">
        <f>IF(A1856=A1857,_xll.ciqfunctions.udf.CIQ(A1848,"IQ_TOTAL_OUTSTANDING_FILING_DATE",IQ_FY-3), _xll.ciqfunctions.udf.CIQ(A1848, "IQ_TOTAL_OUTSTANDING_FILING_DATE",IQ_FY-2))</f>
        <v>280.33578999999997</v>
      </c>
      <c r="J1855" s="17">
        <f>IF(A1856=A1857,_xll.ciqfunctions.udf.CIQ(A1848,"IQ_CASH_OPER",IQ_FY-3), _xll.ciqfunctions.udf.CIQ(A1848, "IQ_CASH_OPER",IQ_FY-2))</f>
        <v>187.64099999999999</v>
      </c>
      <c r="K1855" s="17">
        <f>IF(A1856=A1857,_xll.ciqfunctions.udf.CIQ(A1848,"IQ_CAPEX",IQ_FY-3), _xll.ciqfunctions.udf.CIQ(A1848, "IQ_CAPEX",IQ_FY-2))</f>
        <v>-94.974999999999994</v>
      </c>
      <c r="L1855" s="15">
        <f t="shared" si="492"/>
        <v>0.33055358361484993</v>
      </c>
      <c r="M1855" s="17">
        <f>IF(A1856=A1857,_xll.ciqfunctions.udf.CIQ(A1848,"IQ_TOTAL_DEBT_ISSUED",IQ_FY-3), _xll.ciqfunctions.udf.CIQ(A1848, "IQ_TOTAL_DEBT_ISSUED",IQ_FY-2))</f>
        <v>251.892</v>
      </c>
      <c r="N1855" s="17">
        <f>IF(A1856=A1857,_xll.ciqfunctions.udf.CIQ(A1848,"IQ_TOTAL_DEBT_REPAID",IQ_FY-3), _xll.ciqfunctions.udf.CIQ(A1848, "IQ_TOTAL_DEBT_REPAID",IQ_FY-2))</f>
        <v>0</v>
      </c>
      <c r="O1855" s="15">
        <f t="shared" si="493"/>
        <v>0.89853671555815262</v>
      </c>
      <c r="P1855" s="15">
        <f t="shared" si="494"/>
        <v>1.2290902991730026</v>
      </c>
      <c r="Q1855" s="18"/>
      <c r="R1855" s="39" t="s">
        <v>31</v>
      </c>
      <c r="S1855" s="5">
        <f>IF(NOT(D1848&gt;0),FALSE,SLOPE(G1848:G1858,B1848:B1858))</f>
        <v>12.983323636363634</v>
      </c>
      <c r="U1855" s="18"/>
      <c r="V1855" s="39" t="s">
        <v>31</v>
      </c>
      <c r="W1855" s="5">
        <f>IF(NOT(D1848&gt;0),FALSE,SLOPE(G1848:G1858,B1848:B1858))</f>
        <v>12.983323636363634</v>
      </c>
      <c r="Y1855" s="18"/>
      <c r="Z1855" s="39" t="s">
        <v>31</v>
      </c>
      <c r="AA1855" s="5" t="b">
        <f>IF(NOT(L1848&gt;0),FALSE,SLOPE(O1848:O1858,J1848:J1858))</f>
        <v>0</v>
      </c>
    </row>
    <row r="1856" spans="1:27">
      <c r="A1856" s="19">
        <f>_xll.ciqfunctions.udf.CIQ(A1848,"IQ_TOTAL_REV",IQ_FY)</f>
        <v>2753.4340000000002</v>
      </c>
      <c r="B1856" s="13">
        <v>9</v>
      </c>
      <c r="C1856" s="14" t="s">
        <v>32</v>
      </c>
      <c r="D1856" s="15" cm="1">
        <f t="array" ref="D1856">_xlfn.SINGLE(IF(A1856=A1857,_xll.ciqfunctions.udf.CIQ(A1848,"IQ_TOTAL_REV",IQ_FY-2)/I1856, _xll.ciqfunctions.udf.CIQ(A1848, "IQ_TOTAL_REV",IQ_FY-1)/I1856))</f>
        <v>7.3060496397759289</v>
      </c>
      <c r="E1856" s="16">
        <f t="shared" si="495"/>
        <v>0.21611016260492513</v>
      </c>
      <c r="F1856" s="15">
        <f>IF(A1856=A1857,_xll.ciqfunctions.udf.CIQ(A1848,"IQ_DILUT_EPS_EXCL",IQ_FY-2), _xll.ciqfunctions.udf.CIQ(A1848, "IQ_DILUT_EPS_EXCL",IQ_FY-1))</f>
        <v>-0.50111000000000006</v>
      </c>
      <c r="G1856" s="15">
        <f>IF(A1856=A1857,_xll.ciqfunctions.udf.CIQ(A1848,"IQ_EBITDA_MARGIN",IQ_FY-2), _xll.ciqfunctions.udf.CIQ(A1848, "IQ_EBITDA_MARGIN",IQ_FY-1))</f>
        <v>-0.69910000000000005</v>
      </c>
      <c r="H1856" s="15">
        <f>IF(A1856=A1857,_xll.ciqfunctions.udf.CIQ(A1848,"IQ_TOTAL_DIV_PAID_CF",IQ_FY-2)/-I1856, _xll.ciqfunctions.udf.CIQ(A1848, "IQ_TOTAL_DIV_PAID_CF",IQ_FY-1)/-I1856)</f>
        <v>0</v>
      </c>
      <c r="I1856" s="17">
        <f>IF(A1856=A1857,_xll.ciqfunctions.udf.CIQ(A1848,"IQ_TOTAL_OUTSTANDING_FILING_DATE",IQ_FY-2), _xll.ciqfunctions.udf.CIQ(A1848, "IQ_TOTAL_OUTSTANDING_FILING_DATE",IQ_FY-1))</f>
        <v>298.49892999999997</v>
      </c>
      <c r="J1856" s="17">
        <f>IF(A1856=A1857,_xll.ciqfunctions.udf.CIQ(A1848,"IQ_CASH_OPER",IQ_FY-2), _xll.ciqfunctions.udf.CIQ(A1848, "IQ_CASH_OPER",IQ_FY-1))</f>
        <v>410.12700000000001</v>
      </c>
      <c r="K1856" s="17">
        <f>IF(A1856=A1857,_xll.ciqfunctions.udf.CIQ(A1848,"IQ_CAPEX",IQ_FY-2), _xll.ciqfunctions.udf.CIQ(A1848, "IQ_CAPEX",IQ_FY-1))</f>
        <v>-102.28700000000001</v>
      </c>
      <c r="L1856" s="15">
        <f t="shared" si="492"/>
        <v>1.0312934790084509</v>
      </c>
      <c r="M1856" s="17">
        <f>IF(A1856=A1857,_xll.ciqfunctions.udf.CIQ(A1848,"IQ_TOTAL_DEBT_ISSUED",IQ_FY-2), _xll.ciqfunctions.udf.CIQ(A1848, "IQ_TOTAL_DEBT_ISSUED",IQ_FY-1))</f>
        <v>0</v>
      </c>
      <c r="N1856" s="17">
        <f>IF(A1856=A1857,_xll.ciqfunctions.udf.CIQ(A1848,"IQ_TOTAL_DEBT_REPAID",IQ_FY-2), _xll.ciqfunctions.udf.CIQ(A1848, "IQ_TOTAL_DEBT_REPAID",IQ_FY-1))</f>
        <v>-2.137</v>
      </c>
      <c r="O1856" s="15">
        <f t="shared" si="493"/>
        <v>-7.159154640855832E-3</v>
      </c>
      <c r="P1856" s="15">
        <f t="shared" si="494"/>
        <v>1.0241343243675951</v>
      </c>
      <c r="Q1856" s="25" t="s">
        <v>33</v>
      </c>
      <c r="R1856" s="38" t="s">
        <v>52</v>
      </c>
      <c r="S1856" s="4">
        <f>(AVERAGE(O1853:O1858)/AVERAGE(P1853:P1858))</f>
        <v>0.11902710349566982</v>
      </c>
      <c r="U1856" s="25" t="s">
        <v>54</v>
      </c>
      <c r="V1856" s="38" t="s">
        <v>52</v>
      </c>
      <c r="W1856" s="4">
        <f>(AVERAGE(O1853:O1858)/AVERAGE(P1853:P1858))</f>
        <v>0.11902710349566982</v>
      </c>
      <c r="Y1856" s="25" t="s">
        <v>60</v>
      </c>
      <c r="Z1856" s="38" t="s">
        <v>52</v>
      </c>
      <c r="AA1856" s="4">
        <f>(AVERAGE(O1853:O1858)/AVERAGE(P1853:P1858))</f>
        <v>0.11902710349566982</v>
      </c>
    </row>
    <row r="1857" spans="1:27">
      <c r="A1857" s="19">
        <f>_xll.ciqfunctions.udf.CIQ(A1848,"IQ_TOTAL_REV",IQ_LTM)</f>
        <v>2764.2350000000001</v>
      </c>
      <c r="B1857" s="13">
        <v>10</v>
      </c>
      <c r="C1857" s="14" t="s">
        <v>34</v>
      </c>
      <c r="D1857" s="15" cm="1">
        <f t="array" ref="D1857">_xlfn.SINGLE(IF(A1856=A1857,_xll.ciqfunctions.udf.CIQ(A1848,"IQ_TOTAL_REV",IQ_FY-1)/I1857, _xll.ciqfunctions.udf.CIQ(A1848, "IQ_TOTAL_REV",IQ_FY)/I1857))</f>
        <v>8.9384061370194594</v>
      </c>
      <c r="E1857" s="16">
        <f t="shared" si="495"/>
        <v>0.22342532253772007</v>
      </c>
      <c r="F1857" s="15">
        <f>IF(A1856=A1857,_xll.ciqfunctions.udf.CIQ(A1848,"IQ_DILUT_EPS_EXCL",IQ_FY-1), _xll.ciqfunctions.udf.CIQ(A1848, "IQ_DILUT_EPS_EXCL",IQ_FY))</f>
        <v>0.22520000000000001</v>
      </c>
      <c r="G1857" s="15">
        <f>IF(A1856=A1857,_xll.ciqfunctions.udf.CIQ(A1848,"IQ_EBITDA_MARGIN",IQ_FY-1), _xll.ciqfunctions.udf.CIQ(A1848, "IQ_EBITDA_MARGIN",IQ_FY))</f>
        <v>6.6805000000000003</v>
      </c>
      <c r="H1857" s="15">
        <f>IF(A1856=A1857,_xll.ciqfunctions.udf.CIQ(A1848,"IQ_TOTAL_DIV_PAID_CF",IQ_FY-1)/-I1857, _xll.ciqfunctions.udf.CIQ(A1848, "IQ_TOTAL_DIV_PAID_CF",IQ_FY)/-I1857)</f>
        <v>0</v>
      </c>
      <c r="I1857" s="17">
        <f>IF(A1856=A1857,_xll.ciqfunctions.udf.CIQ(A1848,"IQ_TOTAL_OUTSTANDING_FILING_DATE",IQ_FY-1), _xll.ciqfunctions.udf.CIQ(A1848, "IQ_TOTAL_OUTSTANDING_FILING_DATE",IQ_FY))</f>
        <v>308.0453</v>
      </c>
      <c r="J1857" s="17">
        <f>IF(A1856=A1857,_xll.ciqfunctions.udf.CIQ(A1848,"IQ_CASH_OPER",IQ_FY-1), _xll.ciqfunctions.udf.CIQ(A1848, "IQ_CASH_OPER",IQ_FY))</f>
        <v>767.23400000000004</v>
      </c>
      <c r="K1857" s="17">
        <f>IF(A1856=A1857,_xll.ciqfunctions.udf.CIQ(A1848,"IQ_CAPEX",IQ_FY-1), _xll.ciqfunctions.udf.CIQ(A1848, "IQ_CAPEX",IQ_FY))</f>
        <v>-158.13900000000001</v>
      </c>
      <c r="L1857" s="15">
        <f t="shared" si="492"/>
        <v>1.9772903530746939</v>
      </c>
      <c r="M1857" s="17">
        <f>IF(A1856=A1857,_xll.ciqfunctions.udf.CIQ(A1848,"IQ_TOTAL_DEBT_ISSUED",IQ_FY-1), _xll.ciqfunctions.udf.CIQ(A1848, "IQ_TOTAL_DEBT_ISSUED",IQ_FY))</f>
        <v>0</v>
      </c>
      <c r="N1857" s="17">
        <f>IF(A1856=A1857,_xll.ciqfunctions.udf.CIQ(A1848,"IQ_TOTAL_DEBT_REPAID",IQ_FY-1), _xll.ciqfunctions.udf.CIQ(A1848, "IQ_TOTAL_DEBT_REPAID",IQ_FY))</f>
        <v>-257.24</v>
      </c>
      <c r="O1857" s="15">
        <f t="shared" si="493"/>
        <v>-0.83507198454253317</v>
      </c>
      <c r="P1857" s="15">
        <f t="shared" si="494"/>
        <v>1.1422183685321607</v>
      </c>
      <c r="Q1857" s="25" t="s">
        <v>44</v>
      </c>
      <c r="R1857" s="38" t="s">
        <v>35</v>
      </c>
      <c r="S1857" s="1">
        <f>_xll.ciqfunctions.udf.CIQ(A1848,"IQ_TEV_EBITDA")</f>
        <v>54.554720000000003</v>
      </c>
      <c r="U1857" s="25" t="s">
        <v>55</v>
      </c>
      <c r="V1857" s="38" t="s">
        <v>53</v>
      </c>
      <c r="W1857" s="1">
        <f>V1847/(AVERAGE(D1853:D1858)/_xlfn.STDEV.P(E1853:E1858))</f>
        <v>0.56045483103613802</v>
      </c>
      <c r="Y1857" s="25" t="s">
        <v>57</v>
      </c>
      <c r="Z1857" s="38" t="s">
        <v>53</v>
      </c>
      <c r="AA1857" s="1">
        <f>Z1847/(AVERAGE(D1853:D1858)/_xlfn.STDEV.P(E1853:E1858))</f>
        <v>0.56045483103613802</v>
      </c>
    </row>
    <row r="1858" spans="1:27">
      <c r="B1858" s="13">
        <v>11</v>
      </c>
      <c r="C1858" s="20" t="s">
        <v>36</v>
      </c>
      <c r="D1858" s="21" cm="1">
        <f t="array" ref="D1858">_xlfn.SINGLE(IF(A1856=A1857,_xll.ciqfunctions.udf.CIQ(A1848,"IQ_TOTAL_REV",IQ_FY)/I1858, _xll.ciqfunctions.udf.CIQ(A1848, "IQ_TOTAL_REV",IQ_LTM)/I1858))</f>
        <v>8.860976336953641</v>
      </c>
      <c r="E1858" s="22">
        <f t="shared" si="495"/>
        <v>-8.6625958676383973E-3</v>
      </c>
      <c r="F1858" s="21">
        <f>IF(A1856=A1857,_xll.ciqfunctions.udf.CIQ(A1848,"IQ_DILUT_EPS_EXCL",IQ_FY), _xll.ciqfunctions.udf.CIQ(A1848, "IQ_DILUT_EPS_EXCL",IQ_LTM))</f>
        <v>-2.7299999999999998E-3</v>
      </c>
      <c r="G1858" s="21">
        <f>IF(A1856=A1857,_xll.ciqfunctions.udf.CIQ(A1848,"IQ_EBITDA_MARGIN",IQ_FY), _xll.ciqfunctions.udf.CIQ(A1848, "IQ_EBITDA_MARGIN",IQ_LTM))</f>
        <v>4.5667</v>
      </c>
      <c r="H1858" s="21">
        <f>IF(A1856=A1857,_xll.ciqfunctions.udf.CIQ(A1848,"IQ_TOTAL_DIV_PAID_CF",IQ_FY)/-I1858, _xll.ciqfunctions.udf.CIQ(A1848, "IQ_TOTAL_DIV_PAID_CF",IQ_LTM)/-I1858)</f>
        <v>0</v>
      </c>
      <c r="I1858" s="23">
        <f>IF(A1856=A1857,_xll.ciqfunctions.udf.CIQ(A1848,"IQ_TOTAL_OUTSTANDING_FILING_DATE",IQ_FY),_xll.ciqfunctions.udf.CIQ(A1848,"IQ_sharesoutstanding"))</f>
        <v>311.95603</v>
      </c>
      <c r="J1858" s="23">
        <f>IF(A1856=A1857,_xll.ciqfunctions.udf.CIQ(A1848,"IQ_CASH_OPER",IQ_FY), _xll.ciqfunctions.udf.CIQ(A1848, "IQ_CASH_OPER",IQ_LTM))</f>
        <v>662.58699999999999</v>
      </c>
      <c r="K1858" s="23">
        <f>IF(A1856=A1857,_xll.ciqfunctions.udf.CIQ(A1848,"IQ_CAPEX",IQ_FY), _xll.ciqfunctions.udf.CIQ(A1848, "IQ_CAPEX",IQ_LTM))</f>
        <v>-206.67400000000001</v>
      </c>
      <c r="L1858" s="21">
        <f t="shared" si="492"/>
        <v>1.4614655789791915</v>
      </c>
      <c r="M1858" s="23">
        <f>IF(A1856=A1857,_xll.ciqfunctions.udf.CIQ(A1848,"IQ_TOTAL_DEBT_ISSUED",IQ_FY), _xll.ciqfunctions.udf.CIQ(A1848, "IQ_TOTAL_DEBT_ISSUED",IQ_LTM))</f>
        <v>100</v>
      </c>
      <c r="N1858" s="23">
        <f>IF(A1856=A1857,_xll.ciqfunctions.udf.CIQ(A1848,"IQ_TOTAL_DEBT_REPAID",IQ_FY), _xll.ciqfunctions.udf.CIQ(A1848, "IQ_TOTAL_DEBT_REPAID",IQ_LTM))</f>
        <v>-582.73</v>
      </c>
      <c r="O1858" s="21">
        <f t="shared" si="493"/>
        <v>-1.5474296169238979</v>
      </c>
      <c r="P1858" s="21">
        <f t="shared" si="494"/>
        <v>-8.5964037944706417E-2</v>
      </c>
      <c r="Q1858" s="25" t="s">
        <v>45</v>
      </c>
      <c r="S1858" s="45"/>
      <c r="U1858" s="25"/>
      <c r="W1858" s="45"/>
      <c r="Y1858" s="25"/>
      <c r="AA1858" s="45"/>
    </row>
    <row r="1859" spans="1:27">
      <c r="B1859" s="24"/>
      <c r="C1859" s="25" t="s">
        <v>37</v>
      </c>
      <c r="E1859" s="26">
        <f>((D1858/D1853)^(1/5))-1</f>
        <v>9.8015245256629857E-2</v>
      </c>
      <c r="F1859" s="27">
        <f>((F1858/F1853)^(1/5))-1</f>
        <v>-0.67634250158647169</v>
      </c>
      <c r="G1859" s="28"/>
      <c r="H1859" s="27" t="e">
        <f>((H1858/H1853)^(1/5))-1</f>
        <v>#DIV/0!</v>
      </c>
      <c r="I1859" s="27">
        <f>((I1858/I1853)^(1/5))-1</f>
        <v>4.9566793396485842E-2</v>
      </c>
      <c r="J1859" s="27"/>
      <c r="K1859" s="27"/>
      <c r="L1859" s="26">
        <f>((L1858/L1853)^(1/5))-1</f>
        <v>0.41023156420485862</v>
      </c>
      <c r="M1859" s="26"/>
      <c r="N1859" s="26"/>
      <c r="O1859" s="26"/>
      <c r="P1859" s="26">
        <f>((P1858/P1853)^(1/5))-1</f>
        <v>-1.5083634140664595</v>
      </c>
      <c r="Q1859" s="18"/>
      <c r="R1859" s="36"/>
      <c r="S1859" s="45"/>
      <c r="U1859" s="18"/>
      <c r="V1859" s="36"/>
      <c r="W1859" s="45"/>
      <c r="Y1859" s="18"/>
      <c r="Z1859" s="36"/>
      <c r="AA1859" s="45"/>
    </row>
    <row r="1860" spans="1:27">
      <c r="A1860" s="29"/>
      <c r="B1860" s="30"/>
      <c r="C1860" s="31" t="s">
        <v>38</v>
      </c>
      <c r="D1860" s="29"/>
      <c r="E1860" s="32">
        <f>((D1858/D1848)^(1/10))-1</f>
        <v>0.19416201195334537</v>
      </c>
      <c r="F1860" s="33">
        <f>((F1858/F1848)^(1/10))-1</f>
        <v>-0.50734442255893697</v>
      </c>
      <c r="G1860" s="34"/>
      <c r="H1860" s="33" t="e">
        <f>((H1858/H1848)^(1/10))-1</f>
        <v>#DIV/0!</v>
      </c>
      <c r="I1860" s="33">
        <f>((I1858/I1848)^(1/10))-1</f>
        <v>0.27062649321564725</v>
      </c>
      <c r="J1860" s="33"/>
      <c r="K1860" s="33"/>
      <c r="L1860" s="32" t="e">
        <f>((L1858/L1848)^(1/10))-1</f>
        <v>#NUM!</v>
      </c>
      <c r="M1860" s="32"/>
      <c r="N1860" s="32"/>
      <c r="O1860" s="32"/>
      <c r="P1860" s="32">
        <f>((P1858/P1848)^(1/10))-1</f>
        <v>-0.29403152606015137</v>
      </c>
      <c r="Q1860" s="40"/>
      <c r="R1860" s="41"/>
      <c r="S1860" s="46"/>
      <c r="U1860" s="40"/>
      <c r="V1860" s="41"/>
      <c r="W1860" s="46"/>
      <c r="Y1860" s="40"/>
      <c r="Z1860" s="41"/>
      <c r="AA1860" s="46"/>
    </row>
    <row r="1861" spans="1:27">
      <c r="B1861" s="24"/>
      <c r="C1861" s="25"/>
      <c r="E1861" s="26"/>
      <c r="F1861" s="27"/>
      <c r="G1861" s="28"/>
      <c r="H1861" s="27"/>
      <c r="I1861" s="27"/>
      <c r="J1861" s="27"/>
      <c r="K1861" s="27"/>
      <c r="L1861" s="26"/>
      <c r="M1861" s="17"/>
      <c r="N1861" s="17"/>
      <c r="O1861" s="17"/>
      <c r="P1861" s="35"/>
      <c r="Q1861" s="18"/>
      <c r="R1861" s="36"/>
    </row>
    <row r="1862" spans="1:27">
      <c r="A1862" s="9" t="s">
        <v>0</v>
      </c>
      <c r="B1862" s="10"/>
      <c r="C1862" s="9" t="s">
        <v>1</v>
      </c>
      <c r="D1862" s="9" t="s">
        <v>2</v>
      </c>
      <c r="E1862" s="9" t="s">
        <v>3</v>
      </c>
      <c r="F1862" s="11" t="s">
        <v>4</v>
      </c>
      <c r="G1862" s="11" t="s">
        <v>5</v>
      </c>
      <c r="H1862" s="9" t="s">
        <v>6</v>
      </c>
      <c r="I1862" s="11" t="s">
        <v>7</v>
      </c>
      <c r="J1862" s="11" t="s">
        <v>8</v>
      </c>
      <c r="K1862" s="11" t="s">
        <v>9</v>
      </c>
      <c r="L1862" s="11" t="s">
        <v>10</v>
      </c>
      <c r="M1862" s="11" t="s">
        <v>11</v>
      </c>
      <c r="N1862" s="11" t="s">
        <v>12</v>
      </c>
      <c r="O1862" s="11" t="s">
        <v>13</v>
      </c>
      <c r="P1862" s="11" t="s">
        <v>14</v>
      </c>
      <c r="Q1862" s="37" t="s">
        <v>15</v>
      </c>
      <c r="R1862" s="42">
        <f>_xll.ciqfunctions.udf.CIQ(A1863,("IQ_LASTSALEPRICE"))</f>
        <v>296.36</v>
      </c>
      <c r="S1862" s="44"/>
      <c r="U1862" s="37" t="s">
        <v>15</v>
      </c>
      <c r="V1862" s="42">
        <f>_xll.ciqfunctions.udf.CIQ(A1863,("IQ_LASTSALEPRICE"))</f>
        <v>296.36</v>
      </c>
      <c r="W1862" s="44"/>
      <c r="Y1862" s="37" t="s">
        <v>15</v>
      </c>
      <c r="Z1862" s="42">
        <f>_xll.ciqfunctions.udf.CIQ(A1863,("IQ_LASTSALEPRICE"))</f>
        <v>296.36</v>
      </c>
      <c r="AA1862" s="44"/>
    </row>
    <row r="1863" spans="1:27">
      <c r="A1863" s="12" t="str">
        <f>Analysis!B126</f>
        <v>NasdaqGS:SMCI</v>
      </c>
      <c r="B1863" s="13">
        <v>1</v>
      </c>
      <c r="C1863" s="14" t="s">
        <v>16</v>
      </c>
      <c r="D1863" s="15">
        <f>IF(A1871=A1872,_xll.ciqfunctions.udf.CIQ(A1863,"IQ_TOTAL_REV",IQ_FY-10)/I1863,_xll.ciqfunctions.udf.CIQ(A1863, "IQ_TOTAL_REV",IQ_FY-9)/I1863)</f>
        <v>32.122515527576347</v>
      </c>
      <c r="E1863" s="16"/>
      <c r="F1863" s="15">
        <f>IF(A1871=A1872,_xll.ciqfunctions.udf.CIQ(A1863,"IQ_DILUT_EPS_EXCL",IQ_FY-10), _xll.ciqfunctions.udf.CIQ(A1863, "IQ_DILUT_EPS_EXCL",IQ_FY-9))</f>
        <v>1.16364</v>
      </c>
      <c r="G1863" s="15">
        <f>IF(A1871=A1872,_xll.ciqfunctions.udf.CIQ(A1863,"IQ_EBITDA_MARGIN",IQ_FY-10), _xll.ciqfunctions.udf.CIQ(A1863, "IQ_EBITDA_MARGIN",IQ_FY-9))</f>
        <v>5.9039000000000001</v>
      </c>
      <c r="H1863" s="15">
        <f>IF(A1871=A1872,_xll.ciqfunctions.udf.CIQ(A1863,"IQ_TOTAL_DIV_PAID_CF",IQ_FY-10)/-I1863, _xll.ciqfunctions.udf.CIQ(A1863, "IQ_TOTAL_DIV_PAID_CF",IQ_FY-9)/-I1863)</f>
        <v>0</v>
      </c>
      <c r="I1863" s="17">
        <f>IF(A1871=A1872,_xll.ciqfunctions.udf.CIQ(A1863,"IQ_TOTAL_OUTSTANDING_FILING_DATE",IQ_FY-10), _xll.ciqfunctions.udf.CIQ(A1863, "IQ_TOTAL_OUTSTANDING_FILING_DATE",IQ_FY-9))</f>
        <v>45.675190000000001</v>
      </c>
      <c r="J1863" s="17">
        <f>IF(A1871=A1872,_xll.ciqfunctions.udf.CIQ(A1863,"IQ_CASH_OPER",IQ_FY-10), _xll.ciqfunctions.udf.CIQ(A1863, "IQ_CASH_OPER",IQ_FY-9))</f>
        <v>6.5380000000000003</v>
      </c>
      <c r="K1863" s="17">
        <f>IF(A1871=A1872,_xll.ciqfunctions.udf.CIQ(A1863,"IQ_CAPEX",IQ_FY-10), _xll.ciqfunctions.udf.CIQ(A1863, "IQ_CAPEX",IQ_FY-9))</f>
        <v>-40.567</v>
      </c>
      <c r="L1863" s="15">
        <f t="shared" ref="L1863:L1873" si="496">(J1863+K1863)/I1863</f>
        <v>-0.74502153138279215</v>
      </c>
      <c r="M1863" s="17">
        <f>IF(A1871=A1872,_xll.ciqfunctions.udf.CIQ(A1863,"IQ_TOTAL_DEBT_ISSUED",IQ_FY-10), _xll.ciqfunctions.udf.CIQ(A1863, "IQ_TOTAL_DEBT_ISSUED",IQ_FY-9))</f>
        <v>17.353999999999999</v>
      </c>
      <c r="N1863" s="17">
        <f>IF(A1871=A1872,_xll.ciqfunctions.udf.CIQ(A1863,"IQ_TOTAL_DEBT_REPAID",IQ_FY-10), _xll.ciqfunctions.udf.CIQ(A1863, "IQ_TOTAL_DEBT_REPAID",IQ_FY-9))</f>
        <v>-6.3710000000000004</v>
      </c>
      <c r="O1863" s="15">
        <f t="shared" ref="O1863:O1873" si="497">(M1863+N1863)/I1863</f>
        <v>0.24045876984857642</v>
      </c>
      <c r="P1863" s="15">
        <f t="shared" ref="P1863:P1873" si="498">L1863+O1863</f>
        <v>-0.50456276153421575</v>
      </c>
      <c r="W1863" s="43"/>
      <c r="AA1863" s="43"/>
    </row>
    <row r="1864" spans="1:27">
      <c r="A1864" s="18" t="str">
        <f>_xll.ciqfunctions.udf.CIQ(A1863,"IQ_COMPANY_NAME")</f>
        <v>Super Micro Computer, Inc.</v>
      </c>
      <c r="B1864" s="13">
        <v>2</v>
      </c>
      <c r="C1864" s="14" t="s">
        <v>17</v>
      </c>
      <c r="D1864" s="15">
        <f>IF(A1871=A1872,_xll.ciqfunctions.udf.CIQ(A1863,"IQ_TOTAL_REV",IQ_FY-9)/I1864, _xll.ciqfunctions.udf.CIQ(A1863, "IQ_TOTAL_REV",IQ_FY-8)/I1864)</f>
        <v>41.126031042651185</v>
      </c>
      <c r="E1864" s="16">
        <f t="shared" ref="E1864:E1873" si="499">(D1864-D1863)/D1863</f>
        <v>0.28028675112151641</v>
      </c>
      <c r="F1864" s="15">
        <f>IF(A1871=A1872,_xll.ciqfunctions.udf.CIQ(A1863,"IQ_DILUT_EPS_EXCL",IQ_FY-9), _xll.ciqfunctions.udf.CIQ(A1863, "IQ_DILUT_EPS_EXCL",IQ_FY-8))</f>
        <v>1.85</v>
      </c>
      <c r="G1864" s="15">
        <f>IF(A1871=A1872,_xll.ciqfunctions.udf.CIQ(A1863,"IQ_EBITDA_MARGIN",IQ_FY-9), _xll.ciqfunctions.udf.CIQ(A1863, "IQ_EBITDA_MARGIN",IQ_FY-8))</f>
        <v>7.2012999999999998</v>
      </c>
      <c r="H1864" s="15">
        <f>IF(A1871=A1872,_xll.ciqfunctions.udf.CIQ(A1863,"IQ_TOTAL_DIV_PAID_CF",IQ_FY-9)/-I1864, _xll.ciqfunctions.udf.CIQ(A1863, "IQ_TOTAL_DIV_PAID_CF",IQ_FY-8)/-I1864)</f>
        <v>0</v>
      </c>
      <c r="I1864" s="17">
        <f>IF(A1871=A1872,_xll.ciqfunctions.udf.CIQ(A1863,"IQ_TOTAL_OUTSTANDING_FILING_DATE",IQ_FY-9), _xll.ciqfunctions.udf.CIQ(A1863, "IQ_TOTAL_OUTSTANDING_FILING_DATE",IQ_FY-8))</f>
        <v>47.521070000000002</v>
      </c>
      <c r="J1864" s="17">
        <f>IF(A1871=A1872,_xll.ciqfunctions.udf.CIQ(A1863,"IQ_CASH_OPER",IQ_FY-9), _xll.ciqfunctions.udf.CIQ(A1863, "IQ_CASH_OPER",IQ_FY-8))</f>
        <v>-46.125</v>
      </c>
      <c r="K1864" s="17">
        <f>IF(A1871=A1872,_xll.ciqfunctions.udf.CIQ(A1863,"IQ_CAPEX",IQ_FY-9), _xll.ciqfunctions.udf.CIQ(A1863, "IQ_CAPEX",IQ_FY-8))</f>
        <v>-35.1</v>
      </c>
      <c r="L1864" s="15">
        <f t="shared" si="496"/>
        <v>-1.709241816314321</v>
      </c>
      <c r="M1864" s="17">
        <f>IF(A1871=A1872,_xll.ciqfunctions.udf.CIQ(A1863,"IQ_TOTAL_DEBT_ISSUED",IQ_FY-9), _xll.ciqfunctions.udf.CIQ(A1863, "IQ_TOTAL_DEBT_ISSUED",IQ_FY-8))</f>
        <v>84.933000000000007</v>
      </c>
      <c r="N1864" s="17">
        <f>IF(A1871=A1872,_xll.ciqfunctions.udf.CIQ(A1863,"IQ_TOTAL_DEBT_REPAID",IQ_FY-9), _xll.ciqfunctions.udf.CIQ(A1863, "IQ_TOTAL_DEBT_REPAID",IQ_FY-8))</f>
        <v>-36.134</v>
      </c>
      <c r="O1864" s="15">
        <f t="shared" si="497"/>
        <v>1.0268918608103732</v>
      </c>
      <c r="P1864" s="15">
        <f t="shared" si="498"/>
        <v>-0.68234995550394784</v>
      </c>
      <c r="Q1864" s="25" t="s">
        <v>18</v>
      </c>
      <c r="R1864" s="39" t="s">
        <v>19</v>
      </c>
      <c r="S1864" s="1">
        <f>R1862/((AVERAGE(P1868:P1873))*(1+E1874)^3)</f>
        <v>58.986016099851319</v>
      </c>
      <c r="U1864" s="25" t="s">
        <v>48</v>
      </c>
      <c r="V1864" s="39" t="s">
        <v>19</v>
      </c>
      <c r="W1864" s="1">
        <f>V1862/((AVERAGE(P1868:P1873))*(1+E1874)^3)</f>
        <v>58.986016099851319</v>
      </c>
      <c r="Y1864" s="25" t="s">
        <v>39</v>
      </c>
      <c r="Z1864" s="39" t="s">
        <v>19</v>
      </c>
      <c r="AA1864" s="1">
        <f>Z1862/((AVERAGE(P1868:P1873))*(1+E1874)^3)</f>
        <v>58.986016099851319</v>
      </c>
    </row>
    <row r="1865" spans="1:27">
      <c r="B1865" s="13">
        <v>3</v>
      </c>
      <c r="C1865" s="14" t="s">
        <v>20</v>
      </c>
      <c r="D1865" s="15" cm="1">
        <f t="array" ref="D1865">_xlfn.SINGLE(IF(A1871=A1872,_xll.ciqfunctions.udf.CIQ(A1863,"IQ_TOTAL_REV",IQ_FY-8)/I1865, _xll.ciqfunctions.udf.CIQ(A1863, "IQ_TOTAL_REV",IQ_FY-7)/I1865))</f>
        <v>45.825068597904753</v>
      </c>
      <c r="E1865" s="16">
        <f t="shared" si="499"/>
        <v>0.11425944678153521</v>
      </c>
      <c r="F1865" s="15">
        <f>IF(A1871=A1872,_xll.ciqfunctions.udf.CIQ(A1863,"IQ_DILUT_EPS_EXCL",IQ_FY-8), _xll.ciqfunctions.udf.CIQ(A1863, "IQ_DILUT_EPS_EXCL",IQ_FY-7))</f>
        <v>1.39</v>
      </c>
      <c r="G1865" s="15">
        <f>IF(A1871=A1872,_xll.ciqfunctions.udf.CIQ(A1863,"IQ_EBITDA_MARGIN",IQ_FY-8), _xll.ciqfunctions.udf.CIQ(A1863, "IQ_EBITDA_MARGIN",IQ_FY-7))</f>
        <v>5.4279000000000002</v>
      </c>
      <c r="H1865" s="15">
        <f>IF(A1871=A1872,_xll.ciqfunctions.udf.CIQ(A1863,"IQ_TOTAL_DIV_PAID_CF",IQ_FY-8)/-I1865, _xll.ciqfunctions.udf.CIQ(A1863, "IQ_TOTAL_DIV_PAID_CF",IQ_FY-7)/-I1865)</f>
        <v>0</v>
      </c>
      <c r="I1865" s="17">
        <f>IF(A1871=A1872,_xll.ciqfunctions.udf.CIQ(A1863,"IQ_TOTAL_OUTSTANDING_FILING_DATE",IQ_FY-8), _xll.ciqfunctions.udf.CIQ(A1863, "IQ_TOTAL_OUTSTANDING_FILING_DATE",IQ_FY-7))</f>
        <v>48.554690000000001</v>
      </c>
      <c r="J1865" s="17">
        <f>IF(A1871=A1872,_xll.ciqfunctions.udf.CIQ(A1863,"IQ_CASH_OPER",IQ_FY-8), _xll.ciqfunctions.udf.CIQ(A1863, "IQ_CASH_OPER",IQ_FY-7))</f>
        <v>107.98699999999999</v>
      </c>
      <c r="K1865" s="17">
        <f>IF(A1871=A1872,_xll.ciqfunctions.udf.CIQ(A1863,"IQ_CAPEX",IQ_FY-8), _xll.ciqfunctions.udf.CIQ(A1863, "IQ_CAPEX",IQ_FY-7))</f>
        <v>-34.107999999999997</v>
      </c>
      <c r="L1865" s="15">
        <f t="shared" si="496"/>
        <v>1.521562592614637</v>
      </c>
      <c r="M1865" s="17">
        <f>IF(A1871=A1872,_xll.ciqfunctions.udf.CIQ(A1863,"IQ_TOTAL_DEBT_ISSUED",IQ_FY-8), _xll.ciqfunctions.udf.CIQ(A1863, "IQ_TOTAL_DEBT_ISSUED",IQ_FY-7))</f>
        <v>34.200000000000003</v>
      </c>
      <c r="N1865" s="17">
        <f>IF(A1871=A1872,_xll.ciqfunctions.udf.CIQ(A1863,"IQ_TOTAL_DEBT_REPAID",IQ_FY-8), _xll.ciqfunctions.udf.CIQ(A1863, "IQ_TOTAL_DEBT_REPAID",IQ_FY-7))</f>
        <v>-34.31</v>
      </c>
      <c r="O1865" s="15">
        <f t="shared" si="497"/>
        <v>-2.2654866090175722E-3</v>
      </c>
      <c r="P1865" s="15">
        <f t="shared" si="498"/>
        <v>1.5192971060056195</v>
      </c>
      <c r="Q1865" s="25" t="s">
        <v>21</v>
      </c>
      <c r="R1865" s="38" t="s">
        <v>49</v>
      </c>
      <c r="S1865" s="2">
        <f>(R1862*I1873)/1000</f>
        <v>15.800000714400001</v>
      </c>
      <c r="U1865" s="25" t="s">
        <v>59</v>
      </c>
      <c r="V1865" s="38" t="s">
        <v>49</v>
      </c>
      <c r="W1865" s="2">
        <f>(V1862*I1873)/1000</f>
        <v>15.800000714400001</v>
      </c>
      <c r="Y1865" s="25" t="s">
        <v>46</v>
      </c>
      <c r="Z1865" s="38" t="s">
        <v>49</v>
      </c>
      <c r="AA1865" s="2">
        <f>(Z1862*I1873)/1000</f>
        <v>15.800000714400001</v>
      </c>
    </row>
    <row r="1866" spans="1:27">
      <c r="A1866" s="18"/>
      <c r="B1866" s="13">
        <v>4</v>
      </c>
      <c r="C1866" s="14" t="s">
        <v>22</v>
      </c>
      <c r="D1866" s="15" cm="1">
        <f t="array" ref="D1866">_xlfn.SINGLE(IF(A1871=A1872,_xll.ciqfunctions.udf.CIQ(A1863,"IQ_TOTAL_REV",IQ_FY-7)/I1866, _xll.ciqfunctions.udf.CIQ(A1863, "IQ_TOTAL_REV",IQ_FY-6)/I1866))</f>
        <v>49.816235986152101</v>
      </c>
      <c r="E1866" s="16">
        <f t="shared" si="499"/>
        <v>8.7095720974650875E-2</v>
      </c>
      <c r="F1866" s="15">
        <f>IF(A1871=A1872,_xll.ciqfunctions.udf.CIQ(A1863,"IQ_DILUT_EPS_EXCL",IQ_FY-7), _xll.ciqfunctions.udf.CIQ(A1863, "IQ_DILUT_EPS_EXCL",IQ_FY-6))</f>
        <v>1.29</v>
      </c>
      <c r="G1866" s="15">
        <f>IF(A1871=A1872,_xll.ciqfunctions.udf.CIQ(A1863,"IQ_EBITDA_MARGIN",IQ_FY-7), _xll.ciqfunctions.udf.CIQ(A1863, "IQ_EBITDA_MARGIN",IQ_FY-6))</f>
        <v>4.4762000000000004</v>
      </c>
      <c r="H1866" s="15">
        <f>IF(A1871=A1872,_xll.ciqfunctions.udf.CIQ(A1863,"IQ_TOTAL_DIV_PAID_CF",IQ_FY-7)/-I1866, _xll.ciqfunctions.udf.CIQ(A1863, "IQ_TOTAL_DIV_PAID_CF",IQ_FY-6)/-I1866)</f>
        <v>0</v>
      </c>
      <c r="I1866" s="17">
        <f>IF(A1871=A1872,_xll.ciqfunctions.udf.CIQ(A1863,"IQ_TOTAL_OUTSTANDING_FILING_DATE",IQ_FY-7), _xll.ciqfunctions.udf.CIQ(A1863, "IQ_TOTAL_OUTSTANDING_FILING_DATE",IQ_FY-6))</f>
        <v>49.881909999999998</v>
      </c>
      <c r="J1866" s="17">
        <f>IF(A1871=A1872,_xll.ciqfunctions.udf.CIQ(A1863,"IQ_CASH_OPER",IQ_FY-7), _xll.ciqfunctions.udf.CIQ(A1863, "IQ_CASH_OPER",IQ_FY-6))</f>
        <v>-96.188000000000002</v>
      </c>
      <c r="K1866" s="17">
        <f>IF(A1871=A1872,_xll.ciqfunctions.udf.CIQ(A1863,"IQ_CAPEX",IQ_FY-7), _xll.ciqfunctions.udf.CIQ(A1863, "IQ_CAPEX",IQ_FY-6))</f>
        <v>-29.364999999999998</v>
      </c>
      <c r="L1866" s="15">
        <f t="shared" si="496"/>
        <v>-2.5170046616097901</v>
      </c>
      <c r="M1866" s="17">
        <f>IF(A1871=A1872,_xll.ciqfunctions.udf.CIQ(A1863,"IQ_TOTAL_DEBT_ISSUED",IQ_FY-7), _xll.ciqfunctions.udf.CIQ(A1863, "IQ_TOTAL_DEBT_ISSUED",IQ_FY-6))</f>
        <v>207.256</v>
      </c>
      <c r="N1866" s="17">
        <f>IF(A1871=A1872,_xll.ciqfunctions.udf.CIQ(A1863,"IQ_TOTAL_DEBT_REPAID",IQ_FY-7), _xll.ciqfunctions.udf.CIQ(A1863, "IQ_TOTAL_DEBT_REPAID",IQ_FY-6))</f>
        <v>-140.70500000000001</v>
      </c>
      <c r="O1866" s="15">
        <f t="shared" si="497"/>
        <v>1.334171045174493</v>
      </c>
      <c r="P1866" s="15">
        <f t="shared" si="498"/>
        <v>-1.1828336164352971</v>
      </c>
      <c r="Q1866" s="25" t="s">
        <v>23</v>
      </c>
      <c r="R1866" s="38" t="s">
        <v>24</v>
      </c>
      <c r="S1866" s="1" t="e">
        <f>R1862/(AVERAGE(H1868:H1873)*(1+H1874)/(0.5-H1874))</f>
        <v>#DIV/0!</v>
      </c>
      <c r="U1866" s="25" t="s">
        <v>40</v>
      </c>
      <c r="V1866" s="38" t="s">
        <v>24</v>
      </c>
      <c r="W1866" s="1" t="e">
        <f>V1862/(AVERAGE(H1868:H1873)*(1+H1874)/(0.5-H1874))</f>
        <v>#DIV/0!</v>
      </c>
      <c r="Y1866" s="25" t="s">
        <v>47</v>
      </c>
      <c r="Z1866" s="38" t="s">
        <v>24</v>
      </c>
      <c r="AA1866" s="1" t="e">
        <f>Z1862/(AVERAGE(H1868:H1873)*(1+H1874)/(0.5-H1874))</f>
        <v>#DIV/0!</v>
      </c>
    </row>
    <row r="1867" spans="1:27">
      <c r="B1867" s="13">
        <v>5</v>
      </c>
      <c r="C1867" s="14" t="s">
        <v>25</v>
      </c>
      <c r="D1867" s="15" cm="1">
        <f t="array" ref="D1867">_xlfn.SINGLE(IF(A1871=A1872,_xll.ciqfunctions.udf.CIQ(A1863,"IQ_TOTAL_REV",IQ_FY-6)/I1867, _xll.ciqfunctions.udf.CIQ(A1863, "IQ_TOTAL_REV",IQ_FY-5)/I1867))</f>
        <v>67.854457344775369</v>
      </c>
      <c r="E1867" s="16">
        <f t="shared" si="499"/>
        <v>0.36209522862460997</v>
      </c>
      <c r="F1867" s="15">
        <f>IF(A1871=A1872,_xll.ciqfunctions.udf.CIQ(A1863,"IQ_DILUT_EPS_EXCL",IQ_FY-6), _xll.ciqfunctions.udf.CIQ(A1863, "IQ_DILUT_EPS_EXCL",IQ_FY-5))</f>
        <v>0.89</v>
      </c>
      <c r="G1867" s="15">
        <f>IF(A1871=A1872,_xll.ciqfunctions.udf.CIQ(A1863,"IQ_EBITDA_MARGIN",IQ_FY-6), _xll.ciqfunctions.udf.CIQ(A1863, "IQ_EBITDA_MARGIN",IQ_FY-5))</f>
        <v>3.4685000000000001</v>
      </c>
      <c r="H1867" s="15">
        <f>IF(A1871=A1872,_xll.ciqfunctions.udf.CIQ(A1863,"IQ_TOTAL_DIV_PAID_CF",IQ_FY-6)/-I1867, _xll.ciqfunctions.udf.CIQ(A1863, "IQ_TOTAL_DIV_PAID_CF",IQ_FY-5)/-I1867)</f>
        <v>0</v>
      </c>
      <c r="I1867" s="17">
        <f>IF(A1871=A1872,_xll.ciqfunctions.udf.CIQ(A1863,"IQ_TOTAL_OUTSTANDING_FILING_DATE",IQ_FY-6), _xll.ciqfunctions.udf.CIQ(A1863, "IQ_TOTAL_OUTSTANDING_FILING_DATE",IQ_FY-5))</f>
        <v>49.524999999999999</v>
      </c>
      <c r="J1867" s="17">
        <f>IF(A1871=A1872,_xll.ciqfunctions.udf.CIQ(A1863,"IQ_CASH_OPER",IQ_FY-6), _xll.ciqfunctions.udf.CIQ(A1863, "IQ_CASH_OPER",IQ_FY-5))</f>
        <v>84.346999999999994</v>
      </c>
      <c r="K1867" s="17">
        <f>IF(A1871=A1872,_xll.ciqfunctions.udf.CIQ(A1863,"IQ_CAPEX",IQ_FY-6), _xll.ciqfunctions.udf.CIQ(A1863, "IQ_CAPEX",IQ_FY-5))</f>
        <v>-24.824000000000002</v>
      </c>
      <c r="L1867" s="15">
        <f t="shared" si="496"/>
        <v>1.2018778394750125</v>
      </c>
      <c r="M1867" s="17">
        <f>IF(A1871=A1872,_xll.ciqfunctions.udf.CIQ(A1863,"IQ_TOTAL_DEBT_ISSUED",IQ_FY-6), _xll.ciqfunctions.udf.CIQ(A1863, "IQ_TOTAL_DEBT_ISSUED",IQ_FY-5))</f>
        <v>171.56299999999999</v>
      </c>
      <c r="N1867" s="17">
        <f>IF(A1871=A1872,_xll.ciqfunctions.udf.CIQ(A1863,"IQ_TOTAL_DEBT_REPAID",IQ_FY-6), _xll.ciqfunctions.udf.CIQ(A1863, "IQ_TOTAL_DEBT_REPAID",IQ_FY-5))</f>
        <v>-220.55199999999999</v>
      </c>
      <c r="O1867" s="15">
        <f t="shared" si="497"/>
        <v>-0.98917718324078763</v>
      </c>
      <c r="P1867" s="15">
        <f t="shared" si="498"/>
        <v>0.21270065623422485</v>
      </c>
      <c r="Q1867" s="18"/>
      <c r="R1867" s="38" t="s">
        <v>50</v>
      </c>
      <c r="S1867" s="3">
        <f>I1874</f>
        <v>1.2570994968224891E-2</v>
      </c>
      <c r="U1867" s="18"/>
      <c r="V1867" s="38" t="s">
        <v>50</v>
      </c>
      <c r="W1867" s="3">
        <f>I1874</f>
        <v>1.2570994968224891E-2</v>
      </c>
      <c r="Y1867" s="18"/>
      <c r="Z1867" s="38" t="s">
        <v>50</v>
      </c>
      <c r="AA1867" s="3">
        <f>I1874</f>
        <v>1.2570994968224891E-2</v>
      </c>
    </row>
    <row r="1868" spans="1:27">
      <c r="B1868" s="13">
        <v>6</v>
      </c>
      <c r="C1868" s="14" t="s">
        <v>26</v>
      </c>
      <c r="D1868" s="15" cm="1">
        <f t="array" ref="D1868">_xlfn.SINGLE(IF(A1871=A1872,_xll.ciqfunctions.udf.CIQ(A1863,"IQ_TOTAL_REV",IQ_FY-5)/I1868, _xll.ciqfunctions.udf.CIQ(A1863, "IQ_TOTAL_REV",IQ_FY-4)/I1868))</f>
        <v>69.887999028856385</v>
      </c>
      <c r="E1868" s="16">
        <f t="shared" si="499"/>
        <v>2.9969168771748985E-2</v>
      </c>
      <c r="F1868" s="15">
        <f>IF(A1871=A1872,_xll.ciqfunctions.udf.CIQ(A1863,"IQ_DILUT_EPS_EXCL",IQ_FY-5), _xll.ciqfunctions.udf.CIQ(A1863, "IQ_DILUT_EPS_EXCL",IQ_FY-4))</f>
        <v>1.39</v>
      </c>
      <c r="G1868" s="15">
        <f>IF(A1871=A1872,_xll.ciqfunctions.udf.CIQ(A1863,"IQ_EBITDA_MARGIN",IQ_FY-5), _xll.ciqfunctions.udf.CIQ(A1863, "IQ_EBITDA_MARGIN",IQ_FY-4))</f>
        <v>3.4691999999999998</v>
      </c>
      <c r="H1868" s="15">
        <f>IF(A1871=A1872,_xll.ciqfunctions.udf.CIQ(A1863,"IQ_TOTAL_DIV_PAID_CF",IQ_FY-5)/-I1868, _xll.ciqfunctions.udf.CIQ(A1863, "IQ_TOTAL_DIV_PAID_CF",IQ_FY-4)/-I1868)</f>
        <v>0</v>
      </c>
      <c r="I1868" s="17">
        <f>IF(A1871=A1872,_xll.ciqfunctions.udf.CIQ(A1863,"IQ_TOTAL_OUTSTANDING_FILING_DATE",IQ_FY-5), _xll.ciqfunctions.udf.CIQ(A1863, "IQ_TOTAL_OUTSTANDING_FILING_DATE",IQ_FY-4))</f>
        <v>50.085279999999997</v>
      </c>
      <c r="J1868" s="17">
        <f>IF(A1871=A1872,_xll.ciqfunctions.udf.CIQ(A1863,"IQ_CASH_OPER",IQ_FY-5), _xll.ciqfunctions.udf.CIQ(A1863, "IQ_CASH_OPER",IQ_FY-4))</f>
        <v>262.55399999999997</v>
      </c>
      <c r="K1868" s="17">
        <f>IF(A1871=A1872,_xll.ciqfunctions.udf.CIQ(A1863,"IQ_CAPEX",IQ_FY-5), _xll.ciqfunctions.udf.CIQ(A1863, "IQ_CAPEX",IQ_FY-4))</f>
        <v>-24.849</v>
      </c>
      <c r="L1868" s="15">
        <f t="shared" si="496"/>
        <v>4.746005213507841</v>
      </c>
      <c r="M1868" s="17">
        <f>IF(A1871=A1872,_xll.ciqfunctions.udf.CIQ(A1863,"IQ_TOTAL_DEBT_ISSUED",IQ_FY-5), _xll.ciqfunctions.udf.CIQ(A1863, "IQ_TOTAL_DEBT_ISSUED",IQ_FY-4))</f>
        <v>41.76</v>
      </c>
      <c r="N1868" s="17">
        <f>IF(A1871=A1872,_xll.ciqfunctions.udf.CIQ(A1863,"IQ_TOTAL_DEBT_REPAID",IQ_FY-5), _xll.ciqfunctions.udf.CIQ(A1863, "IQ_TOTAL_DEBT_REPAID",IQ_FY-4))</f>
        <v>-133.91200000000001</v>
      </c>
      <c r="O1868" s="15">
        <f t="shared" si="497"/>
        <v>-1.8399018633818163</v>
      </c>
      <c r="P1868" s="15">
        <f t="shared" si="498"/>
        <v>2.9061033501260249</v>
      </c>
      <c r="Q1868" s="25" t="s">
        <v>27</v>
      </c>
      <c r="R1868" s="38" t="s">
        <v>51</v>
      </c>
      <c r="S1868" s="4">
        <f>AVERAGE(F1868:F1873)/AVERAGE(D1868:D1873)</f>
        <v>5.6679646350886209E-2</v>
      </c>
      <c r="U1868" s="25" t="s">
        <v>58</v>
      </c>
      <c r="V1868" s="38" t="s">
        <v>51</v>
      </c>
      <c r="W1868" s="4">
        <f>AVERAGE(F1868:F1873)/AVERAGE(D1868:D1873)</f>
        <v>5.6679646350886209E-2</v>
      </c>
      <c r="Y1868" s="25" t="s">
        <v>56</v>
      </c>
      <c r="Z1868" s="38" t="s">
        <v>51</v>
      </c>
      <c r="AA1868" s="4">
        <f>AVERAGE(F1868:F1873)/AVERAGE(D1868:D1873)</f>
        <v>5.6679646350886209E-2</v>
      </c>
    </row>
    <row r="1869" spans="1:27">
      <c r="A1869" s="18"/>
      <c r="B1869" s="13">
        <v>7</v>
      </c>
      <c r="C1869" s="14" t="s">
        <v>28</v>
      </c>
      <c r="D1869" s="15" cm="1">
        <f t="array" ref="D1869">_xlfn.SINGLE(IF(A1871=A1872,_xll.ciqfunctions.udf.CIQ(A1863,"IQ_TOTAL_REV",IQ_FY-4)/I1869, _xll.ciqfunctions.udf.CIQ(A1863, "IQ_TOTAL_REV",IQ_FY-3)/I1869))</f>
        <v>63.682317009795653</v>
      </c>
      <c r="E1869" s="16">
        <f t="shared" si="499"/>
        <v>-8.8794672980956835E-2</v>
      </c>
      <c r="F1869" s="15">
        <f>IF(A1871=A1872,_xll.ciqfunctions.udf.CIQ(A1863,"IQ_DILUT_EPS_EXCL",IQ_FY-4), _xll.ciqfunctions.udf.CIQ(A1863, "IQ_DILUT_EPS_EXCL",IQ_FY-3))</f>
        <v>1.6</v>
      </c>
      <c r="G1869" s="15">
        <f>IF(A1871=A1872,_xll.ciqfunctions.udf.CIQ(A1863,"IQ_EBITDA_MARGIN",IQ_FY-4), _xll.ciqfunctions.udf.CIQ(A1863, "IQ_EBITDA_MARGIN",IQ_FY-3))</f>
        <v>3.4176000000000002</v>
      </c>
      <c r="H1869" s="15">
        <f>IF(A1871=A1872,_xll.ciqfunctions.udf.CIQ(A1863,"IQ_TOTAL_DIV_PAID_CF",IQ_FY-4)/-I1869, _xll.ciqfunctions.udf.CIQ(A1863, "IQ_TOTAL_DIV_PAID_CF",IQ_FY-3)/-I1869)</f>
        <v>0</v>
      </c>
      <c r="I1869" s="17">
        <f>IF(A1871=A1872,_xll.ciqfunctions.udf.CIQ(A1863,"IQ_TOTAL_OUTSTANDING_FILING_DATE",IQ_FY-4), _xll.ciqfunctions.udf.CIQ(A1863, "IQ_TOTAL_OUTSTANDING_FILING_DATE",IQ_FY-3))</f>
        <v>52.436549999999997</v>
      </c>
      <c r="J1869" s="17">
        <f>IF(A1871=A1872,_xll.ciqfunctions.udf.CIQ(A1863,"IQ_CASH_OPER",IQ_FY-4), _xll.ciqfunctions.udf.CIQ(A1863, "IQ_CASH_OPER",IQ_FY-3))</f>
        <v>-30.334</v>
      </c>
      <c r="K1869" s="17">
        <f>IF(A1871=A1872,_xll.ciqfunctions.udf.CIQ(A1863,"IQ_CAPEX",IQ_FY-4), _xll.ciqfunctions.udf.CIQ(A1863, "IQ_CAPEX",IQ_FY-3))</f>
        <v>-44.338000000000001</v>
      </c>
      <c r="L1869" s="15">
        <f t="shared" si="496"/>
        <v>-1.4240448694660499</v>
      </c>
      <c r="M1869" s="17">
        <f>IF(A1871=A1872,_xll.ciqfunctions.udf.CIQ(A1863,"IQ_TOTAL_DEBT_ISSUED",IQ_FY-4), _xll.ciqfunctions.udf.CIQ(A1863, "IQ_TOTAL_DEBT_ISSUED",IQ_FY-3))</f>
        <v>164.791</v>
      </c>
      <c r="N1869" s="17">
        <f>IF(A1871=A1872,_xll.ciqfunctions.udf.CIQ(A1863,"IQ_TOTAL_DEBT_REPAID",IQ_FY-4), _xll.ciqfunctions.udf.CIQ(A1863, "IQ_TOTAL_DEBT_REPAID",IQ_FY-3))</f>
        <v>-160.44499999999999</v>
      </c>
      <c r="O1869" s="15">
        <f t="shared" si="497"/>
        <v>8.2881120134715269E-2</v>
      </c>
      <c r="P1869" s="15">
        <f t="shared" si="498"/>
        <v>-1.3411637493313346</v>
      </c>
      <c r="Q1869" s="18"/>
      <c r="R1869" s="38" t="s">
        <v>29</v>
      </c>
      <c r="S1869" s="4">
        <f>(AVERAGE(P1868:P1873)/_xlfn.STDEV.P(P1868:P1873))/(IF(A1871=A1872,(_xlfn.SINGLE(_xll.ciqfunctions.udf.CIQ(A1863,"IQ_total_assets",IQ_FY)) - _xlfn.SINGLE(_xll.ciqfunctions.udf.CIQ(A1863,"iq_gw_intan", IQ_FY)))/I1873, (_xlfn.SINGLE(_xll.ciqfunctions.udf.CIQ(A1863, "IQ_total_assets",IQ_LTM))-_xlfn.SINGLE(_xll.ciqfunctions.udf.CIQ(A1863,"iq_gw_intan",IQ_LTM)))/I1873))</f>
        <v>1.2479221597064213E-2</v>
      </c>
      <c r="U1869" s="18"/>
      <c r="V1869" s="38" t="s">
        <v>29</v>
      </c>
      <c r="W1869" s="4">
        <f>(AVERAGE(P1868:P1873)/_xlfn.STDEV.P(P1868:P1873))/(IF(A1871=A1872,(_xlfn.SINGLE(_xll.ciqfunctions.udf.CIQ(A1863,"IQ_total_assets",IQ_FY)) - _xlfn.SINGLE(_xll.ciqfunctions.udf.CIQ(A1863,"iq_gw_intan", IQ_FY)))/I1873, (_xlfn.SINGLE(_xll.ciqfunctions.udf.CIQ(A1863, "IQ_total_assets",IQ_LTM))-_xlfn.SINGLE(_xll.ciqfunctions.udf.CIQ(A1863,"iq_gw_intan",IQ_LTM)))/I1873))</f>
        <v>1.2479221597064213E-2</v>
      </c>
      <c r="Y1869" s="18"/>
      <c r="Z1869" s="38" t="s">
        <v>29</v>
      </c>
      <c r="AA1869" s="4">
        <f>(AVERAGE(P1868:P1873)/_xlfn.STDEV.P(P1868:P1873))/(IF(A1871=A1872,(_xlfn.SINGLE(_xll.ciqfunctions.udf.CIQ(A1863,"IQ_total_assets",IQ_FY)) - _xlfn.SINGLE(_xll.ciqfunctions.udf.CIQ(A1863,"iq_gw_intan", IQ_FY)))/I1873, (_xlfn.SINGLE(_xll.ciqfunctions.udf.CIQ(A1863, "IQ_total_assets",IQ_LTM))-_xlfn.SINGLE(_xll.ciqfunctions.udf.CIQ(A1863,"iq_gw_intan",IQ_LTM)))/I1873))</f>
        <v>1.2479221597064213E-2</v>
      </c>
    </row>
    <row r="1870" spans="1:27">
      <c r="A1870" s="18"/>
      <c r="B1870" s="13">
        <v>8</v>
      </c>
      <c r="C1870" s="14" t="s">
        <v>30</v>
      </c>
      <c r="D1870" s="15" cm="1">
        <f t="array" ref="D1870">_xlfn.SINGLE(IF(A1871=A1872,_xll.ciqfunctions.udf.CIQ(A1863,"IQ_TOTAL_REV",IQ_FY-3)/I1870, _xll.ciqfunctions.udf.CIQ(A1863, "IQ_TOTAL_REV",IQ_FY-2)/I1870))</f>
        <v>70.318026300210292</v>
      </c>
      <c r="E1870" s="16">
        <f t="shared" si="499"/>
        <v>0.10420018620544114</v>
      </c>
      <c r="F1870" s="15">
        <f>IF(A1871=A1872,_xll.ciqfunctions.udf.CIQ(A1863,"IQ_DILUT_EPS_EXCL",IQ_FY-3), _xll.ciqfunctions.udf.CIQ(A1863, "IQ_DILUT_EPS_EXCL",IQ_FY-2))</f>
        <v>2.09</v>
      </c>
      <c r="G1870" s="15">
        <f>IF(A1871=A1872,_xll.ciqfunctions.udf.CIQ(A1863,"IQ_EBITDA_MARGIN",IQ_FY-3), _xll.ciqfunctions.udf.CIQ(A1863, "IQ_EBITDA_MARGIN",IQ_FY-2))</f>
        <v>4.2763999999999998</v>
      </c>
      <c r="H1870" s="15">
        <f>IF(A1871=A1872,_xll.ciqfunctions.udf.CIQ(A1863,"IQ_TOTAL_DIV_PAID_CF",IQ_FY-3)/-I1870, _xll.ciqfunctions.udf.CIQ(A1863, "IQ_TOTAL_DIV_PAID_CF",IQ_FY-2)/-I1870)</f>
        <v>0</v>
      </c>
      <c r="I1870" s="17">
        <f>IF(A1871=A1872,_xll.ciqfunctions.udf.CIQ(A1863,"IQ_TOTAL_OUTSTANDING_FILING_DATE",IQ_FY-3), _xll.ciqfunctions.udf.CIQ(A1863, "IQ_TOTAL_OUTSTANDING_FILING_DATE",IQ_FY-2))</f>
        <v>50.590470000000003</v>
      </c>
      <c r="J1870" s="17">
        <f>IF(A1871=A1872,_xll.ciqfunctions.udf.CIQ(A1863,"IQ_CASH_OPER",IQ_FY-3), _xll.ciqfunctions.udf.CIQ(A1863, "IQ_CASH_OPER",IQ_FY-2))</f>
        <v>122.955</v>
      </c>
      <c r="K1870" s="17">
        <f>IF(A1871=A1872,_xll.ciqfunctions.udf.CIQ(A1863,"IQ_CAPEX",IQ_FY-3), _xll.ciqfunctions.udf.CIQ(A1863, "IQ_CAPEX",IQ_FY-2))</f>
        <v>-58.015999999999998</v>
      </c>
      <c r="L1870" s="15">
        <f t="shared" si="496"/>
        <v>1.2836212037563595</v>
      </c>
      <c r="M1870" s="17">
        <f>IF(A1871=A1872,_xll.ciqfunctions.udf.CIQ(A1863,"IQ_TOTAL_DEBT_ISSUED",IQ_FY-3), _xll.ciqfunctions.udf.CIQ(A1863, "IQ_TOTAL_DEBT_ISSUED",IQ_FY-2))</f>
        <v>127.084</v>
      </c>
      <c r="N1870" s="17">
        <f>IF(A1871=A1872,_xll.ciqfunctions.udf.CIQ(A1863,"IQ_TOTAL_DEBT_REPAID",IQ_FY-3), _xll.ciqfunctions.udf.CIQ(A1863, "IQ_TOTAL_DEBT_REPAID",IQ_FY-2))</f>
        <v>-60.628999999999998</v>
      </c>
      <c r="O1870" s="15">
        <f t="shared" si="497"/>
        <v>1.3135873218809788</v>
      </c>
      <c r="P1870" s="15">
        <f t="shared" si="498"/>
        <v>2.5972085256373383</v>
      </c>
      <c r="Q1870" s="18"/>
      <c r="R1870" s="39" t="s">
        <v>31</v>
      </c>
      <c r="S1870" s="5">
        <f>IF(NOT(D1863&gt;0),FALSE,SLOPE(G1863:G1873,B1863:B1873))</f>
        <v>0.37762090909090901</v>
      </c>
      <c r="U1870" s="18"/>
      <c r="V1870" s="39" t="s">
        <v>31</v>
      </c>
      <c r="W1870" s="5">
        <f>IF(NOT(D1863&gt;0),FALSE,SLOPE(G1863:G1873,B1863:B1873))</f>
        <v>0.37762090909090901</v>
      </c>
      <c r="Y1870" s="18"/>
      <c r="Z1870" s="39" t="s">
        <v>31</v>
      </c>
      <c r="AA1870" s="5" t="b">
        <f>IF(NOT(L1863&gt;0),FALSE,SLOPE(O1863:O1873,J1863:J1873))</f>
        <v>0</v>
      </c>
    </row>
    <row r="1871" spans="1:27">
      <c r="A1871" s="19">
        <f>_xll.ciqfunctions.udf.CIQ(A1863,"IQ_TOTAL_REV",IQ_FY)</f>
        <v>7123.482</v>
      </c>
      <c r="B1871" s="13">
        <v>9</v>
      </c>
      <c r="C1871" s="14" t="s">
        <v>32</v>
      </c>
      <c r="D1871" s="15" cm="1">
        <f t="array" ref="D1871">_xlfn.SINGLE(IF(A1871=A1872,_xll.ciqfunctions.udf.CIQ(A1863,"IQ_TOTAL_REV",IQ_FY-2)/I1871, _xll.ciqfunctions.udf.CIQ(A1863, "IQ_TOTAL_REV",IQ_FY-1)/I1871))</f>
        <v>99.262517995286842</v>
      </c>
      <c r="E1871" s="16">
        <f t="shared" si="499"/>
        <v>0.41162264099255569</v>
      </c>
      <c r="F1871" s="15">
        <f>IF(A1871=A1872,_xll.ciqfunctions.udf.CIQ(A1863,"IQ_DILUT_EPS_EXCL",IQ_FY-2), _xll.ciqfunctions.udf.CIQ(A1863, "IQ_DILUT_EPS_EXCL",IQ_FY-1))</f>
        <v>5.32</v>
      </c>
      <c r="G1871" s="15">
        <f>IF(A1871=A1872,_xll.ciqfunctions.udf.CIQ(A1863,"IQ_EBITDA_MARGIN",IQ_FY-2), _xll.ciqfunctions.udf.CIQ(A1863, "IQ_EBITDA_MARGIN",IQ_FY-1))</f>
        <v>7.0751999999999997</v>
      </c>
      <c r="H1871" s="15">
        <f>IF(A1871=A1872,_xll.ciqfunctions.udf.CIQ(A1863,"IQ_TOTAL_DIV_PAID_CF",IQ_FY-2)/-I1871, _xll.ciqfunctions.udf.CIQ(A1863, "IQ_TOTAL_DIV_PAID_CF",IQ_FY-1)/-I1871)</f>
        <v>0</v>
      </c>
      <c r="I1871" s="17">
        <f>IF(A1871=A1872,_xll.ciqfunctions.udf.CIQ(A1863,"IQ_TOTAL_OUTSTANDING_FILING_DATE",IQ_FY-2), _xll.ciqfunctions.udf.CIQ(A1863, "IQ_TOTAL_OUTSTANDING_FILING_DATE",IQ_FY-1))</f>
        <v>52.34704</v>
      </c>
      <c r="J1871" s="17">
        <f>IF(A1871=A1872,_xll.ciqfunctions.udf.CIQ(A1863,"IQ_CASH_OPER",IQ_FY-2), _xll.ciqfunctions.udf.CIQ(A1863, "IQ_CASH_OPER",IQ_FY-1))</f>
        <v>-440.80099999999999</v>
      </c>
      <c r="K1871" s="17">
        <f>IF(A1871=A1872,_xll.ciqfunctions.udf.CIQ(A1863,"IQ_CAPEX",IQ_FY-2), _xll.ciqfunctions.udf.CIQ(A1863, "IQ_CAPEX",IQ_FY-1))</f>
        <v>-45.182000000000002</v>
      </c>
      <c r="L1871" s="15">
        <f t="shared" si="496"/>
        <v>-9.2838678175499521</v>
      </c>
      <c r="M1871" s="17">
        <f>IF(A1871=A1872,_xll.ciqfunctions.udf.CIQ(A1863,"IQ_TOTAL_DEBT_ISSUED",IQ_FY-2), _xll.ciqfunctions.udf.CIQ(A1863, "IQ_TOTAL_DEBT_ISSUED",IQ_FY-1))</f>
        <v>1153.317</v>
      </c>
      <c r="N1871" s="17">
        <f>IF(A1871=A1872,_xll.ciqfunctions.udf.CIQ(A1863,"IQ_TOTAL_DEBT_REPAID",IQ_FY-2), _xll.ciqfunctions.udf.CIQ(A1863, "IQ_TOTAL_DEBT_REPAID",IQ_FY-1))</f>
        <v>-640.76700000000005</v>
      </c>
      <c r="O1871" s="15">
        <f t="shared" si="497"/>
        <v>9.7913845749444466</v>
      </c>
      <c r="P1871" s="15">
        <f t="shared" si="498"/>
        <v>0.50751675739449453</v>
      </c>
      <c r="Q1871" s="25" t="s">
        <v>33</v>
      </c>
      <c r="R1871" s="38" t="s">
        <v>52</v>
      </c>
      <c r="S1871" s="4">
        <f>(AVERAGE(O1868:O1873)/AVERAGE(P1868:P1873))</f>
        <v>8.5951274983222317E-2</v>
      </c>
      <c r="U1871" s="25" t="s">
        <v>54</v>
      </c>
      <c r="V1871" s="38" t="s">
        <v>52</v>
      </c>
      <c r="W1871" s="4">
        <f>(AVERAGE(O1868:O1873)/AVERAGE(P1868:P1873))</f>
        <v>8.5951274983222317E-2</v>
      </c>
      <c r="Y1871" s="25" t="s">
        <v>60</v>
      </c>
      <c r="Z1871" s="38" t="s">
        <v>52</v>
      </c>
      <c r="AA1871" s="4">
        <f>(AVERAGE(O1868:O1873)/AVERAGE(P1868:P1873))</f>
        <v>8.5951274983222317E-2</v>
      </c>
    </row>
    <row r="1872" spans="1:27">
      <c r="A1872" s="19">
        <f>_xll.ciqfunctions.udf.CIQ(A1863,"IQ_TOTAL_REV",IQ_LTM)</f>
        <v>7391.0240000000003</v>
      </c>
      <c r="B1872" s="13">
        <v>10</v>
      </c>
      <c r="C1872" s="14" t="s">
        <v>34</v>
      </c>
      <c r="D1872" s="15" cm="1">
        <f t="array" ref="D1872">_xlfn.SINGLE(IF(A1871=A1872,_xll.ciqfunctions.udf.CIQ(A1863,"IQ_TOTAL_REV",IQ_FY-1)/I1872, _xll.ciqfunctions.udf.CIQ(A1863, "IQ_TOTAL_REV",IQ_FY)/I1872))</f>
        <v>134.6442507884274</v>
      </c>
      <c r="E1872" s="16">
        <f t="shared" si="499"/>
        <v>0.35644605343197666</v>
      </c>
      <c r="F1872" s="15">
        <f>IF(A1871=A1872,_xll.ciqfunctions.udf.CIQ(A1863,"IQ_DILUT_EPS_EXCL",IQ_FY-1), _xll.ciqfunctions.udf.CIQ(A1863, "IQ_DILUT_EPS_EXCL",IQ_FY))</f>
        <v>11.43</v>
      </c>
      <c r="G1872" s="15">
        <f>IF(A1871=A1872,_xll.ciqfunctions.udf.CIQ(A1863,"IQ_EBITDA_MARGIN",IQ_FY-1), _xll.ciqfunctions.udf.CIQ(A1863, "IQ_EBITDA_MARGIN",IQ_FY))</f>
        <v>11.174899999999999</v>
      </c>
      <c r="H1872" s="15">
        <f>IF(A1871=A1872,_xll.ciqfunctions.udf.CIQ(A1863,"IQ_TOTAL_DIV_PAID_CF",IQ_FY-1)/-I1872, _xll.ciqfunctions.udf.CIQ(A1863, "IQ_TOTAL_DIV_PAID_CF",IQ_FY)/-I1872)</f>
        <v>0</v>
      </c>
      <c r="I1872" s="17">
        <f>IF(A1871=A1872,_xll.ciqfunctions.udf.CIQ(A1863,"IQ_TOTAL_OUTSTANDING_FILING_DATE",IQ_FY-1), _xll.ciqfunctions.udf.CIQ(A1863, "IQ_TOTAL_OUTSTANDING_FILING_DATE",IQ_FY))</f>
        <v>52.905949999999997</v>
      </c>
      <c r="J1872" s="17">
        <f>IF(A1871=A1872,_xll.ciqfunctions.udf.CIQ(A1863,"IQ_CASH_OPER",IQ_FY-1), _xll.ciqfunctions.udf.CIQ(A1863, "IQ_CASH_OPER",IQ_FY))</f>
        <v>663.58</v>
      </c>
      <c r="K1872" s="17">
        <f>IF(A1871=A1872,_xll.ciqfunctions.udf.CIQ(A1863,"IQ_CAPEX",IQ_FY-1), _xll.ciqfunctions.udf.CIQ(A1863, "IQ_CAPEX",IQ_FY))</f>
        <v>-36.792999999999999</v>
      </c>
      <c r="L1872" s="15">
        <f t="shared" si="496"/>
        <v>11.847192990580456</v>
      </c>
      <c r="M1872" s="17">
        <f>IF(A1871=A1872,_xll.ciqfunctions.udf.CIQ(A1863,"IQ_TOTAL_DEBT_ISSUED",IQ_FY-1), _xll.ciqfunctions.udf.CIQ(A1863, "IQ_TOTAL_DEBT_ISSUED",IQ_FY))</f>
        <v>1093.8599999999999</v>
      </c>
      <c r="N1872" s="17">
        <f>IF(A1871=A1872,_xll.ciqfunctions.udf.CIQ(A1863,"IQ_TOTAL_DEBT_REPAID",IQ_FY-1), _xll.ciqfunctions.udf.CIQ(A1863, "IQ_TOTAL_DEBT_REPAID",IQ_FY))</f>
        <v>-1394.424</v>
      </c>
      <c r="O1872" s="15">
        <f t="shared" si="497"/>
        <v>-5.6811001409104289</v>
      </c>
      <c r="P1872" s="15">
        <f t="shared" si="498"/>
        <v>6.1660928496700276</v>
      </c>
      <c r="Q1872" s="25" t="s">
        <v>44</v>
      </c>
      <c r="R1872" s="38" t="s">
        <v>35</v>
      </c>
      <c r="S1872" s="1">
        <f>_xll.ciqfunctions.udf.CIQ(A1863,"IQ_TEV_EBITDA")</f>
        <v>19.691079999999999</v>
      </c>
      <c r="U1872" s="25" t="s">
        <v>55</v>
      </c>
      <c r="V1872" s="38" t="s">
        <v>53</v>
      </c>
      <c r="W1872" s="1">
        <f>V1862/(AVERAGE(D1868:D1873)/_xlfn.STDEV.P(E1868:E1873))</f>
        <v>0.56114936372817659</v>
      </c>
      <c r="Y1872" s="25" t="s">
        <v>57</v>
      </c>
      <c r="Z1872" s="38" t="s">
        <v>53</v>
      </c>
      <c r="AA1872" s="1">
        <f>Z1862/(AVERAGE(D1868:D1873)/_xlfn.STDEV.P(E1868:E1873))</f>
        <v>0.56114936372817659</v>
      </c>
    </row>
    <row r="1873" spans="1:27">
      <c r="B1873" s="13">
        <v>11</v>
      </c>
      <c r="C1873" s="20" t="s">
        <v>36</v>
      </c>
      <c r="D1873" s="21" cm="1">
        <f t="array" ref="D1873">_xlfn.SINGLE(IF(A1871=A1872,_xll.ciqfunctions.udf.CIQ(A1863,"IQ_TOTAL_REV",IQ_FY)/I1873, _xll.ciqfunctions.udf.CIQ(A1863, "IQ_TOTAL_REV",IQ_LTM)/I1873))</f>
        <v>138.63315022787833</v>
      </c>
      <c r="E1873" s="22">
        <f t="shared" si="499"/>
        <v>2.9625471686265094E-2</v>
      </c>
      <c r="F1873" s="21">
        <f>IF(A1871=A1872,_xll.ciqfunctions.udf.CIQ(A1863,"IQ_DILUT_EPS_EXCL",IQ_FY), _xll.ciqfunctions.udf.CIQ(A1863, "IQ_DILUT_EPS_EXCL",IQ_LTM))</f>
        <v>10.841749999999999</v>
      </c>
      <c r="G1873" s="21">
        <f>IF(A1871=A1872,_xll.ciqfunctions.udf.CIQ(A1863,"IQ_EBITDA_MARGIN",IQ_FY), _xll.ciqfunctions.udf.CIQ(A1863, "IQ_EBITDA_MARGIN",IQ_LTM))</f>
        <v>10.134399999999999</v>
      </c>
      <c r="H1873" s="21">
        <f>IF(A1871=A1872,_xll.ciqfunctions.udf.CIQ(A1863,"IQ_TOTAL_DIV_PAID_CF",IQ_FY)/-I1873, _xll.ciqfunctions.udf.CIQ(A1863, "IQ_TOTAL_DIV_PAID_CF",IQ_LTM)/-I1873)</f>
        <v>0</v>
      </c>
      <c r="I1873" s="23">
        <f>IF(A1871=A1872,_xll.ciqfunctions.udf.CIQ(A1863,"IQ_TOTAL_OUTSTANDING_FILING_DATE",IQ_FY),_xll.ciqfunctions.udf.CIQ(A1863,"IQ_sharesoutstanding"))</f>
        <v>53.313540000000003</v>
      </c>
      <c r="J1873" s="23">
        <f>IF(A1871=A1872,_xll.ciqfunctions.udf.CIQ(A1863,"IQ_CASH_OPER",IQ_FY), _xll.ciqfunctions.udf.CIQ(A1863, "IQ_CASH_OPER",IQ_LTM))</f>
        <v>620.45799999999997</v>
      </c>
      <c r="K1873" s="23">
        <f>IF(A1871=A1872,_xll.ciqfunctions.udf.CIQ(A1863,"IQ_CAPEX",IQ_FY), _xll.ciqfunctions.udf.CIQ(A1863, "IQ_CAPEX",IQ_LTM))</f>
        <v>-28.678000000000001</v>
      </c>
      <c r="L1873" s="21">
        <f t="shared" si="496"/>
        <v>11.099994485453413</v>
      </c>
      <c r="M1873" s="23">
        <f>IF(A1871=A1872,_xll.ciqfunctions.udf.CIQ(A1863,"IQ_TOTAL_DEBT_ISSUED",IQ_FY), _xll.ciqfunctions.udf.CIQ(A1863, "IQ_TOTAL_DEBT_ISSUED",IQ_LTM))</f>
        <v>1014.7190000000001</v>
      </c>
      <c r="N1873" s="23">
        <f>IF(A1871=A1872,_xll.ciqfunctions.udf.CIQ(A1863,"IQ_TOTAL_DEBT_REPAID",IQ_FY), _xll.ciqfunctions.udf.CIQ(A1863, "IQ_TOTAL_DEBT_REPAID",IQ_LTM))</f>
        <v>-1118.625</v>
      </c>
      <c r="O1873" s="21">
        <f t="shared" si="497"/>
        <v>-1.9489608080798977</v>
      </c>
      <c r="P1873" s="21">
        <f t="shared" si="498"/>
        <v>9.1510336773735155</v>
      </c>
      <c r="Q1873" s="25" t="s">
        <v>45</v>
      </c>
      <c r="S1873" s="45"/>
      <c r="U1873" s="25"/>
      <c r="W1873" s="45"/>
      <c r="Y1873" s="25"/>
      <c r="AA1873" s="45"/>
    </row>
    <row r="1874" spans="1:27">
      <c r="B1874" s="24"/>
      <c r="C1874" s="25" t="s">
        <v>37</v>
      </c>
      <c r="E1874" s="26">
        <f>((D1873/D1868)^(1/5))-1</f>
        <v>0.14681376520748435</v>
      </c>
      <c r="F1874" s="27">
        <f>((F1873/F1868)^(1/5))-1</f>
        <v>0.50805408600051516</v>
      </c>
      <c r="G1874" s="28"/>
      <c r="H1874" s="27" t="e">
        <f>((H1873/H1868)^(1/5))-1</f>
        <v>#DIV/0!</v>
      </c>
      <c r="I1874" s="27">
        <f>((I1873/I1868)^(1/5))-1</f>
        <v>1.2570994968224891E-2</v>
      </c>
      <c r="J1874" s="27"/>
      <c r="K1874" s="27"/>
      <c r="L1874" s="26">
        <f>((L1873/L1868)^(1/5))-1</f>
        <v>0.18521983363630756</v>
      </c>
      <c r="M1874" s="26"/>
      <c r="N1874" s="26"/>
      <c r="O1874" s="26"/>
      <c r="P1874" s="26">
        <f>((P1873/P1868)^(1/5))-1</f>
        <v>0.25785858932792061</v>
      </c>
      <c r="Q1874" s="18"/>
      <c r="R1874" s="36"/>
      <c r="S1874" s="45"/>
      <c r="U1874" s="18"/>
      <c r="V1874" s="36"/>
      <c r="W1874" s="45"/>
      <c r="Y1874" s="18"/>
      <c r="Z1874" s="36"/>
      <c r="AA1874" s="45"/>
    </row>
    <row r="1875" spans="1:27">
      <c r="A1875" s="29"/>
      <c r="B1875" s="30"/>
      <c r="C1875" s="31" t="s">
        <v>38</v>
      </c>
      <c r="D1875" s="29"/>
      <c r="E1875" s="32">
        <f>((D1873/D1863)^(1/10))-1</f>
        <v>0.15745936840567731</v>
      </c>
      <c r="F1875" s="33">
        <f>((F1873/F1863)^(1/10))-1</f>
        <v>0.25005198680996932</v>
      </c>
      <c r="G1875" s="34"/>
      <c r="H1875" s="33" t="e">
        <f>((H1873/H1863)^(1/10))-1</f>
        <v>#DIV/0!</v>
      </c>
      <c r="I1875" s="33">
        <f>((I1873/I1863)^(1/10))-1</f>
        <v>1.5583685747704301E-2</v>
      </c>
      <c r="J1875" s="33"/>
      <c r="K1875" s="33"/>
      <c r="L1875" s="32" t="e">
        <f>((L1873/L1863)^(1/10))-1</f>
        <v>#NUM!</v>
      </c>
      <c r="M1875" s="32"/>
      <c r="N1875" s="32"/>
      <c r="O1875" s="32"/>
      <c r="P1875" s="32" t="e">
        <f>((P1873/P1863)^(1/10))-1</f>
        <v>#NUM!</v>
      </c>
      <c r="Q1875" s="40"/>
      <c r="R1875" s="41"/>
      <c r="S1875" s="46"/>
      <c r="U1875" s="40"/>
      <c r="V1875" s="41"/>
      <c r="W1875" s="46"/>
      <c r="Y1875" s="40"/>
      <c r="Z1875" s="41"/>
      <c r="AA1875" s="46"/>
    </row>
    <row r="1876" spans="1:27">
      <c r="B1876" s="24"/>
      <c r="C1876" s="25"/>
      <c r="E1876" s="26"/>
      <c r="F1876" s="27"/>
      <c r="G1876" s="28"/>
      <c r="H1876" s="27"/>
      <c r="I1876" s="27"/>
      <c r="J1876" s="27"/>
      <c r="K1876" s="27"/>
      <c r="L1876" s="26"/>
      <c r="M1876" s="17"/>
      <c r="N1876" s="17"/>
      <c r="O1876" s="17"/>
      <c r="P1876" s="35"/>
      <c r="Q1876" s="18"/>
      <c r="R1876" s="36"/>
    </row>
    <row r="1877" spans="1:27">
      <c r="A1877" s="9" t="s">
        <v>0</v>
      </c>
      <c r="B1877" s="10"/>
      <c r="C1877" s="9" t="s">
        <v>1</v>
      </c>
      <c r="D1877" s="9" t="s">
        <v>2</v>
      </c>
      <c r="E1877" s="9" t="s">
        <v>3</v>
      </c>
      <c r="F1877" s="11" t="s">
        <v>4</v>
      </c>
      <c r="G1877" s="11" t="s">
        <v>5</v>
      </c>
      <c r="H1877" s="9" t="s">
        <v>6</v>
      </c>
      <c r="I1877" s="11" t="s">
        <v>7</v>
      </c>
      <c r="J1877" s="11" t="s">
        <v>8</v>
      </c>
      <c r="K1877" s="11" t="s">
        <v>9</v>
      </c>
      <c r="L1877" s="11" t="s">
        <v>10</v>
      </c>
      <c r="M1877" s="11" t="s">
        <v>11</v>
      </c>
      <c r="N1877" s="11" t="s">
        <v>12</v>
      </c>
      <c r="O1877" s="11" t="s">
        <v>13</v>
      </c>
      <c r="P1877" s="11" t="s">
        <v>14</v>
      </c>
      <c r="Q1877" s="37" t="s">
        <v>15</v>
      </c>
      <c r="R1877" s="42" t="str">
        <f>_xll.ciqfunctions.udf.CIQ(A1878,("IQ_LASTSALEPRICE"))</f>
        <v>(Invalid Identifier)</v>
      </c>
      <c r="S1877" s="44"/>
      <c r="U1877" s="37" t="s">
        <v>15</v>
      </c>
      <c r="V1877" s="42" t="str">
        <f>_xll.ciqfunctions.udf.CIQ(A1878,("IQ_LASTSALEPRICE"))</f>
        <v>(Invalid Identifier)</v>
      </c>
      <c r="W1877" s="44"/>
      <c r="Y1877" s="37" t="s">
        <v>15</v>
      </c>
      <c r="Z1877" s="42" t="str">
        <f>_xll.ciqfunctions.udf.CIQ(A1878,("IQ_LASTSALEPRICE"))</f>
        <v>(Invalid Identifier)</v>
      </c>
      <c r="AA1877" s="44"/>
    </row>
    <row r="1878" spans="1:27">
      <c r="A1878" s="12" t="str">
        <f>Analysis!B127</f>
        <v>NYSE:NCR</v>
      </c>
      <c r="B1878" s="13">
        <v>1</v>
      </c>
      <c r="C1878" s="14" t="s">
        <v>16</v>
      </c>
      <c r="D1878" s="15" t="e">
        <f>IF(A1886=A1887,_xll.ciqfunctions.udf.CIQ(A1878,"IQ_TOTAL_REV",IQ_FY-10)/I1878,_xll.ciqfunctions.udf.CIQ(A1878, "IQ_TOTAL_REV",IQ_FY-9)/I1878)</f>
        <v>#VALUE!</v>
      </c>
      <c r="E1878" s="16"/>
      <c r="F1878" s="15" t="str">
        <f>IF(A1886=A1887,_xll.ciqfunctions.udf.CIQ(A1878,"IQ_DILUT_EPS_EXCL",IQ_FY-10), _xll.ciqfunctions.udf.CIQ(A1878, "IQ_DILUT_EPS_EXCL",IQ_FY-9))</f>
        <v>(Invalid Identifier)</v>
      </c>
      <c r="G1878" s="15" t="str">
        <f>IF(A1886=A1887,_xll.ciqfunctions.udf.CIQ(A1878,"IQ_EBITDA_MARGIN",IQ_FY-10), _xll.ciqfunctions.udf.CIQ(A1878, "IQ_EBITDA_MARGIN",IQ_FY-9))</f>
        <v>(Invalid Identifier)</v>
      </c>
      <c r="H1878" s="15" t="e">
        <f>IF(A1886=A1887,_xll.ciqfunctions.udf.CIQ(A1878,"IQ_TOTAL_DIV_PAID_CF",IQ_FY-10)/-I1878, _xll.ciqfunctions.udf.CIQ(A1878, "IQ_TOTAL_DIV_PAID_CF",IQ_FY-9)/-I1878)</f>
        <v>#VALUE!</v>
      </c>
      <c r="I1878" s="17" t="str">
        <f>IF(A1886=A1887,_xll.ciqfunctions.udf.CIQ(A1878,"IQ_TOTAL_OUTSTANDING_FILING_DATE",IQ_FY-10), _xll.ciqfunctions.udf.CIQ(A1878, "IQ_TOTAL_OUTSTANDING_FILING_DATE",IQ_FY-9))</f>
        <v>(Invalid Identifier)</v>
      </c>
      <c r="J1878" s="17" t="str">
        <f>IF(A1886=A1887,_xll.ciqfunctions.udf.CIQ(A1878,"IQ_CASH_OPER",IQ_FY-10), _xll.ciqfunctions.udf.CIQ(A1878, "IQ_CASH_OPER",IQ_FY-9))</f>
        <v>(Invalid Identifier)</v>
      </c>
      <c r="K1878" s="17" t="str">
        <f>IF(A1886=A1887,_xll.ciqfunctions.udf.CIQ(A1878,"IQ_CAPEX",IQ_FY-10), _xll.ciqfunctions.udf.CIQ(A1878, "IQ_CAPEX",IQ_FY-9))</f>
        <v>(Invalid Identifier)</v>
      </c>
      <c r="L1878" s="15" t="e">
        <f t="shared" ref="L1878:L1888" si="500">(J1878+K1878)/I1878</f>
        <v>#VALUE!</v>
      </c>
      <c r="M1878" s="17" t="str">
        <f>IF(A1886=A1887,_xll.ciqfunctions.udf.CIQ(A1878,"IQ_TOTAL_DEBT_ISSUED",IQ_FY-10), _xll.ciqfunctions.udf.CIQ(A1878, "IQ_TOTAL_DEBT_ISSUED",IQ_FY-9))</f>
        <v>(Invalid Identifier)</v>
      </c>
      <c r="N1878" s="17" t="str">
        <f>IF(A1886=A1887,_xll.ciqfunctions.udf.CIQ(A1878,"IQ_TOTAL_DEBT_REPAID",IQ_FY-10), _xll.ciqfunctions.udf.CIQ(A1878, "IQ_TOTAL_DEBT_REPAID",IQ_FY-9))</f>
        <v>(Invalid Identifier)</v>
      </c>
      <c r="O1878" s="15" t="e">
        <f t="shared" ref="O1878:O1888" si="501">(M1878+N1878)/I1878</f>
        <v>#VALUE!</v>
      </c>
      <c r="P1878" s="15" t="e">
        <f t="shared" ref="P1878:P1888" si="502">L1878+O1878</f>
        <v>#VALUE!</v>
      </c>
      <c r="W1878" s="43"/>
      <c r="AA1878" s="43"/>
    </row>
    <row r="1879" spans="1:27">
      <c r="A1879" s="18" t="str">
        <f>_xll.ciqfunctions.udf.CIQ(A1878,"IQ_COMPANY_NAME")</f>
        <v>(Invalid Identifier)</v>
      </c>
      <c r="B1879" s="13">
        <v>2</v>
      </c>
      <c r="C1879" s="14" t="s">
        <v>17</v>
      </c>
      <c r="D1879" s="15" t="e">
        <f>IF(A1886=A1887,_xll.ciqfunctions.udf.CIQ(A1878,"IQ_TOTAL_REV",IQ_FY-9)/I1879, _xll.ciqfunctions.udf.CIQ(A1878, "IQ_TOTAL_REV",IQ_FY-8)/I1879)</f>
        <v>#VALUE!</v>
      </c>
      <c r="E1879" s="16" t="e">
        <f t="shared" ref="E1879:E1888" si="503">(D1879-D1878)/D1878</f>
        <v>#VALUE!</v>
      </c>
      <c r="F1879" s="15" t="str">
        <f>IF(A1886=A1887,_xll.ciqfunctions.udf.CIQ(A1878,"IQ_DILUT_EPS_EXCL",IQ_FY-9), _xll.ciqfunctions.udf.CIQ(A1878, "IQ_DILUT_EPS_EXCL",IQ_FY-8))</f>
        <v>(Invalid Identifier)</v>
      </c>
      <c r="G1879" s="15" t="str">
        <f>IF(A1886=A1887,_xll.ciqfunctions.udf.CIQ(A1878,"IQ_EBITDA_MARGIN",IQ_FY-9), _xll.ciqfunctions.udf.CIQ(A1878, "IQ_EBITDA_MARGIN",IQ_FY-8))</f>
        <v>(Invalid Identifier)</v>
      </c>
      <c r="H1879" s="15" t="e">
        <f>IF(A1886=A1887,_xll.ciqfunctions.udf.CIQ(A1878,"IQ_TOTAL_DIV_PAID_CF",IQ_FY-9)/-I1879, _xll.ciqfunctions.udf.CIQ(A1878, "IQ_TOTAL_DIV_PAID_CF",IQ_FY-8)/-I1879)</f>
        <v>#VALUE!</v>
      </c>
      <c r="I1879" s="17" t="str">
        <f>IF(A1886=A1887,_xll.ciqfunctions.udf.CIQ(A1878,"IQ_TOTAL_OUTSTANDING_FILING_DATE",IQ_FY-9), _xll.ciqfunctions.udf.CIQ(A1878, "IQ_TOTAL_OUTSTANDING_FILING_DATE",IQ_FY-8))</f>
        <v>(Invalid Identifier)</v>
      </c>
      <c r="J1879" s="17" t="str">
        <f>IF(A1886=A1887,_xll.ciqfunctions.udf.CIQ(A1878,"IQ_CASH_OPER",IQ_FY-9), _xll.ciqfunctions.udf.CIQ(A1878, "IQ_CASH_OPER",IQ_FY-8))</f>
        <v>(Invalid Identifier)</v>
      </c>
      <c r="K1879" s="17" t="str">
        <f>IF(A1886=A1887,_xll.ciqfunctions.udf.CIQ(A1878,"IQ_CAPEX",IQ_FY-9), _xll.ciqfunctions.udf.CIQ(A1878, "IQ_CAPEX",IQ_FY-8))</f>
        <v>(Invalid Identifier)</v>
      </c>
      <c r="L1879" s="15" t="e">
        <f t="shared" si="500"/>
        <v>#VALUE!</v>
      </c>
      <c r="M1879" s="17" t="str">
        <f>IF(A1886=A1887,_xll.ciqfunctions.udf.CIQ(A1878,"IQ_TOTAL_DEBT_ISSUED",IQ_FY-9), _xll.ciqfunctions.udf.CIQ(A1878, "IQ_TOTAL_DEBT_ISSUED",IQ_FY-8))</f>
        <v>(Invalid Identifier)</v>
      </c>
      <c r="N1879" s="17" t="str">
        <f>IF(A1886=A1887,_xll.ciqfunctions.udf.CIQ(A1878,"IQ_TOTAL_DEBT_REPAID",IQ_FY-9), _xll.ciqfunctions.udf.CIQ(A1878, "IQ_TOTAL_DEBT_REPAID",IQ_FY-8))</f>
        <v>(Invalid Identifier)</v>
      </c>
      <c r="O1879" s="15" t="e">
        <f t="shared" si="501"/>
        <v>#VALUE!</v>
      </c>
      <c r="P1879" s="15" t="e">
        <f t="shared" si="502"/>
        <v>#VALUE!</v>
      </c>
      <c r="Q1879" s="25" t="s">
        <v>18</v>
      </c>
      <c r="R1879" s="39" t="s">
        <v>19</v>
      </c>
      <c r="S1879" s="1" t="e">
        <f>R1877/((AVERAGE(P1883:P1888))*(1+E1889)^3)</f>
        <v>#VALUE!</v>
      </c>
      <c r="U1879" s="25" t="s">
        <v>48</v>
      </c>
      <c r="V1879" s="39" t="s">
        <v>19</v>
      </c>
      <c r="W1879" s="1" t="e">
        <f>V1877/((AVERAGE(P1883:P1888))*(1+E1889)^3)</f>
        <v>#VALUE!</v>
      </c>
      <c r="Y1879" s="25" t="s">
        <v>39</v>
      </c>
      <c r="Z1879" s="39" t="s">
        <v>19</v>
      </c>
      <c r="AA1879" s="1" t="e">
        <f>Z1877/((AVERAGE(P1883:P1888))*(1+E1889)^3)</f>
        <v>#VALUE!</v>
      </c>
    </row>
    <row r="1880" spans="1:27">
      <c r="B1880" s="13">
        <v>3</v>
      </c>
      <c r="C1880" s="14" t="s">
        <v>20</v>
      </c>
      <c r="D1880" s="15" t="e" cm="1">
        <f t="array" ref="D1880">_xlfn.SINGLE(IF(A1886=A1887,_xll.ciqfunctions.udf.CIQ(A1878,"IQ_TOTAL_REV",IQ_FY-8)/I1880, _xll.ciqfunctions.udf.CIQ(A1878, "IQ_TOTAL_REV",IQ_FY-7)/I1880))</f>
        <v>#VALUE!</v>
      </c>
      <c r="E1880" s="16" t="e">
        <f t="shared" si="503"/>
        <v>#VALUE!</v>
      </c>
      <c r="F1880" s="15" t="str">
        <f>IF(A1886=A1887,_xll.ciqfunctions.udf.CIQ(A1878,"IQ_DILUT_EPS_EXCL",IQ_FY-8), _xll.ciqfunctions.udf.CIQ(A1878, "IQ_DILUT_EPS_EXCL",IQ_FY-7))</f>
        <v>(Invalid Identifier)</v>
      </c>
      <c r="G1880" s="15" t="str">
        <f>IF(A1886=A1887,_xll.ciqfunctions.udf.CIQ(A1878,"IQ_EBITDA_MARGIN",IQ_FY-8), _xll.ciqfunctions.udf.CIQ(A1878, "IQ_EBITDA_MARGIN",IQ_FY-7))</f>
        <v>(Invalid Identifier)</v>
      </c>
      <c r="H1880" s="15" t="e">
        <f>IF(A1886=A1887,_xll.ciqfunctions.udf.CIQ(A1878,"IQ_TOTAL_DIV_PAID_CF",IQ_FY-8)/-I1880, _xll.ciqfunctions.udf.CIQ(A1878, "IQ_TOTAL_DIV_PAID_CF",IQ_FY-7)/-I1880)</f>
        <v>#VALUE!</v>
      </c>
      <c r="I1880" s="17" t="str">
        <f>IF(A1886=A1887,_xll.ciqfunctions.udf.CIQ(A1878,"IQ_TOTAL_OUTSTANDING_FILING_DATE",IQ_FY-8), _xll.ciqfunctions.udf.CIQ(A1878, "IQ_TOTAL_OUTSTANDING_FILING_DATE",IQ_FY-7))</f>
        <v>(Invalid Identifier)</v>
      </c>
      <c r="J1880" s="17" t="str">
        <f>IF(A1886=A1887,_xll.ciqfunctions.udf.CIQ(A1878,"IQ_CASH_OPER",IQ_FY-8), _xll.ciqfunctions.udf.CIQ(A1878, "IQ_CASH_OPER",IQ_FY-7))</f>
        <v>(Invalid Identifier)</v>
      </c>
      <c r="K1880" s="17" t="str">
        <f>IF(A1886=A1887,_xll.ciqfunctions.udf.CIQ(A1878,"IQ_CAPEX",IQ_FY-8), _xll.ciqfunctions.udf.CIQ(A1878, "IQ_CAPEX",IQ_FY-7))</f>
        <v>(Invalid Identifier)</v>
      </c>
      <c r="L1880" s="15" t="e">
        <f t="shared" si="500"/>
        <v>#VALUE!</v>
      </c>
      <c r="M1880" s="17" t="str">
        <f>IF(A1886=A1887,_xll.ciqfunctions.udf.CIQ(A1878,"IQ_TOTAL_DEBT_ISSUED",IQ_FY-8), _xll.ciqfunctions.udf.CIQ(A1878, "IQ_TOTAL_DEBT_ISSUED",IQ_FY-7))</f>
        <v>(Invalid Identifier)</v>
      </c>
      <c r="N1880" s="17" t="str">
        <f>IF(A1886=A1887,_xll.ciqfunctions.udf.CIQ(A1878,"IQ_TOTAL_DEBT_REPAID",IQ_FY-8), _xll.ciqfunctions.udf.CIQ(A1878, "IQ_TOTAL_DEBT_REPAID",IQ_FY-7))</f>
        <v>(Invalid Identifier)</v>
      </c>
      <c r="O1880" s="15" t="e">
        <f t="shared" si="501"/>
        <v>#VALUE!</v>
      </c>
      <c r="P1880" s="15" t="e">
        <f t="shared" si="502"/>
        <v>#VALUE!</v>
      </c>
      <c r="Q1880" s="25" t="s">
        <v>21</v>
      </c>
      <c r="R1880" s="38" t="s">
        <v>49</v>
      </c>
      <c r="S1880" s="2" t="e">
        <f>(R1877*I1888)/1000</f>
        <v>#VALUE!</v>
      </c>
      <c r="U1880" s="25" t="s">
        <v>59</v>
      </c>
      <c r="V1880" s="38" t="s">
        <v>49</v>
      </c>
      <c r="W1880" s="2" t="e">
        <f>(V1877*I1888)/1000</f>
        <v>#VALUE!</v>
      </c>
      <c r="Y1880" s="25" t="s">
        <v>46</v>
      </c>
      <c r="Z1880" s="38" t="s">
        <v>49</v>
      </c>
      <c r="AA1880" s="2" t="e">
        <f>(Z1877*I1888)/1000</f>
        <v>#VALUE!</v>
      </c>
    </row>
    <row r="1881" spans="1:27">
      <c r="A1881" s="18"/>
      <c r="B1881" s="13">
        <v>4</v>
      </c>
      <c r="C1881" s="14" t="s">
        <v>22</v>
      </c>
      <c r="D1881" s="15" t="e" cm="1">
        <f t="array" ref="D1881">_xlfn.SINGLE(IF(A1886=A1887,_xll.ciqfunctions.udf.CIQ(A1878,"IQ_TOTAL_REV",IQ_FY-7)/I1881, _xll.ciqfunctions.udf.CIQ(A1878, "IQ_TOTAL_REV",IQ_FY-6)/I1881))</f>
        <v>#VALUE!</v>
      </c>
      <c r="E1881" s="16" t="e">
        <f t="shared" si="503"/>
        <v>#VALUE!</v>
      </c>
      <c r="F1881" s="15" t="str">
        <f>IF(A1886=A1887,_xll.ciqfunctions.udf.CIQ(A1878,"IQ_DILUT_EPS_EXCL",IQ_FY-7), _xll.ciqfunctions.udf.CIQ(A1878, "IQ_DILUT_EPS_EXCL",IQ_FY-6))</f>
        <v>(Invalid Identifier)</v>
      </c>
      <c r="G1881" s="15" t="str">
        <f>IF(A1886=A1887,_xll.ciqfunctions.udf.CIQ(A1878,"IQ_EBITDA_MARGIN",IQ_FY-7), _xll.ciqfunctions.udf.CIQ(A1878, "IQ_EBITDA_MARGIN",IQ_FY-6))</f>
        <v>(Invalid Identifier)</v>
      </c>
      <c r="H1881" s="15" t="e">
        <f>IF(A1886=A1887,_xll.ciqfunctions.udf.CIQ(A1878,"IQ_TOTAL_DIV_PAID_CF",IQ_FY-7)/-I1881, _xll.ciqfunctions.udf.CIQ(A1878, "IQ_TOTAL_DIV_PAID_CF",IQ_FY-6)/-I1881)</f>
        <v>#VALUE!</v>
      </c>
      <c r="I1881" s="17" t="str">
        <f>IF(A1886=A1887,_xll.ciqfunctions.udf.CIQ(A1878,"IQ_TOTAL_OUTSTANDING_FILING_DATE",IQ_FY-7), _xll.ciqfunctions.udf.CIQ(A1878, "IQ_TOTAL_OUTSTANDING_FILING_DATE",IQ_FY-6))</f>
        <v>(Invalid Identifier)</v>
      </c>
      <c r="J1881" s="17" t="str">
        <f>IF(A1886=A1887,_xll.ciqfunctions.udf.CIQ(A1878,"IQ_CASH_OPER",IQ_FY-7), _xll.ciqfunctions.udf.CIQ(A1878, "IQ_CASH_OPER",IQ_FY-6))</f>
        <v>(Invalid Identifier)</v>
      </c>
      <c r="K1881" s="17" t="str">
        <f>IF(A1886=A1887,_xll.ciqfunctions.udf.CIQ(A1878,"IQ_CAPEX",IQ_FY-7), _xll.ciqfunctions.udf.CIQ(A1878, "IQ_CAPEX",IQ_FY-6))</f>
        <v>(Invalid Identifier)</v>
      </c>
      <c r="L1881" s="15" t="e">
        <f t="shared" si="500"/>
        <v>#VALUE!</v>
      </c>
      <c r="M1881" s="17" t="str">
        <f>IF(A1886=A1887,_xll.ciqfunctions.udf.CIQ(A1878,"IQ_TOTAL_DEBT_ISSUED",IQ_FY-7), _xll.ciqfunctions.udf.CIQ(A1878, "IQ_TOTAL_DEBT_ISSUED",IQ_FY-6))</f>
        <v>(Invalid Identifier)</v>
      </c>
      <c r="N1881" s="17" t="str">
        <f>IF(A1886=A1887,_xll.ciqfunctions.udf.CIQ(A1878,"IQ_TOTAL_DEBT_REPAID",IQ_FY-7), _xll.ciqfunctions.udf.CIQ(A1878, "IQ_TOTAL_DEBT_REPAID",IQ_FY-6))</f>
        <v>(Invalid Identifier)</v>
      </c>
      <c r="O1881" s="15" t="e">
        <f t="shared" si="501"/>
        <v>#VALUE!</v>
      </c>
      <c r="P1881" s="15" t="e">
        <f t="shared" si="502"/>
        <v>#VALUE!</v>
      </c>
      <c r="Q1881" s="25" t="s">
        <v>23</v>
      </c>
      <c r="R1881" s="38" t="s">
        <v>24</v>
      </c>
      <c r="S1881" s="1" t="e">
        <f>R1877/(AVERAGE(H1883:H1888)*(1+H1889)/(0.5-H1889))</f>
        <v>#VALUE!</v>
      </c>
      <c r="U1881" s="25" t="s">
        <v>40</v>
      </c>
      <c r="V1881" s="38" t="s">
        <v>24</v>
      </c>
      <c r="W1881" s="1" t="e">
        <f>V1877/(AVERAGE(H1883:H1888)*(1+H1889)/(0.5-H1889))</f>
        <v>#VALUE!</v>
      </c>
      <c r="Y1881" s="25" t="s">
        <v>47</v>
      </c>
      <c r="Z1881" s="38" t="s">
        <v>24</v>
      </c>
      <c r="AA1881" s="1" t="e">
        <f>Z1877/(AVERAGE(H1883:H1888)*(1+H1889)/(0.5-H1889))</f>
        <v>#VALUE!</v>
      </c>
    </row>
    <row r="1882" spans="1:27">
      <c r="B1882" s="13">
        <v>5</v>
      </c>
      <c r="C1882" s="14" t="s">
        <v>25</v>
      </c>
      <c r="D1882" s="15" t="e" cm="1">
        <f t="array" ref="D1882">_xlfn.SINGLE(IF(A1886=A1887,_xll.ciqfunctions.udf.CIQ(A1878,"IQ_TOTAL_REV",IQ_FY-6)/I1882, _xll.ciqfunctions.udf.CIQ(A1878, "IQ_TOTAL_REV",IQ_FY-5)/I1882))</f>
        <v>#VALUE!</v>
      </c>
      <c r="E1882" s="16" t="e">
        <f t="shared" si="503"/>
        <v>#VALUE!</v>
      </c>
      <c r="F1882" s="15" t="str">
        <f>IF(A1886=A1887,_xll.ciqfunctions.udf.CIQ(A1878,"IQ_DILUT_EPS_EXCL",IQ_FY-6), _xll.ciqfunctions.udf.CIQ(A1878, "IQ_DILUT_EPS_EXCL",IQ_FY-5))</f>
        <v>(Invalid Identifier)</v>
      </c>
      <c r="G1882" s="15" t="str">
        <f>IF(A1886=A1887,_xll.ciqfunctions.udf.CIQ(A1878,"IQ_EBITDA_MARGIN",IQ_FY-6), _xll.ciqfunctions.udf.CIQ(A1878, "IQ_EBITDA_MARGIN",IQ_FY-5))</f>
        <v>(Invalid Identifier)</v>
      </c>
      <c r="H1882" s="15" t="e">
        <f>IF(A1886=A1887,_xll.ciqfunctions.udf.CIQ(A1878,"IQ_TOTAL_DIV_PAID_CF",IQ_FY-6)/-I1882, _xll.ciqfunctions.udf.CIQ(A1878, "IQ_TOTAL_DIV_PAID_CF",IQ_FY-5)/-I1882)</f>
        <v>#VALUE!</v>
      </c>
      <c r="I1882" s="17" t="str">
        <f>IF(A1886=A1887,_xll.ciqfunctions.udf.CIQ(A1878,"IQ_TOTAL_OUTSTANDING_FILING_DATE",IQ_FY-6), _xll.ciqfunctions.udf.CIQ(A1878, "IQ_TOTAL_OUTSTANDING_FILING_DATE",IQ_FY-5))</f>
        <v>(Invalid Identifier)</v>
      </c>
      <c r="J1882" s="17" t="str">
        <f>IF(A1886=A1887,_xll.ciqfunctions.udf.CIQ(A1878,"IQ_CASH_OPER",IQ_FY-6), _xll.ciqfunctions.udf.CIQ(A1878, "IQ_CASH_OPER",IQ_FY-5))</f>
        <v>(Invalid Identifier)</v>
      </c>
      <c r="K1882" s="17" t="str">
        <f>IF(A1886=A1887,_xll.ciqfunctions.udf.CIQ(A1878,"IQ_CAPEX",IQ_FY-6), _xll.ciqfunctions.udf.CIQ(A1878, "IQ_CAPEX",IQ_FY-5))</f>
        <v>(Invalid Identifier)</v>
      </c>
      <c r="L1882" s="15" t="e">
        <f t="shared" si="500"/>
        <v>#VALUE!</v>
      </c>
      <c r="M1882" s="17" t="str">
        <f>IF(A1886=A1887,_xll.ciqfunctions.udf.CIQ(A1878,"IQ_TOTAL_DEBT_ISSUED",IQ_FY-6), _xll.ciqfunctions.udf.CIQ(A1878, "IQ_TOTAL_DEBT_ISSUED",IQ_FY-5))</f>
        <v>(Invalid Identifier)</v>
      </c>
      <c r="N1882" s="17" t="str">
        <f>IF(A1886=A1887,_xll.ciqfunctions.udf.CIQ(A1878,"IQ_TOTAL_DEBT_REPAID",IQ_FY-6), _xll.ciqfunctions.udf.CIQ(A1878, "IQ_TOTAL_DEBT_REPAID",IQ_FY-5))</f>
        <v>(Invalid Identifier)</v>
      </c>
      <c r="O1882" s="15" t="e">
        <f t="shared" si="501"/>
        <v>#VALUE!</v>
      </c>
      <c r="P1882" s="15" t="e">
        <f t="shared" si="502"/>
        <v>#VALUE!</v>
      </c>
      <c r="Q1882" s="18"/>
      <c r="R1882" s="38" t="s">
        <v>50</v>
      </c>
      <c r="S1882" s="3" t="e">
        <f>I1889</f>
        <v>#VALUE!</v>
      </c>
      <c r="U1882" s="18"/>
      <c r="V1882" s="38" t="s">
        <v>50</v>
      </c>
      <c r="W1882" s="3" t="e">
        <f>I1889</f>
        <v>#VALUE!</v>
      </c>
      <c r="Y1882" s="18"/>
      <c r="Z1882" s="38" t="s">
        <v>50</v>
      </c>
      <c r="AA1882" s="3" t="e">
        <f>I1889</f>
        <v>#VALUE!</v>
      </c>
    </row>
    <row r="1883" spans="1:27">
      <c r="B1883" s="13">
        <v>6</v>
      </c>
      <c r="C1883" s="14" t="s">
        <v>26</v>
      </c>
      <c r="D1883" s="15" t="e" cm="1">
        <f t="array" ref="D1883">_xlfn.SINGLE(IF(A1886=A1887,_xll.ciqfunctions.udf.CIQ(A1878,"IQ_TOTAL_REV",IQ_FY-5)/I1883, _xll.ciqfunctions.udf.CIQ(A1878, "IQ_TOTAL_REV",IQ_FY-4)/I1883))</f>
        <v>#VALUE!</v>
      </c>
      <c r="E1883" s="16" t="e">
        <f t="shared" si="503"/>
        <v>#VALUE!</v>
      </c>
      <c r="F1883" s="15" t="str">
        <f>IF(A1886=A1887,_xll.ciqfunctions.udf.CIQ(A1878,"IQ_DILUT_EPS_EXCL",IQ_FY-5), _xll.ciqfunctions.udf.CIQ(A1878, "IQ_DILUT_EPS_EXCL",IQ_FY-4))</f>
        <v>(Invalid Identifier)</v>
      </c>
      <c r="G1883" s="15" t="str">
        <f>IF(A1886=A1887,_xll.ciqfunctions.udf.CIQ(A1878,"IQ_EBITDA_MARGIN",IQ_FY-5), _xll.ciqfunctions.udf.CIQ(A1878, "IQ_EBITDA_MARGIN",IQ_FY-4))</f>
        <v>(Invalid Identifier)</v>
      </c>
      <c r="H1883" s="15" t="e">
        <f>IF(A1886=A1887,_xll.ciqfunctions.udf.CIQ(A1878,"IQ_TOTAL_DIV_PAID_CF",IQ_FY-5)/-I1883, _xll.ciqfunctions.udf.CIQ(A1878, "IQ_TOTAL_DIV_PAID_CF",IQ_FY-4)/-I1883)</f>
        <v>#VALUE!</v>
      </c>
      <c r="I1883" s="17" t="str">
        <f>IF(A1886=A1887,_xll.ciqfunctions.udf.CIQ(A1878,"IQ_TOTAL_OUTSTANDING_FILING_DATE",IQ_FY-5), _xll.ciqfunctions.udf.CIQ(A1878, "IQ_TOTAL_OUTSTANDING_FILING_DATE",IQ_FY-4))</f>
        <v>(Invalid Identifier)</v>
      </c>
      <c r="J1883" s="17" t="str">
        <f>IF(A1886=A1887,_xll.ciqfunctions.udf.CIQ(A1878,"IQ_CASH_OPER",IQ_FY-5), _xll.ciqfunctions.udf.CIQ(A1878, "IQ_CASH_OPER",IQ_FY-4))</f>
        <v>(Invalid Identifier)</v>
      </c>
      <c r="K1883" s="17" t="str">
        <f>IF(A1886=A1887,_xll.ciqfunctions.udf.CIQ(A1878,"IQ_CAPEX",IQ_FY-5), _xll.ciqfunctions.udf.CIQ(A1878, "IQ_CAPEX",IQ_FY-4))</f>
        <v>(Invalid Identifier)</v>
      </c>
      <c r="L1883" s="15" t="e">
        <f t="shared" si="500"/>
        <v>#VALUE!</v>
      </c>
      <c r="M1883" s="17" t="str">
        <f>IF(A1886=A1887,_xll.ciqfunctions.udf.CIQ(A1878,"IQ_TOTAL_DEBT_ISSUED",IQ_FY-5), _xll.ciqfunctions.udf.CIQ(A1878, "IQ_TOTAL_DEBT_ISSUED",IQ_FY-4))</f>
        <v>(Invalid Identifier)</v>
      </c>
      <c r="N1883" s="17" t="str">
        <f>IF(A1886=A1887,_xll.ciqfunctions.udf.CIQ(A1878,"IQ_TOTAL_DEBT_REPAID",IQ_FY-5), _xll.ciqfunctions.udf.CIQ(A1878, "IQ_TOTAL_DEBT_REPAID",IQ_FY-4))</f>
        <v>(Invalid Identifier)</v>
      </c>
      <c r="O1883" s="15" t="e">
        <f t="shared" si="501"/>
        <v>#VALUE!</v>
      </c>
      <c r="P1883" s="15" t="e">
        <f t="shared" si="502"/>
        <v>#VALUE!</v>
      </c>
      <c r="Q1883" s="25" t="s">
        <v>27</v>
      </c>
      <c r="R1883" s="38" t="s">
        <v>51</v>
      </c>
      <c r="S1883" s="4" t="e">
        <f>AVERAGE(F1883:F1888)/AVERAGE(D1883:D1888)</f>
        <v>#DIV/0!</v>
      </c>
      <c r="U1883" s="25" t="s">
        <v>58</v>
      </c>
      <c r="V1883" s="38" t="s">
        <v>51</v>
      </c>
      <c r="W1883" s="4" t="e">
        <f>AVERAGE(F1883:F1888)/AVERAGE(D1883:D1888)</f>
        <v>#DIV/0!</v>
      </c>
      <c r="Y1883" s="25" t="s">
        <v>56</v>
      </c>
      <c r="Z1883" s="38" t="s">
        <v>51</v>
      </c>
      <c r="AA1883" s="4" t="e">
        <f>AVERAGE(F1883:F1888)/AVERAGE(D1883:D1888)</f>
        <v>#DIV/0!</v>
      </c>
    </row>
    <row r="1884" spans="1:27">
      <c r="A1884" s="18"/>
      <c r="B1884" s="13">
        <v>7</v>
      </c>
      <c r="C1884" s="14" t="s">
        <v>28</v>
      </c>
      <c r="D1884" s="15" t="e" cm="1">
        <f t="array" ref="D1884">_xlfn.SINGLE(IF(A1886=A1887,_xll.ciqfunctions.udf.CIQ(A1878,"IQ_TOTAL_REV",IQ_FY-4)/I1884, _xll.ciqfunctions.udf.CIQ(A1878, "IQ_TOTAL_REV",IQ_FY-3)/I1884))</f>
        <v>#VALUE!</v>
      </c>
      <c r="E1884" s="16" t="e">
        <f t="shared" si="503"/>
        <v>#VALUE!</v>
      </c>
      <c r="F1884" s="15" t="str">
        <f>IF(A1886=A1887,_xll.ciqfunctions.udf.CIQ(A1878,"IQ_DILUT_EPS_EXCL",IQ_FY-4), _xll.ciqfunctions.udf.CIQ(A1878, "IQ_DILUT_EPS_EXCL",IQ_FY-3))</f>
        <v>(Invalid Identifier)</v>
      </c>
      <c r="G1884" s="15" t="str">
        <f>IF(A1886=A1887,_xll.ciqfunctions.udf.CIQ(A1878,"IQ_EBITDA_MARGIN",IQ_FY-4), _xll.ciqfunctions.udf.CIQ(A1878, "IQ_EBITDA_MARGIN",IQ_FY-3))</f>
        <v>(Invalid Identifier)</v>
      </c>
      <c r="H1884" s="15" t="e">
        <f>IF(A1886=A1887,_xll.ciqfunctions.udf.CIQ(A1878,"IQ_TOTAL_DIV_PAID_CF",IQ_FY-4)/-I1884, _xll.ciqfunctions.udf.CIQ(A1878, "IQ_TOTAL_DIV_PAID_CF",IQ_FY-3)/-I1884)</f>
        <v>#VALUE!</v>
      </c>
      <c r="I1884" s="17" t="str">
        <f>IF(A1886=A1887,_xll.ciqfunctions.udf.CIQ(A1878,"IQ_TOTAL_OUTSTANDING_FILING_DATE",IQ_FY-4), _xll.ciqfunctions.udf.CIQ(A1878, "IQ_TOTAL_OUTSTANDING_FILING_DATE",IQ_FY-3))</f>
        <v>(Invalid Identifier)</v>
      </c>
      <c r="J1884" s="17" t="str">
        <f>IF(A1886=A1887,_xll.ciqfunctions.udf.CIQ(A1878,"IQ_CASH_OPER",IQ_FY-4), _xll.ciqfunctions.udf.CIQ(A1878, "IQ_CASH_OPER",IQ_FY-3))</f>
        <v>(Invalid Identifier)</v>
      </c>
      <c r="K1884" s="17" t="str">
        <f>IF(A1886=A1887,_xll.ciqfunctions.udf.CIQ(A1878,"IQ_CAPEX",IQ_FY-4), _xll.ciqfunctions.udf.CIQ(A1878, "IQ_CAPEX",IQ_FY-3))</f>
        <v>(Invalid Identifier)</v>
      </c>
      <c r="L1884" s="15" t="e">
        <f t="shared" si="500"/>
        <v>#VALUE!</v>
      </c>
      <c r="M1884" s="17" t="str">
        <f>IF(A1886=A1887,_xll.ciqfunctions.udf.CIQ(A1878,"IQ_TOTAL_DEBT_ISSUED",IQ_FY-4), _xll.ciqfunctions.udf.CIQ(A1878, "IQ_TOTAL_DEBT_ISSUED",IQ_FY-3))</f>
        <v>(Invalid Identifier)</v>
      </c>
      <c r="N1884" s="17" t="str">
        <f>IF(A1886=A1887,_xll.ciqfunctions.udf.CIQ(A1878,"IQ_TOTAL_DEBT_REPAID",IQ_FY-4), _xll.ciqfunctions.udf.CIQ(A1878, "IQ_TOTAL_DEBT_REPAID",IQ_FY-3))</f>
        <v>(Invalid Identifier)</v>
      </c>
      <c r="O1884" s="15" t="e">
        <f t="shared" si="501"/>
        <v>#VALUE!</v>
      </c>
      <c r="P1884" s="15" t="e">
        <f t="shared" si="502"/>
        <v>#VALUE!</v>
      </c>
      <c r="Q1884" s="18"/>
      <c r="R1884" s="38" t="s">
        <v>29</v>
      </c>
      <c r="S1884" s="4" t="e">
        <f>(AVERAGE(P1883:P1888)/_xlfn.STDEV.P(P1883:P1888))/(IF(A1886=A1887,(_xlfn.SINGLE(_xll.ciqfunctions.udf.CIQ(A1878,"IQ_total_assets",IQ_FY)) - _xlfn.SINGLE(_xll.ciqfunctions.udf.CIQ(A1878,"iq_gw_intan", IQ_FY)))/I1888, (_xlfn.SINGLE(_xll.ciqfunctions.udf.CIQ(A1878, "IQ_total_assets",IQ_LTM))-_xlfn.SINGLE(_xll.ciqfunctions.udf.CIQ(A1878,"iq_gw_intan",IQ_LTM)))/I1888))</f>
        <v>#VALUE!</v>
      </c>
      <c r="U1884" s="18"/>
      <c r="V1884" s="38" t="s">
        <v>29</v>
      </c>
      <c r="W1884" s="4" t="e">
        <f>(AVERAGE(P1883:P1888)/_xlfn.STDEV.P(P1883:P1888))/(IF(A1886=A1887,(_xlfn.SINGLE(_xll.ciqfunctions.udf.CIQ(A1878,"IQ_total_assets",IQ_FY)) - _xlfn.SINGLE(_xll.ciqfunctions.udf.CIQ(A1878,"iq_gw_intan", IQ_FY)))/I1888, (_xlfn.SINGLE(_xll.ciqfunctions.udf.CIQ(A1878, "IQ_total_assets",IQ_LTM))-_xlfn.SINGLE(_xll.ciqfunctions.udf.CIQ(A1878,"iq_gw_intan",IQ_LTM)))/I1888))</f>
        <v>#VALUE!</v>
      </c>
      <c r="Y1884" s="18"/>
      <c r="Z1884" s="38" t="s">
        <v>29</v>
      </c>
      <c r="AA1884" s="4" t="e">
        <f>(AVERAGE(P1883:P1888)/_xlfn.STDEV.P(P1883:P1888))/(IF(A1886=A1887,(_xlfn.SINGLE(_xll.ciqfunctions.udf.CIQ(A1878,"IQ_total_assets",IQ_FY)) - _xlfn.SINGLE(_xll.ciqfunctions.udf.CIQ(A1878,"iq_gw_intan", IQ_FY)))/I1888, (_xlfn.SINGLE(_xll.ciqfunctions.udf.CIQ(A1878, "IQ_total_assets",IQ_LTM))-_xlfn.SINGLE(_xll.ciqfunctions.udf.CIQ(A1878,"iq_gw_intan",IQ_LTM)))/I1888))</f>
        <v>#VALUE!</v>
      </c>
    </row>
    <row r="1885" spans="1:27">
      <c r="A1885" s="18"/>
      <c r="B1885" s="13">
        <v>8</v>
      </c>
      <c r="C1885" s="14" t="s">
        <v>30</v>
      </c>
      <c r="D1885" s="15" t="e" cm="1">
        <f t="array" ref="D1885">_xlfn.SINGLE(IF(A1886=A1887,_xll.ciqfunctions.udf.CIQ(A1878,"IQ_TOTAL_REV",IQ_FY-3)/I1885, _xll.ciqfunctions.udf.CIQ(A1878, "IQ_TOTAL_REV",IQ_FY-2)/I1885))</f>
        <v>#VALUE!</v>
      </c>
      <c r="E1885" s="16" t="e">
        <f t="shared" si="503"/>
        <v>#VALUE!</v>
      </c>
      <c r="F1885" s="15" t="str">
        <f>IF(A1886=A1887,_xll.ciqfunctions.udf.CIQ(A1878,"IQ_DILUT_EPS_EXCL",IQ_FY-3), _xll.ciqfunctions.udf.CIQ(A1878, "IQ_DILUT_EPS_EXCL",IQ_FY-2))</f>
        <v>(Invalid Identifier)</v>
      </c>
      <c r="G1885" s="15" t="str">
        <f>IF(A1886=A1887,_xll.ciqfunctions.udf.CIQ(A1878,"IQ_EBITDA_MARGIN",IQ_FY-3), _xll.ciqfunctions.udf.CIQ(A1878, "IQ_EBITDA_MARGIN",IQ_FY-2))</f>
        <v>(Invalid Identifier)</v>
      </c>
      <c r="H1885" s="15" t="e">
        <f>IF(A1886=A1887,_xll.ciqfunctions.udf.CIQ(A1878,"IQ_TOTAL_DIV_PAID_CF",IQ_FY-3)/-I1885, _xll.ciqfunctions.udf.CIQ(A1878, "IQ_TOTAL_DIV_PAID_CF",IQ_FY-2)/-I1885)</f>
        <v>#VALUE!</v>
      </c>
      <c r="I1885" s="17" t="str">
        <f>IF(A1886=A1887,_xll.ciqfunctions.udf.CIQ(A1878,"IQ_TOTAL_OUTSTANDING_FILING_DATE",IQ_FY-3), _xll.ciqfunctions.udf.CIQ(A1878, "IQ_TOTAL_OUTSTANDING_FILING_DATE",IQ_FY-2))</f>
        <v>(Invalid Identifier)</v>
      </c>
      <c r="J1885" s="17" t="str">
        <f>IF(A1886=A1887,_xll.ciqfunctions.udf.CIQ(A1878,"IQ_CASH_OPER",IQ_FY-3), _xll.ciqfunctions.udf.CIQ(A1878, "IQ_CASH_OPER",IQ_FY-2))</f>
        <v>(Invalid Identifier)</v>
      </c>
      <c r="K1885" s="17" t="str">
        <f>IF(A1886=A1887,_xll.ciqfunctions.udf.CIQ(A1878,"IQ_CAPEX",IQ_FY-3), _xll.ciqfunctions.udf.CIQ(A1878, "IQ_CAPEX",IQ_FY-2))</f>
        <v>(Invalid Identifier)</v>
      </c>
      <c r="L1885" s="15" t="e">
        <f t="shared" si="500"/>
        <v>#VALUE!</v>
      </c>
      <c r="M1885" s="17" t="str">
        <f>IF(A1886=A1887,_xll.ciqfunctions.udf.CIQ(A1878,"IQ_TOTAL_DEBT_ISSUED",IQ_FY-3), _xll.ciqfunctions.udf.CIQ(A1878, "IQ_TOTAL_DEBT_ISSUED",IQ_FY-2))</f>
        <v>(Invalid Identifier)</v>
      </c>
      <c r="N1885" s="17" t="str">
        <f>IF(A1886=A1887,_xll.ciqfunctions.udf.CIQ(A1878,"IQ_TOTAL_DEBT_REPAID",IQ_FY-3), _xll.ciqfunctions.udf.CIQ(A1878, "IQ_TOTAL_DEBT_REPAID",IQ_FY-2))</f>
        <v>(Invalid Identifier)</v>
      </c>
      <c r="O1885" s="15" t="e">
        <f t="shared" si="501"/>
        <v>#VALUE!</v>
      </c>
      <c r="P1885" s="15" t="e">
        <f t="shared" si="502"/>
        <v>#VALUE!</v>
      </c>
      <c r="Q1885" s="18"/>
      <c r="R1885" s="39" t="s">
        <v>31</v>
      </c>
      <c r="S1885" s="5" t="e">
        <f>IF(NOT(D1878&gt;0),FALSE,SLOPE(G1878:G1888,B1878:B1888))</f>
        <v>#VALUE!</v>
      </c>
      <c r="U1885" s="18"/>
      <c r="V1885" s="39" t="s">
        <v>31</v>
      </c>
      <c r="W1885" s="5" t="e">
        <f>IF(NOT(D1878&gt;0),FALSE,SLOPE(G1878:G1888,B1878:B1888))</f>
        <v>#VALUE!</v>
      </c>
      <c r="Y1885" s="18"/>
      <c r="Z1885" s="39" t="s">
        <v>31</v>
      </c>
      <c r="AA1885" s="5" t="e">
        <f>IF(NOT(L1878&gt;0),FALSE,SLOPE(O1878:O1888,J1878:J1888))</f>
        <v>#VALUE!</v>
      </c>
    </row>
    <row r="1886" spans="1:27">
      <c r="A1886" s="19" t="str">
        <f>_xll.ciqfunctions.udf.CIQ(A1878,"IQ_TOTAL_REV",IQ_FY)</f>
        <v>(Invalid Identifier)</v>
      </c>
      <c r="B1886" s="13">
        <v>9</v>
      </c>
      <c r="C1886" s="14" t="s">
        <v>32</v>
      </c>
      <c r="D1886" s="15" t="e" cm="1">
        <f t="array" ref="D1886">_xlfn.SINGLE(IF(A1886=A1887,_xll.ciqfunctions.udf.CIQ(A1878,"IQ_TOTAL_REV",IQ_FY-2)/I1886, _xll.ciqfunctions.udf.CIQ(A1878, "IQ_TOTAL_REV",IQ_FY-1)/I1886))</f>
        <v>#VALUE!</v>
      </c>
      <c r="E1886" s="16" t="e">
        <f t="shared" si="503"/>
        <v>#VALUE!</v>
      </c>
      <c r="F1886" s="15" t="str">
        <f>IF(A1886=A1887,_xll.ciqfunctions.udf.CIQ(A1878,"IQ_DILUT_EPS_EXCL",IQ_FY-2), _xll.ciqfunctions.udf.CIQ(A1878, "IQ_DILUT_EPS_EXCL",IQ_FY-1))</f>
        <v>(Invalid Identifier)</v>
      </c>
      <c r="G1886" s="15" t="str">
        <f>IF(A1886=A1887,_xll.ciqfunctions.udf.CIQ(A1878,"IQ_EBITDA_MARGIN",IQ_FY-2), _xll.ciqfunctions.udf.CIQ(A1878, "IQ_EBITDA_MARGIN",IQ_FY-1))</f>
        <v>(Invalid Identifier)</v>
      </c>
      <c r="H1886" s="15" t="e">
        <f>IF(A1886=A1887,_xll.ciqfunctions.udf.CIQ(A1878,"IQ_TOTAL_DIV_PAID_CF",IQ_FY-2)/-I1886, _xll.ciqfunctions.udf.CIQ(A1878, "IQ_TOTAL_DIV_PAID_CF",IQ_FY-1)/-I1886)</f>
        <v>#VALUE!</v>
      </c>
      <c r="I1886" s="17" t="str">
        <f>IF(A1886=A1887,_xll.ciqfunctions.udf.CIQ(A1878,"IQ_TOTAL_OUTSTANDING_FILING_DATE",IQ_FY-2), _xll.ciqfunctions.udf.CIQ(A1878, "IQ_TOTAL_OUTSTANDING_FILING_DATE",IQ_FY-1))</f>
        <v>(Invalid Identifier)</v>
      </c>
      <c r="J1886" s="17" t="str">
        <f>IF(A1886=A1887,_xll.ciqfunctions.udf.CIQ(A1878,"IQ_CASH_OPER",IQ_FY-2), _xll.ciqfunctions.udf.CIQ(A1878, "IQ_CASH_OPER",IQ_FY-1))</f>
        <v>(Invalid Identifier)</v>
      </c>
      <c r="K1886" s="17" t="str">
        <f>IF(A1886=A1887,_xll.ciqfunctions.udf.CIQ(A1878,"IQ_CAPEX",IQ_FY-2), _xll.ciqfunctions.udf.CIQ(A1878, "IQ_CAPEX",IQ_FY-1))</f>
        <v>(Invalid Identifier)</v>
      </c>
      <c r="L1886" s="15" t="e">
        <f t="shared" si="500"/>
        <v>#VALUE!</v>
      </c>
      <c r="M1886" s="17" t="str">
        <f>IF(A1886=A1887,_xll.ciqfunctions.udf.CIQ(A1878,"IQ_TOTAL_DEBT_ISSUED",IQ_FY-2), _xll.ciqfunctions.udf.CIQ(A1878, "IQ_TOTAL_DEBT_ISSUED",IQ_FY-1))</f>
        <v>(Invalid Identifier)</v>
      </c>
      <c r="N1886" s="17" t="str">
        <f>IF(A1886=A1887,_xll.ciqfunctions.udf.CIQ(A1878,"IQ_TOTAL_DEBT_REPAID",IQ_FY-2), _xll.ciqfunctions.udf.CIQ(A1878, "IQ_TOTAL_DEBT_REPAID",IQ_FY-1))</f>
        <v>(Invalid Identifier)</v>
      </c>
      <c r="O1886" s="15" t="e">
        <f t="shared" si="501"/>
        <v>#VALUE!</v>
      </c>
      <c r="P1886" s="15" t="e">
        <f t="shared" si="502"/>
        <v>#VALUE!</v>
      </c>
      <c r="Q1886" s="25" t="s">
        <v>33</v>
      </c>
      <c r="R1886" s="38" t="s">
        <v>52</v>
      </c>
      <c r="S1886" s="4" t="e">
        <f>(AVERAGE(O1883:O1888)/AVERAGE(P1883:P1888))</f>
        <v>#VALUE!</v>
      </c>
      <c r="U1886" s="25" t="s">
        <v>54</v>
      </c>
      <c r="V1886" s="38" t="s">
        <v>52</v>
      </c>
      <c r="W1886" s="4" t="e">
        <f>(AVERAGE(O1883:O1888)/AVERAGE(P1883:P1888))</f>
        <v>#VALUE!</v>
      </c>
      <c r="Y1886" s="25" t="s">
        <v>60</v>
      </c>
      <c r="Z1886" s="38" t="s">
        <v>52</v>
      </c>
      <c r="AA1886" s="4" t="e">
        <f>(AVERAGE(O1883:O1888)/AVERAGE(P1883:P1888))</f>
        <v>#VALUE!</v>
      </c>
    </row>
    <row r="1887" spans="1:27">
      <c r="A1887" s="19" t="str">
        <f>_xll.ciqfunctions.udf.CIQ(A1878,"IQ_TOTAL_REV",IQ_LTM)</f>
        <v>(Invalid Identifier)</v>
      </c>
      <c r="B1887" s="13">
        <v>10</v>
      </c>
      <c r="C1887" s="14" t="s">
        <v>34</v>
      </c>
      <c r="D1887" s="15" t="e" cm="1">
        <f t="array" ref="D1887">_xlfn.SINGLE(IF(A1886=A1887,_xll.ciqfunctions.udf.CIQ(A1878,"IQ_TOTAL_REV",IQ_FY-1)/I1887, _xll.ciqfunctions.udf.CIQ(A1878, "IQ_TOTAL_REV",IQ_FY)/I1887))</f>
        <v>#VALUE!</v>
      </c>
      <c r="E1887" s="16" t="e">
        <f t="shared" si="503"/>
        <v>#VALUE!</v>
      </c>
      <c r="F1887" s="15" t="str">
        <f>IF(A1886=A1887,_xll.ciqfunctions.udf.CIQ(A1878,"IQ_DILUT_EPS_EXCL",IQ_FY-1), _xll.ciqfunctions.udf.CIQ(A1878, "IQ_DILUT_EPS_EXCL",IQ_FY))</f>
        <v>(Invalid Identifier)</v>
      </c>
      <c r="G1887" s="15" t="str">
        <f>IF(A1886=A1887,_xll.ciqfunctions.udf.CIQ(A1878,"IQ_EBITDA_MARGIN",IQ_FY-1), _xll.ciqfunctions.udf.CIQ(A1878, "IQ_EBITDA_MARGIN",IQ_FY))</f>
        <v>(Invalid Identifier)</v>
      </c>
      <c r="H1887" s="15" t="e">
        <f>IF(A1886=A1887,_xll.ciqfunctions.udf.CIQ(A1878,"IQ_TOTAL_DIV_PAID_CF",IQ_FY-1)/-I1887, _xll.ciqfunctions.udf.CIQ(A1878, "IQ_TOTAL_DIV_PAID_CF",IQ_FY)/-I1887)</f>
        <v>#VALUE!</v>
      </c>
      <c r="I1887" s="17" t="str">
        <f>IF(A1886=A1887,_xll.ciqfunctions.udf.CIQ(A1878,"IQ_TOTAL_OUTSTANDING_FILING_DATE",IQ_FY-1), _xll.ciqfunctions.udf.CIQ(A1878, "IQ_TOTAL_OUTSTANDING_FILING_DATE",IQ_FY))</f>
        <v>(Invalid Identifier)</v>
      </c>
      <c r="J1887" s="17" t="str">
        <f>IF(A1886=A1887,_xll.ciqfunctions.udf.CIQ(A1878,"IQ_CASH_OPER",IQ_FY-1), _xll.ciqfunctions.udf.CIQ(A1878, "IQ_CASH_OPER",IQ_FY))</f>
        <v>(Invalid Identifier)</v>
      </c>
      <c r="K1887" s="17" t="str">
        <f>IF(A1886=A1887,_xll.ciqfunctions.udf.CIQ(A1878,"IQ_CAPEX",IQ_FY-1), _xll.ciqfunctions.udf.CIQ(A1878, "IQ_CAPEX",IQ_FY))</f>
        <v>(Invalid Identifier)</v>
      </c>
      <c r="L1887" s="15" t="e">
        <f t="shared" si="500"/>
        <v>#VALUE!</v>
      </c>
      <c r="M1887" s="17" t="str">
        <f>IF(A1886=A1887,_xll.ciqfunctions.udf.CIQ(A1878,"IQ_TOTAL_DEBT_ISSUED",IQ_FY-1), _xll.ciqfunctions.udf.CIQ(A1878, "IQ_TOTAL_DEBT_ISSUED",IQ_FY))</f>
        <v>(Invalid Identifier)</v>
      </c>
      <c r="N1887" s="17" t="str">
        <f>IF(A1886=A1887,_xll.ciqfunctions.udf.CIQ(A1878,"IQ_TOTAL_DEBT_REPAID",IQ_FY-1), _xll.ciqfunctions.udf.CIQ(A1878, "IQ_TOTAL_DEBT_REPAID",IQ_FY))</f>
        <v>(Invalid Identifier)</v>
      </c>
      <c r="O1887" s="15" t="e">
        <f t="shared" si="501"/>
        <v>#VALUE!</v>
      </c>
      <c r="P1887" s="15" t="e">
        <f t="shared" si="502"/>
        <v>#VALUE!</v>
      </c>
      <c r="Q1887" s="25" t="s">
        <v>44</v>
      </c>
      <c r="R1887" s="38" t="s">
        <v>35</v>
      </c>
      <c r="S1887" s="1" t="str">
        <f>_xll.ciqfunctions.udf.CIQ(A1878,"IQ_TEV_EBITDA")</f>
        <v>(Invalid Identifier)</v>
      </c>
      <c r="U1887" s="25" t="s">
        <v>55</v>
      </c>
      <c r="V1887" s="38" t="s">
        <v>53</v>
      </c>
      <c r="W1887" s="1" t="e">
        <f>V1877/(AVERAGE(D1883:D1888)/_xlfn.STDEV.P(E1883:E1888))</f>
        <v>#VALUE!</v>
      </c>
      <c r="Y1887" s="25" t="s">
        <v>57</v>
      </c>
      <c r="Z1887" s="38" t="s">
        <v>53</v>
      </c>
      <c r="AA1887" s="1" t="e">
        <f>Z1877/(AVERAGE(D1883:D1888)/_xlfn.STDEV.P(E1883:E1888))</f>
        <v>#VALUE!</v>
      </c>
    </row>
    <row r="1888" spans="1:27">
      <c r="B1888" s="13">
        <v>11</v>
      </c>
      <c r="C1888" s="20" t="s">
        <v>36</v>
      </c>
      <c r="D1888" s="21" t="e" cm="1">
        <f t="array" ref="D1888">_xlfn.SINGLE(IF(A1886=A1887,_xll.ciqfunctions.udf.CIQ(A1878,"IQ_TOTAL_REV",IQ_FY)/I1888, _xll.ciqfunctions.udf.CIQ(A1878, "IQ_TOTAL_REV",IQ_LTM)/I1888))</f>
        <v>#VALUE!</v>
      </c>
      <c r="E1888" s="22" t="e">
        <f t="shared" si="503"/>
        <v>#VALUE!</v>
      </c>
      <c r="F1888" s="21" t="str">
        <f>IF(A1886=A1887,_xll.ciqfunctions.udf.CIQ(A1878,"IQ_DILUT_EPS_EXCL",IQ_FY), _xll.ciqfunctions.udf.CIQ(A1878, "IQ_DILUT_EPS_EXCL",IQ_LTM))</f>
        <v>(Invalid Identifier)</v>
      </c>
      <c r="G1888" s="21" t="str">
        <f>IF(A1886=A1887,_xll.ciqfunctions.udf.CIQ(A1878,"IQ_EBITDA_MARGIN",IQ_FY), _xll.ciqfunctions.udf.CIQ(A1878, "IQ_EBITDA_MARGIN",IQ_LTM))</f>
        <v>(Invalid Identifier)</v>
      </c>
      <c r="H1888" s="21" t="e">
        <f>IF(A1886=A1887,_xll.ciqfunctions.udf.CIQ(A1878,"IQ_TOTAL_DIV_PAID_CF",IQ_FY)/-I1888, _xll.ciqfunctions.udf.CIQ(A1878, "IQ_TOTAL_DIV_PAID_CF",IQ_LTM)/-I1888)</f>
        <v>#VALUE!</v>
      </c>
      <c r="I1888" s="23" t="str">
        <f>IF(A1886=A1887,_xll.ciqfunctions.udf.CIQ(A1878,"IQ_TOTAL_OUTSTANDING_FILING_DATE",IQ_FY),_xll.ciqfunctions.udf.CIQ(A1878,"IQ_sharesoutstanding"))</f>
        <v>(Invalid Identifier)</v>
      </c>
      <c r="J1888" s="23" t="str">
        <f>IF(A1886=A1887,_xll.ciqfunctions.udf.CIQ(A1878,"IQ_CASH_OPER",IQ_FY), _xll.ciqfunctions.udf.CIQ(A1878, "IQ_CASH_OPER",IQ_LTM))</f>
        <v>(Invalid Identifier)</v>
      </c>
      <c r="K1888" s="23" t="str">
        <f>IF(A1886=A1887,_xll.ciqfunctions.udf.CIQ(A1878,"IQ_CAPEX",IQ_FY), _xll.ciqfunctions.udf.CIQ(A1878, "IQ_CAPEX",IQ_LTM))</f>
        <v>(Invalid Identifier)</v>
      </c>
      <c r="L1888" s="21" t="e">
        <f t="shared" si="500"/>
        <v>#VALUE!</v>
      </c>
      <c r="M1888" s="23" t="str">
        <f>IF(A1886=A1887,_xll.ciqfunctions.udf.CIQ(A1878,"IQ_TOTAL_DEBT_ISSUED",IQ_FY), _xll.ciqfunctions.udf.CIQ(A1878, "IQ_TOTAL_DEBT_ISSUED",IQ_LTM))</f>
        <v>(Invalid Identifier)</v>
      </c>
      <c r="N1888" s="23" t="str">
        <f>IF(A1886=A1887,_xll.ciqfunctions.udf.CIQ(A1878,"IQ_TOTAL_DEBT_REPAID",IQ_FY), _xll.ciqfunctions.udf.CIQ(A1878, "IQ_TOTAL_DEBT_REPAID",IQ_LTM))</f>
        <v>(Invalid Identifier)</v>
      </c>
      <c r="O1888" s="21" t="e">
        <f t="shared" si="501"/>
        <v>#VALUE!</v>
      </c>
      <c r="P1888" s="21" t="e">
        <f t="shared" si="502"/>
        <v>#VALUE!</v>
      </c>
      <c r="Q1888" s="25" t="s">
        <v>45</v>
      </c>
      <c r="S1888" s="45"/>
      <c r="U1888" s="25"/>
      <c r="W1888" s="45"/>
      <c r="Y1888" s="25"/>
      <c r="AA1888" s="45"/>
    </row>
    <row r="1889" spans="1:27">
      <c r="B1889" s="24"/>
      <c r="C1889" s="25" t="s">
        <v>37</v>
      </c>
      <c r="E1889" s="26" t="e">
        <f>((D1888/D1883)^(1/5))-1</f>
        <v>#VALUE!</v>
      </c>
      <c r="F1889" s="27" t="e">
        <f>((F1888/F1883)^(1/5))-1</f>
        <v>#VALUE!</v>
      </c>
      <c r="G1889" s="28"/>
      <c r="H1889" s="27" t="e">
        <f>((H1888/H1883)^(1/5))-1</f>
        <v>#VALUE!</v>
      </c>
      <c r="I1889" s="27" t="e">
        <f>((I1888/I1883)^(1/5))-1</f>
        <v>#VALUE!</v>
      </c>
      <c r="J1889" s="27"/>
      <c r="K1889" s="27"/>
      <c r="L1889" s="26" t="e">
        <f>((L1888/L1883)^(1/5))-1</f>
        <v>#VALUE!</v>
      </c>
      <c r="M1889" s="26"/>
      <c r="N1889" s="26"/>
      <c r="O1889" s="26"/>
      <c r="P1889" s="26" t="e">
        <f>((P1888/P1883)^(1/5))-1</f>
        <v>#VALUE!</v>
      </c>
      <c r="Q1889" s="18"/>
      <c r="R1889" s="36"/>
      <c r="S1889" s="45"/>
      <c r="U1889" s="18"/>
      <c r="V1889" s="36"/>
      <c r="W1889" s="45"/>
      <c r="Y1889" s="18"/>
      <c r="Z1889" s="36"/>
      <c r="AA1889" s="45"/>
    </row>
    <row r="1890" spans="1:27">
      <c r="A1890" s="29"/>
      <c r="B1890" s="30"/>
      <c r="C1890" s="31" t="s">
        <v>38</v>
      </c>
      <c r="D1890" s="29"/>
      <c r="E1890" s="32" t="e">
        <f>((D1888/D1878)^(1/10))-1</f>
        <v>#VALUE!</v>
      </c>
      <c r="F1890" s="33" t="e">
        <f>((F1888/F1878)^(1/10))-1</f>
        <v>#VALUE!</v>
      </c>
      <c r="G1890" s="34"/>
      <c r="H1890" s="33" t="e">
        <f>((H1888/H1878)^(1/10))-1</f>
        <v>#VALUE!</v>
      </c>
      <c r="I1890" s="33" t="e">
        <f>((I1888/I1878)^(1/10))-1</f>
        <v>#VALUE!</v>
      </c>
      <c r="J1890" s="33"/>
      <c r="K1890" s="33"/>
      <c r="L1890" s="32" t="e">
        <f>((L1888/L1878)^(1/10))-1</f>
        <v>#VALUE!</v>
      </c>
      <c r="M1890" s="32"/>
      <c r="N1890" s="32"/>
      <c r="O1890" s="32"/>
      <c r="P1890" s="32" t="e">
        <f>((P1888/P1878)^(1/10))-1</f>
        <v>#VALUE!</v>
      </c>
      <c r="Q1890" s="40"/>
      <c r="R1890" s="41"/>
      <c r="S1890" s="46"/>
      <c r="U1890" s="40"/>
      <c r="V1890" s="41"/>
      <c r="W1890" s="46"/>
      <c r="Y1890" s="40"/>
      <c r="Z1890" s="41"/>
      <c r="AA1890" s="46"/>
    </row>
    <row r="1891" spans="1:27">
      <c r="B1891" s="24"/>
      <c r="C1891" s="25"/>
      <c r="E1891" s="26"/>
      <c r="F1891" s="27"/>
      <c r="G1891" s="28"/>
      <c r="H1891" s="27"/>
      <c r="I1891" s="27"/>
      <c r="J1891" s="27"/>
      <c r="K1891" s="27"/>
      <c r="L1891" s="26"/>
      <c r="M1891" s="17"/>
      <c r="N1891" s="17"/>
      <c r="O1891" s="17"/>
      <c r="P1891" s="35"/>
      <c r="Q1891" s="18"/>
      <c r="R1891" s="36"/>
    </row>
    <row r="1892" spans="1:27">
      <c r="A1892" s="9" t="s">
        <v>0</v>
      </c>
      <c r="B1892" s="10"/>
      <c r="C1892" s="9" t="s">
        <v>1</v>
      </c>
      <c r="D1892" s="9" t="s">
        <v>2</v>
      </c>
      <c r="E1892" s="9" t="s">
        <v>3</v>
      </c>
      <c r="F1892" s="11" t="s">
        <v>4</v>
      </c>
      <c r="G1892" s="11" t="s">
        <v>5</v>
      </c>
      <c r="H1892" s="9" t="s">
        <v>6</v>
      </c>
      <c r="I1892" s="11" t="s">
        <v>7</v>
      </c>
      <c r="J1892" s="11" t="s">
        <v>8</v>
      </c>
      <c r="K1892" s="11" t="s">
        <v>9</v>
      </c>
      <c r="L1892" s="11" t="s">
        <v>10</v>
      </c>
      <c r="M1892" s="11" t="s">
        <v>11</v>
      </c>
      <c r="N1892" s="11" t="s">
        <v>12</v>
      </c>
      <c r="O1892" s="11" t="s">
        <v>13</v>
      </c>
      <c r="P1892" s="11" t="s">
        <v>14</v>
      </c>
      <c r="Q1892" s="37" t="s">
        <v>15</v>
      </c>
      <c r="R1892" s="42">
        <f>_xll.ciqfunctions.udf.CIQ(A1893,("IQ_LASTSALEPRICE"))</f>
        <v>20.56</v>
      </c>
      <c r="S1892" s="44"/>
      <c r="U1892" s="37" t="s">
        <v>15</v>
      </c>
      <c r="V1892" s="42">
        <f>_xll.ciqfunctions.udf.CIQ(A1893,("IQ_LASTSALEPRICE"))</f>
        <v>20.56</v>
      </c>
      <c r="W1892" s="44"/>
      <c r="Y1892" s="37" t="s">
        <v>15</v>
      </c>
      <c r="Z1892" s="42">
        <f>_xll.ciqfunctions.udf.CIQ(A1893,("IQ_LASTSALEPRICE"))</f>
        <v>20.56</v>
      </c>
      <c r="AA1892" s="44"/>
    </row>
    <row r="1893" spans="1:27">
      <c r="A1893" s="12" t="str">
        <f>Analysis!B128</f>
        <v>NasdaqGS:NTCT</v>
      </c>
      <c r="B1893" s="13">
        <v>1</v>
      </c>
      <c r="C1893" s="14" t="s">
        <v>16</v>
      </c>
      <c r="D1893" s="15">
        <f>IF(A1901=A1902,_xll.ciqfunctions.udf.CIQ(A1893,"IQ_TOTAL_REV",IQ_FY-10)/I1893,_xll.ciqfunctions.udf.CIQ(A1893, "IQ_TOTAL_REV",IQ_FY-9)/I1893)</f>
        <v>9.6601096436216984</v>
      </c>
      <c r="E1893" s="16"/>
      <c r="F1893" s="15">
        <f>IF(A1901=A1902,_xll.ciqfunctions.udf.CIQ(A1893,"IQ_DILUT_EPS_EXCL",IQ_FY-10), _xll.ciqfunctions.udf.CIQ(A1893, "IQ_DILUT_EPS_EXCL",IQ_FY-9))</f>
        <v>1.17</v>
      </c>
      <c r="G1893" s="15">
        <f>IF(A1901=A1902,_xll.ciqfunctions.udf.CIQ(A1893,"IQ_EBITDA_MARGIN",IQ_FY-10), _xll.ciqfunctions.udf.CIQ(A1893, "IQ_EBITDA_MARGIN",IQ_FY-9))</f>
        <v>23.439900000000002</v>
      </c>
      <c r="H1893" s="15">
        <f>IF(A1901=A1902,_xll.ciqfunctions.udf.CIQ(A1893,"IQ_TOTAL_DIV_PAID_CF",IQ_FY-10)/-I1893, _xll.ciqfunctions.udf.CIQ(A1893, "IQ_TOTAL_DIV_PAID_CF",IQ_FY-9)/-I1893)</f>
        <v>0</v>
      </c>
      <c r="I1893" s="17">
        <f>IF(A1901=A1902,_xll.ciqfunctions.udf.CIQ(A1893,"IQ_TOTAL_OUTSTANDING_FILING_DATE",IQ_FY-10), _xll.ciqfunctions.udf.CIQ(A1893, "IQ_TOTAL_OUTSTANDING_FILING_DATE",IQ_FY-9))</f>
        <v>41.060299999999998</v>
      </c>
      <c r="J1893" s="17">
        <f>IF(A1901=A1902,_xll.ciqfunctions.udf.CIQ(A1893,"IQ_CASH_OPER",IQ_FY-10), _xll.ciqfunctions.udf.CIQ(A1893, "IQ_CASH_OPER",IQ_FY-9))</f>
        <v>110.946</v>
      </c>
      <c r="K1893" s="17">
        <f>IF(A1901=A1902,_xll.ciqfunctions.udf.CIQ(A1893,"IQ_CAPEX",IQ_FY-10), _xll.ciqfunctions.udf.CIQ(A1893, "IQ_CAPEX",IQ_FY-9))</f>
        <v>-13.066000000000001</v>
      </c>
      <c r="L1893" s="15">
        <f t="shared" ref="L1893:L1903" si="504">(J1893+K1893)/I1893</f>
        <v>2.3838111265626409</v>
      </c>
      <c r="M1893" s="17">
        <f>IF(A1901=A1902,_xll.ciqfunctions.udf.CIQ(A1893,"IQ_TOTAL_DEBT_ISSUED",IQ_FY-10), _xll.ciqfunctions.udf.CIQ(A1893, "IQ_TOTAL_DEBT_ISSUED",IQ_FY-9))</f>
        <v>0</v>
      </c>
      <c r="N1893" s="17">
        <f>IF(A1901=A1902,_xll.ciqfunctions.udf.CIQ(A1893,"IQ_TOTAL_DEBT_REPAID",IQ_FY-10), _xll.ciqfunctions.udf.CIQ(A1893, "IQ_TOTAL_DEBT_REPAID",IQ_FY-9))</f>
        <v>0</v>
      </c>
      <c r="O1893" s="15">
        <f t="shared" ref="O1893:O1903" si="505">(M1893+N1893)/I1893</f>
        <v>0</v>
      </c>
      <c r="P1893" s="15">
        <f t="shared" ref="P1893:P1903" si="506">L1893+O1893</f>
        <v>2.3838111265626409</v>
      </c>
      <c r="W1893" s="43"/>
      <c r="AA1893" s="43"/>
    </row>
    <row r="1894" spans="1:27">
      <c r="A1894" s="18" t="str">
        <f>_xll.ciqfunctions.udf.CIQ(A1893,"IQ_COMPANY_NAME")</f>
        <v>NetScout Systems, Inc.</v>
      </c>
      <c r="B1894" s="13">
        <v>2</v>
      </c>
      <c r="C1894" s="14" t="s">
        <v>17</v>
      </c>
      <c r="D1894" s="15">
        <f>IF(A1901=A1902,_xll.ciqfunctions.udf.CIQ(A1893,"IQ_TOTAL_REV",IQ_FY-9)/I1894, _xll.ciqfunctions.udf.CIQ(A1893, "IQ_TOTAL_REV",IQ_FY-8)/I1894)</f>
        <v>11.129777857809273</v>
      </c>
      <c r="E1894" s="16">
        <f t="shared" ref="E1894:E1903" si="507">(D1894-D1893)/D1893</f>
        <v>0.1521378398803119</v>
      </c>
      <c r="F1894" s="15">
        <f>IF(A1901=A1902,_xll.ciqfunctions.udf.CIQ(A1893,"IQ_DILUT_EPS_EXCL",IQ_FY-9), _xll.ciqfunctions.udf.CIQ(A1893, "IQ_DILUT_EPS_EXCL",IQ_FY-8))</f>
        <v>1.47</v>
      </c>
      <c r="G1894" s="15">
        <f>IF(A1901=A1902,_xll.ciqfunctions.udf.CIQ(A1893,"IQ_EBITDA_MARGIN",IQ_FY-9), _xll.ciqfunctions.udf.CIQ(A1893, "IQ_EBITDA_MARGIN",IQ_FY-8))</f>
        <v>25.6797</v>
      </c>
      <c r="H1894" s="15">
        <f>IF(A1901=A1902,_xll.ciqfunctions.udf.CIQ(A1893,"IQ_TOTAL_DIV_PAID_CF",IQ_FY-9)/-I1894, _xll.ciqfunctions.udf.CIQ(A1893, "IQ_TOTAL_DIV_PAID_CF",IQ_FY-8)/-I1894)</f>
        <v>0</v>
      </c>
      <c r="I1894" s="17">
        <f>IF(A1901=A1902,_xll.ciqfunctions.udf.CIQ(A1893,"IQ_TOTAL_OUTSTANDING_FILING_DATE",IQ_FY-9), _xll.ciqfunctions.udf.CIQ(A1893, "IQ_TOTAL_OUTSTANDING_FILING_DATE",IQ_FY-8))</f>
        <v>40.76173</v>
      </c>
      <c r="J1894" s="17">
        <f>IF(A1901=A1902,_xll.ciqfunctions.udf.CIQ(A1893,"IQ_CASH_OPER",IQ_FY-9), _xll.ciqfunctions.udf.CIQ(A1893, "IQ_CASH_OPER",IQ_FY-8))</f>
        <v>106.93300000000001</v>
      </c>
      <c r="K1894" s="17">
        <f>IF(A1901=A1902,_xll.ciqfunctions.udf.CIQ(A1893,"IQ_CAPEX",IQ_FY-9), _xll.ciqfunctions.udf.CIQ(A1893, "IQ_CAPEX",IQ_FY-8))</f>
        <v>-12.808</v>
      </c>
      <c r="L1894" s="15">
        <f t="shared" si="504"/>
        <v>2.3091512553564337</v>
      </c>
      <c r="M1894" s="17">
        <f>IF(A1901=A1902,_xll.ciqfunctions.udf.CIQ(A1893,"IQ_TOTAL_DEBT_ISSUED",IQ_FY-9), _xll.ciqfunctions.udf.CIQ(A1893, "IQ_TOTAL_DEBT_ISSUED",IQ_FY-8))</f>
        <v>0</v>
      </c>
      <c r="N1894" s="17">
        <f>IF(A1901=A1902,_xll.ciqfunctions.udf.CIQ(A1893,"IQ_TOTAL_DEBT_REPAID",IQ_FY-9), _xll.ciqfunctions.udf.CIQ(A1893, "IQ_TOTAL_DEBT_REPAID",IQ_FY-8))</f>
        <v>0</v>
      </c>
      <c r="O1894" s="15">
        <f t="shared" si="505"/>
        <v>0</v>
      </c>
      <c r="P1894" s="15">
        <f t="shared" si="506"/>
        <v>2.3091512553564337</v>
      </c>
      <c r="Q1894" s="25" t="s">
        <v>18</v>
      </c>
      <c r="R1894" s="39" t="s">
        <v>19</v>
      </c>
      <c r="S1894" s="1">
        <f>R1892/((AVERAGE(P1898:P1903))*(1+E1904)^3)</f>
        <v>19.060732146782335</v>
      </c>
      <c r="U1894" s="25" t="s">
        <v>48</v>
      </c>
      <c r="V1894" s="39" t="s">
        <v>19</v>
      </c>
      <c r="W1894" s="1">
        <f>V1892/((AVERAGE(P1898:P1903))*(1+E1904)^3)</f>
        <v>19.060732146782335</v>
      </c>
      <c r="Y1894" s="25" t="s">
        <v>39</v>
      </c>
      <c r="Z1894" s="39" t="s">
        <v>19</v>
      </c>
      <c r="AA1894" s="1">
        <f>Z1892/((AVERAGE(P1898:P1903))*(1+E1904)^3)</f>
        <v>19.060732146782335</v>
      </c>
    </row>
    <row r="1895" spans="1:27">
      <c r="B1895" s="13">
        <v>3</v>
      </c>
      <c r="C1895" s="14" t="s">
        <v>20</v>
      </c>
      <c r="D1895" s="15" cm="1">
        <f t="array" ref="D1895">_xlfn.SINGLE(IF(A1901=A1902,_xll.ciqfunctions.udf.CIQ(A1893,"IQ_TOTAL_REV",IQ_FY-8)/I1895, _xll.ciqfunctions.udf.CIQ(A1893, "IQ_TOTAL_REV",IQ_FY-7)/I1895))</f>
        <v>10.190319687457571</v>
      </c>
      <c r="E1895" s="16">
        <f t="shared" si="507"/>
        <v>-8.4409426886496788E-2</v>
      </c>
      <c r="F1895" s="15">
        <f>IF(A1901=A1902,_xll.ciqfunctions.udf.CIQ(A1893,"IQ_DILUT_EPS_EXCL",IQ_FY-8), _xll.ciqfunctions.udf.CIQ(A1893, "IQ_DILUT_EPS_EXCL",IQ_FY-7))</f>
        <v>-0.35</v>
      </c>
      <c r="G1895" s="15">
        <f>IF(A1901=A1902,_xll.ciqfunctions.udf.CIQ(A1893,"IQ_EBITDA_MARGIN",IQ_FY-8), _xll.ciqfunctions.udf.CIQ(A1893, "IQ_EBITDA_MARGIN",IQ_FY-7))</f>
        <v>15.6136</v>
      </c>
      <c r="H1895" s="15">
        <f>IF(A1901=A1902,_xll.ciqfunctions.udf.CIQ(A1893,"IQ_TOTAL_DIV_PAID_CF",IQ_FY-8)/-I1895, _xll.ciqfunctions.udf.CIQ(A1893, "IQ_TOTAL_DIV_PAID_CF",IQ_FY-7)/-I1895)</f>
        <v>0</v>
      </c>
      <c r="I1895" s="17">
        <f>IF(A1901=A1902,_xll.ciqfunctions.udf.CIQ(A1893,"IQ_TOTAL_OUTSTANDING_FILING_DATE",IQ_FY-8), _xll.ciqfunctions.udf.CIQ(A1893, "IQ_TOTAL_OUTSTANDING_FILING_DATE",IQ_FY-7))</f>
        <v>93.757509999999996</v>
      </c>
      <c r="J1895" s="17">
        <f>IF(A1901=A1902,_xll.ciqfunctions.udf.CIQ(A1893,"IQ_CASH_OPER",IQ_FY-8), _xll.ciqfunctions.udf.CIQ(A1893, "IQ_CASH_OPER",IQ_FY-7))</f>
        <v>97.210999999999999</v>
      </c>
      <c r="K1895" s="17">
        <f>IF(A1901=A1902,_xll.ciqfunctions.udf.CIQ(A1893,"IQ_CAPEX",IQ_FY-8), _xll.ciqfunctions.udf.CIQ(A1893, "IQ_CAPEX",IQ_FY-7))</f>
        <v>-24.783000000000001</v>
      </c>
      <c r="L1895" s="15">
        <f t="shared" si="504"/>
        <v>0.77250345065691273</v>
      </c>
      <c r="M1895" s="17">
        <f>IF(A1901=A1902,_xll.ciqfunctions.udf.CIQ(A1893,"IQ_TOTAL_DEBT_ISSUED",IQ_FY-8), _xll.ciqfunctions.udf.CIQ(A1893, "IQ_TOTAL_DEBT_ISSUED",IQ_FY-7))</f>
        <v>294.62299999999999</v>
      </c>
      <c r="N1895" s="17">
        <f>IF(A1901=A1902,_xll.ciqfunctions.udf.CIQ(A1893,"IQ_TOTAL_DEBT_REPAID",IQ_FY-8), _xll.ciqfunctions.udf.CIQ(A1893, "IQ_TOTAL_DEBT_REPAID",IQ_FY-7))</f>
        <v>0</v>
      </c>
      <c r="O1895" s="15">
        <f t="shared" si="505"/>
        <v>3.1423936066561495</v>
      </c>
      <c r="P1895" s="15">
        <f t="shared" si="506"/>
        <v>3.9148970573130621</v>
      </c>
      <c r="Q1895" s="25" t="s">
        <v>21</v>
      </c>
      <c r="R1895" s="38" t="s">
        <v>49</v>
      </c>
      <c r="S1895" s="2">
        <f>(R1892*I1903)/1000</f>
        <v>1.4596804327999999</v>
      </c>
      <c r="U1895" s="25" t="s">
        <v>59</v>
      </c>
      <c r="V1895" s="38" t="s">
        <v>49</v>
      </c>
      <c r="W1895" s="2">
        <f>(V1892*I1903)/1000</f>
        <v>1.4596804327999999</v>
      </c>
      <c r="Y1895" s="25" t="s">
        <v>46</v>
      </c>
      <c r="Z1895" s="38" t="s">
        <v>49</v>
      </c>
      <c r="AA1895" s="2">
        <f>(Z1892*I1903)/1000</f>
        <v>1.4596804327999999</v>
      </c>
    </row>
    <row r="1896" spans="1:27">
      <c r="A1896" s="18"/>
      <c r="B1896" s="13">
        <v>4</v>
      </c>
      <c r="C1896" s="14" t="s">
        <v>22</v>
      </c>
      <c r="D1896" s="15" cm="1">
        <f t="array" ref="D1896">_xlfn.SINGLE(IF(A1901=A1902,_xll.ciqfunctions.udf.CIQ(A1893,"IQ_TOTAL_REV",IQ_FY-7)/I1896, _xll.ciqfunctions.udf.CIQ(A1893, "IQ_TOTAL_REV",IQ_FY-6)/I1896))</f>
        <v>12.67008384344949</v>
      </c>
      <c r="E1896" s="16">
        <f t="shared" si="507"/>
        <v>0.24334507964888066</v>
      </c>
      <c r="F1896" s="15">
        <f>IF(A1901=A1902,_xll.ciqfunctions.udf.CIQ(A1893,"IQ_DILUT_EPS_EXCL",IQ_FY-7), _xll.ciqfunctions.udf.CIQ(A1893, "IQ_DILUT_EPS_EXCL",IQ_FY-6))</f>
        <v>0.36</v>
      </c>
      <c r="G1896" s="15">
        <f>IF(A1901=A1902,_xll.ciqfunctions.udf.CIQ(A1893,"IQ_EBITDA_MARGIN",IQ_FY-7), _xll.ciqfunctions.udf.CIQ(A1893, "IQ_EBITDA_MARGIN",IQ_FY-6))</f>
        <v>19.5578</v>
      </c>
      <c r="H1896" s="15">
        <f>IF(A1901=A1902,_xll.ciqfunctions.udf.CIQ(A1893,"IQ_TOTAL_DIV_PAID_CF",IQ_FY-7)/-I1896, _xll.ciqfunctions.udf.CIQ(A1893, "IQ_TOTAL_DIV_PAID_CF",IQ_FY-6)/-I1896)</f>
        <v>0</v>
      </c>
      <c r="I1896" s="17">
        <f>IF(A1901=A1902,_xll.ciqfunctions.udf.CIQ(A1893,"IQ_TOTAL_OUTSTANDING_FILING_DATE",IQ_FY-7), _xll.ciqfunctions.udf.CIQ(A1893, "IQ_TOTAL_OUTSTANDING_FILING_DATE",IQ_FY-6))</f>
        <v>91.720939999999999</v>
      </c>
      <c r="J1896" s="17">
        <f>IF(A1901=A1902,_xll.ciqfunctions.udf.CIQ(A1893,"IQ_CASH_OPER",IQ_FY-7), _xll.ciqfunctions.udf.CIQ(A1893, "IQ_CASH_OPER",IQ_FY-6))</f>
        <v>226.76400000000001</v>
      </c>
      <c r="K1896" s="17">
        <f>IF(A1901=A1902,_xll.ciqfunctions.udf.CIQ(A1893,"IQ_CAPEX",IQ_FY-7), _xll.ciqfunctions.udf.CIQ(A1893, "IQ_CAPEX",IQ_FY-6))</f>
        <v>-29.696000000000002</v>
      </c>
      <c r="L1896" s="15">
        <f t="shared" si="504"/>
        <v>2.1485606231248831</v>
      </c>
      <c r="M1896" s="17">
        <f>IF(A1901=A1902,_xll.ciqfunctions.udf.CIQ(A1893,"IQ_TOTAL_DEBT_ISSUED",IQ_FY-7), _xll.ciqfunctions.udf.CIQ(A1893, "IQ_TOTAL_DEBT_ISSUED",IQ_FY-6))</f>
        <v>0</v>
      </c>
      <c r="N1896" s="17">
        <f>IF(A1901=A1902,_xll.ciqfunctions.udf.CIQ(A1893,"IQ_TOTAL_DEBT_REPAID",IQ_FY-7), _xll.ciqfunctions.udf.CIQ(A1893, "IQ_TOTAL_DEBT_REPAID",IQ_FY-6))</f>
        <v>0</v>
      </c>
      <c r="O1896" s="15">
        <f t="shared" si="505"/>
        <v>0</v>
      </c>
      <c r="P1896" s="15">
        <f t="shared" si="506"/>
        <v>2.1485606231248831</v>
      </c>
      <c r="Q1896" s="25" t="s">
        <v>23</v>
      </c>
      <c r="R1896" s="38" t="s">
        <v>24</v>
      </c>
      <c r="S1896" s="1" t="e">
        <f>R1892/(AVERAGE(H1898:H1903)*(1+H1904)/(0.5-H1904))</f>
        <v>#DIV/0!</v>
      </c>
      <c r="U1896" s="25" t="s">
        <v>40</v>
      </c>
      <c r="V1896" s="38" t="s">
        <v>24</v>
      </c>
      <c r="W1896" s="1" t="e">
        <f>V1892/(AVERAGE(H1898:H1903)*(1+H1904)/(0.5-H1904))</f>
        <v>#DIV/0!</v>
      </c>
      <c r="Y1896" s="25" t="s">
        <v>47</v>
      </c>
      <c r="Z1896" s="38" t="s">
        <v>24</v>
      </c>
      <c r="AA1896" s="1" t="e">
        <f>Z1892/(AVERAGE(H1898:H1903)*(1+H1904)/(0.5-H1904))</f>
        <v>#DIV/0!</v>
      </c>
    </row>
    <row r="1897" spans="1:27">
      <c r="B1897" s="13">
        <v>5</v>
      </c>
      <c r="C1897" s="14" t="s">
        <v>25</v>
      </c>
      <c r="D1897" s="15" cm="1">
        <f t="array" ref="D1897">_xlfn.SINGLE(IF(A1901=A1902,_xll.ciqfunctions.udf.CIQ(A1893,"IQ_TOTAL_REV",IQ_FY-6)/I1897, _xll.ciqfunctions.udf.CIQ(A1893, "IQ_TOTAL_REV",IQ_FY-5)/I1897))</f>
        <v>12.292731820332408</v>
      </c>
      <c r="E1897" s="16">
        <f t="shared" si="507"/>
        <v>-2.9782914444735503E-2</v>
      </c>
      <c r="F1897" s="15">
        <f>IF(A1901=A1902,_xll.ciqfunctions.udf.CIQ(A1893,"IQ_DILUT_EPS_EXCL",IQ_FY-6), _xll.ciqfunctions.udf.CIQ(A1893, "IQ_DILUT_EPS_EXCL",IQ_FY-5))</f>
        <v>0.9</v>
      </c>
      <c r="G1897" s="15">
        <f>IF(A1901=A1902,_xll.ciqfunctions.udf.CIQ(A1893,"IQ_EBITDA_MARGIN",IQ_FY-6), _xll.ciqfunctions.udf.CIQ(A1893, "IQ_EBITDA_MARGIN",IQ_FY-5))</f>
        <v>15.595800000000001</v>
      </c>
      <c r="H1897" s="15">
        <f>IF(A1901=A1902,_xll.ciqfunctions.udf.CIQ(A1893,"IQ_TOTAL_DIV_PAID_CF",IQ_FY-6)/-I1897, _xll.ciqfunctions.udf.CIQ(A1893, "IQ_TOTAL_DIV_PAID_CF",IQ_FY-5)/-I1897)</f>
        <v>0</v>
      </c>
      <c r="I1897" s="17">
        <f>IF(A1901=A1902,_xll.ciqfunctions.udf.CIQ(A1893,"IQ_TOTAL_OUTSTANDING_FILING_DATE",IQ_FY-6), _xll.ciqfunctions.udf.CIQ(A1893, "IQ_TOTAL_OUTSTANDING_FILING_DATE",IQ_FY-5))</f>
        <v>80.274019999999993</v>
      </c>
      <c r="J1897" s="17">
        <f>IF(A1901=A1902,_xll.ciqfunctions.udf.CIQ(A1893,"IQ_CASH_OPER",IQ_FY-6), _xll.ciqfunctions.udf.CIQ(A1893, "IQ_CASH_OPER",IQ_FY-5))</f>
        <v>222.45400000000001</v>
      </c>
      <c r="K1897" s="17">
        <f>IF(A1901=A1902,_xll.ciqfunctions.udf.CIQ(A1893,"IQ_CAPEX",IQ_FY-6), _xll.ciqfunctions.udf.CIQ(A1893, "IQ_CAPEX",IQ_FY-5))</f>
        <v>-15.913</v>
      </c>
      <c r="L1897" s="15">
        <f t="shared" si="504"/>
        <v>2.5729495047089959</v>
      </c>
      <c r="M1897" s="17">
        <f>IF(A1901=A1902,_xll.ciqfunctions.udf.CIQ(A1893,"IQ_TOTAL_DEBT_ISSUED",IQ_FY-6), _xll.ciqfunctions.udf.CIQ(A1893, "IQ_TOTAL_DEBT_ISSUED",IQ_FY-5))</f>
        <v>294.61900000000003</v>
      </c>
      <c r="N1897" s="17">
        <f>IF(A1901=A1902,_xll.ciqfunctions.udf.CIQ(A1893,"IQ_TOTAL_DEBT_REPAID",IQ_FY-6), _xll.ciqfunctions.udf.CIQ(A1893, "IQ_TOTAL_DEBT_REPAID",IQ_FY-5))</f>
        <v>0</v>
      </c>
      <c r="O1897" s="15">
        <f t="shared" si="505"/>
        <v>3.6701662630076339</v>
      </c>
      <c r="P1897" s="15">
        <f t="shared" si="506"/>
        <v>6.2431157677166293</v>
      </c>
      <c r="Q1897" s="18"/>
      <c r="R1897" s="38" t="s">
        <v>50</v>
      </c>
      <c r="S1897" s="3">
        <f>I1904</f>
        <v>-1.7282957856237902E-2</v>
      </c>
      <c r="U1897" s="18"/>
      <c r="V1897" s="38" t="s">
        <v>50</v>
      </c>
      <c r="W1897" s="3">
        <f>I1904</f>
        <v>-1.7282957856237902E-2</v>
      </c>
      <c r="Y1897" s="18"/>
      <c r="Z1897" s="38" t="s">
        <v>50</v>
      </c>
      <c r="AA1897" s="3">
        <f>I1904</f>
        <v>-1.7282957856237902E-2</v>
      </c>
    </row>
    <row r="1898" spans="1:27">
      <c r="B1898" s="13">
        <v>6</v>
      </c>
      <c r="C1898" s="14" t="s">
        <v>26</v>
      </c>
      <c r="D1898" s="15" cm="1">
        <f t="array" ref="D1898">_xlfn.SINGLE(IF(A1901=A1902,_xll.ciqfunctions.udf.CIQ(A1893,"IQ_TOTAL_REV",IQ_FY-5)/I1898, _xll.ciqfunctions.udf.CIQ(A1893, "IQ_TOTAL_REV",IQ_FY-4)/I1898))</f>
        <v>11.746541525894486</v>
      </c>
      <c r="E1898" s="16">
        <f t="shared" si="507"/>
        <v>-4.4431970242327527E-2</v>
      </c>
      <c r="F1898" s="15">
        <f>IF(A1901=A1902,_xll.ciqfunctions.udf.CIQ(A1893,"IQ_DILUT_EPS_EXCL",IQ_FY-5), _xll.ciqfunctions.udf.CIQ(A1893, "IQ_DILUT_EPS_EXCL",IQ_FY-4))</f>
        <v>-0.93267</v>
      </c>
      <c r="G1898" s="15">
        <f>IF(A1901=A1902,_xll.ciqfunctions.udf.CIQ(A1893,"IQ_EBITDA_MARGIN",IQ_FY-5), _xll.ciqfunctions.udf.CIQ(A1893, "IQ_EBITDA_MARGIN",IQ_FY-4))</f>
        <v>14.2028</v>
      </c>
      <c r="H1898" s="15">
        <f>IF(A1901=A1902,_xll.ciqfunctions.udf.CIQ(A1893,"IQ_TOTAL_DIV_PAID_CF",IQ_FY-5)/-I1898, _xll.ciqfunctions.udf.CIQ(A1893, "IQ_TOTAL_DIV_PAID_CF",IQ_FY-4)/-I1898)</f>
        <v>0</v>
      </c>
      <c r="I1898" s="17">
        <f>IF(A1901=A1902,_xll.ciqfunctions.udf.CIQ(A1893,"IQ_TOTAL_OUTSTANDING_FILING_DATE",IQ_FY-5), _xll.ciqfunctions.udf.CIQ(A1893, "IQ_TOTAL_OUTSTANDING_FILING_DATE",IQ_FY-4))</f>
        <v>77.462630000000004</v>
      </c>
      <c r="J1898" s="17">
        <f>IF(A1901=A1902,_xll.ciqfunctions.udf.CIQ(A1893,"IQ_CASH_OPER",IQ_FY-5), _xll.ciqfunctions.udf.CIQ(A1893, "IQ_CASH_OPER",IQ_FY-4))</f>
        <v>149.83799999999999</v>
      </c>
      <c r="K1898" s="17">
        <f>IF(A1901=A1902,_xll.ciqfunctions.udf.CIQ(A1893,"IQ_CAPEX",IQ_FY-5), _xll.ciqfunctions.udf.CIQ(A1893, "IQ_CAPEX",IQ_FY-4))</f>
        <v>-23.391999999999999</v>
      </c>
      <c r="L1898" s="15">
        <f t="shared" si="504"/>
        <v>1.6323483981889073</v>
      </c>
      <c r="M1898" s="17">
        <f>IF(A1901=A1902,_xll.ciqfunctions.udf.CIQ(A1893,"IQ_TOTAL_DEBT_ISSUED",IQ_FY-5), _xll.ciqfunctions.udf.CIQ(A1893, "IQ_TOTAL_DEBT_ISSUED",IQ_FY-4))</f>
        <v>0</v>
      </c>
      <c r="N1898" s="17">
        <f>IF(A1901=A1902,_xll.ciqfunctions.udf.CIQ(A1893,"IQ_TOTAL_DEBT_REPAID",IQ_FY-5), _xll.ciqfunctions.udf.CIQ(A1893, "IQ_TOTAL_DEBT_REPAID",IQ_FY-4))</f>
        <v>-50</v>
      </c>
      <c r="O1898" s="15">
        <f t="shared" si="505"/>
        <v>-0.64547253301366092</v>
      </c>
      <c r="P1898" s="15">
        <f t="shared" si="506"/>
        <v>0.98687586517524639</v>
      </c>
      <c r="Q1898" s="25" t="s">
        <v>27</v>
      </c>
      <c r="R1898" s="38" t="s">
        <v>51</v>
      </c>
      <c r="S1898" s="4">
        <f>AVERAGE(F1898:F1903)/AVERAGE(D1898:D1903)</f>
        <v>2.0907811811673394E-2</v>
      </c>
      <c r="U1898" s="25" t="s">
        <v>58</v>
      </c>
      <c r="V1898" s="38" t="s">
        <v>51</v>
      </c>
      <c r="W1898" s="4">
        <f>AVERAGE(F1898:F1903)/AVERAGE(D1898:D1903)</f>
        <v>2.0907811811673394E-2</v>
      </c>
      <c r="Y1898" s="25" t="s">
        <v>56</v>
      </c>
      <c r="Z1898" s="38" t="s">
        <v>51</v>
      </c>
      <c r="AA1898" s="4">
        <f>AVERAGE(F1898:F1903)/AVERAGE(D1898:D1903)</f>
        <v>2.0907811811673394E-2</v>
      </c>
    </row>
    <row r="1899" spans="1:27">
      <c r="A1899" s="18"/>
      <c r="B1899" s="13">
        <v>7</v>
      </c>
      <c r="C1899" s="14" t="s">
        <v>28</v>
      </c>
      <c r="D1899" s="15" cm="1">
        <f t="array" ref="D1899">_xlfn.SINGLE(IF(A1901=A1902,_xll.ciqfunctions.udf.CIQ(A1893,"IQ_TOTAL_REV",IQ_FY-4)/I1899, _xll.ciqfunctions.udf.CIQ(A1893, "IQ_TOTAL_REV",IQ_FY-3)/I1899))</f>
        <v>12.34850128584644</v>
      </c>
      <c r="E1899" s="16">
        <f t="shared" si="507"/>
        <v>5.1245701436884512E-2</v>
      </c>
      <c r="F1899" s="15">
        <f>IF(A1901=A1902,_xll.ciqfunctions.udf.CIQ(A1893,"IQ_DILUT_EPS_EXCL",IQ_FY-4), _xll.ciqfunctions.udf.CIQ(A1893, "IQ_DILUT_EPS_EXCL",IQ_FY-3))</f>
        <v>-0.04</v>
      </c>
      <c r="G1899" s="15">
        <f>IF(A1901=A1902,_xll.ciqfunctions.udf.CIQ(A1893,"IQ_EBITDA_MARGIN",IQ_FY-4), _xll.ciqfunctions.udf.CIQ(A1893, "IQ_EBITDA_MARGIN",IQ_FY-3))</f>
        <v>15.2402</v>
      </c>
      <c r="H1899" s="15">
        <f>IF(A1901=A1902,_xll.ciqfunctions.udf.CIQ(A1893,"IQ_TOTAL_DIV_PAID_CF",IQ_FY-4)/-I1899, _xll.ciqfunctions.udf.CIQ(A1893, "IQ_TOTAL_DIV_PAID_CF",IQ_FY-3)/-I1899)</f>
        <v>0</v>
      </c>
      <c r="I1899" s="17">
        <f>IF(A1901=A1902,_xll.ciqfunctions.udf.CIQ(A1893,"IQ_TOTAL_OUTSTANDING_FILING_DATE",IQ_FY-4), _xll.ciqfunctions.udf.CIQ(A1893, "IQ_TOTAL_OUTSTANDING_FILING_DATE",IQ_FY-3))</f>
        <v>72.220910000000003</v>
      </c>
      <c r="J1899" s="17">
        <f>IF(A1901=A1902,_xll.ciqfunctions.udf.CIQ(A1893,"IQ_CASH_OPER",IQ_FY-4), _xll.ciqfunctions.udf.CIQ(A1893, "IQ_CASH_OPER",IQ_FY-3))</f>
        <v>225.023</v>
      </c>
      <c r="K1899" s="17">
        <f>IF(A1901=A1902,_xll.ciqfunctions.udf.CIQ(A1893,"IQ_CAPEX",IQ_FY-4), _xll.ciqfunctions.udf.CIQ(A1893, "IQ_CAPEX",IQ_FY-3))</f>
        <v>-19.922000000000001</v>
      </c>
      <c r="L1899" s="15">
        <f t="shared" si="504"/>
        <v>2.8399115990092065</v>
      </c>
      <c r="M1899" s="17">
        <f>IF(A1901=A1902,_xll.ciqfunctions.udf.CIQ(A1893,"IQ_TOTAL_DEBT_ISSUED",IQ_FY-4), _xll.ciqfunctions.udf.CIQ(A1893, "IQ_TOTAL_DEBT_ISSUED",IQ_FY-3))</f>
        <v>0</v>
      </c>
      <c r="N1899" s="17">
        <f>IF(A1901=A1902,_xll.ciqfunctions.udf.CIQ(A1893,"IQ_TOTAL_DEBT_REPAID",IQ_FY-4), _xll.ciqfunctions.udf.CIQ(A1893, "IQ_TOTAL_DEBT_REPAID",IQ_FY-3))</f>
        <v>-100</v>
      </c>
      <c r="O1899" s="15">
        <f t="shared" si="505"/>
        <v>-1.3846405424689332</v>
      </c>
      <c r="P1899" s="15">
        <f t="shared" si="506"/>
        <v>1.4552710565402733</v>
      </c>
      <c r="Q1899" s="18"/>
      <c r="R1899" s="38" t="s">
        <v>29</v>
      </c>
      <c r="S1899" s="4">
        <f>(AVERAGE(P1898:P1903)/_xlfn.STDEV.P(P1898:P1903))/(IF(A1901=A1902,(_xlfn.SINGLE(_xll.ciqfunctions.udf.CIQ(A1893,"IQ_total_assets",IQ_FY)) - _xlfn.SINGLE(_xll.ciqfunctions.udf.CIQ(A1893,"iq_gw_intan", IQ_FY)))/I1903, (_xlfn.SINGLE(_xll.ciqfunctions.udf.CIQ(A1893, "IQ_total_assets",IQ_LTM))-_xlfn.SINGLE(_xll.ciqfunctions.udf.CIQ(A1893,"iq_gw_intan",IQ_LTM)))/I1903))</f>
        <v>7.1929283887233617E-2</v>
      </c>
      <c r="U1899" s="18"/>
      <c r="V1899" s="38" t="s">
        <v>29</v>
      </c>
      <c r="W1899" s="4">
        <f>(AVERAGE(P1898:P1903)/_xlfn.STDEV.P(P1898:P1903))/(IF(A1901=A1902,(_xlfn.SINGLE(_xll.ciqfunctions.udf.CIQ(A1893,"IQ_total_assets",IQ_FY)) - _xlfn.SINGLE(_xll.ciqfunctions.udf.CIQ(A1893,"iq_gw_intan", IQ_FY)))/I1903, (_xlfn.SINGLE(_xll.ciqfunctions.udf.CIQ(A1893, "IQ_total_assets",IQ_LTM))-_xlfn.SINGLE(_xll.ciqfunctions.udf.CIQ(A1893,"iq_gw_intan",IQ_LTM)))/I1903))</f>
        <v>7.1929283887233617E-2</v>
      </c>
      <c r="Y1899" s="18"/>
      <c r="Z1899" s="38" t="s">
        <v>29</v>
      </c>
      <c r="AA1899" s="4">
        <f>(AVERAGE(P1898:P1903)/_xlfn.STDEV.P(P1898:P1903))/(IF(A1901=A1902,(_xlfn.SINGLE(_xll.ciqfunctions.udf.CIQ(A1893,"IQ_total_assets",IQ_FY)) - _xlfn.SINGLE(_xll.ciqfunctions.udf.CIQ(A1893,"iq_gw_intan", IQ_FY)))/I1903, (_xlfn.SINGLE(_xll.ciqfunctions.udf.CIQ(A1893, "IQ_total_assets",IQ_LTM))-_xlfn.SINGLE(_xll.ciqfunctions.udf.CIQ(A1893,"iq_gw_intan",IQ_LTM)))/I1903))</f>
        <v>7.1929283887233617E-2</v>
      </c>
    </row>
    <row r="1900" spans="1:27">
      <c r="A1900" s="18"/>
      <c r="B1900" s="13">
        <v>8</v>
      </c>
      <c r="C1900" s="14" t="s">
        <v>30</v>
      </c>
      <c r="D1900" s="15" cm="1">
        <f t="array" ref="D1900">_xlfn.SINGLE(IF(A1901=A1902,_xll.ciqfunctions.udf.CIQ(A1893,"IQ_TOTAL_REV",IQ_FY-3)/I1900, _xll.ciqfunctions.udf.CIQ(A1893, "IQ_TOTAL_REV",IQ_FY-2)/I1900))</f>
        <v>11.271235206607178</v>
      </c>
      <c r="E1900" s="16">
        <f t="shared" si="507"/>
        <v>-8.723860930994104E-2</v>
      </c>
      <c r="F1900" s="15">
        <f>IF(A1901=A1902,_xll.ciqfunctions.udf.CIQ(A1893,"IQ_DILUT_EPS_EXCL",IQ_FY-3), _xll.ciqfunctions.udf.CIQ(A1893, "IQ_DILUT_EPS_EXCL",IQ_FY-2))</f>
        <v>0.26</v>
      </c>
      <c r="G1900" s="15">
        <f>IF(A1901=A1902,_xll.ciqfunctions.udf.CIQ(A1893,"IQ_EBITDA_MARGIN",IQ_FY-3), _xll.ciqfunctions.udf.CIQ(A1893, "IQ_EBITDA_MARGIN",IQ_FY-2))</f>
        <v>17.542000000000002</v>
      </c>
      <c r="H1900" s="15">
        <f>IF(A1901=A1902,_xll.ciqfunctions.udf.CIQ(A1893,"IQ_TOTAL_DIV_PAID_CF",IQ_FY-3)/-I1900, _xll.ciqfunctions.udf.CIQ(A1893, "IQ_TOTAL_DIV_PAID_CF",IQ_FY-2)/-I1900)</f>
        <v>0</v>
      </c>
      <c r="I1900" s="17">
        <f>IF(A1901=A1902,_xll.ciqfunctions.udf.CIQ(A1893,"IQ_TOTAL_OUTSTANDING_FILING_DATE",IQ_FY-3), _xll.ciqfunctions.udf.CIQ(A1893, "IQ_TOTAL_OUTSTANDING_FILING_DATE",IQ_FY-2))</f>
        <v>73.752520000000004</v>
      </c>
      <c r="J1900" s="17">
        <f>IF(A1901=A1902,_xll.ciqfunctions.udf.CIQ(A1893,"IQ_CASH_OPER",IQ_FY-3), _xll.ciqfunctions.udf.CIQ(A1893, "IQ_CASH_OPER",IQ_FY-2))</f>
        <v>213.92099999999999</v>
      </c>
      <c r="K1900" s="17">
        <f>IF(A1901=A1902,_xll.ciqfunctions.udf.CIQ(A1893,"IQ_CAPEX",IQ_FY-3), _xll.ciqfunctions.udf.CIQ(A1893, "IQ_CAPEX",IQ_FY-2))</f>
        <v>-11.986000000000001</v>
      </c>
      <c r="L1900" s="15">
        <f t="shared" si="504"/>
        <v>2.7380081385693669</v>
      </c>
      <c r="M1900" s="17">
        <f>IF(A1901=A1902,_xll.ciqfunctions.udf.CIQ(A1893,"IQ_TOTAL_DEBT_ISSUED",IQ_FY-3), _xll.ciqfunctions.udf.CIQ(A1893, "IQ_TOTAL_DEBT_ISSUED",IQ_FY-2))</f>
        <v>0</v>
      </c>
      <c r="N1900" s="17">
        <f>IF(A1901=A1902,_xll.ciqfunctions.udf.CIQ(A1893,"IQ_TOTAL_DEBT_REPAID",IQ_FY-3), _xll.ciqfunctions.udf.CIQ(A1893, "IQ_TOTAL_DEBT_REPAID",IQ_FY-2))</f>
        <v>-100</v>
      </c>
      <c r="O1900" s="15">
        <f t="shared" si="505"/>
        <v>-1.3558858734589678</v>
      </c>
      <c r="P1900" s="15">
        <f t="shared" si="506"/>
        <v>1.382122265110399</v>
      </c>
      <c r="Q1900" s="18"/>
      <c r="R1900" s="39" t="s">
        <v>31</v>
      </c>
      <c r="S1900" s="5">
        <f>IF(NOT(D1893&gt;0),FALSE,SLOPE(G1893:G1903,B1893:B1903))</f>
        <v>-0.49374181818181823</v>
      </c>
      <c r="U1900" s="18"/>
      <c r="V1900" s="39" t="s">
        <v>31</v>
      </c>
      <c r="W1900" s="5">
        <f>IF(NOT(D1893&gt;0),FALSE,SLOPE(G1893:G1903,B1893:B1903))</f>
        <v>-0.49374181818181823</v>
      </c>
      <c r="Y1900" s="18"/>
      <c r="Z1900" s="39" t="s">
        <v>31</v>
      </c>
      <c r="AA1900" s="5">
        <f>IF(NOT(L1893&gt;0),FALSE,SLOPE(O1893:O1903,J1893:J1903))</f>
        <v>-5.0040430504952934E-4</v>
      </c>
    </row>
    <row r="1901" spans="1:27">
      <c r="A1901" s="19">
        <f>_xll.ciqfunctions.udf.CIQ(A1893,"IQ_TOTAL_REV",IQ_FY)</f>
        <v>914.53</v>
      </c>
      <c r="B1901" s="13">
        <v>9</v>
      </c>
      <c r="C1901" s="14" t="s">
        <v>32</v>
      </c>
      <c r="D1901" s="15" cm="1">
        <f t="array" ref="D1901">_xlfn.SINGLE(IF(A1901=A1902,_xll.ciqfunctions.udf.CIQ(A1893,"IQ_TOTAL_REV",IQ_FY-2)/I1901, _xll.ciqfunctions.udf.CIQ(A1893, "IQ_TOTAL_REV",IQ_FY-1)/I1901))</f>
        <v>11.543459304541573</v>
      </c>
      <c r="E1901" s="16">
        <f t="shared" si="507"/>
        <v>2.4152108703650962E-2</v>
      </c>
      <c r="F1901" s="15">
        <f>IF(A1901=A1902,_xll.ciqfunctions.udf.CIQ(A1893,"IQ_DILUT_EPS_EXCL",IQ_FY-2), _xll.ciqfunctions.udf.CIQ(A1893, "IQ_DILUT_EPS_EXCL",IQ_FY-1))</f>
        <v>0.48</v>
      </c>
      <c r="G1901" s="15">
        <f>IF(A1901=A1902,_xll.ciqfunctions.udf.CIQ(A1893,"IQ_EBITDA_MARGIN",IQ_FY-2), _xll.ciqfunctions.udf.CIQ(A1893, "IQ_EBITDA_MARGIN",IQ_FY-1))</f>
        <v>17.008199999999999</v>
      </c>
      <c r="H1901" s="15">
        <f>IF(A1901=A1902,_xll.ciqfunctions.udf.CIQ(A1893,"IQ_TOTAL_DIV_PAID_CF",IQ_FY-2)/-I1901, _xll.ciqfunctions.udf.CIQ(A1893, "IQ_TOTAL_DIV_PAID_CF",IQ_FY-1)/-I1901)</f>
        <v>0</v>
      </c>
      <c r="I1901" s="17">
        <f>IF(A1901=A1902,_xll.ciqfunctions.udf.CIQ(A1893,"IQ_TOTAL_OUTSTANDING_FILING_DATE",IQ_FY-2), _xll.ciqfunctions.udf.CIQ(A1893, "IQ_TOTAL_OUTSTANDING_FILING_DATE",IQ_FY-1))</f>
        <v>74.117729999999995</v>
      </c>
      <c r="J1901" s="17">
        <f>IF(A1901=A1902,_xll.ciqfunctions.udf.CIQ(A1893,"IQ_CASH_OPER",IQ_FY-2), _xll.ciqfunctions.udf.CIQ(A1893, "IQ_CASH_OPER",IQ_FY-1))</f>
        <v>296.01299999999998</v>
      </c>
      <c r="K1901" s="17">
        <f>IF(A1901=A1902,_xll.ciqfunctions.udf.CIQ(A1893,"IQ_CAPEX",IQ_FY-2), _xll.ciqfunctions.udf.CIQ(A1893, "IQ_CAPEX",IQ_FY-1))</f>
        <v>-10.35</v>
      </c>
      <c r="L1901" s="15">
        <f t="shared" si="504"/>
        <v>3.8541790203234769</v>
      </c>
      <c r="M1901" s="17">
        <f>IF(A1901=A1902,_xll.ciqfunctions.udf.CIQ(A1893,"IQ_TOTAL_DEBT_ISSUED",IQ_FY-2), _xll.ciqfunctions.udf.CIQ(A1893, "IQ_TOTAL_DEBT_ISSUED",IQ_FY-1))</f>
        <v>350</v>
      </c>
      <c r="N1901" s="17">
        <f>IF(A1901=A1902,_xll.ciqfunctions.udf.CIQ(A1893,"IQ_TOTAL_DEBT_REPAID",IQ_FY-2), _xll.ciqfunctions.udf.CIQ(A1893, "IQ_TOTAL_DEBT_REPAID",IQ_FY-1))</f>
        <v>-350</v>
      </c>
      <c r="O1901" s="15">
        <f t="shared" si="505"/>
        <v>0</v>
      </c>
      <c r="P1901" s="15">
        <f t="shared" si="506"/>
        <v>3.8541790203234769</v>
      </c>
      <c r="Q1901" s="25" t="s">
        <v>33</v>
      </c>
      <c r="R1901" s="38" t="s">
        <v>52</v>
      </c>
      <c r="S1901" s="4">
        <f>(AVERAGE(O1898:O1903)/AVERAGE(P1898:P1903))</f>
        <v>-1.33002378339993</v>
      </c>
      <c r="U1901" s="25" t="s">
        <v>54</v>
      </c>
      <c r="V1901" s="38" t="s">
        <v>52</v>
      </c>
      <c r="W1901" s="4">
        <f>(AVERAGE(O1898:O1903)/AVERAGE(P1898:P1903))</f>
        <v>-1.33002378339993</v>
      </c>
      <c r="Y1901" s="25" t="s">
        <v>60</v>
      </c>
      <c r="Z1901" s="38" t="s">
        <v>52</v>
      </c>
      <c r="AA1901" s="4">
        <f>(AVERAGE(O1898:O1903)/AVERAGE(P1898:P1903))</f>
        <v>-1.33002378339993</v>
      </c>
    </row>
    <row r="1902" spans="1:27">
      <c r="A1902" s="19">
        <f>_xll.ciqfunctions.udf.CIQ(A1893,"IQ_TOTAL_REV",IQ_LTM)</f>
        <v>885.577</v>
      </c>
      <c r="B1902" s="13">
        <v>10</v>
      </c>
      <c r="C1902" s="14" t="s">
        <v>34</v>
      </c>
      <c r="D1902" s="15" cm="1">
        <f t="array" ref="D1902">_xlfn.SINGLE(IF(A1901=A1902,_xll.ciqfunctions.udf.CIQ(A1893,"IQ_TOTAL_REV",IQ_FY-1)/I1902, _xll.ciqfunctions.udf.CIQ(A1893, "IQ_TOTAL_REV",IQ_FY)/I1902))</f>
        <v>12.835128671978977</v>
      </c>
      <c r="E1902" s="16">
        <f t="shared" si="507"/>
        <v>0.11189621181661021</v>
      </c>
      <c r="F1902" s="15">
        <f>IF(A1901=A1902,_xll.ciqfunctions.udf.CIQ(A1893,"IQ_DILUT_EPS_EXCL",IQ_FY-1), _xll.ciqfunctions.udf.CIQ(A1893, "IQ_DILUT_EPS_EXCL",IQ_FY))</f>
        <v>0.82</v>
      </c>
      <c r="G1902" s="15">
        <f>IF(A1901=A1902,_xll.ciqfunctions.udf.CIQ(A1893,"IQ_EBITDA_MARGIN",IQ_FY-1), _xll.ciqfunctions.udf.CIQ(A1893, "IQ_EBITDA_MARGIN",IQ_FY))</f>
        <v>18.133900000000001</v>
      </c>
      <c r="H1902" s="15">
        <f>IF(A1901=A1902,_xll.ciqfunctions.udf.CIQ(A1893,"IQ_TOTAL_DIV_PAID_CF",IQ_FY-1)/-I1902, _xll.ciqfunctions.udf.CIQ(A1893, "IQ_TOTAL_DIV_PAID_CF",IQ_FY)/-I1902)</f>
        <v>0</v>
      </c>
      <c r="I1902" s="17">
        <f>IF(A1901=A1902,_xll.ciqfunctions.udf.CIQ(A1893,"IQ_TOTAL_OUTSTANDING_FILING_DATE",IQ_FY-1), _xll.ciqfunctions.udf.CIQ(A1893, "IQ_TOTAL_OUTSTANDING_FILING_DATE",IQ_FY))</f>
        <v>71.252110000000002</v>
      </c>
      <c r="J1902" s="17">
        <f>IF(A1901=A1902,_xll.ciqfunctions.udf.CIQ(A1893,"IQ_CASH_OPER",IQ_FY-1), _xll.ciqfunctions.udf.CIQ(A1893, "IQ_CASH_OPER",IQ_FY))</f>
        <v>156.65</v>
      </c>
      <c r="K1902" s="17">
        <f>IF(A1901=A1902,_xll.ciqfunctions.udf.CIQ(A1893,"IQ_CAPEX",IQ_FY-1), _xll.ciqfunctions.udf.CIQ(A1893, "IQ_CAPEX",IQ_FY))</f>
        <v>-10.487</v>
      </c>
      <c r="L1902" s="15">
        <f t="shared" si="504"/>
        <v>2.0513497775714993</v>
      </c>
      <c r="M1902" s="17">
        <f>IF(A1901=A1902,_xll.ciqfunctions.udf.CIQ(A1893,"IQ_TOTAL_DEBT_ISSUED",IQ_FY-1), _xll.ciqfunctions.udf.CIQ(A1893, "IQ_TOTAL_DEBT_ISSUED",IQ_FY))</f>
        <v>0</v>
      </c>
      <c r="N1902" s="17">
        <f>IF(A1901=A1902,_xll.ciqfunctions.udf.CIQ(A1893,"IQ_TOTAL_DEBT_REPAID",IQ_FY-1), _xll.ciqfunctions.udf.CIQ(A1893, "IQ_TOTAL_DEBT_REPAID",IQ_FY))</f>
        <v>-250</v>
      </c>
      <c r="O1902" s="15">
        <f t="shared" si="505"/>
        <v>-3.5086680240065871</v>
      </c>
      <c r="P1902" s="15">
        <f t="shared" si="506"/>
        <v>-1.4573182464350878</v>
      </c>
      <c r="Q1902" s="25" t="s">
        <v>44</v>
      </c>
      <c r="R1902" s="38" t="s">
        <v>35</v>
      </c>
      <c r="S1902" s="1">
        <f>_xll.ciqfunctions.udf.CIQ(A1893,"IQ_TEV_EBITDA")</f>
        <v>7.0462100000000003</v>
      </c>
      <c r="U1902" s="25" t="s">
        <v>55</v>
      </c>
      <c r="V1902" s="38" t="s">
        <v>53</v>
      </c>
      <c r="W1902" s="1">
        <f>V1892/(AVERAGE(D1898:D1903)/_xlfn.STDEV.P(E1898:E1903))</f>
        <v>0.11240692837908585</v>
      </c>
      <c r="Y1902" s="25" t="s">
        <v>57</v>
      </c>
      <c r="Z1902" s="38" t="s">
        <v>53</v>
      </c>
      <c r="AA1902" s="1">
        <f>Z1892/(AVERAGE(D1898:D1903)/_xlfn.STDEV.P(E1898:E1903))</f>
        <v>0.11240692837908585</v>
      </c>
    </row>
    <row r="1903" spans="1:27">
      <c r="B1903" s="13">
        <v>11</v>
      </c>
      <c r="C1903" s="20" t="s">
        <v>36</v>
      </c>
      <c r="D1903" s="21" cm="1">
        <f t="array" ref="D1903">_xlfn.SINGLE(IF(A1901=A1902,_xll.ciqfunctions.udf.CIQ(A1893,"IQ_TOTAL_REV",IQ_FY)/I1903, _xll.ciqfunctions.udf.CIQ(A1893, "IQ_TOTAL_REV",IQ_LTM)/I1903))</f>
        <v>12.47359539174882</v>
      </c>
      <c r="E1903" s="22">
        <f t="shared" si="507"/>
        <v>-2.816748390060465E-2</v>
      </c>
      <c r="F1903" s="21">
        <f>IF(A1901=A1902,_xll.ciqfunctions.udf.CIQ(A1893,"IQ_DILUT_EPS_EXCL",IQ_FY), _xll.ciqfunctions.udf.CIQ(A1893, "IQ_DILUT_EPS_EXCL",IQ_LTM))</f>
        <v>0.92259999999999998</v>
      </c>
      <c r="G1903" s="21">
        <f>IF(A1901=A1902,_xll.ciqfunctions.udf.CIQ(A1893,"IQ_EBITDA_MARGIN",IQ_FY), _xll.ciqfunctions.udf.CIQ(A1893, "IQ_EBITDA_MARGIN",IQ_LTM))</f>
        <v>18.654900000000001</v>
      </c>
      <c r="H1903" s="21">
        <f>IF(A1901=A1902,_xll.ciqfunctions.udf.CIQ(A1893,"IQ_TOTAL_DIV_PAID_CF",IQ_FY)/-I1903, _xll.ciqfunctions.udf.CIQ(A1893, "IQ_TOTAL_DIV_PAID_CF",IQ_LTM)/-I1903)</f>
        <v>0</v>
      </c>
      <c r="I1903" s="23">
        <f>IF(A1901=A1902,_xll.ciqfunctions.udf.CIQ(A1893,"IQ_TOTAL_OUTSTANDING_FILING_DATE",IQ_FY),_xll.ciqfunctions.udf.CIQ(A1893,"IQ_sharesoutstanding"))</f>
        <v>70.996129999999994</v>
      </c>
      <c r="J1903" s="23">
        <f>IF(A1901=A1902,_xll.ciqfunctions.udf.CIQ(A1893,"IQ_CASH_OPER",IQ_FY), _xll.ciqfunctions.udf.CIQ(A1893, "IQ_CASH_OPER",IQ_LTM))</f>
        <v>110.30800000000001</v>
      </c>
      <c r="K1903" s="23">
        <f>IF(A1901=A1902,_xll.ciqfunctions.udf.CIQ(A1893,"IQ_CAPEX",IQ_FY), _xll.ciqfunctions.udf.CIQ(A1893, "IQ_CAPEX",IQ_LTM))</f>
        <v>-8.7629999999999999</v>
      </c>
      <c r="L1903" s="21">
        <f t="shared" si="504"/>
        <v>1.4302892284410433</v>
      </c>
      <c r="M1903" s="23">
        <f>IF(A1901=A1902,_xll.ciqfunctions.udf.CIQ(A1893,"IQ_TOTAL_DEBT_ISSUED",IQ_FY), _xll.ciqfunctions.udf.CIQ(A1893, "IQ_TOTAL_DEBT_ISSUED",IQ_LTM))</f>
        <v>0</v>
      </c>
      <c r="N1903" s="23">
        <f>IF(A1901=A1902,_xll.ciqfunctions.udf.CIQ(A1893,"IQ_TOTAL_DEBT_REPAID",IQ_FY), _xll.ciqfunctions.udf.CIQ(A1893, "IQ_TOTAL_DEBT_REPAID",IQ_LTM))</f>
        <v>-100</v>
      </c>
      <c r="O1903" s="21">
        <f t="shared" si="505"/>
        <v>-1.4085274788921596</v>
      </c>
      <c r="P1903" s="21">
        <f t="shared" si="506"/>
        <v>2.1761749548883769E-2</v>
      </c>
      <c r="Q1903" s="25" t="s">
        <v>45</v>
      </c>
      <c r="S1903" s="45"/>
      <c r="U1903" s="25"/>
      <c r="W1903" s="45"/>
      <c r="Y1903" s="25"/>
      <c r="AA1903" s="45"/>
    </row>
    <row r="1904" spans="1:27">
      <c r="B1904" s="24"/>
      <c r="C1904" s="25" t="s">
        <v>37</v>
      </c>
      <c r="E1904" s="26">
        <f>((D1903/D1898)^(1/5))-1</f>
        <v>1.2083458644950307E-2</v>
      </c>
      <c r="F1904" s="27">
        <f>((F1903/F1898)^(1/5))-1</f>
        <v>-1.9978312213246432</v>
      </c>
      <c r="G1904" s="28"/>
      <c r="H1904" s="27" t="e">
        <f>((H1903/H1898)^(1/5))-1</f>
        <v>#DIV/0!</v>
      </c>
      <c r="I1904" s="27">
        <f>((I1903/I1898)^(1/5))-1</f>
        <v>-1.7282957856237902E-2</v>
      </c>
      <c r="J1904" s="27"/>
      <c r="K1904" s="27"/>
      <c r="L1904" s="26">
        <f>((L1903/L1898)^(1/5))-1</f>
        <v>-2.608242708093611E-2</v>
      </c>
      <c r="M1904" s="26"/>
      <c r="N1904" s="26"/>
      <c r="O1904" s="26"/>
      <c r="P1904" s="26">
        <f>((P1903/P1898)^(1/5))-1</f>
        <v>-0.53367762312813505</v>
      </c>
      <c r="Q1904" s="18"/>
      <c r="R1904" s="36"/>
      <c r="S1904" s="45"/>
      <c r="U1904" s="18"/>
      <c r="V1904" s="36"/>
      <c r="W1904" s="45"/>
      <c r="Y1904" s="18"/>
      <c r="Z1904" s="36"/>
      <c r="AA1904" s="45"/>
    </row>
    <row r="1905" spans="1:27">
      <c r="A1905" s="29"/>
      <c r="B1905" s="30"/>
      <c r="C1905" s="31" t="s">
        <v>38</v>
      </c>
      <c r="D1905" s="29"/>
      <c r="E1905" s="32">
        <f>((D1903/D1893)^(1/10))-1</f>
        <v>2.5890385505575653E-2</v>
      </c>
      <c r="F1905" s="33">
        <f>((F1903/F1893)^(1/10))-1</f>
        <v>-2.3476365485859851E-2</v>
      </c>
      <c r="G1905" s="34"/>
      <c r="H1905" s="33" t="e">
        <f>((H1903/H1893)^(1/10))-1</f>
        <v>#DIV/0!</v>
      </c>
      <c r="I1905" s="33">
        <f>((I1903/I1893)^(1/10))-1</f>
        <v>5.6285348386000855E-2</v>
      </c>
      <c r="J1905" s="33"/>
      <c r="K1905" s="33"/>
      <c r="L1905" s="32">
        <f>((L1903/L1893)^(1/10))-1</f>
        <v>-4.9799613920808561E-2</v>
      </c>
      <c r="M1905" s="32"/>
      <c r="N1905" s="32"/>
      <c r="O1905" s="32"/>
      <c r="P1905" s="32">
        <f>((P1903/P1893)^(1/10))-1</f>
        <v>-0.3747665618121363</v>
      </c>
      <c r="Q1905" s="40"/>
      <c r="R1905" s="41"/>
      <c r="S1905" s="46"/>
      <c r="U1905" s="40"/>
      <c r="V1905" s="41"/>
      <c r="W1905" s="46"/>
      <c r="Y1905" s="40"/>
      <c r="Z1905" s="41"/>
      <c r="AA1905" s="46"/>
    </row>
    <row r="1906" spans="1:27">
      <c r="B1906" s="24"/>
      <c r="C1906" s="25"/>
      <c r="E1906" s="26"/>
      <c r="F1906" s="27"/>
      <c r="G1906" s="28"/>
      <c r="H1906" s="27"/>
      <c r="I1906" s="27"/>
      <c r="J1906" s="27"/>
      <c r="K1906" s="27"/>
      <c r="L1906" s="26"/>
      <c r="M1906" s="17"/>
      <c r="N1906" s="17"/>
      <c r="O1906" s="17"/>
      <c r="P1906" s="35"/>
      <c r="Q1906" s="18"/>
      <c r="R1906" s="36"/>
    </row>
    <row r="1907" spans="1:27">
      <c r="A1907" s="9" t="s">
        <v>0</v>
      </c>
      <c r="B1907" s="10"/>
      <c r="C1907" s="9" t="s">
        <v>1</v>
      </c>
      <c r="D1907" s="9" t="s">
        <v>2</v>
      </c>
      <c r="E1907" s="9" t="s">
        <v>3</v>
      </c>
      <c r="F1907" s="11" t="s">
        <v>4</v>
      </c>
      <c r="G1907" s="11" t="s">
        <v>5</v>
      </c>
      <c r="H1907" s="9" t="s">
        <v>6</v>
      </c>
      <c r="I1907" s="11" t="s">
        <v>7</v>
      </c>
      <c r="J1907" s="11" t="s">
        <v>8</v>
      </c>
      <c r="K1907" s="11" t="s">
        <v>9</v>
      </c>
      <c r="L1907" s="11" t="s">
        <v>10</v>
      </c>
      <c r="M1907" s="11" t="s">
        <v>11</v>
      </c>
      <c r="N1907" s="11" t="s">
        <v>12</v>
      </c>
      <c r="O1907" s="11" t="s">
        <v>13</v>
      </c>
      <c r="P1907" s="11" t="s">
        <v>14</v>
      </c>
      <c r="Q1907" s="37" t="s">
        <v>15</v>
      </c>
      <c r="R1907" s="42">
        <f>_xll.ciqfunctions.udf.CIQ(A1908,("IQ_LASTSALEPRICE"))</f>
        <v>8.1050000000000004</v>
      </c>
      <c r="S1907" s="44"/>
      <c r="U1907" s="37" t="s">
        <v>15</v>
      </c>
      <c r="V1907" s="42">
        <f>_xll.ciqfunctions.udf.CIQ(A1908,("IQ_LASTSALEPRICE"))</f>
        <v>8.1050000000000004</v>
      </c>
      <c r="W1907" s="44"/>
      <c r="Y1907" s="37" t="s">
        <v>15</v>
      </c>
      <c r="Z1907" s="42">
        <f>_xll.ciqfunctions.udf.CIQ(A1908,("IQ_LASTSALEPRICE"))</f>
        <v>8.1050000000000004</v>
      </c>
      <c r="AA1907" s="44"/>
    </row>
    <row r="1908" spans="1:27">
      <c r="A1908" s="12" t="str">
        <f>Analysis!B129</f>
        <v>NasdaqGS:VIAV</v>
      </c>
      <c r="B1908" s="13">
        <v>1</v>
      </c>
      <c r="C1908" s="14" t="s">
        <v>16</v>
      </c>
      <c r="D1908" s="15">
        <f>IF(A1916=A1917,_xll.ciqfunctions.udf.CIQ(A1908,"IQ_TOTAL_REV",IQ_FY-10)/I1908,_xll.ciqfunctions.udf.CIQ(A1908, "IQ_TOTAL_REV",IQ_FY-9)/I1908)</f>
        <v>4.0294886053374359</v>
      </c>
      <c r="E1908" s="16"/>
      <c r="F1908" s="15">
        <f>IF(A1916=A1917,_xll.ciqfunctions.udf.CIQ(A1908,"IQ_DILUT_EPS_EXCL",IQ_FY-10), _xll.ciqfunctions.udf.CIQ(A1908, "IQ_DILUT_EPS_EXCL",IQ_FY-9))</f>
        <v>-0.32</v>
      </c>
      <c r="G1908" s="15">
        <f>IF(A1916=A1917,_xll.ciqfunctions.udf.CIQ(A1908,"IQ_EBITDA_MARGIN",IQ_FY-10), _xll.ciqfunctions.udf.CIQ(A1908, "IQ_EBITDA_MARGIN",IQ_FY-9))</f>
        <v>5.5669000000000004</v>
      </c>
      <c r="H1908" s="15">
        <f>IF(A1916=A1917,_xll.ciqfunctions.udf.CIQ(A1908,"IQ_TOTAL_DIV_PAID_CF",IQ_FY-10)/-I1908, _xll.ciqfunctions.udf.CIQ(A1908, "IQ_TOTAL_DIV_PAID_CF",IQ_FY-9)/-I1908)</f>
        <v>0</v>
      </c>
      <c r="I1908" s="17">
        <f>IF(A1916=A1917,_xll.ciqfunctions.udf.CIQ(A1908,"IQ_TOTAL_OUTSTANDING_FILING_DATE",IQ_FY-10), _xll.ciqfunctions.udf.CIQ(A1908, "IQ_TOTAL_OUTSTANDING_FILING_DATE",IQ_FY-9))</f>
        <v>230.02919</v>
      </c>
      <c r="J1908" s="17">
        <f>IF(A1916=A1917,_xll.ciqfunctions.udf.CIQ(A1908,"IQ_CASH_OPER",IQ_FY-10), _xll.ciqfunctions.udf.CIQ(A1908, "IQ_CASH_OPER",IQ_FY-9))</f>
        <v>176.6</v>
      </c>
      <c r="K1908" s="17">
        <f>IF(A1916=A1917,_xll.ciqfunctions.udf.CIQ(A1908,"IQ_CAPEX",IQ_FY-10), _xll.ciqfunctions.udf.CIQ(A1908, "IQ_CAPEX",IQ_FY-9))</f>
        <v>-99.8</v>
      </c>
      <c r="L1908" s="15">
        <f t="shared" ref="L1908:L1918" si="508">(J1908+K1908)/I1908</f>
        <v>0.33387067093528433</v>
      </c>
      <c r="M1908" s="17">
        <f>IF(A1916=A1917,_xll.ciqfunctions.udf.CIQ(A1908,"IQ_TOTAL_DEBT_ISSUED",IQ_FY-10), _xll.ciqfunctions.udf.CIQ(A1908, "IQ_TOTAL_DEBT_ISSUED",IQ_FY-9))</f>
        <v>650</v>
      </c>
      <c r="N1908" s="17">
        <f>IF(A1916=A1917,_xll.ciqfunctions.udf.CIQ(A1908,"IQ_TOTAL_DEBT_REPAID",IQ_FY-10), _xll.ciqfunctions.udf.CIQ(A1908, "IQ_TOTAL_DEBT_REPAID",IQ_FY-9))</f>
        <v>-14.2</v>
      </c>
      <c r="O1908" s="15">
        <f t="shared" ref="O1908:O1918" si="509">(M1908+N1908)/I1908</f>
        <v>2.7639970388105959</v>
      </c>
      <c r="P1908" s="15">
        <f t="shared" ref="P1908:P1918" si="510">L1908+O1908</f>
        <v>3.0978677097458802</v>
      </c>
      <c r="W1908" s="43"/>
      <c r="AA1908" s="43"/>
    </row>
    <row r="1909" spans="1:27">
      <c r="A1909" s="18" t="str">
        <f>_xll.ciqfunctions.udf.CIQ(A1908,"IQ_COMPANY_NAME")</f>
        <v>Viavi Solutions Inc.</v>
      </c>
      <c r="B1909" s="13">
        <v>2</v>
      </c>
      <c r="C1909" s="14" t="s">
        <v>17</v>
      </c>
      <c r="D1909" s="15">
        <f>IF(A1916=A1917,_xll.ciqfunctions.udf.CIQ(A1908,"IQ_TOTAL_REV",IQ_FY-9)/I1909, _xll.ciqfunctions.udf.CIQ(A1908, "IQ_TOTAL_REV",IQ_FY-8)/I1909)</f>
        <v>3.7135724422413912</v>
      </c>
      <c r="E1909" s="16">
        <f t="shared" ref="E1909:E1918" si="511">(D1909-D1908)/D1908</f>
        <v>-7.8401056322031565E-2</v>
      </c>
      <c r="F1909" s="15">
        <f>IF(A1916=A1917,_xll.ciqfunctions.udf.CIQ(A1908,"IQ_DILUT_EPS_EXCL",IQ_FY-9), _xll.ciqfunctions.udf.CIQ(A1908, "IQ_DILUT_EPS_EXCL",IQ_FY-8))</f>
        <v>-0.56999999999999995</v>
      </c>
      <c r="G1909" s="15">
        <f>IF(A1916=A1917,_xll.ciqfunctions.udf.CIQ(A1908,"IQ_EBITDA_MARGIN",IQ_FY-9), _xll.ciqfunctions.udf.CIQ(A1908, "IQ_EBITDA_MARGIN",IQ_FY-8))</f>
        <v>4.9547999999999996</v>
      </c>
      <c r="H1909" s="15">
        <f>IF(A1916=A1917,_xll.ciqfunctions.udf.CIQ(A1908,"IQ_TOTAL_DIV_PAID_CF",IQ_FY-9)/-I1909, _xll.ciqfunctions.udf.CIQ(A1908, "IQ_TOTAL_DIV_PAID_CF",IQ_FY-8)/-I1909)</f>
        <v>0</v>
      </c>
      <c r="I1909" s="17">
        <f>IF(A1916=A1917,_xll.ciqfunctions.udf.CIQ(A1908,"IQ_TOTAL_OUTSTANDING_FILING_DATE",IQ_FY-9), _xll.ciqfunctions.udf.CIQ(A1908, "IQ_TOTAL_OUTSTANDING_FILING_DATE",IQ_FY-8))</f>
        <v>235.32596000000001</v>
      </c>
      <c r="J1909" s="17">
        <f>IF(A1916=A1917,_xll.ciqfunctions.udf.CIQ(A1908,"IQ_CASH_OPER",IQ_FY-9), _xll.ciqfunctions.udf.CIQ(A1908, "IQ_CASH_OPER",IQ_FY-8))</f>
        <v>82.3</v>
      </c>
      <c r="K1909" s="17">
        <f>IF(A1916=A1917,_xll.ciqfunctions.udf.CIQ(A1908,"IQ_CAPEX",IQ_FY-9), _xll.ciqfunctions.udf.CIQ(A1908, "IQ_CAPEX",IQ_FY-8))</f>
        <v>-101.5</v>
      </c>
      <c r="L1909" s="15">
        <f t="shared" si="508"/>
        <v>-8.1588958566237241E-2</v>
      </c>
      <c r="M1909" s="17">
        <f>IF(A1916=A1917,_xll.ciqfunctions.udf.CIQ(A1908,"IQ_TOTAL_DEBT_ISSUED",IQ_FY-9), _xll.ciqfunctions.udf.CIQ(A1908, "IQ_TOTAL_DEBT_ISSUED",IQ_FY-8))</f>
        <v>0</v>
      </c>
      <c r="N1909" s="17">
        <f>IF(A1916=A1917,_xll.ciqfunctions.udf.CIQ(A1908,"IQ_TOTAL_DEBT_REPAID",IQ_FY-9), _xll.ciqfunctions.udf.CIQ(A1908, "IQ_TOTAL_DEBT_REPAID",IQ_FY-8))</f>
        <v>-23.3</v>
      </c>
      <c r="O1909" s="15">
        <f t="shared" si="509"/>
        <v>-9.9011600760069138E-2</v>
      </c>
      <c r="P1909" s="15">
        <f t="shared" si="510"/>
        <v>-0.18060055932630636</v>
      </c>
      <c r="Q1909" s="25" t="s">
        <v>18</v>
      </c>
      <c r="R1909" s="39" t="s">
        <v>19</v>
      </c>
      <c r="S1909" s="1">
        <f>R1907/((AVERAGE(P1913:P1918))*(1+E1919)^3)</f>
        <v>21.7422429203286</v>
      </c>
      <c r="U1909" s="25" t="s">
        <v>48</v>
      </c>
      <c r="V1909" s="39" t="s">
        <v>19</v>
      </c>
      <c r="W1909" s="1">
        <f>V1907/((AVERAGE(P1913:P1918))*(1+E1919)^3)</f>
        <v>21.7422429203286</v>
      </c>
      <c r="Y1909" s="25" t="s">
        <v>39</v>
      </c>
      <c r="Z1909" s="39" t="s">
        <v>19</v>
      </c>
      <c r="AA1909" s="1">
        <f>Z1907/((AVERAGE(P1913:P1918))*(1+E1919)^3)</f>
        <v>21.7422429203286</v>
      </c>
    </row>
    <row r="1910" spans="1:27">
      <c r="B1910" s="13">
        <v>3</v>
      </c>
      <c r="C1910" s="14" t="s">
        <v>20</v>
      </c>
      <c r="D1910" s="15" cm="1">
        <f t="array" ref="D1910">_xlfn.SINGLE(IF(A1916=A1917,_xll.ciqfunctions.udf.CIQ(A1908,"IQ_TOTAL_REV",IQ_FY-8)/I1910, _xll.ciqfunctions.udf.CIQ(A1908, "IQ_TOTAL_REV",IQ_FY-7)/I1910))</f>
        <v>3.9014524871275311</v>
      </c>
      <c r="E1910" s="16">
        <f t="shared" si="511"/>
        <v>5.0592804585964046E-2</v>
      </c>
      <c r="F1910" s="15">
        <f>IF(A1916=A1917,_xll.ciqfunctions.udf.CIQ(A1908,"IQ_DILUT_EPS_EXCL",IQ_FY-8), _xll.ciqfunctions.udf.CIQ(A1908, "IQ_DILUT_EPS_EXCL",IQ_FY-7))</f>
        <v>-0.22</v>
      </c>
      <c r="G1910" s="15">
        <f>IF(A1916=A1917,_xll.ciqfunctions.udf.CIQ(A1908,"IQ_EBITDA_MARGIN",IQ_FY-8), _xll.ciqfunctions.udf.CIQ(A1908, "IQ_EBITDA_MARGIN",IQ_FY-7))</f>
        <v>11.1442</v>
      </c>
      <c r="H1910" s="15">
        <f>IF(A1916=A1917,_xll.ciqfunctions.udf.CIQ(A1908,"IQ_TOTAL_DIV_PAID_CF",IQ_FY-8)/-I1910, _xll.ciqfunctions.udf.CIQ(A1908, "IQ_TOTAL_DIV_PAID_CF",IQ_FY-7)/-I1910)</f>
        <v>0</v>
      </c>
      <c r="I1910" s="17">
        <f>IF(A1916=A1917,_xll.ciqfunctions.udf.CIQ(A1908,"IQ_TOTAL_OUTSTANDING_FILING_DATE",IQ_FY-8), _xll.ciqfunctions.udf.CIQ(A1908, "IQ_TOTAL_OUTSTANDING_FILING_DATE",IQ_FY-7))</f>
        <v>232.29810000000001</v>
      </c>
      <c r="J1910" s="17">
        <f>IF(A1916=A1917,_xll.ciqfunctions.udf.CIQ(A1908,"IQ_CASH_OPER",IQ_FY-8), _xll.ciqfunctions.udf.CIQ(A1908, "IQ_CASH_OPER",IQ_FY-7))</f>
        <v>64.3</v>
      </c>
      <c r="K1910" s="17">
        <f>IF(A1916=A1917,_xll.ciqfunctions.udf.CIQ(A1908,"IQ_CAPEX",IQ_FY-8), _xll.ciqfunctions.udf.CIQ(A1908, "IQ_CAPEX",IQ_FY-7))</f>
        <v>-35.5</v>
      </c>
      <c r="L1910" s="15">
        <f t="shared" si="508"/>
        <v>0.12397862918379443</v>
      </c>
      <c r="M1910" s="17">
        <f>IF(A1916=A1917,_xll.ciqfunctions.udf.CIQ(A1908,"IQ_TOTAL_DEBT_ISSUED",IQ_FY-8), _xll.ciqfunctions.udf.CIQ(A1908, "IQ_TOTAL_DEBT_ISSUED",IQ_FY-7))</f>
        <v>0</v>
      </c>
      <c r="N1910" s="17">
        <f>IF(A1916=A1917,_xll.ciqfunctions.udf.CIQ(A1908,"IQ_TOTAL_DEBT_REPAID",IQ_FY-8), _xll.ciqfunctions.udf.CIQ(A1908, "IQ_TOTAL_DEBT_REPAID",IQ_FY-7))</f>
        <v>-5.9</v>
      </c>
      <c r="O1910" s="15">
        <f t="shared" si="509"/>
        <v>-2.5398399728624559E-2</v>
      </c>
      <c r="P1910" s="15">
        <f t="shared" si="510"/>
        <v>9.8580229455169865E-2</v>
      </c>
      <c r="Q1910" s="25" t="s">
        <v>21</v>
      </c>
      <c r="R1910" s="38" t="s">
        <v>49</v>
      </c>
      <c r="S1910" s="2">
        <f>(R1907*I1918)/1000</f>
        <v>1.80250798985</v>
      </c>
      <c r="U1910" s="25" t="s">
        <v>59</v>
      </c>
      <c r="V1910" s="38" t="s">
        <v>49</v>
      </c>
      <c r="W1910" s="2">
        <f>(V1907*I1918)/1000</f>
        <v>1.80250798985</v>
      </c>
      <c r="Y1910" s="25" t="s">
        <v>46</v>
      </c>
      <c r="Z1910" s="38" t="s">
        <v>49</v>
      </c>
      <c r="AA1910" s="2">
        <f>(Z1907*I1918)/1000</f>
        <v>1.80250798985</v>
      </c>
    </row>
    <row r="1911" spans="1:27">
      <c r="A1911" s="18"/>
      <c r="B1911" s="13">
        <v>4</v>
      </c>
      <c r="C1911" s="14" t="s">
        <v>22</v>
      </c>
      <c r="D1911" s="15" cm="1">
        <f t="array" ref="D1911">_xlfn.SINGLE(IF(A1916=A1917,_xll.ciqfunctions.udf.CIQ(A1908,"IQ_TOTAL_REV",IQ_FY-7)/I1911, _xll.ciqfunctions.udf.CIQ(A1908, "IQ_TOTAL_REV",IQ_FY-6)/I1911))</f>
        <v>3.5377291119069416</v>
      </c>
      <c r="E1911" s="16">
        <f t="shared" si="511"/>
        <v>-9.3227682874688328E-2</v>
      </c>
      <c r="F1911" s="15">
        <f>IF(A1916=A1917,_xll.ciqfunctions.udf.CIQ(A1908,"IQ_DILUT_EPS_EXCL",IQ_FY-7), _xll.ciqfunctions.udf.CIQ(A1908, "IQ_DILUT_EPS_EXCL",IQ_FY-6))</f>
        <v>0.68</v>
      </c>
      <c r="G1911" s="15">
        <f>IF(A1916=A1917,_xll.ciqfunctions.udf.CIQ(A1908,"IQ_EBITDA_MARGIN",IQ_FY-7), _xll.ciqfunctions.udf.CIQ(A1908, "IQ_EBITDA_MARGIN",IQ_FY-6))</f>
        <v>11.018599999999999</v>
      </c>
      <c r="H1911" s="15">
        <f>IF(A1916=A1917,_xll.ciqfunctions.udf.CIQ(A1908,"IQ_TOTAL_DIV_PAID_CF",IQ_FY-7)/-I1911, _xll.ciqfunctions.udf.CIQ(A1908, "IQ_TOTAL_DIV_PAID_CF",IQ_FY-6)/-I1911)</f>
        <v>0</v>
      </c>
      <c r="I1911" s="17">
        <f>IF(A1916=A1917,_xll.ciqfunctions.udf.CIQ(A1908,"IQ_TOTAL_OUTSTANDING_FILING_DATE",IQ_FY-7), _xll.ciqfunctions.udf.CIQ(A1908, "IQ_TOTAL_OUTSTANDING_FILING_DATE",IQ_FY-6))</f>
        <v>227.5471</v>
      </c>
      <c r="J1911" s="17">
        <f>IF(A1916=A1917,_xll.ciqfunctions.udf.CIQ(A1908,"IQ_CASH_OPER",IQ_FY-7), _xll.ciqfunctions.udf.CIQ(A1908, "IQ_CASH_OPER",IQ_FY-6))</f>
        <v>94.3</v>
      </c>
      <c r="K1911" s="17">
        <f>IF(A1916=A1917,_xll.ciqfunctions.udf.CIQ(A1908,"IQ_CAPEX",IQ_FY-7), _xll.ciqfunctions.udf.CIQ(A1908, "IQ_CAPEX",IQ_FY-6))</f>
        <v>-38.6</v>
      </c>
      <c r="L1911" s="15">
        <f t="shared" si="508"/>
        <v>0.24478448637666661</v>
      </c>
      <c r="M1911" s="17">
        <f>IF(A1916=A1917,_xll.ciqfunctions.udf.CIQ(A1908,"IQ_TOTAL_DEBT_ISSUED",IQ_FY-7), _xll.ciqfunctions.udf.CIQ(A1908, "IQ_TOTAL_DEBT_ISSUED",IQ_FY-6))</f>
        <v>460</v>
      </c>
      <c r="N1911" s="17">
        <f>IF(A1916=A1917,_xll.ciqfunctions.udf.CIQ(A1908,"IQ_TOTAL_DEBT_REPAID",IQ_FY-7), _xll.ciqfunctions.udf.CIQ(A1908, "IQ_TOTAL_DEBT_REPAID",IQ_FY-6))</f>
        <v>-46.2</v>
      </c>
      <c r="O1911" s="15">
        <f t="shared" si="509"/>
        <v>1.8185246043566365</v>
      </c>
      <c r="P1911" s="15">
        <f t="shared" si="510"/>
        <v>2.0633090907333029</v>
      </c>
      <c r="Q1911" s="25" t="s">
        <v>23</v>
      </c>
      <c r="R1911" s="38" t="s">
        <v>24</v>
      </c>
      <c r="S1911" s="1" t="e">
        <f>R1907/(AVERAGE(H1913:H1918)*(1+H1919)/(0.5-H1919))</f>
        <v>#DIV/0!</v>
      </c>
      <c r="U1911" s="25" t="s">
        <v>40</v>
      </c>
      <c r="V1911" s="38" t="s">
        <v>24</v>
      </c>
      <c r="W1911" s="1" t="e">
        <f>V1907/(AVERAGE(H1913:H1918)*(1+H1919)/(0.5-H1919))</f>
        <v>#DIV/0!</v>
      </c>
      <c r="Y1911" s="25" t="s">
        <v>47</v>
      </c>
      <c r="Z1911" s="38" t="s">
        <v>24</v>
      </c>
      <c r="AA1911" s="1" t="e">
        <f>Z1907/(AVERAGE(H1913:H1918)*(1+H1919)/(0.5-H1919))</f>
        <v>#DIV/0!</v>
      </c>
    </row>
    <row r="1912" spans="1:27">
      <c r="B1912" s="13">
        <v>5</v>
      </c>
      <c r="C1912" s="14" t="s">
        <v>25</v>
      </c>
      <c r="D1912" s="15" cm="1">
        <f t="array" ref="D1912">_xlfn.SINGLE(IF(A1916=A1917,_xll.ciqfunctions.udf.CIQ(A1908,"IQ_TOTAL_REV",IQ_FY-6)/I1912, _xll.ciqfunctions.udf.CIQ(A1908, "IQ_TOTAL_REV",IQ_FY-5)/I1912))</f>
        <v>3.8626333428932442</v>
      </c>
      <c r="E1912" s="16">
        <f t="shared" si="511"/>
        <v>9.1839770855482353E-2</v>
      </c>
      <c r="F1912" s="15">
        <f>IF(A1916=A1917,_xll.ciqfunctions.udf.CIQ(A1908,"IQ_DILUT_EPS_EXCL",IQ_FY-6), _xll.ciqfunctions.udf.CIQ(A1908, "IQ_DILUT_EPS_EXCL",IQ_FY-5))</f>
        <v>-0.214</v>
      </c>
      <c r="G1912" s="15">
        <f>IF(A1916=A1917,_xll.ciqfunctions.udf.CIQ(A1908,"IQ_EBITDA_MARGIN",IQ_FY-6), _xll.ciqfunctions.udf.CIQ(A1908, "IQ_EBITDA_MARGIN",IQ_FY-5))</f>
        <v>12.253</v>
      </c>
      <c r="H1912" s="15">
        <f>IF(A1916=A1917,_xll.ciqfunctions.udf.CIQ(A1908,"IQ_TOTAL_DIV_PAID_CF",IQ_FY-6)/-I1912, _xll.ciqfunctions.udf.CIQ(A1908, "IQ_TOTAL_DIV_PAID_CF",IQ_FY-5)/-I1912)</f>
        <v>0</v>
      </c>
      <c r="I1912" s="17">
        <f>IF(A1916=A1917,_xll.ciqfunctions.udf.CIQ(A1908,"IQ_TOTAL_OUTSTANDING_FILING_DATE",IQ_FY-6), _xll.ciqfunctions.udf.CIQ(A1908, "IQ_TOTAL_OUTSTANDING_FILING_DATE",IQ_FY-5))</f>
        <v>226.71062000000001</v>
      </c>
      <c r="J1912" s="17">
        <f>IF(A1916=A1917,_xll.ciqfunctions.udf.CIQ(A1908,"IQ_CASH_OPER",IQ_FY-6), _xll.ciqfunctions.udf.CIQ(A1908, "IQ_CASH_OPER",IQ_FY-5))</f>
        <v>66</v>
      </c>
      <c r="K1912" s="17">
        <f>IF(A1916=A1917,_xll.ciqfunctions.udf.CIQ(A1908,"IQ_CAPEX",IQ_FY-6), _xll.ciqfunctions.udf.CIQ(A1908, "IQ_CAPEX",IQ_FY-5))</f>
        <v>-42.5</v>
      </c>
      <c r="L1912" s="15">
        <f t="shared" si="508"/>
        <v>0.10365637039852831</v>
      </c>
      <c r="M1912" s="17">
        <f>IF(A1916=A1917,_xll.ciqfunctions.udf.CIQ(A1908,"IQ_TOTAL_DEBT_ISSUED",IQ_FY-6), _xll.ciqfunctions.udf.CIQ(A1908, "IQ_TOTAL_DEBT_ISSUED",IQ_FY-5))</f>
        <v>225</v>
      </c>
      <c r="N1912" s="17">
        <f>IF(A1916=A1917,_xll.ciqfunctions.udf.CIQ(A1908,"IQ_TOTAL_DEBT_REPAID",IQ_FY-6), _xll.ciqfunctions.udf.CIQ(A1908, "IQ_TOTAL_DEBT_REPAID",IQ_FY-5))</f>
        <v>-354.6</v>
      </c>
      <c r="O1912" s="15">
        <f t="shared" si="509"/>
        <v>-0.57165385547443703</v>
      </c>
      <c r="P1912" s="15">
        <f t="shared" si="510"/>
        <v>-0.46799748507590871</v>
      </c>
      <c r="Q1912" s="18"/>
      <c r="R1912" s="38" t="s">
        <v>50</v>
      </c>
      <c r="S1912" s="3">
        <f>I1919</f>
        <v>-5.7103602372552409E-3</v>
      </c>
      <c r="U1912" s="18"/>
      <c r="V1912" s="38" t="s">
        <v>50</v>
      </c>
      <c r="W1912" s="3">
        <f>I1919</f>
        <v>-5.7103602372552409E-3</v>
      </c>
      <c r="Y1912" s="18"/>
      <c r="Z1912" s="38" t="s">
        <v>50</v>
      </c>
      <c r="AA1912" s="3">
        <f>I1919</f>
        <v>-5.7103602372552409E-3</v>
      </c>
    </row>
    <row r="1913" spans="1:27">
      <c r="B1913" s="13">
        <v>6</v>
      </c>
      <c r="C1913" s="14" t="s">
        <v>26</v>
      </c>
      <c r="D1913" s="15" cm="1">
        <f t="array" ref="D1913">_xlfn.SINGLE(IF(A1916=A1917,_xll.ciqfunctions.udf.CIQ(A1908,"IQ_TOTAL_REV",IQ_FY-5)/I1913, _xll.ciqfunctions.udf.CIQ(A1908, "IQ_TOTAL_REV",IQ_FY-4)/I1913))</f>
        <v>4.9389441976647355</v>
      </c>
      <c r="E1913" s="16">
        <f t="shared" si="511"/>
        <v>0.27864691241061407</v>
      </c>
      <c r="F1913" s="15">
        <f>IF(A1916=A1917,_xll.ciqfunctions.udf.CIQ(A1908,"IQ_DILUT_EPS_EXCL",IQ_FY-5), _xll.ciqfunctions.udf.CIQ(A1908, "IQ_DILUT_EPS_EXCL",IQ_FY-4))</f>
        <v>0.03</v>
      </c>
      <c r="G1913" s="15">
        <f>IF(A1916=A1917,_xll.ciqfunctions.udf.CIQ(A1908,"IQ_EBITDA_MARGIN",IQ_FY-5), _xll.ciqfunctions.udf.CIQ(A1908, "IQ_EBITDA_MARGIN",IQ_FY-4))</f>
        <v>16.7743</v>
      </c>
      <c r="H1913" s="15">
        <f>IF(A1916=A1917,_xll.ciqfunctions.udf.CIQ(A1908,"IQ_TOTAL_DIV_PAID_CF",IQ_FY-5)/-I1913, _xll.ciqfunctions.udf.CIQ(A1908, "IQ_TOTAL_DIV_PAID_CF",IQ_FY-4)/-I1913)</f>
        <v>0</v>
      </c>
      <c r="I1913" s="17">
        <f>IF(A1916=A1917,_xll.ciqfunctions.udf.CIQ(A1908,"IQ_TOTAL_OUTSTANDING_FILING_DATE",IQ_FY-5), _xll.ciqfunctions.udf.CIQ(A1908, "IQ_TOTAL_OUTSTANDING_FILING_DATE",IQ_FY-4))</f>
        <v>228.85458</v>
      </c>
      <c r="J1913" s="17">
        <f>IF(A1916=A1917,_xll.ciqfunctions.udf.CIQ(A1908,"IQ_CASH_OPER",IQ_FY-5), _xll.ciqfunctions.udf.CIQ(A1908, "IQ_CASH_OPER",IQ_FY-4))</f>
        <v>138.80000000000001</v>
      </c>
      <c r="K1913" s="17">
        <f>IF(A1916=A1917,_xll.ciqfunctions.udf.CIQ(A1908,"IQ_CAPEX",IQ_FY-5), _xll.ciqfunctions.udf.CIQ(A1908, "IQ_CAPEX",IQ_FY-4))</f>
        <v>-45</v>
      </c>
      <c r="L1913" s="15">
        <f t="shared" si="508"/>
        <v>0.40986726155972064</v>
      </c>
      <c r="M1913" s="17">
        <f>IF(A1916=A1917,_xll.ciqfunctions.udf.CIQ(A1908,"IQ_TOTAL_DEBT_ISSUED",IQ_FY-5), _xll.ciqfunctions.udf.CIQ(A1908, "IQ_TOTAL_DEBT_ISSUED",IQ_FY-4))</f>
        <v>0</v>
      </c>
      <c r="N1913" s="17">
        <f>IF(A1916=A1917,_xll.ciqfunctions.udf.CIQ(A1908,"IQ_TOTAL_DEBT_REPAID",IQ_FY-5), _xll.ciqfunctions.udf.CIQ(A1908, "IQ_TOTAL_DEBT_REPAID",IQ_FY-4))</f>
        <v>-278.60000000000002</v>
      </c>
      <c r="O1913" s="15">
        <f t="shared" si="509"/>
        <v>-1.2173669410505135</v>
      </c>
      <c r="P1913" s="15">
        <f t="shared" si="510"/>
        <v>-0.80749967949079282</v>
      </c>
      <c r="Q1913" s="25" t="s">
        <v>27</v>
      </c>
      <c r="R1913" s="38" t="s">
        <v>51</v>
      </c>
      <c r="S1913" s="4">
        <f>AVERAGE(F1913:F1918)/AVERAGE(D1913:D1918)</f>
        <v>2.3375348657841053E-2</v>
      </c>
      <c r="U1913" s="25" t="s">
        <v>58</v>
      </c>
      <c r="V1913" s="38" t="s">
        <v>51</v>
      </c>
      <c r="W1913" s="4">
        <f>AVERAGE(F1913:F1918)/AVERAGE(D1913:D1918)</f>
        <v>2.3375348657841053E-2</v>
      </c>
      <c r="Y1913" s="25" t="s">
        <v>56</v>
      </c>
      <c r="Z1913" s="38" t="s">
        <v>51</v>
      </c>
      <c r="AA1913" s="4">
        <f>AVERAGE(F1913:F1918)/AVERAGE(D1913:D1918)</f>
        <v>2.3375348657841053E-2</v>
      </c>
    </row>
    <row r="1914" spans="1:27">
      <c r="A1914" s="18"/>
      <c r="B1914" s="13">
        <v>7</v>
      </c>
      <c r="C1914" s="14" t="s">
        <v>28</v>
      </c>
      <c r="D1914" s="15" cm="1">
        <f t="array" ref="D1914">_xlfn.SINGLE(IF(A1916=A1917,_xll.ciqfunctions.udf.CIQ(A1908,"IQ_TOTAL_REV",IQ_FY-4)/I1914, _xll.ciqfunctions.udf.CIQ(A1908, "IQ_TOTAL_REV",IQ_FY-3)/I1914))</f>
        <v>4.976825111439843</v>
      </c>
      <c r="E1914" s="16">
        <f t="shared" si="511"/>
        <v>7.6698404069879145E-3</v>
      </c>
      <c r="F1914" s="15">
        <f>IF(A1916=A1917,_xll.ciqfunctions.udf.CIQ(A1908,"IQ_DILUT_EPS_EXCL",IQ_FY-4), _xll.ciqfunctions.udf.CIQ(A1908, "IQ_DILUT_EPS_EXCL",IQ_FY-3))</f>
        <v>0.21</v>
      </c>
      <c r="G1914" s="15">
        <f>IF(A1916=A1917,_xll.ciqfunctions.udf.CIQ(A1908,"IQ_EBITDA_MARGIN",IQ_FY-4), _xll.ciqfunctions.udf.CIQ(A1908, "IQ_EBITDA_MARGIN",IQ_FY-3))</f>
        <v>17.583300000000001</v>
      </c>
      <c r="H1914" s="15">
        <f>IF(A1916=A1917,_xll.ciqfunctions.udf.CIQ(A1908,"IQ_TOTAL_DIV_PAID_CF",IQ_FY-4)/-I1914, _xll.ciqfunctions.udf.CIQ(A1908, "IQ_TOTAL_DIV_PAID_CF",IQ_FY-3)/-I1914)</f>
        <v>0</v>
      </c>
      <c r="I1914" s="17">
        <f>IF(A1916=A1917,_xll.ciqfunctions.udf.CIQ(A1908,"IQ_TOTAL_OUTSTANDING_FILING_DATE",IQ_FY-4), _xll.ciqfunctions.udf.CIQ(A1908, "IQ_TOTAL_OUTSTANDING_FILING_DATE",IQ_FY-3))</f>
        <v>228.31825000000001</v>
      </c>
      <c r="J1914" s="17">
        <f>IF(A1916=A1917,_xll.ciqfunctions.udf.CIQ(A1908,"IQ_CASH_OPER",IQ_FY-4), _xll.ciqfunctions.udf.CIQ(A1908, "IQ_CASH_OPER",IQ_FY-3))</f>
        <v>135.6</v>
      </c>
      <c r="K1914" s="17">
        <f>IF(A1916=A1917,_xll.ciqfunctions.udf.CIQ(A1908,"IQ_CAPEX",IQ_FY-4), _xll.ciqfunctions.udf.CIQ(A1908, "IQ_CAPEX",IQ_FY-3))</f>
        <v>-31.9</v>
      </c>
      <c r="L1914" s="15">
        <f t="shared" si="508"/>
        <v>0.45419058704242865</v>
      </c>
      <c r="M1914" s="17">
        <f>IF(A1916=A1917,_xll.ciqfunctions.udf.CIQ(A1908,"IQ_TOTAL_DEBT_ISSUED",IQ_FY-4), _xll.ciqfunctions.udf.CIQ(A1908, "IQ_TOTAL_DEBT_ISSUED",IQ_FY-3))</f>
        <v>0</v>
      </c>
      <c r="N1914" s="17">
        <f>IF(A1916=A1917,_xll.ciqfunctions.udf.CIQ(A1908,"IQ_TOTAL_DEBT_REPAID",IQ_FY-4), _xll.ciqfunctions.udf.CIQ(A1908, "IQ_TOTAL_DEBT_REPAID",IQ_FY-3))</f>
        <v>-2.7</v>
      </c>
      <c r="O1914" s="15">
        <f t="shared" si="509"/>
        <v>-1.1825598698308173E-2</v>
      </c>
      <c r="P1914" s="15">
        <f t="shared" si="510"/>
        <v>0.44236498834412047</v>
      </c>
      <c r="Q1914" s="18"/>
      <c r="R1914" s="38" t="s">
        <v>29</v>
      </c>
      <c r="S1914" s="4">
        <f>(AVERAGE(P1913:P1918)/_xlfn.STDEV.P(P1913:P1918))/(IF(A1916=A1917,(_xlfn.SINGLE(_xll.ciqfunctions.udf.CIQ(A1908,"IQ_total_assets",IQ_FY)) - _xlfn.SINGLE(_xll.ciqfunctions.udf.CIQ(A1908,"iq_gw_intan", IQ_FY)))/I1918, (_xlfn.SINGLE(_xll.ciqfunctions.udf.CIQ(A1908, "IQ_total_assets",IQ_LTM))-_xlfn.SINGLE(_xll.ciqfunctions.udf.CIQ(A1908,"iq_gw_intan",IQ_LTM)))/I1918))</f>
        <v>0.120151555931997</v>
      </c>
      <c r="U1914" s="18"/>
      <c r="V1914" s="38" t="s">
        <v>29</v>
      </c>
      <c r="W1914" s="4">
        <f>(AVERAGE(P1913:P1918)/_xlfn.STDEV.P(P1913:P1918))/(IF(A1916=A1917,(_xlfn.SINGLE(_xll.ciqfunctions.udf.CIQ(A1908,"IQ_total_assets",IQ_FY)) - _xlfn.SINGLE(_xll.ciqfunctions.udf.CIQ(A1908,"iq_gw_intan", IQ_FY)))/I1918, (_xlfn.SINGLE(_xll.ciqfunctions.udf.CIQ(A1908, "IQ_total_assets",IQ_LTM))-_xlfn.SINGLE(_xll.ciqfunctions.udf.CIQ(A1908,"iq_gw_intan",IQ_LTM)))/I1918))</f>
        <v>0.120151555931997</v>
      </c>
      <c r="Y1914" s="18"/>
      <c r="Z1914" s="38" t="s">
        <v>29</v>
      </c>
      <c r="AA1914" s="4">
        <f>(AVERAGE(P1913:P1918)/_xlfn.STDEV.P(P1913:P1918))/(IF(A1916=A1917,(_xlfn.SINGLE(_xll.ciqfunctions.udf.CIQ(A1908,"IQ_total_assets",IQ_FY)) - _xlfn.SINGLE(_xll.ciqfunctions.udf.CIQ(A1908,"iq_gw_intan", IQ_FY)))/I1918, (_xlfn.SINGLE(_xll.ciqfunctions.udf.CIQ(A1908, "IQ_total_assets",IQ_LTM))-_xlfn.SINGLE(_xll.ciqfunctions.udf.CIQ(A1908,"iq_gw_intan",IQ_LTM)))/I1918))</f>
        <v>0.120151555931997</v>
      </c>
    </row>
    <row r="1915" spans="1:27">
      <c r="A1915" s="18"/>
      <c r="B1915" s="13">
        <v>8</v>
      </c>
      <c r="C1915" s="14" t="s">
        <v>30</v>
      </c>
      <c r="D1915" s="15" cm="1">
        <f t="array" ref="D1915">_xlfn.SINGLE(IF(A1916=A1917,_xll.ciqfunctions.udf.CIQ(A1908,"IQ_TOTAL_REV",IQ_FY-3)/I1915, _xll.ciqfunctions.udf.CIQ(A1908, "IQ_TOTAL_REV",IQ_FY-2)/I1915))</f>
        <v>5.2474538425179968</v>
      </c>
      <c r="E1915" s="16">
        <f t="shared" si="511"/>
        <v>5.4377786041964894E-2</v>
      </c>
      <c r="F1915" s="15">
        <f>IF(A1916=A1917,_xll.ciqfunctions.udf.CIQ(A1908,"IQ_DILUT_EPS_EXCL",IQ_FY-3), _xll.ciqfunctions.udf.CIQ(A1908, "IQ_DILUT_EPS_EXCL",IQ_FY-2))</f>
        <v>0.28999999999999998</v>
      </c>
      <c r="G1915" s="15">
        <f>IF(A1916=A1917,_xll.ciqfunctions.udf.CIQ(A1908,"IQ_EBITDA_MARGIN",IQ_FY-3), _xll.ciqfunctions.udf.CIQ(A1908, "IQ_EBITDA_MARGIN",IQ_FY-2))</f>
        <v>19.801400000000001</v>
      </c>
      <c r="H1915" s="15">
        <f>IF(A1916=A1917,_xll.ciqfunctions.udf.CIQ(A1908,"IQ_TOTAL_DIV_PAID_CF",IQ_FY-3)/-I1915, _xll.ciqfunctions.udf.CIQ(A1908, "IQ_TOTAL_DIV_PAID_CF",IQ_FY-2)/-I1915)</f>
        <v>0</v>
      </c>
      <c r="I1915" s="17">
        <f>IF(A1916=A1917,_xll.ciqfunctions.udf.CIQ(A1908,"IQ_TOTAL_OUTSTANDING_FILING_DATE",IQ_FY-3), _xll.ciqfunctions.udf.CIQ(A1908, "IQ_TOTAL_OUTSTANDING_FILING_DATE",IQ_FY-2))</f>
        <v>228.47271000000001</v>
      </c>
      <c r="J1915" s="17">
        <f>IF(A1916=A1917,_xll.ciqfunctions.udf.CIQ(A1908,"IQ_CASH_OPER",IQ_FY-3), _xll.ciqfunctions.udf.CIQ(A1908, "IQ_CASH_OPER",IQ_FY-2))</f>
        <v>243.3</v>
      </c>
      <c r="K1915" s="17">
        <f>IF(A1916=A1917,_xll.ciqfunctions.udf.CIQ(A1908,"IQ_CAPEX",IQ_FY-3), _xll.ciqfunctions.udf.CIQ(A1908, "IQ_CAPEX",IQ_FY-2))</f>
        <v>-52.1</v>
      </c>
      <c r="L1915" s="15">
        <f t="shared" si="508"/>
        <v>0.8368614352234891</v>
      </c>
      <c r="M1915" s="17">
        <f>IF(A1916=A1917,_xll.ciqfunctions.udf.CIQ(A1908,"IQ_TOTAL_DEBT_ISSUED",IQ_FY-3), _xll.ciqfunctions.udf.CIQ(A1908, "IQ_TOTAL_DEBT_ISSUED",IQ_FY-2))</f>
        <v>0</v>
      </c>
      <c r="N1915" s="17">
        <f>IF(A1916=A1917,_xll.ciqfunctions.udf.CIQ(A1908,"IQ_TOTAL_DEBT_REPAID",IQ_FY-3), _xll.ciqfunctions.udf.CIQ(A1908, "IQ_TOTAL_DEBT_REPAID",IQ_FY-2))</f>
        <v>-1.2</v>
      </c>
      <c r="O1915" s="15">
        <f t="shared" si="509"/>
        <v>-5.252268421904743E-3</v>
      </c>
      <c r="P1915" s="15">
        <f t="shared" si="510"/>
        <v>0.83160916680158437</v>
      </c>
      <c r="Q1915" s="18"/>
      <c r="R1915" s="39" t="s">
        <v>31</v>
      </c>
      <c r="S1915" s="5">
        <f>IF(NOT(D1908&gt;0),FALSE,SLOPE(G1908:G1918,B1908:B1918))</f>
        <v>1.0594836363636364</v>
      </c>
      <c r="U1915" s="18"/>
      <c r="V1915" s="39" t="s">
        <v>31</v>
      </c>
      <c r="W1915" s="5">
        <f>IF(NOT(D1908&gt;0),FALSE,SLOPE(G1908:G1918,B1908:B1918))</f>
        <v>1.0594836363636364</v>
      </c>
      <c r="Y1915" s="18"/>
      <c r="Z1915" s="39" t="s">
        <v>31</v>
      </c>
      <c r="AA1915" s="5">
        <f>IF(NOT(L1908&gt;0),FALSE,SLOPE(O1908:O1918,J1908:J1918))</f>
        <v>3.4861704261235434E-3</v>
      </c>
    </row>
    <row r="1916" spans="1:27">
      <c r="A1916" s="19">
        <f>_xll.ciqfunctions.udf.CIQ(A1908,"IQ_TOTAL_REV",IQ_FY)</f>
        <v>1106.0999999999999</v>
      </c>
      <c r="B1916" s="13">
        <v>9</v>
      </c>
      <c r="C1916" s="14" t="s">
        <v>32</v>
      </c>
      <c r="D1916" s="15" cm="1">
        <f t="array" ref="D1916">_xlfn.SINGLE(IF(A1916=A1917,_xll.ciqfunctions.udf.CIQ(A1908,"IQ_TOTAL_REV",IQ_FY-2)/I1916, _xll.ciqfunctions.udf.CIQ(A1908, "IQ_TOTAL_REV",IQ_FY-1)/I1916))</f>
        <v>5.7120745804946624</v>
      </c>
      <c r="E1916" s="16">
        <f t="shared" si="511"/>
        <v>8.8542129558535909E-2</v>
      </c>
      <c r="F1916" s="15">
        <f>IF(A1916=A1917,_xll.ciqfunctions.udf.CIQ(A1908,"IQ_DILUT_EPS_EXCL",IQ_FY-2), _xll.ciqfunctions.udf.CIQ(A1908, "IQ_DILUT_EPS_EXCL",IQ_FY-1))</f>
        <v>6.7129999999999995E-2</v>
      </c>
      <c r="G1916" s="15">
        <f>IF(A1916=A1917,_xll.ciqfunctions.udf.CIQ(A1908,"IQ_EBITDA_MARGIN",IQ_FY-2), _xll.ciqfunctions.udf.CIQ(A1908, "IQ_EBITDA_MARGIN",IQ_FY-1))</f>
        <v>20.140799999999999</v>
      </c>
      <c r="H1916" s="15">
        <f>IF(A1916=A1917,_xll.ciqfunctions.udf.CIQ(A1908,"IQ_TOTAL_DIV_PAID_CF",IQ_FY-2)/-I1916, _xll.ciqfunctions.udf.CIQ(A1908, "IQ_TOTAL_DIV_PAID_CF",IQ_FY-1)/-I1916)</f>
        <v>0</v>
      </c>
      <c r="I1916" s="17">
        <f>IF(A1916=A1917,_xll.ciqfunctions.udf.CIQ(A1908,"IQ_TOTAL_OUTSTANDING_FILING_DATE",IQ_FY-2), _xll.ciqfunctions.udf.CIQ(A1908, "IQ_TOTAL_OUTSTANDING_FILING_DATE",IQ_FY-1))</f>
        <v>226.25755000000001</v>
      </c>
      <c r="J1916" s="17">
        <f>IF(A1916=A1917,_xll.ciqfunctions.udf.CIQ(A1908,"IQ_CASH_OPER",IQ_FY-2), _xll.ciqfunctions.udf.CIQ(A1908, "IQ_CASH_OPER",IQ_FY-1))</f>
        <v>178.1</v>
      </c>
      <c r="K1916" s="17">
        <f>IF(A1916=A1917,_xll.ciqfunctions.udf.CIQ(A1908,"IQ_CAPEX",IQ_FY-2), _xll.ciqfunctions.udf.CIQ(A1908, "IQ_CAPEX",IQ_FY-1))</f>
        <v>-72.5</v>
      </c>
      <c r="L1916" s="15">
        <f t="shared" si="508"/>
        <v>0.46672475680922026</v>
      </c>
      <c r="M1916" s="17">
        <f>IF(A1916=A1917,_xll.ciqfunctions.udf.CIQ(A1908,"IQ_TOTAL_DEBT_ISSUED",IQ_FY-2), _xll.ciqfunctions.udf.CIQ(A1908, "IQ_TOTAL_DEBT_ISSUED",IQ_FY-1))</f>
        <v>550</v>
      </c>
      <c r="N1916" s="17">
        <f>IF(A1916=A1917,_xll.ciqfunctions.udf.CIQ(A1908,"IQ_TOTAL_DEBT_REPAID",IQ_FY-2), _xll.ciqfunctions.udf.CIQ(A1908, "IQ_TOTAL_DEBT_REPAID",IQ_FY-1))</f>
        <v>-501.7</v>
      </c>
      <c r="O1916" s="15">
        <f t="shared" si="509"/>
        <v>0.21347353933603547</v>
      </c>
      <c r="P1916" s="15">
        <f t="shared" si="510"/>
        <v>0.68019829614525573</v>
      </c>
      <c r="Q1916" s="25" t="s">
        <v>33</v>
      </c>
      <c r="R1916" s="38" t="s">
        <v>52</v>
      </c>
      <c r="S1916" s="4">
        <f>(AVERAGE(O1913:O1918)/AVERAGE(P1913:P1918))</f>
        <v>-0.24812507544386314</v>
      </c>
      <c r="U1916" s="25" t="s">
        <v>54</v>
      </c>
      <c r="V1916" s="38" t="s">
        <v>52</v>
      </c>
      <c r="W1916" s="4">
        <f>(AVERAGE(O1913:O1918)/AVERAGE(P1913:P1918))</f>
        <v>-0.24812507544386314</v>
      </c>
      <c r="Y1916" s="25" t="s">
        <v>60</v>
      </c>
      <c r="Z1916" s="38" t="s">
        <v>52</v>
      </c>
      <c r="AA1916" s="4">
        <f>(AVERAGE(O1913:O1918)/AVERAGE(P1913:P1918))</f>
        <v>-0.24812507544386314</v>
      </c>
    </row>
    <row r="1917" spans="1:27">
      <c r="A1917" s="19">
        <f>_xll.ciqfunctions.udf.CIQ(A1908,"IQ_TOTAL_REV",IQ_LTM)</f>
        <v>1043.8</v>
      </c>
      <c r="B1917" s="13">
        <v>10</v>
      </c>
      <c r="C1917" s="14" t="s">
        <v>34</v>
      </c>
      <c r="D1917" s="15" cm="1">
        <f t="array" ref="D1917">_xlfn.SINGLE(IF(A1916=A1917,_xll.ciqfunctions.udf.CIQ(A1908,"IQ_TOTAL_REV",IQ_FY-1)/I1917, _xll.ciqfunctions.udf.CIQ(A1908, "IQ_TOTAL_REV",IQ_FY)/I1917))</f>
        <v>4.9937811374850112</v>
      </c>
      <c r="E1917" s="16">
        <f t="shared" si="511"/>
        <v>-0.12575001129404853</v>
      </c>
      <c r="F1917" s="15">
        <f>IF(A1916=A1917,_xll.ciqfunctions.udf.CIQ(A1908,"IQ_DILUT_EPS_EXCL",IQ_FY-1), _xll.ciqfunctions.udf.CIQ(A1908, "IQ_DILUT_EPS_EXCL",IQ_FY))</f>
        <v>0.11</v>
      </c>
      <c r="G1917" s="15">
        <f>IF(A1916=A1917,_xll.ciqfunctions.udf.CIQ(A1908,"IQ_EBITDA_MARGIN",IQ_FY-1), _xll.ciqfunctions.udf.CIQ(A1908, "IQ_EBITDA_MARGIN",IQ_FY))</f>
        <v>13.931800000000001</v>
      </c>
      <c r="H1917" s="15">
        <f>IF(A1916=A1917,_xll.ciqfunctions.udf.CIQ(A1908,"IQ_TOTAL_DIV_PAID_CF",IQ_FY-1)/-I1917, _xll.ciqfunctions.udf.CIQ(A1908, "IQ_TOTAL_DIV_PAID_CF",IQ_FY)/-I1917)</f>
        <v>0</v>
      </c>
      <c r="I1917" s="17">
        <f>IF(A1916=A1917,_xll.ciqfunctions.udf.CIQ(A1908,"IQ_TOTAL_OUTSTANDING_FILING_DATE",IQ_FY-1), _xll.ciqfunctions.udf.CIQ(A1908, "IQ_TOTAL_OUTSTANDING_FILING_DATE",IQ_FY))</f>
        <v>221.49548999999999</v>
      </c>
      <c r="J1917" s="17">
        <f>IF(A1916=A1917,_xll.ciqfunctions.udf.CIQ(A1908,"IQ_CASH_OPER",IQ_FY-1), _xll.ciqfunctions.udf.CIQ(A1908, "IQ_CASH_OPER",IQ_FY))</f>
        <v>114.1</v>
      </c>
      <c r="K1917" s="17">
        <f>IF(A1916=A1917,_xll.ciqfunctions.udf.CIQ(A1908,"IQ_CAPEX",IQ_FY-1), _xll.ciqfunctions.udf.CIQ(A1908, "IQ_CAPEX",IQ_FY))</f>
        <v>-51.1</v>
      </c>
      <c r="L1917" s="15">
        <f t="shared" si="508"/>
        <v>0.2844301705646467</v>
      </c>
      <c r="M1917" s="17">
        <f>IF(A1916=A1917,_xll.ciqfunctions.udf.CIQ(A1908,"IQ_TOTAL_DEBT_ISSUED",IQ_FY-1), _xll.ciqfunctions.udf.CIQ(A1908, "IQ_TOTAL_DEBT_ISSUED",IQ_FY))</f>
        <v>118</v>
      </c>
      <c r="N1917" s="17">
        <f>IF(A1916=A1917,_xll.ciqfunctions.udf.CIQ(A1908,"IQ_TOTAL_DEBT_REPAID",IQ_FY-1), _xll.ciqfunctions.udf.CIQ(A1908, "IQ_TOTAL_DEBT_REPAID",IQ_FY))</f>
        <v>-68.2</v>
      </c>
      <c r="O1917" s="15">
        <f t="shared" si="509"/>
        <v>0.22483527768443501</v>
      </c>
      <c r="P1917" s="15">
        <f t="shared" si="510"/>
        <v>0.50926544824908171</v>
      </c>
      <c r="Q1917" s="25" t="s">
        <v>44</v>
      </c>
      <c r="R1917" s="38" t="s">
        <v>35</v>
      </c>
      <c r="S1917" s="1">
        <f>_xll.ciqfunctions.udf.CIQ(A1908,"IQ_TEV_EBITDA")</f>
        <v>15.007389999999999</v>
      </c>
      <c r="U1917" s="25" t="s">
        <v>55</v>
      </c>
      <c r="V1917" s="38" t="s">
        <v>53</v>
      </c>
      <c r="W1917" s="1">
        <f>V1907/(AVERAGE(D1913:D1918)/_xlfn.STDEV.P(E1913:E1918))</f>
        <v>0.20341568543313401</v>
      </c>
      <c r="Y1917" s="25" t="s">
        <v>57</v>
      </c>
      <c r="Z1917" s="38" t="s">
        <v>53</v>
      </c>
      <c r="AA1917" s="1">
        <f>Z1907/(AVERAGE(D1913:D1918)/_xlfn.STDEV.P(E1913:E1918))</f>
        <v>0.20341568543313401</v>
      </c>
    </row>
    <row r="1918" spans="1:27">
      <c r="B1918" s="13">
        <v>11</v>
      </c>
      <c r="C1918" s="20" t="s">
        <v>36</v>
      </c>
      <c r="D1918" s="21" cm="1">
        <f t="array" ref="D1918">_xlfn.SINGLE(IF(A1916=A1917,_xll.ciqfunctions.udf.CIQ(A1908,"IQ_TOTAL_REV",IQ_FY)/I1918, _xll.ciqfunctions.udf.CIQ(A1908, "IQ_TOTAL_REV",IQ_LTM)/I1918))</f>
        <v>4.6934599167596582</v>
      </c>
      <c r="E1918" s="22">
        <f t="shared" si="511"/>
        <v>-6.0139043433649952E-2</v>
      </c>
      <c r="F1918" s="21">
        <f>IF(A1916=A1917,_xll.ciqfunctions.udf.CIQ(A1908,"IQ_DILUT_EPS_EXCL",IQ_FY), _xll.ciqfunctions.udf.CIQ(A1908, "IQ_DILUT_EPS_EXCL",IQ_LTM))</f>
        <v>7.28E-3</v>
      </c>
      <c r="G1918" s="21">
        <f>IF(A1916=A1917,_xll.ciqfunctions.udf.CIQ(A1908,"IQ_EBITDA_MARGIN",IQ_FY), _xll.ciqfunctions.udf.CIQ(A1908, "IQ_EBITDA_MARGIN",IQ_LTM))</f>
        <v>11.716799999999999</v>
      </c>
      <c r="H1918" s="21">
        <f>IF(A1916=A1917,_xll.ciqfunctions.udf.CIQ(A1908,"IQ_TOTAL_DIV_PAID_CF",IQ_FY)/-I1918, _xll.ciqfunctions.udf.CIQ(A1908, "IQ_TOTAL_DIV_PAID_CF",IQ_LTM)/-I1918)</f>
        <v>0</v>
      </c>
      <c r="I1918" s="23">
        <f>IF(A1916=A1917,_xll.ciqfunctions.udf.CIQ(A1908,"IQ_TOTAL_OUTSTANDING_FILING_DATE",IQ_FY),_xll.ciqfunctions.udf.CIQ(A1908,"IQ_sharesoutstanding"))</f>
        <v>222.39456999999999</v>
      </c>
      <c r="J1918" s="23">
        <f>IF(A1916=A1917,_xll.ciqfunctions.udf.CIQ(A1908,"IQ_CASH_OPER",IQ_FY), _xll.ciqfunctions.udf.CIQ(A1908, "IQ_CASH_OPER",IQ_LTM))</f>
        <v>137.80000000000001</v>
      </c>
      <c r="K1918" s="23">
        <f>IF(A1916=A1917,_xll.ciqfunctions.udf.CIQ(A1908,"IQ_CAPEX",IQ_FY), _xll.ciqfunctions.udf.CIQ(A1908, "IQ_CAPEX",IQ_LTM))</f>
        <v>-43</v>
      </c>
      <c r="L1918" s="21">
        <f t="shared" si="508"/>
        <v>0.42626940037250016</v>
      </c>
      <c r="M1918" s="23">
        <f>IF(A1916=A1917,_xll.ciqfunctions.udf.CIQ(A1908,"IQ_TOTAL_DEBT_ISSUED",IQ_FY), _xll.ciqfunctions.udf.CIQ(A1908, "IQ_TOTAL_DEBT_ISSUED",IQ_LTM))</f>
        <v>118</v>
      </c>
      <c r="N1918" s="23">
        <f>IF(A1916=A1917,_xll.ciqfunctions.udf.CIQ(A1908,"IQ_TOTAL_DEBT_REPAID",IQ_FY), _xll.ciqfunctions.udf.CIQ(A1908, "IQ_TOTAL_DEBT_REPAID",IQ_LTM))</f>
        <v>-68.2</v>
      </c>
      <c r="O1918" s="21">
        <f t="shared" si="509"/>
        <v>0.22392633057542727</v>
      </c>
      <c r="P1918" s="21">
        <f t="shared" si="510"/>
        <v>0.65019573094792737</v>
      </c>
      <c r="Q1918" s="25" t="s">
        <v>45</v>
      </c>
      <c r="S1918" s="45"/>
      <c r="U1918" s="25"/>
      <c r="W1918" s="45"/>
      <c r="Y1918" s="25"/>
      <c r="AA1918" s="45"/>
    </row>
    <row r="1919" spans="1:27">
      <c r="B1919" s="24"/>
      <c r="C1919" s="25" t="s">
        <v>37</v>
      </c>
      <c r="E1919" s="26">
        <f>((D1918/D1913)^(1/5))-1</f>
        <v>-1.01445039746062E-2</v>
      </c>
      <c r="F1919" s="27">
        <f>((F1918/F1913)^(1/5))-1</f>
        <v>-0.24664092370195179</v>
      </c>
      <c r="G1919" s="28"/>
      <c r="H1919" s="27" t="e">
        <f>((H1918/H1913)^(1/5))-1</f>
        <v>#DIV/0!</v>
      </c>
      <c r="I1919" s="27">
        <f>((I1918/I1913)^(1/5))-1</f>
        <v>-5.7103602372552409E-3</v>
      </c>
      <c r="J1919" s="27"/>
      <c r="K1919" s="27"/>
      <c r="L1919" s="26">
        <f>((L1918/L1913)^(1/5))-1</f>
        <v>7.8785107433967383E-3</v>
      </c>
      <c r="M1919" s="26"/>
      <c r="N1919" s="26"/>
      <c r="O1919" s="26"/>
      <c r="P1919" s="26">
        <f>((P1918/P1913)^(1/5))-1</f>
        <v>-1.957591651221215</v>
      </c>
      <c r="Q1919" s="18"/>
      <c r="R1919" s="36"/>
      <c r="S1919" s="45"/>
      <c r="U1919" s="18"/>
      <c r="V1919" s="36"/>
      <c r="W1919" s="45"/>
      <c r="Y1919" s="18"/>
      <c r="Z1919" s="36"/>
      <c r="AA1919" s="45"/>
    </row>
    <row r="1920" spans="1:27">
      <c r="A1920" s="29"/>
      <c r="B1920" s="30"/>
      <c r="C1920" s="31" t="s">
        <v>38</v>
      </c>
      <c r="D1920" s="29"/>
      <c r="E1920" s="32">
        <f>((D1918/D1908)^(1/10))-1</f>
        <v>1.5369977738284524E-2</v>
      </c>
      <c r="F1920" s="33" t="e">
        <f>((F1918/F1908)^(1/10))-1</f>
        <v>#NUM!</v>
      </c>
      <c r="G1920" s="34"/>
      <c r="H1920" s="33" t="e">
        <f>((H1918/H1908)^(1/10))-1</f>
        <v>#DIV/0!</v>
      </c>
      <c r="I1920" s="33">
        <f>((I1918/I1908)^(1/10))-1</f>
        <v>-3.3696167861229087E-3</v>
      </c>
      <c r="J1920" s="33"/>
      <c r="K1920" s="33"/>
      <c r="L1920" s="32">
        <f>((L1918/L1908)^(1/10))-1</f>
        <v>2.4732685190181902E-2</v>
      </c>
      <c r="M1920" s="32"/>
      <c r="N1920" s="32"/>
      <c r="O1920" s="32"/>
      <c r="P1920" s="32">
        <f>((P1918/P1908)^(1/10))-1</f>
        <v>-0.14454311779401219</v>
      </c>
      <c r="Q1920" s="40"/>
      <c r="R1920" s="41"/>
      <c r="S1920" s="46"/>
      <c r="U1920" s="40"/>
      <c r="V1920" s="41"/>
      <c r="W1920" s="46"/>
      <c r="Y1920" s="40"/>
      <c r="Z1920" s="41"/>
      <c r="AA1920" s="46"/>
    </row>
    <row r="1921" spans="1:27">
      <c r="B1921" s="24"/>
      <c r="C1921" s="25"/>
      <c r="E1921" s="26"/>
      <c r="F1921" s="27"/>
      <c r="G1921" s="28"/>
      <c r="H1921" s="27"/>
      <c r="I1921" s="27"/>
      <c r="J1921" s="27"/>
      <c r="K1921" s="27"/>
      <c r="L1921" s="26"/>
      <c r="M1921" s="17"/>
      <c r="N1921" s="17"/>
      <c r="O1921" s="17"/>
      <c r="P1921" s="35"/>
      <c r="Q1921" s="18"/>
      <c r="R1921" s="36"/>
    </row>
    <row r="1922" spans="1:27">
      <c r="A1922" s="9" t="s">
        <v>0</v>
      </c>
      <c r="B1922" s="10"/>
      <c r="C1922" s="9" t="s">
        <v>1</v>
      </c>
      <c r="D1922" s="9" t="s">
        <v>2</v>
      </c>
      <c r="E1922" s="9" t="s">
        <v>3</v>
      </c>
      <c r="F1922" s="11" t="s">
        <v>4</v>
      </c>
      <c r="G1922" s="11" t="s">
        <v>5</v>
      </c>
      <c r="H1922" s="9" t="s">
        <v>6</v>
      </c>
      <c r="I1922" s="11" t="s">
        <v>7</v>
      </c>
      <c r="J1922" s="11" t="s">
        <v>8</v>
      </c>
      <c r="K1922" s="11" t="s">
        <v>9</v>
      </c>
      <c r="L1922" s="11" t="s">
        <v>10</v>
      </c>
      <c r="M1922" s="11" t="s">
        <v>11</v>
      </c>
      <c r="N1922" s="11" t="s">
        <v>12</v>
      </c>
      <c r="O1922" s="11" t="s">
        <v>13</v>
      </c>
      <c r="P1922" s="11" t="s">
        <v>14</v>
      </c>
      <c r="Q1922" s="37" t="s">
        <v>15</v>
      </c>
      <c r="R1922" s="42">
        <f>_xll.ciqfunctions.udf.CIQ(A1923,("IQ_LASTSALEPRICE"))</f>
        <v>4.0999999999999996</v>
      </c>
      <c r="S1922" s="44"/>
      <c r="U1922" s="37" t="s">
        <v>15</v>
      </c>
      <c r="V1922" s="42">
        <f>_xll.ciqfunctions.udf.CIQ(A1923,("IQ_LASTSALEPRICE"))</f>
        <v>4.0999999999999996</v>
      </c>
      <c r="W1922" s="44"/>
      <c r="Y1922" s="37" t="s">
        <v>15</v>
      </c>
      <c r="Z1922" s="42">
        <f>_xll.ciqfunctions.udf.CIQ(A1923,("IQ_LASTSALEPRICE"))</f>
        <v>4.0999999999999996</v>
      </c>
      <c r="AA1922" s="44"/>
    </row>
    <row r="1923" spans="1:27">
      <c r="A1923" s="12" t="str">
        <f>Analysis!B130</f>
        <v>NasdaqGS:INFN</v>
      </c>
      <c r="B1923" s="13">
        <v>1</v>
      </c>
      <c r="C1923" s="14" t="s">
        <v>16</v>
      </c>
      <c r="D1923" s="15">
        <f>IF(A1931=A1932,_xll.ciqfunctions.udf.CIQ(A1923,"IQ_TOTAL_REV",IQ_FY-10)/I1923,_xll.ciqfunctions.udf.CIQ(A1923, "IQ_TOTAL_REV",IQ_FY-9)/I1923)</f>
        <v>4.4440618471440114</v>
      </c>
      <c r="E1923" s="16"/>
      <c r="F1923" s="15">
        <f>IF(A1931=A1932,_xll.ciqfunctions.udf.CIQ(A1923,"IQ_DILUT_EPS_EXCL",IQ_FY-10), _xll.ciqfunctions.udf.CIQ(A1923, "IQ_DILUT_EPS_EXCL",IQ_FY-9))</f>
        <v>-0.27353</v>
      </c>
      <c r="G1923" s="15">
        <f>IF(A1931=A1932,_xll.ciqfunctions.udf.CIQ(A1923,"IQ_EBITDA_MARGIN",IQ_FY-10), _xll.ciqfunctions.udf.CIQ(A1923, "IQ_EBITDA_MARGIN",IQ_FY-9))</f>
        <v>-0.13300000000000001</v>
      </c>
      <c r="H1923" s="15">
        <f>IF(A1931=A1932,_xll.ciqfunctions.udf.CIQ(A1923,"IQ_TOTAL_DIV_PAID_CF",IQ_FY-10)/-I1923, _xll.ciqfunctions.udf.CIQ(A1923, "IQ_TOTAL_DIV_PAID_CF",IQ_FY-9)/-I1923)</f>
        <v>0</v>
      </c>
      <c r="I1923" s="17">
        <f>IF(A1931=A1932,_xll.ciqfunctions.udf.CIQ(A1923,"IQ_TOTAL_OUTSTANDING_FILING_DATE",IQ_FY-10), _xll.ciqfunctions.udf.CIQ(A1923, "IQ_TOTAL_OUTSTANDING_FILING_DATE",IQ_FY-9))</f>
        <v>122.43799</v>
      </c>
      <c r="J1923" s="17">
        <f>IF(A1931=A1932,_xll.ciqfunctions.udf.CIQ(A1923,"IQ_CASH_OPER",IQ_FY-10), _xll.ciqfunctions.udf.CIQ(A1923, "IQ_CASH_OPER",IQ_FY-9))</f>
        <v>35.18</v>
      </c>
      <c r="K1923" s="17">
        <f>IF(A1931=A1932,_xll.ciqfunctions.udf.CIQ(A1923,"IQ_CAPEX",IQ_FY-10), _xll.ciqfunctions.udf.CIQ(A1923, "IQ_CAPEX",IQ_FY-9))</f>
        <v>-21.065000000000001</v>
      </c>
      <c r="L1923" s="15">
        <f t="shared" ref="L1923:L1933" si="512">(J1923+K1923)/I1923</f>
        <v>0.1152828464433302</v>
      </c>
      <c r="M1923" s="17">
        <f>IF(A1931=A1932,_xll.ciqfunctions.udf.CIQ(A1923,"IQ_TOTAL_DEBT_ISSUED",IQ_FY-10), _xll.ciqfunctions.udf.CIQ(A1923, "IQ_TOTAL_DEBT_ISSUED",IQ_FY-9))</f>
        <v>144.46899999999999</v>
      </c>
      <c r="N1923" s="17">
        <f>IF(A1931=A1932,_xll.ciqfunctions.udf.CIQ(A1923,"IQ_TOTAL_DEBT_REPAID",IQ_FY-10), _xll.ciqfunctions.udf.CIQ(A1923, "IQ_TOTAL_DEBT_REPAID",IQ_FY-9))</f>
        <v>0</v>
      </c>
      <c r="O1923" s="15">
        <f t="shared" ref="O1923:O1933" si="513">(M1923+N1923)/I1923</f>
        <v>1.179936063961847</v>
      </c>
      <c r="P1923" s="15">
        <f t="shared" ref="P1923:P1933" si="514">L1923+O1923</f>
        <v>1.2952189104051772</v>
      </c>
      <c r="W1923" s="43"/>
      <c r="AA1923" s="43"/>
    </row>
    <row r="1924" spans="1:27">
      <c r="A1924" s="18" t="str">
        <f>_xll.ciqfunctions.udf.CIQ(A1923,"IQ_COMPANY_NAME")</f>
        <v>Infinera Corporation</v>
      </c>
      <c r="B1924" s="13">
        <v>2</v>
      </c>
      <c r="C1924" s="14" t="s">
        <v>17</v>
      </c>
      <c r="D1924" s="15">
        <f>IF(A1931=A1932,_xll.ciqfunctions.udf.CIQ(A1923,"IQ_TOTAL_REV",IQ_FY-9)/I1924, _xll.ciqfunctions.udf.CIQ(A1923, "IQ_TOTAL_REV",IQ_FY-8)/I1924)</f>
        <v>5.2191959326334603</v>
      </c>
      <c r="E1924" s="16">
        <f t="shared" ref="E1924:E1933" si="515">(D1924-D1923)/D1923</f>
        <v>0.17442018409073018</v>
      </c>
      <c r="F1924" s="15">
        <f>IF(A1931=A1932,_xll.ciqfunctions.udf.CIQ(A1923,"IQ_DILUT_EPS_EXCL",IQ_FY-9), _xll.ciqfunctions.udf.CIQ(A1923, "IQ_DILUT_EPS_EXCL",IQ_FY-8))</f>
        <v>0.11</v>
      </c>
      <c r="G1924" s="15">
        <f>IF(A1931=A1932,_xll.ciqfunctions.udf.CIQ(A1923,"IQ_EBITDA_MARGIN",IQ_FY-9), _xll.ciqfunctions.udf.CIQ(A1923, "IQ_EBITDA_MARGIN",IQ_FY-8))</f>
        <v>7.8072999999999997</v>
      </c>
      <c r="H1924" s="15">
        <f>IF(A1931=A1932,_xll.ciqfunctions.udf.CIQ(A1923,"IQ_TOTAL_DIV_PAID_CF",IQ_FY-9)/-I1924, _xll.ciqfunctions.udf.CIQ(A1923, "IQ_TOTAL_DIV_PAID_CF",IQ_FY-8)/-I1924)</f>
        <v>0</v>
      </c>
      <c r="I1924" s="17">
        <f>IF(A1931=A1932,_xll.ciqfunctions.udf.CIQ(A1923,"IQ_TOTAL_OUTSTANDING_FILING_DATE",IQ_FY-9), _xll.ciqfunctions.udf.CIQ(A1923, "IQ_TOTAL_OUTSTANDING_FILING_DATE",IQ_FY-8))</f>
        <v>128.0042</v>
      </c>
      <c r="J1924" s="17">
        <f>IF(A1931=A1932,_xll.ciqfunctions.udf.CIQ(A1923,"IQ_CASH_OPER",IQ_FY-9), _xll.ciqfunctions.udf.CIQ(A1923, "IQ_CASH_OPER",IQ_FY-8))</f>
        <v>35.963000000000001</v>
      </c>
      <c r="K1924" s="17">
        <f>IF(A1931=A1932,_xll.ciqfunctions.udf.CIQ(A1923,"IQ_CAPEX",IQ_FY-9), _xll.ciqfunctions.udf.CIQ(A1923, "IQ_CAPEX",IQ_FY-8))</f>
        <v>-23.122</v>
      </c>
      <c r="L1924" s="15">
        <f t="shared" si="512"/>
        <v>0.10031702084775344</v>
      </c>
      <c r="M1924" s="17">
        <f>IF(A1931=A1932,_xll.ciqfunctions.udf.CIQ(A1923,"IQ_TOTAL_DEBT_ISSUED",IQ_FY-9), _xll.ciqfunctions.udf.CIQ(A1923, "IQ_TOTAL_DEBT_ISSUED",IQ_FY-8))</f>
        <v>0</v>
      </c>
      <c r="N1924" s="17">
        <f>IF(A1931=A1932,_xll.ciqfunctions.udf.CIQ(A1923,"IQ_TOTAL_DEBT_REPAID",IQ_FY-9), _xll.ciqfunctions.udf.CIQ(A1923, "IQ_TOTAL_DEBT_REPAID",IQ_FY-8))</f>
        <v>0</v>
      </c>
      <c r="O1924" s="15">
        <f t="shared" si="513"/>
        <v>0</v>
      </c>
      <c r="P1924" s="15">
        <f t="shared" si="514"/>
        <v>0.10031702084775344</v>
      </c>
      <c r="Q1924" s="25" t="s">
        <v>18</v>
      </c>
      <c r="R1924" s="39" t="s">
        <v>19</v>
      </c>
      <c r="S1924" s="1">
        <f>R1922/((AVERAGE(P1928:P1933))*(1+E1934)^3)</f>
        <v>-197.49531249930251</v>
      </c>
      <c r="U1924" s="25" t="s">
        <v>48</v>
      </c>
      <c r="V1924" s="39" t="s">
        <v>19</v>
      </c>
      <c r="W1924" s="1">
        <f>V1922/((AVERAGE(P1928:P1933))*(1+E1934)^3)</f>
        <v>-197.49531249930251</v>
      </c>
      <c r="Y1924" s="25" t="s">
        <v>39</v>
      </c>
      <c r="Z1924" s="39" t="s">
        <v>19</v>
      </c>
      <c r="AA1924" s="1">
        <f>Z1922/((AVERAGE(P1928:P1933))*(1+E1934)^3)</f>
        <v>-197.49531249930251</v>
      </c>
    </row>
    <row r="1925" spans="1:27">
      <c r="B1925" s="13">
        <v>3</v>
      </c>
      <c r="C1925" s="14" t="s">
        <v>20</v>
      </c>
      <c r="D1925" s="15" cm="1">
        <f t="array" ref="D1925">_xlfn.SINGLE(IF(A1931=A1932,_xll.ciqfunctions.udf.CIQ(A1923,"IQ_TOTAL_REV",IQ_FY-8)/I1925, _xll.ciqfunctions.udf.CIQ(A1923, "IQ_TOTAL_REV",IQ_FY-7)/I1925))</f>
        <v>6.2714377123525713</v>
      </c>
      <c r="E1925" s="16">
        <f t="shared" si="515"/>
        <v>0.20160994017102923</v>
      </c>
      <c r="F1925" s="15">
        <f>IF(A1931=A1932,_xll.ciqfunctions.udf.CIQ(A1923,"IQ_DILUT_EPS_EXCL",IQ_FY-8), _xll.ciqfunctions.udf.CIQ(A1923, "IQ_DILUT_EPS_EXCL",IQ_FY-7))</f>
        <v>0.36</v>
      </c>
      <c r="G1925" s="15">
        <f>IF(A1931=A1932,_xll.ciqfunctions.udf.CIQ(A1923,"IQ_EBITDA_MARGIN",IQ_FY-8), _xll.ciqfunctions.udf.CIQ(A1923, "IQ_EBITDA_MARGIN",IQ_FY-7))</f>
        <v>10.636200000000001</v>
      </c>
      <c r="H1925" s="15">
        <f>IF(A1931=A1932,_xll.ciqfunctions.udf.CIQ(A1923,"IQ_TOTAL_DIV_PAID_CF",IQ_FY-8)/-I1925, _xll.ciqfunctions.udf.CIQ(A1923, "IQ_TOTAL_DIV_PAID_CF",IQ_FY-7)/-I1925)</f>
        <v>0</v>
      </c>
      <c r="I1925" s="17">
        <f>IF(A1931=A1932,_xll.ciqfunctions.udf.CIQ(A1923,"IQ_TOTAL_OUTSTANDING_FILING_DATE",IQ_FY-8), _xll.ciqfunctions.udf.CIQ(A1923, "IQ_TOTAL_OUTSTANDING_FILING_DATE",IQ_FY-7))</f>
        <v>141.38927000000001</v>
      </c>
      <c r="J1925" s="17">
        <f>IF(A1931=A1932,_xll.ciqfunctions.udf.CIQ(A1923,"IQ_CASH_OPER",IQ_FY-8), _xll.ciqfunctions.udf.CIQ(A1923, "IQ_CASH_OPER",IQ_FY-7))</f>
        <v>133.17599999999999</v>
      </c>
      <c r="K1925" s="17">
        <f>IF(A1931=A1932,_xll.ciqfunctions.udf.CIQ(A1923,"IQ_CAPEX",IQ_FY-8), _xll.ciqfunctions.udf.CIQ(A1923, "IQ_CAPEX",IQ_FY-7))</f>
        <v>-42.018000000000001</v>
      </c>
      <c r="L1925" s="15">
        <f t="shared" si="512"/>
        <v>0.64473067864343581</v>
      </c>
      <c r="M1925" s="17">
        <f>IF(A1931=A1932,_xll.ciqfunctions.udf.CIQ(A1923,"IQ_TOTAL_DEBT_ISSUED",IQ_FY-8), _xll.ciqfunctions.udf.CIQ(A1923, "IQ_TOTAL_DEBT_ISSUED",IQ_FY-7))</f>
        <v>0</v>
      </c>
      <c r="N1925" s="17">
        <f>IF(A1931=A1932,_xll.ciqfunctions.udf.CIQ(A1923,"IQ_TOTAL_DEBT_REPAID",IQ_FY-8), _xll.ciqfunctions.udf.CIQ(A1923, "IQ_TOTAL_DEBT_REPAID",IQ_FY-7))</f>
        <v>0</v>
      </c>
      <c r="O1925" s="15">
        <f t="shared" si="513"/>
        <v>0</v>
      </c>
      <c r="P1925" s="15">
        <f t="shared" si="514"/>
        <v>0.64473067864343581</v>
      </c>
      <c r="Q1925" s="25" t="s">
        <v>21</v>
      </c>
      <c r="R1925" s="38" t="s">
        <v>49</v>
      </c>
      <c r="S1925" s="2">
        <f>(R1922*I1933)/1000</f>
        <v>0.93038745699999992</v>
      </c>
      <c r="U1925" s="25" t="s">
        <v>59</v>
      </c>
      <c r="V1925" s="38" t="s">
        <v>49</v>
      </c>
      <c r="W1925" s="2">
        <f>(V1922*I1933)/1000</f>
        <v>0.93038745699999992</v>
      </c>
      <c r="Y1925" s="25" t="s">
        <v>46</v>
      </c>
      <c r="Z1925" s="38" t="s">
        <v>49</v>
      </c>
      <c r="AA1925" s="2">
        <f>(Z1922*I1933)/1000</f>
        <v>0.93038745699999992</v>
      </c>
    </row>
    <row r="1926" spans="1:27">
      <c r="A1926" s="18"/>
      <c r="B1926" s="13">
        <v>4</v>
      </c>
      <c r="C1926" s="14" t="s">
        <v>22</v>
      </c>
      <c r="D1926" s="15" cm="1">
        <f t="array" ref="D1926">_xlfn.SINGLE(IF(A1931=A1932,_xll.ciqfunctions.udf.CIQ(A1923,"IQ_TOTAL_REV",IQ_FY-7)/I1926, _xll.ciqfunctions.udf.CIQ(A1923, "IQ_TOTAL_REV",IQ_FY-6)/I1926))</f>
        <v>5.9429219682225947</v>
      </c>
      <c r="E1926" s="16">
        <f t="shared" si="515"/>
        <v>-5.2382844125664171E-2</v>
      </c>
      <c r="F1926" s="15">
        <f>IF(A1931=A1932,_xll.ciqfunctions.udf.CIQ(A1923,"IQ_DILUT_EPS_EXCL",IQ_FY-7), _xll.ciqfunctions.udf.CIQ(A1923, "IQ_DILUT_EPS_EXCL",IQ_FY-6))</f>
        <v>-0.17</v>
      </c>
      <c r="G1926" s="15">
        <f>IF(A1931=A1932,_xll.ciqfunctions.udf.CIQ(A1923,"IQ_EBITDA_MARGIN",IQ_FY-7), _xll.ciqfunctions.udf.CIQ(A1923, "IQ_EBITDA_MARGIN",IQ_FY-6))</f>
        <v>5.4795999999999996</v>
      </c>
      <c r="H1926" s="15">
        <f>IF(A1931=A1932,_xll.ciqfunctions.udf.CIQ(A1923,"IQ_TOTAL_DIV_PAID_CF",IQ_FY-7)/-I1926, _xll.ciqfunctions.udf.CIQ(A1923, "IQ_TOTAL_DIV_PAID_CF",IQ_FY-6)/-I1926)</f>
        <v>0</v>
      </c>
      <c r="I1926" s="17">
        <f>IF(A1931=A1932,_xll.ciqfunctions.udf.CIQ(A1923,"IQ_TOTAL_OUTSTANDING_FILING_DATE",IQ_FY-7), _xll.ciqfunctions.udf.CIQ(A1923, "IQ_TOTAL_OUTSTANDING_FILING_DATE",IQ_FY-6))</f>
        <v>146.41534999999999</v>
      </c>
      <c r="J1926" s="17">
        <f>IF(A1931=A1932,_xll.ciqfunctions.udf.CIQ(A1923,"IQ_CASH_OPER",IQ_FY-7), _xll.ciqfunctions.udf.CIQ(A1923, "IQ_CASH_OPER",IQ_FY-6))</f>
        <v>38.377000000000002</v>
      </c>
      <c r="K1926" s="17">
        <f>IF(A1931=A1932,_xll.ciqfunctions.udf.CIQ(A1923,"IQ_CAPEX",IQ_FY-7), _xll.ciqfunctions.udf.CIQ(A1923, "IQ_CAPEX",IQ_FY-6))</f>
        <v>-43.335000000000001</v>
      </c>
      <c r="L1926" s="15">
        <f t="shared" si="512"/>
        <v>-3.3862569737394328E-2</v>
      </c>
      <c r="M1926" s="17">
        <f>IF(A1931=A1932,_xll.ciqfunctions.udf.CIQ(A1923,"IQ_TOTAL_DEBT_ISSUED",IQ_FY-7), _xll.ciqfunctions.udf.CIQ(A1923, "IQ_TOTAL_DEBT_ISSUED",IQ_FY-6))</f>
        <v>0</v>
      </c>
      <c r="N1926" s="17">
        <f>IF(A1931=A1932,_xll.ciqfunctions.udf.CIQ(A1923,"IQ_TOTAL_DEBT_REPAID",IQ_FY-7), _xll.ciqfunctions.udf.CIQ(A1923, "IQ_TOTAL_DEBT_REPAID",IQ_FY-6))</f>
        <v>0</v>
      </c>
      <c r="O1926" s="15">
        <f t="shared" si="513"/>
        <v>0</v>
      </c>
      <c r="P1926" s="15">
        <f t="shared" si="514"/>
        <v>-3.3862569737394328E-2</v>
      </c>
      <c r="Q1926" s="25" t="s">
        <v>23</v>
      </c>
      <c r="R1926" s="38" t="s">
        <v>24</v>
      </c>
      <c r="S1926" s="1" t="e">
        <f>R1922/(AVERAGE(H1928:H1933)*(1+H1934)/(0.5-H1934))</f>
        <v>#DIV/0!</v>
      </c>
      <c r="U1926" s="25" t="s">
        <v>40</v>
      </c>
      <c r="V1926" s="38" t="s">
        <v>24</v>
      </c>
      <c r="W1926" s="1" t="e">
        <f>V1922/(AVERAGE(H1928:H1933)*(1+H1934)/(0.5-H1934))</f>
        <v>#DIV/0!</v>
      </c>
      <c r="Y1926" s="25" t="s">
        <v>47</v>
      </c>
      <c r="Z1926" s="38" t="s">
        <v>24</v>
      </c>
      <c r="AA1926" s="1" t="e">
        <f>Z1922/(AVERAGE(H1928:H1933)*(1+H1934)/(0.5-H1934))</f>
        <v>#DIV/0!</v>
      </c>
    </row>
    <row r="1927" spans="1:27">
      <c r="B1927" s="13">
        <v>5</v>
      </c>
      <c r="C1927" s="14" t="s">
        <v>25</v>
      </c>
      <c r="D1927" s="15" cm="1">
        <f t="array" ref="D1927">_xlfn.SINGLE(IF(A1931=A1932,_xll.ciqfunctions.udf.CIQ(A1923,"IQ_TOTAL_REV",IQ_FY-6)/I1927, _xll.ciqfunctions.udf.CIQ(A1923, "IQ_TOTAL_REV",IQ_FY-5)/I1927))</f>
        <v>4.9501810259466854</v>
      </c>
      <c r="E1927" s="16">
        <f t="shared" si="515"/>
        <v>-0.16704593255374975</v>
      </c>
      <c r="F1927" s="15">
        <f>IF(A1931=A1932,_xll.ciqfunctions.udf.CIQ(A1923,"IQ_DILUT_EPS_EXCL",IQ_FY-6), _xll.ciqfunctions.udf.CIQ(A1923, "IQ_DILUT_EPS_EXCL",IQ_FY-5))</f>
        <v>-1.32</v>
      </c>
      <c r="G1927" s="15">
        <f>IF(A1931=A1932,_xll.ciqfunctions.udf.CIQ(A1923,"IQ_EBITDA_MARGIN",IQ_FY-6), _xll.ciqfunctions.udf.CIQ(A1923, "IQ_EBITDA_MARGIN",IQ_FY-5))</f>
        <v>-11.2348</v>
      </c>
      <c r="H1927" s="15">
        <f>IF(A1931=A1932,_xll.ciqfunctions.udf.CIQ(A1923,"IQ_TOTAL_DIV_PAID_CF",IQ_FY-6)/-I1927, _xll.ciqfunctions.udf.CIQ(A1923, "IQ_TOTAL_DIV_PAID_CF",IQ_FY-5)/-I1927)</f>
        <v>0</v>
      </c>
      <c r="I1927" s="17">
        <f>IF(A1931=A1932,_xll.ciqfunctions.udf.CIQ(A1923,"IQ_TOTAL_OUTSTANDING_FILING_DATE",IQ_FY-6), _xll.ciqfunctions.udf.CIQ(A1923, "IQ_TOTAL_OUTSTANDING_FILING_DATE",IQ_FY-5))</f>
        <v>149.63876999999999</v>
      </c>
      <c r="J1927" s="17">
        <f>IF(A1931=A1932,_xll.ciqfunctions.udf.CIQ(A1923,"IQ_CASH_OPER",IQ_FY-6), _xll.ciqfunctions.udf.CIQ(A1923, "IQ_CASH_OPER",IQ_FY-5))</f>
        <v>-21.925000000000001</v>
      </c>
      <c r="K1927" s="17">
        <f>IF(A1931=A1932,_xll.ciqfunctions.udf.CIQ(A1923,"IQ_CAPEX",IQ_FY-6), _xll.ciqfunctions.udf.CIQ(A1923, "IQ_CAPEX",IQ_FY-5))</f>
        <v>-58.040999999999997</v>
      </c>
      <c r="L1927" s="15">
        <f t="shared" si="512"/>
        <v>-0.53439359331809533</v>
      </c>
      <c r="M1927" s="17">
        <f>IF(A1931=A1932,_xll.ciqfunctions.udf.CIQ(A1923,"IQ_TOTAL_DEBT_ISSUED",IQ_FY-6), _xll.ciqfunctions.udf.CIQ(A1923, "IQ_TOTAL_DEBT_ISSUED",IQ_FY-5))</f>
        <v>0</v>
      </c>
      <c r="N1927" s="17">
        <f>IF(A1931=A1932,_xll.ciqfunctions.udf.CIQ(A1923,"IQ_TOTAL_DEBT_REPAID",IQ_FY-6), _xll.ciqfunctions.udf.CIQ(A1923, "IQ_TOTAL_DEBT_REPAID",IQ_FY-5))</f>
        <v>0</v>
      </c>
      <c r="O1927" s="15">
        <f t="shared" si="513"/>
        <v>0</v>
      </c>
      <c r="P1927" s="15">
        <f t="shared" si="514"/>
        <v>-0.53439359331809533</v>
      </c>
      <c r="Q1927" s="18"/>
      <c r="R1927" s="38" t="s">
        <v>50</v>
      </c>
      <c r="S1927" s="3">
        <f>I1934</f>
        <v>5.0455564866224378E-2</v>
      </c>
      <c r="U1927" s="18"/>
      <c r="V1927" s="38" t="s">
        <v>50</v>
      </c>
      <c r="W1927" s="3">
        <f>I1934</f>
        <v>5.0455564866224378E-2</v>
      </c>
      <c r="Y1927" s="18"/>
      <c r="Z1927" s="38" t="s">
        <v>50</v>
      </c>
      <c r="AA1927" s="3">
        <f>I1934</f>
        <v>5.0455564866224378E-2</v>
      </c>
    </row>
    <row r="1928" spans="1:27">
      <c r="B1928" s="13">
        <v>6</v>
      </c>
      <c r="C1928" s="14" t="s">
        <v>26</v>
      </c>
      <c r="D1928" s="15" cm="1">
        <f t="array" ref="D1928">_xlfn.SINGLE(IF(A1931=A1932,_xll.ciqfunctions.udf.CIQ(A1923,"IQ_TOTAL_REV",IQ_FY-5)/I1928, _xll.ciqfunctions.udf.CIQ(A1923, "IQ_TOTAL_REV",IQ_FY-4)/I1928))</f>
        <v>5.3173426222624292</v>
      </c>
      <c r="E1928" s="16">
        <f t="shared" si="515"/>
        <v>7.4171347348964231E-2</v>
      </c>
      <c r="F1928" s="15">
        <f>IF(A1931=A1932,_xll.ciqfunctions.udf.CIQ(A1923,"IQ_DILUT_EPS_EXCL",IQ_FY-5), _xll.ciqfunctions.udf.CIQ(A1923, "IQ_DILUT_EPS_EXCL",IQ_FY-4))</f>
        <v>-1.36</v>
      </c>
      <c r="G1928" s="15">
        <f>IF(A1931=A1932,_xll.ciqfunctions.udf.CIQ(A1923,"IQ_EBITDA_MARGIN",IQ_FY-5), _xll.ciqfunctions.udf.CIQ(A1923, "IQ_EBITDA_MARGIN",IQ_FY-4))</f>
        <v>-6.0115999999999996</v>
      </c>
      <c r="H1928" s="15">
        <f>IF(A1931=A1932,_xll.ciqfunctions.udf.CIQ(A1923,"IQ_TOTAL_DIV_PAID_CF",IQ_FY-5)/-I1928, _xll.ciqfunctions.udf.CIQ(A1923, "IQ_TOTAL_DIV_PAID_CF",IQ_FY-4)/-I1928)</f>
        <v>0</v>
      </c>
      <c r="I1928" s="17">
        <f>IF(A1931=A1932,_xll.ciqfunctions.udf.CIQ(A1923,"IQ_TOTAL_OUTSTANDING_FILING_DATE",IQ_FY-5), _xll.ciqfunctions.udf.CIQ(A1923, "IQ_TOTAL_OUTSTANDING_FILING_DATE",IQ_FY-4))</f>
        <v>177.41550000000001</v>
      </c>
      <c r="J1928" s="17">
        <f>IF(A1931=A1932,_xll.ciqfunctions.udf.CIQ(A1923,"IQ_CASH_OPER",IQ_FY-5), _xll.ciqfunctions.udf.CIQ(A1923, "IQ_CASH_OPER",IQ_FY-4))</f>
        <v>-99.082999999999998</v>
      </c>
      <c r="K1928" s="17">
        <f>IF(A1931=A1932,_xll.ciqfunctions.udf.CIQ(A1923,"IQ_CAPEX",IQ_FY-5), _xll.ciqfunctions.udf.CIQ(A1923, "IQ_CAPEX",IQ_FY-4))</f>
        <v>-37.692</v>
      </c>
      <c r="L1928" s="15">
        <f t="shared" si="512"/>
        <v>-0.7709303865783993</v>
      </c>
      <c r="M1928" s="17">
        <f>IF(A1931=A1932,_xll.ciqfunctions.udf.CIQ(A1923,"IQ_TOTAL_DEBT_ISSUED",IQ_FY-5), _xll.ciqfunctions.udf.CIQ(A1923, "IQ_TOTAL_DEBT_ISSUED",IQ_FY-4))</f>
        <v>391.43099999999998</v>
      </c>
      <c r="N1928" s="17">
        <f>IF(A1931=A1932,_xll.ciqfunctions.udf.CIQ(A1923,"IQ_TOTAL_DEBT_REPAID",IQ_FY-5), _xll.ciqfunctions.udf.CIQ(A1923, "IQ_TOTAL_DEBT_REPAID",IQ_FY-4))</f>
        <v>-151.21100000000001</v>
      </c>
      <c r="O1928" s="15">
        <f t="shared" si="513"/>
        <v>1.353996691382658</v>
      </c>
      <c r="P1928" s="15">
        <f t="shared" si="514"/>
        <v>0.58306630480425869</v>
      </c>
      <c r="Q1928" s="25" t="s">
        <v>27</v>
      </c>
      <c r="R1928" s="38" t="s">
        <v>51</v>
      </c>
      <c r="S1928" s="4">
        <f>AVERAGE(F1928:F1933)/AVERAGE(D1928:D1933)</f>
        <v>-0.14531484684473076</v>
      </c>
      <c r="U1928" s="25" t="s">
        <v>58</v>
      </c>
      <c r="V1928" s="38" t="s">
        <v>51</v>
      </c>
      <c r="W1928" s="4">
        <f>AVERAGE(F1928:F1933)/AVERAGE(D1928:D1933)</f>
        <v>-0.14531484684473076</v>
      </c>
      <c r="Y1928" s="25" t="s">
        <v>56</v>
      </c>
      <c r="Z1928" s="38" t="s">
        <v>51</v>
      </c>
      <c r="AA1928" s="4">
        <f>AVERAGE(F1928:F1933)/AVERAGE(D1928:D1933)</f>
        <v>-0.14531484684473076</v>
      </c>
    </row>
    <row r="1929" spans="1:27">
      <c r="A1929" s="18"/>
      <c r="B1929" s="13">
        <v>7</v>
      </c>
      <c r="C1929" s="14" t="s">
        <v>28</v>
      </c>
      <c r="D1929" s="15" cm="1">
        <f t="array" ref="D1929">_xlfn.SINGLE(IF(A1931=A1932,_xll.ciqfunctions.udf.CIQ(A1923,"IQ_TOTAL_REV",IQ_FY-4)/I1929, _xll.ciqfunctions.udf.CIQ(A1923, "IQ_TOTAL_REV",IQ_FY-3)/I1929))</f>
        <v>7.0966022810271223</v>
      </c>
      <c r="E1929" s="16">
        <f t="shared" si="515"/>
        <v>0.33461444656873579</v>
      </c>
      <c r="F1929" s="15">
        <f>IF(A1931=A1932,_xll.ciqfunctions.udf.CIQ(A1923,"IQ_DILUT_EPS_EXCL",IQ_FY-4), _xll.ciqfunctions.udf.CIQ(A1923, "IQ_DILUT_EPS_EXCL",IQ_FY-3))</f>
        <v>-2.1600700000000002</v>
      </c>
      <c r="G1929" s="15">
        <f>IF(A1931=A1932,_xll.ciqfunctions.udf.CIQ(A1923,"IQ_EBITDA_MARGIN",IQ_FY-4), _xll.ciqfunctions.udf.CIQ(A1923, "IQ_EBITDA_MARGIN",IQ_FY-3))</f>
        <v>-7.0292000000000003</v>
      </c>
      <c r="H1929" s="15">
        <f>IF(A1931=A1932,_xll.ciqfunctions.udf.CIQ(A1923,"IQ_TOTAL_DIV_PAID_CF",IQ_FY-4)/-I1929, _xll.ciqfunctions.udf.CIQ(A1923, "IQ_TOTAL_DIV_PAID_CF",IQ_FY-3)/-I1929)</f>
        <v>0</v>
      </c>
      <c r="I1929" s="17">
        <f>IF(A1931=A1932,_xll.ciqfunctions.udf.CIQ(A1923,"IQ_TOTAL_OUTSTANDING_FILING_DATE",IQ_FY-4), _xll.ciqfunctions.udf.CIQ(A1923, "IQ_TOTAL_OUTSTANDING_FILING_DATE",IQ_FY-3))</f>
        <v>183.02632</v>
      </c>
      <c r="J1929" s="17">
        <f>IF(A1931=A1932,_xll.ciqfunctions.udf.CIQ(A1923,"IQ_CASH_OPER",IQ_FY-4), _xll.ciqfunctions.udf.CIQ(A1923, "IQ_CASH_OPER",IQ_FY-3))</f>
        <v>-167.35</v>
      </c>
      <c r="K1929" s="17">
        <f>IF(A1931=A1932,_xll.ciqfunctions.udf.CIQ(A1923,"IQ_CAPEX",IQ_FY-4), _xll.ciqfunctions.udf.CIQ(A1923, "IQ_CAPEX",IQ_FY-3))</f>
        <v>-30.202000000000002</v>
      </c>
      <c r="L1929" s="15">
        <f t="shared" si="512"/>
        <v>-1.0793638860246986</v>
      </c>
      <c r="M1929" s="17">
        <f>IF(A1931=A1932,_xll.ciqfunctions.udf.CIQ(A1923,"IQ_TOTAL_DEBT_ISSUED",IQ_FY-4), _xll.ciqfunctions.udf.CIQ(A1923, "IQ_TOTAL_DEBT_ISSUED",IQ_FY-3))</f>
        <v>81.019000000000005</v>
      </c>
      <c r="N1929" s="17">
        <f>IF(A1931=A1932,_xll.ciqfunctions.udf.CIQ(A1923,"IQ_TOTAL_DEBT_REPAID",IQ_FY-4), _xll.ciqfunctions.udf.CIQ(A1923, "IQ_TOTAL_DEBT_REPAID",IQ_FY-3))</f>
        <v>-20.463000000000001</v>
      </c>
      <c r="O1929" s="15">
        <f t="shared" si="513"/>
        <v>0.33085951790977386</v>
      </c>
      <c r="P1929" s="15">
        <f t="shared" si="514"/>
        <v>-0.74850436811492471</v>
      </c>
      <c r="Q1929" s="18"/>
      <c r="R1929" s="38" t="s">
        <v>29</v>
      </c>
      <c r="S1929" s="4">
        <f>(AVERAGE(P1928:P1933)/_xlfn.STDEV.P(P1928:P1933))/(IF(A1931=A1932,(_xlfn.SINGLE(_xll.ciqfunctions.udf.CIQ(A1923,"IQ_total_assets",IQ_FY)) - _xlfn.SINGLE(_xll.ciqfunctions.udf.CIQ(A1923,"iq_gw_intan", IQ_FY)))/I1933, (_xlfn.SINGLE(_xll.ciqfunctions.udf.CIQ(A1923, "IQ_total_assets",IQ_LTM))-_xlfn.SINGLE(_xll.ciqfunctions.udf.CIQ(A1923,"iq_gw_intan",IQ_LTM)))/I1933))</f>
        <v>-6.1189252493158526E-3</v>
      </c>
      <c r="U1929" s="18"/>
      <c r="V1929" s="38" t="s">
        <v>29</v>
      </c>
      <c r="W1929" s="4">
        <f>(AVERAGE(P1928:P1933)/_xlfn.STDEV.P(P1928:P1933))/(IF(A1931=A1932,(_xlfn.SINGLE(_xll.ciqfunctions.udf.CIQ(A1923,"IQ_total_assets",IQ_FY)) - _xlfn.SINGLE(_xll.ciqfunctions.udf.CIQ(A1923,"iq_gw_intan", IQ_FY)))/I1933, (_xlfn.SINGLE(_xll.ciqfunctions.udf.CIQ(A1923, "IQ_total_assets",IQ_LTM))-_xlfn.SINGLE(_xll.ciqfunctions.udf.CIQ(A1923,"iq_gw_intan",IQ_LTM)))/I1933))</f>
        <v>-6.1189252493158526E-3</v>
      </c>
      <c r="Y1929" s="18"/>
      <c r="Z1929" s="38" t="s">
        <v>29</v>
      </c>
      <c r="AA1929" s="4">
        <f>(AVERAGE(P1928:P1933)/_xlfn.STDEV.P(P1928:P1933))/(IF(A1931=A1932,(_xlfn.SINGLE(_xll.ciqfunctions.udf.CIQ(A1923,"IQ_total_assets",IQ_FY)) - _xlfn.SINGLE(_xll.ciqfunctions.udf.CIQ(A1923,"iq_gw_intan", IQ_FY)))/I1933, (_xlfn.SINGLE(_xll.ciqfunctions.udf.CIQ(A1923, "IQ_total_assets",IQ_LTM))-_xlfn.SINGLE(_xll.ciqfunctions.udf.CIQ(A1923,"iq_gw_intan",IQ_LTM)))/I1933))</f>
        <v>-6.1189252493158526E-3</v>
      </c>
    </row>
    <row r="1930" spans="1:27">
      <c r="A1930" s="18"/>
      <c r="B1930" s="13">
        <v>8</v>
      </c>
      <c r="C1930" s="14" t="s">
        <v>30</v>
      </c>
      <c r="D1930" s="15" cm="1">
        <f t="array" ref="D1930">_xlfn.SINGLE(IF(A1931=A1932,_xll.ciqfunctions.udf.CIQ(A1923,"IQ_TOTAL_REV",IQ_FY-3)/I1930, _xll.ciqfunctions.udf.CIQ(A1923, "IQ_TOTAL_REV",IQ_FY-2)/I1930))</f>
        <v>6.6766027969610828</v>
      </c>
      <c r="E1930" s="16">
        <f t="shared" si="515"/>
        <v>-5.918317913755921E-2</v>
      </c>
      <c r="F1930" s="15">
        <f>IF(A1931=A1932,_xll.ciqfunctions.udf.CIQ(A1923,"IQ_DILUT_EPS_EXCL",IQ_FY-3), _xll.ciqfunctions.udf.CIQ(A1923, "IQ_DILUT_EPS_EXCL",IQ_FY-2))</f>
        <v>-1.1000000000000001</v>
      </c>
      <c r="G1930" s="15">
        <f>IF(A1931=A1932,_xll.ciqfunctions.udf.CIQ(A1923,"IQ_EBITDA_MARGIN",IQ_FY-3), _xll.ciqfunctions.udf.CIQ(A1923, "IQ_EBITDA_MARGIN",IQ_FY-2))</f>
        <v>-1.0891999999999999</v>
      </c>
      <c r="H1930" s="15">
        <f>IF(A1931=A1932,_xll.ciqfunctions.udf.CIQ(A1923,"IQ_TOTAL_DIV_PAID_CF",IQ_FY-3)/-I1930, _xll.ciqfunctions.udf.CIQ(A1923, "IQ_TOTAL_DIV_PAID_CF",IQ_FY-2)/-I1930)</f>
        <v>0</v>
      </c>
      <c r="I1930" s="17">
        <f>IF(A1931=A1932,_xll.ciqfunctions.udf.CIQ(A1923,"IQ_TOTAL_OUTSTANDING_FILING_DATE",IQ_FY-3), _xll.ciqfunctions.udf.CIQ(A1923, "IQ_TOTAL_OUTSTANDING_FILING_DATE",IQ_FY-2))</f>
        <v>203.03679</v>
      </c>
      <c r="J1930" s="17">
        <f>IF(A1931=A1932,_xll.ciqfunctions.udf.CIQ(A1923,"IQ_CASH_OPER",IQ_FY-3), _xll.ciqfunctions.udf.CIQ(A1923, "IQ_CASH_OPER",IQ_FY-2))</f>
        <v>-112.3</v>
      </c>
      <c r="K1930" s="17">
        <f>IF(A1931=A1932,_xll.ciqfunctions.udf.CIQ(A1923,"IQ_CAPEX",IQ_FY-3), _xll.ciqfunctions.udf.CIQ(A1923, "IQ_CAPEX",IQ_FY-2))</f>
        <v>-39.009</v>
      </c>
      <c r="L1930" s="15">
        <f t="shared" si="512"/>
        <v>-0.74522947294428754</v>
      </c>
      <c r="M1930" s="17">
        <f>IF(A1931=A1932,_xll.ciqfunctions.udf.CIQ(A1923,"IQ_TOTAL_DEBT_ISSUED",IQ_FY-3), _xll.ciqfunctions.udf.CIQ(A1923, "IQ_TOTAL_DEBT_ISSUED",IQ_FY-2))</f>
        <v>249.5</v>
      </c>
      <c r="N1930" s="17">
        <f>IF(A1931=A1932,_xll.ciqfunctions.udf.CIQ(A1923,"IQ_TOTAL_DEBT_REPAID",IQ_FY-3), _xll.ciqfunctions.udf.CIQ(A1923, "IQ_TOTAL_DEBT_REPAID",IQ_FY-2))</f>
        <v>-15.166</v>
      </c>
      <c r="O1930" s="15">
        <f t="shared" si="513"/>
        <v>1.1541455122492825</v>
      </c>
      <c r="P1930" s="15">
        <f t="shared" si="514"/>
        <v>0.40891603930499498</v>
      </c>
      <c r="Q1930" s="18"/>
      <c r="R1930" s="39" t="s">
        <v>31</v>
      </c>
      <c r="S1930" s="5">
        <f>IF(NOT(D1923&gt;0),FALSE,SLOPE(G1923:G1933,B1923:B1933))</f>
        <v>-0.35975454545454538</v>
      </c>
      <c r="U1930" s="18"/>
      <c r="V1930" s="39" t="s">
        <v>31</v>
      </c>
      <c r="W1930" s="5">
        <f>IF(NOT(D1923&gt;0),FALSE,SLOPE(G1923:G1933,B1923:B1933))</f>
        <v>-0.35975454545454538</v>
      </c>
      <c r="Y1930" s="18"/>
      <c r="Z1930" s="39" t="s">
        <v>31</v>
      </c>
      <c r="AA1930" s="5">
        <f>IF(NOT(L1923&gt;0),FALSE,SLOPE(O1923:O1933,J1923:J1933))</f>
        <v>-3.3330310334972139E-3</v>
      </c>
    </row>
    <row r="1931" spans="1:27">
      <c r="A1931" s="19">
        <f>_xll.ciqfunctions.udf.CIQ(A1923,"IQ_TOTAL_REV",IQ_FY)</f>
        <v>1573.242</v>
      </c>
      <c r="B1931" s="13">
        <v>9</v>
      </c>
      <c r="C1931" s="14" t="s">
        <v>32</v>
      </c>
      <c r="D1931" s="15" cm="1">
        <f t="array" ref="D1931">_xlfn.SINGLE(IF(A1931=A1932,_xll.ciqfunctions.udf.CIQ(A1923,"IQ_TOTAL_REV",IQ_FY-2)/I1931, _xll.ciqfunctions.udf.CIQ(A1923, "IQ_TOTAL_REV",IQ_FY-1)/I1931))</f>
        <v>6.6970573791356189</v>
      </c>
      <c r="E1931" s="16">
        <f t="shared" si="515"/>
        <v>3.0636212452006578E-3</v>
      </c>
      <c r="F1931" s="15">
        <f>IF(A1931=A1932,_xll.ciqfunctions.udf.CIQ(A1923,"IQ_DILUT_EPS_EXCL",IQ_FY-2), _xll.ciqfunctions.udf.CIQ(A1923, "IQ_DILUT_EPS_EXCL",IQ_FY-1))</f>
        <v>-0.82350999999999996</v>
      </c>
      <c r="G1931" s="15">
        <f>IF(A1931=A1932,_xll.ciqfunctions.udf.CIQ(A1923,"IQ_EBITDA_MARGIN",IQ_FY-2), _xll.ciqfunctions.udf.CIQ(A1923, "IQ_EBITDA_MARGIN",IQ_FY-1))</f>
        <v>0.48699999999999999</v>
      </c>
      <c r="H1931" s="15">
        <f>IF(A1931=A1932,_xll.ciqfunctions.udf.CIQ(A1923,"IQ_TOTAL_DIV_PAID_CF",IQ_FY-2)/-I1931, _xll.ciqfunctions.udf.CIQ(A1923, "IQ_TOTAL_DIV_PAID_CF",IQ_FY-1)/-I1931)</f>
        <v>0</v>
      </c>
      <c r="I1931" s="17">
        <f>IF(A1931=A1932,_xll.ciqfunctions.udf.CIQ(A1923,"IQ_TOTAL_OUTSTANDING_FILING_DATE",IQ_FY-2), _xll.ciqfunctions.udf.CIQ(A1923, "IQ_TOTAL_OUTSTANDING_FILING_DATE",IQ_FY-1))</f>
        <v>212.81063</v>
      </c>
      <c r="J1931" s="17">
        <f>IF(A1931=A1932,_xll.ciqfunctions.udf.CIQ(A1923,"IQ_CASH_OPER",IQ_FY-2), _xll.ciqfunctions.udf.CIQ(A1923, "IQ_CASH_OPER",IQ_FY-1))</f>
        <v>28.128</v>
      </c>
      <c r="K1931" s="17">
        <f>IF(A1931=A1932,_xll.ciqfunctions.udf.CIQ(A1923,"IQ_CAPEX",IQ_FY-2), _xll.ciqfunctions.udf.CIQ(A1923, "IQ_CAPEX",IQ_FY-1))</f>
        <v>-41.378999999999998</v>
      </c>
      <c r="L1931" s="15">
        <f t="shared" si="512"/>
        <v>-6.2266626436846682E-2</v>
      </c>
      <c r="M1931" s="17">
        <f>IF(A1931=A1932,_xll.ciqfunctions.udf.CIQ(A1923,"IQ_TOTAL_DEBT_ISSUED",IQ_FY-2), _xll.ciqfunctions.udf.CIQ(A1923, "IQ_TOTAL_DEBT_ISSUED",IQ_FY-1))</f>
        <v>0</v>
      </c>
      <c r="N1931" s="17">
        <f>IF(A1931=A1932,_xll.ciqfunctions.udf.CIQ(A1923,"IQ_TOTAL_DEBT_REPAID",IQ_FY-2), _xll.ciqfunctions.udf.CIQ(A1923, "IQ_TOTAL_DEBT_REPAID",IQ_FY-1))</f>
        <v>-103.59099999999999</v>
      </c>
      <c r="O1931" s="15">
        <f t="shared" si="513"/>
        <v>-0.48677549613005699</v>
      </c>
      <c r="P1931" s="15">
        <f t="shared" si="514"/>
        <v>-0.54904212256690366</v>
      </c>
      <c r="Q1931" s="25" t="s">
        <v>33</v>
      </c>
      <c r="R1931" s="38" t="s">
        <v>52</v>
      </c>
      <c r="S1931" s="4">
        <f>(AVERAGE(O1928:O1933)/AVERAGE(P1928:P1933))</f>
        <v>-29.526216608319292</v>
      </c>
      <c r="U1931" s="25" t="s">
        <v>54</v>
      </c>
      <c r="V1931" s="38" t="s">
        <v>52</v>
      </c>
      <c r="W1931" s="4">
        <f>(AVERAGE(O1928:O1933)/AVERAGE(P1928:P1933))</f>
        <v>-29.526216608319292</v>
      </c>
      <c r="Y1931" s="25" t="s">
        <v>60</v>
      </c>
      <c r="Z1931" s="38" t="s">
        <v>52</v>
      </c>
      <c r="AA1931" s="4">
        <f>(AVERAGE(O1928:O1933)/AVERAGE(P1928:P1933))</f>
        <v>-29.526216608319292</v>
      </c>
    </row>
    <row r="1932" spans="1:27">
      <c r="A1932" s="19">
        <f>_xll.ciqfunctions.udf.CIQ(A1923,"IQ_TOTAL_REV",IQ_LTM)</f>
        <v>1644.6859999999999</v>
      </c>
      <c r="B1932" s="13">
        <v>10</v>
      </c>
      <c r="C1932" s="14" t="s">
        <v>34</v>
      </c>
      <c r="D1932" s="15" cm="1">
        <f t="array" ref="D1932">_xlfn.SINGLE(IF(A1931=A1932,_xll.ciqfunctions.udf.CIQ(A1923,"IQ_TOTAL_REV",IQ_FY-1)/I1932, _xll.ciqfunctions.udf.CIQ(A1923, "IQ_TOTAL_REV",IQ_FY)/I1932))</f>
        <v>7.0656436098636481</v>
      </c>
      <c r="E1932" s="16">
        <f t="shared" si="515"/>
        <v>5.5037042369734362E-2</v>
      </c>
      <c r="F1932" s="15">
        <f>IF(A1931=A1932,_xll.ciqfunctions.udf.CIQ(A1923,"IQ_DILUT_EPS_EXCL",IQ_FY-1), _xll.ciqfunctions.udf.CIQ(A1923, "IQ_DILUT_EPS_EXCL",IQ_FY))</f>
        <v>-0.35143999999999997</v>
      </c>
      <c r="G1932" s="15">
        <f>IF(A1931=A1932,_xll.ciqfunctions.udf.CIQ(A1923,"IQ_EBITDA_MARGIN",IQ_FY-1), _xll.ciqfunctions.udf.CIQ(A1923, "IQ_EBITDA_MARGIN",IQ_FY))</f>
        <v>2.0261999999999998</v>
      </c>
      <c r="H1932" s="15">
        <f>IF(A1931=A1932,_xll.ciqfunctions.udf.CIQ(A1923,"IQ_TOTAL_DIV_PAID_CF",IQ_FY-1)/-I1932, _xll.ciqfunctions.udf.CIQ(A1923, "IQ_TOTAL_DIV_PAID_CF",IQ_FY)/-I1932)</f>
        <v>0</v>
      </c>
      <c r="I1932" s="17">
        <f>IF(A1931=A1932,_xll.ciqfunctions.udf.CIQ(A1923,"IQ_TOTAL_OUTSTANDING_FILING_DATE",IQ_FY-1), _xll.ciqfunctions.udf.CIQ(A1923, "IQ_TOTAL_OUTSTANDING_FILING_DATE",IQ_FY))</f>
        <v>222.66082</v>
      </c>
      <c r="J1932" s="17">
        <f>IF(A1931=A1932,_xll.ciqfunctions.udf.CIQ(A1923,"IQ_CASH_OPER",IQ_FY-1), _xll.ciqfunctions.udf.CIQ(A1923, "IQ_CASH_OPER",IQ_FY))</f>
        <v>-37.56</v>
      </c>
      <c r="K1932" s="17">
        <f>IF(A1931=A1932,_xll.ciqfunctions.udf.CIQ(A1923,"IQ_CAPEX",IQ_FY-1), _xll.ciqfunctions.udf.CIQ(A1923, "IQ_CAPEX",IQ_FY))</f>
        <v>-46.052999999999997</v>
      </c>
      <c r="L1932" s="15">
        <f t="shared" si="512"/>
        <v>-0.37551734517100943</v>
      </c>
      <c r="M1932" s="17">
        <f>IF(A1931=A1932,_xll.ciqfunctions.udf.CIQ(A1923,"IQ_TOTAL_DEBT_ISSUED",IQ_FY-1), _xll.ciqfunctions.udf.CIQ(A1923, "IQ_TOTAL_DEBT_ISSUED",IQ_FY))</f>
        <v>453.75</v>
      </c>
      <c r="N1932" s="17">
        <f>IF(A1931=A1932,_xll.ciqfunctions.udf.CIQ(A1923,"IQ_TOTAL_DEBT_REPAID",IQ_FY-1), _xll.ciqfunctions.udf.CIQ(A1923, "IQ_TOTAL_DEBT_REPAID",IQ_FY))</f>
        <v>-362.68900000000002</v>
      </c>
      <c r="O1932" s="15">
        <f t="shared" si="513"/>
        <v>0.40896732527976848</v>
      </c>
      <c r="P1932" s="15">
        <f t="shared" si="514"/>
        <v>3.3449980108759048E-2</v>
      </c>
      <c r="Q1932" s="25" t="s">
        <v>44</v>
      </c>
      <c r="R1932" s="38" t="s">
        <v>35</v>
      </c>
      <c r="S1932" s="1">
        <f>_xll.ciqfunctions.udf.CIQ(A1923,"IQ_TEV_EBITDA")</f>
        <v>17.218779999999999</v>
      </c>
      <c r="U1932" s="25" t="s">
        <v>55</v>
      </c>
      <c r="V1932" s="38" t="s">
        <v>53</v>
      </c>
      <c r="W1932" s="1">
        <f>V1922/(AVERAGE(D1928:D1933)/_xlfn.STDEV.P(E1928:E1933))</f>
        <v>7.6520341397922562E-2</v>
      </c>
      <c r="Y1932" s="25" t="s">
        <v>57</v>
      </c>
      <c r="Z1932" s="38" t="s">
        <v>53</v>
      </c>
      <c r="AA1932" s="1">
        <f>Z1922/(AVERAGE(D1928:D1933)/_xlfn.STDEV.P(E1928:E1933))</f>
        <v>7.6520341397922562E-2</v>
      </c>
    </row>
    <row r="1933" spans="1:27">
      <c r="B1933" s="13">
        <v>11</v>
      </c>
      <c r="C1933" s="20" t="s">
        <v>36</v>
      </c>
      <c r="D1933" s="21" cm="1">
        <f t="array" ref="D1933">_xlfn.SINGLE(IF(A1931=A1932,_xll.ciqfunctions.udf.CIQ(A1923,"IQ_TOTAL_REV",IQ_FY)/I1933, _xll.ciqfunctions.udf.CIQ(A1923, "IQ_TOTAL_REV",IQ_LTM)/I1933))</f>
        <v>7.2477466772211656</v>
      </c>
      <c r="E1933" s="22">
        <f t="shared" si="515"/>
        <v>2.5773033202991066E-2</v>
      </c>
      <c r="F1933" s="21">
        <f>IF(A1931=A1932,_xll.ciqfunctions.udf.CIQ(A1923,"IQ_DILUT_EPS_EXCL",IQ_FY), _xll.ciqfunctions.udf.CIQ(A1923, "IQ_DILUT_EPS_EXCL",IQ_LTM))</f>
        <v>-3.2250000000000001E-2</v>
      </c>
      <c r="G1933" s="21">
        <f>IF(A1931=A1932,_xll.ciqfunctions.udf.CIQ(A1923,"IQ_EBITDA_MARGIN",IQ_FY), _xll.ciqfunctions.udf.CIQ(A1923, "IQ_EBITDA_MARGIN",IQ_LTM))</f>
        <v>4.4531999999999998</v>
      </c>
      <c r="H1933" s="21">
        <f>IF(A1931=A1932,_xll.ciqfunctions.udf.CIQ(A1923,"IQ_TOTAL_DIV_PAID_CF",IQ_FY)/-I1933, _xll.ciqfunctions.udf.CIQ(A1923, "IQ_TOTAL_DIV_PAID_CF",IQ_LTM)/-I1933)</f>
        <v>0</v>
      </c>
      <c r="I1933" s="23">
        <f>IF(A1931=A1932,_xll.ciqfunctions.udf.CIQ(A1923,"IQ_TOTAL_OUTSTANDING_FILING_DATE",IQ_FY),_xll.ciqfunctions.udf.CIQ(A1923,"IQ_sharesoutstanding"))</f>
        <v>226.92376999999999</v>
      </c>
      <c r="J1933" s="23">
        <f>IF(A1931=A1932,_xll.ciqfunctions.udf.CIQ(A1923,"IQ_CASH_OPER",IQ_FY), _xll.ciqfunctions.udf.CIQ(A1923, "IQ_CASH_OPER",IQ_LTM))</f>
        <v>18.722000000000001</v>
      </c>
      <c r="K1933" s="23">
        <f>IF(A1931=A1932,_xll.ciqfunctions.udf.CIQ(A1923,"IQ_CAPEX",IQ_FY), _xll.ciqfunctions.udf.CIQ(A1923, "IQ_CAPEX",IQ_LTM))</f>
        <v>-46.908999999999999</v>
      </c>
      <c r="L1933" s="21">
        <f t="shared" si="512"/>
        <v>-0.12421351892752354</v>
      </c>
      <c r="M1933" s="23">
        <f>IF(A1931=A1932,_xll.ciqfunctions.udf.CIQ(A1923,"IQ_TOTAL_DEBT_ISSUED",IQ_FY), _xll.ciqfunctions.udf.CIQ(A1923, "IQ_TOTAL_DEBT_ISSUED",IQ_LTM))</f>
        <v>472.50099999999998</v>
      </c>
      <c r="N1933" s="23">
        <f>IF(A1931=A1932,_xll.ciqfunctions.udf.CIQ(A1923,"IQ_TOTAL_DEBT_REPAID",IQ_FY), _xll.ciqfunctions.udf.CIQ(A1923, "IQ_TOTAL_DEBT_REPAID",IQ_LTM))</f>
        <v>-406.03699999999998</v>
      </c>
      <c r="O1933" s="21">
        <f t="shared" si="513"/>
        <v>0.2928913088302737</v>
      </c>
      <c r="P1933" s="21">
        <f t="shared" si="514"/>
        <v>0.16867778990275017</v>
      </c>
      <c r="Q1933" s="25" t="s">
        <v>45</v>
      </c>
      <c r="S1933" s="45"/>
      <c r="U1933" s="25"/>
      <c r="W1933" s="45"/>
      <c r="Y1933" s="25"/>
      <c r="AA1933" s="45"/>
    </row>
    <row r="1934" spans="1:27">
      <c r="B1934" s="24"/>
      <c r="C1934" s="25" t="s">
        <v>37</v>
      </c>
      <c r="E1934" s="26">
        <f>((D1933/D1928)^(1/5))-1</f>
        <v>6.3902114662863108E-2</v>
      </c>
      <c r="F1934" s="27">
        <f>((F1933/F1928)^(1/5))-1</f>
        <v>-0.52685074335107673</v>
      </c>
      <c r="G1934" s="28"/>
      <c r="H1934" s="27" t="e">
        <f>((H1933/H1928)^(1/5))-1</f>
        <v>#DIV/0!</v>
      </c>
      <c r="I1934" s="27">
        <f>((I1933/I1928)^(1/5))-1</f>
        <v>5.0455564866224378E-2</v>
      </c>
      <c r="J1934" s="27"/>
      <c r="K1934" s="27"/>
      <c r="L1934" s="26">
        <f>((L1933/L1928)^(1/5))-1</f>
        <v>-0.30588610188251497</v>
      </c>
      <c r="M1934" s="26"/>
      <c r="N1934" s="26"/>
      <c r="O1934" s="26"/>
      <c r="P1934" s="26">
        <f>((P1933/P1928)^(1/5))-1</f>
        <v>-0.21968852864254074</v>
      </c>
      <c r="Q1934" s="18"/>
      <c r="R1934" s="36"/>
      <c r="S1934" s="45"/>
      <c r="U1934" s="18"/>
      <c r="V1934" s="36"/>
      <c r="W1934" s="45"/>
      <c r="Y1934" s="18"/>
      <c r="Z1934" s="36"/>
      <c r="AA1934" s="45"/>
    </row>
    <row r="1935" spans="1:27">
      <c r="A1935" s="29"/>
      <c r="B1935" s="30"/>
      <c r="C1935" s="31" t="s">
        <v>38</v>
      </c>
      <c r="D1935" s="29"/>
      <c r="E1935" s="32">
        <f>((D1933/D1923)^(1/10))-1</f>
        <v>5.0128127456161353E-2</v>
      </c>
      <c r="F1935" s="33">
        <f>((F1933/F1923)^(1/10))-1</f>
        <v>-0.19248150989277213</v>
      </c>
      <c r="G1935" s="34"/>
      <c r="H1935" s="33" t="e">
        <f>((H1933/H1923)^(1/10))-1</f>
        <v>#DIV/0!</v>
      </c>
      <c r="I1935" s="33">
        <f>((I1933/I1923)^(1/10))-1</f>
        <v>6.3644208867672969E-2</v>
      </c>
      <c r="J1935" s="33"/>
      <c r="K1935" s="33"/>
      <c r="L1935" s="32" t="e">
        <f>((L1933/L1923)^(1/10))-1</f>
        <v>#NUM!</v>
      </c>
      <c r="M1935" s="32"/>
      <c r="N1935" s="32"/>
      <c r="O1935" s="32"/>
      <c r="P1935" s="32">
        <f>((P1933/P1923)^(1/10))-1</f>
        <v>-0.18441078814129608</v>
      </c>
      <c r="Q1935" s="40"/>
      <c r="R1935" s="41"/>
      <c r="S1935" s="46"/>
      <c r="U1935" s="40"/>
      <c r="V1935" s="41"/>
      <c r="W1935" s="46"/>
      <c r="Y1935" s="40"/>
      <c r="Z1935" s="41"/>
      <c r="AA1935" s="46"/>
    </row>
    <row r="1936" spans="1:27">
      <c r="B1936" s="24"/>
      <c r="C1936" s="25"/>
      <c r="E1936" s="26"/>
      <c r="F1936" s="27"/>
      <c r="G1936" s="28"/>
      <c r="H1936" s="27"/>
      <c r="I1936" s="27"/>
      <c r="J1936" s="27"/>
      <c r="K1936" s="27"/>
      <c r="L1936" s="26"/>
      <c r="M1936" s="17"/>
      <c r="N1936" s="17"/>
      <c r="O1936" s="17"/>
      <c r="P1936" s="35"/>
      <c r="Q1936" s="18"/>
      <c r="R1936" s="36"/>
    </row>
    <row r="1937" spans="1:27">
      <c r="A1937" s="9" t="s">
        <v>0</v>
      </c>
      <c r="B1937" s="10"/>
      <c r="C1937" s="9" t="s">
        <v>1</v>
      </c>
      <c r="D1937" s="9" t="s">
        <v>2</v>
      </c>
      <c r="E1937" s="9" t="s">
        <v>3</v>
      </c>
      <c r="F1937" s="11" t="s">
        <v>4</v>
      </c>
      <c r="G1937" s="11" t="s">
        <v>5</v>
      </c>
      <c r="H1937" s="9" t="s">
        <v>6</v>
      </c>
      <c r="I1937" s="11" t="s">
        <v>7</v>
      </c>
      <c r="J1937" s="11" t="s">
        <v>8</v>
      </c>
      <c r="K1937" s="11" t="s">
        <v>9</v>
      </c>
      <c r="L1937" s="11" t="s">
        <v>10</v>
      </c>
      <c r="M1937" s="11" t="s">
        <v>11</v>
      </c>
      <c r="N1937" s="11" t="s">
        <v>12</v>
      </c>
      <c r="O1937" s="11" t="s">
        <v>13</v>
      </c>
      <c r="P1937" s="11" t="s">
        <v>14</v>
      </c>
      <c r="Q1937" s="37" t="s">
        <v>15</v>
      </c>
      <c r="R1937" s="42">
        <f>_xll.ciqfunctions.udf.CIQ(A1938,("IQ_LASTSALEPRICE"))</f>
        <v>43.46</v>
      </c>
      <c r="S1937" s="44"/>
      <c r="U1937" s="37" t="s">
        <v>15</v>
      </c>
      <c r="V1937" s="42">
        <f>_xll.ciqfunctions.udf.CIQ(A1938,("IQ_LASTSALEPRICE"))</f>
        <v>43.46</v>
      </c>
      <c r="W1937" s="44"/>
      <c r="Y1937" s="37" t="s">
        <v>15</v>
      </c>
      <c r="Z1937" s="42">
        <f>_xll.ciqfunctions.udf.CIQ(A1938,("IQ_LASTSALEPRICE"))</f>
        <v>43.46</v>
      </c>
      <c r="AA1937" s="44"/>
    </row>
    <row r="1938" spans="1:27">
      <c r="A1938" s="12" t="str">
        <f>Analysis!B131</f>
        <v>NasdaqGS:LITE</v>
      </c>
      <c r="B1938" s="13">
        <v>1</v>
      </c>
      <c r="C1938" s="14" t="s">
        <v>16</v>
      </c>
      <c r="D1938" s="15">
        <f>IF(A1946=A1947,_xll.ciqfunctions.udf.CIQ(A1938,"IQ_TOTAL_REV",IQ_FY-10)/I1938,_xll.ciqfunctions.udf.CIQ(A1938, "IQ_TOTAL_REV",IQ_FY-9)/I1938)</f>
        <v>13.909863945578232</v>
      </c>
      <c r="E1938" s="16"/>
      <c r="F1938" s="15">
        <f>IF(A1946=A1947,_xll.ciqfunctions.udf.CIQ(A1938,"IQ_DILUT_EPS_EXCL",IQ_FY-10), _xll.ciqfunctions.udf.CIQ(A1938, "IQ_DILUT_EPS_EXCL",IQ_FY-9))</f>
        <v>0.18</v>
      </c>
      <c r="G1938" s="15">
        <f>IF(A1946=A1947,_xll.ciqfunctions.udf.CIQ(A1938,"IQ_EBITDA_MARGIN",IQ_FY-10), _xll.ciqfunctions.udf.CIQ(A1938, "IQ_EBITDA_MARGIN",IQ_FY-9))</f>
        <v>7.1280000000000001</v>
      </c>
      <c r="H1938" s="15">
        <f>IF(A1946=A1947,_xll.ciqfunctions.udf.CIQ(A1938,"IQ_TOTAL_DIV_PAID_CF",IQ_FY-10)/-I1938, _xll.ciqfunctions.udf.CIQ(A1938, "IQ_TOTAL_DIV_PAID_CF",IQ_FY-9)/-I1938)</f>
        <v>0</v>
      </c>
      <c r="I1938" s="17">
        <f>IF(A1946=A1947,_xll.ciqfunctions.udf.CIQ(A1938,"IQ_TOTAL_OUTSTANDING_FILING_DATE",IQ_FY-10), _xll.ciqfunctions.udf.CIQ(A1938, "IQ_TOTAL_OUTSTANDING_FILING_DATE",IQ_FY-9))</f>
        <v>58.8</v>
      </c>
      <c r="J1938" s="17">
        <f>IF(A1946=A1947,_xll.ciqfunctions.udf.CIQ(A1938,"IQ_CASH_OPER",IQ_FY-10), _xll.ciqfunctions.udf.CIQ(A1938, "IQ_CASH_OPER",IQ_FY-9))</f>
        <v>62.8</v>
      </c>
      <c r="K1938" s="17">
        <f>IF(A1946=A1947,_xll.ciqfunctions.udf.CIQ(A1938,"IQ_CAPEX",IQ_FY-10), _xll.ciqfunctions.udf.CIQ(A1938, "IQ_CAPEX",IQ_FY-9))</f>
        <v>-64.2</v>
      </c>
      <c r="L1938" s="15">
        <f t="shared" ref="L1938:L1948" si="516">(J1938+K1938)/I1938</f>
        <v>-2.3809523809523909E-2</v>
      </c>
      <c r="M1938" s="17">
        <f>IF(A1946=A1947,_xll.ciqfunctions.udf.CIQ(A1938,"IQ_TOTAL_DEBT_ISSUED",IQ_FY-10), _xll.ciqfunctions.udf.CIQ(A1938, "IQ_TOTAL_DEBT_ISSUED",IQ_FY-9))</f>
        <v>0</v>
      </c>
      <c r="N1938" s="17">
        <f>IF(A1946=A1947,_xll.ciqfunctions.udf.CIQ(A1938,"IQ_TOTAL_DEBT_REPAID",IQ_FY-10), _xll.ciqfunctions.udf.CIQ(A1938, "IQ_TOTAL_DEBT_REPAID",IQ_FY-9))</f>
        <v>0</v>
      </c>
      <c r="O1938" s="15">
        <f t="shared" ref="O1938:O1948" si="517">(M1938+N1938)/I1938</f>
        <v>0</v>
      </c>
      <c r="P1938" s="15">
        <f t="shared" ref="P1938:P1948" si="518">L1938+O1938</f>
        <v>-2.3809523809523909E-2</v>
      </c>
      <c r="W1938" s="43"/>
      <c r="AA1938" s="43"/>
    </row>
    <row r="1939" spans="1:27">
      <c r="A1939" s="18" t="str">
        <f>_xll.ciqfunctions.udf.CIQ(A1938,"IQ_COMPANY_NAME")</f>
        <v>Lumentum Holdings Inc.</v>
      </c>
      <c r="B1939" s="13">
        <v>2</v>
      </c>
      <c r="C1939" s="14" t="s">
        <v>17</v>
      </c>
      <c r="D1939" s="15">
        <f>IF(A1946=A1947,_xll.ciqfunctions.udf.CIQ(A1938,"IQ_TOTAL_REV",IQ_FY-9)/I1939, _xll.ciqfunctions.udf.CIQ(A1938, "IQ_TOTAL_REV",IQ_FY-8)/I1939)</f>
        <v>14.207990658131576</v>
      </c>
      <c r="E1939" s="16">
        <f t="shared" ref="E1939:E1948" si="519">(D1939-D1938)/D1938</f>
        <v>2.1432755469050786E-2</v>
      </c>
      <c r="F1939" s="15">
        <f>IF(A1946=A1947,_xll.ciqfunctions.udf.CIQ(A1938,"IQ_DILUT_EPS_EXCL",IQ_FY-9), _xll.ciqfunctions.udf.CIQ(A1938, "IQ_DILUT_EPS_EXCL",IQ_FY-8))</f>
        <v>-0.06</v>
      </c>
      <c r="G1939" s="15">
        <f>IF(A1946=A1947,_xll.ciqfunctions.udf.CIQ(A1938,"IQ_EBITDA_MARGIN",IQ_FY-9), _xll.ciqfunctions.udf.CIQ(A1938, "IQ_EBITDA_MARGIN",IQ_FY-8))</f>
        <v>4.5991999999999997</v>
      </c>
      <c r="H1939" s="15">
        <f>IF(A1946=A1947,_xll.ciqfunctions.udf.CIQ(A1938,"IQ_TOTAL_DIV_PAID_CF",IQ_FY-9)/-I1939, _xll.ciqfunctions.udf.CIQ(A1938, "IQ_TOTAL_DIV_PAID_CF",IQ_FY-8)/-I1939)</f>
        <v>0</v>
      </c>
      <c r="I1939" s="17">
        <f>IF(A1946=A1947,_xll.ciqfunctions.udf.CIQ(A1938,"IQ_TOTAL_OUTSTANDING_FILING_DATE",IQ_FY-9), _xll.ciqfunctions.udf.CIQ(A1938, "IQ_TOTAL_OUTSTANDING_FILING_DATE",IQ_FY-8))</f>
        <v>58.917549999999999</v>
      </c>
      <c r="J1939" s="17">
        <f>IF(A1946=A1947,_xll.ciqfunctions.udf.CIQ(A1938,"IQ_CASH_OPER",IQ_FY-9), _xll.ciqfunctions.udf.CIQ(A1938, "IQ_CASH_OPER",IQ_FY-8))</f>
        <v>9.4</v>
      </c>
      <c r="K1939" s="17">
        <f>IF(A1946=A1947,_xll.ciqfunctions.udf.CIQ(A1938,"IQ_CAPEX",IQ_FY-9), _xll.ciqfunctions.udf.CIQ(A1938, "IQ_CAPEX",IQ_FY-8))</f>
        <v>-53.7</v>
      </c>
      <c r="L1939" s="15">
        <f t="shared" si="516"/>
        <v>-0.75189820350642556</v>
      </c>
      <c r="M1939" s="17">
        <f>IF(A1946=A1947,_xll.ciqfunctions.udf.CIQ(A1938,"IQ_TOTAL_DEBT_ISSUED",IQ_FY-9), _xll.ciqfunctions.udf.CIQ(A1938, "IQ_TOTAL_DEBT_ISSUED",IQ_FY-8))</f>
        <v>0</v>
      </c>
      <c r="N1939" s="17">
        <f>IF(A1946=A1947,_xll.ciqfunctions.udf.CIQ(A1938,"IQ_TOTAL_DEBT_REPAID",IQ_FY-9), _xll.ciqfunctions.udf.CIQ(A1938, "IQ_TOTAL_DEBT_REPAID",IQ_FY-8))</f>
        <v>0</v>
      </c>
      <c r="O1939" s="15">
        <f t="shared" si="517"/>
        <v>0</v>
      </c>
      <c r="P1939" s="15">
        <f t="shared" si="518"/>
        <v>-0.75189820350642556</v>
      </c>
      <c r="Q1939" s="25" t="s">
        <v>18</v>
      </c>
      <c r="R1939" s="39" t="s">
        <v>19</v>
      </c>
      <c r="S1939" s="1">
        <f>R1937/((AVERAGE(P1943:P1948))*(1+E1949)^3)</f>
        <v>3.8263505615398703</v>
      </c>
      <c r="U1939" s="25" t="s">
        <v>48</v>
      </c>
      <c r="V1939" s="39" t="s">
        <v>19</v>
      </c>
      <c r="W1939" s="1">
        <f>V1937/((AVERAGE(P1943:P1948))*(1+E1949)^3)</f>
        <v>3.8263505615398703</v>
      </c>
      <c r="Y1939" s="25" t="s">
        <v>39</v>
      </c>
      <c r="Z1939" s="39" t="s">
        <v>19</v>
      </c>
      <c r="AA1939" s="1">
        <f>Z1937/((AVERAGE(P1943:P1948))*(1+E1949)^3)</f>
        <v>3.8263505615398703</v>
      </c>
    </row>
    <row r="1940" spans="1:27">
      <c r="B1940" s="13">
        <v>3</v>
      </c>
      <c r="C1940" s="14" t="s">
        <v>20</v>
      </c>
      <c r="D1940" s="15" cm="1">
        <f t="array" ref="D1940">_xlfn.SINGLE(IF(A1946=A1947,_xll.ciqfunctions.udf.CIQ(A1938,"IQ_TOTAL_REV",IQ_FY-8)/I1940, _xll.ciqfunctions.udf.CIQ(A1938, "IQ_TOTAL_REV",IQ_FY-7)/I1940))</f>
        <v>15.029429720522511</v>
      </c>
      <c r="E1940" s="16">
        <f t="shared" si="519"/>
        <v>5.7815287337678919E-2</v>
      </c>
      <c r="F1940" s="15">
        <f>IF(A1946=A1947,_xll.ciqfunctions.udf.CIQ(A1938,"IQ_DILUT_EPS_EXCL",IQ_FY-8), _xll.ciqfunctions.udf.CIQ(A1938, "IQ_DILUT_EPS_EXCL",IQ_FY-7))</f>
        <v>-5.4149999999999997E-2</v>
      </c>
      <c r="G1940" s="15">
        <f>IF(A1946=A1947,_xll.ciqfunctions.udf.CIQ(A1938,"IQ_EBITDA_MARGIN",IQ_FY-8), _xll.ciqfunctions.udf.CIQ(A1938, "IQ_EBITDA_MARGIN",IQ_FY-7))</f>
        <v>8.1395</v>
      </c>
      <c r="H1940" s="15">
        <f>IF(A1946=A1947,_xll.ciqfunctions.udf.CIQ(A1938,"IQ_TOTAL_DIV_PAID_CF",IQ_FY-8)/-I1940, _xll.ciqfunctions.udf.CIQ(A1938, "IQ_TOTAL_DIV_PAID_CF",IQ_FY-7)/-I1940)</f>
        <v>0</v>
      </c>
      <c r="I1940" s="17">
        <f>IF(A1946=A1947,_xll.ciqfunctions.udf.CIQ(A1938,"IQ_TOTAL_OUTSTANDING_FILING_DATE",IQ_FY-8), _xll.ciqfunctions.udf.CIQ(A1938, "IQ_TOTAL_OUTSTANDING_FILING_DATE",IQ_FY-7))</f>
        <v>60.082120000000003</v>
      </c>
      <c r="J1940" s="17">
        <f>IF(A1946=A1947,_xll.ciqfunctions.udf.CIQ(A1938,"IQ_CASH_OPER",IQ_FY-8), _xll.ciqfunctions.udf.CIQ(A1938, "IQ_CASH_OPER",IQ_FY-7))</f>
        <v>86.6</v>
      </c>
      <c r="K1940" s="17">
        <f>IF(A1946=A1947,_xll.ciqfunctions.udf.CIQ(A1938,"IQ_CAPEX",IQ_FY-8), _xll.ciqfunctions.udf.CIQ(A1938, "IQ_CAPEX",IQ_FY-7))</f>
        <v>-82</v>
      </c>
      <c r="L1940" s="15">
        <f t="shared" si="516"/>
        <v>7.6561878974976155E-2</v>
      </c>
      <c r="M1940" s="17">
        <f>IF(A1946=A1947,_xll.ciqfunctions.udf.CIQ(A1938,"IQ_TOTAL_DEBT_ISSUED",IQ_FY-8), _xll.ciqfunctions.udf.CIQ(A1938, "IQ_TOTAL_DEBT_ISSUED",IQ_FY-7))</f>
        <v>0</v>
      </c>
      <c r="N1940" s="17">
        <f>IF(A1946=A1947,_xll.ciqfunctions.udf.CIQ(A1938,"IQ_TOTAL_DEBT_REPAID",IQ_FY-8), _xll.ciqfunctions.udf.CIQ(A1938, "IQ_TOTAL_DEBT_REPAID",IQ_FY-7))</f>
        <v>-2.2999999999999998</v>
      </c>
      <c r="O1940" s="15">
        <f t="shared" si="517"/>
        <v>-3.8280939487488119E-2</v>
      </c>
      <c r="P1940" s="15">
        <f t="shared" si="518"/>
        <v>3.8280939487488036E-2</v>
      </c>
      <c r="Q1940" s="25" t="s">
        <v>21</v>
      </c>
      <c r="R1940" s="38" t="s">
        <v>49</v>
      </c>
      <c r="S1940" s="2">
        <f>(R1937*I1948)/1000</f>
        <v>2.9118121771999999</v>
      </c>
      <c r="U1940" s="25" t="s">
        <v>59</v>
      </c>
      <c r="V1940" s="38" t="s">
        <v>49</v>
      </c>
      <c r="W1940" s="2">
        <f>(V1937*I1948)/1000</f>
        <v>2.9118121771999999</v>
      </c>
      <c r="Y1940" s="25" t="s">
        <v>46</v>
      </c>
      <c r="Z1940" s="38" t="s">
        <v>49</v>
      </c>
      <c r="AA1940" s="2">
        <f>(Z1937*I1948)/1000</f>
        <v>2.9118121771999999</v>
      </c>
    </row>
    <row r="1941" spans="1:27">
      <c r="A1941" s="18"/>
      <c r="B1941" s="13">
        <v>4</v>
      </c>
      <c r="C1941" s="14" t="s">
        <v>22</v>
      </c>
      <c r="D1941" s="15" cm="1">
        <f t="array" ref="D1941">_xlfn.SINGLE(IF(A1946=A1947,_xll.ciqfunctions.udf.CIQ(A1938,"IQ_TOTAL_REV",IQ_FY-7)/I1941, _xll.ciqfunctions.udf.CIQ(A1938, "IQ_TOTAL_REV",IQ_FY-6)/I1941))</f>
        <v>16.282067308856806</v>
      </c>
      <c r="E1941" s="16">
        <f t="shared" si="519"/>
        <v>8.3345649943313088E-2</v>
      </c>
      <c r="F1941" s="15">
        <f>IF(A1946=A1947,_xll.ciqfunctions.udf.CIQ(A1938,"IQ_DILUT_EPS_EXCL",IQ_FY-7), _xll.ciqfunctions.udf.CIQ(A1938, "IQ_DILUT_EPS_EXCL",IQ_FY-6))</f>
        <v>-1.71</v>
      </c>
      <c r="G1941" s="15">
        <f>IF(A1946=A1947,_xll.ciqfunctions.udf.CIQ(A1938,"IQ_EBITDA_MARGIN",IQ_FY-7), _xll.ciqfunctions.udf.CIQ(A1938, "IQ_EBITDA_MARGIN",IQ_FY-6))</f>
        <v>12.040699999999999</v>
      </c>
      <c r="H1941" s="15">
        <f>IF(A1946=A1947,_xll.ciqfunctions.udf.CIQ(A1938,"IQ_TOTAL_DIV_PAID_CF",IQ_FY-7)/-I1941, _xll.ciqfunctions.udf.CIQ(A1938, "IQ_TOTAL_DIV_PAID_CF",IQ_FY-6)/-I1941)</f>
        <v>0</v>
      </c>
      <c r="I1941" s="17">
        <f>IF(A1946=A1947,_xll.ciqfunctions.udf.CIQ(A1938,"IQ_TOTAL_OUTSTANDING_FILING_DATE",IQ_FY-7), _xll.ciqfunctions.udf.CIQ(A1938, "IQ_TOTAL_OUTSTANDING_FILING_DATE",IQ_FY-6))</f>
        <v>61.515529999999998</v>
      </c>
      <c r="J1941" s="17">
        <f>IF(A1946=A1947,_xll.ciqfunctions.udf.CIQ(A1938,"IQ_CASH_OPER",IQ_FY-7), _xll.ciqfunctions.udf.CIQ(A1938, "IQ_CASH_OPER",IQ_FY-6))</f>
        <v>85</v>
      </c>
      <c r="K1941" s="17">
        <f>IF(A1946=A1947,_xll.ciqfunctions.udf.CIQ(A1938,"IQ_CAPEX",IQ_FY-7), _xll.ciqfunctions.udf.CIQ(A1938, "IQ_CAPEX",IQ_FY-6))</f>
        <v>-138.1</v>
      </c>
      <c r="L1941" s="15">
        <f t="shared" si="516"/>
        <v>-0.86319665944518398</v>
      </c>
      <c r="M1941" s="17">
        <f>IF(A1946=A1947,_xll.ciqfunctions.udf.CIQ(A1938,"IQ_TOTAL_DEBT_ISSUED",IQ_FY-7), _xll.ciqfunctions.udf.CIQ(A1938, "IQ_TOTAL_DEBT_ISSUED",IQ_FY-6))</f>
        <v>442.3</v>
      </c>
      <c r="N1941" s="17">
        <f>IF(A1946=A1947,_xll.ciqfunctions.udf.CIQ(A1938,"IQ_TOTAL_DEBT_REPAID",IQ_FY-7), _xll.ciqfunctions.udf.CIQ(A1938, "IQ_TOTAL_DEBT_REPAID",IQ_FY-6))</f>
        <v>0</v>
      </c>
      <c r="O1941" s="15">
        <f t="shared" si="517"/>
        <v>7.1900542838531996</v>
      </c>
      <c r="P1941" s="15">
        <f t="shared" si="518"/>
        <v>6.3268576244080155</v>
      </c>
      <c r="Q1941" s="25" t="s">
        <v>23</v>
      </c>
      <c r="R1941" s="38" t="s">
        <v>24</v>
      </c>
      <c r="S1941" s="1" t="e">
        <f>R1937/(AVERAGE(H1943:H1948)*(1+H1949)/(0.5-H1949))</f>
        <v>#DIV/0!</v>
      </c>
      <c r="U1941" s="25" t="s">
        <v>40</v>
      </c>
      <c r="V1941" s="38" t="s">
        <v>24</v>
      </c>
      <c r="W1941" s="1" t="e">
        <f>V1937/(AVERAGE(H1943:H1948)*(1+H1949)/(0.5-H1949))</f>
        <v>#DIV/0!</v>
      </c>
      <c r="Y1941" s="25" t="s">
        <v>47</v>
      </c>
      <c r="Z1941" s="38" t="s">
        <v>24</v>
      </c>
      <c r="AA1941" s="1" t="e">
        <f>Z1937/(AVERAGE(H1943:H1948)*(1+H1949)/(0.5-H1949))</f>
        <v>#DIV/0!</v>
      </c>
    </row>
    <row r="1942" spans="1:27">
      <c r="B1942" s="13">
        <v>5</v>
      </c>
      <c r="C1942" s="14" t="s">
        <v>25</v>
      </c>
      <c r="D1942" s="15" cm="1">
        <f t="array" ref="D1942">_xlfn.SINGLE(IF(A1946=A1947,_xll.ciqfunctions.udf.CIQ(A1938,"IQ_TOTAL_REV",IQ_FY-6)/I1942, _xll.ciqfunctions.udf.CIQ(A1938, "IQ_TOTAL_REV",IQ_FY-5)/I1942))</f>
        <v>19.710900473933652</v>
      </c>
      <c r="E1942" s="16">
        <f t="shared" si="519"/>
        <v>0.21058954615742773</v>
      </c>
      <c r="F1942" s="15">
        <f>IF(A1946=A1947,_xll.ciqfunctions.udf.CIQ(A1938,"IQ_DILUT_EPS_EXCL",IQ_FY-6), _xll.ciqfunctions.udf.CIQ(A1938, "IQ_DILUT_EPS_EXCL",IQ_FY-5))</f>
        <v>3.82</v>
      </c>
      <c r="G1942" s="15">
        <f>IF(A1946=A1947,_xll.ciqfunctions.udf.CIQ(A1938,"IQ_EBITDA_MARGIN",IQ_FY-6), _xll.ciqfunctions.udf.CIQ(A1938, "IQ_EBITDA_MARGIN",IQ_FY-5))</f>
        <v>17.977</v>
      </c>
      <c r="H1942" s="15">
        <f>IF(A1946=A1947,_xll.ciqfunctions.udf.CIQ(A1938,"IQ_TOTAL_DIV_PAID_CF",IQ_FY-6)/-I1942, _xll.ciqfunctions.udf.CIQ(A1938, "IQ_TOTAL_DIV_PAID_CF",IQ_FY-5)/-I1942)</f>
        <v>0</v>
      </c>
      <c r="I1942" s="17">
        <f>IF(A1946=A1947,_xll.ciqfunctions.udf.CIQ(A1938,"IQ_TOTAL_OUTSTANDING_FILING_DATE",IQ_FY-6), _xll.ciqfunctions.udf.CIQ(A1938, "IQ_TOTAL_OUTSTANDING_FILING_DATE",IQ_FY-5))</f>
        <v>63.3</v>
      </c>
      <c r="J1942" s="17">
        <f>IF(A1946=A1947,_xll.ciqfunctions.udf.CIQ(A1938,"IQ_CASH_OPER",IQ_FY-6), _xll.ciqfunctions.udf.CIQ(A1938, "IQ_CASH_OPER",IQ_FY-5))</f>
        <v>247.5</v>
      </c>
      <c r="K1942" s="17">
        <f>IF(A1946=A1947,_xll.ciqfunctions.udf.CIQ(A1938,"IQ_CAPEX",IQ_FY-6), _xll.ciqfunctions.udf.CIQ(A1938, "IQ_CAPEX",IQ_FY-5))</f>
        <v>-93.2</v>
      </c>
      <c r="L1942" s="15">
        <f t="shared" si="516"/>
        <v>2.4375987361769353</v>
      </c>
      <c r="M1942" s="17">
        <f>IF(A1946=A1947,_xll.ciqfunctions.udf.CIQ(A1938,"IQ_TOTAL_DEBT_ISSUED",IQ_FY-6), _xll.ciqfunctions.udf.CIQ(A1938, "IQ_TOTAL_DEBT_ISSUED",IQ_FY-5))</f>
        <v>0</v>
      </c>
      <c r="N1942" s="17">
        <f>IF(A1946=A1947,_xll.ciqfunctions.udf.CIQ(A1938,"IQ_TOTAL_DEBT_REPAID",IQ_FY-6), _xll.ciqfunctions.udf.CIQ(A1938, "IQ_TOTAL_DEBT_REPAID",IQ_FY-5))</f>
        <v>-6.4</v>
      </c>
      <c r="O1942" s="15">
        <f t="shared" si="517"/>
        <v>-0.10110584518167458</v>
      </c>
      <c r="P1942" s="15">
        <f t="shared" si="518"/>
        <v>2.3364928909952609</v>
      </c>
      <c r="Q1942" s="18"/>
      <c r="R1942" s="38" t="s">
        <v>50</v>
      </c>
      <c r="S1942" s="3">
        <f>I1949</f>
        <v>-2.7186790228027946E-2</v>
      </c>
      <c r="U1942" s="18"/>
      <c r="V1942" s="38" t="s">
        <v>50</v>
      </c>
      <c r="W1942" s="3">
        <f>I1949</f>
        <v>-2.7186790228027946E-2</v>
      </c>
      <c r="Y1942" s="18"/>
      <c r="Z1942" s="38" t="s">
        <v>50</v>
      </c>
      <c r="AA1942" s="3">
        <f>I1949</f>
        <v>-2.7186790228027946E-2</v>
      </c>
    </row>
    <row r="1943" spans="1:27">
      <c r="B1943" s="13">
        <v>6</v>
      </c>
      <c r="C1943" s="14" t="s">
        <v>26</v>
      </c>
      <c r="D1943" s="15" cm="1">
        <f t="array" ref="D1943">_xlfn.SINGLE(IF(A1946=A1947,_xll.ciqfunctions.udf.CIQ(A1938,"IQ_TOTAL_REV",IQ_FY-5)/I1943, _xll.ciqfunctions.udf.CIQ(A1938, "IQ_TOTAL_REV",IQ_FY-4)/I1943))</f>
        <v>20.355006501950584</v>
      </c>
      <c r="E1943" s="16">
        <f t="shared" si="519"/>
        <v>3.2677656146086219E-2</v>
      </c>
      <c r="F1943" s="15">
        <f>IF(A1946=A1947,_xll.ciqfunctions.udf.CIQ(A1938,"IQ_DILUT_EPS_EXCL",IQ_FY-5), _xll.ciqfunctions.udf.CIQ(A1938, "IQ_DILUT_EPS_EXCL",IQ_FY-4))</f>
        <v>-0.54</v>
      </c>
      <c r="G1943" s="15">
        <f>IF(A1946=A1947,_xll.ciqfunctions.udf.CIQ(A1938,"IQ_EBITDA_MARGIN",IQ_FY-5), _xll.ciqfunctions.udf.CIQ(A1938, "IQ_EBITDA_MARGIN",IQ_FY-4))</f>
        <v>19.088899999999999</v>
      </c>
      <c r="H1943" s="15">
        <f>IF(A1946=A1947,_xll.ciqfunctions.udf.CIQ(A1938,"IQ_TOTAL_DIV_PAID_CF",IQ_FY-5)/-I1943, _xll.ciqfunctions.udf.CIQ(A1938, "IQ_TOTAL_DIV_PAID_CF",IQ_FY-4)/-I1943)</f>
        <v>0</v>
      </c>
      <c r="I1943" s="17">
        <f>IF(A1946=A1947,_xll.ciqfunctions.udf.CIQ(A1938,"IQ_TOTAL_OUTSTANDING_FILING_DATE",IQ_FY-5), _xll.ciqfunctions.udf.CIQ(A1938, "IQ_TOTAL_OUTSTANDING_FILING_DATE",IQ_FY-4))</f>
        <v>76.900000000000006</v>
      </c>
      <c r="J1943" s="17">
        <f>IF(A1946=A1947,_xll.ciqfunctions.udf.CIQ(A1938,"IQ_CASH_OPER",IQ_FY-5), _xll.ciqfunctions.udf.CIQ(A1938, "IQ_CASH_OPER",IQ_FY-4))</f>
        <v>330.1</v>
      </c>
      <c r="K1943" s="17">
        <f>IF(A1946=A1947,_xll.ciqfunctions.udf.CIQ(A1938,"IQ_CAPEX",IQ_FY-5), _xll.ciqfunctions.udf.CIQ(A1938, "IQ_CAPEX",IQ_FY-4))</f>
        <v>-167.3</v>
      </c>
      <c r="L1943" s="15">
        <f t="shared" si="516"/>
        <v>2.11703511053316</v>
      </c>
      <c r="M1943" s="17">
        <f>IF(A1946=A1947,_xll.ciqfunctions.udf.CIQ(A1938,"IQ_TOTAL_DEBT_ISSUED",IQ_FY-5), _xll.ciqfunctions.udf.CIQ(A1938, "IQ_TOTAL_DEBT_ISSUED",IQ_FY-4))</f>
        <v>490.8</v>
      </c>
      <c r="N1943" s="17">
        <f>IF(A1946=A1947,_xll.ciqfunctions.udf.CIQ(A1938,"IQ_TOTAL_DEBT_REPAID",IQ_FY-5), _xll.ciqfunctions.udf.CIQ(A1938, "IQ_TOTAL_DEBT_REPAID",IQ_FY-4))</f>
        <v>-11.3</v>
      </c>
      <c r="O1943" s="15">
        <f t="shared" si="517"/>
        <v>6.2353706111833542</v>
      </c>
      <c r="P1943" s="15">
        <f t="shared" si="518"/>
        <v>8.3524057217165151</v>
      </c>
      <c r="Q1943" s="25" t="s">
        <v>27</v>
      </c>
      <c r="R1943" s="38" t="s">
        <v>51</v>
      </c>
      <c r="S1943" s="4">
        <f>AVERAGE(F1943:F1948)/AVERAGE(D1943:D1948)</f>
        <v>2.8897898613585913E-2</v>
      </c>
      <c r="U1943" s="25" t="s">
        <v>58</v>
      </c>
      <c r="V1943" s="38" t="s">
        <v>51</v>
      </c>
      <c r="W1943" s="4">
        <f>AVERAGE(F1943:F1948)/AVERAGE(D1943:D1948)</f>
        <v>2.8897898613585913E-2</v>
      </c>
      <c r="Y1943" s="25" t="s">
        <v>56</v>
      </c>
      <c r="Z1943" s="38" t="s">
        <v>51</v>
      </c>
      <c r="AA1943" s="4">
        <f>AVERAGE(F1943:F1948)/AVERAGE(D1943:D1948)</f>
        <v>2.8897898613585913E-2</v>
      </c>
    </row>
    <row r="1944" spans="1:27">
      <c r="A1944" s="18"/>
      <c r="B1944" s="13">
        <v>7</v>
      </c>
      <c r="C1944" s="14" t="s">
        <v>28</v>
      </c>
      <c r="D1944" s="15" cm="1">
        <f t="array" ref="D1944">_xlfn.SINGLE(IF(A1946=A1947,_xll.ciqfunctions.udf.CIQ(A1938,"IQ_TOTAL_REV",IQ_FY-4)/I1944, _xll.ciqfunctions.udf.CIQ(A1938, "IQ_TOTAL_REV",IQ_FY-3)/I1944))</f>
        <v>22.321808510638295</v>
      </c>
      <c r="E1944" s="16">
        <f t="shared" si="519"/>
        <v>9.662497570311443E-2</v>
      </c>
      <c r="F1944" s="15">
        <f>IF(A1946=A1947,_xll.ciqfunctions.udf.CIQ(A1938,"IQ_DILUT_EPS_EXCL",IQ_FY-4), _xll.ciqfunctions.udf.CIQ(A1938, "IQ_DILUT_EPS_EXCL",IQ_FY-3))</f>
        <v>1.75</v>
      </c>
      <c r="G1944" s="15">
        <f>IF(A1946=A1947,_xll.ciqfunctions.udf.CIQ(A1938,"IQ_EBITDA_MARGIN",IQ_FY-4), _xll.ciqfunctions.udf.CIQ(A1938, "IQ_EBITDA_MARGIN",IQ_FY-3))</f>
        <v>25.747599999999998</v>
      </c>
      <c r="H1944" s="15">
        <f>IF(A1946=A1947,_xll.ciqfunctions.udf.CIQ(A1938,"IQ_TOTAL_DIV_PAID_CF",IQ_FY-4)/-I1944, _xll.ciqfunctions.udf.CIQ(A1938, "IQ_TOTAL_DIV_PAID_CF",IQ_FY-3)/-I1944)</f>
        <v>0</v>
      </c>
      <c r="I1944" s="17">
        <f>IF(A1946=A1947,_xll.ciqfunctions.udf.CIQ(A1938,"IQ_TOTAL_OUTSTANDING_FILING_DATE",IQ_FY-4), _xll.ciqfunctions.udf.CIQ(A1938, "IQ_TOTAL_OUTSTANDING_FILING_DATE",IQ_FY-3))</f>
        <v>75.2</v>
      </c>
      <c r="J1944" s="17">
        <f>IF(A1946=A1947,_xll.ciqfunctions.udf.CIQ(A1938,"IQ_CASH_OPER",IQ_FY-4), _xll.ciqfunctions.udf.CIQ(A1938, "IQ_CASH_OPER",IQ_FY-3))</f>
        <v>524.29999999999995</v>
      </c>
      <c r="K1944" s="17">
        <f>IF(A1946=A1947,_xll.ciqfunctions.udf.CIQ(A1938,"IQ_CAPEX",IQ_FY-4), _xll.ciqfunctions.udf.CIQ(A1938, "IQ_CAPEX",IQ_FY-3))</f>
        <v>-90</v>
      </c>
      <c r="L1944" s="15">
        <f t="shared" si="516"/>
        <v>5.7752659574468073</v>
      </c>
      <c r="M1944" s="17">
        <f>IF(A1946=A1947,_xll.ciqfunctions.udf.CIQ(A1938,"IQ_TOTAL_DEBT_ISSUED",IQ_FY-4), _xll.ciqfunctions.udf.CIQ(A1938, "IQ_TOTAL_DEBT_ISSUED",IQ_FY-3))</f>
        <v>1042.2</v>
      </c>
      <c r="N1944" s="17">
        <f>IF(A1946=A1947,_xll.ciqfunctions.udf.CIQ(A1938,"IQ_TOTAL_DEBT_REPAID",IQ_FY-4), _xll.ciqfunctions.udf.CIQ(A1938, "IQ_TOTAL_DEBT_REPAID",IQ_FY-3))</f>
        <v>-510</v>
      </c>
      <c r="O1944" s="15">
        <f t="shared" si="517"/>
        <v>7.0771276595744688</v>
      </c>
      <c r="P1944" s="15">
        <f t="shared" si="518"/>
        <v>12.852393617021276</v>
      </c>
      <c r="Q1944" s="18"/>
      <c r="R1944" s="38" t="s">
        <v>29</v>
      </c>
      <c r="S1944" s="4">
        <f>(AVERAGE(P1943:P1948)/_xlfn.STDEV.P(P1943:P1948))/(IF(A1946=A1947,(_xlfn.SINGLE(_xll.ciqfunctions.udf.CIQ(A1938,"IQ_total_assets",IQ_FY)) - _xlfn.SINGLE(_xll.ciqfunctions.udf.CIQ(A1938,"iq_gw_intan", IQ_FY)))/I1948, (_xlfn.SINGLE(_xll.ciqfunctions.udf.CIQ(A1938, "IQ_total_assets",IQ_LTM))-_xlfn.SINGLE(_xll.ciqfunctions.udf.CIQ(A1938,"iq_gw_intan",IQ_LTM)))/I1948))</f>
        <v>5.2832888801040673E-2</v>
      </c>
      <c r="U1944" s="18"/>
      <c r="V1944" s="38" t="s">
        <v>29</v>
      </c>
      <c r="W1944" s="4">
        <f>(AVERAGE(P1943:P1948)/_xlfn.STDEV.P(P1943:P1948))/(IF(A1946=A1947,(_xlfn.SINGLE(_xll.ciqfunctions.udf.CIQ(A1938,"IQ_total_assets",IQ_FY)) - _xlfn.SINGLE(_xll.ciqfunctions.udf.CIQ(A1938,"iq_gw_intan", IQ_FY)))/I1948, (_xlfn.SINGLE(_xll.ciqfunctions.udf.CIQ(A1938, "IQ_total_assets",IQ_LTM))-_xlfn.SINGLE(_xll.ciqfunctions.udf.CIQ(A1938,"iq_gw_intan",IQ_LTM)))/I1948))</f>
        <v>5.2832888801040673E-2</v>
      </c>
      <c r="Y1944" s="18"/>
      <c r="Z1944" s="38" t="s">
        <v>29</v>
      </c>
      <c r="AA1944" s="4">
        <f>(AVERAGE(P1943:P1948)/_xlfn.STDEV.P(P1943:P1948))/(IF(A1946=A1947,(_xlfn.SINGLE(_xll.ciqfunctions.udf.CIQ(A1938,"IQ_total_assets",IQ_FY)) - _xlfn.SINGLE(_xll.ciqfunctions.udf.CIQ(A1938,"iq_gw_intan", IQ_FY)))/I1948, (_xlfn.SINGLE(_xll.ciqfunctions.udf.CIQ(A1938, "IQ_total_assets",IQ_LTM))-_xlfn.SINGLE(_xll.ciqfunctions.udf.CIQ(A1938,"iq_gw_intan",IQ_LTM)))/I1948))</f>
        <v>5.2832888801040673E-2</v>
      </c>
    </row>
    <row r="1945" spans="1:27">
      <c r="A1945" s="18"/>
      <c r="B1945" s="13">
        <v>8</v>
      </c>
      <c r="C1945" s="14" t="s">
        <v>30</v>
      </c>
      <c r="D1945" s="15" cm="1">
        <f t="array" ref="D1945">_xlfn.SINGLE(IF(A1946=A1947,_xll.ciqfunctions.udf.CIQ(A1938,"IQ_TOTAL_REV",IQ_FY-3)/I1945, _xll.ciqfunctions.udf.CIQ(A1938, "IQ_TOTAL_REV",IQ_FY-2)/I1945))</f>
        <v>23.972489683631359</v>
      </c>
      <c r="E1945" s="16">
        <f t="shared" si="519"/>
        <v>7.3949257839317536E-2</v>
      </c>
      <c r="F1945" s="15">
        <f>IF(A1946=A1947,_xll.ciqfunctions.udf.CIQ(A1938,"IQ_DILUT_EPS_EXCL",IQ_FY-3), _xll.ciqfunctions.udf.CIQ(A1938, "IQ_DILUT_EPS_EXCL",IQ_FY-2))</f>
        <v>5.07</v>
      </c>
      <c r="G1945" s="15">
        <f>IF(A1946=A1947,_xll.ciqfunctions.udf.CIQ(A1938,"IQ_EBITDA_MARGIN",IQ_FY-3), _xll.ciqfunctions.udf.CIQ(A1938, "IQ_EBITDA_MARGIN",IQ_FY-2))</f>
        <v>29.245999999999999</v>
      </c>
      <c r="H1945" s="15">
        <f>IF(A1946=A1947,_xll.ciqfunctions.udf.CIQ(A1938,"IQ_TOTAL_DIV_PAID_CF",IQ_FY-3)/-I1945, _xll.ciqfunctions.udf.CIQ(A1938, "IQ_TOTAL_DIV_PAID_CF",IQ_FY-2)/-I1945)</f>
        <v>0</v>
      </c>
      <c r="I1945" s="17">
        <f>IF(A1946=A1947,_xll.ciqfunctions.udf.CIQ(A1938,"IQ_TOTAL_OUTSTANDING_FILING_DATE",IQ_FY-3), _xll.ciqfunctions.udf.CIQ(A1938, "IQ_TOTAL_OUTSTANDING_FILING_DATE",IQ_FY-2))</f>
        <v>72.7</v>
      </c>
      <c r="J1945" s="17">
        <f>IF(A1946=A1947,_xll.ciqfunctions.udf.CIQ(A1938,"IQ_CASH_OPER",IQ_FY-3), _xll.ciqfunctions.udf.CIQ(A1938, "IQ_CASH_OPER",IQ_FY-2))</f>
        <v>738.7</v>
      </c>
      <c r="K1945" s="17">
        <f>IF(A1946=A1947,_xll.ciqfunctions.udf.CIQ(A1938,"IQ_CAPEX",IQ_FY-3), _xll.ciqfunctions.udf.CIQ(A1938, "IQ_CAPEX",IQ_FY-2))</f>
        <v>-94.8</v>
      </c>
      <c r="L1945" s="15">
        <f t="shared" si="516"/>
        <v>8.8569463548830818</v>
      </c>
      <c r="M1945" s="17">
        <f>IF(A1946=A1947,_xll.ciqfunctions.udf.CIQ(A1938,"IQ_TOTAL_DEBT_ISSUED",IQ_FY-3), _xll.ciqfunctions.udf.CIQ(A1938, "IQ_TOTAL_DEBT_ISSUED",IQ_FY-2))</f>
        <v>0</v>
      </c>
      <c r="N1945" s="17">
        <f>IF(A1946=A1947,_xll.ciqfunctions.udf.CIQ(A1938,"IQ_TOTAL_DEBT_REPAID",IQ_FY-3), _xll.ciqfunctions.udf.CIQ(A1938, "IQ_TOTAL_DEBT_REPAID",IQ_FY-2))</f>
        <v>-0.5</v>
      </c>
      <c r="O1945" s="15">
        <f t="shared" si="517"/>
        <v>-6.8775790921595595E-3</v>
      </c>
      <c r="P1945" s="15">
        <f t="shared" si="518"/>
        <v>8.8500687757909215</v>
      </c>
      <c r="Q1945" s="18"/>
      <c r="R1945" s="39" t="s">
        <v>31</v>
      </c>
      <c r="S1945" s="5">
        <f>IF(NOT(D1938&gt;0),FALSE,SLOPE(G1938:G1948,B1938:B1948))</f>
        <v>1.4066872727272726</v>
      </c>
      <c r="U1945" s="18"/>
      <c r="V1945" s="39" t="s">
        <v>31</v>
      </c>
      <c r="W1945" s="5">
        <f>IF(NOT(D1938&gt;0),FALSE,SLOPE(G1938:G1948,B1938:B1948))</f>
        <v>1.4066872727272726</v>
      </c>
      <c r="Y1945" s="18"/>
      <c r="Z1945" s="39" t="s">
        <v>31</v>
      </c>
      <c r="AA1945" s="5" t="b">
        <f>IF(NOT(L1938&gt;0),FALSE,SLOPE(O1938:O1948,J1938:J1948))</f>
        <v>0</v>
      </c>
    </row>
    <row r="1946" spans="1:27">
      <c r="A1946" s="19">
        <f>_xll.ciqfunctions.udf.CIQ(A1938,"IQ_TOTAL_REV",IQ_FY)</f>
        <v>1767</v>
      </c>
      <c r="B1946" s="13">
        <v>9</v>
      </c>
      <c r="C1946" s="14" t="s">
        <v>32</v>
      </c>
      <c r="D1946" s="15" cm="1">
        <f t="array" ref="D1946">_xlfn.SINGLE(IF(A1946=A1947,_xll.ciqfunctions.udf.CIQ(A1938,"IQ_TOTAL_REV",IQ_FY-2)/I1946, _xll.ciqfunctions.udf.CIQ(A1938, "IQ_TOTAL_REV",IQ_FY-1)/I1946))</f>
        <v>25.148311306901615</v>
      </c>
      <c r="E1946" s="16">
        <f t="shared" si="519"/>
        <v>4.9048790458886625E-2</v>
      </c>
      <c r="F1946" s="15">
        <f>IF(A1946=A1947,_xll.ciqfunctions.udf.CIQ(A1938,"IQ_DILUT_EPS_EXCL",IQ_FY-2), _xll.ciqfunctions.udf.CIQ(A1938, "IQ_DILUT_EPS_EXCL",IQ_FY-1))</f>
        <v>2.68</v>
      </c>
      <c r="G1946" s="15">
        <f>IF(A1946=A1947,_xll.ciqfunctions.udf.CIQ(A1938,"IQ_EBITDA_MARGIN",IQ_FY-2), _xll.ciqfunctions.udf.CIQ(A1938, "IQ_EBITDA_MARGIN",IQ_FY-1))</f>
        <v>27.916599999999999</v>
      </c>
      <c r="H1946" s="15">
        <f>IF(A1946=A1947,_xll.ciqfunctions.udf.CIQ(A1938,"IQ_TOTAL_DIV_PAID_CF",IQ_FY-2)/-I1946, _xll.ciqfunctions.udf.CIQ(A1938, "IQ_TOTAL_DIV_PAID_CF",IQ_FY-1)/-I1946)</f>
        <v>0</v>
      </c>
      <c r="I1946" s="17">
        <f>IF(A1946=A1947,_xll.ciqfunctions.udf.CIQ(A1938,"IQ_TOTAL_OUTSTANDING_FILING_DATE",IQ_FY-2), _xll.ciqfunctions.udf.CIQ(A1938, "IQ_TOTAL_OUTSTANDING_FILING_DATE",IQ_FY-1))</f>
        <v>68.099999999999994</v>
      </c>
      <c r="J1946" s="17">
        <f>IF(A1946=A1947,_xll.ciqfunctions.udf.CIQ(A1938,"IQ_CASH_OPER",IQ_FY-2), _xll.ciqfunctions.udf.CIQ(A1938, "IQ_CASH_OPER",IQ_FY-1))</f>
        <v>459.3</v>
      </c>
      <c r="K1946" s="17">
        <f>IF(A1946=A1947,_xll.ciqfunctions.udf.CIQ(A1938,"IQ_CAPEX",IQ_FY-2), _xll.ciqfunctions.udf.CIQ(A1938, "IQ_CAPEX",IQ_FY-1))</f>
        <v>-91.2</v>
      </c>
      <c r="L1946" s="15">
        <f t="shared" si="516"/>
        <v>5.4052863436123353</v>
      </c>
      <c r="M1946" s="17">
        <f>IF(A1946=A1947,_xll.ciqfunctions.udf.CIQ(A1938,"IQ_TOTAL_DEBT_ISSUED",IQ_FY-2), _xll.ciqfunctions.udf.CIQ(A1938, "IQ_TOTAL_DEBT_ISSUED",IQ_FY-1))</f>
        <v>854.1</v>
      </c>
      <c r="N1946" s="17">
        <f>IF(A1946=A1947,_xll.ciqfunctions.udf.CIQ(A1938,"IQ_TOTAL_DEBT_REPAID",IQ_FY-2), _xll.ciqfunctions.udf.CIQ(A1938, "IQ_TOTAL_DEBT_REPAID",IQ_FY-1))</f>
        <v>-1.8</v>
      </c>
      <c r="O1946" s="15">
        <f t="shared" si="517"/>
        <v>12.515418502202646</v>
      </c>
      <c r="P1946" s="15">
        <f t="shared" si="518"/>
        <v>17.920704845814981</v>
      </c>
      <c r="Q1946" s="25" t="s">
        <v>33</v>
      </c>
      <c r="R1946" s="38" t="s">
        <v>52</v>
      </c>
      <c r="S1946" s="4">
        <f>(AVERAGE(O1943:O1948)/AVERAGE(P1943:P1948))</f>
        <v>0.63447835036539224</v>
      </c>
      <c r="U1946" s="25" t="s">
        <v>54</v>
      </c>
      <c r="V1946" s="38" t="s">
        <v>52</v>
      </c>
      <c r="W1946" s="4">
        <f>(AVERAGE(O1943:O1948)/AVERAGE(P1943:P1948))</f>
        <v>0.63447835036539224</v>
      </c>
      <c r="Y1946" s="25" t="s">
        <v>60</v>
      </c>
      <c r="Z1946" s="38" t="s">
        <v>52</v>
      </c>
      <c r="AA1946" s="4">
        <f>(AVERAGE(O1943:O1948)/AVERAGE(P1943:P1948))</f>
        <v>0.63447835036539224</v>
      </c>
    </row>
    <row r="1947" spans="1:27">
      <c r="A1947" s="19">
        <f>_xll.ciqfunctions.udf.CIQ(A1938,"IQ_TOTAL_REV",IQ_LTM)</f>
        <v>1577.8</v>
      </c>
      <c r="B1947" s="13">
        <v>10</v>
      </c>
      <c r="C1947" s="14" t="s">
        <v>34</v>
      </c>
      <c r="D1947" s="15" cm="1">
        <f t="array" ref="D1947">_xlfn.SINGLE(IF(A1946=A1947,_xll.ciqfunctions.udf.CIQ(A1938,"IQ_TOTAL_REV",IQ_FY-1)/I1947, _xll.ciqfunctions.udf.CIQ(A1938, "IQ_TOTAL_REV",IQ_FY)/I1947))</f>
        <v>26.491754122938531</v>
      </c>
      <c r="E1947" s="16">
        <f t="shared" si="519"/>
        <v>5.3420796316777978E-2</v>
      </c>
      <c r="F1947" s="15">
        <f>IF(A1946=A1947,_xll.ciqfunctions.udf.CIQ(A1938,"IQ_DILUT_EPS_EXCL",IQ_FY-1), _xll.ciqfunctions.udf.CIQ(A1938, "IQ_DILUT_EPS_EXCL",IQ_FY))</f>
        <v>-1.93</v>
      </c>
      <c r="G1947" s="15">
        <f>IF(A1946=A1947,_xll.ciqfunctions.udf.CIQ(A1938,"IQ_EBITDA_MARGIN",IQ_FY-1), _xll.ciqfunctions.udf.CIQ(A1938, "IQ_EBITDA_MARGIN",IQ_FY))</f>
        <v>14.0916</v>
      </c>
      <c r="H1947" s="15">
        <f>IF(A1946=A1947,_xll.ciqfunctions.udf.CIQ(A1938,"IQ_TOTAL_DIV_PAID_CF",IQ_FY-1)/-I1947, _xll.ciqfunctions.udf.CIQ(A1938, "IQ_TOTAL_DIV_PAID_CF",IQ_FY)/-I1947)</f>
        <v>0</v>
      </c>
      <c r="I1947" s="17">
        <f>IF(A1946=A1947,_xll.ciqfunctions.udf.CIQ(A1938,"IQ_TOTAL_OUTSTANDING_FILING_DATE",IQ_FY-1), _xll.ciqfunctions.udf.CIQ(A1938, "IQ_TOTAL_OUTSTANDING_FILING_DATE",IQ_FY))</f>
        <v>66.7</v>
      </c>
      <c r="J1947" s="17">
        <f>IF(A1946=A1947,_xll.ciqfunctions.udf.CIQ(A1938,"IQ_CASH_OPER",IQ_FY-1), _xll.ciqfunctions.udf.CIQ(A1938, "IQ_CASH_OPER",IQ_FY))</f>
        <v>179.8</v>
      </c>
      <c r="K1947" s="17">
        <f>IF(A1946=A1947,_xll.ciqfunctions.udf.CIQ(A1938,"IQ_CAPEX",IQ_FY-1), _xll.ciqfunctions.udf.CIQ(A1938, "IQ_CAPEX",IQ_FY))</f>
        <v>-128.5</v>
      </c>
      <c r="L1947" s="15">
        <f t="shared" si="516"/>
        <v>0.76911544227886075</v>
      </c>
      <c r="M1947" s="17">
        <f>IF(A1946=A1947,_xll.ciqfunctions.udf.CIQ(A1938,"IQ_TOTAL_DEBT_ISSUED",IQ_FY-1), _xll.ciqfunctions.udf.CIQ(A1938, "IQ_TOTAL_DEBT_ISSUED",IQ_FY))</f>
        <v>599.4</v>
      </c>
      <c r="N1947" s="17">
        <f>IF(A1946=A1947,_xll.ciqfunctions.udf.CIQ(A1938,"IQ_TOTAL_DEBT_REPAID",IQ_FY-1), _xll.ciqfunctions.udf.CIQ(A1938, "IQ_TOTAL_DEBT_REPAID",IQ_FY))</f>
        <v>-138.69999999999999</v>
      </c>
      <c r="O1947" s="15">
        <f t="shared" si="517"/>
        <v>6.9070464767616189</v>
      </c>
      <c r="P1947" s="15">
        <f t="shared" si="518"/>
        <v>7.6761619190404797</v>
      </c>
      <c r="Q1947" s="25" t="s">
        <v>44</v>
      </c>
      <c r="R1947" s="38" t="s">
        <v>35</v>
      </c>
      <c r="S1947" s="1">
        <f>_xll.ciqfunctions.udf.CIQ(A1938,"IQ_TEV_EBITDA")</f>
        <v>21.96171</v>
      </c>
      <c r="U1947" s="25" t="s">
        <v>55</v>
      </c>
      <c r="V1947" s="38" t="s">
        <v>53</v>
      </c>
      <c r="W1947" s="1">
        <f>V1937/(AVERAGE(D1943:D1948)/_xlfn.STDEV.P(E1943:E1948))</f>
        <v>0.12367644485780133</v>
      </c>
      <c r="Y1947" s="25" t="s">
        <v>57</v>
      </c>
      <c r="Z1947" s="38" t="s">
        <v>53</v>
      </c>
      <c r="AA1947" s="1">
        <f>Z1937/(AVERAGE(D1943:D1948)/_xlfn.STDEV.P(E1943:E1948))</f>
        <v>0.12367644485780133</v>
      </c>
    </row>
    <row r="1948" spans="1:27">
      <c r="B1948" s="13">
        <v>11</v>
      </c>
      <c r="C1948" s="20" t="s">
        <v>36</v>
      </c>
      <c r="D1948" s="21" cm="1">
        <f t="array" ref="D1948">_xlfn.SINGLE(IF(A1946=A1947,_xll.ciqfunctions.udf.CIQ(A1938,"IQ_TOTAL_REV",IQ_FY)/I1948, _xll.ciqfunctions.udf.CIQ(A1938, "IQ_TOTAL_REV",IQ_LTM)/I1948))</f>
        <v>23.549316998165068</v>
      </c>
      <c r="E1948" s="22">
        <f t="shared" si="519"/>
        <v>-0.11106992429110921</v>
      </c>
      <c r="F1948" s="21">
        <f>IF(A1946=A1947,_xll.ciqfunctions.udf.CIQ(A1938,"IQ_DILUT_EPS_EXCL",IQ_FY), _xll.ciqfunctions.udf.CIQ(A1938, "IQ_DILUT_EPS_EXCL",IQ_LTM))</f>
        <v>-2.9311600000000002</v>
      </c>
      <c r="G1948" s="21">
        <f>IF(A1946=A1947,_xll.ciqfunctions.udf.CIQ(A1938,"IQ_EBITDA_MARGIN",IQ_FY), _xll.ciqfunctions.udf.CIQ(A1938, "IQ_EBITDA_MARGIN",IQ_LTM))</f>
        <v>10.178699999999999</v>
      </c>
      <c r="H1948" s="21">
        <f>IF(A1946=A1947,_xll.ciqfunctions.udf.CIQ(A1938,"IQ_TOTAL_DIV_PAID_CF",IQ_FY)/-I1948, _xll.ciqfunctions.udf.CIQ(A1938, "IQ_TOTAL_DIV_PAID_CF",IQ_LTM)/-I1948)</f>
        <v>0</v>
      </c>
      <c r="I1948" s="23">
        <f>IF(A1946=A1947,_xll.ciqfunctions.udf.CIQ(A1938,"IQ_TOTAL_OUTSTANDING_FILING_DATE",IQ_FY),_xll.ciqfunctions.udf.CIQ(A1938,"IQ_sharesoutstanding"))</f>
        <v>66.99982</v>
      </c>
      <c r="J1948" s="23">
        <f>IF(A1946=A1947,_xll.ciqfunctions.udf.CIQ(A1938,"IQ_CASH_OPER",IQ_FY), _xll.ciqfunctions.udf.CIQ(A1938, "IQ_CASH_OPER",IQ_LTM))</f>
        <v>156.69999999999999</v>
      </c>
      <c r="K1948" s="23">
        <f>IF(A1946=A1947,_xll.ciqfunctions.udf.CIQ(A1938,"IQ_CAPEX",IQ_FY), _xll.ciqfunctions.udf.CIQ(A1938, "IQ_CAPEX",IQ_LTM))</f>
        <v>-163.4</v>
      </c>
      <c r="L1948" s="21">
        <f t="shared" si="516"/>
        <v>-0.10000026865743844</v>
      </c>
      <c r="M1948" s="23">
        <f>IF(A1946=A1947,_xll.ciqfunctions.udf.CIQ(A1938,"IQ_TOTAL_DEBT_ISSUED",IQ_FY), _xll.ciqfunctions.udf.CIQ(A1938, "IQ_TOTAL_DEBT_ISSUED",IQ_LTM))</f>
        <v>599.4</v>
      </c>
      <c r="N1948" s="23">
        <f>IF(A1946=A1947,_xll.ciqfunctions.udf.CIQ(A1938,"IQ_TOTAL_DEBT_REPAID",IQ_FY), _xll.ciqfunctions.udf.CIQ(A1938, "IQ_TOTAL_DEBT_REPAID",IQ_LTM))</f>
        <v>-137.80000000000001</v>
      </c>
      <c r="O1948" s="21">
        <f t="shared" si="517"/>
        <v>6.8895707481005166</v>
      </c>
      <c r="P1948" s="21">
        <f t="shared" si="518"/>
        <v>6.7895704794430785</v>
      </c>
      <c r="Q1948" s="25" t="s">
        <v>45</v>
      </c>
      <c r="S1948" s="45"/>
      <c r="U1948" s="25"/>
      <c r="W1948" s="45"/>
      <c r="Y1948" s="25"/>
      <c r="AA1948" s="45"/>
    </row>
    <row r="1949" spans="1:27">
      <c r="B1949" s="24"/>
      <c r="C1949" s="25" t="s">
        <v>37</v>
      </c>
      <c r="E1949" s="26">
        <f>((D1948/D1943)^(1/5))-1</f>
        <v>2.9583120867581414E-2</v>
      </c>
      <c r="F1949" s="27">
        <f>((F1948/F1943)^(1/5))-1</f>
        <v>0.40258488087732025</v>
      </c>
      <c r="G1949" s="28"/>
      <c r="H1949" s="27" t="e">
        <f>((H1948/H1943)^(1/5))-1</f>
        <v>#DIV/0!</v>
      </c>
      <c r="I1949" s="27">
        <f>((I1948/I1943)^(1/5))-1</f>
        <v>-2.7186790228027946E-2</v>
      </c>
      <c r="J1949" s="27"/>
      <c r="K1949" s="27"/>
      <c r="L1949" s="26">
        <f>((L1948/L1943)^(1/5))-1</f>
        <v>-1.543068510478864</v>
      </c>
      <c r="M1949" s="26"/>
      <c r="N1949" s="26"/>
      <c r="O1949" s="26"/>
      <c r="P1949" s="26">
        <f>((P1948/P1943)^(1/5))-1</f>
        <v>-4.058579625138703E-2</v>
      </c>
      <c r="Q1949" s="18"/>
      <c r="R1949" s="36"/>
      <c r="S1949" s="45"/>
      <c r="U1949" s="18"/>
      <c r="V1949" s="36"/>
      <c r="W1949" s="45"/>
      <c r="Y1949" s="18"/>
      <c r="Z1949" s="36"/>
      <c r="AA1949" s="45"/>
    </row>
    <row r="1950" spans="1:27">
      <c r="A1950" s="29"/>
      <c r="B1950" s="30"/>
      <c r="C1950" s="31" t="s">
        <v>38</v>
      </c>
      <c r="D1950" s="29"/>
      <c r="E1950" s="32">
        <f>((D1948/D1938)^(1/10))-1</f>
        <v>5.4060511013990453E-2</v>
      </c>
      <c r="F1950" s="33" t="e">
        <f>((F1948/F1938)^(1/10))-1</f>
        <v>#NUM!</v>
      </c>
      <c r="G1950" s="34"/>
      <c r="H1950" s="33" t="e">
        <f>((H1948/H1938)^(1/10))-1</f>
        <v>#DIV/0!</v>
      </c>
      <c r="I1950" s="33">
        <f>((I1948/I1938)^(1/10))-1</f>
        <v>1.3140393825680885E-2</v>
      </c>
      <c r="J1950" s="33"/>
      <c r="K1950" s="33"/>
      <c r="L1950" s="32">
        <f>((L1948/L1938)^(1/10))-1</f>
        <v>0.15431687777541447</v>
      </c>
      <c r="M1950" s="32"/>
      <c r="N1950" s="32"/>
      <c r="O1950" s="32"/>
      <c r="P1950" s="32" t="e">
        <f>((P1948/P1938)^(1/10))-1</f>
        <v>#NUM!</v>
      </c>
      <c r="Q1950" s="40"/>
      <c r="R1950" s="41"/>
      <c r="S1950" s="46"/>
      <c r="U1950" s="40"/>
      <c r="V1950" s="41"/>
      <c r="W1950" s="46"/>
      <c r="Y1950" s="40"/>
      <c r="Z1950" s="41"/>
      <c r="AA1950" s="46"/>
    </row>
    <row r="1951" spans="1:27">
      <c r="B1951" s="24"/>
      <c r="C1951" s="25"/>
      <c r="E1951" s="26"/>
      <c r="F1951" s="27"/>
      <c r="G1951" s="28"/>
      <c r="H1951" s="27"/>
      <c r="I1951" s="27"/>
      <c r="J1951" s="27"/>
      <c r="K1951" s="27"/>
      <c r="L1951" s="26"/>
      <c r="M1951" s="17"/>
      <c r="N1951" s="17"/>
      <c r="O1951" s="17"/>
      <c r="P1951" s="35"/>
      <c r="Q1951" s="18"/>
      <c r="R1951" s="36"/>
    </row>
    <row r="1952" spans="1:27">
      <c r="A1952" s="9" t="s">
        <v>0</v>
      </c>
      <c r="B1952" s="10"/>
      <c r="C1952" s="9" t="s">
        <v>1</v>
      </c>
      <c r="D1952" s="9" t="s">
        <v>2</v>
      </c>
      <c r="E1952" s="9" t="s">
        <v>3</v>
      </c>
      <c r="F1952" s="11" t="s">
        <v>4</v>
      </c>
      <c r="G1952" s="11" t="s">
        <v>5</v>
      </c>
      <c r="H1952" s="9" t="s">
        <v>6</v>
      </c>
      <c r="I1952" s="11" t="s">
        <v>7</v>
      </c>
      <c r="J1952" s="11" t="s">
        <v>8</v>
      </c>
      <c r="K1952" s="11" t="s">
        <v>9</v>
      </c>
      <c r="L1952" s="11" t="s">
        <v>10</v>
      </c>
      <c r="M1952" s="11" t="s">
        <v>11</v>
      </c>
      <c r="N1952" s="11" t="s">
        <v>12</v>
      </c>
      <c r="O1952" s="11" t="s">
        <v>13</v>
      </c>
      <c r="P1952" s="11" t="s">
        <v>14</v>
      </c>
      <c r="Q1952" s="37" t="s">
        <v>15</v>
      </c>
      <c r="R1952" s="42">
        <f>_xll.ciqfunctions.udf.CIQ(A1953,("IQ_LASTSALEPRICE"))</f>
        <v>16.605</v>
      </c>
      <c r="S1952" s="44"/>
      <c r="U1952" s="37" t="s">
        <v>15</v>
      </c>
      <c r="V1952" s="42">
        <f>_xll.ciqfunctions.udf.CIQ(A1953,("IQ_LASTSALEPRICE"))</f>
        <v>16.605</v>
      </c>
      <c r="W1952" s="44"/>
      <c r="Y1952" s="37" t="s">
        <v>15</v>
      </c>
      <c r="Z1952" s="42">
        <f>_xll.ciqfunctions.udf.CIQ(A1953,("IQ_LASTSALEPRICE"))</f>
        <v>16.605</v>
      </c>
      <c r="AA1952" s="44"/>
    </row>
    <row r="1953" spans="1:27">
      <c r="A1953" s="12" t="str">
        <f>Analysis!B132</f>
        <v>NasdaqGS:EXTR</v>
      </c>
      <c r="B1953" s="13">
        <v>1</v>
      </c>
      <c r="C1953" s="14" t="s">
        <v>16</v>
      </c>
      <c r="D1953" s="15">
        <f>IF(A1961=A1962,_xll.ciqfunctions.udf.CIQ(A1953,"IQ_TOTAL_REV",IQ_FY-10)/I1953,_xll.ciqfunctions.udf.CIQ(A1953, "IQ_TOTAL_REV",IQ_FY-9)/I1953)</f>
        <v>5.3346736227550746</v>
      </c>
      <c r="E1953" s="16"/>
      <c r="F1953" s="15">
        <f>IF(A1961=A1962,_xll.ciqfunctions.udf.CIQ(A1953,"IQ_DILUT_EPS_EXCL",IQ_FY-10), _xll.ciqfunctions.udf.CIQ(A1953, "IQ_DILUT_EPS_EXCL",IQ_FY-9))</f>
        <v>-0.60001000000000004</v>
      </c>
      <c r="G1953" s="15">
        <f>IF(A1961=A1962,_xll.ciqfunctions.udf.CIQ(A1953,"IQ_EBITDA_MARGIN",IQ_FY-10), _xll.ciqfunctions.udf.CIQ(A1953, "IQ_EBITDA_MARGIN",IQ_FY-9))</f>
        <v>5.0991</v>
      </c>
      <c r="H1953" s="15">
        <f>IF(A1961=A1962,_xll.ciqfunctions.udf.CIQ(A1953,"IQ_TOTAL_DIV_PAID_CF",IQ_FY-10)/-I1953, _xll.ciqfunctions.udf.CIQ(A1953, "IQ_TOTAL_DIV_PAID_CF",IQ_FY-9)/-I1953)</f>
        <v>0</v>
      </c>
      <c r="I1953" s="17">
        <f>IF(A1961=A1962,_xll.ciqfunctions.udf.CIQ(A1953,"IQ_TOTAL_OUTSTANDING_FILING_DATE",IQ_FY-10), _xll.ciqfunctions.udf.CIQ(A1953, "IQ_TOTAL_OUTSTANDING_FILING_DATE",IQ_FY-9))</f>
        <v>97.391900000000007</v>
      </c>
      <c r="J1953" s="17">
        <f>IF(A1961=A1962,_xll.ciqfunctions.udf.CIQ(A1953,"IQ_CASH_OPER",IQ_FY-10), _xll.ciqfunctions.udf.CIQ(A1953, "IQ_CASH_OPER",IQ_FY-9))</f>
        <v>-26.843</v>
      </c>
      <c r="K1953" s="17">
        <f>IF(A1961=A1962,_xll.ciqfunctions.udf.CIQ(A1953,"IQ_CAPEX",IQ_FY-10), _xll.ciqfunctions.udf.CIQ(A1953, "IQ_CAPEX",IQ_FY-9))</f>
        <v>-22.373000000000001</v>
      </c>
      <c r="L1953" s="15">
        <f t="shared" ref="L1953:L1963" si="520">(J1953+K1953)/I1953</f>
        <v>-0.50533976644874978</v>
      </c>
      <c r="M1953" s="17">
        <f>IF(A1961=A1962,_xll.ciqfunctions.udf.CIQ(A1953,"IQ_TOTAL_DEBT_ISSUED",IQ_FY-10), _xll.ciqfunctions.udf.CIQ(A1953, "IQ_TOTAL_DEBT_ISSUED",IQ_FY-9))</f>
        <v>148</v>
      </c>
      <c r="N1953" s="17">
        <f>IF(A1961=A1962,_xll.ciqfunctions.udf.CIQ(A1953,"IQ_TOTAL_DEBT_REPAID",IQ_FY-10), _xll.ciqfunctions.udf.CIQ(A1953, "IQ_TOTAL_DEBT_REPAID",IQ_FY-9))</f>
        <v>-26.437000000000001</v>
      </c>
      <c r="O1953" s="15">
        <f t="shared" ref="O1953:O1963" si="521">(M1953+N1953)/I1953</f>
        <v>1.248183883875353</v>
      </c>
      <c r="P1953" s="15">
        <f t="shared" ref="P1953:P1963" si="522">L1953+O1953</f>
        <v>0.74284411742660317</v>
      </c>
      <c r="W1953" s="43"/>
      <c r="AA1953" s="43"/>
    </row>
    <row r="1954" spans="1:27">
      <c r="A1954" s="18" t="str">
        <f>_xll.ciqfunctions.udf.CIQ(A1953,"IQ_COMPANY_NAME")</f>
        <v>Extreme Networks, Inc.</v>
      </c>
      <c r="B1954" s="13">
        <v>2</v>
      </c>
      <c r="C1954" s="14" t="s">
        <v>17</v>
      </c>
      <c r="D1954" s="15">
        <f>IF(A1961=A1962,_xll.ciqfunctions.udf.CIQ(A1953,"IQ_TOTAL_REV",IQ_FY-9)/I1954, _xll.ciqfunctions.udf.CIQ(A1953, "IQ_TOTAL_REV",IQ_FY-8)/I1954)</f>
        <v>5.4576957023237309</v>
      </c>
      <c r="E1954" s="16">
        <f t="shared" ref="E1954:E1963" si="523">(D1954-D1953)/D1953</f>
        <v>2.306084463047656E-2</v>
      </c>
      <c r="F1954" s="15">
        <f>IF(A1961=A1962,_xll.ciqfunctions.udf.CIQ(A1953,"IQ_DILUT_EPS_EXCL",IQ_FY-9), _xll.ciqfunctions.udf.CIQ(A1953, "IQ_DILUT_EPS_EXCL",IQ_FY-8))</f>
        <v>-0.72367000000000004</v>
      </c>
      <c r="G1954" s="15">
        <f>IF(A1961=A1962,_xll.ciqfunctions.udf.CIQ(A1953,"IQ_EBITDA_MARGIN",IQ_FY-9), _xll.ciqfunctions.udf.CIQ(A1953, "IQ_EBITDA_MARGIN",IQ_FY-8))</f>
        <v>1.0511999999999999</v>
      </c>
      <c r="H1954" s="15">
        <f>IF(A1961=A1962,_xll.ciqfunctions.udf.CIQ(A1953,"IQ_TOTAL_DIV_PAID_CF",IQ_FY-9)/-I1954, _xll.ciqfunctions.udf.CIQ(A1953, "IQ_TOTAL_DIV_PAID_CF",IQ_FY-8)/-I1954)</f>
        <v>0</v>
      </c>
      <c r="I1954" s="17">
        <f>IF(A1961=A1962,_xll.ciqfunctions.udf.CIQ(A1953,"IQ_TOTAL_OUTSTANDING_FILING_DATE",IQ_FY-9), _xll.ciqfunctions.udf.CIQ(A1953, "IQ_TOTAL_OUTSTANDING_FILING_DATE",IQ_FY-8))</f>
        <v>101.31382000000001</v>
      </c>
      <c r="J1954" s="17">
        <f>IF(A1961=A1962,_xll.ciqfunctions.udf.CIQ(A1953,"IQ_CASH_OPER",IQ_FY-9), _xll.ciqfunctions.udf.CIQ(A1953, "IQ_CASH_OPER",IQ_FY-8))</f>
        <v>37.423000000000002</v>
      </c>
      <c r="K1954" s="17">
        <f>IF(A1961=A1962,_xll.ciqfunctions.udf.CIQ(A1953,"IQ_CAPEX",IQ_FY-9), _xll.ciqfunctions.udf.CIQ(A1953, "IQ_CAPEX",IQ_FY-8))</f>
        <v>-7.2050000000000001</v>
      </c>
      <c r="L1954" s="15">
        <f t="shared" si="520"/>
        <v>0.29826138230697452</v>
      </c>
      <c r="M1954" s="17">
        <f>IF(A1961=A1962,_xll.ciqfunctions.udf.CIQ(A1953,"IQ_TOTAL_DEBT_ISSUED",IQ_FY-9), _xll.ciqfunctions.udf.CIQ(A1953, "IQ_TOTAL_DEBT_ISSUED",IQ_FY-8))</f>
        <v>24</v>
      </c>
      <c r="N1954" s="17">
        <f>IF(A1961=A1962,_xll.ciqfunctions.udf.CIQ(A1953,"IQ_TOTAL_DEBT_REPAID",IQ_FY-9), _xll.ciqfunctions.udf.CIQ(A1953, "IQ_TOTAL_DEBT_REPAID",IQ_FY-8))</f>
        <v>-78.688000000000002</v>
      </c>
      <c r="O1954" s="15">
        <f t="shared" si="521"/>
        <v>-0.5397881552585817</v>
      </c>
      <c r="P1954" s="15">
        <f t="shared" si="522"/>
        <v>-0.24152677295160718</v>
      </c>
      <c r="Q1954" s="25" t="s">
        <v>18</v>
      </c>
      <c r="R1954" s="39" t="s">
        <v>19</v>
      </c>
      <c r="S1954" s="1">
        <f>R1952/((AVERAGE(P1958:P1963))*(1+E1964)^3)</f>
        <v>14.168238241229167</v>
      </c>
      <c r="U1954" s="25" t="s">
        <v>48</v>
      </c>
      <c r="V1954" s="39" t="s">
        <v>19</v>
      </c>
      <c r="W1954" s="1">
        <f>V1952/((AVERAGE(P1958:P1963))*(1+E1964)^3)</f>
        <v>14.168238241229167</v>
      </c>
      <c r="Y1954" s="25" t="s">
        <v>39</v>
      </c>
      <c r="Z1954" s="39" t="s">
        <v>19</v>
      </c>
      <c r="AA1954" s="1">
        <f>Z1952/((AVERAGE(P1958:P1963))*(1+E1964)^3)</f>
        <v>14.168238241229167</v>
      </c>
    </row>
    <row r="1955" spans="1:27">
      <c r="B1955" s="13">
        <v>3</v>
      </c>
      <c r="C1955" s="14" t="s">
        <v>20</v>
      </c>
      <c r="D1955" s="15" cm="1">
        <f t="array" ref="D1955">_xlfn.SINGLE(IF(A1961=A1962,_xll.ciqfunctions.udf.CIQ(A1953,"IQ_TOTAL_REV",IQ_FY-8)/I1955, _xll.ciqfunctions.udf.CIQ(A1953, "IQ_TOTAL_REV",IQ_FY-7)/I1955))</f>
        <v>4.886190599727037</v>
      </c>
      <c r="E1955" s="16">
        <f t="shared" si="523"/>
        <v>-0.10471545754252357</v>
      </c>
      <c r="F1955" s="15">
        <f>IF(A1961=A1962,_xll.ciqfunctions.udf.CIQ(A1953,"IQ_DILUT_EPS_EXCL",IQ_FY-8), _xll.ciqfunctions.udf.CIQ(A1953, "IQ_DILUT_EPS_EXCL",IQ_FY-7))</f>
        <v>-0.35278999999999999</v>
      </c>
      <c r="G1955" s="15">
        <f>IF(A1961=A1962,_xll.ciqfunctions.udf.CIQ(A1953,"IQ_EBITDA_MARGIN",IQ_FY-8), _xll.ciqfunctions.udf.CIQ(A1953, "IQ_EBITDA_MARGIN",IQ_FY-7))</f>
        <v>4.8627000000000002</v>
      </c>
      <c r="H1955" s="15">
        <f>IF(A1961=A1962,_xll.ciqfunctions.udf.CIQ(A1953,"IQ_TOTAL_DIV_PAID_CF",IQ_FY-8)/-I1955, _xll.ciqfunctions.udf.CIQ(A1953, "IQ_TOTAL_DIV_PAID_CF",IQ_FY-7)/-I1955)</f>
        <v>0</v>
      </c>
      <c r="I1955" s="17">
        <f>IF(A1961=A1962,_xll.ciqfunctions.udf.CIQ(A1953,"IQ_TOTAL_OUTSTANDING_FILING_DATE",IQ_FY-8), _xll.ciqfunctions.udf.CIQ(A1953, "IQ_TOTAL_OUTSTANDING_FILING_DATE",IQ_FY-7))</f>
        <v>106.3884</v>
      </c>
      <c r="J1955" s="17">
        <f>IF(A1961=A1962,_xll.ciqfunctions.udf.CIQ(A1953,"IQ_CASH_OPER",IQ_FY-8), _xll.ciqfunctions.udf.CIQ(A1953, "IQ_CASH_OPER",IQ_FY-7))</f>
        <v>30.366</v>
      </c>
      <c r="K1955" s="17">
        <f>IF(A1961=A1962,_xll.ciqfunctions.udf.CIQ(A1953,"IQ_CAPEX",IQ_FY-8), _xll.ciqfunctions.udf.CIQ(A1953, "IQ_CAPEX",IQ_FY-7))</f>
        <v>-5.327</v>
      </c>
      <c r="L1955" s="15">
        <f t="shared" si="520"/>
        <v>0.23535460632926147</v>
      </c>
      <c r="M1955" s="17">
        <f>IF(A1961=A1962,_xll.ciqfunctions.udf.CIQ(A1953,"IQ_TOTAL_DEBT_ISSUED",IQ_FY-8), _xll.ciqfunctions.udf.CIQ(A1953, "IQ_TOTAL_DEBT_ISSUED",IQ_FY-7))</f>
        <v>15</v>
      </c>
      <c r="N1955" s="17">
        <f>IF(A1961=A1962,_xll.ciqfunctions.udf.CIQ(A1953,"IQ_TOTAL_DEBT_REPAID",IQ_FY-8), _xll.ciqfunctions.udf.CIQ(A1953, "IQ_TOTAL_DEBT_REPAID",IQ_FY-7))</f>
        <v>-26.375</v>
      </c>
      <c r="O1955" s="15">
        <f t="shared" si="521"/>
        <v>-0.10691955137966169</v>
      </c>
      <c r="P1955" s="15">
        <f t="shared" si="522"/>
        <v>0.12843505494959978</v>
      </c>
      <c r="Q1955" s="25" t="s">
        <v>21</v>
      </c>
      <c r="R1955" s="38" t="s">
        <v>49</v>
      </c>
      <c r="S1955" s="2">
        <f>(R1952*I1963)/1000</f>
        <v>2.1522376471500002</v>
      </c>
      <c r="U1955" s="25" t="s">
        <v>59</v>
      </c>
      <c r="V1955" s="38" t="s">
        <v>49</v>
      </c>
      <c r="W1955" s="2">
        <f>(V1952*I1963)/1000</f>
        <v>2.1522376471500002</v>
      </c>
      <c r="Y1955" s="25" t="s">
        <v>46</v>
      </c>
      <c r="Z1955" s="38" t="s">
        <v>49</v>
      </c>
      <c r="AA1955" s="2">
        <f>(Z1952*I1963)/1000</f>
        <v>2.1522376471500002</v>
      </c>
    </row>
    <row r="1956" spans="1:27">
      <c r="A1956" s="18"/>
      <c r="B1956" s="13">
        <v>4</v>
      </c>
      <c r="C1956" s="14" t="s">
        <v>22</v>
      </c>
      <c r="D1956" s="15" cm="1">
        <f t="array" ref="D1956">_xlfn.SINGLE(IF(A1961=A1962,_xll.ciqfunctions.udf.CIQ(A1953,"IQ_TOTAL_REV",IQ_FY-7)/I1956, _xll.ciqfunctions.udf.CIQ(A1953, "IQ_TOTAL_REV",IQ_FY-6)/I1956))</f>
        <v>5.3693390718643634</v>
      </c>
      <c r="E1956" s="16">
        <f t="shared" si="523"/>
        <v>9.8880398190835453E-2</v>
      </c>
      <c r="F1956" s="15">
        <f>IF(A1961=A1962,_xll.ciqfunctions.udf.CIQ(A1953,"IQ_DILUT_EPS_EXCL",IQ_FY-7), _xll.ciqfunctions.udf.CIQ(A1953, "IQ_DILUT_EPS_EXCL",IQ_FY-6))</f>
        <v>-0.02</v>
      </c>
      <c r="G1956" s="15">
        <f>IF(A1961=A1962,_xll.ciqfunctions.udf.CIQ(A1953,"IQ_EBITDA_MARGIN",IQ_FY-7), _xll.ciqfunctions.udf.CIQ(A1953, "IQ_EBITDA_MARGIN",IQ_FY-6))</f>
        <v>8.9577000000000009</v>
      </c>
      <c r="H1956" s="15">
        <f>IF(A1961=A1962,_xll.ciqfunctions.udf.CIQ(A1953,"IQ_TOTAL_DIV_PAID_CF",IQ_FY-7)/-I1956, _xll.ciqfunctions.udf.CIQ(A1953, "IQ_TOTAL_DIV_PAID_CF",IQ_FY-6)/-I1956)</f>
        <v>0</v>
      </c>
      <c r="I1956" s="17">
        <f>IF(A1961=A1962,_xll.ciqfunctions.udf.CIQ(A1953,"IQ_TOTAL_OUTSTANDING_FILING_DATE",IQ_FY-7), _xll.ciqfunctions.udf.CIQ(A1953, "IQ_TOTAL_OUTSTANDING_FILING_DATE",IQ_FY-6))</f>
        <v>113.06494000000001</v>
      </c>
      <c r="J1956" s="17">
        <f>IF(A1961=A1962,_xll.ciqfunctions.udf.CIQ(A1953,"IQ_CASH_OPER",IQ_FY-7), _xll.ciqfunctions.udf.CIQ(A1953, "IQ_CASH_OPER",IQ_FY-6))</f>
        <v>59.283000000000001</v>
      </c>
      <c r="K1956" s="17">
        <f>IF(A1961=A1962,_xll.ciqfunctions.udf.CIQ(A1953,"IQ_CAPEX",IQ_FY-7), _xll.ciqfunctions.udf.CIQ(A1953, "IQ_CAPEX",IQ_FY-6))</f>
        <v>-10.425000000000001</v>
      </c>
      <c r="L1956" s="15">
        <f t="shared" si="520"/>
        <v>0.4321233443364495</v>
      </c>
      <c r="M1956" s="17">
        <f>IF(A1961=A1962,_xll.ciqfunctions.udf.CIQ(A1953,"IQ_TOTAL_DEBT_ISSUED",IQ_FY-7), _xll.ciqfunctions.udf.CIQ(A1953, "IQ_TOTAL_DEBT_ISSUED",IQ_FY-6))</f>
        <v>48.25</v>
      </c>
      <c r="N1956" s="17">
        <f>IF(A1961=A1962,_xll.ciqfunctions.udf.CIQ(A1953,"IQ_TOTAL_DEBT_REPAID",IQ_FY-7), _xll.ciqfunctions.udf.CIQ(A1953, "IQ_TOTAL_DEBT_REPAID",IQ_FY-6))</f>
        <v>-10.038</v>
      </c>
      <c r="O1956" s="15">
        <f t="shared" si="521"/>
        <v>0.3379650668014329</v>
      </c>
      <c r="P1956" s="15">
        <f t="shared" si="522"/>
        <v>0.7700884111378824</v>
      </c>
      <c r="Q1956" s="25" t="s">
        <v>23</v>
      </c>
      <c r="R1956" s="38" t="s">
        <v>24</v>
      </c>
      <c r="S1956" s="1" t="e">
        <f>R1952/(AVERAGE(H1958:H1963)*(1+H1964)/(0.5-H1964))</f>
        <v>#DIV/0!</v>
      </c>
      <c r="U1956" s="25" t="s">
        <v>40</v>
      </c>
      <c r="V1956" s="38" t="s">
        <v>24</v>
      </c>
      <c r="W1956" s="1" t="e">
        <f>V1952/(AVERAGE(H1958:H1963)*(1+H1964)/(0.5-H1964))</f>
        <v>#DIV/0!</v>
      </c>
      <c r="Y1956" s="25" t="s">
        <v>47</v>
      </c>
      <c r="Z1956" s="38" t="s">
        <v>24</v>
      </c>
      <c r="AA1956" s="1" t="e">
        <f>Z1952/(AVERAGE(H1958:H1963)*(1+H1964)/(0.5-H1964))</f>
        <v>#DIV/0!</v>
      </c>
    </row>
    <row r="1957" spans="1:27">
      <c r="B1957" s="13">
        <v>5</v>
      </c>
      <c r="C1957" s="14" t="s">
        <v>25</v>
      </c>
      <c r="D1957" s="15" cm="1">
        <f t="array" ref="D1957">_xlfn.SINGLE(IF(A1961=A1962,_xll.ciqfunctions.udf.CIQ(A1953,"IQ_TOTAL_REV",IQ_FY-6)/I1957, _xll.ciqfunctions.udf.CIQ(A1953, "IQ_TOTAL_REV",IQ_FY-5)/I1957))</f>
        <v>8.3091644537450069</v>
      </c>
      <c r="E1957" s="16">
        <f t="shared" si="523"/>
        <v>0.54752090388284336</v>
      </c>
      <c r="F1957" s="15">
        <f>IF(A1961=A1962,_xll.ciqfunctions.udf.CIQ(A1953,"IQ_DILUT_EPS_EXCL",IQ_FY-6), _xll.ciqfunctions.udf.CIQ(A1953, "IQ_DILUT_EPS_EXCL",IQ_FY-5))</f>
        <v>-0.40966000000000002</v>
      </c>
      <c r="G1957" s="15">
        <f>IF(A1961=A1962,_xll.ciqfunctions.udf.CIQ(A1953,"IQ_EBITDA_MARGIN",IQ_FY-6), _xll.ciqfunctions.udf.CIQ(A1953, "IQ_EBITDA_MARGIN",IQ_FY-5))</f>
        <v>7.4135</v>
      </c>
      <c r="H1957" s="15">
        <f>IF(A1961=A1962,_xll.ciqfunctions.udf.CIQ(A1953,"IQ_TOTAL_DIV_PAID_CF",IQ_FY-6)/-I1957, _xll.ciqfunctions.udf.CIQ(A1953, "IQ_TOTAL_DIV_PAID_CF",IQ_FY-5)/-I1957)</f>
        <v>0</v>
      </c>
      <c r="I1957" s="17">
        <f>IF(A1961=A1962,_xll.ciqfunctions.udf.CIQ(A1953,"IQ_TOTAL_OUTSTANDING_FILING_DATE",IQ_FY-6), _xll.ciqfunctions.udf.CIQ(A1953, "IQ_TOTAL_OUTSTANDING_FILING_DATE",IQ_FY-5))</f>
        <v>118.3202</v>
      </c>
      <c r="J1957" s="17">
        <f>IF(A1961=A1962,_xll.ciqfunctions.udf.CIQ(A1953,"IQ_CASH_OPER",IQ_FY-6), _xll.ciqfunctions.udf.CIQ(A1953, "IQ_CASH_OPER",IQ_FY-5))</f>
        <v>19.042999999999999</v>
      </c>
      <c r="K1957" s="17">
        <f>IF(A1961=A1962,_xll.ciqfunctions.udf.CIQ(A1953,"IQ_CAPEX",IQ_FY-6), _xll.ciqfunctions.udf.CIQ(A1953, "IQ_CAPEX",IQ_FY-5))</f>
        <v>-40.411000000000001</v>
      </c>
      <c r="L1957" s="15">
        <f t="shared" si="520"/>
        <v>-0.18059469135447712</v>
      </c>
      <c r="M1957" s="17">
        <f>IF(A1961=A1962,_xll.ciqfunctions.udf.CIQ(A1953,"IQ_TOTAL_DEBT_ISSUED",IQ_FY-6), _xll.ciqfunctions.udf.CIQ(A1953, "IQ_TOTAL_DEBT_ISSUED",IQ_FY-5))</f>
        <v>300</v>
      </c>
      <c r="N1957" s="17">
        <f>IF(A1961=A1962,_xll.ciqfunctions.udf.CIQ(A1953,"IQ_TOTAL_DEBT_REPAID",IQ_FY-6), _xll.ciqfunctions.udf.CIQ(A1953, "IQ_TOTAL_DEBT_REPAID",IQ_FY-5))</f>
        <v>-193.71299999999999</v>
      </c>
      <c r="O1957" s="15">
        <f t="shared" si="521"/>
        <v>0.89829969861443781</v>
      </c>
      <c r="P1957" s="15">
        <f t="shared" si="522"/>
        <v>0.71770500725996067</v>
      </c>
      <c r="Q1957" s="18"/>
      <c r="R1957" s="38" t="s">
        <v>50</v>
      </c>
      <c r="S1957" s="3">
        <f>I1964</f>
        <v>1.4225675428511497E-2</v>
      </c>
      <c r="U1957" s="18"/>
      <c r="V1957" s="38" t="s">
        <v>50</v>
      </c>
      <c r="W1957" s="3">
        <f>I1964</f>
        <v>1.4225675428511497E-2</v>
      </c>
      <c r="Y1957" s="18"/>
      <c r="Z1957" s="38" t="s">
        <v>50</v>
      </c>
      <c r="AA1957" s="3">
        <f>I1964</f>
        <v>1.4225675428511497E-2</v>
      </c>
    </row>
    <row r="1958" spans="1:27">
      <c r="B1958" s="13">
        <v>6</v>
      </c>
      <c r="C1958" s="14" t="s">
        <v>26</v>
      </c>
      <c r="D1958" s="15" cm="1">
        <f t="array" ref="D1958">_xlfn.SINGLE(IF(A1961=A1962,_xll.ciqfunctions.udf.CIQ(A1953,"IQ_TOTAL_REV",IQ_FY-5)/I1958, _xll.ciqfunctions.udf.CIQ(A1953, "IQ_TOTAL_REV",IQ_FY-4)/I1958))</f>
        <v>8.2449681789398088</v>
      </c>
      <c r="E1958" s="16">
        <f t="shared" si="523"/>
        <v>-7.7259603131653387E-3</v>
      </c>
      <c r="F1958" s="15">
        <f>IF(A1961=A1962,_xll.ciqfunctions.udf.CIQ(A1953,"IQ_DILUT_EPS_EXCL",IQ_FY-5), _xll.ciqfunctions.udf.CIQ(A1953, "IQ_DILUT_EPS_EXCL",IQ_FY-4))</f>
        <v>-0.22</v>
      </c>
      <c r="G1958" s="15">
        <f>IF(A1961=A1962,_xll.ciqfunctions.udf.CIQ(A1953,"IQ_EBITDA_MARGIN",IQ_FY-5), _xll.ciqfunctions.udf.CIQ(A1953, "IQ_EBITDA_MARGIN",IQ_FY-4))</f>
        <v>4.6878000000000002</v>
      </c>
      <c r="H1958" s="15">
        <f>IF(A1961=A1962,_xll.ciqfunctions.udf.CIQ(A1953,"IQ_TOTAL_DIV_PAID_CF",IQ_FY-5)/-I1958, _xll.ciqfunctions.udf.CIQ(A1953, "IQ_TOTAL_DIV_PAID_CF",IQ_FY-4)/-I1958)</f>
        <v>0</v>
      </c>
      <c r="I1958" s="17">
        <f>IF(A1961=A1962,_xll.ciqfunctions.udf.CIQ(A1953,"IQ_TOTAL_OUTSTANDING_FILING_DATE",IQ_FY-5), _xll.ciqfunctions.udf.CIQ(A1953, "IQ_TOTAL_OUTSTANDING_FILING_DATE",IQ_FY-4))</f>
        <v>120.77536000000001</v>
      </c>
      <c r="J1958" s="17">
        <f>IF(A1961=A1962,_xll.ciqfunctions.udf.CIQ(A1953,"IQ_CASH_OPER",IQ_FY-5), _xll.ciqfunctions.udf.CIQ(A1953, "IQ_CASH_OPER",IQ_FY-4))</f>
        <v>104.94499999999999</v>
      </c>
      <c r="K1958" s="17">
        <f>IF(A1961=A1962,_xll.ciqfunctions.udf.CIQ(A1953,"IQ_CAPEX",IQ_FY-5), _xll.ciqfunctions.udf.CIQ(A1953, "IQ_CAPEX",IQ_FY-4))</f>
        <v>-22.73</v>
      </c>
      <c r="L1958" s="15">
        <f t="shared" si="520"/>
        <v>0.68072659853797979</v>
      </c>
      <c r="M1958" s="17">
        <f>IF(A1961=A1962,_xll.ciqfunctions.udf.CIQ(A1953,"IQ_TOTAL_DEBT_ISSUED",IQ_FY-5), _xll.ciqfunctions.udf.CIQ(A1953, "IQ_TOTAL_DEBT_ISSUED",IQ_FY-4))</f>
        <v>0</v>
      </c>
      <c r="N1958" s="17">
        <f>IF(A1961=A1962,_xll.ciqfunctions.udf.CIQ(A1953,"IQ_TOTAL_DEBT_REPAID",IQ_FY-5), _xll.ciqfunctions.udf.CIQ(A1953, "IQ_TOTAL_DEBT_REPAID",IQ_FY-4))</f>
        <v>-19.875</v>
      </c>
      <c r="O1958" s="15">
        <f t="shared" si="521"/>
        <v>-0.16456171192534635</v>
      </c>
      <c r="P1958" s="15">
        <f t="shared" si="522"/>
        <v>0.51616488661263338</v>
      </c>
      <c r="Q1958" s="25" t="s">
        <v>27</v>
      </c>
      <c r="R1958" s="38" t="s">
        <v>51</v>
      </c>
      <c r="S1958" s="4">
        <f>AVERAGE(F1958:F1963)/AVERAGE(D1958:D1963)</f>
        <v>6.5235181758875101E-3</v>
      </c>
      <c r="U1958" s="25" t="s">
        <v>58</v>
      </c>
      <c r="V1958" s="38" t="s">
        <v>51</v>
      </c>
      <c r="W1958" s="4">
        <f>AVERAGE(F1958:F1963)/AVERAGE(D1958:D1963)</f>
        <v>6.5235181758875101E-3</v>
      </c>
      <c r="Y1958" s="25" t="s">
        <v>56</v>
      </c>
      <c r="Z1958" s="38" t="s">
        <v>51</v>
      </c>
      <c r="AA1958" s="4">
        <f>AVERAGE(F1958:F1963)/AVERAGE(D1958:D1963)</f>
        <v>6.5235181758875101E-3</v>
      </c>
    </row>
    <row r="1959" spans="1:27">
      <c r="A1959" s="18"/>
      <c r="B1959" s="13">
        <v>7</v>
      </c>
      <c r="C1959" s="14" t="s">
        <v>28</v>
      </c>
      <c r="D1959" s="15" cm="1">
        <f t="array" ref="D1959">_xlfn.SINGLE(IF(A1961=A1962,_xll.ciqfunctions.udf.CIQ(A1953,"IQ_TOTAL_REV",IQ_FY-4)/I1959, _xll.ciqfunctions.udf.CIQ(A1953, "IQ_TOTAL_REV",IQ_FY-3)/I1959))</f>
        <v>7.7361323426603814</v>
      </c>
      <c r="E1959" s="16">
        <f t="shared" si="523"/>
        <v>-6.1714711959610841E-2</v>
      </c>
      <c r="F1959" s="15">
        <f>IF(A1961=A1962,_xll.ciqfunctions.udf.CIQ(A1953,"IQ_DILUT_EPS_EXCL",IQ_FY-4), _xll.ciqfunctions.udf.CIQ(A1953, "IQ_DILUT_EPS_EXCL",IQ_FY-3))</f>
        <v>-1.06</v>
      </c>
      <c r="G1959" s="15">
        <f>IF(A1961=A1962,_xll.ciqfunctions.udf.CIQ(A1953,"IQ_EBITDA_MARGIN",IQ_FY-4), _xll.ciqfunctions.udf.CIQ(A1953, "IQ_EBITDA_MARGIN",IQ_FY-3))</f>
        <v>2.0047999999999999</v>
      </c>
      <c r="H1959" s="15">
        <f>IF(A1961=A1962,_xll.ciqfunctions.udf.CIQ(A1953,"IQ_TOTAL_DIV_PAID_CF",IQ_FY-4)/-I1959, _xll.ciqfunctions.udf.CIQ(A1953, "IQ_TOTAL_DIV_PAID_CF",IQ_FY-3)/-I1959)</f>
        <v>0</v>
      </c>
      <c r="I1959" s="17">
        <f>IF(A1961=A1962,_xll.ciqfunctions.udf.CIQ(A1953,"IQ_TOTAL_OUTSTANDING_FILING_DATE",IQ_FY-4), _xll.ciqfunctions.udf.CIQ(A1953, "IQ_TOTAL_OUTSTANDING_FILING_DATE",IQ_FY-3))</f>
        <v>122.54431</v>
      </c>
      <c r="J1959" s="17">
        <f>IF(A1961=A1962,_xll.ciqfunctions.udf.CIQ(A1953,"IQ_CASH_OPER",IQ_FY-4), _xll.ciqfunctions.udf.CIQ(A1953, "IQ_CASH_OPER",IQ_FY-3))</f>
        <v>35.884</v>
      </c>
      <c r="K1959" s="17">
        <f>IF(A1961=A1962,_xll.ciqfunctions.udf.CIQ(A1953,"IQ_CAPEX",IQ_FY-4), _xll.ciqfunctions.udf.CIQ(A1953, "IQ_CAPEX",IQ_FY-3))</f>
        <v>-15.268000000000001</v>
      </c>
      <c r="L1959" s="15">
        <f t="shared" si="520"/>
        <v>0.16823302526245404</v>
      </c>
      <c r="M1959" s="17">
        <f>IF(A1961=A1962,_xll.ciqfunctions.udf.CIQ(A1953,"IQ_TOTAL_DEBT_ISSUED",IQ_FY-4), _xll.ciqfunctions.udf.CIQ(A1953, "IQ_TOTAL_DEBT_ISSUED",IQ_FY-3))</f>
        <v>254.5</v>
      </c>
      <c r="N1959" s="17">
        <f>IF(A1961=A1962,_xll.ciqfunctions.udf.CIQ(A1953,"IQ_TOTAL_DEBT_REPAID",IQ_FY-4), _xll.ciqfunctions.udf.CIQ(A1953, "IQ_TOTAL_DEBT_REPAID",IQ_FY-3))</f>
        <v>-34.517000000000003</v>
      </c>
      <c r="O1959" s="15">
        <f t="shared" si="521"/>
        <v>1.7951302675742351</v>
      </c>
      <c r="P1959" s="15">
        <f t="shared" si="522"/>
        <v>1.9633632928366891</v>
      </c>
      <c r="Q1959" s="18"/>
      <c r="R1959" s="38" t="s">
        <v>29</v>
      </c>
      <c r="S1959" s="4">
        <f>(AVERAGE(P1958:P1963)/_xlfn.STDEV.P(P1958:P1963))/(IF(A1961=A1962,(_xlfn.SINGLE(_xll.ciqfunctions.udf.CIQ(A1953,"IQ_total_assets",IQ_FY)) - _xlfn.SINGLE(_xll.ciqfunctions.udf.CIQ(A1953,"iq_gw_intan", IQ_FY)))/I1963, (_xlfn.SINGLE(_xll.ciqfunctions.udf.CIQ(A1953, "IQ_total_assets",IQ_LTM))-_xlfn.SINGLE(_xll.ciqfunctions.udf.CIQ(A1953,"iq_gw_intan",IQ_LTM)))/I1963))</f>
        <v>0.33170571438987845</v>
      </c>
      <c r="U1959" s="18"/>
      <c r="V1959" s="38" t="s">
        <v>29</v>
      </c>
      <c r="W1959" s="4">
        <f>(AVERAGE(P1958:P1963)/_xlfn.STDEV.P(P1958:P1963))/(IF(A1961=A1962,(_xlfn.SINGLE(_xll.ciqfunctions.udf.CIQ(A1953,"IQ_total_assets",IQ_FY)) - _xlfn.SINGLE(_xll.ciqfunctions.udf.CIQ(A1953,"iq_gw_intan", IQ_FY)))/I1963, (_xlfn.SINGLE(_xll.ciqfunctions.udf.CIQ(A1953, "IQ_total_assets",IQ_LTM))-_xlfn.SINGLE(_xll.ciqfunctions.udf.CIQ(A1953,"iq_gw_intan",IQ_LTM)))/I1963))</f>
        <v>0.33170571438987845</v>
      </c>
      <c r="Y1959" s="18"/>
      <c r="Z1959" s="38" t="s">
        <v>29</v>
      </c>
      <c r="AA1959" s="4">
        <f>(AVERAGE(P1958:P1963)/_xlfn.STDEV.P(P1958:P1963))/(IF(A1961=A1962,(_xlfn.SINGLE(_xll.ciqfunctions.udf.CIQ(A1953,"IQ_total_assets",IQ_FY)) - _xlfn.SINGLE(_xll.ciqfunctions.udf.CIQ(A1953,"iq_gw_intan", IQ_FY)))/I1963, (_xlfn.SINGLE(_xll.ciqfunctions.udf.CIQ(A1953, "IQ_total_assets",IQ_LTM))-_xlfn.SINGLE(_xll.ciqfunctions.udf.CIQ(A1953,"iq_gw_intan",IQ_LTM)))/I1963))</f>
        <v>0.33170571438987845</v>
      </c>
    </row>
    <row r="1960" spans="1:27">
      <c r="A1960" s="18"/>
      <c r="B1960" s="13">
        <v>8</v>
      </c>
      <c r="C1960" s="14" t="s">
        <v>30</v>
      </c>
      <c r="D1960" s="15" cm="1">
        <f t="array" ref="D1960">_xlfn.SINGLE(IF(A1961=A1962,_xll.ciqfunctions.udf.CIQ(A1953,"IQ_TOTAL_REV",IQ_FY-3)/I1960, _xll.ciqfunctions.udf.CIQ(A1953, "IQ_TOTAL_REV",IQ_FY-2)/I1960))</f>
        <v>7.7939740544203335</v>
      </c>
      <c r="E1960" s="16">
        <f t="shared" si="523"/>
        <v>7.4768255244274827E-3</v>
      </c>
      <c r="F1960" s="15">
        <f>IF(A1961=A1962,_xll.ciqfunctions.udf.CIQ(A1953,"IQ_DILUT_EPS_EXCL",IQ_FY-3), _xll.ciqfunctions.udf.CIQ(A1953, "IQ_DILUT_EPS_EXCL",IQ_FY-2))</f>
        <v>1.5610000000000001E-2</v>
      </c>
      <c r="G1960" s="15">
        <f>IF(A1961=A1962,_xll.ciqfunctions.udf.CIQ(A1953,"IQ_EBITDA_MARGIN",IQ_FY-3), _xll.ciqfunctions.udf.CIQ(A1953, "IQ_EBITDA_MARGIN",IQ_FY-2))</f>
        <v>9.3413000000000004</v>
      </c>
      <c r="H1960" s="15">
        <f>IF(A1961=A1962,_xll.ciqfunctions.udf.CIQ(A1953,"IQ_TOTAL_DIV_PAID_CF",IQ_FY-3)/-I1960, _xll.ciqfunctions.udf.CIQ(A1953, "IQ_TOTAL_DIV_PAID_CF",IQ_FY-2)/-I1960)</f>
        <v>0</v>
      </c>
      <c r="I1960" s="17">
        <f>IF(A1961=A1962,_xll.ciqfunctions.udf.CIQ(A1953,"IQ_TOTAL_OUTSTANDING_FILING_DATE",IQ_FY-3), _xll.ciqfunctions.udf.CIQ(A1953, "IQ_TOTAL_OUTSTANDING_FILING_DATE",IQ_FY-2))</f>
        <v>129.51262</v>
      </c>
      <c r="J1960" s="17">
        <f>IF(A1961=A1962,_xll.ciqfunctions.udf.CIQ(A1953,"IQ_CASH_OPER",IQ_FY-3), _xll.ciqfunctions.udf.CIQ(A1953, "IQ_CASH_OPER",IQ_FY-2))</f>
        <v>144.535</v>
      </c>
      <c r="K1960" s="17">
        <f>IF(A1961=A1962,_xll.ciqfunctions.udf.CIQ(A1953,"IQ_CAPEX",IQ_FY-3), _xll.ciqfunctions.udf.CIQ(A1953, "IQ_CAPEX",IQ_FY-2))</f>
        <v>-17.175999999999998</v>
      </c>
      <c r="L1960" s="15">
        <f t="shared" si="520"/>
        <v>0.98337135022054223</v>
      </c>
      <c r="M1960" s="17">
        <f>IF(A1961=A1962,_xll.ciqfunctions.udf.CIQ(A1953,"IQ_TOTAL_DEBT_ISSUED",IQ_FY-3), _xll.ciqfunctions.udf.CIQ(A1953, "IQ_TOTAL_DEBT_ISSUED",IQ_FY-2))</f>
        <v>0</v>
      </c>
      <c r="N1960" s="17">
        <f>IF(A1961=A1962,_xll.ciqfunctions.udf.CIQ(A1953,"IQ_TOTAL_DEBT_REPAID",IQ_FY-3), _xll.ciqfunctions.udf.CIQ(A1953, "IQ_TOTAL_DEBT_REPAID",IQ_FY-2))</f>
        <v>-74</v>
      </c>
      <c r="O1960" s="15">
        <f t="shared" si="521"/>
        <v>-0.57137289014769377</v>
      </c>
      <c r="P1960" s="15">
        <f t="shared" si="522"/>
        <v>0.41199846007284846</v>
      </c>
      <c r="Q1960" s="18"/>
      <c r="R1960" s="39" t="s">
        <v>31</v>
      </c>
      <c r="S1960" s="5">
        <f>IF(NOT(D1953&gt;0),FALSE,SLOPE(G1953:G1963,B1953:B1963))</f>
        <v>0.78490636363636357</v>
      </c>
      <c r="U1960" s="18"/>
      <c r="V1960" s="39" t="s">
        <v>31</v>
      </c>
      <c r="W1960" s="5">
        <f>IF(NOT(D1953&gt;0),FALSE,SLOPE(G1953:G1963,B1953:B1963))</f>
        <v>0.78490636363636357</v>
      </c>
      <c r="Y1960" s="18"/>
      <c r="Z1960" s="39" t="s">
        <v>31</v>
      </c>
      <c r="AA1960" s="5" t="b">
        <f>IF(NOT(L1953&gt;0),FALSE,SLOPE(O1953:O1963,J1953:J1963))</f>
        <v>0</v>
      </c>
    </row>
    <row r="1961" spans="1:27">
      <c r="A1961" s="19">
        <f>_xll.ciqfunctions.udf.CIQ(A1953,"IQ_TOTAL_REV",IQ_FY)</f>
        <v>1312.454</v>
      </c>
      <c r="B1961" s="13">
        <v>9</v>
      </c>
      <c r="C1961" s="14" t="s">
        <v>32</v>
      </c>
      <c r="D1961" s="15" cm="1">
        <f t="array" ref="D1961">_xlfn.SINGLE(IF(A1961=A1962,_xll.ciqfunctions.udf.CIQ(A1953,"IQ_TOTAL_REV",IQ_FY-2)/I1961, _xll.ciqfunctions.udf.CIQ(A1953, "IQ_TOTAL_REV",IQ_FY-1)/I1961))</f>
        <v>8.4807324872330128</v>
      </c>
      <c r="E1961" s="16">
        <f t="shared" si="523"/>
        <v>8.8114026043387431E-2</v>
      </c>
      <c r="F1961" s="15">
        <f>IF(A1961=A1962,_xll.ciqfunctions.udf.CIQ(A1953,"IQ_DILUT_EPS_EXCL",IQ_FY-2), _xll.ciqfunctions.udf.CIQ(A1953, "IQ_DILUT_EPS_EXCL",IQ_FY-1))</f>
        <v>0.33</v>
      </c>
      <c r="G1961" s="15">
        <f>IF(A1961=A1962,_xll.ciqfunctions.udf.CIQ(A1953,"IQ_EBITDA_MARGIN",IQ_FY-2), _xll.ciqfunctions.udf.CIQ(A1953, "IQ_EBITDA_MARGIN",IQ_FY-1))</f>
        <v>10.1684</v>
      </c>
      <c r="H1961" s="15">
        <f>IF(A1961=A1962,_xll.ciqfunctions.udf.CIQ(A1953,"IQ_TOTAL_DIV_PAID_CF",IQ_FY-2)/-I1961, _xll.ciqfunctions.udf.CIQ(A1953, "IQ_TOTAL_DIV_PAID_CF",IQ_FY-1)/-I1961)</f>
        <v>0</v>
      </c>
      <c r="I1961" s="17">
        <f>IF(A1961=A1962,_xll.ciqfunctions.udf.CIQ(A1953,"IQ_TOTAL_OUTSTANDING_FILING_DATE",IQ_FY-2), _xll.ciqfunctions.udf.CIQ(A1953, "IQ_TOTAL_OUTSTANDING_FILING_DATE",IQ_FY-1))</f>
        <v>131.15860000000001</v>
      </c>
      <c r="J1961" s="17">
        <f>IF(A1961=A1962,_xll.ciqfunctions.udf.CIQ(A1953,"IQ_CASH_OPER",IQ_FY-2), _xll.ciqfunctions.udf.CIQ(A1953, "IQ_CASH_OPER",IQ_FY-1))</f>
        <v>128.17699999999999</v>
      </c>
      <c r="K1961" s="17">
        <f>IF(A1961=A1962,_xll.ciqfunctions.udf.CIQ(A1953,"IQ_CAPEX",IQ_FY-2), _xll.ciqfunctions.udf.CIQ(A1953, "IQ_CAPEX",IQ_FY-1))</f>
        <v>-15.433</v>
      </c>
      <c r="L1961" s="15">
        <f t="shared" si="520"/>
        <v>0.85960051418664118</v>
      </c>
      <c r="M1961" s="17">
        <f>IF(A1961=A1962,_xll.ciqfunctions.udf.CIQ(A1953,"IQ_TOTAL_DEBT_ISSUED",IQ_FY-2), _xll.ciqfunctions.udf.CIQ(A1953, "IQ_TOTAL_DEBT_ISSUED",IQ_FY-1))</f>
        <v>0</v>
      </c>
      <c r="N1961" s="17">
        <f>IF(A1961=A1962,_xll.ciqfunctions.udf.CIQ(A1953,"IQ_TOTAL_DEBT_REPAID",IQ_FY-2), _xll.ciqfunctions.udf.CIQ(A1953, "IQ_TOTAL_DEBT_REPAID",IQ_FY-1))</f>
        <v>-38.125</v>
      </c>
      <c r="O1961" s="15">
        <f t="shared" si="521"/>
        <v>-0.2906786135259144</v>
      </c>
      <c r="P1961" s="15">
        <f t="shared" si="522"/>
        <v>0.56892190066072679</v>
      </c>
      <c r="Q1961" s="25" t="s">
        <v>33</v>
      </c>
      <c r="R1961" s="38" t="s">
        <v>52</v>
      </c>
      <c r="S1961" s="4">
        <f>(AVERAGE(O1958:O1963)/AVERAGE(P1958:P1963))</f>
        <v>-7.3468291082450482E-2</v>
      </c>
      <c r="U1961" s="25" t="s">
        <v>54</v>
      </c>
      <c r="V1961" s="38" t="s">
        <v>52</v>
      </c>
      <c r="W1961" s="4">
        <f>(AVERAGE(O1958:O1963)/AVERAGE(P1958:P1963))</f>
        <v>-7.3468291082450482E-2</v>
      </c>
      <c r="Y1961" s="25" t="s">
        <v>60</v>
      </c>
      <c r="Z1961" s="38" t="s">
        <v>52</v>
      </c>
      <c r="AA1961" s="4">
        <f>(AVERAGE(O1958:O1963)/AVERAGE(P1958:P1963))</f>
        <v>-7.3468291082450482E-2</v>
      </c>
    </row>
    <row r="1962" spans="1:27">
      <c r="A1962" s="19">
        <f>_xll.ciqfunctions.udf.CIQ(A1953,"IQ_TOTAL_REV",IQ_LTM)</f>
        <v>1367.902</v>
      </c>
      <c r="B1962" s="13">
        <v>10</v>
      </c>
      <c r="C1962" s="14" t="s">
        <v>34</v>
      </c>
      <c r="D1962" s="15" cm="1">
        <f t="array" ref="D1962">_xlfn.SINGLE(IF(A1961=A1962,_xll.ciqfunctions.udf.CIQ(A1953,"IQ_TOTAL_REV",IQ_FY-1)/I1962, _xll.ciqfunctions.udf.CIQ(A1953, "IQ_TOTAL_REV",IQ_FY)/I1962))</f>
        <v>10.09295533935666</v>
      </c>
      <c r="E1962" s="16">
        <f t="shared" si="523"/>
        <v>0.19010419849355054</v>
      </c>
      <c r="F1962" s="15">
        <f>IF(A1961=A1962,_xll.ciqfunctions.udf.CIQ(A1953,"IQ_DILUT_EPS_EXCL",IQ_FY-1), _xll.ciqfunctions.udf.CIQ(A1953, "IQ_DILUT_EPS_EXCL",IQ_FY))</f>
        <v>0.57999999999999996</v>
      </c>
      <c r="G1962" s="15">
        <f>IF(A1961=A1962,_xll.ciqfunctions.udf.CIQ(A1953,"IQ_EBITDA_MARGIN",IQ_FY-1), _xll.ciqfunctions.udf.CIQ(A1953, "IQ_EBITDA_MARGIN",IQ_FY))</f>
        <v>11.1576</v>
      </c>
      <c r="H1962" s="15">
        <f>IF(A1961=A1962,_xll.ciqfunctions.udf.CIQ(A1953,"IQ_TOTAL_DIV_PAID_CF",IQ_FY-1)/-I1962, _xll.ciqfunctions.udf.CIQ(A1953, "IQ_TOTAL_DIV_PAID_CF",IQ_FY)/-I1962)</f>
        <v>0</v>
      </c>
      <c r="I1962" s="17">
        <f>IF(A1961=A1962,_xll.ciqfunctions.udf.CIQ(A1953,"IQ_TOTAL_OUTSTANDING_FILING_DATE",IQ_FY-1), _xll.ciqfunctions.udf.CIQ(A1953, "IQ_TOTAL_OUTSTANDING_FILING_DATE",IQ_FY))</f>
        <v>130.03664000000001</v>
      </c>
      <c r="J1962" s="17">
        <f>IF(A1961=A1962,_xll.ciqfunctions.udf.CIQ(A1953,"IQ_CASH_OPER",IQ_FY-1), _xll.ciqfunctions.udf.CIQ(A1953, "IQ_CASH_OPER",IQ_FY))</f>
        <v>249.21199999999999</v>
      </c>
      <c r="K1962" s="17">
        <f>IF(A1961=A1962,_xll.ciqfunctions.udf.CIQ(A1953,"IQ_CAPEX",IQ_FY-1), _xll.ciqfunctions.udf.CIQ(A1953, "IQ_CAPEX",IQ_FY))</f>
        <v>-13.8</v>
      </c>
      <c r="L1962" s="15">
        <f t="shared" si="520"/>
        <v>1.8103512979111116</v>
      </c>
      <c r="M1962" s="17">
        <f>IF(A1961=A1962,_xll.ciqfunctions.udf.CIQ(A1953,"IQ_TOTAL_DEBT_ISSUED",IQ_FY-1), _xll.ciqfunctions.udf.CIQ(A1953, "IQ_TOTAL_DEBT_ISSUED",IQ_FY))</f>
        <v>25</v>
      </c>
      <c r="N1962" s="17">
        <f>IF(A1961=A1962,_xll.ciqfunctions.udf.CIQ(A1953,"IQ_TOTAL_DEBT_REPAID",IQ_FY-1), _xll.ciqfunctions.udf.CIQ(A1953, "IQ_TOTAL_DEBT_REPAID",IQ_FY))</f>
        <v>-108.625</v>
      </c>
      <c r="O1962" s="15">
        <f t="shared" si="521"/>
        <v>-0.64308797889579428</v>
      </c>
      <c r="P1962" s="15">
        <f t="shared" si="522"/>
        <v>1.1672633190153174</v>
      </c>
      <c r="Q1962" s="25" t="s">
        <v>44</v>
      </c>
      <c r="R1962" s="38" t="s">
        <v>35</v>
      </c>
      <c r="S1962" s="1">
        <f>_xll.ciqfunctions.udf.CIQ(A1953,"IQ_TEV_EBITDA")</f>
        <v>11.90535</v>
      </c>
      <c r="U1962" s="25" t="s">
        <v>55</v>
      </c>
      <c r="V1962" s="38" t="s">
        <v>53</v>
      </c>
      <c r="W1962" s="1">
        <f>V1952/(AVERAGE(D1958:D1963)/_xlfn.STDEV.P(E1958:E1963))</f>
        <v>0.15081828974624348</v>
      </c>
      <c r="Y1962" s="25" t="s">
        <v>57</v>
      </c>
      <c r="Z1962" s="38" t="s">
        <v>53</v>
      </c>
      <c r="AA1962" s="1">
        <f>Z1952/(AVERAGE(D1958:D1963)/_xlfn.STDEV.P(E1958:E1963))</f>
        <v>0.15081828974624348</v>
      </c>
    </row>
    <row r="1963" spans="1:27">
      <c r="B1963" s="13">
        <v>11</v>
      </c>
      <c r="C1963" s="20" t="s">
        <v>36</v>
      </c>
      <c r="D1963" s="21" cm="1">
        <f t="array" ref="D1963">_xlfn.SINGLE(IF(A1961=A1962,_xll.ciqfunctions.udf.CIQ(A1953,"IQ_TOTAL_REV",IQ_FY)/I1963, _xll.ciqfunctions.udf.CIQ(A1953, "IQ_TOTAL_REV",IQ_LTM)/I1963))</f>
        <v>10.553673168982044</v>
      </c>
      <c r="E1963" s="22">
        <f t="shared" si="523"/>
        <v>4.5647465398846308E-2</v>
      </c>
      <c r="F1963" s="21">
        <f>IF(A1961=A1962,_xll.ciqfunctions.udf.CIQ(A1953,"IQ_DILUT_EPS_EXCL",IQ_FY), _xll.ciqfunctions.udf.CIQ(A1953, "IQ_DILUT_EPS_EXCL",IQ_LTM))</f>
        <v>0.69950000000000001</v>
      </c>
      <c r="G1963" s="21">
        <f>IF(A1961=A1962,_xll.ciqfunctions.udf.CIQ(A1953,"IQ_EBITDA_MARGIN",IQ_FY), _xll.ciqfunctions.udf.CIQ(A1953, "IQ_EBITDA_MARGIN",IQ_LTM))</f>
        <v>12.0268</v>
      </c>
      <c r="H1963" s="21">
        <f>IF(A1961=A1962,_xll.ciqfunctions.udf.CIQ(A1953,"IQ_TOTAL_DIV_PAID_CF",IQ_FY)/-I1963, _xll.ciqfunctions.udf.CIQ(A1953, "IQ_TOTAL_DIV_PAID_CF",IQ_LTM)/-I1963)</f>
        <v>0</v>
      </c>
      <c r="I1963" s="23">
        <f>IF(A1961=A1962,_xll.ciqfunctions.udf.CIQ(A1953,"IQ_TOTAL_OUTSTANDING_FILING_DATE",IQ_FY),_xll.ciqfunctions.udf.CIQ(A1953,"IQ_sharesoutstanding"))</f>
        <v>129.61383000000001</v>
      </c>
      <c r="J1963" s="23">
        <f>IF(A1961=A1962,_xll.ciqfunctions.udf.CIQ(A1953,"IQ_CASH_OPER",IQ_FY), _xll.ciqfunctions.udf.CIQ(A1953, "IQ_CASH_OPER",IQ_LTM))</f>
        <v>275.113</v>
      </c>
      <c r="K1963" s="23">
        <f>IF(A1961=A1962,_xll.ciqfunctions.udf.CIQ(A1953,"IQ_CAPEX",IQ_FY), _xll.ciqfunctions.udf.CIQ(A1953, "IQ_CAPEX",IQ_LTM))</f>
        <v>-14.975</v>
      </c>
      <c r="L1963" s="21">
        <f t="shared" si="520"/>
        <v>2.0070234788988177</v>
      </c>
      <c r="M1963" s="23">
        <f>IF(A1961=A1962,_xll.ciqfunctions.udf.CIQ(A1953,"IQ_TOTAL_DEBT_ISSUED",IQ_FY), _xll.ciqfunctions.udf.CIQ(A1953, "IQ_TOTAL_DEBT_ISSUED",IQ_LTM))</f>
        <v>25</v>
      </c>
      <c r="N1963" s="23">
        <f>IF(A1961=A1962,_xll.ciqfunctions.udf.CIQ(A1953,"IQ_TOTAL_DEBT_REPAID",IQ_FY), _xll.ciqfunctions.udf.CIQ(A1953, "IQ_TOTAL_DEBT_REPAID",IQ_LTM))</f>
        <v>-99</v>
      </c>
      <c r="O1963" s="21">
        <f t="shared" si="521"/>
        <v>-0.57092672903809727</v>
      </c>
      <c r="P1963" s="21">
        <f t="shared" si="522"/>
        <v>1.4360967498607204</v>
      </c>
      <c r="Q1963" s="25" t="s">
        <v>45</v>
      </c>
      <c r="S1963" s="45"/>
      <c r="U1963" s="25"/>
      <c r="W1963" s="45"/>
      <c r="Y1963" s="25"/>
      <c r="AA1963" s="45"/>
    </row>
    <row r="1964" spans="1:27">
      <c r="B1964" s="24"/>
      <c r="C1964" s="25" t="s">
        <v>37</v>
      </c>
      <c r="E1964" s="26">
        <f>((D1963/D1958)^(1/5))-1</f>
        <v>5.0613389508778361E-2</v>
      </c>
      <c r="F1964" s="27">
        <f>((F1963/F1958)^(1/5))-1</f>
        <v>-2.2602973050899386</v>
      </c>
      <c r="G1964" s="28"/>
      <c r="H1964" s="27" t="e">
        <f>((H1963/H1958)^(1/5))-1</f>
        <v>#DIV/0!</v>
      </c>
      <c r="I1964" s="27">
        <f>((I1963/I1958)^(1/5))-1</f>
        <v>1.4225675428511497E-2</v>
      </c>
      <c r="J1964" s="27"/>
      <c r="K1964" s="27"/>
      <c r="L1964" s="26">
        <f>((L1963/L1958)^(1/5))-1</f>
        <v>0.24141202110110349</v>
      </c>
      <c r="M1964" s="26"/>
      <c r="N1964" s="26"/>
      <c r="O1964" s="26"/>
      <c r="P1964" s="26">
        <f>((P1963/P1958)^(1/5))-1</f>
        <v>0.2270974353037063</v>
      </c>
      <c r="Q1964" s="18"/>
      <c r="R1964" s="36"/>
      <c r="S1964" s="45"/>
      <c r="U1964" s="18"/>
      <c r="V1964" s="36"/>
      <c r="W1964" s="45"/>
      <c r="Y1964" s="18"/>
      <c r="Z1964" s="36"/>
      <c r="AA1964" s="45"/>
    </row>
    <row r="1965" spans="1:27">
      <c r="A1965" s="29"/>
      <c r="B1965" s="30"/>
      <c r="C1965" s="31" t="s">
        <v>38</v>
      </c>
      <c r="D1965" s="29"/>
      <c r="E1965" s="32">
        <f>((D1963/D1953)^(1/10))-1</f>
        <v>7.0605767440912848E-2</v>
      </c>
      <c r="F1965" s="33" t="e">
        <f>((F1963/F1953)^(1/10))-1</f>
        <v>#NUM!</v>
      </c>
      <c r="G1965" s="34"/>
      <c r="H1965" s="33" t="e">
        <f>((H1963/H1953)^(1/10))-1</f>
        <v>#DIV/0!</v>
      </c>
      <c r="I1965" s="33">
        <f>((I1963/I1953)^(1/10))-1</f>
        <v>2.8994019232291723E-2</v>
      </c>
      <c r="J1965" s="33"/>
      <c r="K1965" s="33"/>
      <c r="L1965" s="32" t="e">
        <f>((L1963/L1953)^(1/10))-1</f>
        <v>#NUM!</v>
      </c>
      <c r="M1965" s="32"/>
      <c r="N1965" s="32"/>
      <c r="O1965" s="32"/>
      <c r="P1965" s="32">
        <f>((P1963/P1953)^(1/10))-1</f>
        <v>6.814103821907147E-2</v>
      </c>
      <c r="Q1965" s="40"/>
      <c r="R1965" s="41"/>
      <c r="S1965" s="46"/>
      <c r="U1965" s="40"/>
      <c r="V1965" s="41"/>
      <c r="W1965" s="46"/>
      <c r="Y1965" s="40"/>
      <c r="Z1965" s="41"/>
      <c r="AA1965" s="46"/>
    </row>
    <row r="1966" spans="1:27">
      <c r="B1966" s="24"/>
      <c r="C1966" s="25"/>
      <c r="E1966" s="26"/>
      <c r="F1966" s="27"/>
      <c r="G1966" s="28"/>
      <c r="H1966" s="27"/>
      <c r="I1966" s="27"/>
      <c r="J1966" s="27"/>
      <c r="K1966" s="27"/>
      <c r="L1966" s="26"/>
      <c r="M1966" s="17"/>
      <c r="N1966" s="17"/>
      <c r="O1966" s="17"/>
      <c r="P1966" s="35"/>
      <c r="Q1966" s="18"/>
      <c r="R1966" s="36"/>
    </row>
    <row r="1967" spans="1:27">
      <c r="A1967" s="9" t="s">
        <v>0</v>
      </c>
      <c r="B1967" s="10"/>
      <c r="C1967" s="9" t="s">
        <v>1</v>
      </c>
      <c r="D1967" s="9" t="s">
        <v>2</v>
      </c>
      <c r="E1967" s="9" t="s">
        <v>3</v>
      </c>
      <c r="F1967" s="11" t="s">
        <v>4</v>
      </c>
      <c r="G1967" s="11" t="s">
        <v>5</v>
      </c>
      <c r="H1967" s="9" t="s">
        <v>6</v>
      </c>
      <c r="I1967" s="11" t="s">
        <v>7</v>
      </c>
      <c r="J1967" s="11" t="s">
        <v>8</v>
      </c>
      <c r="K1967" s="11" t="s">
        <v>9</v>
      </c>
      <c r="L1967" s="11" t="s">
        <v>10</v>
      </c>
      <c r="M1967" s="11" t="s">
        <v>11</v>
      </c>
      <c r="N1967" s="11" t="s">
        <v>12</v>
      </c>
      <c r="O1967" s="11" t="s">
        <v>13</v>
      </c>
      <c r="P1967" s="11" t="s">
        <v>14</v>
      </c>
      <c r="Q1967" s="37" t="s">
        <v>15</v>
      </c>
      <c r="R1967" s="42">
        <f>_xll.ciqfunctions.udf.CIQ(A1968,("IQ_LASTSALEPRICE"))</f>
        <v>24.54</v>
      </c>
      <c r="S1967" s="44"/>
      <c r="U1967" s="37" t="s">
        <v>15</v>
      </c>
      <c r="V1967" s="42">
        <f>_xll.ciqfunctions.udf.CIQ(A1968,("IQ_LASTSALEPRICE"))</f>
        <v>24.54</v>
      </c>
      <c r="W1967" s="44"/>
      <c r="Y1967" s="37" t="s">
        <v>15</v>
      </c>
      <c r="Z1967" s="42">
        <f>_xll.ciqfunctions.udf.CIQ(A1968,("IQ_LASTSALEPRICE"))</f>
        <v>24.54</v>
      </c>
      <c r="AA1967" s="44"/>
    </row>
    <row r="1968" spans="1:27">
      <c r="A1968" s="12" t="str">
        <f>Analysis!B133</f>
        <v>NasdaqGS:DGII</v>
      </c>
      <c r="B1968" s="13">
        <v>1</v>
      </c>
      <c r="C1968" s="14" t="s">
        <v>16</v>
      </c>
      <c r="D1968" s="15">
        <f>IF(A1976=A1977,_xll.ciqfunctions.udf.CIQ(A1968,"IQ_TOTAL_REV",IQ_FY-10)/I1968,_xll.ciqfunctions.udf.CIQ(A1968, "IQ_TOTAL_REV",IQ_FY-9)/I1968)</f>
        <v>7.5886843810154136</v>
      </c>
      <c r="E1968" s="16"/>
      <c r="F1968" s="15">
        <f>IF(A1976=A1977,_xll.ciqfunctions.udf.CIQ(A1968,"IQ_DILUT_EPS_EXCL",IQ_FY-10), _xll.ciqfunctions.udf.CIQ(A1968, "IQ_DILUT_EPS_EXCL",IQ_FY-9))</f>
        <v>0.22</v>
      </c>
      <c r="G1968" s="15">
        <f>IF(A1976=A1977,_xll.ciqfunctions.udf.CIQ(A1968,"IQ_EBITDA_MARGIN",IQ_FY-10), _xll.ciqfunctions.udf.CIQ(A1968, "IQ_EBITDA_MARGIN",IQ_FY-9))</f>
        <v>9.1092999999999993</v>
      </c>
      <c r="H1968" s="15">
        <f>IF(A1976=A1977,_xll.ciqfunctions.udf.CIQ(A1968,"IQ_TOTAL_DIV_PAID_CF",IQ_FY-10)/-I1968, _xll.ciqfunctions.udf.CIQ(A1968, "IQ_TOTAL_DIV_PAID_CF",IQ_FY-9)/-I1968)</f>
        <v>0</v>
      </c>
      <c r="I1968" s="17">
        <f>IF(A1976=A1977,_xll.ciqfunctions.udf.CIQ(A1968,"IQ_TOTAL_OUTSTANDING_FILING_DATE",IQ_FY-10), _xll.ciqfunctions.udf.CIQ(A1968, "IQ_TOTAL_OUTSTANDING_FILING_DATE",IQ_FY-9))</f>
        <v>25.746359999999999</v>
      </c>
      <c r="J1968" s="17">
        <f>IF(A1976=A1977,_xll.ciqfunctions.udf.CIQ(A1968,"IQ_CASH_OPER",IQ_FY-10), _xll.ciqfunctions.udf.CIQ(A1968, "IQ_CASH_OPER",IQ_FY-9))</f>
        <v>11.747999999999999</v>
      </c>
      <c r="K1968" s="17">
        <f>IF(A1976=A1977,_xll.ciqfunctions.udf.CIQ(A1968,"IQ_CAPEX",IQ_FY-10), _xll.ciqfunctions.udf.CIQ(A1968, "IQ_CAPEX",IQ_FY-9))</f>
        <v>-2.8860000000000001</v>
      </c>
      <c r="L1968" s="15">
        <f t="shared" ref="L1968:L1978" si="524">(J1968+K1968)/I1968</f>
        <v>0.34420399621538728</v>
      </c>
      <c r="M1968" s="17">
        <f>IF(A1976=A1977,_xll.ciqfunctions.udf.CIQ(A1968,"IQ_TOTAL_DEBT_ISSUED",IQ_FY-10), _xll.ciqfunctions.udf.CIQ(A1968, "IQ_TOTAL_DEBT_ISSUED",IQ_FY-9))</f>
        <v>0</v>
      </c>
      <c r="N1968" s="17">
        <f>IF(A1976=A1977,_xll.ciqfunctions.udf.CIQ(A1968,"IQ_TOTAL_DEBT_REPAID",IQ_FY-10), _xll.ciqfunctions.udf.CIQ(A1968, "IQ_TOTAL_DEBT_REPAID",IQ_FY-9))</f>
        <v>0</v>
      </c>
      <c r="O1968" s="15">
        <f t="shared" ref="O1968:O1978" si="525">(M1968+N1968)/I1968</f>
        <v>0</v>
      </c>
      <c r="P1968" s="15">
        <f t="shared" ref="P1968:P1978" si="526">L1968+O1968</f>
        <v>0.34420399621538728</v>
      </c>
      <c r="W1968" s="43"/>
      <c r="AA1968" s="43"/>
    </row>
    <row r="1969" spans="1:27">
      <c r="A1969" s="18" t="str">
        <f>_xll.ciqfunctions.udf.CIQ(A1968,"IQ_COMPANY_NAME")</f>
        <v>Digi International Inc.</v>
      </c>
      <c r="B1969" s="13">
        <v>2</v>
      </c>
      <c r="C1969" s="14" t="s">
        <v>17</v>
      </c>
      <c r="D1969" s="15">
        <f>IF(A1976=A1977,_xll.ciqfunctions.udf.CIQ(A1968,"IQ_TOTAL_REV",IQ_FY-9)/I1969, _xll.ciqfunctions.udf.CIQ(A1968, "IQ_TOTAL_REV",IQ_FY-8)/I1969)</f>
        <v>7.5998551167799411</v>
      </c>
      <c r="E1969" s="16">
        <f t="shared" ref="E1969:E1978" si="527">(D1969-D1968)/D1968</f>
        <v>1.4720253476970555E-3</v>
      </c>
      <c r="F1969" s="15">
        <f>IF(A1976=A1977,_xll.ciqfunctions.udf.CIQ(A1968,"IQ_DILUT_EPS_EXCL",IQ_FY-9), _xll.ciqfunctions.udf.CIQ(A1968, "IQ_DILUT_EPS_EXCL",IQ_FY-8))</f>
        <v>0.17</v>
      </c>
      <c r="G1969" s="15">
        <f>IF(A1976=A1977,_xll.ciqfunctions.udf.CIQ(A1968,"IQ_EBITDA_MARGIN",IQ_FY-9), _xll.ciqfunctions.udf.CIQ(A1968, "IQ_EBITDA_MARGIN",IQ_FY-8))</f>
        <v>6.05</v>
      </c>
      <c r="H1969" s="15">
        <f>IF(A1976=A1977,_xll.ciqfunctions.udf.CIQ(A1968,"IQ_TOTAL_DIV_PAID_CF",IQ_FY-9)/-I1969, _xll.ciqfunctions.udf.CIQ(A1968, "IQ_TOTAL_DIV_PAID_CF",IQ_FY-8)/-I1969)</f>
        <v>0</v>
      </c>
      <c r="I1969" s="17">
        <f>IF(A1976=A1977,_xll.ciqfunctions.udf.CIQ(A1968,"IQ_TOTAL_OUTSTANDING_FILING_DATE",IQ_FY-9), _xll.ciqfunctions.udf.CIQ(A1968, "IQ_TOTAL_OUTSTANDING_FILING_DATE",IQ_FY-8))</f>
        <v>24.102170000000001</v>
      </c>
      <c r="J1969" s="17">
        <f>IF(A1976=A1977,_xll.ciqfunctions.udf.CIQ(A1968,"IQ_CASH_OPER",IQ_FY-9), _xll.ciqfunctions.udf.CIQ(A1968, "IQ_CASH_OPER",IQ_FY-8))</f>
        <v>1.8089999999999999</v>
      </c>
      <c r="K1969" s="17">
        <f>IF(A1976=A1977,_xll.ciqfunctions.udf.CIQ(A1968,"IQ_CAPEX",IQ_FY-9), _xll.ciqfunctions.udf.CIQ(A1968, "IQ_CAPEX",IQ_FY-8))</f>
        <v>-3.4209999999999998</v>
      </c>
      <c r="L1969" s="15">
        <f t="shared" si="524"/>
        <v>-6.6881944654775885E-2</v>
      </c>
      <c r="M1969" s="17">
        <f>IF(A1976=A1977,_xll.ciqfunctions.udf.CIQ(A1968,"IQ_TOTAL_DEBT_ISSUED",IQ_FY-9), _xll.ciqfunctions.udf.CIQ(A1968, "IQ_TOTAL_DEBT_ISSUED",IQ_FY-8))</f>
        <v>0</v>
      </c>
      <c r="N1969" s="17">
        <f>IF(A1976=A1977,_xll.ciqfunctions.udf.CIQ(A1968,"IQ_TOTAL_DEBT_REPAID",IQ_FY-9), _xll.ciqfunctions.udf.CIQ(A1968, "IQ_TOTAL_DEBT_REPAID",IQ_FY-8))</f>
        <v>0</v>
      </c>
      <c r="O1969" s="15">
        <f t="shared" si="525"/>
        <v>0</v>
      </c>
      <c r="P1969" s="15">
        <f t="shared" si="526"/>
        <v>-6.6881944654775885E-2</v>
      </c>
      <c r="Q1969" s="25" t="s">
        <v>18</v>
      </c>
      <c r="R1969" s="39" t="s">
        <v>19</v>
      </c>
      <c r="S1969" s="1">
        <f>R1967/((AVERAGE(P1973:P1978))*(1+E1979)^3)</f>
        <v>10.001387917086969</v>
      </c>
      <c r="U1969" s="25" t="s">
        <v>48</v>
      </c>
      <c r="V1969" s="39" t="s">
        <v>19</v>
      </c>
      <c r="W1969" s="1">
        <f>V1967/((AVERAGE(P1973:P1978))*(1+E1979)^3)</f>
        <v>10.001387917086969</v>
      </c>
      <c r="Y1969" s="25" t="s">
        <v>39</v>
      </c>
      <c r="Z1969" s="39" t="s">
        <v>19</v>
      </c>
      <c r="AA1969" s="1">
        <f>Z1967/((AVERAGE(P1973:P1978))*(1+E1979)^3)</f>
        <v>10.001387917086969</v>
      </c>
    </row>
    <row r="1970" spans="1:27">
      <c r="B1970" s="13">
        <v>3</v>
      </c>
      <c r="C1970" s="14" t="s">
        <v>20</v>
      </c>
      <c r="D1970" s="15" cm="1">
        <f t="array" ref="D1970">_xlfn.SINGLE(IF(A1976=A1977,_xll.ciqfunctions.udf.CIQ(A1968,"IQ_TOTAL_REV",IQ_FY-8)/I1970, _xll.ciqfunctions.udf.CIQ(A1968, "IQ_TOTAL_REV",IQ_FY-7)/I1970))</f>
        <v>8.0574293477358623</v>
      </c>
      <c r="E1970" s="16">
        <f t="shared" si="527"/>
        <v>6.0208283437618401E-2</v>
      </c>
      <c r="F1970" s="15">
        <f>IF(A1976=A1977,_xll.ciqfunctions.udf.CIQ(A1968,"IQ_DILUT_EPS_EXCL",IQ_FY-8), _xll.ciqfunctions.udf.CIQ(A1968, "IQ_DILUT_EPS_EXCL",IQ_FY-7))</f>
        <v>0.37</v>
      </c>
      <c r="G1970" s="15">
        <f>IF(A1976=A1977,_xll.ciqfunctions.udf.CIQ(A1968,"IQ_EBITDA_MARGIN",IQ_FY-8), _xll.ciqfunctions.udf.CIQ(A1968, "IQ_EBITDA_MARGIN",IQ_FY-7))</f>
        <v>8.1767000000000003</v>
      </c>
      <c r="H1970" s="15">
        <f>IF(A1976=A1977,_xll.ciqfunctions.udf.CIQ(A1968,"IQ_TOTAL_DIV_PAID_CF",IQ_FY-8)/-I1970, _xll.ciqfunctions.udf.CIQ(A1968, "IQ_TOTAL_DIV_PAID_CF",IQ_FY-7)/-I1970)</f>
        <v>0</v>
      </c>
      <c r="I1970" s="17">
        <f>IF(A1976=A1977,_xll.ciqfunctions.udf.CIQ(A1968,"IQ_TOTAL_OUTSTANDING_FILING_DATE",IQ_FY-8), _xll.ciqfunctions.udf.CIQ(A1968, "IQ_TOTAL_OUTSTANDING_FILING_DATE",IQ_FY-7))</f>
        <v>25.29926</v>
      </c>
      <c r="J1970" s="17">
        <f>IF(A1976=A1977,_xll.ciqfunctions.udf.CIQ(A1968,"IQ_CASH_OPER",IQ_FY-8), _xll.ciqfunctions.udf.CIQ(A1968, "IQ_CASH_OPER",IQ_FY-7))</f>
        <v>14.074</v>
      </c>
      <c r="K1970" s="17">
        <f>IF(A1976=A1977,_xll.ciqfunctions.udf.CIQ(A1968,"IQ_CAPEX",IQ_FY-8), _xll.ciqfunctions.udf.CIQ(A1968, "IQ_CAPEX",IQ_FY-7))</f>
        <v>-4.5</v>
      </c>
      <c r="L1970" s="15">
        <f t="shared" si="524"/>
        <v>0.37843004103677341</v>
      </c>
      <c r="M1970" s="17">
        <f>IF(A1976=A1977,_xll.ciqfunctions.udf.CIQ(A1968,"IQ_TOTAL_DEBT_ISSUED",IQ_FY-8), _xll.ciqfunctions.udf.CIQ(A1968, "IQ_TOTAL_DEBT_ISSUED",IQ_FY-7))</f>
        <v>0</v>
      </c>
      <c r="N1970" s="17">
        <f>IF(A1976=A1977,_xll.ciqfunctions.udf.CIQ(A1968,"IQ_TOTAL_DEBT_REPAID",IQ_FY-8), _xll.ciqfunctions.udf.CIQ(A1968, "IQ_TOTAL_DEBT_REPAID",IQ_FY-7))</f>
        <v>0</v>
      </c>
      <c r="O1970" s="15">
        <f t="shared" si="525"/>
        <v>0</v>
      </c>
      <c r="P1970" s="15">
        <f t="shared" si="526"/>
        <v>0.37843004103677341</v>
      </c>
      <c r="Q1970" s="25" t="s">
        <v>21</v>
      </c>
      <c r="R1970" s="38" t="s">
        <v>49</v>
      </c>
      <c r="S1970" s="2">
        <f>(R1967*I1978)/1000</f>
        <v>0.88603314180000003</v>
      </c>
      <c r="U1970" s="25" t="s">
        <v>59</v>
      </c>
      <c r="V1970" s="38" t="s">
        <v>49</v>
      </c>
      <c r="W1970" s="2">
        <f>(V1967*I1978)/1000</f>
        <v>0.88603314180000003</v>
      </c>
      <c r="Y1970" s="25" t="s">
        <v>46</v>
      </c>
      <c r="Z1970" s="38" t="s">
        <v>49</v>
      </c>
      <c r="AA1970" s="2">
        <f>(Z1967*I1978)/1000</f>
        <v>0.88603314180000003</v>
      </c>
    </row>
    <row r="1971" spans="1:27">
      <c r="A1971" s="18"/>
      <c r="B1971" s="13">
        <v>4</v>
      </c>
      <c r="C1971" s="14" t="s">
        <v>22</v>
      </c>
      <c r="D1971" s="15" cm="1">
        <f t="array" ref="D1971">_xlfn.SINGLE(IF(A1976=A1977,_xll.ciqfunctions.udf.CIQ(A1968,"IQ_TOTAL_REV",IQ_FY-7)/I1971, _xll.ciqfunctions.udf.CIQ(A1968, "IQ_TOTAL_REV",IQ_FY-6)/I1971))</f>
        <v>7.7123845307813435</v>
      </c>
      <c r="E1971" s="16">
        <f t="shared" si="527"/>
        <v>-4.282318864533096E-2</v>
      </c>
      <c r="F1971" s="15">
        <f>IF(A1976=A1977,_xll.ciqfunctions.udf.CIQ(A1968,"IQ_DILUT_EPS_EXCL",IQ_FY-7), _xll.ciqfunctions.udf.CIQ(A1968, "IQ_DILUT_EPS_EXCL",IQ_FY-6))</f>
        <v>0.51</v>
      </c>
      <c r="G1971" s="15">
        <f>IF(A1976=A1977,_xll.ciqfunctions.udf.CIQ(A1968,"IQ_EBITDA_MARGIN",IQ_FY-7), _xll.ciqfunctions.udf.CIQ(A1968, "IQ_EBITDA_MARGIN",IQ_FY-6))</f>
        <v>10.8347</v>
      </c>
      <c r="H1971" s="15">
        <f>IF(A1976=A1977,_xll.ciqfunctions.udf.CIQ(A1968,"IQ_TOTAL_DIV_PAID_CF",IQ_FY-7)/-I1971, _xll.ciqfunctions.udf.CIQ(A1968, "IQ_TOTAL_DIV_PAID_CF",IQ_FY-6)/-I1971)</f>
        <v>0</v>
      </c>
      <c r="I1971" s="17">
        <f>IF(A1976=A1977,_xll.ciqfunctions.udf.CIQ(A1968,"IQ_TOTAL_OUTSTANDING_FILING_DATE",IQ_FY-7), _xll.ciqfunctions.udf.CIQ(A1968, "IQ_TOTAL_OUTSTANDING_FILING_DATE",IQ_FY-6))</f>
        <v>26.321950000000001</v>
      </c>
      <c r="J1971" s="17">
        <f>IF(A1976=A1977,_xll.ciqfunctions.udf.CIQ(A1968,"IQ_CASH_OPER",IQ_FY-7), _xll.ciqfunctions.udf.CIQ(A1968, "IQ_CASH_OPER",IQ_FY-6))</f>
        <v>27.088999999999999</v>
      </c>
      <c r="K1971" s="17">
        <f>IF(A1976=A1977,_xll.ciqfunctions.udf.CIQ(A1968,"IQ_CAPEX",IQ_FY-7), _xll.ciqfunctions.udf.CIQ(A1968, "IQ_CAPEX",IQ_FY-6))</f>
        <v>-2.7290000000000001</v>
      </c>
      <c r="L1971" s="15">
        <f t="shared" si="524"/>
        <v>0.92546334902999206</v>
      </c>
      <c r="M1971" s="17">
        <f>IF(A1976=A1977,_xll.ciqfunctions.udf.CIQ(A1968,"IQ_TOTAL_DEBT_ISSUED",IQ_FY-7), _xll.ciqfunctions.udf.CIQ(A1968, "IQ_TOTAL_DEBT_ISSUED",IQ_FY-6))</f>
        <v>0</v>
      </c>
      <c r="N1971" s="17">
        <f>IF(A1976=A1977,_xll.ciqfunctions.udf.CIQ(A1968,"IQ_TOTAL_DEBT_REPAID",IQ_FY-7), _xll.ciqfunctions.udf.CIQ(A1968, "IQ_TOTAL_DEBT_REPAID",IQ_FY-6))</f>
        <v>0</v>
      </c>
      <c r="O1971" s="15">
        <f t="shared" si="525"/>
        <v>0</v>
      </c>
      <c r="P1971" s="15">
        <f t="shared" si="526"/>
        <v>0.92546334902999206</v>
      </c>
      <c r="Q1971" s="25" t="s">
        <v>23</v>
      </c>
      <c r="R1971" s="38" t="s">
        <v>24</v>
      </c>
      <c r="S1971" s="1" t="e">
        <f>R1967/(AVERAGE(H1973:H1978)*(1+H1979)/(0.5-H1979))</f>
        <v>#DIV/0!</v>
      </c>
      <c r="U1971" s="25" t="s">
        <v>40</v>
      </c>
      <c r="V1971" s="38" t="s">
        <v>24</v>
      </c>
      <c r="W1971" s="1" t="e">
        <f>V1967/(AVERAGE(H1973:H1978)*(1+H1979)/(0.5-H1979))</f>
        <v>#DIV/0!</v>
      </c>
      <c r="Y1971" s="25" t="s">
        <v>47</v>
      </c>
      <c r="Z1971" s="38" t="s">
        <v>24</v>
      </c>
      <c r="AA1971" s="1" t="e">
        <f>Z1967/(AVERAGE(H1973:H1978)*(1+H1979)/(0.5-H1979))</f>
        <v>#DIV/0!</v>
      </c>
    </row>
    <row r="1972" spans="1:27">
      <c r="B1972" s="13">
        <v>5</v>
      </c>
      <c r="C1972" s="14" t="s">
        <v>25</v>
      </c>
      <c r="D1972" s="15" cm="1">
        <f t="array" ref="D1972">_xlfn.SINGLE(IF(A1976=A1977,_xll.ciqfunctions.udf.CIQ(A1968,"IQ_TOTAL_REV",IQ_FY-6)/I1972, _xll.ciqfunctions.udf.CIQ(A1968, "IQ_TOTAL_REV",IQ_FY-5)/I1972))</f>
        <v>6.8008229693351669</v>
      </c>
      <c r="E1972" s="16">
        <f t="shared" si="527"/>
        <v>-0.11819451659963147</v>
      </c>
      <c r="F1972" s="15">
        <f>IF(A1976=A1977,_xll.ciqfunctions.udf.CIQ(A1968,"IQ_DILUT_EPS_EXCL",IQ_FY-6), _xll.ciqfunctions.udf.CIQ(A1968, "IQ_DILUT_EPS_EXCL",IQ_FY-5))</f>
        <v>0.35</v>
      </c>
      <c r="G1972" s="15">
        <f>IF(A1976=A1977,_xll.ciqfunctions.udf.CIQ(A1968,"IQ_EBITDA_MARGIN",IQ_FY-6), _xll.ciqfunctions.udf.CIQ(A1968, "IQ_EBITDA_MARGIN",IQ_FY-5))</f>
        <v>7.1589</v>
      </c>
      <c r="H1972" s="15">
        <f>IF(A1976=A1977,_xll.ciqfunctions.udf.CIQ(A1968,"IQ_TOTAL_DIV_PAID_CF",IQ_FY-6)/-I1972, _xll.ciqfunctions.udf.CIQ(A1968, "IQ_TOTAL_DIV_PAID_CF",IQ_FY-5)/-I1972)</f>
        <v>0</v>
      </c>
      <c r="I1972" s="17">
        <f>IF(A1976=A1977,_xll.ciqfunctions.udf.CIQ(A1968,"IQ_TOTAL_OUTSTANDING_FILING_DATE",IQ_FY-6), _xll.ciqfunctions.udf.CIQ(A1968, "IQ_TOTAL_OUTSTANDING_FILING_DATE",IQ_FY-5))</f>
        <v>26.66442</v>
      </c>
      <c r="J1972" s="17">
        <f>IF(A1976=A1977,_xll.ciqfunctions.udf.CIQ(A1968,"IQ_CASH_OPER",IQ_FY-6), _xll.ciqfunctions.udf.CIQ(A1968, "IQ_CASH_OPER",IQ_FY-5))</f>
        <v>2.4750000000000001</v>
      </c>
      <c r="K1972" s="17">
        <f>IF(A1976=A1977,_xll.ciqfunctions.udf.CIQ(A1968,"IQ_CAPEX",IQ_FY-6), _xll.ciqfunctions.udf.CIQ(A1968, "IQ_CAPEX",IQ_FY-5))</f>
        <v>-1.7729999999999999</v>
      </c>
      <c r="L1972" s="15">
        <f t="shared" si="524"/>
        <v>2.6327218068122247E-2</v>
      </c>
      <c r="M1972" s="17">
        <f>IF(A1976=A1977,_xll.ciqfunctions.udf.CIQ(A1968,"IQ_TOTAL_DEBT_ISSUED",IQ_FY-6), _xll.ciqfunctions.udf.CIQ(A1968, "IQ_TOTAL_DEBT_ISSUED",IQ_FY-5))</f>
        <v>0</v>
      </c>
      <c r="N1972" s="17">
        <f>IF(A1976=A1977,_xll.ciqfunctions.udf.CIQ(A1968,"IQ_TOTAL_DEBT_REPAID",IQ_FY-6), _xll.ciqfunctions.udf.CIQ(A1968, "IQ_TOTAL_DEBT_REPAID",IQ_FY-5))</f>
        <v>0</v>
      </c>
      <c r="O1972" s="15">
        <f t="shared" si="525"/>
        <v>0</v>
      </c>
      <c r="P1972" s="15">
        <f t="shared" si="526"/>
        <v>2.6327218068122247E-2</v>
      </c>
      <c r="Q1972" s="18"/>
      <c r="R1972" s="38" t="s">
        <v>50</v>
      </c>
      <c r="S1972" s="3">
        <f>I1979</f>
        <v>5.6206231126333828E-2</v>
      </c>
      <c r="U1972" s="18"/>
      <c r="V1972" s="38" t="s">
        <v>50</v>
      </c>
      <c r="W1972" s="3">
        <f>I1979</f>
        <v>5.6206231126333828E-2</v>
      </c>
      <c r="Y1972" s="18"/>
      <c r="Z1972" s="38" t="s">
        <v>50</v>
      </c>
      <c r="AA1972" s="3">
        <f>I1979</f>
        <v>5.6206231126333828E-2</v>
      </c>
    </row>
    <row r="1973" spans="1:27">
      <c r="B1973" s="13">
        <v>6</v>
      </c>
      <c r="C1973" s="14" t="s">
        <v>26</v>
      </c>
      <c r="D1973" s="15" cm="1">
        <f t="array" ref="D1973">_xlfn.SINGLE(IF(A1976=A1977,_xll.ciqfunctions.udf.CIQ(A1968,"IQ_TOTAL_REV",IQ_FY-5)/I1973, _xll.ciqfunctions.udf.CIQ(A1968, "IQ_TOTAL_REV",IQ_FY-4)/I1973))</f>
        <v>8.260176275925339</v>
      </c>
      <c r="E1973" s="16">
        <f t="shared" si="527"/>
        <v>0.21458481027522397</v>
      </c>
      <c r="F1973" s="15">
        <f>IF(A1976=A1977,_xll.ciqfunctions.udf.CIQ(A1968,"IQ_DILUT_EPS_EXCL",IQ_FY-5), _xll.ciqfunctions.udf.CIQ(A1968, "IQ_DILUT_EPS_EXCL",IQ_FY-4))</f>
        <v>0.06</v>
      </c>
      <c r="G1973" s="15">
        <f>IF(A1976=A1977,_xll.ciqfunctions.udf.CIQ(A1968,"IQ_EBITDA_MARGIN",IQ_FY-5), _xll.ciqfunctions.udf.CIQ(A1968, "IQ_EBITDA_MARGIN",IQ_FY-4))</f>
        <v>7.6</v>
      </c>
      <c r="H1973" s="15">
        <f>IF(A1976=A1977,_xll.ciqfunctions.udf.CIQ(A1968,"IQ_TOTAL_DIV_PAID_CF",IQ_FY-5)/-I1973, _xll.ciqfunctions.udf.CIQ(A1968, "IQ_TOTAL_DIV_PAID_CF",IQ_FY-4)/-I1973)</f>
        <v>0</v>
      </c>
      <c r="I1973" s="17">
        <f>IF(A1976=A1977,_xll.ciqfunctions.udf.CIQ(A1968,"IQ_TOTAL_OUTSTANDING_FILING_DATE",IQ_FY-5), _xll.ciqfunctions.udf.CIQ(A1968, "IQ_TOTAL_OUTSTANDING_FILING_DATE",IQ_FY-4))</f>
        <v>27.468299999999999</v>
      </c>
      <c r="J1973" s="17">
        <f>IF(A1976=A1977,_xll.ciqfunctions.udf.CIQ(A1968,"IQ_CASH_OPER",IQ_FY-5), _xll.ciqfunctions.udf.CIQ(A1968, "IQ_CASH_OPER",IQ_FY-4))</f>
        <v>-2.778</v>
      </c>
      <c r="K1973" s="17">
        <f>IF(A1976=A1977,_xll.ciqfunctions.udf.CIQ(A1968,"IQ_CAPEX",IQ_FY-5), _xll.ciqfunctions.udf.CIQ(A1968, "IQ_CAPEX",IQ_FY-4))</f>
        <v>-1.8420000000000001</v>
      </c>
      <c r="L1973" s="15">
        <f t="shared" si="524"/>
        <v>-0.16819388167451207</v>
      </c>
      <c r="M1973" s="17">
        <f>IF(A1976=A1977,_xll.ciqfunctions.udf.CIQ(A1968,"IQ_TOTAL_DEBT_ISSUED",IQ_FY-5), _xll.ciqfunctions.udf.CIQ(A1968, "IQ_TOTAL_DEBT_ISSUED",IQ_FY-4))</f>
        <v>0</v>
      </c>
      <c r="N1973" s="17">
        <f>IF(A1976=A1977,_xll.ciqfunctions.udf.CIQ(A1968,"IQ_TOTAL_DEBT_REPAID",IQ_FY-5), _xll.ciqfunctions.udf.CIQ(A1968, "IQ_TOTAL_DEBT_REPAID",IQ_FY-4))</f>
        <v>0</v>
      </c>
      <c r="O1973" s="15">
        <f t="shared" si="525"/>
        <v>0</v>
      </c>
      <c r="P1973" s="15">
        <f t="shared" si="526"/>
        <v>-0.16819388167451207</v>
      </c>
      <c r="Q1973" s="25" t="s">
        <v>27</v>
      </c>
      <c r="R1973" s="38" t="s">
        <v>51</v>
      </c>
      <c r="S1973" s="4">
        <f>AVERAGE(F1973:F1978)/AVERAGE(D1973:D1978)</f>
        <v>3.7458709761359094E-2</v>
      </c>
      <c r="U1973" s="25" t="s">
        <v>58</v>
      </c>
      <c r="V1973" s="38" t="s">
        <v>51</v>
      </c>
      <c r="W1973" s="4">
        <f>AVERAGE(F1973:F1978)/AVERAGE(D1973:D1978)</f>
        <v>3.7458709761359094E-2</v>
      </c>
      <c r="Y1973" s="25" t="s">
        <v>56</v>
      </c>
      <c r="Z1973" s="38" t="s">
        <v>51</v>
      </c>
      <c r="AA1973" s="4">
        <f>AVERAGE(F1973:F1978)/AVERAGE(D1973:D1978)</f>
        <v>3.7458709761359094E-2</v>
      </c>
    </row>
    <row r="1974" spans="1:27">
      <c r="A1974" s="18"/>
      <c r="B1974" s="13">
        <v>7</v>
      </c>
      <c r="C1974" s="14" t="s">
        <v>28</v>
      </c>
      <c r="D1974" s="15" cm="1">
        <f t="array" ref="D1974">_xlfn.SINGLE(IF(A1976=A1977,_xll.ciqfunctions.udf.CIQ(A1968,"IQ_TOTAL_REV",IQ_FY-4)/I1974, _xll.ciqfunctions.udf.CIQ(A1968, "IQ_TOTAL_REV",IQ_FY-3)/I1974))</f>
        <v>8.9779333338042395</v>
      </c>
      <c r="E1974" s="16">
        <f t="shared" si="527"/>
        <v>8.6893673198093394E-2</v>
      </c>
      <c r="F1974" s="15">
        <f>IF(A1976=A1977,_xll.ciqfunctions.udf.CIQ(A1968,"IQ_DILUT_EPS_EXCL",IQ_FY-4), _xll.ciqfunctions.udf.CIQ(A1968, "IQ_DILUT_EPS_EXCL",IQ_FY-3))</f>
        <v>0.35</v>
      </c>
      <c r="G1974" s="15">
        <f>IF(A1976=A1977,_xll.ciqfunctions.udf.CIQ(A1968,"IQ_EBITDA_MARGIN",IQ_FY-4), _xll.ciqfunctions.udf.CIQ(A1968, "IQ_EBITDA_MARGIN",IQ_FY-3))</f>
        <v>9.7838999999999992</v>
      </c>
      <c r="H1974" s="15">
        <f>IF(A1976=A1977,_xll.ciqfunctions.udf.CIQ(A1968,"IQ_TOTAL_DIV_PAID_CF",IQ_FY-4)/-I1974, _xll.ciqfunctions.udf.CIQ(A1968, "IQ_TOTAL_DIV_PAID_CF",IQ_FY-3)/-I1974)</f>
        <v>0</v>
      </c>
      <c r="I1974" s="17">
        <f>IF(A1976=A1977,_xll.ciqfunctions.udf.CIQ(A1968,"IQ_TOTAL_OUTSTANDING_FILING_DATE",IQ_FY-4), _xll.ciqfunctions.udf.CIQ(A1968, "IQ_TOTAL_OUTSTANDING_FILING_DATE",IQ_FY-3))</f>
        <v>28.3142</v>
      </c>
      <c r="J1974" s="17">
        <f>IF(A1976=A1977,_xll.ciqfunctions.udf.CIQ(A1968,"IQ_CASH_OPER",IQ_FY-4), _xll.ciqfunctions.udf.CIQ(A1968, "IQ_CASH_OPER",IQ_FY-3))</f>
        <v>28.963999999999999</v>
      </c>
      <c r="K1974" s="17">
        <f>IF(A1976=A1977,_xll.ciqfunctions.udf.CIQ(A1968,"IQ_CAPEX",IQ_FY-4), _xll.ciqfunctions.udf.CIQ(A1968, "IQ_CAPEX",IQ_FY-3))</f>
        <v>-9.3350000000000009</v>
      </c>
      <c r="L1974" s="15">
        <f t="shared" si="524"/>
        <v>0.69325638725445171</v>
      </c>
      <c r="M1974" s="17">
        <f>IF(A1976=A1977,_xll.ciqfunctions.udf.CIQ(A1968,"IQ_TOTAL_DEBT_ISSUED",IQ_FY-4), _xll.ciqfunctions.udf.CIQ(A1968, "IQ_TOTAL_DEBT_ISSUED",IQ_FY-3))</f>
        <v>0</v>
      </c>
      <c r="N1974" s="17">
        <f>IF(A1976=A1977,_xll.ciqfunctions.udf.CIQ(A1968,"IQ_TOTAL_DEBT_REPAID",IQ_FY-4), _xll.ciqfunctions.udf.CIQ(A1968, "IQ_TOTAL_DEBT_REPAID",IQ_FY-3))</f>
        <v>0</v>
      </c>
      <c r="O1974" s="15">
        <f t="shared" si="525"/>
        <v>0</v>
      </c>
      <c r="P1974" s="15">
        <f t="shared" si="526"/>
        <v>0.69325638725445171</v>
      </c>
      <c r="Q1974" s="18"/>
      <c r="R1974" s="38" t="s">
        <v>29</v>
      </c>
      <c r="S1974" s="4">
        <f>(AVERAGE(P1973:P1978)/_xlfn.STDEV.P(P1973:P1978))/(IF(A1976=A1977,(_xlfn.SINGLE(_xll.ciqfunctions.udf.CIQ(A1968,"IQ_total_assets",IQ_FY)) - _xlfn.SINGLE(_xll.ciqfunctions.udf.CIQ(A1968,"iq_gw_intan", IQ_FY)))/I1978, (_xlfn.SINGLE(_xll.ciqfunctions.udf.CIQ(A1968, "IQ_total_assets",IQ_LTM))-_xlfn.SINGLE(_xll.ciqfunctions.udf.CIQ(A1968,"iq_gw_intan",IQ_LTM)))/I1978))</f>
        <v>0.13277338582049625</v>
      </c>
      <c r="U1974" s="18"/>
      <c r="V1974" s="38" t="s">
        <v>29</v>
      </c>
      <c r="W1974" s="4">
        <f>(AVERAGE(P1973:P1978)/_xlfn.STDEV.P(P1973:P1978))/(IF(A1976=A1977,(_xlfn.SINGLE(_xll.ciqfunctions.udf.CIQ(A1968,"IQ_total_assets",IQ_FY)) - _xlfn.SINGLE(_xll.ciqfunctions.udf.CIQ(A1968,"iq_gw_intan", IQ_FY)))/I1978, (_xlfn.SINGLE(_xll.ciqfunctions.udf.CIQ(A1968, "IQ_total_assets",IQ_LTM))-_xlfn.SINGLE(_xll.ciqfunctions.udf.CIQ(A1968,"iq_gw_intan",IQ_LTM)))/I1978))</f>
        <v>0.13277338582049625</v>
      </c>
      <c r="Y1974" s="18"/>
      <c r="Z1974" s="38" t="s">
        <v>29</v>
      </c>
      <c r="AA1974" s="4">
        <f>(AVERAGE(P1973:P1978)/_xlfn.STDEV.P(P1973:P1978))/(IF(A1976=A1977,(_xlfn.SINGLE(_xll.ciqfunctions.udf.CIQ(A1968,"IQ_total_assets",IQ_FY)) - _xlfn.SINGLE(_xll.ciqfunctions.udf.CIQ(A1968,"iq_gw_intan", IQ_FY)))/I1978, (_xlfn.SINGLE(_xll.ciqfunctions.udf.CIQ(A1968, "IQ_total_assets",IQ_LTM))-_xlfn.SINGLE(_xll.ciqfunctions.udf.CIQ(A1968,"iq_gw_intan",IQ_LTM)))/I1978))</f>
        <v>0.13277338582049625</v>
      </c>
    </row>
    <row r="1975" spans="1:27">
      <c r="A1975" s="18"/>
      <c r="B1975" s="13">
        <v>8</v>
      </c>
      <c r="C1975" s="14" t="s">
        <v>30</v>
      </c>
      <c r="D1975" s="15" cm="1">
        <f t="array" ref="D1975">_xlfn.SINGLE(IF(A1976=A1977,_xll.ciqfunctions.udf.CIQ(A1968,"IQ_TOTAL_REV",IQ_FY-3)/I1975, _xll.ciqfunctions.udf.CIQ(A1968, "IQ_TOTAL_REV",IQ_FY-2)/I1975))</f>
        <v>9.5503385541344645</v>
      </c>
      <c r="E1975" s="16">
        <f t="shared" si="527"/>
        <v>6.3756902512850197E-2</v>
      </c>
      <c r="F1975" s="15">
        <f>IF(A1976=A1977,_xll.ciqfunctions.udf.CIQ(A1968,"IQ_DILUT_EPS_EXCL",IQ_FY-3), _xll.ciqfunctions.udf.CIQ(A1968, "IQ_DILUT_EPS_EXCL",IQ_FY-2))</f>
        <v>0.28000000000000003</v>
      </c>
      <c r="G1975" s="15">
        <f>IF(A1976=A1977,_xll.ciqfunctions.udf.CIQ(A1968,"IQ_EBITDA_MARGIN",IQ_FY-3), _xll.ciqfunctions.udf.CIQ(A1968, "IQ_EBITDA_MARGIN",IQ_FY-2))</f>
        <v>11.9514</v>
      </c>
      <c r="H1975" s="15">
        <f>IF(A1976=A1977,_xll.ciqfunctions.udf.CIQ(A1968,"IQ_TOTAL_DIV_PAID_CF",IQ_FY-3)/-I1975, _xll.ciqfunctions.udf.CIQ(A1968, "IQ_TOTAL_DIV_PAID_CF",IQ_FY-2)/-I1975)</f>
        <v>0</v>
      </c>
      <c r="I1975" s="17">
        <f>IF(A1976=A1977,_xll.ciqfunctions.udf.CIQ(A1968,"IQ_TOTAL_OUTSTANDING_FILING_DATE",IQ_FY-3), _xll.ciqfunctions.udf.CIQ(A1968, "IQ_TOTAL_OUTSTANDING_FILING_DATE",IQ_FY-2))</f>
        <v>29.242000000000001</v>
      </c>
      <c r="J1975" s="17">
        <f>IF(A1976=A1977,_xll.ciqfunctions.udf.CIQ(A1968,"IQ_CASH_OPER",IQ_FY-3), _xll.ciqfunctions.udf.CIQ(A1968, "IQ_CASH_OPER",IQ_FY-2))</f>
        <v>34.478000000000002</v>
      </c>
      <c r="K1975" s="17">
        <f>IF(A1976=A1977,_xll.ciqfunctions.udf.CIQ(A1968,"IQ_CAPEX",IQ_FY-3), _xll.ciqfunctions.udf.CIQ(A1968, "IQ_CAPEX",IQ_FY-2))</f>
        <v>-0.89900000000000002</v>
      </c>
      <c r="L1975" s="15">
        <f t="shared" si="524"/>
        <v>1.1483140688051432</v>
      </c>
      <c r="M1975" s="17">
        <f>IF(A1976=A1977,_xll.ciqfunctions.udf.CIQ(A1968,"IQ_TOTAL_DEBT_ISSUED",IQ_FY-3), _xll.ciqfunctions.udf.CIQ(A1968, "IQ_TOTAL_DEBT_ISSUED",IQ_FY-2))</f>
        <v>119.018</v>
      </c>
      <c r="N1975" s="17">
        <f>IF(A1976=A1977,_xll.ciqfunctions.udf.CIQ(A1968,"IQ_TOTAL_DEBT_REPAID",IQ_FY-3), _xll.ciqfunctions.udf.CIQ(A1968, "IQ_TOTAL_DEBT_REPAID",IQ_FY-2))</f>
        <v>-55.893000000000001</v>
      </c>
      <c r="O1975" s="15">
        <f t="shared" si="525"/>
        <v>2.1587100745503043</v>
      </c>
      <c r="P1975" s="15">
        <f t="shared" si="526"/>
        <v>3.3070241433554477</v>
      </c>
      <c r="Q1975" s="18"/>
      <c r="R1975" s="39" t="s">
        <v>31</v>
      </c>
      <c r="S1975" s="5">
        <f>IF(NOT(D1968&gt;0),FALSE,SLOPE(G1968:G1978,B1968:B1978))</f>
        <v>1.0816027272727275</v>
      </c>
      <c r="U1975" s="18"/>
      <c r="V1975" s="39" t="s">
        <v>31</v>
      </c>
      <c r="W1975" s="5">
        <f>IF(NOT(D1968&gt;0),FALSE,SLOPE(G1968:G1978,B1968:B1978))</f>
        <v>1.0816027272727275</v>
      </c>
      <c r="Y1975" s="18"/>
      <c r="Z1975" s="39" t="s">
        <v>31</v>
      </c>
      <c r="AA1975" s="5">
        <f>IF(NOT(L1968&gt;0),FALSE,SLOPE(O1968:O1978,J1968:J1978))</f>
        <v>2.2952720300083843E-2</v>
      </c>
    </row>
    <row r="1976" spans="1:27">
      <c r="A1976" s="19">
        <f>_xll.ciqfunctions.udf.CIQ(A1968,"IQ_TOTAL_REV",IQ_FY)</f>
        <v>444.84899999999999</v>
      </c>
      <c r="B1976" s="13">
        <v>9</v>
      </c>
      <c r="C1976" s="14" t="s">
        <v>32</v>
      </c>
      <c r="D1976" s="15" cm="1">
        <f t="array" ref="D1976">_xlfn.SINGLE(IF(A1976=A1977,_xll.ciqfunctions.udf.CIQ(A1968,"IQ_TOTAL_REV",IQ_FY-2)/I1976, _xll.ciqfunctions.udf.CIQ(A1968, "IQ_TOTAL_REV",IQ_FY-1)/I1976))</f>
        <v>8.970504458628346</v>
      </c>
      <c r="E1976" s="16">
        <f t="shared" si="527"/>
        <v>-6.0713459760554866E-2</v>
      </c>
      <c r="F1976" s="15">
        <f>IF(A1976=A1977,_xll.ciqfunctions.udf.CIQ(A1968,"IQ_DILUT_EPS_EXCL",IQ_FY-2), _xll.ciqfunctions.udf.CIQ(A1968, "IQ_DILUT_EPS_EXCL",IQ_FY-1))</f>
        <v>0.31</v>
      </c>
      <c r="G1976" s="15">
        <f>IF(A1976=A1977,_xll.ciqfunctions.udf.CIQ(A1968,"IQ_EBITDA_MARGIN",IQ_FY-2), _xll.ciqfunctions.udf.CIQ(A1968, "IQ_EBITDA_MARGIN",IQ_FY-1))</f>
        <v>12.5625</v>
      </c>
      <c r="H1976" s="15">
        <f>IF(A1976=A1977,_xll.ciqfunctions.udf.CIQ(A1968,"IQ_TOTAL_DIV_PAID_CF",IQ_FY-2)/-I1976, _xll.ciqfunctions.udf.CIQ(A1968, "IQ_TOTAL_DIV_PAID_CF",IQ_FY-1)/-I1976)</f>
        <v>0</v>
      </c>
      <c r="I1976" s="17">
        <f>IF(A1976=A1977,_xll.ciqfunctions.udf.CIQ(A1968,"IQ_TOTAL_OUTSTANDING_FILING_DATE",IQ_FY-2), _xll.ciqfunctions.udf.CIQ(A1968, "IQ_TOTAL_OUTSTANDING_FILING_DATE",IQ_FY-1))</f>
        <v>34.405200000000001</v>
      </c>
      <c r="J1976" s="17">
        <f>IF(A1976=A1977,_xll.ciqfunctions.udf.CIQ(A1968,"IQ_CASH_OPER",IQ_FY-2), _xll.ciqfunctions.udf.CIQ(A1968, "IQ_CASH_OPER",IQ_FY-1))</f>
        <v>57.722999999999999</v>
      </c>
      <c r="K1976" s="17">
        <f>IF(A1976=A1977,_xll.ciqfunctions.udf.CIQ(A1968,"IQ_CAPEX",IQ_FY-2), _xll.ciqfunctions.udf.CIQ(A1968, "IQ_CAPEX",IQ_FY-1))</f>
        <v>-2.2570000000000001</v>
      </c>
      <c r="L1976" s="15">
        <f t="shared" si="524"/>
        <v>1.612140025345006</v>
      </c>
      <c r="M1976" s="17">
        <f>IF(A1976=A1977,_xll.ciqfunctions.udf.CIQ(A1968,"IQ_TOTAL_DEBT_ISSUED",IQ_FY-2), _xll.ciqfunctions.udf.CIQ(A1968, "IQ_TOTAL_DEBT_ISSUED",IQ_FY-1))</f>
        <v>0.61699999999999999</v>
      </c>
      <c r="N1976" s="17">
        <f>IF(A1976=A1977,_xll.ciqfunctions.udf.CIQ(A1968,"IQ_TOTAL_DEBT_REPAID",IQ_FY-2), _xll.ciqfunctions.udf.CIQ(A1968, "IQ_TOTAL_DEBT_REPAID",IQ_FY-1))</f>
        <v>-15.624000000000001</v>
      </c>
      <c r="O1976" s="15">
        <f t="shared" si="525"/>
        <v>-0.43618406519944664</v>
      </c>
      <c r="P1976" s="15">
        <f t="shared" si="526"/>
        <v>1.1759559601455594</v>
      </c>
      <c r="Q1976" s="25" t="s">
        <v>33</v>
      </c>
      <c r="R1976" s="38" t="s">
        <v>52</v>
      </c>
      <c r="S1976" s="4">
        <f>(AVERAGE(O1973:O1978)/AVERAGE(P1973:P1978))</f>
        <v>0.55197492826717143</v>
      </c>
      <c r="U1976" s="25" t="s">
        <v>54</v>
      </c>
      <c r="V1976" s="38" t="s">
        <v>52</v>
      </c>
      <c r="W1976" s="4">
        <f>(AVERAGE(O1973:O1978)/AVERAGE(P1973:P1978))</f>
        <v>0.55197492826717143</v>
      </c>
      <c r="Y1976" s="25" t="s">
        <v>60</v>
      </c>
      <c r="Z1976" s="38" t="s">
        <v>52</v>
      </c>
      <c r="AA1976" s="4">
        <f>(AVERAGE(O1973:O1978)/AVERAGE(P1973:P1978))</f>
        <v>0.55197492826717143</v>
      </c>
    </row>
    <row r="1977" spans="1:27">
      <c r="A1977" s="19">
        <f>_xll.ciqfunctions.udf.CIQ(A1968,"IQ_TOTAL_REV",IQ_LTM)</f>
        <v>444.84899999999999</v>
      </c>
      <c r="B1977" s="13">
        <v>10</v>
      </c>
      <c r="C1977" s="14" t="s">
        <v>34</v>
      </c>
      <c r="D1977" s="15" cm="1">
        <f t="array" ref="D1977">_xlfn.SINGLE(IF(A1976=A1977,_xll.ciqfunctions.udf.CIQ(A1968,"IQ_TOTAL_REV",IQ_FY-1)/I1977, _xll.ciqfunctions.udf.CIQ(A1968, "IQ_TOTAL_REV",IQ_FY)/I1977))</f>
        <v>10.918590304454931</v>
      </c>
      <c r="E1977" s="16">
        <f t="shared" si="527"/>
        <v>0.21716569617807879</v>
      </c>
      <c r="F1977" s="15">
        <f>IF(A1976=A1977,_xll.ciqfunctions.udf.CIQ(A1968,"IQ_DILUT_EPS_EXCL",IQ_FY-1), _xll.ciqfunctions.udf.CIQ(A1968, "IQ_DILUT_EPS_EXCL",IQ_FY))</f>
        <v>0.54</v>
      </c>
      <c r="G1977" s="15">
        <f>IF(A1976=A1977,_xll.ciqfunctions.udf.CIQ(A1968,"IQ_EBITDA_MARGIN",IQ_FY-1), _xll.ciqfunctions.udf.CIQ(A1968, "IQ_EBITDA_MARGIN",IQ_FY))</f>
        <v>19.059000000000001</v>
      </c>
      <c r="H1977" s="15">
        <f>IF(A1976=A1977,_xll.ciqfunctions.udf.CIQ(A1968,"IQ_TOTAL_DIV_PAID_CF",IQ_FY-1)/-I1977, _xll.ciqfunctions.udf.CIQ(A1968, "IQ_TOTAL_DIV_PAID_CF",IQ_FY)/-I1977)</f>
        <v>0</v>
      </c>
      <c r="I1977" s="17">
        <f>IF(A1976=A1977,_xll.ciqfunctions.udf.CIQ(A1968,"IQ_TOTAL_OUTSTANDING_FILING_DATE",IQ_FY-1), _xll.ciqfunctions.udf.CIQ(A1968, "IQ_TOTAL_OUTSTANDING_FILING_DATE",IQ_FY))</f>
        <v>35.556330000000003</v>
      </c>
      <c r="J1977" s="17">
        <f>IF(A1976=A1977,_xll.ciqfunctions.udf.CIQ(A1968,"IQ_CASH_OPER",IQ_FY-1), _xll.ciqfunctions.udf.CIQ(A1968, "IQ_CASH_OPER",IQ_FY))</f>
        <v>37.74</v>
      </c>
      <c r="K1977" s="17">
        <f>IF(A1976=A1977,_xll.ciqfunctions.udf.CIQ(A1968,"IQ_CAPEX",IQ_FY-1), _xll.ciqfunctions.udf.CIQ(A1968, "IQ_CAPEX",IQ_FY))</f>
        <v>-1.974</v>
      </c>
      <c r="L1977" s="15">
        <f t="shared" si="524"/>
        <v>1.005896840309447</v>
      </c>
      <c r="M1977" s="17">
        <f>IF(A1976=A1977,_xll.ciqfunctions.udf.CIQ(A1968,"IQ_TOTAL_DEBT_ISSUED",IQ_FY-1), _xll.ciqfunctions.udf.CIQ(A1968, "IQ_TOTAL_DEBT_ISSUED",IQ_FY))</f>
        <v>350</v>
      </c>
      <c r="N1977" s="17">
        <f>IF(A1976=A1977,_xll.ciqfunctions.udf.CIQ(A1968,"IQ_TOTAL_DEBT_REPAID",IQ_FY-1), _xll.ciqfunctions.udf.CIQ(A1968, "IQ_TOTAL_DEBT_REPAID",IQ_FY))</f>
        <v>-148.11799999999999</v>
      </c>
      <c r="O1977" s="15">
        <f t="shared" si="525"/>
        <v>5.6778075802536421</v>
      </c>
      <c r="P1977" s="15">
        <f t="shared" si="526"/>
        <v>6.6837044205630889</v>
      </c>
      <c r="Q1977" s="25" t="s">
        <v>44</v>
      </c>
      <c r="R1977" s="38" t="s">
        <v>35</v>
      </c>
      <c r="S1977" s="1">
        <f>_xll.ciqfunctions.udf.CIQ(A1968,"IQ_TEV_EBITDA")</f>
        <v>12.025969999999999</v>
      </c>
      <c r="U1977" s="25" t="s">
        <v>55</v>
      </c>
      <c r="V1977" s="38" t="s">
        <v>53</v>
      </c>
      <c r="W1977" s="1">
        <f>V1967/(AVERAGE(D1973:D1978)/_xlfn.STDEV.P(E1973:E1978))</f>
        <v>0.23798594030904827</v>
      </c>
      <c r="Y1977" s="25" t="s">
        <v>57</v>
      </c>
      <c r="Z1977" s="38" t="s">
        <v>53</v>
      </c>
      <c r="AA1977" s="1">
        <f>Z1967/(AVERAGE(D1973:D1978)/_xlfn.STDEV.P(E1973:E1978))</f>
        <v>0.23798594030904827</v>
      </c>
    </row>
    <row r="1978" spans="1:27">
      <c r="B1978" s="13">
        <v>11</v>
      </c>
      <c r="C1978" s="20" t="s">
        <v>36</v>
      </c>
      <c r="D1978" s="21" cm="1">
        <f t="array" ref="D1978">_xlfn.SINGLE(IF(A1976=A1977,_xll.ciqfunctions.udf.CIQ(A1968,"IQ_TOTAL_REV",IQ_FY)/I1978, _xll.ciqfunctions.udf.CIQ(A1968, "IQ_TOTAL_REV",IQ_LTM)/I1978))</f>
        <v>12.320751837592265</v>
      </c>
      <c r="E1978" s="22">
        <f t="shared" si="527"/>
        <v>0.1284196488776792</v>
      </c>
      <c r="F1978" s="21">
        <f>IF(A1976=A1977,_xll.ciqfunctions.udf.CIQ(A1968,"IQ_DILUT_EPS_EXCL",IQ_FY), _xll.ciqfunctions.udf.CIQ(A1968, "IQ_DILUT_EPS_EXCL",IQ_LTM))</f>
        <v>0.67</v>
      </c>
      <c r="G1978" s="21">
        <f>IF(A1976=A1977,_xll.ciqfunctions.udf.CIQ(A1968,"IQ_EBITDA_MARGIN",IQ_FY), _xll.ciqfunctions.udf.CIQ(A1968, "IQ_EBITDA_MARGIN",IQ_LTM))</f>
        <v>18.894200000000001</v>
      </c>
      <c r="H1978" s="21">
        <f>IF(A1976=A1977,_xll.ciqfunctions.udf.CIQ(A1968,"IQ_TOTAL_DIV_PAID_CF",IQ_FY)/-I1978, _xll.ciqfunctions.udf.CIQ(A1968, "IQ_TOTAL_DIV_PAID_CF",IQ_LTM)/-I1978)</f>
        <v>0</v>
      </c>
      <c r="I1978" s="23">
        <f>IF(A1976=A1977,_xll.ciqfunctions.udf.CIQ(A1968,"IQ_TOTAL_OUTSTANDING_FILING_DATE",IQ_FY),_xll.ciqfunctions.udf.CIQ(A1968,"IQ_sharesoutstanding"))</f>
        <v>36.105670000000003</v>
      </c>
      <c r="J1978" s="23">
        <f>IF(A1976=A1977,_xll.ciqfunctions.udf.CIQ(A1968,"IQ_CASH_OPER",IQ_FY), _xll.ciqfunctions.udf.CIQ(A1968, "IQ_CASH_OPER",IQ_LTM))</f>
        <v>36.750999999999998</v>
      </c>
      <c r="K1978" s="23">
        <f>IF(A1976=A1977,_xll.ciqfunctions.udf.CIQ(A1968,"IQ_CAPEX",IQ_FY), _xll.ciqfunctions.udf.CIQ(A1968, "IQ_CAPEX",IQ_LTM))</f>
        <v>-4.3449999999999998</v>
      </c>
      <c r="L1978" s="21">
        <f t="shared" si="524"/>
        <v>0.89753216046122386</v>
      </c>
      <c r="M1978" s="23">
        <f>IF(A1976=A1977,_xll.ciqfunctions.udf.CIQ(A1968,"IQ_TOTAL_DEBT_ISSUED",IQ_FY), _xll.ciqfunctions.udf.CIQ(A1968, "IQ_TOTAL_DEBT_ISSUED",IQ_LTM))</f>
        <v>0</v>
      </c>
      <c r="N1978" s="23">
        <f>IF(A1976=A1977,_xll.ciqfunctions.udf.CIQ(A1968,"IQ_TOTAL_DEBT_REPAID",IQ_FY), _xll.ciqfunctions.udf.CIQ(A1968, "IQ_TOTAL_DEBT_REPAID",IQ_LTM))</f>
        <v>-36.375</v>
      </c>
      <c r="O1978" s="21">
        <f t="shared" si="525"/>
        <v>-1.0074594932042529</v>
      </c>
      <c r="P1978" s="21">
        <f t="shared" si="526"/>
        <v>-0.10992733274302902</v>
      </c>
      <c r="Q1978" s="25" t="s">
        <v>45</v>
      </c>
      <c r="S1978" s="45"/>
      <c r="U1978" s="25"/>
      <c r="W1978" s="45"/>
      <c r="Y1978" s="25"/>
      <c r="AA1978" s="45"/>
    </row>
    <row r="1979" spans="1:27">
      <c r="B1979" s="24"/>
      <c r="C1979" s="25" t="s">
        <v>37</v>
      </c>
      <c r="E1979" s="26">
        <f>((D1978/D1973)^(1/5))-1</f>
        <v>8.3252198050008053E-2</v>
      </c>
      <c r="F1979" s="27">
        <f>((F1978/F1973)^(1/5))-1</f>
        <v>0.62025999973895263</v>
      </c>
      <c r="G1979" s="28"/>
      <c r="H1979" s="27" t="e">
        <f>((H1978/H1973)^(1/5))-1</f>
        <v>#DIV/0!</v>
      </c>
      <c r="I1979" s="27">
        <f>((I1978/I1973)^(1/5))-1</f>
        <v>5.6206231126333828E-2</v>
      </c>
      <c r="J1979" s="27"/>
      <c r="K1979" s="27"/>
      <c r="L1979" s="26">
        <f>((L1978/L1973)^(1/5))-1</f>
        <v>-2.3978094271365755</v>
      </c>
      <c r="M1979" s="26"/>
      <c r="N1979" s="26"/>
      <c r="O1979" s="26"/>
      <c r="P1979" s="26">
        <f>((P1978/P1973)^(1/5))-1</f>
        <v>-8.1542427084242419E-2</v>
      </c>
      <c r="Q1979" s="18"/>
      <c r="R1979" s="36"/>
      <c r="S1979" s="45"/>
      <c r="U1979" s="18"/>
      <c r="V1979" s="36"/>
      <c r="W1979" s="45"/>
      <c r="Y1979" s="18"/>
      <c r="Z1979" s="36"/>
      <c r="AA1979" s="45"/>
    </row>
    <row r="1980" spans="1:27">
      <c r="A1980" s="29"/>
      <c r="B1980" s="30"/>
      <c r="C1980" s="31" t="s">
        <v>38</v>
      </c>
      <c r="D1980" s="29"/>
      <c r="E1980" s="32">
        <f>((D1978/D1968)^(1/10))-1</f>
        <v>4.9656191776759506E-2</v>
      </c>
      <c r="F1980" s="33">
        <f>((F1978/F1968)^(1/10))-1</f>
        <v>0.117802848996162</v>
      </c>
      <c r="G1980" s="34"/>
      <c r="H1980" s="33" t="e">
        <f>((H1978/H1968)^(1/10))-1</f>
        <v>#DIV/0!</v>
      </c>
      <c r="I1980" s="33">
        <f>((I1978/I1968)^(1/10))-1</f>
        <v>3.4393915063505975E-2</v>
      </c>
      <c r="J1980" s="33"/>
      <c r="K1980" s="33"/>
      <c r="L1980" s="32">
        <f>((L1978/L1968)^(1/10))-1</f>
        <v>0.100584547992975</v>
      </c>
      <c r="M1980" s="32"/>
      <c r="N1980" s="32"/>
      <c r="O1980" s="32"/>
      <c r="P1980" s="32" t="e">
        <f>((P1978/P1968)^(1/10))-1</f>
        <v>#NUM!</v>
      </c>
      <c r="Q1980" s="40"/>
      <c r="R1980" s="41"/>
      <c r="S1980" s="46"/>
      <c r="U1980" s="40"/>
      <c r="V1980" s="41"/>
      <c r="W1980" s="46"/>
      <c r="Y1980" s="40"/>
      <c r="Z1980" s="41"/>
      <c r="AA1980" s="46"/>
    </row>
    <row r="1981" spans="1:27">
      <c r="B1981" s="24"/>
      <c r="C1981" s="25"/>
      <c r="E1981" s="26"/>
      <c r="F1981" s="27"/>
      <c r="G1981" s="28"/>
      <c r="H1981" s="27"/>
      <c r="I1981" s="27"/>
      <c r="J1981" s="27"/>
      <c r="K1981" s="27"/>
      <c r="L1981" s="26"/>
      <c r="M1981" s="17"/>
      <c r="N1981" s="17"/>
      <c r="O1981" s="17"/>
      <c r="P1981" s="35"/>
      <c r="Q1981" s="18"/>
      <c r="R1981" s="36"/>
    </row>
    <row r="1982" spans="1:27">
      <c r="A1982" s="9" t="s">
        <v>0</v>
      </c>
      <c r="B1982" s="10"/>
      <c r="C1982" s="9" t="s">
        <v>1</v>
      </c>
      <c r="D1982" s="9" t="s">
        <v>2</v>
      </c>
      <c r="E1982" s="9" t="s">
        <v>3</v>
      </c>
      <c r="F1982" s="11" t="s">
        <v>4</v>
      </c>
      <c r="G1982" s="11" t="s">
        <v>5</v>
      </c>
      <c r="H1982" s="9" t="s">
        <v>6</v>
      </c>
      <c r="I1982" s="11" t="s">
        <v>7</v>
      </c>
      <c r="J1982" s="11" t="s">
        <v>8</v>
      </c>
      <c r="K1982" s="11" t="s">
        <v>9</v>
      </c>
      <c r="L1982" s="11" t="s">
        <v>10</v>
      </c>
      <c r="M1982" s="11" t="s">
        <v>11</v>
      </c>
      <c r="N1982" s="11" t="s">
        <v>12</v>
      </c>
      <c r="O1982" s="11" t="s">
        <v>13</v>
      </c>
      <c r="P1982" s="11" t="s">
        <v>14</v>
      </c>
      <c r="Q1982" s="37" t="s">
        <v>15</v>
      </c>
      <c r="R1982" s="42">
        <f>_xll.ciqfunctions.udf.CIQ(A1983,("IQ_LASTSALEPRICE"))</f>
        <v>20.239999999999998</v>
      </c>
      <c r="S1982" s="44"/>
      <c r="U1982" s="37" t="s">
        <v>15</v>
      </c>
      <c r="V1982" s="42">
        <f>_xll.ciqfunctions.udf.CIQ(A1983,("IQ_LASTSALEPRICE"))</f>
        <v>20.239999999999998</v>
      </c>
      <c r="W1982" s="44"/>
      <c r="Y1982" s="37" t="s">
        <v>15</v>
      </c>
      <c r="Z1982" s="42">
        <f>_xll.ciqfunctions.udf.CIQ(A1983,("IQ_LASTSALEPRICE"))</f>
        <v>20.239999999999998</v>
      </c>
      <c r="AA1982" s="44"/>
    </row>
    <row r="1983" spans="1:27">
      <c r="A1983" s="12" t="str">
        <f>Analysis!B134</f>
        <v>NasdaqGS:VSAT</v>
      </c>
      <c r="B1983" s="13">
        <v>1</v>
      </c>
      <c r="C1983" s="14" t="s">
        <v>16</v>
      </c>
      <c r="D1983" s="15">
        <f>IF(A1991=A1992,_xll.ciqfunctions.udf.CIQ(A1983,"IQ_TOTAL_REV",IQ_FY-10)/I1983,_xll.ciqfunctions.udf.CIQ(A1983, "IQ_TOTAL_REV",IQ_FY-9)/I1983)</f>
        <v>29.135937251736618</v>
      </c>
      <c r="E1983" s="16"/>
      <c r="F1983" s="15">
        <f>IF(A1991=A1992,_xll.ciqfunctions.udf.CIQ(A1983,"IQ_DILUT_EPS_EXCL",IQ_FY-10), _xll.ciqfunctions.udf.CIQ(A1983, "IQ_DILUT_EPS_EXCL",IQ_FY-9))</f>
        <v>-0.21</v>
      </c>
      <c r="G1983" s="15">
        <f>IF(A1991=A1992,_xll.ciqfunctions.udf.CIQ(A1983,"IQ_EBITDA_MARGIN",IQ_FY-10), _xll.ciqfunctions.udf.CIQ(A1983, "IQ_EBITDA_MARGIN",IQ_FY-9))</f>
        <v>13.116300000000001</v>
      </c>
      <c r="H1983" s="15">
        <f>IF(A1991=A1992,_xll.ciqfunctions.udf.CIQ(A1983,"IQ_TOTAL_DIV_PAID_CF",IQ_FY-10)/-I1983, _xll.ciqfunctions.udf.CIQ(A1983, "IQ_TOTAL_DIV_PAID_CF",IQ_FY-9)/-I1983)</f>
        <v>0</v>
      </c>
      <c r="I1983" s="17">
        <f>IF(A1991=A1992,_xll.ciqfunctions.udf.CIQ(A1983,"IQ_TOTAL_OUTSTANDING_FILING_DATE",IQ_FY-10), _xll.ciqfunctions.udf.CIQ(A1983, "IQ_TOTAL_OUTSTANDING_FILING_DATE",IQ_FY-9))</f>
        <v>46.384709999999998</v>
      </c>
      <c r="J1983" s="17">
        <f>IF(A1991=A1992,_xll.ciqfunctions.udf.CIQ(A1983,"IQ_CASH_OPER",IQ_FY-10), _xll.ciqfunctions.udf.CIQ(A1983, "IQ_CASH_OPER",IQ_FY-9))</f>
        <v>205.14</v>
      </c>
      <c r="K1983" s="17">
        <f>IF(A1991=A1992,_xll.ciqfunctions.udf.CIQ(A1983,"IQ_CAPEX",IQ_FY-10), _xll.ciqfunctions.udf.CIQ(A1983, "IQ_CAPEX",IQ_FY-9))</f>
        <v>-307.625</v>
      </c>
      <c r="L1983" s="15">
        <f t="shared" ref="L1983:L1993" si="528">(J1983+K1983)/I1983</f>
        <v>-2.2094565213407611</v>
      </c>
      <c r="M1983" s="17">
        <f>IF(A1991=A1992,_xll.ciqfunctions.udf.CIQ(A1983,"IQ_TOTAL_DEBT_ISSUED",IQ_FY-10), _xll.ciqfunctions.udf.CIQ(A1983, "IQ_TOTAL_DEBT_ISSUED",IQ_FY-9))</f>
        <v>295</v>
      </c>
      <c r="N1983" s="17">
        <f>IF(A1991=A1992,_xll.ciqfunctions.udf.CIQ(A1983,"IQ_TOTAL_DEBT_REPAID",IQ_FY-10), _xll.ciqfunctions.udf.CIQ(A1983, "IQ_TOTAL_DEBT_REPAID",IQ_FY-9))</f>
        <v>-190</v>
      </c>
      <c r="O1983" s="15">
        <f t="shared" ref="O1983:O1993" si="529">(M1983+N1983)/I1983</f>
        <v>2.2636769745892558</v>
      </c>
      <c r="P1983" s="15">
        <f t="shared" ref="P1983:P1993" si="530">L1983+O1983</f>
        <v>5.4220453248494671E-2</v>
      </c>
      <c r="W1983" s="43"/>
      <c r="AA1983" s="43"/>
    </row>
    <row r="1984" spans="1:27">
      <c r="A1984" s="18" t="str">
        <f>_xll.ciqfunctions.udf.CIQ(A1983,"IQ_COMPANY_NAME")</f>
        <v>Viasat, Inc.</v>
      </c>
      <c r="B1984" s="13">
        <v>2</v>
      </c>
      <c r="C1984" s="14" t="s">
        <v>17</v>
      </c>
      <c r="D1984" s="15">
        <f>IF(A1991=A1992,_xll.ciqfunctions.udf.CIQ(A1983,"IQ_TOTAL_REV",IQ_FY-9)/I1984, _xll.ciqfunctions.udf.CIQ(A1983, "IQ_TOTAL_REV",IQ_FY-8)/I1984)</f>
        <v>28.979673029526449</v>
      </c>
      <c r="E1984" s="16">
        <f t="shared" ref="E1984:E1993" si="531">(D1984-D1983)/D1983</f>
        <v>-5.3632811211815302E-3</v>
      </c>
      <c r="F1984" s="15">
        <f>IF(A1991=A1992,_xll.ciqfunctions.udf.CIQ(A1983,"IQ_DILUT_EPS_EXCL",IQ_FY-9), _xll.ciqfunctions.udf.CIQ(A1983, "IQ_DILUT_EPS_EXCL",IQ_FY-8))</f>
        <v>0.84</v>
      </c>
      <c r="G1984" s="15">
        <f>IF(A1991=A1992,_xll.ciqfunctions.udf.CIQ(A1983,"IQ_EBITDA_MARGIN",IQ_FY-9), _xll.ciqfunctions.udf.CIQ(A1983, "IQ_EBITDA_MARGIN",IQ_FY-8))</f>
        <v>18.977900000000002</v>
      </c>
      <c r="H1984" s="15">
        <f>IF(A1991=A1992,_xll.ciqfunctions.udf.CIQ(A1983,"IQ_TOTAL_DIV_PAID_CF",IQ_FY-9)/-I1984, _xll.ciqfunctions.udf.CIQ(A1983, "IQ_TOTAL_DIV_PAID_CF",IQ_FY-8)/-I1984)</f>
        <v>0</v>
      </c>
      <c r="I1984" s="17">
        <f>IF(A1991=A1992,_xll.ciqfunctions.udf.CIQ(A1983,"IQ_TOTAL_OUTSTANDING_FILING_DATE",IQ_FY-9), _xll.ciqfunctions.udf.CIQ(A1983, "IQ_TOTAL_OUTSTANDING_FILING_DATE",IQ_FY-8))</f>
        <v>47.707059999999998</v>
      </c>
      <c r="J1984" s="17">
        <f>IF(A1991=A1992,_xll.ciqfunctions.udf.CIQ(A1983,"IQ_CASH_OPER",IQ_FY-9), _xll.ciqfunctions.udf.CIQ(A1983, "IQ_CASH_OPER",IQ_FY-8))</f>
        <v>349.51600000000002</v>
      </c>
      <c r="K1984" s="17">
        <f>IF(A1991=A1992,_xll.ciqfunctions.udf.CIQ(A1983,"IQ_CAPEX",IQ_FY-9), _xll.ciqfunctions.udf.CIQ(A1983, "IQ_CAPEX",IQ_FY-8))</f>
        <v>-366.49200000000002</v>
      </c>
      <c r="L1984" s="15">
        <f t="shared" si="528"/>
        <v>-0.3558383182698745</v>
      </c>
      <c r="M1984" s="17">
        <f>IF(A1991=A1992,_xll.ciqfunctions.udf.CIQ(A1983,"IQ_TOTAL_DEBT_ISSUED",IQ_FY-9), _xll.ciqfunctions.udf.CIQ(A1983, "IQ_TOTAL_DEBT_ISSUED",IQ_FY-8))</f>
        <v>363.91399999999999</v>
      </c>
      <c r="N1984" s="17">
        <f>IF(A1991=A1992,_xll.ciqfunctions.udf.CIQ(A1983,"IQ_TOTAL_DEBT_REPAID",IQ_FY-9), _xll.ciqfunctions.udf.CIQ(A1983, "IQ_TOTAL_DEBT_REPAID",IQ_FY-8))</f>
        <v>-245</v>
      </c>
      <c r="O1984" s="15">
        <f t="shared" si="529"/>
        <v>2.4925870510570132</v>
      </c>
      <c r="P1984" s="15">
        <f t="shared" si="530"/>
        <v>2.1367487327871388</v>
      </c>
      <c r="Q1984" s="25" t="s">
        <v>18</v>
      </c>
      <c r="R1984" s="39" t="s">
        <v>19</v>
      </c>
      <c r="S1984" s="1">
        <f>R1982/((AVERAGE(P1988:P1993))*(1+E1994)^3)</f>
        <v>-41.971309161236519</v>
      </c>
      <c r="U1984" s="25" t="s">
        <v>48</v>
      </c>
      <c r="V1984" s="39" t="s">
        <v>19</v>
      </c>
      <c r="W1984" s="1">
        <f>V1982/((AVERAGE(P1988:P1993))*(1+E1994)^3)</f>
        <v>-41.971309161236519</v>
      </c>
      <c r="Y1984" s="25" t="s">
        <v>39</v>
      </c>
      <c r="Z1984" s="39" t="s">
        <v>19</v>
      </c>
      <c r="AA1984" s="1">
        <f>Z1982/((AVERAGE(P1988:P1993))*(1+E1994)^3)</f>
        <v>-41.971309161236519</v>
      </c>
    </row>
    <row r="1985" spans="1:27">
      <c r="B1985" s="13">
        <v>3</v>
      </c>
      <c r="C1985" s="14" t="s">
        <v>20</v>
      </c>
      <c r="D1985" s="15" cm="1">
        <f t="array" ref="D1985">_xlfn.SINGLE(IF(A1991=A1992,_xll.ciqfunctions.udf.CIQ(A1983,"IQ_TOTAL_REV",IQ_FY-8)/I1985, _xll.ciqfunctions.udf.CIQ(A1983, "IQ_TOTAL_REV",IQ_FY-7)/I1985))</f>
        <v>28.959692683373323</v>
      </c>
      <c r="E1985" s="16">
        <f t="shared" si="531"/>
        <v>-6.8946071726788368E-4</v>
      </c>
      <c r="F1985" s="15">
        <f>IF(A1991=A1992,_xll.ciqfunctions.udf.CIQ(A1983,"IQ_DILUT_EPS_EXCL",IQ_FY-8), _xll.ciqfunctions.udf.CIQ(A1983, "IQ_DILUT_EPS_EXCL",IQ_FY-7))</f>
        <v>0.44</v>
      </c>
      <c r="G1985" s="15">
        <f>IF(A1991=A1992,_xll.ciqfunctions.udf.CIQ(A1983,"IQ_EBITDA_MARGIN",IQ_FY-8), _xll.ciqfunctions.udf.CIQ(A1983, "IQ_EBITDA_MARGIN",IQ_FY-7))</f>
        <v>17.707699999999999</v>
      </c>
      <c r="H1985" s="15">
        <f>IF(A1991=A1992,_xll.ciqfunctions.udf.CIQ(A1983,"IQ_TOTAL_DIV_PAID_CF",IQ_FY-8)/-I1985, _xll.ciqfunctions.udf.CIQ(A1983, "IQ_TOTAL_DIV_PAID_CF",IQ_FY-7)/-I1985)</f>
        <v>0</v>
      </c>
      <c r="I1985" s="17">
        <f>IF(A1991=A1992,_xll.ciqfunctions.udf.CIQ(A1983,"IQ_TOTAL_OUTSTANDING_FILING_DATE",IQ_FY-8), _xll.ciqfunctions.udf.CIQ(A1983, "IQ_TOTAL_OUTSTANDING_FILING_DATE",IQ_FY-7))</f>
        <v>48.944960000000002</v>
      </c>
      <c r="J1985" s="17">
        <f>IF(A1991=A1992,_xll.ciqfunctions.udf.CIQ(A1983,"IQ_CASH_OPER",IQ_FY-8), _xll.ciqfunctions.udf.CIQ(A1983, "IQ_CASH_OPER",IQ_FY-7))</f>
        <v>296.93700000000001</v>
      </c>
      <c r="K1985" s="17">
        <f>IF(A1991=A1992,_xll.ciqfunctions.udf.CIQ(A1983,"IQ_CAPEX",IQ_FY-8), _xll.ciqfunctions.udf.CIQ(A1983, "IQ_CAPEX",IQ_FY-7))</f>
        <v>-377.89400000000001</v>
      </c>
      <c r="L1985" s="15">
        <f t="shared" si="528"/>
        <v>-1.6540416010146906</v>
      </c>
      <c r="M1985" s="17">
        <f>IF(A1991=A1992,_xll.ciqfunctions.udf.CIQ(A1983,"IQ_TOTAL_DEBT_ISSUED",IQ_FY-8), _xll.ciqfunctions.udf.CIQ(A1983, "IQ_TOTAL_DEBT_ISSUED",IQ_FY-7))</f>
        <v>350.834</v>
      </c>
      <c r="N1985" s="17">
        <f>IF(A1991=A1992,_xll.ciqfunctions.udf.CIQ(A1983,"IQ_TOTAL_DEBT_REPAID",IQ_FY-8), _xll.ciqfunctions.udf.CIQ(A1983, "IQ_TOTAL_DEBT_REPAID",IQ_FY-7))</f>
        <v>-205</v>
      </c>
      <c r="O1985" s="15">
        <f t="shared" si="529"/>
        <v>2.9795509077952049</v>
      </c>
      <c r="P1985" s="15">
        <f t="shared" si="530"/>
        <v>1.3255093067805144</v>
      </c>
      <c r="Q1985" s="25" t="s">
        <v>21</v>
      </c>
      <c r="R1985" s="38" t="s">
        <v>49</v>
      </c>
      <c r="S1985" s="2">
        <f>(R1982*I1993)/1000</f>
        <v>2.5200273472000001</v>
      </c>
      <c r="U1985" s="25" t="s">
        <v>59</v>
      </c>
      <c r="V1985" s="38" t="s">
        <v>49</v>
      </c>
      <c r="W1985" s="2">
        <f>(V1982*I1993)/1000</f>
        <v>2.5200273472000001</v>
      </c>
      <c r="Y1985" s="25" t="s">
        <v>46</v>
      </c>
      <c r="Z1985" s="38" t="s">
        <v>49</v>
      </c>
      <c r="AA1985" s="2">
        <f>(Z1982*I1993)/1000</f>
        <v>2.5200273472000001</v>
      </c>
    </row>
    <row r="1986" spans="1:27">
      <c r="A1986" s="18"/>
      <c r="B1986" s="13">
        <v>4</v>
      </c>
      <c r="C1986" s="14" t="s">
        <v>22</v>
      </c>
      <c r="D1986" s="15" cm="1">
        <f t="array" ref="D1986">_xlfn.SINGLE(IF(A1991=A1992,_xll.ciqfunctions.udf.CIQ(A1983,"IQ_TOTAL_REV",IQ_FY-7)/I1986, _xll.ciqfunctions.udf.CIQ(A1983, "IQ_TOTAL_REV",IQ_FY-6)/I1986))</f>
        <v>27.058373589655002</v>
      </c>
      <c r="E1986" s="16">
        <f t="shared" si="531"/>
        <v>-6.5653980327281883E-2</v>
      </c>
      <c r="F1986" s="15">
        <f>IF(A1991=A1992,_xll.ciqfunctions.udf.CIQ(A1983,"IQ_DILUT_EPS_EXCL",IQ_FY-7), _xll.ciqfunctions.udf.CIQ(A1983, "IQ_DILUT_EPS_EXCL",IQ_FY-6))</f>
        <v>0.45</v>
      </c>
      <c r="G1986" s="15">
        <f>IF(A1991=A1992,_xll.ciqfunctions.udf.CIQ(A1983,"IQ_EBITDA_MARGIN",IQ_FY-7), _xll.ciqfunctions.udf.CIQ(A1983, "IQ_EBITDA_MARGIN",IQ_FY-6))</f>
        <v>16.024799999999999</v>
      </c>
      <c r="H1986" s="15">
        <f>IF(A1991=A1992,_xll.ciqfunctions.udf.CIQ(A1983,"IQ_TOTAL_DIV_PAID_CF",IQ_FY-7)/-I1986, _xll.ciqfunctions.udf.CIQ(A1983, "IQ_TOTAL_DIV_PAID_CF",IQ_FY-6)/-I1986)</f>
        <v>0</v>
      </c>
      <c r="I1986" s="17">
        <f>IF(A1991=A1992,_xll.ciqfunctions.udf.CIQ(A1983,"IQ_TOTAL_OUTSTANDING_FILING_DATE",IQ_FY-7), _xll.ciqfunctions.udf.CIQ(A1983, "IQ_TOTAL_OUTSTANDING_FILING_DATE",IQ_FY-6))</f>
        <v>57.628630000000001</v>
      </c>
      <c r="J1986" s="17">
        <f>IF(A1991=A1992,_xll.ciqfunctions.udf.CIQ(A1983,"IQ_CASH_OPER",IQ_FY-7), _xll.ciqfunctions.udf.CIQ(A1983, "IQ_CASH_OPER",IQ_FY-6))</f>
        <v>411.298</v>
      </c>
      <c r="K1986" s="17">
        <f>IF(A1991=A1992,_xll.ciqfunctions.udf.CIQ(A1983,"IQ_CAPEX",IQ_FY-7), _xll.ciqfunctions.udf.CIQ(A1983, "IQ_CAPEX",IQ_FY-6))</f>
        <v>-514.69200000000001</v>
      </c>
      <c r="L1986" s="15">
        <f t="shared" si="528"/>
        <v>-1.7941429459627967</v>
      </c>
      <c r="M1986" s="17">
        <f>IF(A1991=A1992,_xll.ciqfunctions.udf.CIQ(A1983,"IQ_TOTAL_DEBT_ISSUED",IQ_FY-7), _xll.ciqfunctions.udf.CIQ(A1983, "IQ_TOTAL_DEBT_ISSUED",IQ_FY-6))</f>
        <v>167.46899999999999</v>
      </c>
      <c r="N1986" s="17">
        <f>IF(A1991=A1992,_xll.ciqfunctions.udf.CIQ(A1983,"IQ_TOTAL_DEBT_REPAID",IQ_FY-7), _xll.ciqfunctions.udf.CIQ(A1983, "IQ_TOTAL_DEBT_REPAID",IQ_FY-6))</f>
        <v>-270</v>
      </c>
      <c r="O1986" s="15">
        <f t="shared" si="529"/>
        <v>-1.7791677504740266</v>
      </c>
      <c r="P1986" s="15">
        <f t="shared" si="530"/>
        <v>-3.5733106964368231</v>
      </c>
      <c r="Q1986" s="25" t="s">
        <v>23</v>
      </c>
      <c r="R1986" s="38" t="s">
        <v>24</v>
      </c>
      <c r="S1986" s="1" t="e">
        <f>R1982/(AVERAGE(H1988:H1993)*(1+H1994)/(0.5-H1994))</f>
        <v>#DIV/0!</v>
      </c>
      <c r="U1986" s="25" t="s">
        <v>40</v>
      </c>
      <c r="V1986" s="38" t="s">
        <v>24</v>
      </c>
      <c r="W1986" s="1" t="e">
        <f>V1982/(AVERAGE(H1988:H1993)*(1+H1994)/(0.5-H1994))</f>
        <v>#DIV/0!</v>
      </c>
      <c r="Y1986" s="25" t="s">
        <v>47</v>
      </c>
      <c r="Z1986" s="38" t="s">
        <v>24</v>
      </c>
      <c r="AA1986" s="1" t="e">
        <f>Z1982/(AVERAGE(H1988:H1993)*(1+H1994)/(0.5-H1994))</f>
        <v>#DIV/0!</v>
      </c>
    </row>
    <row r="1987" spans="1:27">
      <c r="B1987" s="13">
        <v>5</v>
      </c>
      <c r="C1987" s="14" t="s">
        <v>25</v>
      </c>
      <c r="D1987" s="15" cm="1">
        <f t="array" ref="D1987">_xlfn.SINGLE(IF(A1991=A1992,_xll.ciqfunctions.udf.CIQ(A1983,"IQ_TOTAL_REV",IQ_FY-6)/I1987, _xll.ciqfunctions.udf.CIQ(A1983, "IQ_TOTAL_REV",IQ_FY-5)/I1987))</f>
        <v>27.069725263401988</v>
      </c>
      <c r="E1987" s="16">
        <f t="shared" si="531"/>
        <v>4.1952535356103312E-4</v>
      </c>
      <c r="F1987" s="15">
        <f>IF(A1991=A1992,_xll.ciqfunctions.udf.CIQ(A1983,"IQ_DILUT_EPS_EXCL",IQ_FY-6), _xll.ciqfunctions.udf.CIQ(A1983, "IQ_DILUT_EPS_EXCL",IQ_FY-5))</f>
        <v>-1.1517299999999999</v>
      </c>
      <c r="G1987" s="15">
        <f>IF(A1991=A1992,_xll.ciqfunctions.udf.CIQ(A1983,"IQ_EBITDA_MARGIN",IQ_FY-6), _xll.ciqfunctions.udf.CIQ(A1983, "IQ_EBITDA_MARGIN",IQ_FY-5))</f>
        <v>8.2128999999999994</v>
      </c>
      <c r="H1987" s="15">
        <f>IF(A1991=A1992,_xll.ciqfunctions.udf.CIQ(A1983,"IQ_TOTAL_DIV_PAID_CF",IQ_FY-6)/-I1987, _xll.ciqfunctions.udf.CIQ(A1983, "IQ_TOTAL_DIV_PAID_CF",IQ_FY-5)/-I1987)</f>
        <v>0</v>
      </c>
      <c r="I1987" s="17">
        <f>IF(A1991=A1992,_xll.ciqfunctions.udf.CIQ(A1983,"IQ_TOTAL_OUTSTANDING_FILING_DATE",IQ_FY-6), _xll.ciqfunctions.udf.CIQ(A1983, "IQ_TOTAL_OUTSTANDING_FILING_DATE",IQ_FY-5))</f>
        <v>58.908059999999999</v>
      </c>
      <c r="J1987" s="17">
        <f>IF(A1991=A1992,_xll.ciqfunctions.udf.CIQ(A1983,"IQ_CASH_OPER",IQ_FY-6), _xll.ciqfunctions.udf.CIQ(A1983, "IQ_CASH_OPER",IQ_FY-5))</f>
        <v>358.63299999999998</v>
      </c>
      <c r="K1987" s="17">
        <f>IF(A1991=A1992,_xll.ciqfunctions.udf.CIQ(A1983,"IQ_CAPEX",IQ_FY-6), _xll.ciqfunctions.udf.CIQ(A1983, "IQ_CAPEX",IQ_FY-5))</f>
        <v>-511.63400000000001</v>
      </c>
      <c r="L1987" s="15">
        <f t="shared" si="528"/>
        <v>-2.5972846500122402</v>
      </c>
      <c r="M1987" s="17">
        <f>IF(A1991=A1992,_xll.ciqfunctions.udf.CIQ(A1983,"IQ_TOTAL_DEBT_ISSUED",IQ_FY-6), _xll.ciqfunctions.udf.CIQ(A1983, "IQ_TOTAL_DEBT_ISSUED",IQ_FY-5))</f>
        <v>752.50300000000004</v>
      </c>
      <c r="N1987" s="17">
        <f>IF(A1991=A1992,_xll.ciqfunctions.udf.CIQ(A1983,"IQ_TOTAL_DEBT_REPAID",IQ_FY-6), _xll.ciqfunctions.udf.CIQ(A1983, "IQ_TOTAL_DEBT_REPAID",IQ_FY-5))</f>
        <v>-575</v>
      </c>
      <c r="O1987" s="15">
        <f t="shared" si="529"/>
        <v>3.0132209412430155</v>
      </c>
      <c r="P1987" s="15">
        <f t="shared" si="530"/>
        <v>0.41593629123077536</v>
      </c>
      <c r="Q1987" s="18"/>
      <c r="R1987" s="38" t="s">
        <v>50</v>
      </c>
      <c r="S1987" s="3">
        <f>I1994</f>
        <v>0.15490880471195112</v>
      </c>
      <c r="U1987" s="18"/>
      <c r="V1987" s="38" t="s">
        <v>50</v>
      </c>
      <c r="W1987" s="3">
        <f>I1994</f>
        <v>0.15490880471195112</v>
      </c>
      <c r="Y1987" s="18"/>
      <c r="Z1987" s="38" t="s">
        <v>50</v>
      </c>
      <c r="AA1987" s="3">
        <f>I1994</f>
        <v>0.15490880471195112</v>
      </c>
    </row>
    <row r="1988" spans="1:27">
      <c r="B1988" s="13">
        <v>6</v>
      </c>
      <c r="C1988" s="14" t="s">
        <v>26</v>
      </c>
      <c r="D1988" s="15" cm="1">
        <f t="array" ref="D1988">_xlfn.SINGLE(IF(A1991=A1992,_xll.ciqfunctions.udf.CIQ(A1983,"IQ_TOTAL_REV",IQ_FY-5)/I1988, _xll.ciqfunctions.udf.CIQ(A1983, "IQ_TOTAL_REV",IQ_FY-4)/I1988))</f>
        <v>34.130954101903498</v>
      </c>
      <c r="E1988" s="16">
        <f t="shared" si="531"/>
        <v>0.26085336181997476</v>
      </c>
      <c r="F1988" s="15">
        <f>IF(A1991=A1992,_xll.ciqfunctions.udf.CIQ(A1983,"IQ_DILUT_EPS_EXCL",IQ_FY-5), _xll.ciqfunctions.udf.CIQ(A1983, "IQ_DILUT_EPS_EXCL",IQ_FY-4))</f>
        <v>-1.1299999999999999</v>
      </c>
      <c r="G1988" s="15">
        <f>IF(A1991=A1992,_xll.ciqfunctions.udf.CIQ(A1983,"IQ_EBITDA_MARGIN",IQ_FY-5), _xll.ciqfunctions.udf.CIQ(A1983, "IQ_EBITDA_MARGIN",IQ_FY-4))</f>
        <v>10.2546</v>
      </c>
      <c r="H1988" s="15">
        <f>IF(A1991=A1992,_xll.ciqfunctions.udf.CIQ(A1983,"IQ_TOTAL_DIV_PAID_CF",IQ_FY-5)/-I1988, _xll.ciqfunctions.udf.CIQ(A1983, "IQ_TOTAL_DIV_PAID_CF",IQ_FY-4)/-I1988)</f>
        <v>0</v>
      </c>
      <c r="I1988" s="17">
        <f>IF(A1991=A1992,_xll.ciqfunctions.udf.CIQ(A1983,"IQ_TOTAL_OUTSTANDING_FILING_DATE",IQ_FY-5), _xll.ciqfunctions.udf.CIQ(A1983, "IQ_TOTAL_OUTSTANDING_FILING_DATE",IQ_FY-4))</f>
        <v>60.597720000000002</v>
      </c>
      <c r="J1988" s="17">
        <f>IF(A1991=A1992,_xll.ciqfunctions.udf.CIQ(A1983,"IQ_CASH_OPER",IQ_FY-5), _xll.ciqfunctions.udf.CIQ(A1983, "IQ_CASH_OPER",IQ_FY-4))</f>
        <v>327.55099999999999</v>
      </c>
      <c r="K1988" s="17">
        <f>IF(A1991=A1992,_xll.ciqfunctions.udf.CIQ(A1983,"IQ_CAPEX",IQ_FY-5), _xll.ciqfunctions.udf.CIQ(A1983, "IQ_CAPEX",IQ_FY-4))</f>
        <v>-636.85500000000002</v>
      </c>
      <c r="L1988" s="15">
        <f t="shared" si="528"/>
        <v>-5.1042184425420629</v>
      </c>
      <c r="M1988" s="17">
        <f>IF(A1991=A1992,_xll.ciqfunctions.udf.CIQ(A1983,"IQ_TOTAL_DEBT_ISSUED",IQ_FY-5), _xll.ciqfunctions.udf.CIQ(A1983, "IQ_TOTAL_DEBT_ISSUED",IQ_FY-4))</f>
        <v>1110</v>
      </c>
      <c r="N1988" s="17">
        <f>IF(A1991=A1992,_xll.ciqfunctions.udf.CIQ(A1983,"IQ_TOTAL_DEBT_REPAID",IQ_FY-5), _xll.ciqfunctions.udf.CIQ(A1983, "IQ_TOTAL_DEBT_REPAID",IQ_FY-4))</f>
        <v>-732.84</v>
      </c>
      <c r="O1988" s="15">
        <f t="shared" si="529"/>
        <v>6.2239965464047158</v>
      </c>
      <c r="P1988" s="15">
        <f t="shared" si="530"/>
        <v>1.1197781038626529</v>
      </c>
      <c r="Q1988" s="25" t="s">
        <v>27</v>
      </c>
      <c r="R1988" s="38" t="s">
        <v>51</v>
      </c>
      <c r="S1988" s="4">
        <f>AVERAGE(F1988:F1993)/AVERAGE(D1988:D1993)</f>
        <v>-8.9627591880289792E-2</v>
      </c>
      <c r="U1988" s="25" t="s">
        <v>58</v>
      </c>
      <c r="V1988" s="38" t="s">
        <v>51</v>
      </c>
      <c r="W1988" s="4">
        <f>AVERAGE(F1988:F1993)/AVERAGE(D1988:D1993)</f>
        <v>-8.9627591880289792E-2</v>
      </c>
      <c r="Y1988" s="25" t="s">
        <v>56</v>
      </c>
      <c r="Z1988" s="38" t="s">
        <v>51</v>
      </c>
      <c r="AA1988" s="4">
        <f>AVERAGE(F1988:F1993)/AVERAGE(D1988:D1993)</f>
        <v>-8.9627591880289792E-2</v>
      </c>
    </row>
    <row r="1989" spans="1:27">
      <c r="A1989" s="18"/>
      <c r="B1989" s="13">
        <v>7</v>
      </c>
      <c r="C1989" s="14" t="s">
        <v>28</v>
      </c>
      <c r="D1989" s="15" cm="1">
        <f t="array" ref="D1989">_xlfn.SINGLE(IF(A1991=A1992,_xll.ciqfunctions.udf.CIQ(A1983,"IQ_TOTAL_REV",IQ_FY-4)/I1989, _xll.ciqfunctions.udf.CIQ(A1983, "IQ_TOTAL_REV",IQ_FY-3)/I1989))</f>
        <v>37.157590840061182</v>
      </c>
      <c r="E1989" s="16">
        <f t="shared" si="531"/>
        <v>8.8677179346383625E-2</v>
      </c>
      <c r="F1989" s="15">
        <f>IF(A1991=A1992,_xll.ciqfunctions.udf.CIQ(A1983,"IQ_DILUT_EPS_EXCL",IQ_FY-4), _xll.ciqfunctions.udf.CIQ(A1983, "IQ_DILUT_EPS_EXCL",IQ_FY-3))</f>
        <v>-3.4399999999999999E-3</v>
      </c>
      <c r="G1989" s="15">
        <f>IF(A1991=A1992,_xll.ciqfunctions.udf.CIQ(A1983,"IQ_EBITDA_MARGIN",IQ_FY-4), _xll.ciqfunctions.udf.CIQ(A1983, "IQ_EBITDA_MARGIN",IQ_FY-3))</f>
        <v>14.186400000000001</v>
      </c>
      <c r="H1989" s="15">
        <f>IF(A1991=A1992,_xll.ciqfunctions.udf.CIQ(A1983,"IQ_TOTAL_DIV_PAID_CF",IQ_FY-4)/-I1989, _xll.ciqfunctions.udf.CIQ(A1983, "IQ_TOTAL_DIV_PAID_CF",IQ_FY-3)/-I1989)</f>
        <v>0</v>
      </c>
      <c r="I1989" s="17">
        <f>IF(A1991=A1992,_xll.ciqfunctions.udf.CIQ(A1983,"IQ_TOTAL_OUTSTANDING_FILING_DATE",IQ_FY-4), _xll.ciqfunctions.udf.CIQ(A1983, "IQ_TOTAL_OUTSTANDING_FILING_DATE",IQ_FY-3))</f>
        <v>62.14714</v>
      </c>
      <c r="J1989" s="17">
        <f>IF(A1991=A1992,_xll.ciqfunctions.udf.CIQ(A1983,"IQ_CASH_OPER",IQ_FY-4), _xll.ciqfunctions.udf.CIQ(A1983, "IQ_CASH_OPER",IQ_FY-3))</f>
        <v>436.93599999999998</v>
      </c>
      <c r="K1989" s="17">
        <f>IF(A1991=A1992,_xll.ciqfunctions.udf.CIQ(A1983,"IQ_CAPEX",IQ_FY-4), _xll.ciqfunctions.udf.CIQ(A1983, "IQ_CAPEX",IQ_FY-3))</f>
        <v>-693.96600000000001</v>
      </c>
      <c r="L1989" s="15">
        <f t="shared" si="528"/>
        <v>-4.1358299030333496</v>
      </c>
      <c r="M1989" s="17">
        <f>IF(A1991=A1992,_xll.ciqfunctions.udf.CIQ(A1983,"IQ_TOTAL_DEBT_ISSUED",IQ_FY-4), _xll.ciqfunctions.udf.CIQ(A1983, "IQ_TOTAL_DEBT_ISSUED",IQ_FY-3))</f>
        <v>420</v>
      </c>
      <c r="N1989" s="17">
        <f>IF(A1991=A1992,_xll.ciqfunctions.udf.CIQ(A1983,"IQ_TOTAL_DEBT_REPAID",IQ_FY-4), _xll.ciqfunctions.udf.CIQ(A1983, "IQ_TOTAL_DEBT_REPAID",IQ_FY-3))</f>
        <v>-59.691000000000003</v>
      </c>
      <c r="O1989" s="15">
        <f t="shared" si="529"/>
        <v>5.7976762888847331</v>
      </c>
      <c r="P1989" s="15">
        <f t="shared" si="530"/>
        <v>1.6618463858513834</v>
      </c>
      <c r="Q1989" s="18"/>
      <c r="R1989" s="38" t="s">
        <v>29</v>
      </c>
      <c r="S1989" s="4">
        <f>(AVERAGE(P1988:P1993)/_xlfn.STDEV.P(P1988:P1993))/(IF(A1991=A1992,(_xlfn.SINGLE(_xll.ciqfunctions.udf.CIQ(A1983,"IQ_total_assets",IQ_FY)) - _xlfn.SINGLE(_xll.ciqfunctions.udf.CIQ(A1983,"iq_gw_intan", IQ_FY)))/I1993, (_xlfn.SINGLE(_xll.ciqfunctions.udf.CIQ(A1983, "IQ_total_assets",IQ_LTM))-_xlfn.SINGLE(_xll.ciqfunctions.udf.CIQ(A1983,"iq_gw_intan",IQ_LTM)))/I1993))</f>
        <v>-1.2715053822419874E-3</v>
      </c>
      <c r="U1989" s="18"/>
      <c r="V1989" s="38" t="s">
        <v>29</v>
      </c>
      <c r="W1989" s="4">
        <f>(AVERAGE(P1988:P1993)/_xlfn.STDEV.P(P1988:P1993))/(IF(A1991=A1992,(_xlfn.SINGLE(_xll.ciqfunctions.udf.CIQ(A1983,"IQ_total_assets",IQ_FY)) - _xlfn.SINGLE(_xll.ciqfunctions.udf.CIQ(A1983,"iq_gw_intan", IQ_FY)))/I1993, (_xlfn.SINGLE(_xll.ciqfunctions.udf.CIQ(A1983, "IQ_total_assets",IQ_LTM))-_xlfn.SINGLE(_xll.ciqfunctions.udf.CIQ(A1983,"iq_gw_intan",IQ_LTM)))/I1993))</f>
        <v>-1.2715053822419874E-3</v>
      </c>
      <c r="Y1989" s="18"/>
      <c r="Z1989" s="38" t="s">
        <v>29</v>
      </c>
      <c r="AA1989" s="4">
        <f>(AVERAGE(P1988:P1993)/_xlfn.STDEV.P(P1988:P1993))/(IF(A1991=A1992,(_xlfn.SINGLE(_xll.ciqfunctions.udf.CIQ(A1983,"IQ_total_assets",IQ_FY)) - _xlfn.SINGLE(_xll.ciqfunctions.udf.CIQ(A1983,"iq_gw_intan", IQ_FY)))/I1993, (_xlfn.SINGLE(_xll.ciqfunctions.udf.CIQ(A1983, "IQ_total_assets",IQ_LTM))-_xlfn.SINGLE(_xll.ciqfunctions.udf.CIQ(A1983,"iq_gw_intan",IQ_LTM)))/I1993))</f>
        <v>-1.2715053822419874E-3</v>
      </c>
    </row>
    <row r="1990" spans="1:27">
      <c r="A1990" s="18"/>
      <c r="B1990" s="13">
        <v>8</v>
      </c>
      <c r="C1990" s="14" t="s">
        <v>30</v>
      </c>
      <c r="D1990" s="15" cm="1">
        <f t="array" ref="D1990">_xlfn.SINGLE(IF(A1991=A1992,_xll.ciqfunctions.udf.CIQ(A1983,"IQ_TOTAL_REV",IQ_FY-3)/I1990, _xll.ciqfunctions.udf.CIQ(A1983, "IQ_TOTAL_REV",IQ_FY-2)/I1990))</f>
        <v>26.484023301354245</v>
      </c>
      <c r="E1990" s="16">
        <f t="shared" si="531"/>
        <v>-0.28725133404502934</v>
      </c>
      <c r="F1990" s="15">
        <f>IF(A1991=A1992,_xll.ciqfunctions.udf.CIQ(A1983,"IQ_DILUT_EPS_EXCL",IQ_FY-3), _xll.ciqfunctions.udf.CIQ(A1983, "IQ_DILUT_EPS_EXCL",IQ_FY-2))</f>
        <v>-1.20191</v>
      </c>
      <c r="G1990" s="15">
        <f>IF(A1991=A1992,_xll.ciqfunctions.udf.CIQ(A1983,"IQ_EBITDA_MARGIN",IQ_FY-3), _xll.ciqfunctions.udf.CIQ(A1983, "IQ_EBITDA_MARGIN",IQ_FY-2))</f>
        <v>15.354900000000001</v>
      </c>
      <c r="H1990" s="15">
        <f>IF(A1991=A1992,_xll.ciqfunctions.udf.CIQ(A1983,"IQ_TOTAL_DIV_PAID_CF",IQ_FY-3)/-I1990, _xll.ciqfunctions.udf.CIQ(A1983, "IQ_TOTAL_DIV_PAID_CF",IQ_FY-2)/-I1990)</f>
        <v>0</v>
      </c>
      <c r="I1990" s="17">
        <f>IF(A1991=A1992,_xll.ciqfunctions.udf.CIQ(A1983,"IQ_TOTAL_OUTSTANDING_FILING_DATE",IQ_FY-3), _xll.ciqfunctions.udf.CIQ(A1983, "IQ_TOTAL_OUTSTANDING_FILING_DATE",IQ_FY-2))</f>
        <v>72.529690000000002</v>
      </c>
      <c r="J1990" s="17">
        <f>IF(A1991=A1992,_xll.ciqfunctions.udf.CIQ(A1983,"IQ_CASH_OPER",IQ_FY-3), _xll.ciqfunctions.udf.CIQ(A1983, "IQ_CASH_OPER",IQ_FY-2))</f>
        <v>727.21500000000003</v>
      </c>
      <c r="K1990" s="17">
        <f>IF(A1991=A1992,_xll.ciqfunctions.udf.CIQ(A1983,"IQ_CAPEX",IQ_FY-3), _xll.ciqfunctions.udf.CIQ(A1983, "IQ_CAPEX",IQ_FY-2))</f>
        <v>-827.24099999999999</v>
      </c>
      <c r="L1990" s="15">
        <f t="shared" si="528"/>
        <v>-1.3791041985702677</v>
      </c>
      <c r="M1990" s="17">
        <f>IF(A1991=A1992,_xll.ciqfunctions.udf.CIQ(A1983,"IQ_TOTAL_DEBT_ISSUED",IQ_FY-3), _xll.ciqfunctions.udf.CIQ(A1983, "IQ_TOTAL_DEBT_ISSUED",IQ_FY-2))</f>
        <v>400</v>
      </c>
      <c r="N1990" s="17">
        <f>IF(A1991=A1992,_xll.ciqfunctions.udf.CIQ(A1983,"IQ_TOTAL_DEBT_REPAID",IQ_FY-3), _xll.ciqfunctions.udf.CIQ(A1983, "IQ_TOTAL_DEBT_REPAID",IQ_FY-2))</f>
        <v>-420.55200000000002</v>
      </c>
      <c r="O1990" s="15">
        <f t="shared" si="529"/>
        <v>-0.2833598213366143</v>
      </c>
      <c r="P1990" s="15">
        <f t="shared" si="530"/>
        <v>-1.6624640199068819</v>
      </c>
      <c r="Q1990" s="18"/>
      <c r="R1990" s="39" t="s">
        <v>31</v>
      </c>
      <c r="S1990" s="5">
        <f>IF(NOT(D1983&gt;0),FALSE,SLOPE(G1983:G1993,B1983:B1993))</f>
        <v>-1.2703418181818182</v>
      </c>
      <c r="U1990" s="18"/>
      <c r="V1990" s="39" t="s">
        <v>31</v>
      </c>
      <c r="W1990" s="5">
        <f>IF(NOT(D1983&gt;0),FALSE,SLOPE(G1983:G1993,B1983:B1993))</f>
        <v>-1.2703418181818182</v>
      </c>
      <c r="Y1990" s="18"/>
      <c r="Z1990" s="39" t="s">
        <v>31</v>
      </c>
      <c r="AA1990" s="5" t="b">
        <f>IF(NOT(L1983&gt;0),FALSE,SLOPE(O1983:O1993,J1983:J1993))</f>
        <v>0</v>
      </c>
    </row>
    <row r="1991" spans="1:27">
      <c r="A1991" s="19">
        <f>_xll.ciqfunctions.udf.CIQ(A1983,"IQ_TOTAL_REV",IQ_FY)</f>
        <v>2556.1579999999999</v>
      </c>
      <c r="B1991" s="13">
        <v>9</v>
      </c>
      <c r="C1991" s="14" t="s">
        <v>32</v>
      </c>
      <c r="D1991" s="15" cm="1">
        <f t="array" ref="D1991">_xlfn.SINGLE(IF(A1991=A1992,_xll.ciqfunctions.udf.CIQ(A1983,"IQ_TOTAL_REV",IQ_FY-2)/I1991, _xll.ciqfunctions.udf.CIQ(A1983, "IQ_TOTAL_REV",IQ_FY-1)/I1991))</f>
        <v>32.472798488494441</v>
      </c>
      <c r="E1991" s="16">
        <f t="shared" si="531"/>
        <v>0.22612784768370003</v>
      </c>
      <c r="F1991" s="15">
        <f>IF(A1991=A1992,_xll.ciqfunctions.udf.CIQ(A1983,"IQ_DILUT_EPS_EXCL",IQ_FY-2), _xll.ciqfunctions.udf.CIQ(A1983, "IQ_DILUT_EPS_EXCL",IQ_FY-1))</f>
        <v>-1.56307</v>
      </c>
      <c r="G1991" s="15">
        <f>IF(A1991=A1992,_xll.ciqfunctions.udf.CIQ(A1983,"IQ_EBITDA_MARGIN",IQ_FY-2), _xll.ciqfunctions.udf.CIQ(A1983, "IQ_EBITDA_MARGIN",IQ_FY-1))</f>
        <v>13.7766</v>
      </c>
      <c r="H1991" s="15">
        <f>IF(A1991=A1992,_xll.ciqfunctions.udf.CIQ(A1983,"IQ_TOTAL_DIV_PAID_CF",IQ_FY-2)/-I1991, _xll.ciqfunctions.udf.CIQ(A1983, "IQ_TOTAL_DIV_PAID_CF",IQ_FY-1)/-I1991)</f>
        <v>0</v>
      </c>
      <c r="I1991" s="17">
        <f>IF(A1991=A1992,_xll.ciqfunctions.udf.CIQ(A1983,"IQ_TOTAL_OUTSTANDING_FILING_DATE",IQ_FY-2), _xll.ciqfunctions.udf.CIQ(A1983, "IQ_TOTAL_OUTSTANDING_FILING_DATE",IQ_FY-1))</f>
        <v>74.437039999999996</v>
      </c>
      <c r="J1991" s="17">
        <f>IF(A1991=A1992,_xll.ciqfunctions.udf.CIQ(A1983,"IQ_CASH_OPER",IQ_FY-2), _xll.ciqfunctions.udf.CIQ(A1983, "IQ_CASH_OPER",IQ_FY-1))</f>
        <v>505.64100000000002</v>
      </c>
      <c r="K1991" s="17">
        <f>IF(A1991=A1992,_xll.ciqfunctions.udf.CIQ(A1983,"IQ_CAPEX",IQ_FY-2), _xll.ciqfunctions.udf.CIQ(A1983, "IQ_CAPEX",IQ_FY-1))</f>
        <v>-938.28</v>
      </c>
      <c r="L1991" s="15">
        <f t="shared" si="528"/>
        <v>-5.8121467484467404</v>
      </c>
      <c r="M1991" s="17">
        <f>IF(A1991=A1992,_xll.ciqfunctions.udf.CIQ(A1983,"IQ_TOTAL_DEBT_ISSUED",IQ_FY-2), _xll.ciqfunctions.udf.CIQ(A1983, "IQ_TOTAL_DEBT_ISSUED",IQ_FY-1))</f>
        <v>1266</v>
      </c>
      <c r="N1991" s="17">
        <f>IF(A1991=A1992,_xll.ciqfunctions.udf.CIQ(A1983,"IQ_TOTAL_DEBT_REPAID",IQ_FY-2), _xll.ciqfunctions.udf.CIQ(A1983, "IQ_TOTAL_DEBT_REPAID",IQ_FY-1))</f>
        <v>-610.40099999999995</v>
      </c>
      <c r="O1991" s="15">
        <f t="shared" si="529"/>
        <v>8.807429741967173</v>
      </c>
      <c r="P1991" s="15">
        <f t="shared" si="530"/>
        <v>2.9952829935204326</v>
      </c>
      <c r="Q1991" s="25" t="s">
        <v>33</v>
      </c>
      <c r="R1991" s="38" t="s">
        <v>52</v>
      </c>
      <c r="S1991" s="4">
        <f>(AVERAGE(O1988:O1993)/AVERAGE(P1988:P1993))</f>
        <v>-8.5656902995635562</v>
      </c>
      <c r="U1991" s="25" t="s">
        <v>54</v>
      </c>
      <c r="V1991" s="38" t="s">
        <v>52</v>
      </c>
      <c r="W1991" s="4">
        <f>(AVERAGE(O1988:O1993)/AVERAGE(P1988:P1993))</f>
        <v>-8.5656902995635562</v>
      </c>
      <c r="Y1991" s="25" t="s">
        <v>60</v>
      </c>
      <c r="Z1991" s="38" t="s">
        <v>52</v>
      </c>
      <c r="AA1991" s="4">
        <f>(AVERAGE(O1988:O1993)/AVERAGE(P1988:P1993))</f>
        <v>-8.5656902995635562</v>
      </c>
    </row>
    <row r="1992" spans="1:27">
      <c r="A1992" s="19">
        <f>_xll.ciqfunctions.udf.CIQ(A1983,"IQ_TOTAL_REV",IQ_LTM)</f>
        <v>3322.7489999999998</v>
      </c>
      <c r="B1992" s="13">
        <v>10</v>
      </c>
      <c r="C1992" s="14" t="s">
        <v>34</v>
      </c>
      <c r="D1992" s="15" cm="1">
        <f t="array" ref="D1992">_xlfn.SINGLE(IF(A1991=A1992,_xll.ciqfunctions.udf.CIQ(A1983,"IQ_TOTAL_REV",IQ_FY-1)/I1992, _xll.ciqfunctions.udf.CIQ(A1983, "IQ_TOTAL_REV",IQ_FY)/I1992))</f>
        <v>33.234666971775681</v>
      </c>
      <c r="E1992" s="16">
        <f t="shared" si="531"/>
        <v>2.3461743943971478E-2</v>
      </c>
      <c r="F1992" s="15">
        <f>IF(A1991=A1992,_xll.ciqfunctions.udf.CIQ(A1983,"IQ_DILUT_EPS_EXCL",IQ_FY-1), _xll.ciqfunctions.udf.CIQ(A1983, "IQ_DILUT_EPS_EXCL",IQ_FY))</f>
        <v>-2.87</v>
      </c>
      <c r="G1992" s="15">
        <f>IF(A1991=A1992,_xll.ciqfunctions.udf.CIQ(A1983,"IQ_EBITDA_MARGIN",IQ_FY-1), _xll.ciqfunctions.udf.CIQ(A1983, "IQ_EBITDA_MARGIN",IQ_FY))</f>
        <v>11.3459</v>
      </c>
      <c r="H1992" s="15">
        <f>IF(A1991=A1992,_xll.ciqfunctions.udf.CIQ(A1983,"IQ_TOTAL_DIV_PAID_CF",IQ_FY-1)/-I1992, _xll.ciqfunctions.udf.CIQ(A1983, "IQ_TOTAL_DIV_PAID_CF",IQ_FY)/-I1992)</f>
        <v>0</v>
      </c>
      <c r="I1992" s="17">
        <f>IF(A1991=A1992,_xll.ciqfunctions.udf.CIQ(A1983,"IQ_TOTAL_OUTSTANDING_FILING_DATE",IQ_FY-1), _xll.ciqfunctions.udf.CIQ(A1983, "IQ_TOTAL_OUTSTANDING_FILING_DATE",IQ_FY))</f>
        <v>76.912400000000005</v>
      </c>
      <c r="J1992" s="17">
        <f>IF(A1991=A1992,_xll.ciqfunctions.udf.CIQ(A1983,"IQ_CASH_OPER",IQ_FY-1), _xll.ciqfunctions.udf.CIQ(A1983, "IQ_CASH_OPER",IQ_FY))</f>
        <v>367.86099999999999</v>
      </c>
      <c r="K1992" s="17">
        <f>IF(A1991=A1992,_xll.ciqfunctions.udf.CIQ(A1983,"IQ_CAPEX",IQ_FY-1), _xll.ciqfunctions.udf.CIQ(A1983, "IQ_CAPEX",IQ_FY))</f>
        <v>-1076.9680000000001</v>
      </c>
      <c r="L1992" s="15">
        <f t="shared" si="528"/>
        <v>-9.2196706902918137</v>
      </c>
      <c r="M1992" s="17">
        <f>IF(A1991=A1992,_xll.ciqfunctions.udf.CIQ(A1983,"IQ_TOTAL_DEBT_ISSUED",IQ_FY-1), _xll.ciqfunctions.udf.CIQ(A1983, "IQ_TOTAL_DEBT_ISSUED",IQ_FY))</f>
        <v>540</v>
      </c>
      <c r="N1992" s="17">
        <f>IF(A1991=A1992,_xll.ciqfunctions.udf.CIQ(A1983,"IQ_TOTAL_DEBT_REPAID",IQ_FY-1), _xll.ciqfunctions.udf.CIQ(A1983, "IQ_TOTAL_DEBT_REPAID",IQ_FY))</f>
        <v>-576.47400000000005</v>
      </c>
      <c r="O1992" s="15">
        <f t="shared" si="529"/>
        <v>-0.47422782282180825</v>
      </c>
      <c r="P1992" s="15">
        <f t="shared" si="530"/>
        <v>-9.6938985131136217</v>
      </c>
      <c r="Q1992" s="25" t="s">
        <v>44</v>
      </c>
      <c r="R1992" s="38" t="s">
        <v>35</v>
      </c>
      <c r="S1992" s="1" t="str">
        <f>_xll.ciqfunctions.udf.CIQ(A1983,"IQ_TEV_EBITDA")</f>
        <v>NM</v>
      </c>
      <c r="U1992" s="25" t="s">
        <v>55</v>
      </c>
      <c r="V1992" s="38" t="s">
        <v>53</v>
      </c>
      <c r="W1992" s="1">
        <f>V1982/(AVERAGE(D1988:D1993)/_xlfn.STDEV.P(E1988:E1993))</f>
        <v>0.12949458968824576</v>
      </c>
      <c r="Y1992" s="25" t="s">
        <v>57</v>
      </c>
      <c r="Z1992" s="38" t="s">
        <v>53</v>
      </c>
      <c r="AA1992" s="1">
        <f>Z1982/(AVERAGE(D1988:D1993)/_xlfn.STDEV.P(E1988:E1993))</f>
        <v>0.12949458968824576</v>
      </c>
    </row>
    <row r="1993" spans="1:27">
      <c r="B1993" s="13">
        <v>11</v>
      </c>
      <c r="C1993" s="20" t="s">
        <v>36</v>
      </c>
      <c r="D1993" s="21" cm="1">
        <f t="array" ref="D1993">_xlfn.SINGLE(IF(A1991=A1992,_xll.ciqfunctions.udf.CIQ(A1983,"IQ_TOTAL_REV",IQ_FY)/I1993, _xll.ciqfunctions.udf.CIQ(A1983, "IQ_TOTAL_REV",IQ_LTM)/I1993))</f>
        <v>26.687186484195944</v>
      </c>
      <c r="E1993" s="22">
        <f t="shared" si="531"/>
        <v>-0.19700755518748361</v>
      </c>
      <c r="F1993" s="21">
        <f>IF(A1991=A1992,_xll.ciqfunctions.udf.CIQ(A1983,"IQ_DILUT_EPS_EXCL",IQ_FY), _xll.ciqfunctions.udf.CIQ(A1983, "IQ_DILUT_EPS_EXCL",IQ_LTM))</f>
        <v>-10.27581</v>
      </c>
      <c r="G1993" s="21">
        <f>IF(A1991=A1992,_xll.ciqfunctions.udf.CIQ(A1983,"IQ_EBITDA_MARGIN",IQ_FY), _xll.ciqfunctions.udf.CIQ(A1983, "IQ_EBITDA_MARGIN",IQ_LTM))</f>
        <v>-7.2937000000000003</v>
      </c>
      <c r="H1993" s="21">
        <f>IF(A1991=A1992,_xll.ciqfunctions.udf.CIQ(A1983,"IQ_TOTAL_DIV_PAID_CF",IQ_FY)/-I1993, _xll.ciqfunctions.udf.CIQ(A1983, "IQ_TOTAL_DIV_PAID_CF",IQ_LTM)/-I1993)</f>
        <v>0</v>
      </c>
      <c r="I1993" s="23">
        <f>IF(A1991=A1992,_xll.ciqfunctions.udf.CIQ(A1983,"IQ_TOTAL_OUTSTANDING_FILING_DATE",IQ_FY),_xll.ciqfunctions.udf.CIQ(A1983,"IQ_sharesoutstanding"))</f>
        <v>124.50727999999999</v>
      </c>
      <c r="J1993" s="23">
        <f>IF(A1991=A1992,_xll.ciqfunctions.udf.CIQ(A1983,"IQ_CASH_OPER",IQ_FY), _xll.ciqfunctions.udf.CIQ(A1983, "IQ_CASH_OPER",IQ_LTM))</f>
        <v>462.37099999999998</v>
      </c>
      <c r="K1993" s="23">
        <f>IF(A1991=A1992,_xll.ciqfunctions.udf.CIQ(A1983,"IQ_CAPEX",IQ_FY), _xll.ciqfunctions.udf.CIQ(A1983, "IQ_CAPEX",IQ_LTM))</f>
        <v>-1262.819</v>
      </c>
      <c r="L1993" s="21">
        <f t="shared" si="528"/>
        <v>-6.4289252805137176</v>
      </c>
      <c r="M1993" s="23">
        <f>IF(A1991=A1992,_xll.ciqfunctions.udf.CIQ(A1983,"IQ_TOTAL_DEBT_ISSUED",IQ_FY), _xll.ciqfunctions.udf.CIQ(A1983, "IQ_TOTAL_DEBT_ISSUED",IQ_LTM))</f>
        <v>1599.683</v>
      </c>
      <c r="N1993" s="23">
        <f>IF(A1991=A1992,_xll.ciqfunctions.udf.CIQ(A1983,"IQ_TOTAL_DEBT_REPAID",IQ_FY), _xll.ciqfunctions.udf.CIQ(A1983, "IQ_TOTAL_DEBT_REPAID",IQ_LTM))</f>
        <v>-522.10500000000002</v>
      </c>
      <c r="O1993" s="21">
        <f t="shared" si="529"/>
        <v>8.6547389036207356</v>
      </c>
      <c r="P1993" s="21">
        <f t="shared" si="530"/>
        <v>2.225813623107018</v>
      </c>
      <c r="Q1993" s="25" t="s">
        <v>45</v>
      </c>
      <c r="S1993" s="45"/>
      <c r="U1993" s="25"/>
      <c r="W1993" s="45"/>
      <c r="Y1993" s="25"/>
      <c r="AA1993" s="45"/>
    </row>
    <row r="1994" spans="1:27">
      <c r="B1994" s="24"/>
      <c r="C1994" s="25" t="s">
        <v>37</v>
      </c>
      <c r="E1994" s="26">
        <f>((D1993/D1988)^(1/5))-1</f>
        <v>-4.8013319006229405E-2</v>
      </c>
      <c r="F1994" s="27">
        <f>((F1993/F1988)^(1/5))-1</f>
        <v>0.55506133927693568</v>
      </c>
      <c r="G1994" s="28"/>
      <c r="H1994" s="27" t="e">
        <f>((H1993/H1988)^(1/5))-1</f>
        <v>#DIV/0!</v>
      </c>
      <c r="I1994" s="27">
        <f>((I1993/I1988)^(1/5))-1</f>
        <v>0.15490880471195112</v>
      </c>
      <c r="J1994" s="27"/>
      <c r="K1994" s="27"/>
      <c r="L1994" s="26">
        <f>((L1993/L1988)^(1/5))-1</f>
        <v>4.7229397691153974E-2</v>
      </c>
      <c r="M1994" s="26"/>
      <c r="N1994" s="26"/>
      <c r="O1994" s="26"/>
      <c r="P1994" s="26">
        <f>((P1993/P1988)^(1/5))-1</f>
        <v>0.14728513082231931</v>
      </c>
      <c r="Q1994" s="18"/>
      <c r="R1994" s="36"/>
      <c r="S1994" s="45"/>
      <c r="U1994" s="18"/>
      <c r="V1994" s="36"/>
      <c r="W1994" s="45"/>
      <c r="Y1994" s="18"/>
      <c r="Z1994" s="36"/>
      <c r="AA1994" s="45"/>
    </row>
    <row r="1995" spans="1:27">
      <c r="A1995" s="29"/>
      <c r="B1995" s="30"/>
      <c r="C1995" s="31" t="s">
        <v>38</v>
      </c>
      <c r="D1995" s="29"/>
      <c r="E1995" s="32">
        <f>((D1993/D1983)^(1/10))-1</f>
        <v>-8.7404607354234498E-3</v>
      </c>
      <c r="F1995" s="33">
        <f>((F1993/F1983)^(1/10))-1</f>
        <v>0.47556952478521097</v>
      </c>
      <c r="G1995" s="34"/>
      <c r="H1995" s="33" t="e">
        <f>((H1993/H1983)^(1/10))-1</f>
        <v>#DIV/0!</v>
      </c>
      <c r="I1995" s="33">
        <f>((I1993/I1983)^(1/10))-1</f>
        <v>0.10377865147749166</v>
      </c>
      <c r="J1995" s="33"/>
      <c r="K1995" s="33"/>
      <c r="L1995" s="32">
        <f>((L1993/L1983)^(1/10))-1</f>
        <v>0.11271845691732918</v>
      </c>
      <c r="M1995" s="32"/>
      <c r="N1995" s="32"/>
      <c r="O1995" s="32"/>
      <c r="P1995" s="32">
        <f>((P1993/P1983)^(1/10))-1</f>
        <v>0.4498816896511646</v>
      </c>
      <c r="Q1995" s="40"/>
      <c r="R1995" s="41"/>
      <c r="S1995" s="46"/>
      <c r="U1995" s="40"/>
      <c r="V1995" s="41"/>
      <c r="W1995" s="46"/>
      <c r="Y1995" s="40"/>
      <c r="Z1995" s="41"/>
      <c r="AA1995" s="46"/>
    </row>
    <row r="1996" spans="1:27">
      <c r="B1996" s="24"/>
      <c r="C1996" s="25"/>
      <c r="E1996" s="26"/>
      <c r="F1996" s="27"/>
      <c r="G1996" s="28"/>
      <c r="H1996" s="27"/>
      <c r="I1996" s="27"/>
      <c r="J1996" s="27"/>
      <c r="K1996" s="27"/>
      <c r="L1996" s="26"/>
      <c r="M1996" s="17"/>
      <c r="N1996" s="17"/>
      <c r="O1996" s="17"/>
      <c r="P1996" s="35"/>
      <c r="Q1996" s="18"/>
      <c r="R1996" s="36"/>
    </row>
    <row r="1997" spans="1:27">
      <c r="A1997" s="9" t="s">
        <v>0</v>
      </c>
      <c r="B1997" s="10"/>
      <c r="C1997" s="9" t="s">
        <v>1</v>
      </c>
      <c r="D1997" s="9" t="s">
        <v>2</v>
      </c>
      <c r="E1997" s="9" t="s">
        <v>3</v>
      </c>
      <c r="F1997" s="11" t="s">
        <v>4</v>
      </c>
      <c r="G1997" s="11" t="s">
        <v>5</v>
      </c>
      <c r="H1997" s="9" t="s">
        <v>6</v>
      </c>
      <c r="I1997" s="11" t="s">
        <v>7</v>
      </c>
      <c r="J1997" s="11" t="s">
        <v>8</v>
      </c>
      <c r="K1997" s="11" t="s">
        <v>9</v>
      </c>
      <c r="L1997" s="11" t="s">
        <v>10</v>
      </c>
      <c r="M1997" s="11" t="s">
        <v>11</v>
      </c>
      <c r="N1997" s="11" t="s">
        <v>12</v>
      </c>
      <c r="O1997" s="11" t="s">
        <v>13</v>
      </c>
      <c r="P1997" s="11" t="s">
        <v>14</v>
      </c>
      <c r="Q1997" s="37" t="s">
        <v>15</v>
      </c>
      <c r="R1997" s="42">
        <f>_xll.ciqfunctions.udf.CIQ(A1998,("IQ_LASTSALEPRICE"))</f>
        <v>37.984999999999999</v>
      </c>
      <c r="S1997" s="44"/>
      <c r="U1997" s="37" t="s">
        <v>15</v>
      </c>
      <c r="V1997" s="42">
        <f>_xll.ciqfunctions.udf.CIQ(A1998,("IQ_LASTSALEPRICE"))</f>
        <v>37.984999999999999</v>
      </c>
      <c r="W1997" s="44"/>
      <c r="Y1997" s="37" t="s">
        <v>15</v>
      </c>
      <c r="Z1997" s="42">
        <f>_xll.ciqfunctions.udf.CIQ(A1998,("IQ_LASTSALEPRICE"))</f>
        <v>37.984999999999999</v>
      </c>
      <c r="AA1997" s="44"/>
    </row>
    <row r="1998" spans="1:27">
      <c r="A1998" s="12" t="str">
        <f>Analysis!B135</f>
        <v>NYSE:CALX</v>
      </c>
      <c r="B1998" s="13">
        <v>1</v>
      </c>
      <c r="C1998" s="14" t="s">
        <v>16</v>
      </c>
      <c r="D1998" s="15">
        <f>IF(A2006=A2007,_xll.ciqfunctions.udf.CIQ(A1998,"IQ_TOTAL_REV",IQ_FY-10)/I1998,_xll.ciqfunctions.udf.CIQ(A1998, "IQ_TOTAL_REV",IQ_FY-9)/I1998)</f>
        <v>7.6180862300510004</v>
      </c>
      <c r="E1998" s="16"/>
      <c r="F1998" s="15">
        <f>IF(A2006=A2007,_xll.ciqfunctions.udf.CIQ(A1998,"IQ_DILUT_EPS_EXCL",IQ_FY-10), _xll.ciqfunctions.udf.CIQ(A1998, "IQ_DILUT_EPS_EXCL",IQ_FY-9))</f>
        <v>-0.34936</v>
      </c>
      <c r="G1998" s="15">
        <f>IF(A2006=A2007,_xll.ciqfunctions.udf.CIQ(A1998,"IQ_EBITDA_MARGIN",IQ_FY-10), _xll.ciqfunctions.udf.CIQ(A1998, "IQ_EBITDA_MARGIN",IQ_FY-9))</f>
        <v>2.8197000000000001</v>
      </c>
      <c r="H1998" s="15">
        <f>IF(A2006=A2007,_xll.ciqfunctions.udf.CIQ(A1998,"IQ_TOTAL_DIV_PAID_CF",IQ_FY-10)/-I1998, _xll.ciqfunctions.udf.CIQ(A1998, "IQ_TOTAL_DIV_PAID_CF",IQ_FY-9)/-I1998)</f>
        <v>0</v>
      </c>
      <c r="I1998" s="17">
        <f>IF(A2006=A2007,_xll.ciqfunctions.udf.CIQ(A1998,"IQ_TOTAL_OUTSTANDING_FILING_DATE",IQ_FY-10), _xll.ciqfunctions.udf.CIQ(A1998, "IQ_TOTAL_OUTSTANDING_FILING_DATE",IQ_FY-9))</f>
        <v>50.22495</v>
      </c>
      <c r="J1998" s="17">
        <f>IF(A2006=A2007,_xll.ciqfunctions.udf.CIQ(A1998,"IQ_CASH_OPER",IQ_FY-10), _xll.ciqfunctions.udf.CIQ(A1998, "IQ_CASH_OPER",IQ_FY-9))</f>
        <v>40.817999999999998</v>
      </c>
      <c r="K1998" s="17">
        <f>IF(A2006=A2007,_xll.ciqfunctions.udf.CIQ(A1998,"IQ_CAPEX",IQ_FY-10), _xll.ciqfunctions.udf.CIQ(A1998, "IQ_CAPEX",IQ_FY-9))</f>
        <v>-6.9870000000000001</v>
      </c>
      <c r="L1998" s="15">
        <f t="shared" ref="L1998:L2008" si="532">(J1998+K1998)/I1998</f>
        <v>0.67358952074616296</v>
      </c>
      <c r="M1998" s="17">
        <f>IF(A2006=A2007,_xll.ciqfunctions.udf.CIQ(A1998,"IQ_TOTAL_DEBT_ISSUED",IQ_FY-10), _xll.ciqfunctions.udf.CIQ(A1998, "IQ_TOTAL_DEBT_ISSUED",IQ_FY-9))</f>
        <v>0</v>
      </c>
      <c r="N1998" s="17">
        <f>IF(A2006=A2007,_xll.ciqfunctions.udf.CIQ(A1998,"IQ_TOTAL_DEBT_REPAID",IQ_FY-10), _xll.ciqfunctions.udf.CIQ(A1998, "IQ_TOTAL_DEBT_REPAID",IQ_FY-9))</f>
        <v>0</v>
      </c>
      <c r="O1998" s="15">
        <f t="shared" ref="O1998:O2008" si="533">(M1998+N1998)/I1998</f>
        <v>0</v>
      </c>
      <c r="P1998" s="15">
        <f t="shared" ref="P1998:P2008" si="534">L1998+O1998</f>
        <v>0.67358952074616296</v>
      </c>
      <c r="W1998" s="43"/>
      <c r="AA1998" s="43"/>
    </row>
    <row r="1999" spans="1:27">
      <c r="A1999" s="18" t="str">
        <f>_xll.ciqfunctions.udf.CIQ(A1998,"IQ_COMPANY_NAME")</f>
        <v>Calix, Inc.</v>
      </c>
      <c r="B1999" s="13">
        <v>2</v>
      </c>
      <c r="C1999" s="14" t="s">
        <v>17</v>
      </c>
      <c r="D1999" s="15">
        <f>IF(A2006=A2007,_xll.ciqfunctions.udf.CIQ(A1998,"IQ_TOTAL_REV",IQ_FY-9)/I1999, _xll.ciqfunctions.udf.CIQ(A1998, "IQ_TOTAL_REV",IQ_FY-8)/I1999)</f>
        <v>7.744920488646116</v>
      </c>
      <c r="E1999" s="16">
        <f t="shared" ref="E1999:E2008" si="535">(D1999-D1998)/D1998</f>
        <v>1.6649097262091052E-2</v>
      </c>
      <c r="F1999" s="15">
        <f>IF(A2006=A2007,_xll.ciqfunctions.udf.CIQ(A1998,"IQ_DILUT_EPS_EXCL",IQ_FY-9), _xll.ciqfunctions.udf.CIQ(A1998, "IQ_DILUT_EPS_EXCL",IQ_FY-8))</f>
        <v>-0.40966000000000002</v>
      </c>
      <c r="G1999" s="15">
        <f>IF(A2006=A2007,_xll.ciqfunctions.udf.CIQ(A1998,"IQ_EBITDA_MARGIN",IQ_FY-9), _xll.ciqfunctions.udf.CIQ(A1998, "IQ_EBITDA_MARGIN",IQ_FY-8))</f>
        <v>1.8543000000000001</v>
      </c>
      <c r="H1999" s="15">
        <f>IF(A2006=A2007,_xll.ciqfunctions.udf.CIQ(A1998,"IQ_TOTAL_DIV_PAID_CF",IQ_FY-9)/-I1999, _xll.ciqfunctions.udf.CIQ(A1998, "IQ_TOTAL_DIV_PAID_CF",IQ_FY-8)/-I1999)</f>
        <v>0</v>
      </c>
      <c r="I1999" s="17">
        <f>IF(A2006=A2007,_xll.ciqfunctions.udf.CIQ(A1998,"IQ_TOTAL_OUTSTANDING_FILING_DATE",IQ_FY-9), _xll.ciqfunctions.udf.CIQ(A1998, "IQ_TOTAL_OUTSTANDING_FILING_DATE",IQ_FY-8))</f>
        <v>51.80518</v>
      </c>
      <c r="J1999" s="17">
        <f>IF(A2006=A2007,_xll.ciqfunctions.udf.CIQ(A1998,"IQ_CASH_OPER",IQ_FY-9), _xll.ciqfunctions.udf.CIQ(A1998, "IQ_CASH_OPER",IQ_FY-8))</f>
        <v>38.075000000000003</v>
      </c>
      <c r="K1999" s="17">
        <f>IF(A2006=A2007,_xll.ciqfunctions.udf.CIQ(A1998,"IQ_CAPEX",IQ_FY-9), _xll.ciqfunctions.udf.CIQ(A1998, "IQ_CAPEX",IQ_FY-8))</f>
        <v>-11.961</v>
      </c>
      <c r="L1999" s="15">
        <f t="shared" si="532"/>
        <v>0.50408086604466973</v>
      </c>
      <c r="M1999" s="17">
        <f>IF(A2006=A2007,_xll.ciqfunctions.udf.CIQ(A1998,"IQ_TOTAL_DEBT_ISSUED",IQ_FY-9), _xll.ciqfunctions.udf.CIQ(A1998, "IQ_TOTAL_DEBT_ISSUED",IQ_FY-8))</f>
        <v>0</v>
      </c>
      <c r="N1999" s="17">
        <f>IF(A2006=A2007,_xll.ciqfunctions.udf.CIQ(A1998,"IQ_TOTAL_DEBT_REPAID",IQ_FY-9), _xll.ciqfunctions.udf.CIQ(A1998, "IQ_TOTAL_DEBT_REPAID",IQ_FY-8))</f>
        <v>0</v>
      </c>
      <c r="O1999" s="15">
        <f t="shared" si="533"/>
        <v>0</v>
      </c>
      <c r="P1999" s="15">
        <f t="shared" si="534"/>
        <v>0.50408086604466973</v>
      </c>
      <c r="Q1999" s="25" t="s">
        <v>18</v>
      </c>
      <c r="R1999" s="39" t="s">
        <v>19</v>
      </c>
      <c r="S1999" s="1">
        <f>R1997/((AVERAGE(P2003:P2008))*(1+E2009)^3)</f>
        <v>162.82393510628063</v>
      </c>
      <c r="U1999" s="25" t="s">
        <v>48</v>
      </c>
      <c r="V1999" s="39" t="s">
        <v>19</v>
      </c>
      <c r="W1999" s="1">
        <f>V1997/((AVERAGE(P2003:P2008))*(1+E2009)^3)</f>
        <v>162.82393510628063</v>
      </c>
      <c r="Y1999" s="25" t="s">
        <v>39</v>
      </c>
      <c r="Z1999" s="39" t="s">
        <v>19</v>
      </c>
      <c r="AA1999" s="1">
        <f>Z1997/((AVERAGE(P2003:P2008))*(1+E2009)^3)</f>
        <v>162.82393510628063</v>
      </c>
    </row>
    <row r="2000" spans="1:27">
      <c r="B2000" s="13">
        <v>3</v>
      </c>
      <c r="C2000" s="14" t="s">
        <v>20</v>
      </c>
      <c r="D2000" s="15" cm="1">
        <f t="array" ref="D2000">_xlfn.SINGLE(IF(A2006=A2007,_xll.ciqfunctions.udf.CIQ(A1998,"IQ_TOTAL_REV",IQ_FY-8)/I2000, _xll.ciqfunctions.udf.CIQ(A1998, "IQ_TOTAL_REV",IQ_FY-7)/I2000))</f>
        <v>8.4095941233579694</v>
      </c>
      <c r="E2000" s="16">
        <f t="shared" si="535"/>
        <v>8.5820588563336492E-2</v>
      </c>
      <c r="F2000" s="15">
        <f>IF(A2006=A2007,_xll.ciqfunctions.udf.CIQ(A1998,"IQ_DILUT_EPS_EXCL",IQ_FY-8), _xll.ciqfunctions.udf.CIQ(A1998, "IQ_DILUT_EPS_EXCL",IQ_FY-7))</f>
        <v>-0.51143000000000005</v>
      </c>
      <c r="G2000" s="15">
        <f>IF(A2006=A2007,_xll.ciqfunctions.udf.CIQ(A1998,"IQ_EBITDA_MARGIN",IQ_FY-8), _xll.ciqfunctions.udf.CIQ(A1998, "IQ_EBITDA_MARGIN",IQ_FY-7))</f>
        <v>0.56759999999999999</v>
      </c>
      <c r="H2000" s="15">
        <f>IF(A2006=A2007,_xll.ciqfunctions.udf.CIQ(A1998,"IQ_TOTAL_DIV_PAID_CF",IQ_FY-8)/-I2000, _xll.ciqfunctions.udf.CIQ(A1998, "IQ_TOTAL_DIV_PAID_CF",IQ_FY-7)/-I2000)</f>
        <v>0</v>
      </c>
      <c r="I2000" s="17">
        <f>IF(A2006=A2007,_xll.ciqfunctions.udf.CIQ(A1998,"IQ_TOTAL_OUTSTANDING_FILING_DATE",IQ_FY-8), _xll.ciqfunctions.udf.CIQ(A1998, "IQ_TOTAL_OUTSTANDING_FILING_DATE",IQ_FY-7))</f>
        <v>48.452159999999999</v>
      </c>
      <c r="J2000" s="17">
        <f>IF(A2006=A2007,_xll.ciqfunctions.udf.CIQ(A1998,"IQ_CASH_OPER",IQ_FY-8), _xll.ciqfunctions.udf.CIQ(A1998, "IQ_CASH_OPER",IQ_FY-7))</f>
        <v>-5.3410000000000002</v>
      </c>
      <c r="K2000" s="17">
        <f>IF(A2006=A2007,_xll.ciqfunctions.udf.CIQ(A1998,"IQ_CAPEX",IQ_FY-8), _xll.ciqfunctions.udf.CIQ(A1998, "IQ_CAPEX",IQ_FY-7))</f>
        <v>-7.2779999999999996</v>
      </c>
      <c r="L2000" s="15">
        <f t="shared" si="532"/>
        <v>-0.26044246531011206</v>
      </c>
      <c r="M2000" s="17">
        <f>IF(A2006=A2007,_xll.ciqfunctions.udf.CIQ(A1998,"IQ_TOTAL_DEBT_ISSUED",IQ_FY-8), _xll.ciqfunctions.udf.CIQ(A1998, "IQ_TOTAL_DEBT_ISSUED",IQ_FY-7))</f>
        <v>0</v>
      </c>
      <c r="N2000" s="17">
        <f>IF(A2006=A2007,_xll.ciqfunctions.udf.CIQ(A1998,"IQ_TOTAL_DEBT_REPAID",IQ_FY-8), _xll.ciqfunctions.udf.CIQ(A1998, "IQ_TOTAL_DEBT_REPAID",IQ_FY-7))</f>
        <v>0</v>
      </c>
      <c r="O2000" s="15">
        <f t="shared" si="533"/>
        <v>0</v>
      </c>
      <c r="P2000" s="15">
        <f t="shared" si="534"/>
        <v>-0.26044246531011206</v>
      </c>
      <c r="Q2000" s="25" t="s">
        <v>21</v>
      </c>
      <c r="R2000" s="38" t="s">
        <v>49</v>
      </c>
      <c r="S2000" s="2">
        <f>(R1997*I2008)/1000</f>
        <v>2.5019595144000002</v>
      </c>
      <c r="U2000" s="25" t="s">
        <v>59</v>
      </c>
      <c r="V2000" s="38" t="s">
        <v>49</v>
      </c>
      <c r="W2000" s="2">
        <f>(V1997*I2008)/1000</f>
        <v>2.5019595144000002</v>
      </c>
      <c r="Y2000" s="25" t="s">
        <v>46</v>
      </c>
      <c r="Z2000" s="38" t="s">
        <v>49</v>
      </c>
      <c r="AA2000" s="2">
        <f>(Z1997*I2008)/1000</f>
        <v>2.5019595144000002</v>
      </c>
    </row>
    <row r="2001" spans="1:27">
      <c r="A2001" s="18"/>
      <c r="B2001" s="13">
        <v>4</v>
      </c>
      <c r="C2001" s="14" t="s">
        <v>22</v>
      </c>
      <c r="D2001" s="15" cm="1">
        <f t="array" ref="D2001">_xlfn.SINGLE(IF(A2006=A2007,_xll.ciqfunctions.udf.CIQ(A1998,"IQ_TOTAL_REV",IQ_FY-7)/I2001, _xll.ciqfunctions.udf.CIQ(A1998, "IQ_TOTAL_REV",IQ_FY-6)/I2001))</f>
        <v>9.2517523976994998</v>
      </c>
      <c r="E2001" s="16">
        <f t="shared" si="535"/>
        <v>0.10014255884269177</v>
      </c>
      <c r="F2001" s="15">
        <f>IF(A2006=A2007,_xll.ciqfunctions.udf.CIQ(A1998,"IQ_DILUT_EPS_EXCL",IQ_FY-7), _xll.ciqfunctions.udf.CIQ(A1998, "IQ_DILUT_EPS_EXCL",IQ_FY-6))</f>
        <v>-0.56232000000000004</v>
      </c>
      <c r="G2001" s="15">
        <f>IF(A2006=A2007,_xll.ciqfunctions.udf.CIQ(A1998,"IQ_EBITDA_MARGIN",IQ_FY-7), _xll.ciqfunctions.udf.CIQ(A1998, "IQ_EBITDA_MARGIN",IQ_FY-6))</f>
        <v>-2.6362000000000001</v>
      </c>
      <c r="H2001" s="15">
        <f>IF(A2006=A2007,_xll.ciqfunctions.udf.CIQ(A1998,"IQ_TOTAL_DIV_PAID_CF",IQ_FY-7)/-I2001, _xll.ciqfunctions.udf.CIQ(A1998, "IQ_TOTAL_DIV_PAID_CF",IQ_FY-6)/-I2001)</f>
        <v>0</v>
      </c>
      <c r="I2001" s="17">
        <f>IF(A2006=A2007,_xll.ciqfunctions.udf.CIQ(A1998,"IQ_TOTAL_OUTSTANDING_FILING_DATE",IQ_FY-7), _xll.ciqfunctions.udf.CIQ(A1998, "IQ_TOTAL_OUTSTANDING_FILING_DATE",IQ_FY-6))</f>
        <v>49.589199999999998</v>
      </c>
      <c r="J2001" s="17">
        <f>IF(A2006=A2007,_xll.ciqfunctions.udf.CIQ(A1998,"IQ_CASH_OPER",IQ_FY-7), _xll.ciqfunctions.udf.CIQ(A1998, "IQ_CASH_OPER",IQ_FY-6))</f>
        <v>24.419</v>
      </c>
      <c r="K2001" s="17">
        <f>IF(A2006=A2007,_xll.ciqfunctions.udf.CIQ(A1998,"IQ_CAPEX",IQ_FY-7), _xll.ciqfunctions.udf.CIQ(A1998, "IQ_CAPEX",IQ_FY-6))</f>
        <v>-9.8390000000000004</v>
      </c>
      <c r="L2001" s="15">
        <f t="shared" si="532"/>
        <v>0.29401563243609496</v>
      </c>
      <c r="M2001" s="17">
        <f>IF(A2006=A2007,_xll.ciqfunctions.udf.CIQ(A1998,"IQ_TOTAL_DEBT_ISSUED",IQ_FY-7), _xll.ciqfunctions.udf.CIQ(A1998, "IQ_TOTAL_DEBT_ISSUED",IQ_FY-6))</f>
        <v>0</v>
      </c>
      <c r="N2001" s="17">
        <f>IF(A2006=A2007,_xll.ciqfunctions.udf.CIQ(A1998,"IQ_TOTAL_DEBT_REPAID",IQ_FY-7), _xll.ciqfunctions.udf.CIQ(A1998, "IQ_TOTAL_DEBT_REPAID",IQ_FY-6))</f>
        <v>0</v>
      </c>
      <c r="O2001" s="15">
        <f t="shared" si="533"/>
        <v>0</v>
      </c>
      <c r="P2001" s="15">
        <f t="shared" si="534"/>
        <v>0.29401563243609496</v>
      </c>
      <c r="Q2001" s="25" t="s">
        <v>23</v>
      </c>
      <c r="R2001" s="38" t="s">
        <v>24</v>
      </c>
      <c r="S2001" s="1" t="e">
        <f>R1997/(AVERAGE(H2003:H2008)*(1+H2009)/(0.5-H2009))</f>
        <v>#DIV/0!</v>
      </c>
      <c r="U2001" s="25" t="s">
        <v>40</v>
      </c>
      <c r="V2001" s="38" t="s">
        <v>24</v>
      </c>
      <c r="W2001" s="1" t="e">
        <f>V1997/(AVERAGE(H2003:H2008)*(1+H2009)/(0.5-H2009))</f>
        <v>#DIV/0!</v>
      </c>
      <c r="Y2001" s="25" t="s">
        <v>47</v>
      </c>
      <c r="Z2001" s="38" t="s">
        <v>24</v>
      </c>
      <c r="AA2001" s="1" t="e">
        <f>Z1997/(AVERAGE(H2003:H2008)*(1+H2009)/(0.5-H2009))</f>
        <v>#DIV/0!</v>
      </c>
    </row>
    <row r="2002" spans="1:27">
      <c r="B2002" s="13">
        <v>5</v>
      </c>
      <c r="C2002" s="14" t="s">
        <v>25</v>
      </c>
      <c r="D2002" s="15" cm="1">
        <f t="array" ref="D2002">_xlfn.SINGLE(IF(A2006=A2007,_xll.ciqfunctions.udf.CIQ(A1998,"IQ_TOTAL_REV",IQ_FY-6)/I2002, _xll.ciqfunctions.udf.CIQ(A1998, "IQ_TOTAL_REV",IQ_FY-5)/I2002))</f>
        <v>9.8701061105012808</v>
      </c>
      <c r="E2002" s="16">
        <f t="shared" si="535"/>
        <v>6.6836387985862902E-2</v>
      </c>
      <c r="F2002" s="15">
        <f>IF(A2006=A2007,_xll.ciqfunctions.udf.CIQ(A1998,"IQ_DILUT_EPS_EXCL",IQ_FY-6), _xll.ciqfunctions.udf.CIQ(A1998, "IQ_DILUT_EPS_EXCL",IQ_FY-5))</f>
        <v>-1.65551</v>
      </c>
      <c r="G2002" s="15">
        <f>IF(A2006=A2007,_xll.ciqfunctions.udf.CIQ(A1998,"IQ_EBITDA_MARGIN",IQ_FY-6), _xll.ciqfunctions.udf.CIQ(A1998, "IQ_EBITDA_MARGIN",IQ_FY-5))</f>
        <v>-12.9937</v>
      </c>
      <c r="H2002" s="15">
        <f>IF(A2006=A2007,_xll.ciqfunctions.udf.CIQ(A1998,"IQ_TOTAL_DIV_PAID_CF",IQ_FY-6)/-I2002, _xll.ciqfunctions.udf.CIQ(A1998, "IQ_TOTAL_DIV_PAID_CF",IQ_FY-5)/-I2002)</f>
        <v>0</v>
      </c>
      <c r="I2002" s="17">
        <f>IF(A2006=A2007,_xll.ciqfunctions.udf.CIQ(A1998,"IQ_TOTAL_OUTSTANDING_FILING_DATE",IQ_FY-6), _xll.ciqfunctions.udf.CIQ(A1998, "IQ_TOTAL_OUTSTANDING_FILING_DATE",IQ_FY-5))</f>
        <v>51.708359999999999</v>
      </c>
      <c r="J2002" s="17">
        <f>IF(A2006=A2007,_xll.ciqfunctions.udf.CIQ(A1998,"IQ_CASH_OPER",IQ_FY-6), _xll.ciqfunctions.udf.CIQ(A1998, "IQ_CASH_OPER",IQ_FY-5))</f>
        <v>-62.771999999999998</v>
      </c>
      <c r="K2002" s="17">
        <f>IF(A2006=A2007,_xll.ciqfunctions.udf.CIQ(A1998,"IQ_CAPEX",IQ_FY-6), _xll.ciqfunctions.udf.CIQ(A1998, "IQ_CAPEX",IQ_FY-5))</f>
        <v>-8.0259999999999998</v>
      </c>
      <c r="L2002" s="15">
        <f t="shared" si="532"/>
        <v>-1.3691789876917388</v>
      </c>
      <c r="M2002" s="17">
        <f>IF(A2006=A2007,_xll.ciqfunctions.udf.CIQ(A1998,"IQ_TOTAL_DEBT_ISSUED",IQ_FY-6), _xll.ciqfunctions.udf.CIQ(A1998, "IQ_TOTAL_DEBT_ISSUED",IQ_FY-5))</f>
        <v>171.268</v>
      </c>
      <c r="N2002" s="17">
        <f>IF(A2006=A2007,_xll.ciqfunctions.udf.CIQ(A1998,"IQ_TOTAL_DEBT_REPAID",IQ_FY-6), _xll.ciqfunctions.udf.CIQ(A1998, "IQ_TOTAL_DEBT_REPAID",IQ_FY-5))</f>
        <v>-141.268</v>
      </c>
      <c r="O2002" s="15">
        <f t="shared" si="533"/>
        <v>0.58017697718512051</v>
      </c>
      <c r="P2002" s="15">
        <f t="shared" si="534"/>
        <v>-0.78900201050661833</v>
      </c>
      <c r="Q2002" s="18"/>
      <c r="R2002" s="38" t="s">
        <v>50</v>
      </c>
      <c r="S2002" s="3">
        <f>I2009</f>
        <v>4.0374024759660232E-2</v>
      </c>
      <c r="U2002" s="18"/>
      <c r="V2002" s="38" t="s">
        <v>50</v>
      </c>
      <c r="W2002" s="3">
        <f>I2009</f>
        <v>4.0374024759660232E-2</v>
      </c>
      <c r="Y2002" s="18"/>
      <c r="Z2002" s="38" t="s">
        <v>50</v>
      </c>
      <c r="AA2002" s="3">
        <f>I2009</f>
        <v>4.0374024759660232E-2</v>
      </c>
    </row>
    <row r="2003" spans="1:27">
      <c r="B2003" s="13">
        <v>6</v>
      </c>
      <c r="C2003" s="14" t="s">
        <v>26</v>
      </c>
      <c r="D2003" s="15" cm="1">
        <f t="array" ref="D2003">_xlfn.SINGLE(IF(A2006=A2007,_xll.ciqfunctions.udf.CIQ(A1998,"IQ_TOTAL_REV",IQ_FY-5)/I2003, _xll.ciqfunctions.udf.CIQ(A1998, "IQ_TOTAL_REV",IQ_FY-4)/I2003))</f>
        <v>8.1664435630504872</v>
      </c>
      <c r="E2003" s="16">
        <f t="shared" si="535"/>
        <v>-0.17260833149890709</v>
      </c>
      <c r="F2003" s="15">
        <f>IF(A2006=A2007,_xll.ciqfunctions.udf.CIQ(A1998,"IQ_DILUT_EPS_EXCL",IQ_FY-5), _xll.ciqfunctions.udf.CIQ(A1998, "IQ_DILUT_EPS_EXCL",IQ_FY-4))</f>
        <v>-0.37</v>
      </c>
      <c r="G2003" s="15">
        <f>IF(A2006=A2007,_xll.ciqfunctions.udf.CIQ(A1998,"IQ_EBITDA_MARGIN",IQ_FY-5), _xll.ciqfunctions.udf.CIQ(A1998, "IQ_EBITDA_MARGIN",IQ_FY-4))</f>
        <v>-2.3397000000000001</v>
      </c>
      <c r="H2003" s="15">
        <f>IF(A2006=A2007,_xll.ciqfunctions.udf.CIQ(A1998,"IQ_TOTAL_DIV_PAID_CF",IQ_FY-5)/-I2003, _xll.ciqfunctions.udf.CIQ(A1998, "IQ_TOTAL_DIV_PAID_CF",IQ_FY-4)/-I2003)</f>
        <v>0</v>
      </c>
      <c r="I2003" s="17">
        <f>IF(A2006=A2007,_xll.ciqfunctions.udf.CIQ(A1998,"IQ_TOTAL_OUTSTANDING_FILING_DATE",IQ_FY-5), _xll.ciqfunctions.udf.CIQ(A1998, "IQ_TOTAL_OUTSTANDING_FILING_DATE",IQ_FY-4))</f>
        <v>54.040660000000003</v>
      </c>
      <c r="J2003" s="17">
        <f>IF(A2006=A2007,_xll.ciqfunctions.udf.CIQ(A1998,"IQ_CASH_OPER",IQ_FY-5), _xll.ciqfunctions.udf.CIQ(A1998, "IQ_CASH_OPER",IQ_FY-4))</f>
        <v>3.56</v>
      </c>
      <c r="K2003" s="17">
        <f>IF(A2006=A2007,_xll.ciqfunctions.udf.CIQ(A1998,"IQ_CAPEX",IQ_FY-5), _xll.ciqfunctions.udf.CIQ(A1998, "IQ_CAPEX",IQ_FY-4))</f>
        <v>-10.426</v>
      </c>
      <c r="L2003" s="15">
        <f t="shared" si="532"/>
        <v>-0.12705248233459768</v>
      </c>
      <c r="M2003" s="17">
        <f>IF(A2006=A2007,_xll.ciqfunctions.udf.CIQ(A1998,"IQ_TOTAL_DEBT_ISSUED",IQ_FY-5), _xll.ciqfunctions.udf.CIQ(A1998, "IQ_TOTAL_DEBT_ISSUED",IQ_FY-4))</f>
        <v>557.91499999999996</v>
      </c>
      <c r="N2003" s="17">
        <f>IF(A2006=A2007,_xll.ciqfunctions.udf.CIQ(A1998,"IQ_TOTAL_DEBT_REPAID",IQ_FY-5), _xll.ciqfunctions.udf.CIQ(A1998, "IQ_TOTAL_DEBT_REPAID",IQ_FY-4))</f>
        <v>-557.91499999999996</v>
      </c>
      <c r="O2003" s="15">
        <f t="shared" si="533"/>
        <v>0</v>
      </c>
      <c r="P2003" s="15">
        <f t="shared" si="534"/>
        <v>-0.12705248233459768</v>
      </c>
      <c r="Q2003" s="25" t="s">
        <v>27</v>
      </c>
      <c r="R2003" s="38" t="s">
        <v>51</v>
      </c>
      <c r="S2003" s="4">
        <f>AVERAGE(F2003:F2008)/AVERAGE(D2003:D2008)</f>
        <v>7.3378614895505428E-2</v>
      </c>
      <c r="U2003" s="25" t="s">
        <v>58</v>
      </c>
      <c r="V2003" s="38" t="s">
        <v>51</v>
      </c>
      <c r="W2003" s="4">
        <f>AVERAGE(F2003:F2008)/AVERAGE(D2003:D2008)</f>
        <v>7.3378614895505428E-2</v>
      </c>
      <c r="Y2003" s="25" t="s">
        <v>56</v>
      </c>
      <c r="Z2003" s="38" t="s">
        <v>51</v>
      </c>
      <c r="AA2003" s="4">
        <f>AVERAGE(F2003:F2008)/AVERAGE(D2003:D2008)</f>
        <v>7.3378614895505428E-2</v>
      </c>
    </row>
    <row r="2004" spans="1:27">
      <c r="A2004" s="18"/>
      <c r="B2004" s="13">
        <v>7</v>
      </c>
      <c r="C2004" s="14" t="s">
        <v>28</v>
      </c>
      <c r="D2004" s="15" cm="1">
        <f t="array" ref="D2004">_xlfn.SINGLE(IF(A2006=A2007,_xll.ciqfunctions.udf.CIQ(A1998,"IQ_TOTAL_REV",IQ_FY-4)/I2004, _xll.ciqfunctions.udf.CIQ(A1998, "IQ_TOTAL_REV",IQ_FY-3)/I2004))</f>
        <v>7.5016551798510909</v>
      </c>
      <c r="E2004" s="16">
        <f t="shared" si="535"/>
        <v>-8.140488305181795E-2</v>
      </c>
      <c r="F2004" s="15">
        <f>IF(A2006=A2007,_xll.ciqfunctions.udf.CIQ(A1998,"IQ_DILUT_EPS_EXCL",IQ_FY-4), _xll.ciqfunctions.udf.CIQ(A1998, "IQ_DILUT_EPS_EXCL",IQ_FY-3))</f>
        <v>-0.32174999999999998</v>
      </c>
      <c r="G2004" s="15">
        <f>IF(A2006=A2007,_xll.ciqfunctions.udf.CIQ(A1998,"IQ_EBITDA_MARGIN",IQ_FY-4), _xll.ciqfunctions.udf.CIQ(A1998, "IQ_EBITDA_MARGIN",IQ_FY-3))</f>
        <v>-0.61529999999999996</v>
      </c>
      <c r="H2004" s="15">
        <f>IF(A2006=A2007,_xll.ciqfunctions.udf.CIQ(A1998,"IQ_TOTAL_DIV_PAID_CF",IQ_FY-4)/-I2004, _xll.ciqfunctions.udf.CIQ(A1998, "IQ_TOTAL_DIV_PAID_CF",IQ_FY-3)/-I2004)</f>
        <v>0</v>
      </c>
      <c r="I2004" s="17">
        <f>IF(A2006=A2007,_xll.ciqfunctions.udf.CIQ(A1998,"IQ_TOTAL_OUTSTANDING_FILING_DATE",IQ_FY-4), _xll.ciqfunctions.udf.CIQ(A1998, "IQ_TOTAL_OUTSTANDING_FILING_DATE",IQ_FY-3))</f>
        <v>56.56485</v>
      </c>
      <c r="J2004" s="17">
        <f>IF(A2006=A2007,_xll.ciqfunctions.udf.CIQ(A1998,"IQ_CASH_OPER",IQ_FY-4), _xll.ciqfunctions.udf.CIQ(A1998, "IQ_CASH_OPER",IQ_FY-3))</f>
        <v>4.6539999999999999</v>
      </c>
      <c r="K2004" s="17">
        <f>IF(A2006=A2007,_xll.ciqfunctions.udf.CIQ(A1998,"IQ_CAPEX",IQ_FY-4), _xll.ciqfunctions.udf.CIQ(A1998, "IQ_CAPEX",IQ_FY-3))</f>
        <v>-13.353</v>
      </c>
      <c r="L2004" s="15">
        <f t="shared" si="532"/>
        <v>-0.15378808571047214</v>
      </c>
      <c r="M2004" s="17">
        <f>IF(A2006=A2007,_xll.ciqfunctions.udf.CIQ(A1998,"IQ_TOTAL_DEBT_ISSUED",IQ_FY-4), _xll.ciqfunctions.udf.CIQ(A1998, "IQ_TOTAL_DEBT_ISSUED",IQ_FY-3))</f>
        <v>143.30000000000001</v>
      </c>
      <c r="N2004" s="17">
        <f>IF(A2006=A2007,_xll.ciqfunctions.udf.CIQ(A1998,"IQ_TOTAL_DEBT_REPAID",IQ_FY-4), _xll.ciqfunctions.udf.CIQ(A1998, "IQ_TOTAL_DEBT_REPAID",IQ_FY-3))</f>
        <v>-146.03700000000001</v>
      </c>
      <c r="O2004" s="15">
        <f t="shared" si="533"/>
        <v>-4.8386939945920387E-2</v>
      </c>
      <c r="P2004" s="15">
        <f t="shared" si="534"/>
        <v>-0.20217502565639253</v>
      </c>
      <c r="Q2004" s="18"/>
      <c r="R2004" s="38" t="s">
        <v>29</v>
      </c>
      <c r="S2004" s="4">
        <f>(AVERAGE(P2003:P2008)/_xlfn.STDEV.P(P2003:P2008))/(IF(A2006=A2007,(_xlfn.SINGLE(_xll.ciqfunctions.udf.CIQ(A1998,"IQ_total_assets",IQ_FY)) - _xlfn.SINGLE(_xll.ciqfunctions.udf.CIQ(A1998,"iq_gw_intan", IQ_FY)))/I2008, (_xlfn.SINGLE(_xll.ciqfunctions.udf.CIQ(A1998, "IQ_total_assets",IQ_LTM))-_xlfn.SINGLE(_xll.ciqfunctions.udf.CIQ(A1998,"iq_gw_intan",IQ_LTM)))/I2008))</f>
        <v>4.3629748921239588E-2</v>
      </c>
      <c r="U2004" s="18"/>
      <c r="V2004" s="38" t="s">
        <v>29</v>
      </c>
      <c r="W2004" s="4">
        <f>(AVERAGE(P2003:P2008)/_xlfn.STDEV.P(P2003:P2008))/(IF(A2006=A2007,(_xlfn.SINGLE(_xll.ciqfunctions.udf.CIQ(A1998,"IQ_total_assets",IQ_FY)) - _xlfn.SINGLE(_xll.ciqfunctions.udf.CIQ(A1998,"iq_gw_intan", IQ_FY)))/I2008, (_xlfn.SINGLE(_xll.ciqfunctions.udf.CIQ(A1998, "IQ_total_assets",IQ_LTM))-_xlfn.SINGLE(_xll.ciqfunctions.udf.CIQ(A1998,"iq_gw_intan",IQ_LTM)))/I2008))</f>
        <v>4.3629748921239588E-2</v>
      </c>
      <c r="Y2004" s="18"/>
      <c r="Z2004" s="38" t="s">
        <v>29</v>
      </c>
      <c r="AA2004" s="4">
        <f>(AVERAGE(P2003:P2008)/_xlfn.STDEV.P(P2003:P2008))/(IF(A2006=A2007,(_xlfn.SINGLE(_xll.ciqfunctions.udf.CIQ(A1998,"IQ_total_assets",IQ_FY)) - _xlfn.SINGLE(_xll.ciqfunctions.udf.CIQ(A1998,"iq_gw_intan", IQ_FY)))/I2008, (_xlfn.SINGLE(_xll.ciqfunctions.udf.CIQ(A1998, "IQ_total_assets",IQ_LTM))-_xlfn.SINGLE(_xll.ciqfunctions.udf.CIQ(A1998,"iq_gw_intan",IQ_LTM)))/I2008))</f>
        <v>4.3629748921239588E-2</v>
      </c>
    </row>
    <row r="2005" spans="1:27">
      <c r="A2005" s="18"/>
      <c r="B2005" s="13">
        <v>8</v>
      </c>
      <c r="C2005" s="14" t="s">
        <v>30</v>
      </c>
      <c r="D2005" s="15" cm="1">
        <f t="array" ref="D2005">_xlfn.SINGLE(IF(A2006=A2007,_xll.ciqfunctions.udf.CIQ(A1998,"IQ_TOTAL_REV",IQ_FY-3)/I2005, _xll.ciqfunctions.udf.CIQ(A1998, "IQ_TOTAL_REV",IQ_FY-2)/I2005))</f>
        <v>8.6664715303226192</v>
      </c>
      <c r="E2005" s="16">
        <f t="shared" si="535"/>
        <v>0.15527457908224596</v>
      </c>
      <c r="F2005" s="15">
        <f>IF(A2006=A2007,_xll.ciqfunctions.udf.CIQ(A1998,"IQ_DILUT_EPS_EXCL",IQ_FY-3), _xll.ciqfunctions.udf.CIQ(A1998, "IQ_DILUT_EPS_EXCL",IQ_FY-2))</f>
        <v>0.54</v>
      </c>
      <c r="G2005" s="15">
        <f>IF(A2006=A2007,_xll.ciqfunctions.udf.CIQ(A1998,"IQ_EBITDA_MARGIN",IQ_FY-3), _xll.ciqfunctions.udf.CIQ(A1998, "IQ_EBITDA_MARGIN",IQ_FY-2))</f>
        <v>10.5036</v>
      </c>
      <c r="H2005" s="15">
        <f>IF(A2006=A2007,_xll.ciqfunctions.udf.CIQ(A1998,"IQ_TOTAL_DIV_PAID_CF",IQ_FY-3)/-I2005, _xll.ciqfunctions.udf.CIQ(A1998, "IQ_TOTAL_DIV_PAID_CF",IQ_FY-2)/-I2005)</f>
        <v>0</v>
      </c>
      <c r="I2005" s="17">
        <f>IF(A2006=A2007,_xll.ciqfunctions.udf.CIQ(A1998,"IQ_TOTAL_OUTSTANDING_FILING_DATE",IQ_FY-3), _xll.ciqfunctions.udf.CIQ(A1998, "IQ_TOTAL_OUTSTANDING_FILING_DATE",IQ_FY-2))</f>
        <v>62.452060000000003</v>
      </c>
      <c r="J2005" s="17">
        <f>IF(A2006=A2007,_xll.ciqfunctions.udf.CIQ(A1998,"IQ_CASH_OPER",IQ_FY-3), _xll.ciqfunctions.udf.CIQ(A1998, "IQ_CASH_OPER",IQ_FY-2))</f>
        <v>51.408999999999999</v>
      </c>
      <c r="K2005" s="17">
        <f>IF(A2006=A2007,_xll.ciqfunctions.udf.CIQ(A1998,"IQ_CAPEX",IQ_FY-3), _xll.ciqfunctions.udf.CIQ(A1998, "IQ_CAPEX",IQ_FY-2))</f>
        <v>-7.819</v>
      </c>
      <c r="L2005" s="15">
        <f t="shared" si="532"/>
        <v>0.69797537503166418</v>
      </c>
      <c r="M2005" s="17">
        <f>IF(A2006=A2007,_xll.ciqfunctions.udf.CIQ(A1998,"IQ_TOTAL_DEBT_ISSUED",IQ_FY-3), _xll.ciqfunctions.udf.CIQ(A1998, "IQ_TOTAL_DEBT_ISSUED",IQ_FY-2))</f>
        <v>30</v>
      </c>
      <c r="N2005" s="17">
        <f>IF(A2006=A2007,_xll.ciqfunctions.udf.CIQ(A1998,"IQ_TOTAL_DEBT_REPAID",IQ_FY-3), _xll.ciqfunctions.udf.CIQ(A1998, "IQ_TOTAL_DEBT_REPAID",IQ_FY-2))</f>
        <v>-66.043000000000006</v>
      </c>
      <c r="O2005" s="15">
        <f t="shared" si="533"/>
        <v>-0.57713068231856568</v>
      </c>
      <c r="P2005" s="15">
        <f t="shared" si="534"/>
        <v>0.1208446927130985</v>
      </c>
      <c r="Q2005" s="18"/>
      <c r="R2005" s="39" t="s">
        <v>31</v>
      </c>
      <c r="S2005" s="5">
        <f>IF(NOT(D1998&gt;0),FALSE,SLOPE(G1998:G2008,B1998:B2008))</f>
        <v>1.0707200000000001</v>
      </c>
      <c r="U2005" s="18"/>
      <c r="V2005" s="39" t="s">
        <v>31</v>
      </c>
      <c r="W2005" s="5">
        <f>IF(NOT(D1998&gt;0),FALSE,SLOPE(G1998:G2008,B1998:B2008))</f>
        <v>1.0707200000000001</v>
      </c>
      <c r="Y2005" s="18"/>
      <c r="Z2005" s="39" t="s">
        <v>31</v>
      </c>
      <c r="AA2005" s="5">
        <f>IF(NOT(L1998&gt;0),FALSE,SLOPE(O1998:O2008,J1998:J2008))</f>
        <v>-5.870341773174019E-3</v>
      </c>
    </row>
    <row r="2006" spans="1:27">
      <c r="A2006" s="19">
        <f>_xll.ciqfunctions.udf.CIQ(A1998,"IQ_TOTAL_REV",IQ_FY)</f>
        <v>867.827</v>
      </c>
      <c r="B2006" s="13">
        <v>9</v>
      </c>
      <c r="C2006" s="14" t="s">
        <v>32</v>
      </c>
      <c r="D2006" s="15" cm="1">
        <f t="array" ref="D2006">_xlfn.SINGLE(IF(A2006=A2007,_xll.ciqfunctions.udf.CIQ(A1998,"IQ_TOTAL_REV",IQ_FY-2)/I2006, _xll.ciqfunctions.udf.CIQ(A1998, "IQ_TOTAL_REV",IQ_FY-1)/I2006))</f>
        <v>10.543244132417115</v>
      </c>
      <c r="E2006" s="16">
        <f t="shared" si="535"/>
        <v>0.21655556076402768</v>
      </c>
      <c r="F2006" s="15">
        <f>IF(A2006=A2007,_xll.ciqfunctions.udf.CIQ(A1998,"IQ_DILUT_EPS_EXCL",IQ_FY-2), _xll.ciqfunctions.udf.CIQ(A1998, "IQ_DILUT_EPS_EXCL",IQ_FY-1))</f>
        <v>3.51</v>
      </c>
      <c r="G2006" s="15">
        <f>IF(A2006=A2007,_xll.ciqfunctions.udf.CIQ(A1998,"IQ_EBITDA_MARGIN",IQ_FY-2), _xll.ciqfunctions.udf.CIQ(A1998, "IQ_EBITDA_MARGIN",IQ_FY-1))</f>
        <v>12.976800000000001</v>
      </c>
      <c r="H2006" s="15">
        <f>IF(A2006=A2007,_xll.ciqfunctions.udf.CIQ(A1998,"IQ_TOTAL_DIV_PAID_CF",IQ_FY-2)/-I2006, _xll.ciqfunctions.udf.CIQ(A1998, "IQ_TOTAL_DIV_PAID_CF",IQ_FY-1)/-I2006)</f>
        <v>0</v>
      </c>
      <c r="I2006" s="17">
        <f>IF(A2006=A2007,_xll.ciqfunctions.udf.CIQ(A1998,"IQ_TOTAL_OUTSTANDING_FILING_DATE",IQ_FY-2), _xll.ciqfunctions.udf.CIQ(A1998, "IQ_TOTAL_OUTSTANDING_FILING_DATE",IQ_FY-1))</f>
        <v>64.438800000000001</v>
      </c>
      <c r="J2006" s="17">
        <f>IF(A2006=A2007,_xll.ciqfunctions.udf.CIQ(A1998,"IQ_CASH_OPER",IQ_FY-2), _xll.ciqfunctions.udf.CIQ(A1998, "IQ_CASH_OPER",IQ_FY-1))</f>
        <v>56.792999999999999</v>
      </c>
      <c r="K2006" s="17">
        <f>IF(A2006=A2007,_xll.ciqfunctions.udf.CIQ(A1998,"IQ_CAPEX",IQ_FY-2), _xll.ciqfunctions.udf.CIQ(A1998, "IQ_CAPEX",IQ_FY-1))</f>
        <v>-10.462999999999999</v>
      </c>
      <c r="L2006" s="15">
        <f t="shared" si="532"/>
        <v>0.71897676555118961</v>
      </c>
      <c r="M2006" s="17">
        <f>IF(A2006=A2007,_xll.ciqfunctions.udf.CIQ(A1998,"IQ_TOTAL_DEBT_ISSUED",IQ_FY-2), _xll.ciqfunctions.udf.CIQ(A1998, "IQ_TOTAL_DEBT_ISSUED",IQ_FY-1))</f>
        <v>0</v>
      </c>
      <c r="N2006" s="17">
        <f>IF(A2006=A2007,_xll.ciqfunctions.udf.CIQ(A1998,"IQ_TOTAL_DEBT_REPAID",IQ_FY-2), _xll.ciqfunctions.udf.CIQ(A1998, "IQ_TOTAL_DEBT_REPAID",IQ_FY-1))</f>
        <v>-1.2410000000000001</v>
      </c>
      <c r="O2006" s="15">
        <f t="shared" si="533"/>
        <v>-1.9258583337988914E-2</v>
      </c>
      <c r="P2006" s="15">
        <f t="shared" si="534"/>
        <v>0.6997181822132007</v>
      </c>
      <c r="Q2006" s="25" t="s">
        <v>33</v>
      </c>
      <c r="R2006" s="38" t="s">
        <v>52</v>
      </c>
      <c r="S2006" s="4">
        <f>(AVERAGE(O2003:O2008)/AVERAGE(P2003:P2008))</f>
        <v>-0.85650774231291138</v>
      </c>
      <c r="U2006" s="25" t="s">
        <v>54</v>
      </c>
      <c r="V2006" s="38" t="s">
        <v>52</v>
      </c>
      <c r="W2006" s="4">
        <f>(AVERAGE(O2003:O2008)/AVERAGE(P2003:P2008))</f>
        <v>-0.85650774231291138</v>
      </c>
      <c r="Y2006" s="25" t="s">
        <v>60</v>
      </c>
      <c r="Z2006" s="38" t="s">
        <v>52</v>
      </c>
      <c r="AA2006" s="4">
        <f>(AVERAGE(O2003:O2008)/AVERAGE(P2003:P2008))</f>
        <v>-0.85650774231291138</v>
      </c>
    </row>
    <row r="2007" spans="1:27">
      <c r="A2007" s="19">
        <f>_xll.ciqfunctions.udf.CIQ(A1998,"IQ_TOTAL_REV",IQ_LTM)</f>
        <v>1019.362</v>
      </c>
      <c r="B2007" s="13">
        <v>10</v>
      </c>
      <c r="C2007" s="14" t="s">
        <v>34</v>
      </c>
      <c r="D2007" s="15" cm="1">
        <f t="array" ref="D2007">_xlfn.SINGLE(IF(A2006=A2007,_xll.ciqfunctions.udf.CIQ(A1998,"IQ_TOTAL_REV",IQ_FY-1)/I2007, _xll.ciqfunctions.udf.CIQ(A1998, "IQ_TOTAL_REV",IQ_FY)/I2007))</f>
        <v>13.121162561126493</v>
      </c>
      <c r="E2007" s="16">
        <f t="shared" si="535"/>
        <v>0.24450903311468433</v>
      </c>
      <c r="F2007" s="15">
        <f>IF(A2006=A2007,_xll.ciqfunctions.udf.CIQ(A1998,"IQ_DILUT_EPS_EXCL",IQ_FY-1), _xll.ciqfunctions.udf.CIQ(A1998, "IQ_DILUT_EPS_EXCL",IQ_FY))</f>
        <v>0.6</v>
      </c>
      <c r="G2007" s="15">
        <f>IF(A2006=A2007,_xll.ciqfunctions.udf.CIQ(A1998,"IQ_EBITDA_MARGIN",IQ_FY-1), _xll.ciqfunctions.udf.CIQ(A1998, "IQ_EBITDA_MARGIN",IQ_FY))</f>
        <v>7.7117000000000004</v>
      </c>
      <c r="H2007" s="15">
        <f>IF(A2006=A2007,_xll.ciqfunctions.udf.CIQ(A1998,"IQ_TOTAL_DIV_PAID_CF",IQ_FY-1)/-I2007, _xll.ciqfunctions.udf.CIQ(A1998, "IQ_TOTAL_DIV_PAID_CF",IQ_FY)/-I2007)</f>
        <v>0</v>
      </c>
      <c r="I2007" s="17">
        <f>IF(A2006=A2007,_xll.ciqfunctions.udf.CIQ(A1998,"IQ_TOTAL_OUTSTANDING_FILING_DATE",IQ_FY-1), _xll.ciqfunctions.udf.CIQ(A1998, "IQ_TOTAL_OUTSTANDING_FILING_DATE",IQ_FY))</f>
        <v>66.139489999999995</v>
      </c>
      <c r="J2007" s="17">
        <f>IF(A2006=A2007,_xll.ciqfunctions.udf.CIQ(A1998,"IQ_CASH_OPER",IQ_FY-1), _xll.ciqfunctions.udf.CIQ(A1998, "IQ_CASH_OPER",IQ_FY))</f>
        <v>27.183</v>
      </c>
      <c r="K2007" s="17">
        <f>IF(A2006=A2007,_xll.ciqfunctions.udf.CIQ(A1998,"IQ_CAPEX",IQ_FY-1), _xll.ciqfunctions.udf.CIQ(A1998, "IQ_CAPEX",IQ_FY))</f>
        <v>-14.067</v>
      </c>
      <c r="L2007" s="15">
        <f t="shared" si="532"/>
        <v>0.19830815145384401</v>
      </c>
      <c r="M2007" s="17">
        <f>IF(A2006=A2007,_xll.ciqfunctions.udf.CIQ(A1998,"IQ_TOTAL_DEBT_ISSUED",IQ_FY-1), _xll.ciqfunctions.udf.CIQ(A1998, "IQ_TOTAL_DEBT_ISSUED",IQ_FY))</f>
        <v>0</v>
      </c>
      <c r="N2007" s="17">
        <f>IF(A2006=A2007,_xll.ciqfunctions.udf.CIQ(A1998,"IQ_TOTAL_DEBT_REPAID",IQ_FY-1), _xll.ciqfunctions.udf.CIQ(A1998, "IQ_TOTAL_DEBT_REPAID",IQ_FY))</f>
        <v>-2.3929999999999998</v>
      </c>
      <c r="O2007" s="15">
        <f t="shared" si="533"/>
        <v>-3.6181107534999132E-2</v>
      </c>
      <c r="P2007" s="15">
        <f t="shared" si="534"/>
        <v>0.16212704391884486</v>
      </c>
      <c r="Q2007" s="25" t="s">
        <v>44</v>
      </c>
      <c r="R2007" s="38" t="s">
        <v>35</v>
      </c>
      <c r="S2007" s="1">
        <f>_xll.ciqfunctions.udf.CIQ(A1998,"IQ_TEV_EBITDA")</f>
        <v>31.896260000000002</v>
      </c>
      <c r="U2007" s="25" t="s">
        <v>55</v>
      </c>
      <c r="V2007" s="38" t="s">
        <v>53</v>
      </c>
      <c r="W2007" s="1">
        <f>V1997/(AVERAGE(D2003:D2008)/_xlfn.STDEV.P(E2003:E2008))</f>
        <v>0.56865627298767774</v>
      </c>
      <c r="Y2007" s="25" t="s">
        <v>57</v>
      </c>
      <c r="Z2007" s="38" t="s">
        <v>53</v>
      </c>
      <c r="AA2007" s="1">
        <f>Z1997/(AVERAGE(D2003:D2008)/_xlfn.STDEV.P(E2003:E2008))</f>
        <v>0.56865627298767774</v>
      </c>
    </row>
    <row r="2008" spans="1:27">
      <c r="B2008" s="13">
        <v>11</v>
      </c>
      <c r="C2008" s="20" t="s">
        <v>36</v>
      </c>
      <c r="D2008" s="21" cm="1">
        <f t="array" ref="D2008">_xlfn.SINGLE(IF(A2006=A2007,_xll.ciqfunctions.udf.CIQ(A1998,"IQ_TOTAL_REV",IQ_FY)/I2008, _xll.ciqfunctions.udf.CIQ(A1998, "IQ_TOTAL_REV",IQ_LTM)/I2008))</f>
        <v>15.476056006160288</v>
      </c>
      <c r="E2008" s="22">
        <f t="shared" si="535"/>
        <v>0.17947292658430566</v>
      </c>
      <c r="F2008" s="21">
        <f>IF(A2006=A2007,_xll.ciqfunctions.udf.CIQ(A1998,"IQ_DILUT_EPS_EXCL",IQ_FY), _xll.ciqfunctions.udf.CIQ(A1998, "IQ_DILUT_EPS_EXCL",IQ_LTM))</f>
        <v>0.69945999999999997</v>
      </c>
      <c r="G2008" s="21">
        <f>IF(A2006=A2007,_xll.ciqfunctions.udf.CIQ(A1998,"IQ_EBITDA_MARGIN",IQ_FY), _xll.ciqfunctions.udf.CIQ(A1998, "IQ_EBITDA_MARGIN",IQ_LTM))</f>
        <v>6.5125000000000002</v>
      </c>
      <c r="H2008" s="21">
        <f>IF(A2006=A2007,_xll.ciqfunctions.udf.CIQ(A1998,"IQ_TOTAL_DIV_PAID_CF",IQ_FY)/-I2008, _xll.ciqfunctions.udf.CIQ(A1998, "IQ_TOTAL_DIV_PAID_CF",IQ_LTM)/-I2008)</f>
        <v>0</v>
      </c>
      <c r="I2008" s="23">
        <f>IF(A2006=A2007,_xll.ciqfunctions.udf.CIQ(A1998,"IQ_TOTAL_OUTSTANDING_FILING_DATE",IQ_FY),_xll.ciqfunctions.udf.CIQ(A1998,"IQ_sharesoutstanding"))</f>
        <v>65.867040000000003</v>
      </c>
      <c r="J2008" s="23">
        <f>IF(A2006=A2007,_xll.ciqfunctions.udf.CIQ(A1998,"IQ_CASH_OPER",IQ_FY), _xll.ciqfunctions.udf.CIQ(A1998, "IQ_CASH_OPER",IQ_LTM))</f>
        <v>47.432000000000002</v>
      </c>
      <c r="K2008" s="23">
        <f>IF(A2006=A2007,_xll.ciqfunctions.udf.CIQ(A1998,"IQ_CAPEX",IQ_FY), _xll.ciqfunctions.udf.CIQ(A1998, "IQ_CAPEX",IQ_LTM))</f>
        <v>-18.690000000000001</v>
      </c>
      <c r="L2008" s="21">
        <f t="shared" si="532"/>
        <v>0.4363639234433489</v>
      </c>
      <c r="M2008" s="23">
        <f>IF(A2006=A2007,_xll.ciqfunctions.udf.CIQ(A1998,"IQ_TOTAL_DEBT_ISSUED",IQ_FY), _xll.ciqfunctions.udf.CIQ(A1998, "IQ_TOTAL_DEBT_ISSUED",IQ_LTM))</f>
        <v>0</v>
      </c>
      <c r="N2008" s="23">
        <f>IF(A2006=A2007,_xll.ciqfunctions.udf.CIQ(A1998,"IQ_TOTAL_DEBT_REPAID",IQ_FY), _xll.ciqfunctions.udf.CIQ(A1998, "IQ_TOTAL_DEBT_REPAID",IQ_LTM))</f>
        <v>-8.9580000000000002</v>
      </c>
      <c r="O2008" s="21">
        <f t="shared" si="533"/>
        <v>-0.13600125343419106</v>
      </c>
      <c r="P2008" s="21">
        <f t="shared" si="534"/>
        <v>0.30036267000915784</v>
      </c>
      <c r="Q2008" s="25" t="s">
        <v>45</v>
      </c>
      <c r="S2008" s="45"/>
      <c r="U2008" s="25"/>
      <c r="W2008" s="45"/>
      <c r="Y2008" s="25"/>
      <c r="AA2008" s="45"/>
    </row>
    <row r="2009" spans="1:27">
      <c r="B2009" s="24"/>
      <c r="C2009" s="25" t="s">
        <v>37</v>
      </c>
      <c r="E2009" s="26">
        <f>((D2008/D2003)^(1/5))-1</f>
        <v>0.1363849294011179</v>
      </c>
      <c r="F2009" s="27">
        <f>((F2008/F2003)^(1/5))-1</f>
        <v>-2.1358271143283254</v>
      </c>
      <c r="G2009" s="28"/>
      <c r="H2009" s="27" t="e">
        <f>((H2008/H2003)^(1/5))-1</f>
        <v>#DIV/0!</v>
      </c>
      <c r="I2009" s="27">
        <f>((I2008/I2003)^(1/5))-1</f>
        <v>4.0374024759660232E-2</v>
      </c>
      <c r="J2009" s="27"/>
      <c r="K2009" s="27"/>
      <c r="L2009" s="26">
        <f>((L2008/L2003)^(1/5))-1</f>
        <v>-2.2798914463968711</v>
      </c>
      <c r="M2009" s="26"/>
      <c r="N2009" s="26"/>
      <c r="O2009" s="26"/>
      <c r="P2009" s="26">
        <f>((P2008/P2003)^(1/5))-1</f>
        <v>-2.1877705699429053</v>
      </c>
      <c r="Q2009" s="18"/>
      <c r="R2009" s="36"/>
      <c r="S2009" s="45"/>
      <c r="U2009" s="18"/>
      <c r="V2009" s="36"/>
      <c r="W2009" s="45"/>
      <c r="Y2009" s="18"/>
      <c r="Z2009" s="36"/>
      <c r="AA2009" s="45"/>
    </row>
    <row r="2010" spans="1:27">
      <c r="A2010" s="29"/>
      <c r="B2010" s="30"/>
      <c r="C2010" s="31" t="s">
        <v>38</v>
      </c>
      <c r="D2010" s="29"/>
      <c r="E2010" s="32">
        <f>((D2008/D1998)^(1/10))-1</f>
        <v>7.3449062036818002E-2</v>
      </c>
      <c r="F2010" s="33" t="e">
        <f>((F2008/F1998)^(1/10))-1</f>
        <v>#NUM!</v>
      </c>
      <c r="G2010" s="34"/>
      <c r="H2010" s="33" t="e">
        <f>((H2008/H1998)^(1/10))-1</f>
        <v>#DIV/0!</v>
      </c>
      <c r="I2010" s="33">
        <f>((I2008/I1998)^(1/10))-1</f>
        <v>2.7483516523362894E-2</v>
      </c>
      <c r="J2010" s="33"/>
      <c r="K2010" s="33"/>
      <c r="L2010" s="32">
        <f>((L2008/L1998)^(1/10))-1</f>
        <v>-4.2485517172351273E-2</v>
      </c>
      <c r="M2010" s="32"/>
      <c r="N2010" s="32"/>
      <c r="O2010" s="32"/>
      <c r="P2010" s="32">
        <f>((P2008/P1998)^(1/10))-1</f>
        <v>-7.7587746839266836E-2</v>
      </c>
      <c r="Q2010" s="40"/>
      <c r="R2010" s="41"/>
      <c r="S2010" s="46"/>
      <c r="U2010" s="40"/>
      <c r="V2010" s="41"/>
      <c r="W2010" s="46"/>
      <c r="Y2010" s="40"/>
      <c r="Z2010" s="41"/>
      <c r="AA2010" s="46"/>
    </row>
    <row r="2011" spans="1:27">
      <c r="B2011" s="24"/>
      <c r="C2011" s="25"/>
      <c r="E2011" s="26"/>
      <c r="F2011" s="27"/>
      <c r="G2011" s="28"/>
      <c r="H2011" s="27"/>
      <c r="I2011" s="27"/>
      <c r="J2011" s="27"/>
      <c r="K2011" s="27"/>
      <c r="L2011" s="26"/>
      <c r="M2011" s="17"/>
      <c r="N2011" s="17"/>
      <c r="O2011" s="17"/>
      <c r="P2011" s="35"/>
      <c r="Q2011" s="18"/>
      <c r="R2011" s="36"/>
    </row>
    <row r="2012" spans="1:27">
      <c r="A2012" s="9" t="s">
        <v>0</v>
      </c>
      <c r="B2012" s="10"/>
      <c r="C2012" s="9" t="s">
        <v>1</v>
      </c>
      <c r="D2012" s="9" t="s">
        <v>2</v>
      </c>
      <c r="E2012" s="9" t="s">
        <v>3</v>
      </c>
      <c r="F2012" s="11" t="s">
        <v>4</v>
      </c>
      <c r="G2012" s="11" t="s">
        <v>5</v>
      </c>
      <c r="H2012" s="9" t="s">
        <v>6</v>
      </c>
      <c r="I2012" s="11" t="s">
        <v>7</v>
      </c>
      <c r="J2012" s="11" t="s">
        <v>8</v>
      </c>
      <c r="K2012" s="11" t="s">
        <v>9</v>
      </c>
      <c r="L2012" s="11" t="s">
        <v>10</v>
      </c>
      <c r="M2012" s="11" t="s">
        <v>11</v>
      </c>
      <c r="N2012" s="11" t="s">
        <v>12</v>
      </c>
      <c r="O2012" s="11" t="s">
        <v>13</v>
      </c>
      <c r="P2012" s="11" t="s">
        <v>14</v>
      </c>
      <c r="Q2012" s="37" t="s">
        <v>15</v>
      </c>
      <c r="R2012" s="42">
        <f>_xll.ciqfunctions.udf.CIQ(A2013,("IQ_LASTSALEPRICE"))</f>
        <v>11.015000000000001</v>
      </c>
      <c r="S2012" s="44"/>
      <c r="U2012" s="37" t="s">
        <v>15</v>
      </c>
      <c r="V2012" s="42">
        <f>_xll.ciqfunctions.udf.CIQ(A2013,("IQ_LASTSALEPRICE"))</f>
        <v>11.015000000000001</v>
      </c>
      <c r="W2012" s="44"/>
      <c r="Y2012" s="37" t="s">
        <v>15</v>
      </c>
      <c r="Z2012" s="42">
        <f>_xll.ciqfunctions.udf.CIQ(A2013,("IQ_LASTSALEPRICE"))</f>
        <v>11.015000000000001</v>
      </c>
      <c r="AA2012" s="44"/>
    </row>
    <row r="2013" spans="1:27">
      <c r="A2013" s="12" t="str">
        <f>Analysis!B136</f>
        <v>NasdaqGS:HLIT</v>
      </c>
      <c r="B2013" s="13">
        <v>1</v>
      </c>
      <c r="C2013" s="14" t="s">
        <v>16</v>
      </c>
      <c r="D2013" s="15">
        <f>IF(A2021=A2022,_xll.ciqfunctions.udf.CIQ(A2013,"IQ_TOTAL_REV",IQ_FY-10)/I2013,_xll.ciqfunctions.udf.CIQ(A2013, "IQ_TOTAL_REV",IQ_FY-9)/I2013)</f>
        <v>4.6874676553163797</v>
      </c>
      <c r="E2013" s="16"/>
      <c r="F2013" s="15">
        <f>IF(A2021=A2022,_xll.ciqfunctions.udf.CIQ(A2013,"IQ_DILUT_EPS_EXCL",IQ_FY-10), _xll.ciqfunctions.udf.CIQ(A2013, "IQ_DILUT_EPS_EXCL",IQ_FY-9))</f>
        <v>0.2</v>
      </c>
      <c r="G2013" s="15">
        <f>IF(A2021=A2022,_xll.ciqfunctions.udf.CIQ(A2013,"IQ_EBITDA_MARGIN",IQ_FY-10), _xll.ciqfunctions.udf.CIQ(A2013, "IQ_EBITDA_MARGIN",IQ_FY-9))</f>
        <v>5.0201000000000002</v>
      </c>
      <c r="H2013" s="15">
        <f>IF(A2021=A2022,_xll.ciqfunctions.udf.CIQ(A2013,"IQ_TOTAL_DIV_PAID_CF",IQ_FY-10)/-I2013, _xll.ciqfunctions.udf.CIQ(A2013, "IQ_TOTAL_DIV_PAID_CF",IQ_FY-9)/-I2013)</f>
        <v>0</v>
      </c>
      <c r="I2013" s="17">
        <f>IF(A2021=A2022,_xll.ciqfunctions.udf.CIQ(A2013,"IQ_TOTAL_OUTSTANDING_FILING_DATE",IQ_FY-10), _xll.ciqfunctions.udf.CIQ(A2013, "IQ_TOTAL_OUTSTANDING_FILING_DATE",IQ_FY-9))</f>
        <v>98.547880000000006</v>
      </c>
      <c r="J2013" s="17">
        <f>IF(A2021=A2022,_xll.ciqfunctions.udf.CIQ(A2013,"IQ_CASH_OPER",IQ_FY-10), _xll.ciqfunctions.udf.CIQ(A2013, "IQ_CASH_OPER",IQ_FY-9))</f>
        <v>53.759</v>
      </c>
      <c r="K2013" s="17">
        <f>IF(A2021=A2022,_xll.ciqfunctions.udf.CIQ(A2013,"IQ_CAPEX",IQ_FY-10), _xll.ciqfunctions.udf.CIQ(A2013, "IQ_CAPEX",IQ_FY-9))</f>
        <v>-14.581</v>
      </c>
      <c r="L2013" s="15">
        <f t="shared" ref="L2013:L2023" si="536">(J2013+K2013)/I2013</f>
        <v>0.3975529458370895</v>
      </c>
      <c r="M2013" s="17">
        <f>IF(A2021=A2022,_xll.ciqfunctions.udf.CIQ(A2013,"IQ_TOTAL_DEBT_ISSUED",IQ_FY-10), _xll.ciqfunctions.udf.CIQ(A2013, "IQ_TOTAL_DEBT_ISSUED",IQ_FY-9))</f>
        <v>0</v>
      </c>
      <c r="N2013" s="17">
        <f>IF(A2021=A2022,_xll.ciqfunctions.udf.CIQ(A2013,"IQ_TOTAL_DEBT_REPAID",IQ_FY-10), _xll.ciqfunctions.udf.CIQ(A2013, "IQ_TOTAL_DEBT_REPAID",IQ_FY-9))</f>
        <v>0</v>
      </c>
      <c r="O2013" s="15">
        <f t="shared" ref="O2013:O2023" si="537">(M2013+N2013)/I2013</f>
        <v>0</v>
      </c>
      <c r="P2013" s="15">
        <f t="shared" ref="P2013:P2023" si="538">L2013+O2013</f>
        <v>0.3975529458370895</v>
      </c>
      <c r="W2013" s="43"/>
      <c r="AA2013" s="43"/>
    </row>
    <row r="2014" spans="1:27">
      <c r="A2014" s="18" t="str">
        <f>_xll.ciqfunctions.udf.CIQ(A2013,"IQ_COMPANY_NAME")</f>
        <v>Harmonic Inc.</v>
      </c>
      <c r="B2014" s="13">
        <v>2</v>
      </c>
      <c r="C2014" s="14" t="s">
        <v>17</v>
      </c>
      <c r="D2014" s="15">
        <f>IF(A2021=A2022,_xll.ciqfunctions.udf.CIQ(A2013,"IQ_TOTAL_REV",IQ_FY-9)/I2014, _xll.ciqfunctions.udf.CIQ(A2013, "IQ_TOTAL_REV",IQ_FY-8)/I2014)</f>
        <v>4.8914423085384673</v>
      </c>
      <c r="E2014" s="16">
        <f t="shared" ref="E2014:E2023" si="539">(D2014-D2013)/D2013</f>
        <v>4.3514892948807005E-2</v>
      </c>
      <c r="F2014" s="15">
        <f>IF(A2021=A2022,_xll.ciqfunctions.udf.CIQ(A2013,"IQ_DILUT_EPS_EXCL",IQ_FY-9), _xll.ciqfunctions.udf.CIQ(A2013, "IQ_DILUT_EPS_EXCL",IQ_FY-8))</f>
        <v>-0.5</v>
      </c>
      <c r="G2014" s="15">
        <f>IF(A2021=A2022,_xll.ciqfunctions.udf.CIQ(A2013,"IQ_EBITDA_MARGIN",IQ_FY-9), _xll.ciqfunctions.udf.CIQ(A2013, "IQ_EBITDA_MARGIN",IQ_FY-8))</f>
        <v>4.2633000000000001</v>
      </c>
      <c r="H2014" s="15">
        <f>IF(A2021=A2022,_xll.ciqfunctions.udf.CIQ(A2013,"IQ_TOTAL_DIV_PAID_CF",IQ_FY-9)/-I2014, _xll.ciqfunctions.udf.CIQ(A2013, "IQ_TOTAL_DIV_PAID_CF",IQ_FY-8)/-I2014)</f>
        <v>0</v>
      </c>
      <c r="I2014" s="17">
        <f>IF(A2021=A2022,_xll.ciqfunctions.udf.CIQ(A2013,"IQ_TOTAL_OUTSTANDING_FILING_DATE",IQ_FY-9), _xll.ciqfunctions.udf.CIQ(A2013, "IQ_TOTAL_OUTSTANDING_FILING_DATE",IQ_FY-8))</f>
        <v>88.635819999999995</v>
      </c>
      <c r="J2014" s="17">
        <f>IF(A2021=A2022,_xll.ciqfunctions.udf.CIQ(A2013,"IQ_CASH_OPER",IQ_FY-9), _xll.ciqfunctions.udf.CIQ(A2013, "IQ_CASH_OPER",IQ_FY-8))</f>
        <v>47.369</v>
      </c>
      <c r="K2014" s="17">
        <f>IF(A2021=A2022,_xll.ciqfunctions.udf.CIQ(A2013,"IQ_CAPEX",IQ_FY-9), _xll.ciqfunctions.udf.CIQ(A2013, "IQ_CAPEX",IQ_FY-8))</f>
        <v>-10.065</v>
      </c>
      <c r="L2014" s="15">
        <f t="shared" si="536"/>
        <v>0.42086822235073817</v>
      </c>
      <c r="M2014" s="17">
        <f>IF(A2021=A2022,_xll.ciqfunctions.udf.CIQ(A2013,"IQ_TOTAL_DEBT_ISSUED",IQ_FY-9), _xll.ciqfunctions.udf.CIQ(A2013, "IQ_TOTAL_DEBT_ISSUED",IQ_FY-8))</f>
        <v>0</v>
      </c>
      <c r="N2014" s="17">
        <f>IF(A2021=A2022,_xll.ciqfunctions.udf.CIQ(A2013,"IQ_TOTAL_DEBT_REPAID",IQ_FY-9), _xll.ciqfunctions.udf.CIQ(A2013, "IQ_TOTAL_DEBT_REPAID",IQ_FY-8))</f>
        <v>0</v>
      </c>
      <c r="O2014" s="15">
        <f t="shared" si="537"/>
        <v>0</v>
      </c>
      <c r="P2014" s="15">
        <f t="shared" si="538"/>
        <v>0.42086822235073817</v>
      </c>
      <c r="Q2014" s="25" t="s">
        <v>18</v>
      </c>
      <c r="R2014" s="39" t="s">
        <v>19</v>
      </c>
      <c r="S2014" s="1">
        <f>R2012/((AVERAGE(P2018:P2023))*(1+E2024)^3)</f>
        <v>-1015.8940059398824</v>
      </c>
      <c r="U2014" s="25" t="s">
        <v>48</v>
      </c>
      <c r="V2014" s="39" t="s">
        <v>19</v>
      </c>
      <c r="W2014" s="1">
        <f>V2012/((AVERAGE(P2018:P2023))*(1+E2024)^3)</f>
        <v>-1015.8940059398824</v>
      </c>
      <c r="Y2014" s="25" t="s">
        <v>39</v>
      </c>
      <c r="Z2014" s="39" t="s">
        <v>19</v>
      </c>
      <c r="AA2014" s="1">
        <f>Z2012/((AVERAGE(P2018:P2023))*(1+E2024)^3)</f>
        <v>-1015.8940059398824</v>
      </c>
    </row>
    <row r="2015" spans="1:27">
      <c r="B2015" s="13">
        <v>3</v>
      </c>
      <c r="C2015" s="14" t="s">
        <v>20</v>
      </c>
      <c r="D2015" s="15" cm="1">
        <f t="array" ref="D2015">_xlfn.SINGLE(IF(A2021=A2022,_xll.ciqfunctions.udf.CIQ(A2013,"IQ_TOTAL_REV",IQ_FY-8)/I2015, _xll.ciqfunctions.udf.CIQ(A2013, "IQ_TOTAL_REV",IQ_FY-7)/I2015))</f>
        <v>4.8774357133385724</v>
      </c>
      <c r="E2015" s="16">
        <f t="shared" si="539"/>
        <v>-2.8634898086082041E-3</v>
      </c>
      <c r="F2015" s="15">
        <f>IF(A2021=A2022,_xll.ciqfunctions.udf.CIQ(A2013,"IQ_DILUT_EPS_EXCL",IQ_FY-8), _xll.ciqfunctions.udf.CIQ(A2013, "IQ_DILUT_EPS_EXCL",IQ_FY-7))</f>
        <v>-0.18</v>
      </c>
      <c r="G2015" s="15">
        <f>IF(A2021=A2022,_xll.ciqfunctions.udf.CIQ(A2013,"IQ_EBITDA_MARGIN",IQ_FY-8), _xll.ciqfunctions.udf.CIQ(A2013, "IQ_EBITDA_MARGIN",IQ_FY-7))</f>
        <v>2.1960999999999999</v>
      </c>
      <c r="H2015" s="15">
        <f>IF(A2021=A2022,_xll.ciqfunctions.udf.CIQ(A2013,"IQ_TOTAL_DIV_PAID_CF",IQ_FY-8)/-I2015, _xll.ciqfunctions.udf.CIQ(A2013, "IQ_TOTAL_DIV_PAID_CF",IQ_FY-7)/-I2015)</f>
        <v>0</v>
      </c>
      <c r="I2015" s="17">
        <f>IF(A2021=A2022,_xll.ciqfunctions.udf.CIQ(A2013,"IQ_TOTAL_OUTSTANDING_FILING_DATE",IQ_FY-8), _xll.ciqfunctions.udf.CIQ(A2013, "IQ_TOTAL_OUTSTANDING_FILING_DATE",IQ_FY-7))</f>
        <v>77.300250000000005</v>
      </c>
      <c r="J2015" s="17">
        <f>IF(A2021=A2022,_xll.ciqfunctions.udf.CIQ(A2013,"IQ_CASH_OPER",IQ_FY-8), _xll.ciqfunctions.udf.CIQ(A2013, "IQ_CASH_OPER",IQ_FY-7))</f>
        <v>6.351</v>
      </c>
      <c r="K2015" s="17">
        <f>IF(A2021=A2022,_xll.ciqfunctions.udf.CIQ(A2013,"IQ_CAPEX",IQ_FY-8), _xll.ciqfunctions.udf.CIQ(A2013, "IQ_CAPEX",IQ_FY-7))</f>
        <v>-14.356</v>
      </c>
      <c r="L2015" s="15">
        <f t="shared" si="536"/>
        <v>-0.10355723299730595</v>
      </c>
      <c r="M2015" s="17">
        <f>IF(A2021=A2022,_xll.ciqfunctions.udf.CIQ(A2013,"IQ_TOTAL_DEBT_ISSUED",IQ_FY-8), _xll.ciqfunctions.udf.CIQ(A2013, "IQ_TOTAL_DEBT_ISSUED",IQ_FY-7))</f>
        <v>128.25</v>
      </c>
      <c r="N2015" s="17">
        <f>IF(A2021=A2022,_xll.ciqfunctions.udf.CIQ(A2013,"IQ_TOTAL_DEBT_REPAID",IQ_FY-8), _xll.ciqfunctions.udf.CIQ(A2013, "IQ_TOTAL_DEBT_REPAID",IQ_FY-7))</f>
        <v>0</v>
      </c>
      <c r="O2015" s="15">
        <f t="shared" si="537"/>
        <v>1.6591149446476563</v>
      </c>
      <c r="P2015" s="15">
        <f t="shared" si="538"/>
        <v>1.5555577116503503</v>
      </c>
      <c r="Q2015" s="25" t="s">
        <v>21</v>
      </c>
      <c r="R2015" s="38" t="s">
        <v>49</v>
      </c>
      <c r="S2015" s="2">
        <f>(R2012*I2023)/1000</f>
        <v>1.2357720789500002</v>
      </c>
      <c r="U2015" s="25" t="s">
        <v>59</v>
      </c>
      <c r="V2015" s="38" t="s">
        <v>49</v>
      </c>
      <c r="W2015" s="2">
        <f>(V2012*I2023)/1000</f>
        <v>1.2357720789500002</v>
      </c>
      <c r="Y2015" s="25" t="s">
        <v>46</v>
      </c>
      <c r="Z2015" s="38" t="s">
        <v>49</v>
      </c>
      <c r="AA2015" s="2">
        <f>(Z2012*I2023)/1000</f>
        <v>1.2357720789500002</v>
      </c>
    </row>
    <row r="2016" spans="1:27">
      <c r="A2016" s="18"/>
      <c r="B2016" s="13">
        <v>4</v>
      </c>
      <c r="C2016" s="14" t="s">
        <v>22</v>
      </c>
      <c r="D2016" s="15" cm="1">
        <f t="array" ref="D2016">_xlfn.SINGLE(IF(A2021=A2022,_xll.ciqfunctions.udf.CIQ(A2013,"IQ_TOTAL_REV",IQ_FY-7)/I2016, _xll.ciqfunctions.udf.CIQ(A2013, "IQ_TOTAL_REV",IQ_FY-6)/I2016))</f>
        <v>5.0883256239579806</v>
      </c>
      <c r="E2016" s="16">
        <f t="shared" si="539"/>
        <v>4.3237865758574079E-2</v>
      </c>
      <c r="F2016" s="15">
        <f>IF(A2021=A2022,_xll.ciqfunctions.udf.CIQ(A2013,"IQ_DILUT_EPS_EXCL",IQ_FY-7), _xll.ciqfunctions.udf.CIQ(A2013, "IQ_DILUT_EPS_EXCL",IQ_FY-6))</f>
        <v>-0.93062</v>
      </c>
      <c r="G2016" s="15">
        <f>IF(A2021=A2022,_xll.ciqfunctions.udf.CIQ(A2013,"IQ_EBITDA_MARGIN",IQ_FY-7), _xll.ciqfunctions.udf.CIQ(A2013, "IQ_EBITDA_MARGIN",IQ_FY-6))</f>
        <v>1.369</v>
      </c>
      <c r="H2016" s="15">
        <f>IF(A2021=A2022,_xll.ciqfunctions.udf.CIQ(A2013,"IQ_TOTAL_DIV_PAID_CF",IQ_FY-7)/-I2016, _xll.ciqfunctions.udf.CIQ(A2013, "IQ_TOTAL_DIV_PAID_CF",IQ_FY-6)/-I2016)</f>
        <v>0</v>
      </c>
      <c r="I2016" s="17">
        <f>IF(A2021=A2022,_xll.ciqfunctions.udf.CIQ(A2013,"IQ_TOTAL_OUTSTANDING_FILING_DATE",IQ_FY-7), _xll.ciqfunctions.udf.CIQ(A2013, "IQ_TOTAL_OUTSTANDING_FILING_DATE",IQ_FY-6))</f>
        <v>79.772999999999996</v>
      </c>
      <c r="J2016" s="17">
        <f>IF(A2021=A2022,_xll.ciqfunctions.udf.CIQ(A2013,"IQ_CASH_OPER",IQ_FY-7), _xll.ciqfunctions.udf.CIQ(A2013, "IQ_CASH_OPER",IQ_FY-6))</f>
        <v>0.438</v>
      </c>
      <c r="K2016" s="17">
        <f>IF(A2021=A2022,_xll.ciqfunctions.udf.CIQ(A2013,"IQ_CAPEX",IQ_FY-7), _xll.ciqfunctions.udf.CIQ(A2013, "IQ_CAPEX",IQ_FY-6))</f>
        <v>-15.106999999999999</v>
      </c>
      <c r="L2016" s="15">
        <f t="shared" si="536"/>
        <v>-0.18388427162072379</v>
      </c>
      <c r="M2016" s="17">
        <f>IF(A2021=A2022,_xll.ciqfunctions.udf.CIQ(A2013,"IQ_TOTAL_DEBT_ISSUED",IQ_FY-7), _xll.ciqfunctions.udf.CIQ(A2013, "IQ_TOTAL_DEBT_ISSUED",IQ_FY-6))</f>
        <v>5.968</v>
      </c>
      <c r="N2016" s="17">
        <f>IF(A2021=A2022,_xll.ciqfunctions.udf.CIQ(A2013,"IQ_TOTAL_DEBT_REPAID",IQ_FY-7), _xll.ciqfunctions.udf.CIQ(A2013, "IQ_TOTAL_DEBT_REPAID",IQ_FY-6))</f>
        <v>-8.3379999999999992</v>
      </c>
      <c r="O2016" s="15">
        <f t="shared" si="537"/>
        <v>-2.9709300139144815E-2</v>
      </c>
      <c r="P2016" s="15">
        <f t="shared" si="538"/>
        <v>-0.21359357175986859</v>
      </c>
      <c r="Q2016" s="25" t="s">
        <v>23</v>
      </c>
      <c r="R2016" s="38" t="s">
        <v>24</v>
      </c>
      <c r="S2016" s="1" t="e">
        <f>R2012/(AVERAGE(H2018:H2023)*(1+H2024)/(0.5-H2024))</f>
        <v>#DIV/0!</v>
      </c>
      <c r="U2016" s="25" t="s">
        <v>40</v>
      </c>
      <c r="V2016" s="38" t="s">
        <v>24</v>
      </c>
      <c r="W2016" s="1" t="e">
        <f>V2012/(AVERAGE(H2018:H2023)*(1+H2024)/(0.5-H2024))</f>
        <v>#DIV/0!</v>
      </c>
      <c r="Y2016" s="25" t="s">
        <v>47</v>
      </c>
      <c r="Z2016" s="38" t="s">
        <v>24</v>
      </c>
      <c r="AA2016" s="1" t="e">
        <f>Z2012/(AVERAGE(H2018:H2023)*(1+H2024)/(0.5-H2024))</f>
        <v>#DIV/0!</v>
      </c>
    </row>
    <row r="2017" spans="1:27">
      <c r="B2017" s="13">
        <v>5</v>
      </c>
      <c r="C2017" s="14" t="s">
        <v>25</v>
      </c>
      <c r="D2017" s="15" cm="1">
        <f t="array" ref="D2017">_xlfn.SINGLE(IF(A2021=A2022,_xll.ciqfunctions.udf.CIQ(A2013,"IQ_TOTAL_REV",IQ_FY-6)/I2017, _xll.ciqfunctions.udf.CIQ(A2013, "IQ_TOTAL_REV",IQ_FY-5)/I2017))</f>
        <v>4.2598852737362085</v>
      </c>
      <c r="E2017" s="16">
        <f t="shared" si="539"/>
        <v>-0.16281197616778414</v>
      </c>
      <c r="F2017" s="15">
        <f>IF(A2021=A2022,_xll.ciqfunctions.udf.CIQ(A2013,"IQ_DILUT_EPS_EXCL",IQ_FY-6), _xll.ciqfunctions.udf.CIQ(A2013, "IQ_DILUT_EPS_EXCL",IQ_FY-5))</f>
        <v>-1.0244599999999999</v>
      </c>
      <c r="G2017" s="15">
        <f>IF(A2021=A2022,_xll.ciqfunctions.udf.CIQ(A2013,"IQ_EBITDA_MARGIN",IQ_FY-6), _xll.ciqfunctions.udf.CIQ(A2013, "IQ_EBITDA_MARGIN",IQ_FY-5))</f>
        <v>-9.8731000000000009</v>
      </c>
      <c r="H2017" s="15">
        <f>IF(A2021=A2022,_xll.ciqfunctions.udf.CIQ(A2013,"IQ_TOTAL_DIV_PAID_CF",IQ_FY-6)/-I2017, _xll.ciqfunctions.udf.CIQ(A2013, "IQ_TOTAL_DIV_PAID_CF",IQ_FY-5)/-I2017)</f>
        <v>0</v>
      </c>
      <c r="I2017" s="17">
        <f>IF(A2021=A2022,_xll.ciqfunctions.udf.CIQ(A2013,"IQ_TOTAL_OUTSTANDING_FILING_DATE",IQ_FY-6), _xll.ciqfunctions.udf.CIQ(A2013, "IQ_TOTAL_OUTSTANDING_FILING_DATE",IQ_FY-5))</f>
        <v>84.097570000000005</v>
      </c>
      <c r="J2017" s="17">
        <f>IF(A2021=A2022,_xll.ciqfunctions.udf.CIQ(A2013,"IQ_CASH_OPER",IQ_FY-6), _xll.ciqfunctions.udf.CIQ(A2013, "IQ_CASH_OPER",IQ_FY-5))</f>
        <v>3.0640000000000001</v>
      </c>
      <c r="K2017" s="17">
        <f>IF(A2021=A2022,_xll.ciqfunctions.udf.CIQ(A2013,"IQ_CAPEX",IQ_FY-6), _xll.ciqfunctions.udf.CIQ(A2013, "IQ_CAPEX",IQ_FY-5))</f>
        <v>-11.398999999999999</v>
      </c>
      <c r="L2017" s="15">
        <f t="shared" si="536"/>
        <v>-9.9111068250842427E-2</v>
      </c>
      <c r="M2017" s="17">
        <f>IF(A2021=A2022,_xll.ciqfunctions.udf.CIQ(A2013,"IQ_TOTAL_DEBT_ISSUED",IQ_FY-6), _xll.ciqfunctions.udf.CIQ(A2013, "IQ_TOTAL_DEBT_ISSUED",IQ_FY-5))</f>
        <v>6.3440000000000003</v>
      </c>
      <c r="N2017" s="17">
        <f>IF(A2021=A2022,_xll.ciqfunctions.udf.CIQ(A2013,"IQ_TOTAL_DEBT_REPAID",IQ_FY-6), _xll.ciqfunctions.udf.CIQ(A2013, "IQ_TOTAL_DEBT_REPAID",IQ_FY-5))</f>
        <v>-7.4080000000000004</v>
      </c>
      <c r="O2017" s="15">
        <f t="shared" si="537"/>
        <v>-1.2651970800107541E-2</v>
      </c>
      <c r="P2017" s="15">
        <f t="shared" si="538"/>
        <v>-0.11176303905094997</v>
      </c>
      <c r="Q2017" s="18"/>
      <c r="R2017" s="38" t="s">
        <v>50</v>
      </c>
      <c r="S2017" s="3">
        <f>I2024</f>
        <v>4.8158382358531648E-2</v>
      </c>
      <c r="U2017" s="18"/>
      <c r="V2017" s="38" t="s">
        <v>50</v>
      </c>
      <c r="W2017" s="3">
        <f>I2024</f>
        <v>4.8158382358531648E-2</v>
      </c>
      <c r="Y2017" s="18"/>
      <c r="Z2017" s="38" t="s">
        <v>50</v>
      </c>
      <c r="AA2017" s="3">
        <f>I2024</f>
        <v>4.8158382358531648E-2</v>
      </c>
    </row>
    <row r="2018" spans="1:27">
      <c r="B2018" s="13">
        <v>6</v>
      </c>
      <c r="C2018" s="14" t="s">
        <v>26</v>
      </c>
      <c r="D2018" s="15" cm="1">
        <f t="array" ref="D2018">_xlfn.SINGLE(IF(A2021=A2022,_xll.ciqfunctions.udf.CIQ(A2013,"IQ_TOTAL_REV",IQ_FY-5)/I2018, _xll.ciqfunctions.udf.CIQ(A2013, "IQ_TOTAL_REV",IQ_FY-4)/I2018))</f>
        <v>4.5507884080393595</v>
      </c>
      <c r="E2018" s="16">
        <f t="shared" si="539"/>
        <v>6.8288959821682982E-2</v>
      </c>
      <c r="F2018" s="15">
        <f>IF(A2021=A2022,_xll.ciqfunctions.udf.CIQ(A2013,"IQ_DILUT_EPS_EXCL",IQ_FY-5), _xll.ciqfunctions.udf.CIQ(A2013, "IQ_DILUT_EPS_EXCL",IQ_FY-4))</f>
        <v>-0.24568999999999999</v>
      </c>
      <c r="G2018" s="15">
        <f>IF(A2021=A2022,_xll.ciqfunctions.udf.CIQ(A2013,"IQ_EBITDA_MARGIN",IQ_FY-5), _xll.ciqfunctions.udf.CIQ(A2013, "IQ_EBITDA_MARGIN",IQ_FY-4))</f>
        <v>4.9810999999999996</v>
      </c>
      <c r="H2018" s="15">
        <f>IF(A2021=A2022,_xll.ciqfunctions.udf.CIQ(A2013,"IQ_TOTAL_DIV_PAID_CF",IQ_FY-5)/-I2018, _xll.ciqfunctions.udf.CIQ(A2013, "IQ_TOTAL_DIV_PAID_CF",IQ_FY-4)/-I2018)</f>
        <v>0</v>
      </c>
      <c r="I2018" s="17">
        <f>IF(A2021=A2022,_xll.ciqfunctions.udf.CIQ(A2013,"IQ_TOTAL_OUTSTANDING_FILING_DATE",IQ_FY-5), _xll.ciqfunctions.udf.CIQ(A2013, "IQ_TOTAL_OUTSTANDING_FILING_DATE",IQ_FY-4))</f>
        <v>88.678700000000006</v>
      </c>
      <c r="J2018" s="17">
        <f>IF(A2021=A2022,_xll.ciqfunctions.udf.CIQ(A2013,"IQ_CASH_OPER",IQ_FY-5), _xll.ciqfunctions.udf.CIQ(A2013, "IQ_CASH_OPER",IQ_FY-4))</f>
        <v>12.284000000000001</v>
      </c>
      <c r="K2018" s="17">
        <f>IF(A2021=A2022,_xll.ciqfunctions.udf.CIQ(A2013,"IQ_CAPEX",IQ_FY-5), _xll.ciqfunctions.udf.CIQ(A2013, "IQ_CAPEX",IQ_FY-4))</f>
        <v>-7.0439999999999996</v>
      </c>
      <c r="L2018" s="15">
        <f t="shared" si="536"/>
        <v>5.9089725041075264E-2</v>
      </c>
      <c r="M2018" s="17">
        <f>IF(A2021=A2022,_xll.ciqfunctions.udf.CIQ(A2013,"IQ_TOTAL_DEBT_ISSUED",IQ_FY-5), _xll.ciqfunctions.udf.CIQ(A2013, "IQ_TOTAL_DEBT_ISSUED",IQ_FY-4))</f>
        <v>5.0659999999999998</v>
      </c>
      <c r="N2018" s="17">
        <f>IF(A2021=A2022,_xll.ciqfunctions.udf.CIQ(A2013,"IQ_TOTAL_DEBT_REPAID",IQ_FY-5), _xll.ciqfunctions.udf.CIQ(A2013, "IQ_TOTAL_DEBT_REPAID",IQ_FY-4))</f>
        <v>-7.1319999999999997</v>
      </c>
      <c r="O2018" s="15">
        <f t="shared" si="537"/>
        <v>-2.3297590063904857E-2</v>
      </c>
      <c r="P2018" s="15">
        <f t="shared" si="538"/>
        <v>3.5792134977170403E-2</v>
      </c>
      <c r="Q2018" s="25" t="s">
        <v>27</v>
      </c>
      <c r="R2018" s="38" t="s">
        <v>51</v>
      </c>
      <c r="S2018" s="4">
        <f>AVERAGE(F2018:F2023)/AVERAGE(D2018:D2023)</f>
        <v>-6.8963226434267258E-3</v>
      </c>
      <c r="U2018" s="25" t="s">
        <v>58</v>
      </c>
      <c r="V2018" s="38" t="s">
        <v>51</v>
      </c>
      <c r="W2018" s="4">
        <f>AVERAGE(F2018:F2023)/AVERAGE(D2018:D2023)</f>
        <v>-6.8963226434267258E-3</v>
      </c>
      <c r="Y2018" s="25" t="s">
        <v>56</v>
      </c>
      <c r="Z2018" s="38" t="s">
        <v>51</v>
      </c>
      <c r="AA2018" s="4">
        <f>AVERAGE(F2018:F2023)/AVERAGE(D2018:D2023)</f>
        <v>-6.8963226434267258E-3</v>
      </c>
    </row>
    <row r="2019" spans="1:27">
      <c r="A2019" s="18"/>
      <c r="B2019" s="13">
        <v>7</v>
      </c>
      <c r="C2019" s="14" t="s">
        <v>28</v>
      </c>
      <c r="D2019" s="15" cm="1">
        <f t="array" ref="D2019">_xlfn.SINGLE(IF(A2021=A2022,_xll.ciqfunctions.udf.CIQ(A2013,"IQ_TOTAL_REV",IQ_FY-4)/I2019, _xll.ciqfunctions.udf.CIQ(A2013, "IQ_TOTAL_REV",IQ_FY-3)/I2019))</f>
        <v>4.2013319780582252</v>
      </c>
      <c r="E2019" s="16">
        <f t="shared" si="539"/>
        <v>-7.6790305030176614E-2</v>
      </c>
      <c r="F2019" s="15">
        <f>IF(A2021=A2022,_xll.ciqfunctions.udf.CIQ(A2013,"IQ_DILUT_EPS_EXCL",IQ_FY-4), _xll.ciqfunctions.udf.CIQ(A2013, "IQ_DILUT_EPS_EXCL",IQ_FY-3))</f>
        <v>-7.0000000000000007E-2</v>
      </c>
      <c r="G2019" s="15">
        <f>IF(A2021=A2022,_xll.ciqfunctions.udf.CIQ(A2013,"IQ_EBITDA_MARGIN",IQ_FY-4), _xll.ciqfunctions.udf.CIQ(A2013, "IQ_EBITDA_MARGIN",IQ_FY-3))</f>
        <v>9.2387999999999995</v>
      </c>
      <c r="H2019" s="15">
        <f>IF(A2021=A2022,_xll.ciqfunctions.udf.CIQ(A2013,"IQ_TOTAL_DIV_PAID_CF",IQ_FY-4)/-I2019, _xll.ciqfunctions.udf.CIQ(A2013, "IQ_TOTAL_DIV_PAID_CF",IQ_FY-3)/-I2019)</f>
        <v>0</v>
      </c>
      <c r="I2019" s="17">
        <f>IF(A2021=A2022,_xll.ciqfunctions.udf.CIQ(A2013,"IQ_TOTAL_OUTSTANDING_FILING_DATE",IQ_FY-4), _xll.ciqfunctions.udf.CIQ(A2013, "IQ_TOTAL_OUTSTANDING_FILING_DATE",IQ_FY-3))</f>
        <v>95.891970000000001</v>
      </c>
      <c r="J2019" s="17">
        <f>IF(A2021=A2022,_xll.ciqfunctions.udf.CIQ(A2013,"IQ_CASH_OPER",IQ_FY-4), _xll.ciqfunctions.udf.CIQ(A2013, "IQ_CASH_OPER",IQ_FY-3))</f>
        <v>31.295000000000002</v>
      </c>
      <c r="K2019" s="17">
        <f>IF(A2021=A2022,_xll.ciqfunctions.udf.CIQ(A2013,"IQ_CAPEX",IQ_FY-4), _xll.ciqfunctions.udf.CIQ(A2013, "IQ_CAPEX",IQ_FY-3))</f>
        <v>-10.327999999999999</v>
      </c>
      <c r="L2019" s="15">
        <f t="shared" si="536"/>
        <v>0.21865230216878434</v>
      </c>
      <c r="M2019" s="17">
        <f>IF(A2021=A2022,_xll.ciqfunctions.udf.CIQ(A2013,"IQ_TOTAL_DEBT_ISSUED",IQ_FY-4), _xll.ciqfunctions.udf.CIQ(A2013, "IQ_TOTAL_DEBT_ISSUED",IQ_FY-3))</f>
        <v>120.184</v>
      </c>
      <c r="N2019" s="17">
        <f>IF(A2021=A2022,_xll.ciqfunctions.udf.CIQ(A2013,"IQ_TOTAL_DEBT_REPAID",IQ_FY-4), _xll.ciqfunctions.udf.CIQ(A2013, "IQ_TOTAL_DEBT_REPAID",IQ_FY-3))</f>
        <v>-116.51600000000001</v>
      </c>
      <c r="O2019" s="15">
        <f t="shared" si="537"/>
        <v>3.8251378087237047E-2</v>
      </c>
      <c r="P2019" s="15">
        <f t="shared" si="538"/>
        <v>0.25690368025602139</v>
      </c>
      <c r="Q2019" s="18"/>
      <c r="R2019" s="38" t="s">
        <v>29</v>
      </c>
      <c r="S2019" s="4">
        <f>(AVERAGE(P2018:P2023)/_xlfn.STDEV.P(P2018:P2023))/(IF(A2021=A2022,(_xlfn.SINGLE(_xll.ciqfunctions.udf.CIQ(A2013,"IQ_total_assets",IQ_FY)) - _xlfn.SINGLE(_xll.ciqfunctions.udf.CIQ(A2013,"iq_gw_intan", IQ_FY)))/I2023, (_xlfn.SINGLE(_xll.ciqfunctions.udf.CIQ(A2013, "IQ_total_assets",IQ_LTM))-_xlfn.SINGLE(_xll.ciqfunctions.udf.CIQ(A2013,"iq_gw_intan",IQ_LTM)))/I2023))</f>
        <v>-1.0730320193551392E-2</v>
      </c>
      <c r="U2019" s="18"/>
      <c r="V2019" s="38" t="s">
        <v>29</v>
      </c>
      <c r="W2019" s="4">
        <f>(AVERAGE(P2018:P2023)/_xlfn.STDEV.P(P2018:P2023))/(IF(A2021=A2022,(_xlfn.SINGLE(_xll.ciqfunctions.udf.CIQ(A2013,"IQ_total_assets",IQ_FY)) - _xlfn.SINGLE(_xll.ciqfunctions.udf.CIQ(A2013,"iq_gw_intan", IQ_FY)))/I2023, (_xlfn.SINGLE(_xll.ciqfunctions.udf.CIQ(A2013, "IQ_total_assets",IQ_LTM))-_xlfn.SINGLE(_xll.ciqfunctions.udf.CIQ(A2013,"iq_gw_intan",IQ_LTM)))/I2023))</f>
        <v>-1.0730320193551392E-2</v>
      </c>
      <c r="Y2019" s="18"/>
      <c r="Z2019" s="38" t="s">
        <v>29</v>
      </c>
      <c r="AA2019" s="4">
        <f>(AVERAGE(P2018:P2023)/_xlfn.STDEV.P(P2018:P2023))/(IF(A2021=A2022,(_xlfn.SINGLE(_xll.ciqfunctions.udf.CIQ(A2013,"IQ_total_assets",IQ_FY)) - _xlfn.SINGLE(_xll.ciqfunctions.udf.CIQ(A2013,"iq_gw_intan", IQ_FY)))/I2023, (_xlfn.SINGLE(_xll.ciqfunctions.udf.CIQ(A2013, "IQ_total_assets",IQ_LTM))-_xlfn.SINGLE(_xll.ciqfunctions.udf.CIQ(A2013,"iq_gw_intan",IQ_LTM)))/I2023))</f>
        <v>-1.0730320193551392E-2</v>
      </c>
    </row>
    <row r="2020" spans="1:27">
      <c r="A2020" s="18"/>
      <c r="B2020" s="13">
        <v>8</v>
      </c>
      <c r="C2020" s="14" t="s">
        <v>30</v>
      </c>
      <c r="D2020" s="15" cm="1">
        <f t="array" ref="D2020">_xlfn.SINGLE(IF(A2021=A2022,_xll.ciqfunctions.udf.CIQ(A2013,"IQ_TOTAL_REV",IQ_FY-3)/I2020, _xll.ciqfunctions.udf.CIQ(A2013, "IQ_TOTAL_REV",IQ_FY-2)/I2020))</f>
        <v>3.7564824511362582</v>
      </c>
      <c r="E2020" s="16">
        <f t="shared" si="539"/>
        <v>-0.10588297455312443</v>
      </c>
      <c r="F2020" s="15">
        <f>IF(A2021=A2022,_xll.ciqfunctions.udf.CIQ(A2013,"IQ_DILUT_EPS_EXCL",IQ_FY-3), _xll.ciqfunctions.udf.CIQ(A2013, "IQ_DILUT_EPS_EXCL",IQ_FY-2))</f>
        <v>-0.30185000000000001</v>
      </c>
      <c r="G2020" s="15">
        <f>IF(A2021=A2022,_xll.ciqfunctions.udf.CIQ(A2013,"IQ_EBITDA_MARGIN",IQ_FY-3), _xll.ciqfunctions.udf.CIQ(A2013, "IQ_EBITDA_MARGIN",IQ_FY-2))</f>
        <v>1.7617</v>
      </c>
      <c r="H2020" s="15">
        <f>IF(A2021=A2022,_xll.ciqfunctions.udf.CIQ(A2013,"IQ_TOTAL_DIV_PAID_CF",IQ_FY-3)/-I2020, _xll.ciqfunctions.udf.CIQ(A2013, "IQ_TOTAL_DIV_PAID_CF",IQ_FY-2)/-I2020)</f>
        <v>0</v>
      </c>
      <c r="I2020" s="17">
        <f>IF(A2021=A2022,_xll.ciqfunctions.udf.CIQ(A2013,"IQ_TOTAL_OUTSTANDING_FILING_DATE",IQ_FY-3), _xll.ciqfunctions.udf.CIQ(A2013, "IQ_TOTAL_OUTSTANDING_FILING_DATE",IQ_FY-2))</f>
        <v>100.84726999999999</v>
      </c>
      <c r="J2020" s="17">
        <f>IF(A2021=A2022,_xll.ciqfunctions.udf.CIQ(A2013,"IQ_CASH_OPER",IQ_FY-3), _xll.ciqfunctions.udf.CIQ(A2013, "IQ_CASH_OPER",IQ_FY-2))</f>
        <v>39.162999999999997</v>
      </c>
      <c r="K2020" s="17">
        <f>IF(A2021=A2022,_xll.ciqfunctions.udf.CIQ(A2013,"IQ_CAPEX",IQ_FY-3), _xll.ciqfunctions.udf.CIQ(A2013, "IQ_CAPEX",IQ_FY-2))</f>
        <v>-32.204999999999998</v>
      </c>
      <c r="L2020" s="15">
        <f t="shared" si="536"/>
        <v>6.8995422483920474E-2</v>
      </c>
      <c r="M2020" s="17">
        <f>IF(A2021=A2022,_xll.ciqfunctions.udf.CIQ(A2013,"IQ_TOTAL_DEBT_ISSUED",IQ_FY-3), _xll.ciqfunctions.udf.CIQ(A2013, "IQ_TOTAL_DEBT_ISSUED",IQ_FY-2))</f>
        <v>9.3979999999999997</v>
      </c>
      <c r="N2020" s="17">
        <f>IF(A2021=A2022,_xll.ciqfunctions.udf.CIQ(A2013,"IQ_TOTAL_DEBT_REPAID",IQ_FY-3), _xll.ciqfunctions.udf.CIQ(A2013, "IQ_TOTAL_DEBT_REPAID",IQ_FY-2))</f>
        <v>-14.645</v>
      </c>
      <c r="O2020" s="15">
        <f t="shared" si="537"/>
        <v>-5.2029172430746021E-2</v>
      </c>
      <c r="P2020" s="15">
        <f t="shared" si="538"/>
        <v>1.6966250053174453E-2</v>
      </c>
      <c r="Q2020" s="18"/>
      <c r="R2020" s="39" t="s">
        <v>31</v>
      </c>
      <c r="S2020" s="5">
        <f>IF(NOT(D2013&gt;0),FALSE,SLOPE(G2013:G2023,B2013:B2023))</f>
        <v>0.60500090909090909</v>
      </c>
      <c r="U2020" s="18"/>
      <c r="V2020" s="39" t="s">
        <v>31</v>
      </c>
      <c r="W2020" s="5">
        <f>IF(NOT(D2013&gt;0),FALSE,SLOPE(G2013:G2023,B2013:B2023))</f>
        <v>0.60500090909090909</v>
      </c>
      <c r="Y2020" s="18"/>
      <c r="Z2020" s="39" t="s">
        <v>31</v>
      </c>
      <c r="AA2020" s="5">
        <f>IF(NOT(L2013&gt;0),FALSE,SLOPE(O2013:O2023,J2013:J2023))</f>
        <v>-5.4809616915499236E-3</v>
      </c>
    </row>
    <row r="2021" spans="1:27">
      <c r="A2021" s="19">
        <f>_xll.ciqfunctions.udf.CIQ(A2013,"IQ_TOTAL_REV",IQ_FY)</f>
        <v>624.95699999999999</v>
      </c>
      <c r="B2021" s="13">
        <v>9</v>
      </c>
      <c r="C2021" s="14" t="s">
        <v>32</v>
      </c>
      <c r="D2021" s="15" cm="1">
        <f t="array" ref="D2021">_xlfn.SINGLE(IF(A2021=A2022,_xll.ciqfunctions.udf.CIQ(A2013,"IQ_TOTAL_REV",IQ_FY-2)/I2021, _xll.ciqfunctions.udf.CIQ(A2013, "IQ_TOTAL_REV",IQ_FY-1)/I2021))</f>
        <v>4.8888117276958791</v>
      </c>
      <c r="E2021" s="16">
        <f t="shared" si="539"/>
        <v>0.30143339980654366</v>
      </c>
      <c r="F2021" s="15">
        <f>IF(A2021=A2022,_xll.ciqfunctions.udf.CIQ(A2013,"IQ_DILUT_EPS_EXCL",IQ_FY-2), _xll.ciqfunctions.udf.CIQ(A2013, "IQ_DILUT_EPS_EXCL",IQ_FY-1))</f>
        <v>0.12</v>
      </c>
      <c r="G2021" s="15">
        <f>IF(A2021=A2022,_xll.ciqfunctions.udf.CIQ(A2013,"IQ_EBITDA_MARGIN",IQ_FY-2), _xll.ciqfunctions.udf.CIQ(A2013, "IQ_EBITDA_MARGIN",IQ_FY-1))</f>
        <v>6.4168000000000003</v>
      </c>
      <c r="H2021" s="15">
        <f>IF(A2021=A2022,_xll.ciqfunctions.udf.CIQ(A2013,"IQ_TOTAL_DIV_PAID_CF",IQ_FY-2)/-I2021, _xll.ciqfunctions.udf.CIQ(A2013, "IQ_TOTAL_DIV_PAID_CF",IQ_FY-1)/-I2021)</f>
        <v>0</v>
      </c>
      <c r="I2021" s="17">
        <f>IF(A2021=A2022,_xll.ciqfunctions.udf.CIQ(A2013,"IQ_TOTAL_OUTSTANDING_FILING_DATE",IQ_FY-2), _xll.ciqfunctions.udf.CIQ(A2013, "IQ_TOTAL_OUTSTANDING_FILING_DATE",IQ_FY-1))</f>
        <v>103.73666</v>
      </c>
      <c r="J2021" s="17">
        <f>IF(A2021=A2022,_xll.ciqfunctions.udf.CIQ(A2013,"IQ_CASH_OPER",IQ_FY-2), _xll.ciqfunctions.udf.CIQ(A2013, "IQ_CASH_OPER",IQ_FY-1))</f>
        <v>41.017000000000003</v>
      </c>
      <c r="K2021" s="17">
        <f>IF(A2021=A2022,_xll.ciqfunctions.udf.CIQ(A2013,"IQ_CAPEX",IQ_FY-2), _xll.ciqfunctions.udf.CIQ(A2013, "IQ_CAPEX",IQ_FY-1))</f>
        <v>-12.975</v>
      </c>
      <c r="L2021" s="15">
        <f t="shared" si="536"/>
        <v>0.27031909452261138</v>
      </c>
      <c r="M2021" s="17">
        <f>IF(A2021=A2022,_xll.ciqfunctions.udf.CIQ(A2013,"IQ_TOTAL_DEBT_ISSUED",IQ_FY-2), _xll.ciqfunctions.udf.CIQ(A2013, "IQ_TOTAL_DEBT_ISSUED",IQ_FY-1))</f>
        <v>3.8610000000000002</v>
      </c>
      <c r="N2021" s="17">
        <f>IF(A2021=A2022,_xll.ciqfunctions.udf.CIQ(A2013,"IQ_TOTAL_DEBT_REPAID",IQ_FY-2), _xll.ciqfunctions.udf.CIQ(A2013, "IQ_TOTAL_DEBT_REPAID",IQ_FY-1))</f>
        <v>-6.1689999999999996</v>
      </c>
      <c r="O2021" s="15">
        <f t="shared" si="537"/>
        <v>-2.2248643825625379E-2</v>
      </c>
      <c r="P2021" s="15">
        <f t="shared" si="538"/>
        <v>0.24807045069698599</v>
      </c>
      <c r="Q2021" s="25" t="s">
        <v>33</v>
      </c>
      <c r="R2021" s="38" t="s">
        <v>52</v>
      </c>
      <c r="S2021" s="4">
        <f>(AVERAGE(O2018:O2023)/AVERAGE(P2018:P2023))</f>
        <v>12.826591938392376</v>
      </c>
      <c r="U2021" s="25" t="s">
        <v>54</v>
      </c>
      <c r="V2021" s="38" t="s">
        <v>52</v>
      </c>
      <c r="W2021" s="4">
        <f>(AVERAGE(O2018:O2023)/AVERAGE(P2018:P2023))</f>
        <v>12.826591938392376</v>
      </c>
      <c r="Y2021" s="25" t="s">
        <v>60</v>
      </c>
      <c r="Z2021" s="38" t="s">
        <v>52</v>
      </c>
      <c r="AA2021" s="4">
        <f>(AVERAGE(O2018:O2023)/AVERAGE(P2018:P2023))</f>
        <v>12.826591938392376</v>
      </c>
    </row>
    <row r="2022" spans="1:27">
      <c r="A2022" s="19">
        <f>_xll.ciqfunctions.udf.CIQ(A2013,"IQ_TOTAL_REV",IQ_LTM)</f>
        <v>605.149</v>
      </c>
      <c r="B2022" s="13">
        <v>10</v>
      </c>
      <c r="C2022" s="14" t="s">
        <v>34</v>
      </c>
      <c r="D2022" s="15" cm="1">
        <f t="array" ref="D2022">_xlfn.SINGLE(IF(A2021=A2022,_xll.ciqfunctions.udf.CIQ(A2013,"IQ_TOTAL_REV",IQ_FY-1)/I2022, _xll.ciqfunctions.udf.CIQ(A2013, "IQ_TOTAL_REV",IQ_FY)/I2022))</f>
        <v>5.626660429196976</v>
      </c>
      <c r="E2022" s="16">
        <f t="shared" si="539"/>
        <v>0.15092598009472713</v>
      </c>
      <c r="F2022" s="15">
        <f>IF(A2021=A2022,_xll.ciqfunctions.udf.CIQ(A2013,"IQ_DILUT_EPS_EXCL",IQ_FY-1), _xll.ciqfunctions.udf.CIQ(A2013, "IQ_DILUT_EPS_EXCL",IQ_FY))</f>
        <v>0.25</v>
      </c>
      <c r="G2022" s="15">
        <f>IF(A2021=A2022,_xll.ciqfunctions.udf.CIQ(A2013,"IQ_EBITDA_MARGIN",IQ_FY-1), _xll.ciqfunctions.udf.CIQ(A2013, "IQ_EBITDA_MARGIN",IQ_FY))</f>
        <v>9.8651</v>
      </c>
      <c r="H2022" s="15">
        <f>IF(A2021=A2022,_xll.ciqfunctions.udf.CIQ(A2013,"IQ_TOTAL_DIV_PAID_CF",IQ_FY-1)/-I2022, _xll.ciqfunctions.udf.CIQ(A2013, "IQ_TOTAL_DIV_PAID_CF",IQ_FY)/-I2022)</f>
        <v>0</v>
      </c>
      <c r="I2022" s="17">
        <f>IF(A2021=A2022,_xll.ciqfunctions.udf.CIQ(A2013,"IQ_TOTAL_OUTSTANDING_FILING_DATE",IQ_FY-1), _xll.ciqfunctions.udf.CIQ(A2013, "IQ_TOTAL_OUTSTANDING_FILING_DATE",IQ_FY))</f>
        <v>111.07068</v>
      </c>
      <c r="J2022" s="17">
        <f>IF(A2021=A2022,_xll.ciqfunctions.udf.CIQ(A2013,"IQ_CASH_OPER",IQ_FY-1), _xll.ciqfunctions.udf.CIQ(A2013, "IQ_CASH_OPER",IQ_FY))</f>
        <v>5.476</v>
      </c>
      <c r="K2022" s="17">
        <f>IF(A2021=A2022,_xll.ciqfunctions.udf.CIQ(A2013,"IQ_CAPEX",IQ_FY-1), _xll.ciqfunctions.udf.CIQ(A2013, "IQ_CAPEX",IQ_FY))</f>
        <v>-9.25</v>
      </c>
      <c r="L2022" s="15">
        <f t="shared" si="536"/>
        <v>-3.3978364047109466E-2</v>
      </c>
      <c r="M2022" s="17">
        <f>IF(A2021=A2022,_xll.ciqfunctions.udf.CIQ(A2013,"IQ_TOTAL_DEBT_ISSUED",IQ_FY-1), _xll.ciqfunctions.udf.CIQ(A2013, "IQ_TOTAL_DEBT_ISSUED",IQ_FY))</f>
        <v>3.4990000000000001</v>
      </c>
      <c r="N2022" s="17">
        <f>IF(A2021=A2022,_xll.ciqfunctions.udf.CIQ(A2013,"IQ_TOTAL_DEBT_REPAID",IQ_FY-1), _xll.ciqfunctions.udf.CIQ(A2013, "IQ_TOTAL_DEBT_REPAID",IQ_FY))</f>
        <v>-42.29</v>
      </c>
      <c r="O2022" s="15">
        <f t="shared" si="537"/>
        <v>-0.34924608366492399</v>
      </c>
      <c r="P2022" s="15">
        <f t="shared" si="538"/>
        <v>-0.38322444771203346</v>
      </c>
      <c r="Q2022" s="25" t="s">
        <v>44</v>
      </c>
      <c r="R2022" s="38" t="s">
        <v>35</v>
      </c>
      <c r="S2022" s="1">
        <f>_xll.ciqfunctions.udf.CIQ(A2013,"IQ_TEV_EBITDA")</f>
        <v>24.50177</v>
      </c>
      <c r="U2022" s="25" t="s">
        <v>55</v>
      </c>
      <c r="V2022" s="38" t="s">
        <v>53</v>
      </c>
      <c r="W2022" s="1">
        <f>V2012/(AVERAGE(D2018:D2023)/_xlfn.STDEV.P(E2018:E2023))</f>
        <v>0.33224641610772915</v>
      </c>
      <c r="Y2022" s="25" t="s">
        <v>57</v>
      </c>
      <c r="Z2022" s="38" t="s">
        <v>53</v>
      </c>
      <c r="AA2022" s="1">
        <f>Z2012/(AVERAGE(D2018:D2023)/_xlfn.STDEV.P(E2018:E2023))</f>
        <v>0.33224641610772915</v>
      </c>
    </row>
    <row r="2023" spans="1:27">
      <c r="B2023" s="13">
        <v>11</v>
      </c>
      <c r="C2023" s="20" t="s">
        <v>36</v>
      </c>
      <c r="D2023" s="21" cm="1">
        <f t="array" ref="D2023">_xlfn.SINGLE(IF(A2021=A2022,_xll.ciqfunctions.udf.CIQ(A2013,"IQ_TOTAL_REV",IQ_FY)/I2023, _xll.ciqfunctions.udf.CIQ(A2013, "IQ_TOTAL_REV",IQ_LTM)/I2023))</f>
        <v>5.3939689596027023</v>
      </c>
      <c r="E2023" s="22">
        <f t="shared" si="539"/>
        <v>-4.1355164848198039E-2</v>
      </c>
      <c r="F2023" s="21">
        <f>IF(A2021=A2022,_xll.ciqfunctions.udf.CIQ(A2013,"IQ_DILUT_EPS_EXCL",IQ_FY), _xll.ciqfunctions.udf.CIQ(A2013, "IQ_DILUT_EPS_EXCL",IQ_LTM))</f>
        <v>5.1560000000000002E-2</v>
      </c>
      <c r="G2023" s="21">
        <f>IF(A2021=A2022,_xll.ciqfunctions.udf.CIQ(A2013,"IQ_EBITDA_MARGIN",IQ_FY), _xll.ciqfunctions.udf.CIQ(A2013, "IQ_EBITDA_MARGIN",IQ_LTM))</f>
        <v>7.3368000000000002</v>
      </c>
      <c r="H2023" s="21">
        <f>IF(A2021=A2022,_xll.ciqfunctions.udf.CIQ(A2013,"IQ_TOTAL_DIV_PAID_CF",IQ_FY)/-I2023, _xll.ciqfunctions.udf.CIQ(A2013, "IQ_TOTAL_DIV_PAID_CF",IQ_LTM)/-I2023)</f>
        <v>0</v>
      </c>
      <c r="I2023" s="23">
        <f>IF(A2021=A2022,_xll.ciqfunctions.udf.CIQ(A2013,"IQ_TOTAL_OUTSTANDING_FILING_DATE",IQ_FY),_xll.ciqfunctions.udf.CIQ(A2013,"IQ_sharesoutstanding"))</f>
        <v>112.18993</v>
      </c>
      <c r="J2023" s="23">
        <f>IF(A2021=A2022,_xll.ciqfunctions.udf.CIQ(A2013,"IQ_CASH_OPER",IQ_FY), _xll.ciqfunctions.udf.CIQ(A2013, "IQ_CASH_OPER",IQ_LTM))</f>
        <v>20.143000000000001</v>
      </c>
      <c r="K2023" s="23">
        <f>IF(A2021=A2022,_xll.ciqfunctions.udf.CIQ(A2013,"IQ_CAPEX",IQ_FY), _xll.ciqfunctions.udf.CIQ(A2013, "IQ_CAPEX",IQ_LTM))</f>
        <v>-7.61</v>
      </c>
      <c r="L2023" s="21">
        <f t="shared" si="536"/>
        <v>0.11171234352316647</v>
      </c>
      <c r="M2023" s="23">
        <f>IF(A2021=A2022,_xll.ciqfunctions.udf.CIQ(A2013,"IQ_TOTAL_DEBT_ISSUED",IQ_FY), _xll.ciqfunctions.udf.CIQ(A2013, "IQ_TOTAL_DEBT_ISSUED",IQ_LTM))</f>
        <v>3.8290000000000002</v>
      </c>
      <c r="N2023" s="23">
        <f>IF(A2021=A2022,_xll.ciqfunctions.udf.CIQ(A2013,"IQ_TOTAL_DEBT_REPAID",IQ_FY), _xll.ciqfunctions.udf.CIQ(A2013, "IQ_TOTAL_DEBT_REPAID",IQ_LTM))</f>
        <v>-42.530999999999999</v>
      </c>
      <c r="O2023" s="21">
        <f t="shared" si="537"/>
        <v>-0.34496857249131002</v>
      </c>
      <c r="P2023" s="21">
        <f t="shared" si="538"/>
        <v>-0.23325622896814355</v>
      </c>
      <c r="Q2023" s="25" t="s">
        <v>45</v>
      </c>
      <c r="S2023" s="45"/>
      <c r="U2023" s="25"/>
      <c r="W2023" s="45"/>
      <c r="Y2023" s="25"/>
      <c r="AA2023" s="45"/>
    </row>
    <row r="2024" spans="1:27">
      <c r="B2024" s="24"/>
      <c r="C2024" s="25" t="s">
        <v>37</v>
      </c>
      <c r="E2024" s="26">
        <f>((D2023/D2018)^(1/5))-1</f>
        <v>3.4580670273781422E-2</v>
      </c>
      <c r="F2024" s="27">
        <f>((F2023/F2018)^(1/5))-1</f>
        <v>-1.7317876665513401</v>
      </c>
      <c r="G2024" s="28"/>
      <c r="H2024" s="27" t="e">
        <f>((H2023/H2018)^(1/5))-1</f>
        <v>#DIV/0!</v>
      </c>
      <c r="I2024" s="27">
        <f>((I2023/I2018)^(1/5))-1</f>
        <v>4.8158382358531648E-2</v>
      </c>
      <c r="J2024" s="27"/>
      <c r="K2024" s="27"/>
      <c r="L2024" s="26">
        <f>((L2023/L2018)^(1/5))-1</f>
        <v>0.13584177811973497</v>
      </c>
      <c r="M2024" s="26"/>
      <c r="N2024" s="26"/>
      <c r="O2024" s="26"/>
      <c r="P2024" s="26">
        <f>((P2023/P2018)^(1/5))-1</f>
        <v>-2.4548195520432197</v>
      </c>
      <c r="Q2024" s="18"/>
      <c r="R2024" s="36"/>
      <c r="S2024" s="45"/>
      <c r="U2024" s="18"/>
      <c r="V2024" s="36"/>
      <c r="W2024" s="45"/>
      <c r="Y2024" s="18"/>
      <c r="Z2024" s="36"/>
      <c r="AA2024" s="45"/>
    </row>
    <row r="2025" spans="1:27">
      <c r="A2025" s="29"/>
      <c r="B2025" s="30"/>
      <c r="C2025" s="31" t="s">
        <v>38</v>
      </c>
      <c r="D2025" s="29"/>
      <c r="E2025" s="32">
        <f>((D2023/D2013)^(1/10))-1</f>
        <v>1.4137906007323009E-2</v>
      </c>
      <c r="F2025" s="33">
        <f>((F2023/F2013)^(1/10))-1</f>
        <v>-0.12677071634649517</v>
      </c>
      <c r="G2025" s="34"/>
      <c r="H2025" s="33" t="e">
        <f>((H2023/H2013)^(1/10))-1</f>
        <v>#DIV/0!</v>
      </c>
      <c r="I2025" s="33">
        <f>((I2023/I2013)^(1/10))-1</f>
        <v>1.3049482662895739E-2</v>
      </c>
      <c r="J2025" s="33"/>
      <c r="K2025" s="33"/>
      <c r="L2025" s="32">
        <f>((L2023/L2013)^(1/10))-1</f>
        <v>-0.11921356250382109</v>
      </c>
      <c r="M2025" s="32"/>
      <c r="N2025" s="32"/>
      <c r="O2025" s="32"/>
      <c r="P2025" s="32" t="e">
        <f>((P2023/P2013)^(1/10))-1</f>
        <v>#NUM!</v>
      </c>
      <c r="Q2025" s="40"/>
      <c r="R2025" s="41"/>
      <c r="S2025" s="46"/>
      <c r="U2025" s="40"/>
      <c r="V2025" s="41"/>
      <c r="W2025" s="46"/>
      <c r="Y2025" s="40"/>
      <c r="Z2025" s="41"/>
      <c r="AA2025" s="46"/>
    </row>
    <row r="2026" spans="1:27">
      <c r="B2026" s="24"/>
      <c r="C2026" s="25"/>
      <c r="E2026" s="26"/>
      <c r="F2026" s="27"/>
      <c r="G2026" s="28"/>
      <c r="H2026" s="27"/>
      <c r="I2026" s="27"/>
      <c r="J2026" s="27"/>
      <c r="K2026" s="27"/>
      <c r="L2026" s="26"/>
      <c r="M2026" s="17"/>
      <c r="N2026" s="17"/>
      <c r="O2026" s="17"/>
      <c r="P2026" s="35"/>
      <c r="Q2026" s="18"/>
      <c r="R2026" s="36"/>
    </row>
    <row r="2027" spans="1:27">
      <c r="A2027" s="9" t="s">
        <v>0</v>
      </c>
      <c r="B2027" s="10"/>
      <c r="C2027" s="9" t="s">
        <v>1</v>
      </c>
      <c r="D2027" s="9" t="s">
        <v>2</v>
      </c>
      <c r="E2027" s="9" t="s">
        <v>3</v>
      </c>
      <c r="F2027" s="11" t="s">
        <v>4</v>
      </c>
      <c r="G2027" s="11" t="s">
        <v>5</v>
      </c>
      <c r="H2027" s="9" t="s">
        <v>6</v>
      </c>
      <c r="I2027" s="11" t="s">
        <v>7</v>
      </c>
      <c r="J2027" s="11" t="s">
        <v>8</v>
      </c>
      <c r="K2027" s="11" t="s">
        <v>9</v>
      </c>
      <c r="L2027" s="11" t="s">
        <v>10</v>
      </c>
      <c r="M2027" s="11" t="s">
        <v>11</v>
      </c>
      <c r="N2027" s="11" t="s">
        <v>12</v>
      </c>
      <c r="O2027" s="11" t="s">
        <v>13</v>
      </c>
      <c r="P2027" s="11" t="s">
        <v>14</v>
      </c>
      <c r="Q2027" s="37" t="s">
        <v>15</v>
      </c>
      <c r="R2027" s="42">
        <f>_xll.ciqfunctions.udf.CIQ(A2028,("IQ_LASTSALEPRICE"))</f>
        <v>39.35</v>
      </c>
      <c r="S2027" s="44"/>
      <c r="U2027" s="37" t="s">
        <v>15</v>
      </c>
      <c r="V2027" s="42">
        <f>_xll.ciqfunctions.udf.CIQ(A2028,("IQ_LASTSALEPRICE"))</f>
        <v>39.35</v>
      </c>
      <c r="W2027" s="44"/>
      <c r="Y2027" s="37" t="s">
        <v>15</v>
      </c>
      <c r="Z2027" s="42">
        <f>_xll.ciqfunctions.udf.CIQ(A2028,("IQ_LASTSALEPRICE"))</f>
        <v>39.35</v>
      </c>
      <c r="AA2027" s="44"/>
    </row>
    <row r="2028" spans="1:27">
      <c r="A2028" s="12" t="str">
        <f>Analysis!B137</f>
        <v>NYSE:CTS</v>
      </c>
      <c r="B2028" s="13">
        <v>1</v>
      </c>
      <c r="C2028" s="14" t="s">
        <v>16</v>
      </c>
      <c r="D2028" s="15">
        <f>IF(A2036=A2037,_xll.ciqfunctions.udf.CIQ(A2028,"IQ_TOTAL_REV",IQ_FY-10)/I2028,_xll.ciqfunctions.udf.CIQ(A2028, "IQ_TOTAL_REV",IQ_FY-9)/I2028)</f>
        <v>12.144523810724325</v>
      </c>
      <c r="E2028" s="16"/>
      <c r="F2028" s="15">
        <f>IF(A2036=A2037,_xll.ciqfunctions.udf.CIQ(A2028,"IQ_DILUT_EPS_EXCL",IQ_FY-10), _xll.ciqfunctions.udf.CIQ(A2028, "IQ_DILUT_EPS_EXCL",IQ_FY-9))</f>
        <v>5.9429999999999997E-2</v>
      </c>
      <c r="G2028" s="15">
        <f>IF(A2036=A2037,_xll.ciqfunctions.udf.CIQ(A2028,"IQ_EBITDA_MARGIN",IQ_FY-10), _xll.ciqfunctions.udf.CIQ(A2028, "IQ_EBITDA_MARGIN",IQ_FY-9))</f>
        <v>12.431900000000001</v>
      </c>
      <c r="H2028" s="15">
        <f>IF(A2036=A2037,_xll.ciqfunctions.udf.CIQ(A2028,"IQ_TOTAL_DIV_PAID_CF",IQ_FY-10)/-I2028, _xll.ciqfunctions.udf.CIQ(A2028, "IQ_TOTAL_DIV_PAID_CF",IQ_FY-9)/-I2028)</f>
        <v>0.1445617752447006</v>
      </c>
      <c r="I2028" s="17">
        <f>IF(A2036=A2037,_xll.ciqfunctions.udf.CIQ(A2028,"IQ_TOTAL_OUTSTANDING_FILING_DATE",IQ_FY-10), _xll.ciqfunctions.udf.CIQ(A2028, "IQ_TOTAL_OUTSTANDING_FILING_DATE",IQ_FY-9))</f>
        <v>33.715690000000002</v>
      </c>
      <c r="J2028" s="17">
        <f>IF(A2036=A2037,_xll.ciqfunctions.udf.CIQ(A2028,"IQ_CASH_OPER",IQ_FY-10), _xll.ciqfunctions.udf.CIQ(A2028, "IQ_CASH_OPER",IQ_FY-9))</f>
        <v>37.570999999999998</v>
      </c>
      <c r="K2028" s="17">
        <f>IF(A2036=A2037,_xll.ciqfunctions.udf.CIQ(A2028,"IQ_CAPEX",IQ_FY-10), _xll.ciqfunctions.udf.CIQ(A2028, "IQ_CAPEX",IQ_FY-9))</f>
        <v>-13.981999999999999</v>
      </c>
      <c r="L2028" s="15">
        <f t="shared" ref="L2028:L2038" si="540">(J2028+K2028)/I2028</f>
        <v>0.69964458683775999</v>
      </c>
      <c r="M2028" s="17">
        <f>IF(A2036=A2037,_xll.ciqfunctions.udf.CIQ(A2028,"IQ_TOTAL_DEBT_ISSUED",IQ_FY-10), _xll.ciqfunctions.udf.CIQ(A2028, "IQ_TOTAL_DEBT_ISSUED",IQ_FY-9))</f>
        <v>3788.2179999999998</v>
      </c>
      <c r="N2028" s="17">
        <f>IF(A2036=A2037,_xll.ciqfunctions.udf.CIQ(A2028,"IQ_TOTAL_DEBT_REPAID",IQ_FY-10), _xll.ciqfunctions.udf.CIQ(A2028, "IQ_TOTAL_DEBT_REPAID",IQ_FY-9))</f>
        <v>-3866.7179999999998</v>
      </c>
      <c r="O2028" s="15">
        <f t="shared" ref="O2028:O2038" si="541">(M2028+N2028)/I2028</f>
        <v>-2.3282928511918337</v>
      </c>
      <c r="P2028" s="15">
        <f t="shared" ref="P2028:P2038" si="542">L2028+O2028</f>
        <v>-1.6286482643540738</v>
      </c>
      <c r="W2028" s="43"/>
      <c r="AA2028" s="43"/>
    </row>
    <row r="2029" spans="1:27">
      <c r="A2029" s="18" t="str">
        <f>_xll.ciqfunctions.udf.CIQ(A2028,"IQ_COMPANY_NAME")</f>
        <v>CTS Corporation</v>
      </c>
      <c r="B2029" s="13">
        <v>2</v>
      </c>
      <c r="C2029" s="14" t="s">
        <v>17</v>
      </c>
      <c r="D2029" s="15">
        <f>IF(A2036=A2037,_xll.ciqfunctions.udf.CIQ(A2028,"IQ_TOTAL_REV",IQ_FY-9)/I2029, _xll.ciqfunctions.udf.CIQ(A2028, "IQ_TOTAL_REV",IQ_FY-8)/I2029)</f>
        <v>12.080779133871101</v>
      </c>
      <c r="E2029" s="16">
        <f t="shared" ref="E2029:E2038" si="543">(D2029-D2028)/D2028</f>
        <v>-5.2488411935043234E-3</v>
      </c>
      <c r="F2029" s="15">
        <f>IF(A2036=A2037,_xll.ciqfunctions.udf.CIQ(A2028,"IQ_DILUT_EPS_EXCL",IQ_FY-9), _xll.ciqfunctions.udf.CIQ(A2028, "IQ_DILUT_EPS_EXCL",IQ_FY-8))</f>
        <v>0.78</v>
      </c>
      <c r="G2029" s="15">
        <f>IF(A2036=A2037,_xll.ciqfunctions.udf.CIQ(A2028,"IQ_EBITDA_MARGIN",IQ_FY-9), _xll.ciqfunctions.udf.CIQ(A2028, "IQ_EBITDA_MARGIN",IQ_FY-8))</f>
        <v>16.151299999999999</v>
      </c>
      <c r="H2029" s="15">
        <f>IF(A2036=A2037,_xll.ciqfunctions.udf.CIQ(A2028,"IQ_TOTAL_DIV_PAID_CF",IQ_FY-9)/-I2029, _xll.ciqfunctions.udf.CIQ(A2028, "IQ_TOTAL_DIV_PAID_CF",IQ_FY-8)/-I2029)</f>
        <v>0.16068993212091276</v>
      </c>
      <c r="I2029" s="17">
        <f>IF(A2036=A2037,_xll.ciqfunctions.udf.CIQ(A2028,"IQ_TOTAL_OUTSTANDING_FILING_DATE",IQ_FY-9), _xll.ciqfunctions.udf.CIQ(A2028, "IQ_TOTAL_OUTSTANDING_FILING_DATE",IQ_FY-8))</f>
        <v>33.443289999999998</v>
      </c>
      <c r="J2029" s="17">
        <f>IF(A2036=A2037,_xll.ciqfunctions.udf.CIQ(A2028,"IQ_CASH_OPER",IQ_FY-9), _xll.ciqfunctions.udf.CIQ(A2028, "IQ_CASH_OPER",IQ_FY-8))</f>
        <v>33.348999999999997</v>
      </c>
      <c r="K2029" s="17">
        <f>IF(A2036=A2037,_xll.ciqfunctions.udf.CIQ(A2028,"IQ_CAPEX",IQ_FY-9), _xll.ciqfunctions.udf.CIQ(A2028, "IQ_CAPEX",IQ_FY-8))</f>
        <v>-12.949</v>
      </c>
      <c r="L2029" s="15">
        <f t="shared" si="540"/>
        <v>0.60998783313483806</v>
      </c>
      <c r="M2029" s="17">
        <f>IF(A2036=A2037,_xll.ciqfunctions.udf.CIQ(A2028,"IQ_TOTAL_DEBT_ISSUED",IQ_FY-9), _xll.ciqfunctions.udf.CIQ(A2028, "IQ_TOTAL_DEBT_ISSUED",IQ_FY-8))</f>
        <v>1031.01</v>
      </c>
      <c r="N2029" s="17">
        <f>IF(A2036=A2037,_xll.ciqfunctions.udf.CIQ(A2028,"IQ_TOTAL_DEBT_REPAID",IQ_FY-9), _xll.ciqfunctions.udf.CIQ(A2028, "IQ_TOTAL_DEBT_REPAID",IQ_FY-8))</f>
        <v>-1031.01</v>
      </c>
      <c r="O2029" s="15">
        <f t="shared" si="541"/>
        <v>0</v>
      </c>
      <c r="P2029" s="15">
        <f t="shared" si="542"/>
        <v>0.60998783313483806</v>
      </c>
      <c r="Q2029" s="25" t="s">
        <v>18</v>
      </c>
      <c r="R2029" s="39" t="s">
        <v>19</v>
      </c>
      <c r="S2029" s="1">
        <f>R2027/((AVERAGE(P2033:P2038))*(1+E2039)^3)</f>
        <v>17.366258186283222</v>
      </c>
      <c r="U2029" s="25" t="s">
        <v>48</v>
      </c>
      <c r="V2029" s="39" t="s">
        <v>19</v>
      </c>
      <c r="W2029" s="1">
        <f>V2027/((AVERAGE(P2033:P2038))*(1+E2039)^3)</f>
        <v>17.366258186283222</v>
      </c>
      <c r="Y2029" s="25" t="s">
        <v>39</v>
      </c>
      <c r="Z2029" s="39" t="s">
        <v>19</v>
      </c>
      <c r="AA2029" s="1">
        <f>Z2027/((AVERAGE(P2033:P2038))*(1+E2039)^3)</f>
        <v>17.366258186283222</v>
      </c>
    </row>
    <row r="2030" spans="1:27">
      <c r="B2030" s="13">
        <v>3</v>
      </c>
      <c r="C2030" s="14" t="s">
        <v>20</v>
      </c>
      <c r="D2030" s="15" cm="1">
        <f t="array" ref="D2030">_xlfn.SINGLE(IF(A2036=A2037,_xll.ciqfunctions.udf.CIQ(A2028,"IQ_TOTAL_REV",IQ_FY-8)/I2030, _xll.ciqfunctions.udf.CIQ(A2028, "IQ_TOTAL_REV",IQ_FY-7)/I2030))</f>
        <v>11.736246801626393</v>
      </c>
      <c r="E2030" s="16">
        <f t="shared" si="543"/>
        <v>-2.8519049013878233E-2</v>
      </c>
      <c r="F2030" s="15">
        <f>IF(A2036=A2037,_xll.ciqfunctions.udf.CIQ(A2028,"IQ_DILUT_EPS_EXCL",IQ_FY-8), _xll.ciqfunctions.udf.CIQ(A2028, "IQ_DILUT_EPS_EXCL",IQ_FY-7))</f>
        <v>0.21</v>
      </c>
      <c r="G2030" s="15">
        <f>IF(A2036=A2037,_xll.ciqfunctions.udf.CIQ(A2028,"IQ_EBITDA_MARGIN",IQ_FY-8), _xll.ciqfunctions.udf.CIQ(A2028, "IQ_EBITDA_MARGIN",IQ_FY-7))</f>
        <v>16.203299999999999</v>
      </c>
      <c r="H2030" s="15">
        <f>IF(A2036=A2037,_xll.ciqfunctions.udf.CIQ(A2028,"IQ_TOTAL_DIV_PAID_CF",IQ_FY-8)/-I2030, _xll.ciqfunctions.udf.CIQ(A2028, "IQ_TOTAL_DIV_PAID_CF",IQ_FY-7)/-I2030)</f>
        <v>0.16242442475322447</v>
      </c>
      <c r="I2030" s="17">
        <f>IF(A2036=A2037,_xll.ciqfunctions.udf.CIQ(A2028,"IQ_TOTAL_OUTSTANDING_FILING_DATE",IQ_FY-8), _xll.ciqfunctions.udf.CIQ(A2028, "IQ_TOTAL_OUTSTANDING_FILING_DATE",IQ_FY-7))</f>
        <v>32.575150000000001</v>
      </c>
      <c r="J2030" s="17">
        <f>IF(A2036=A2037,_xll.ciqfunctions.udf.CIQ(A2028,"IQ_CASH_OPER",IQ_FY-8), _xll.ciqfunctions.udf.CIQ(A2028, "IQ_CASH_OPER",IQ_FY-7))</f>
        <v>39.151000000000003</v>
      </c>
      <c r="K2030" s="17">
        <f>IF(A2036=A2037,_xll.ciqfunctions.udf.CIQ(A2028,"IQ_CAPEX",IQ_FY-8), _xll.ciqfunctions.udf.CIQ(A2028, "IQ_CAPEX",IQ_FY-7))</f>
        <v>-9.7230000000000008</v>
      </c>
      <c r="L2030" s="15">
        <f t="shared" si="540"/>
        <v>0.90338801202757324</v>
      </c>
      <c r="M2030" s="17">
        <f>IF(A2036=A2037,_xll.ciqfunctions.udf.CIQ(A2028,"IQ_TOTAL_DEBT_ISSUED",IQ_FY-8), _xll.ciqfunctions.udf.CIQ(A2028, "IQ_TOTAL_DEBT_ISSUED",IQ_FY-7))</f>
        <v>1359.364</v>
      </c>
      <c r="N2030" s="17">
        <f>IF(A2036=A2037,_xll.ciqfunctions.udf.CIQ(A2028,"IQ_TOTAL_DEBT_REPAID",IQ_FY-8), _xll.ciqfunctions.udf.CIQ(A2028, "IQ_TOTAL_DEBT_REPAID",IQ_FY-7))</f>
        <v>-1343.664</v>
      </c>
      <c r="O2030" s="15">
        <f t="shared" si="541"/>
        <v>0.48196247753272187</v>
      </c>
      <c r="P2030" s="15">
        <f t="shared" si="542"/>
        <v>1.3853504895602951</v>
      </c>
      <c r="Q2030" s="25" t="s">
        <v>21</v>
      </c>
      <c r="R2030" s="38" t="s">
        <v>49</v>
      </c>
      <c r="S2030" s="2">
        <f>(R2027*I2038)/1000</f>
        <v>1.2260684805000002</v>
      </c>
      <c r="U2030" s="25" t="s">
        <v>59</v>
      </c>
      <c r="V2030" s="38" t="s">
        <v>49</v>
      </c>
      <c r="W2030" s="2">
        <f>(V2027*I2038)/1000</f>
        <v>1.2260684805000002</v>
      </c>
      <c r="Y2030" s="25" t="s">
        <v>46</v>
      </c>
      <c r="Z2030" s="38" t="s">
        <v>49</v>
      </c>
      <c r="AA2030" s="2">
        <f>(Z2027*I2038)/1000</f>
        <v>1.2260684805000002</v>
      </c>
    </row>
    <row r="2031" spans="1:27">
      <c r="A2031" s="18"/>
      <c r="B2031" s="13">
        <v>4</v>
      </c>
      <c r="C2031" s="14" t="s">
        <v>22</v>
      </c>
      <c r="D2031" s="15" cm="1">
        <f t="array" ref="D2031">_xlfn.SINGLE(IF(A2036=A2037,_xll.ciqfunctions.udf.CIQ(A2028,"IQ_TOTAL_REV",IQ_FY-7)/I2031, _xll.ciqfunctions.udf.CIQ(A2028, "IQ_TOTAL_REV",IQ_FY-6)/I2031))</f>
        <v>12.107718308345916</v>
      </c>
      <c r="E2031" s="16">
        <f t="shared" si="543"/>
        <v>3.1651644090174118E-2</v>
      </c>
      <c r="F2031" s="15">
        <f>IF(A2036=A2037,_xll.ciqfunctions.udf.CIQ(A2028,"IQ_DILUT_EPS_EXCL",IQ_FY-7), _xll.ciqfunctions.udf.CIQ(A2028, "IQ_DILUT_EPS_EXCL",IQ_FY-6))</f>
        <v>1.03</v>
      </c>
      <c r="G2031" s="15">
        <f>IF(A2036=A2037,_xll.ciqfunctions.udf.CIQ(A2028,"IQ_EBITDA_MARGIN",IQ_FY-7), _xll.ciqfunctions.udf.CIQ(A2028, "IQ_EBITDA_MARGIN",IQ_FY-6))</f>
        <v>18.795999999999999</v>
      </c>
      <c r="H2031" s="15">
        <f>IF(A2036=A2037,_xll.ciqfunctions.udf.CIQ(A2028,"IQ_TOTAL_DIV_PAID_CF",IQ_FY-7)/-I2031, _xll.ciqfunctions.udf.CIQ(A2028, "IQ_TOTAL_DIV_PAID_CF",IQ_FY-6)/-I2031)</f>
        <v>0.15975586715173359</v>
      </c>
      <c r="I2031" s="17">
        <f>IF(A2036=A2037,_xll.ciqfunctions.udf.CIQ(A2028,"IQ_TOTAL_OUTSTANDING_FILING_DATE",IQ_FY-7), _xll.ciqfunctions.udf.CIQ(A2028, "IQ_TOTAL_OUTSTANDING_FILING_DATE",IQ_FY-6))</f>
        <v>32.76249</v>
      </c>
      <c r="J2031" s="17">
        <f>IF(A2036=A2037,_xll.ciqfunctions.udf.CIQ(A2028,"IQ_CASH_OPER",IQ_FY-7), _xll.ciqfunctions.udf.CIQ(A2028, "IQ_CASH_OPER",IQ_FY-6))</f>
        <v>47.201999999999998</v>
      </c>
      <c r="K2031" s="17">
        <f>IF(A2036=A2037,_xll.ciqfunctions.udf.CIQ(A2028,"IQ_CAPEX",IQ_FY-7), _xll.ciqfunctions.udf.CIQ(A2028, "IQ_CAPEX",IQ_FY-6))</f>
        <v>-20.5</v>
      </c>
      <c r="L2031" s="15">
        <f t="shared" si="540"/>
        <v>0.81501741778478987</v>
      </c>
      <c r="M2031" s="17">
        <f>IF(A2036=A2037,_xll.ciqfunctions.udf.CIQ(A2028,"IQ_TOTAL_DEBT_ISSUED",IQ_FY-7), _xll.ciqfunctions.udf.CIQ(A2028, "IQ_TOTAL_DEBT_ISSUED",IQ_FY-6))</f>
        <v>2456.8000000000002</v>
      </c>
      <c r="N2031" s="17">
        <f>IF(A2036=A2037,_xll.ciqfunctions.udf.CIQ(A2028,"IQ_TOTAL_DEBT_REPAID",IQ_FY-7), _xll.ciqfunctions.udf.CIQ(A2028, "IQ_TOTAL_DEBT_REPAID",IQ_FY-6))</f>
        <v>-2458.4</v>
      </c>
      <c r="O2031" s="15">
        <f t="shared" si="541"/>
        <v>-4.8836336920664733E-2</v>
      </c>
      <c r="P2031" s="15">
        <f t="shared" si="542"/>
        <v>0.76618108086412517</v>
      </c>
      <c r="Q2031" s="25" t="s">
        <v>23</v>
      </c>
      <c r="R2031" s="38" t="s">
        <v>24</v>
      </c>
      <c r="S2031" s="1">
        <f>R2027/(AVERAGE(H2033:H2038)*(1+H2039)/(0.5-H2039))</f>
        <v>121.33173987918305</v>
      </c>
      <c r="U2031" s="25" t="s">
        <v>40</v>
      </c>
      <c r="V2031" s="38" t="s">
        <v>24</v>
      </c>
      <c r="W2031" s="1">
        <f>V2027/(AVERAGE(H2033:H2038)*(1+H2039)/(0.5-H2039))</f>
        <v>121.33173987918305</v>
      </c>
      <c r="Y2031" s="25" t="s">
        <v>47</v>
      </c>
      <c r="Z2031" s="38" t="s">
        <v>24</v>
      </c>
      <c r="AA2031" s="1">
        <f>Z2027/(AVERAGE(H2033:H2038)*(1+H2039)/(0.5-H2039))</f>
        <v>121.33173987918305</v>
      </c>
    </row>
    <row r="2032" spans="1:27">
      <c r="B2032" s="13">
        <v>5</v>
      </c>
      <c r="C2032" s="14" t="s">
        <v>25</v>
      </c>
      <c r="D2032" s="15" cm="1">
        <f t="array" ref="D2032">_xlfn.SINGLE(IF(A2036=A2037,_xll.ciqfunctions.udf.CIQ(A2028,"IQ_TOTAL_REV",IQ_FY-6)/I2032, _xll.ciqfunctions.udf.CIQ(A2028, "IQ_TOTAL_REV",IQ_FY-5)/I2032))</f>
        <v>12.841914029400879</v>
      </c>
      <c r="E2032" s="16">
        <f t="shared" si="543"/>
        <v>6.0638652333766134E-2</v>
      </c>
      <c r="F2032" s="15">
        <f>IF(A2036=A2037,_xll.ciqfunctions.udf.CIQ(A2028,"IQ_DILUT_EPS_EXCL",IQ_FY-6), _xll.ciqfunctions.udf.CIQ(A2028, "IQ_DILUT_EPS_EXCL",IQ_FY-5))</f>
        <v>0.43</v>
      </c>
      <c r="G2032" s="15">
        <f>IF(A2036=A2037,_xll.ciqfunctions.udf.CIQ(A2028,"IQ_EBITDA_MARGIN",IQ_FY-6), _xll.ciqfunctions.udf.CIQ(A2028, "IQ_EBITDA_MARGIN",IQ_FY-5))</f>
        <v>15.134</v>
      </c>
      <c r="H2032" s="15">
        <f>IF(A2036=A2037,_xll.ciqfunctions.udf.CIQ(A2028,"IQ_TOTAL_DIV_PAID_CF",IQ_FY-6)/-I2032, _xll.ciqfunctions.udf.CIQ(A2028, "IQ_TOTAL_DIV_PAID_CF",IQ_FY-5)/-I2032)</f>
        <v>0.15969169181203619</v>
      </c>
      <c r="I2032" s="17">
        <f>IF(A2036=A2037,_xll.ciqfunctions.udf.CIQ(A2028,"IQ_TOTAL_OUTSTANDING_FILING_DATE",IQ_FY-6), _xll.ciqfunctions.udf.CIQ(A2028, "IQ_TOTAL_OUTSTANDING_FILING_DATE",IQ_FY-5))</f>
        <v>32.938470000000002</v>
      </c>
      <c r="J2032" s="17">
        <f>IF(A2036=A2037,_xll.ciqfunctions.udf.CIQ(A2028,"IQ_CASH_OPER",IQ_FY-6), _xll.ciqfunctions.udf.CIQ(A2028, "IQ_CASH_OPER",IQ_FY-5))</f>
        <v>58.048000000000002</v>
      </c>
      <c r="K2032" s="17">
        <f>IF(A2036=A2037,_xll.ciqfunctions.udf.CIQ(A2028,"IQ_CAPEX",IQ_FY-6), _xll.ciqfunctions.udf.CIQ(A2028, "IQ_CAPEX",IQ_FY-5))</f>
        <v>-18.094000000000001</v>
      </c>
      <c r="L2032" s="15">
        <f t="shared" si="540"/>
        <v>1.2129889457524894</v>
      </c>
      <c r="M2032" s="17">
        <f>IF(A2036=A2037,_xll.ciqfunctions.udf.CIQ(A2028,"IQ_TOTAL_DEBT_ISSUED",IQ_FY-6), _xll.ciqfunctions.udf.CIQ(A2028, "IQ_TOTAL_DEBT_ISSUED",IQ_FY-5))</f>
        <v>1505.4</v>
      </c>
      <c r="N2032" s="17">
        <f>IF(A2036=A2037,_xll.ciqfunctions.udf.CIQ(A2028,"IQ_TOTAL_DEBT_REPAID",IQ_FY-6), _xll.ciqfunctions.udf.CIQ(A2028, "IQ_TOTAL_DEBT_REPAID",IQ_FY-5))</f>
        <v>-1519.35</v>
      </c>
      <c r="O2032" s="15">
        <f t="shared" si="541"/>
        <v>-0.42351693931138323</v>
      </c>
      <c r="P2032" s="15">
        <f t="shared" si="542"/>
        <v>0.78947200644110616</v>
      </c>
      <c r="Q2032" s="18"/>
      <c r="R2032" s="38" t="s">
        <v>50</v>
      </c>
      <c r="S2032" s="3">
        <f>I2039</f>
        <v>-9.8213172306461649E-3</v>
      </c>
      <c r="U2032" s="18"/>
      <c r="V2032" s="38" t="s">
        <v>50</v>
      </c>
      <c r="W2032" s="3">
        <f>I2039</f>
        <v>-9.8213172306461649E-3</v>
      </c>
      <c r="Y2032" s="18"/>
      <c r="Z2032" s="38" t="s">
        <v>50</v>
      </c>
      <c r="AA2032" s="3">
        <f>I2039</f>
        <v>-9.8213172306461649E-3</v>
      </c>
    </row>
    <row r="2033" spans="1:27">
      <c r="B2033" s="13">
        <v>6</v>
      </c>
      <c r="C2033" s="14" t="s">
        <v>26</v>
      </c>
      <c r="D2033" s="15" cm="1">
        <f t="array" ref="D2033">_xlfn.SINGLE(IF(A2036=A2037,_xll.ciqfunctions.udf.CIQ(A2028,"IQ_TOTAL_REV",IQ_FY-5)/I2033, _xll.ciqfunctions.udf.CIQ(A2028, "IQ_TOTAL_REV",IQ_FY-4)/I2033))</f>
        <v>14.372814023729902</v>
      </c>
      <c r="E2033" s="16">
        <f t="shared" si="543"/>
        <v>0.11921120098017386</v>
      </c>
      <c r="F2033" s="15">
        <f>IF(A2036=A2037,_xll.ciqfunctions.udf.CIQ(A2028,"IQ_DILUT_EPS_EXCL",IQ_FY-5), _xll.ciqfunctions.udf.CIQ(A2028, "IQ_DILUT_EPS_EXCL",IQ_FY-4))</f>
        <v>1.39</v>
      </c>
      <c r="G2033" s="15">
        <f>IF(A2036=A2037,_xll.ciqfunctions.udf.CIQ(A2028,"IQ_EBITDA_MARGIN",IQ_FY-5), _xll.ciqfunctions.udf.CIQ(A2028, "IQ_EBITDA_MARGIN",IQ_FY-4))</f>
        <v>18.7545</v>
      </c>
      <c r="H2033" s="15">
        <f>IF(A2036=A2037,_xll.ciqfunctions.udf.CIQ(A2028,"IQ_TOTAL_DIV_PAID_CF",IQ_FY-5)/-I2033, _xll.ciqfunctions.udf.CIQ(A2028, "IQ_TOTAL_DIV_PAID_CF",IQ_FY-4)/-I2033)</f>
        <v>0.16145178915160066</v>
      </c>
      <c r="I2033" s="17">
        <f>IF(A2036=A2037,_xll.ciqfunctions.udf.CIQ(A2028,"IQ_TOTAL_OUTSTANDING_FILING_DATE",IQ_FY-5), _xll.ciqfunctions.udf.CIQ(A2028, "IQ_TOTAL_OUTSTANDING_FILING_DATE",IQ_FY-4))</f>
        <v>32.734229999999997</v>
      </c>
      <c r="J2033" s="17">
        <f>IF(A2036=A2037,_xll.ciqfunctions.udf.CIQ(A2028,"IQ_CASH_OPER",IQ_FY-5), _xll.ciqfunctions.udf.CIQ(A2028, "IQ_CASH_OPER",IQ_FY-4))</f>
        <v>58.152000000000001</v>
      </c>
      <c r="K2033" s="17">
        <f>IF(A2036=A2037,_xll.ciqfunctions.udf.CIQ(A2028,"IQ_CAPEX",IQ_FY-5), _xll.ciqfunctions.udf.CIQ(A2028, "IQ_CAPEX",IQ_FY-4))</f>
        <v>-28.488</v>
      </c>
      <c r="L2033" s="15">
        <f t="shared" si="540"/>
        <v>0.90620735541969388</v>
      </c>
      <c r="M2033" s="17">
        <f>IF(A2036=A2037,_xll.ciqfunctions.udf.CIQ(A2028,"IQ_TOTAL_DEBT_ISSUED",IQ_FY-5), _xll.ciqfunctions.udf.CIQ(A2028, "IQ_TOTAL_DEBT_ISSUED",IQ_FY-4))</f>
        <v>1033.8</v>
      </c>
      <c r="N2033" s="17">
        <f>IF(A2036=A2037,_xll.ciqfunctions.udf.CIQ(A2028,"IQ_TOTAL_DEBT_REPAID",IQ_FY-5), _xll.ciqfunctions.udf.CIQ(A2028, "IQ_TOTAL_DEBT_REPAID",IQ_FY-4))</f>
        <v>-1060.0999999999999</v>
      </c>
      <c r="O2033" s="15">
        <f t="shared" si="541"/>
        <v>-0.80344031309121855</v>
      </c>
      <c r="P2033" s="15">
        <f t="shared" si="542"/>
        <v>0.10276704232847533</v>
      </c>
      <c r="Q2033" s="25" t="s">
        <v>27</v>
      </c>
      <c r="R2033" s="38" t="s">
        <v>51</v>
      </c>
      <c r="S2033" s="4">
        <f>AVERAGE(F2033:F2038)/AVERAGE(D2033:D2038)</f>
        <v>6.327994197785837E-2</v>
      </c>
      <c r="U2033" s="25" t="s">
        <v>58</v>
      </c>
      <c r="V2033" s="38" t="s">
        <v>51</v>
      </c>
      <c r="W2033" s="4">
        <f>AVERAGE(F2033:F2038)/AVERAGE(D2033:D2038)</f>
        <v>6.327994197785837E-2</v>
      </c>
      <c r="Y2033" s="25" t="s">
        <v>56</v>
      </c>
      <c r="Z2033" s="38" t="s">
        <v>51</v>
      </c>
      <c r="AA2033" s="4">
        <f>AVERAGE(F2033:F2038)/AVERAGE(D2033:D2038)</f>
        <v>6.327994197785837E-2</v>
      </c>
    </row>
    <row r="2034" spans="1:27">
      <c r="A2034" s="18"/>
      <c r="B2034" s="13">
        <v>7</v>
      </c>
      <c r="C2034" s="14" t="s">
        <v>28</v>
      </c>
      <c r="D2034" s="15" cm="1">
        <f t="array" ref="D2034">_xlfn.SINGLE(IF(A2036=A2037,_xll.ciqfunctions.udf.CIQ(A2028,"IQ_TOTAL_REV",IQ_FY-4)/I2034, _xll.ciqfunctions.udf.CIQ(A2028, "IQ_TOTAL_REV",IQ_FY-3)/I2034))</f>
        <v>14.460375557411666</v>
      </c>
      <c r="E2034" s="16">
        <f t="shared" si="543"/>
        <v>6.0921635482931958E-3</v>
      </c>
      <c r="F2034" s="15">
        <f>IF(A2036=A2037,_xll.ciqfunctions.udf.CIQ(A2028,"IQ_DILUT_EPS_EXCL",IQ_FY-4), _xll.ciqfunctions.udf.CIQ(A2028, "IQ_DILUT_EPS_EXCL",IQ_FY-3))</f>
        <v>1.0900000000000001</v>
      </c>
      <c r="G2034" s="15">
        <f>IF(A2036=A2037,_xll.ciqfunctions.udf.CIQ(A2028,"IQ_EBITDA_MARGIN",IQ_FY-4), _xll.ciqfunctions.udf.CIQ(A2028, "IQ_EBITDA_MARGIN",IQ_FY-3))</f>
        <v>18.091200000000001</v>
      </c>
      <c r="H2034" s="15">
        <f>IF(A2036=A2037,_xll.ciqfunctions.udf.CIQ(A2028,"IQ_TOTAL_DIV_PAID_CF",IQ_FY-4)/-I2034, _xll.ciqfunctions.udf.CIQ(A2028, "IQ_TOTAL_DIV_PAID_CF",IQ_FY-3)/-I2034)</f>
        <v>0.16150023170565889</v>
      </c>
      <c r="I2034" s="17">
        <f>IF(A2036=A2037,_xll.ciqfunctions.udf.CIQ(A2028,"IQ_TOTAL_OUTSTANDING_FILING_DATE",IQ_FY-4), _xll.ciqfunctions.udf.CIQ(A2028, "IQ_TOTAL_OUTSTANDING_FILING_DATE",IQ_FY-3))</f>
        <v>32.433390000000003</v>
      </c>
      <c r="J2034" s="17">
        <f>IF(A2036=A2037,_xll.ciqfunctions.udf.CIQ(A2028,"IQ_CASH_OPER",IQ_FY-4), _xll.ciqfunctions.udf.CIQ(A2028, "IQ_CASH_OPER",IQ_FY-3))</f>
        <v>64.405000000000001</v>
      </c>
      <c r="K2034" s="17">
        <f>IF(A2036=A2037,_xll.ciqfunctions.udf.CIQ(A2028,"IQ_CAPEX",IQ_FY-4), _xll.ciqfunctions.udf.CIQ(A2028, "IQ_CAPEX",IQ_FY-3))</f>
        <v>-21.733000000000001</v>
      </c>
      <c r="L2034" s="15">
        <f t="shared" si="540"/>
        <v>1.3156811545139129</v>
      </c>
      <c r="M2034" s="17">
        <f>IF(A2036=A2037,_xll.ciqfunctions.udf.CIQ(A2028,"IQ_TOTAL_DEBT_ISSUED",IQ_FY-4), _xll.ciqfunctions.udf.CIQ(A2028, "IQ_TOTAL_DEBT_ISSUED",IQ_FY-3))</f>
        <v>1935.5</v>
      </c>
      <c r="N2034" s="17">
        <f>IF(A2036=A2037,_xll.ciqfunctions.udf.CIQ(A2028,"IQ_TOTAL_DEBT_REPAID",IQ_FY-4), _xll.ciqfunctions.udf.CIQ(A2028, "IQ_TOTAL_DEBT_REPAID",IQ_FY-3))</f>
        <v>-1885.8</v>
      </c>
      <c r="O2034" s="15">
        <f t="shared" si="541"/>
        <v>1.532371423400392</v>
      </c>
      <c r="P2034" s="15">
        <f t="shared" si="542"/>
        <v>2.8480525779143049</v>
      </c>
      <c r="Q2034" s="18"/>
      <c r="R2034" s="38" t="s">
        <v>29</v>
      </c>
      <c r="S2034" s="4">
        <f>(AVERAGE(P2033:P2038)/_xlfn.STDEV.P(P2033:P2038))/(IF(A2036=A2037,(_xlfn.SINGLE(_xll.ciqfunctions.udf.CIQ(A2028,"IQ_total_assets",IQ_FY)) - _xlfn.SINGLE(_xll.ciqfunctions.udf.CIQ(A2028,"iq_gw_intan", IQ_FY)))/I2038, (_xlfn.SINGLE(_xll.ciqfunctions.udf.CIQ(A2028, "IQ_total_assets",IQ_LTM))-_xlfn.SINGLE(_xll.ciqfunctions.udf.CIQ(A2028,"iq_gw_intan",IQ_LTM)))/I2038))</f>
        <v>8.5609359494630777E-2</v>
      </c>
      <c r="U2034" s="18"/>
      <c r="V2034" s="38" t="s">
        <v>29</v>
      </c>
      <c r="W2034" s="4">
        <f>(AVERAGE(P2033:P2038)/_xlfn.STDEV.P(P2033:P2038))/(IF(A2036=A2037,(_xlfn.SINGLE(_xll.ciqfunctions.udf.CIQ(A2028,"IQ_total_assets",IQ_FY)) - _xlfn.SINGLE(_xll.ciqfunctions.udf.CIQ(A2028,"iq_gw_intan", IQ_FY)))/I2038, (_xlfn.SINGLE(_xll.ciqfunctions.udf.CIQ(A2028, "IQ_total_assets",IQ_LTM))-_xlfn.SINGLE(_xll.ciqfunctions.udf.CIQ(A2028,"iq_gw_intan",IQ_LTM)))/I2038))</f>
        <v>8.5609359494630777E-2</v>
      </c>
      <c r="Y2034" s="18"/>
      <c r="Z2034" s="38" t="s">
        <v>29</v>
      </c>
      <c r="AA2034" s="4">
        <f>(AVERAGE(P2033:P2038)/_xlfn.STDEV.P(P2033:P2038))/(IF(A2036=A2037,(_xlfn.SINGLE(_xll.ciqfunctions.udf.CIQ(A2028,"IQ_total_assets",IQ_FY)) - _xlfn.SINGLE(_xll.ciqfunctions.udf.CIQ(A2028,"iq_gw_intan", IQ_FY)))/I2038, (_xlfn.SINGLE(_xll.ciqfunctions.udf.CIQ(A2028, "IQ_total_assets",IQ_LTM))-_xlfn.SINGLE(_xll.ciqfunctions.udf.CIQ(A2028,"iq_gw_intan",IQ_LTM)))/I2038))</f>
        <v>8.5609359494630777E-2</v>
      </c>
    </row>
    <row r="2035" spans="1:27">
      <c r="A2035" s="18"/>
      <c r="B2035" s="13">
        <v>8</v>
      </c>
      <c r="C2035" s="14" t="s">
        <v>30</v>
      </c>
      <c r="D2035" s="15" cm="1">
        <f t="array" ref="D2035">_xlfn.SINGLE(IF(A2036=A2037,_xll.ciqfunctions.udf.CIQ(A2028,"IQ_TOTAL_REV",IQ_FY-3)/I2035, _xll.ciqfunctions.udf.CIQ(A2028, "IQ_TOTAL_REV",IQ_FY-2)/I2035))</f>
        <v>13.109342724427004</v>
      </c>
      <c r="E2035" s="16">
        <f t="shared" si="543"/>
        <v>-9.3429996172692112E-2</v>
      </c>
      <c r="F2035" s="15">
        <f>IF(A2036=A2037,_xll.ciqfunctions.udf.CIQ(A2028,"IQ_DILUT_EPS_EXCL",IQ_FY-3), _xll.ciqfunctions.udf.CIQ(A2028, "IQ_DILUT_EPS_EXCL",IQ_FY-2))</f>
        <v>1.06</v>
      </c>
      <c r="G2035" s="15">
        <f>IF(A2036=A2037,_xll.ciqfunctions.udf.CIQ(A2028,"IQ_EBITDA_MARGIN",IQ_FY-3), _xll.ciqfunctions.udf.CIQ(A2028, "IQ_EBITDA_MARGIN",IQ_FY-2))</f>
        <v>16.972999999999999</v>
      </c>
      <c r="H2035" s="15">
        <f>IF(A2036=A2037,_xll.ciqfunctions.udf.CIQ(A2028,"IQ_TOTAL_DIV_PAID_CF",IQ_FY-3)/-I2035, _xll.ciqfunctions.udf.CIQ(A2028, "IQ_TOTAL_DIV_PAID_CF",IQ_FY-2)/-I2035)</f>
        <v>0.16010075311344804</v>
      </c>
      <c r="I2035" s="17">
        <f>IF(A2036=A2037,_xll.ciqfunctions.udf.CIQ(A2028,"IQ_TOTAL_OUTSTANDING_FILING_DATE",IQ_FY-3), _xll.ciqfunctions.udf.CIQ(A2028, "IQ_TOTAL_OUTSTANDING_FILING_DATE",IQ_FY-2))</f>
        <v>32.348379999999999</v>
      </c>
      <c r="J2035" s="17">
        <f>IF(A2036=A2037,_xll.ciqfunctions.udf.CIQ(A2028,"IQ_CASH_OPER",IQ_FY-3), _xll.ciqfunctions.udf.CIQ(A2028, "IQ_CASH_OPER",IQ_FY-2))</f>
        <v>76.783000000000001</v>
      </c>
      <c r="K2035" s="17">
        <f>IF(A2036=A2037,_xll.ciqfunctions.udf.CIQ(A2028,"IQ_CAPEX",IQ_FY-3), _xll.ciqfunctions.udf.CIQ(A2028, "IQ_CAPEX",IQ_FY-2))</f>
        <v>-14.858000000000001</v>
      </c>
      <c r="L2035" s="15">
        <f t="shared" si="540"/>
        <v>1.9143153382024076</v>
      </c>
      <c r="M2035" s="17">
        <f>IF(A2036=A2037,_xll.ciqfunctions.udf.CIQ(A2028,"IQ_TOTAL_DEBT_ISSUED",IQ_FY-3), _xll.ciqfunctions.udf.CIQ(A2028, "IQ_TOTAL_DEBT_ISSUED",IQ_FY-2))</f>
        <v>3747.45</v>
      </c>
      <c r="N2035" s="17">
        <f>IF(A2036=A2037,_xll.ciqfunctions.udf.CIQ(A2028,"IQ_TOTAL_DEBT_REPAID",IQ_FY-3), _xll.ciqfunctions.udf.CIQ(A2028, "IQ_TOTAL_DEBT_REPAID",IQ_FY-2))</f>
        <v>-3792.55</v>
      </c>
      <c r="O2035" s="15">
        <f t="shared" si="541"/>
        <v>-1.3941965563654306</v>
      </c>
      <c r="P2035" s="15">
        <f t="shared" si="542"/>
        <v>0.52011878183697702</v>
      </c>
      <c r="Q2035" s="18"/>
      <c r="R2035" s="39" t="s">
        <v>31</v>
      </c>
      <c r="S2035" s="5">
        <f>IF(NOT(D2028&gt;0),FALSE,SLOPE(G2028:G2038,B2028:B2038))</f>
        <v>0.68687363636363641</v>
      </c>
      <c r="U2035" s="18"/>
      <c r="V2035" s="39" t="s">
        <v>31</v>
      </c>
      <c r="W2035" s="5">
        <f>IF(NOT(D2028&gt;0),FALSE,SLOPE(G2028:G2038,B2028:B2038))</f>
        <v>0.68687363636363641</v>
      </c>
      <c r="Y2035" s="18"/>
      <c r="Z2035" s="39" t="s">
        <v>31</v>
      </c>
      <c r="AA2035" s="5">
        <f>IF(NOT(L2028&gt;0),FALSE,SLOPE(O2028:O2038,J2028:J2038))</f>
        <v>1.3528877088064098E-2</v>
      </c>
    </row>
    <row r="2036" spans="1:27">
      <c r="A2036" s="19">
        <f>_xll.ciqfunctions.udf.CIQ(A2028,"IQ_TOTAL_REV",IQ_FY)</f>
        <v>586.86900000000003</v>
      </c>
      <c r="B2036" s="13">
        <v>9</v>
      </c>
      <c r="C2036" s="14" t="s">
        <v>32</v>
      </c>
      <c r="D2036" s="15" cm="1">
        <f t="array" ref="D2036">_xlfn.SINGLE(IF(A2036=A2037,_xll.ciqfunctions.udf.CIQ(A2028,"IQ_TOTAL_REV",IQ_FY-2)/I2036, _xll.ciqfunctions.udf.CIQ(A2028, "IQ_TOTAL_REV",IQ_FY-1)/I2036))</f>
        <v>15.952945303876509</v>
      </c>
      <c r="E2036" s="16">
        <f t="shared" si="543"/>
        <v>0.21691419922609406</v>
      </c>
      <c r="F2036" s="15">
        <f>IF(A2036=A2037,_xll.ciqfunctions.udf.CIQ(A2028,"IQ_DILUT_EPS_EXCL",IQ_FY-2), _xll.ciqfunctions.udf.CIQ(A2028, "IQ_DILUT_EPS_EXCL",IQ_FY-1))</f>
        <v>-1.3</v>
      </c>
      <c r="G2036" s="15">
        <f>IF(A2036=A2037,_xll.ciqfunctions.udf.CIQ(A2028,"IQ_EBITDA_MARGIN",IQ_FY-2), _xll.ciqfunctions.udf.CIQ(A2028, "IQ_EBITDA_MARGIN",IQ_FY-1))</f>
        <v>19.250699999999998</v>
      </c>
      <c r="H2036" s="15">
        <f>IF(A2036=A2037,_xll.ciqfunctions.udf.CIQ(A2028,"IQ_TOTAL_DIV_PAID_CF",IQ_FY-2)/-I2036, _xll.ciqfunctions.udf.CIQ(A2028, "IQ_TOTAL_DIV_PAID_CF",IQ_FY-1)/-I2036)</f>
        <v>0.1608901614406652</v>
      </c>
      <c r="I2036" s="17">
        <f>IF(A2036=A2037,_xll.ciqfunctions.udf.CIQ(A2028,"IQ_TOTAL_OUTSTANDING_FILING_DATE",IQ_FY-2), _xll.ciqfunctions.udf.CIQ(A2028, "IQ_TOTAL_OUTSTANDING_FILING_DATE",IQ_FY-1))</f>
        <v>32.152369999999998</v>
      </c>
      <c r="J2036" s="17">
        <f>IF(A2036=A2037,_xll.ciqfunctions.udf.CIQ(A2028,"IQ_CASH_OPER",IQ_FY-2), _xll.ciqfunctions.udf.CIQ(A2028, "IQ_CASH_OPER",IQ_FY-1))</f>
        <v>86.141000000000005</v>
      </c>
      <c r="K2036" s="17">
        <f>IF(A2036=A2037,_xll.ciqfunctions.udf.CIQ(A2028,"IQ_CAPEX",IQ_FY-2), _xll.ciqfunctions.udf.CIQ(A2028, "IQ_CAPEX",IQ_FY-1))</f>
        <v>-15.641</v>
      </c>
      <c r="L2036" s="15">
        <f t="shared" si="540"/>
        <v>2.1926843962046969</v>
      </c>
      <c r="M2036" s="17">
        <f>IF(A2036=A2037,_xll.ciqfunctions.udf.CIQ(A2028,"IQ_TOTAL_DEBT_ISSUED",IQ_FY-2), _xll.ciqfunctions.udf.CIQ(A2028, "IQ_TOTAL_DEBT_ISSUED",IQ_FY-1))</f>
        <v>804.2</v>
      </c>
      <c r="N2036" s="17">
        <f>IF(A2036=A2037,_xll.ciqfunctions.udf.CIQ(A2028,"IQ_TOTAL_DEBT_REPAID",IQ_FY-2), _xll.ciqfunctions.udf.CIQ(A2028, "IQ_TOTAL_DEBT_REPAID",IQ_FY-1))</f>
        <v>-808.8</v>
      </c>
      <c r="O2036" s="15">
        <f t="shared" si="541"/>
        <v>-0.14306876911406249</v>
      </c>
      <c r="P2036" s="15">
        <f t="shared" si="542"/>
        <v>2.0496156270906343</v>
      </c>
      <c r="Q2036" s="25" t="s">
        <v>33</v>
      </c>
      <c r="R2036" s="38" t="s">
        <v>52</v>
      </c>
      <c r="S2036" s="4">
        <f>(AVERAGE(O2033:O2038)/AVERAGE(P2033:P2038))</f>
        <v>-2.5478978495416266E-3</v>
      </c>
      <c r="U2036" s="25" t="s">
        <v>54</v>
      </c>
      <c r="V2036" s="38" t="s">
        <v>52</v>
      </c>
      <c r="W2036" s="4">
        <f>(AVERAGE(O2033:O2038)/AVERAGE(P2033:P2038))</f>
        <v>-2.5478978495416266E-3</v>
      </c>
      <c r="Y2036" s="25" t="s">
        <v>60</v>
      </c>
      <c r="Z2036" s="38" t="s">
        <v>52</v>
      </c>
      <c r="AA2036" s="4">
        <f>(AVERAGE(O2033:O2038)/AVERAGE(P2033:P2038))</f>
        <v>-2.5478978495416266E-3</v>
      </c>
    </row>
    <row r="2037" spans="1:27">
      <c r="A2037" s="19">
        <f>_xll.ciqfunctions.udf.CIQ(A2028,"IQ_TOTAL_REV",IQ_LTM)</f>
        <v>568.00900000000001</v>
      </c>
      <c r="B2037" s="13">
        <v>10</v>
      </c>
      <c r="C2037" s="14" t="s">
        <v>34</v>
      </c>
      <c r="D2037" s="15" cm="1">
        <f t="array" ref="D2037">_xlfn.SINGLE(IF(A2036=A2037,_xll.ciqfunctions.udf.CIQ(A2028,"IQ_TOTAL_REV",IQ_FY-1)/I2037, _xll.ciqfunctions.udf.CIQ(A2028, "IQ_TOTAL_REV",IQ_FY)/I2037))</f>
        <v>18.531907415775468</v>
      </c>
      <c r="E2037" s="16">
        <f t="shared" si="543"/>
        <v>0.16166056253400929</v>
      </c>
      <c r="F2037" s="15">
        <f>IF(A2036=A2037,_xll.ciqfunctions.udf.CIQ(A2028,"IQ_DILUT_EPS_EXCL",IQ_FY-1), _xll.ciqfunctions.udf.CIQ(A2028, "IQ_DILUT_EPS_EXCL",IQ_FY))</f>
        <v>1.85</v>
      </c>
      <c r="G2037" s="15">
        <f>IF(A2036=A2037,_xll.ciqfunctions.udf.CIQ(A2028,"IQ_EBITDA_MARGIN",IQ_FY-1), _xll.ciqfunctions.udf.CIQ(A2028, "IQ_EBITDA_MARGIN",IQ_FY))</f>
        <v>22.2666</v>
      </c>
      <c r="H2037" s="15">
        <f>IF(A2036=A2037,_xll.ciqfunctions.udf.CIQ(A2028,"IQ_TOTAL_DIV_PAID_CF",IQ_FY-1)/-I2037, _xll.ciqfunctions.udf.CIQ(A2028, "IQ_TOTAL_DIV_PAID_CF",IQ_FY)/-I2037)</f>
        <v>0.16202460336181315</v>
      </c>
      <c r="I2037" s="17">
        <f>IF(A2036=A2037,_xll.ciqfunctions.udf.CIQ(A2028,"IQ_TOTAL_OUTSTANDING_FILING_DATE",IQ_FY-1), _xll.ciqfunctions.udf.CIQ(A2028, "IQ_TOTAL_OUTSTANDING_FILING_DATE",IQ_FY))</f>
        <v>31.668030000000002</v>
      </c>
      <c r="J2037" s="17">
        <f>IF(A2036=A2037,_xll.ciqfunctions.udf.CIQ(A2028,"IQ_CASH_OPER",IQ_FY-1), _xll.ciqfunctions.udf.CIQ(A2028, "IQ_CASH_OPER",IQ_FY))</f>
        <v>121.197</v>
      </c>
      <c r="K2037" s="17">
        <f>IF(A2036=A2037,_xll.ciqfunctions.udf.CIQ(A2028,"IQ_CAPEX",IQ_FY-1), _xll.ciqfunctions.udf.CIQ(A2028, "IQ_CAPEX",IQ_FY))</f>
        <v>-14.333</v>
      </c>
      <c r="L2037" s="15">
        <f t="shared" si="540"/>
        <v>3.3745073501572405</v>
      </c>
      <c r="M2037" s="17">
        <f>IF(A2036=A2037,_xll.ciqfunctions.udf.CIQ(A2028,"IQ_TOTAL_DEBT_ISSUED",IQ_FY-1), _xll.ciqfunctions.udf.CIQ(A2028, "IQ_TOTAL_DEBT_ISSUED",IQ_FY))</f>
        <v>756.58</v>
      </c>
      <c r="N2037" s="17">
        <f>IF(A2036=A2037,_xll.ciqfunctions.udf.CIQ(A2028,"IQ_TOTAL_DEBT_REPAID",IQ_FY-1), _xll.ciqfunctions.udf.CIQ(A2028, "IQ_TOTAL_DEBT_REPAID",IQ_FY))</f>
        <v>-722.94200000000001</v>
      </c>
      <c r="O2037" s="15">
        <f t="shared" si="541"/>
        <v>1.0622069007765886</v>
      </c>
      <c r="P2037" s="15">
        <f t="shared" si="542"/>
        <v>4.4367142509338287</v>
      </c>
      <c r="Q2037" s="25" t="s">
        <v>44</v>
      </c>
      <c r="R2037" s="38" t="s">
        <v>35</v>
      </c>
      <c r="S2037" s="1">
        <f>_xll.ciqfunctions.udf.CIQ(A2028,"IQ_TEV_EBITDA")</f>
        <v>9.4595300000000009</v>
      </c>
      <c r="U2037" s="25" t="s">
        <v>55</v>
      </c>
      <c r="V2037" s="38" t="s">
        <v>53</v>
      </c>
      <c r="W2037" s="1">
        <f>V2027/(AVERAGE(D2033:D2038)/_xlfn.STDEV.P(E2033:E2038))</f>
        <v>0.27044069144783284</v>
      </c>
      <c r="Y2037" s="25" t="s">
        <v>57</v>
      </c>
      <c r="Z2037" s="38" t="s">
        <v>53</v>
      </c>
      <c r="AA2037" s="1">
        <f>Z2027/(AVERAGE(D2033:D2038)/_xlfn.STDEV.P(E2033:E2038))</f>
        <v>0.27044069144783284</v>
      </c>
    </row>
    <row r="2038" spans="1:27">
      <c r="B2038" s="13">
        <v>11</v>
      </c>
      <c r="C2038" s="20" t="s">
        <v>36</v>
      </c>
      <c r="D2038" s="21" cm="1">
        <f t="array" ref="D2038">_xlfn.SINGLE(IF(A2036=A2037,_xll.ciqfunctions.udf.CIQ(A2028,"IQ_TOTAL_REV",IQ_FY)/I2038, _xll.ciqfunctions.udf.CIQ(A2028, "IQ_TOTAL_REV",IQ_LTM)/I2038))</f>
        <v>18.229939440972359</v>
      </c>
      <c r="E2038" s="22">
        <f t="shared" si="543"/>
        <v>-1.6294489715940174E-2</v>
      </c>
      <c r="F2038" s="21">
        <f>IF(A2036=A2037,_xll.ciqfunctions.udf.CIQ(A2028,"IQ_DILUT_EPS_EXCL",IQ_FY), _xll.ciqfunctions.udf.CIQ(A2028, "IQ_DILUT_EPS_EXCL",IQ_LTM))</f>
        <v>1.89991</v>
      </c>
      <c r="G2038" s="21">
        <f>IF(A2036=A2037,_xll.ciqfunctions.udf.CIQ(A2028,"IQ_EBITDA_MARGIN",IQ_FY), _xll.ciqfunctions.udf.CIQ(A2028, "IQ_EBITDA_MARGIN",IQ_LTM))</f>
        <v>20.9602</v>
      </c>
      <c r="H2038" s="21">
        <f>IF(A2036=A2037,_xll.ciqfunctions.udf.CIQ(A2028,"IQ_TOTAL_DIV_PAID_CF",IQ_FY)/-I2038, _xll.ciqfunctions.udf.CIQ(A2028, "IQ_TOTAL_DIV_PAID_CF",IQ_LTM)/-I2038)</f>
        <v>0.1626546992861872</v>
      </c>
      <c r="I2038" s="23">
        <f>IF(A2036=A2037,_xll.ciqfunctions.udf.CIQ(A2028,"IQ_TOTAL_OUTSTANDING_FILING_DATE",IQ_FY),_xll.ciqfunctions.udf.CIQ(A2028,"IQ_sharesoutstanding"))</f>
        <v>31.15803</v>
      </c>
      <c r="J2038" s="23">
        <f>IF(A2036=A2037,_xll.ciqfunctions.udf.CIQ(A2028,"IQ_CASH_OPER",IQ_FY), _xll.ciqfunctions.udf.CIQ(A2028, "IQ_CASH_OPER",IQ_LTM))</f>
        <v>82.2</v>
      </c>
      <c r="K2038" s="23">
        <f>IF(A2036=A2037,_xll.ciqfunctions.udf.CIQ(A2028,"IQ_CAPEX",IQ_FY), _xll.ciqfunctions.udf.CIQ(A2028, "IQ_CAPEX",IQ_LTM))</f>
        <v>-16.309000000000001</v>
      </c>
      <c r="L2038" s="21">
        <f t="shared" si="540"/>
        <v>2.1147357519072933</v>
      </c>
      <c r="M2038" s="23">
        <f>IF(A2036=A2037,_xll.ciqfunctions.udf.CIQ(A2028,"IQ_TOTAL_DEBT_ISSUED",IQ_FY), _xll.ciqfunctions.udf.CIQ(A2028, "IQ_TOTAL_DEBT_ISSUED",IQ_LTM))</f>
        <v>789.46400000000006</v>
      </c>
      <c r="N2038" s="23">
        <f>IF(A2036=A2037,_xll.ciqfunctions.udf.CIQ(A2028,"IQ_TOTAL_DEBT_REPAID",IQ_FY), _xll.ciqfunctions.udf.CIQ(A2028, "IQ_TOTAL_DEBT_REPAID",IQ_LTM))</f>
        <v>-798.31</v>
      </c>
      <c r="O2038" s="21">
        <f t="shared" si="541"/>
        <v>-0.28390755127971473</v>
      </c>
      <c r="P2038" s="21">
        <f t="shared" si="542"/>
        <v>1.8308282006275787</v>
      </c>
      <c r="Q2038" s="25" t="s">
        <v>45</v>
      </c>
      <c r="S2038" s="45"/>
      <c r="U2038" s="25"/>
      <c r="W2038" s="45"/>
      <c r="Y2038" s="25"/>
      <c r="AA2038" s="45"/>
    </row>
    <row r="2039" spans="1:27">
      <c r="B2039" s="24"/>
      <c r="C2039" s="25" t="s">
        <v>37</v>
      </c>
      <c r="E2039" s="26">
        <f>((D2038/D2033)^(1/5))-1</f>
        <v>4.8693760304969524E-2</v>
      </c>
      <c r="F2039" s="27">
        <f>((F2038/F2033)^(1/5))-1</f>
        <v>6.4495048538698141E-2</v>
      </c>
      <c r="G2039" s="28"/>
      <c r="H2039" s="27">
        <f>((H2038/H2033)^(1/5))-1</f>
        <v>1.4856956748778849E-3</v>
      </c>
      <c r="I2039" s="27">
        <f>((I2038/I2033)^(1/5))-1</f>
        <v>-9.8213172306461649E-3</v>
      </c>
      <c r="J2039" s="27"/>
      <c r="K2039" s="27"/>
      <c r="L2039" s="26">
        <f>((L2038/L2033)^(1/5))-1</f>
        <v>0.18469267971681758</v>
      </c>
      <c r="M2039" s="26"/>
      <c r="N2039" s="26"/>
      <c r="O2039" s="26"/>
      <c r="P2039" s="26">
        <f>((P2038/P2033)^(1/5))-1</f>
        <v>0.77892954124938973</v>
      </c>
      <c r="Q2039" s="18"/>
      <c r="R2039" s="36"/>
      <c r="S2039" s="45"/>
      <c r="U2039" s="18"/>
      <c r="V2039" s="36"/>
      <c r="W2039" s="45"/>
      <c r="Y2039" s="18"/>
      <c r="Z2039" s="36"/>
      <c r="AA2039" s="45"/>
    </row>
    <row r="2040" spans="1:27">
      <c r="A2040" s="29"/>
      <c r="B2040" s="30"/>
      <c r="C2040" s="31" t="s">
        <v>38</v>
      </c>
      <c r="D2040" s="29"/>
      <c r="E2040" s="32">
        <f>((D2038/D2028)^(1/10))-1</f>
        <v>4.1454914080078398E-2</v>
      </c>
      <c r="F2040" s="33">
        <f>((F2038/F2028)^(1/10))-1</f>
        <v>0.41407592980715902</v>
      </c>
      <c r="G2040" s="34"/>
      <c r="H2040" s="33">
        <f>((H2038/H2028)^(1/10))-1</f>
        <v>1.18620646247245E-2</v>
      </c>
      <c r="I2040" s="33">
        <f>((I2038/I2028)^(1/10))-1</f>
        <v>-7.8580935508723027E-3</v>
      </c>
      <c r="J2040" s="33"/>
      <c r="K2040" s="33"/>
      <c r="L2040" s="32">
        <f>((L2038/L2028)^(1/10))-1</f>
        <v>0.11696062306997557</v>
      </c>
      <c r="M2040" s="32"/>
      <c r="N2040" s="32"/>
      <c r="O2040" s="32"/>
      <c r="P2040" s="32" t="e">
        <f>((P2038/P2028)^(1/10))-1</f>
        <v>#NUM!</v>
      </c>
      <c r="Q2040" s="40"/>
      <c r="R2040" s="41"/>
      <c r="S2040" s="46"/>
      <c r="U2040" s="40"/>
      <c r="V2040" s="41"/>
      <c r="W2040" s="46"/>
      <c r="Y2040" s="40"/>
      <c r="Z2040" s="41"/>
      <c r="AA2040" s="46"/>
    </row>
    <row r="2041" spans="1:27">
      <c r="B2041" s="24"/>
      <c r="C2041" s="25"/>
      <c r="E2041" s="26"/>
      <c r="F2041" s="27"/>
      <c r="G2041" s="28"/>
      <c r="H2041" s="27"/>
      <c r="I2041" s="27"/>
      <c r="J2041" s="27"/>
      <c r="K2041" s="27"/>
      <c r="L2041" s="26"/>
      <c r="M2041" s="17"/>
      <c r="N2041" s="17"/>
      <c r="O2041" s="17"/>
      <c r="P2041" s="35"/>
      <c r="Q2041" s="18"/>
      <c r="R2041" s="36"/>
    </row>
    <row r="2042" spans="1:27">
      <c r="A2042" s="9" t="s">
        <v>0</v>
      </c>
      <c r="B2042" s="10"/>
      <c r="C2042" s="9" t="s">
        <v>1</v>
      </c>
      <c r="D2042" s="9" t="s">
        <v>2</v>
      </c>
      <c r="E2042" s="9" t="s">
        <v>3</v>
      </c>
      <c r="F2042" s="11" t="s">
        <v>4</v>
      </c>
      <c r="G2042" s="11" t="s">
        <v>5</v>
      </c>
      <c r="H2042" s="9" t="s">
        <v>6</v>
      </c>
      <c r="I2042" s="11" t="s">
        <v>7</v>
      </c>
      <c r="J2042" s="11" t="s">
        <v>8</v>
      </c>
      <c r="K2042" s="11" t="s">
        <v>9</v>
      </c>
      <c r="L2042" s="11" t="s">
        <v>10</v>
      </c>
      <c r="M2042" s="11" t="s">
        <v>11</v>
      </c>
      <c r="N2042" s="11" t="s">
        <v>12</v>
      </c>
      <c r="O2042" s="11" t="s">
        <v>13</v>
      </c>
      <c r="P2042" s="11" t="s">
        <v>14</v>
      </c>
      <c r="Q2042" s="37" t="s">
        <v>15</v>
      </c>
      <c r="R2042" s="42">
        <f>_xll.ciqfunctions.udf.CIQ(A2043,("IQ_LASTSALEPRICE"))</f>
        <v>22.530100000000001</v>
      </c>
      <c r="S2042" s="44"/>
      <c r="U2042" s="37" t="s">
        <v>15</v>
      </c>
      <c r="V2042" s="42">
        <f>_xll.ciqfunctions.udf.CIQ(A2043,("IQ_LASTSALEPRICE"))</f>
        <v>22.530100000000001</v>
      </c>
      <c r="W2042" s="44"/>
      <c r="Y2042" s="37" t="s">
        <v>15</v>
      </c>
      <c r="Z2042" s="42">
        <f>_xll.ciqfunctions.udf.CIQ(A2043,("IQ_LASTSALEPRICE"))</f>
        <v>22.530100000000001</v>
      </c>
      <c r="AA2042" s="44"/>
    </row>
    <row r="2043" spans="1:27">
      <c r="A2043" s="12" t="str">
        <f>Analysis!B138</f>
        <v>NYSE:VSH</v>
      </c>
      <c r="B2043" s="13">
        <v>1</v>
      </c>
      <c r="C2043" s="14" t="s">
        <v>16</v>
      </c>
      <c r="D2043" s="15">
        <f>IF(A2051=A2052,_xll.ciqfunctions.udf.CIQ(A2043,"IQ_TOTAL_REV",IQ_FY-10)/I2043,_xll.ciqfunctions.udf.CIQ(A2043, "IQ_TOTAL_REV",IQ_FY-9)/I2043)</f>
        <v>16.079971949661306</v>
      </c>
      <c r="E2043" s="16"/>
      <c r="F2043" s="15">
        <f>IF(A2051=A2052,_xll.ciqfunctions.udf.CIQ(A2043,"IQ_DILUT_EPS_EXCL",IQ_FY-10), _xll.ciqfunctions.udf.CIQ(A2043, "IQ_DILUT_EPS_EXCL",IQ_FY-9))</f>
        <v>0.81311999999999995</v>
      </c>
      <c r="G2043" s="15">
        <f>IF(A2051=A2052,_xll.ciqfunctions.udf.CIQ(A2043,"IQ_EBITDA_MARGIN",IQ_FY-10), _xll.ciqfunctions.udf.CIQ(A2043, "IQ_EBITDA_MARGIN",IQ_FY-9))</f>
        <v>15.556800000000001</v>
      </c>
      <c r="H2043" s="15">
        <f>IF(A2051=A2052,_xll.ciqfunctions.udf.CIQ(A2043,"IQ_TOTAL_DIV_PAID_CF",IQ_FY-10)/-I2043, _xll.ciqfunctions.udf.CIQ(A2043, "IQ_TOTAL_DIV_PAID_CF",IQ_FY-9)/-I2043)</f>
        <v>0</v>
      </c>
      <c r="I2043" s="17">
        <f>IF(A2051=A2052,_xll.ciqfunctions.udf.CIQ(A2043,"IQ_TOTAL_OUTSTANDING_FILING_DATE",IQ_FY-10), _xll.ciqfunctions.udf.CIQ(A2043, "IQ_TOTAL_OUTSTANDING_FILING_DATE",IQ_FY-9))</f>
        <v>147.44919999999999</v>
      </c>
      <c r="J2043" s="17">
        <f>IF(A2051=A2052,_xll.ciqfunctions.udf.CIQ(A2043,"IQ_CASH_OPER",IQ_FY-10), _xll.ciqfunctions.udf.CIQ(A2043, "IQ_CASH_OPER",IQ_FY-9))</f>
        <v>292.07</v>
      </c>
      <c r="K2043" s="17">
        <f>IF(A2051=A2052,_xll.ciqfunctions.udf.CIQ(A2043,"IQ_CAPEX",IQ_FY-10), _xll.ciqfunctions.udf.CIQ(A2043, "IQ_CAPEX",IQ_FY-9))</f>
        <v>-153.077</v>
      </c>
      <c r="L2043" s="15">
        <f t="shared" ref="L2043:L2053" si="544">(J2043+K2043)/I2043</f>
        <v>0.94265007880680263</v>
      </c>
      <c r="M2043" s="17">
        <f>IF(A2051=A2052,_xll.ciqfunctions.udf.CIQ(A2043,"IQ_TOTAL_DEBT_ISSUED",IQ_FY-10), _xll.ciqfunctions.udf.CIQ(A2043, "IQ_TOTAL_DEBT_ISSUED",IQ_FY-9))</f>
        <v>25</v>
      </c>
      <c r="N2043" s="17">
        <f>IF(A2051=A2052,_xll.ciqfunctions.udf.CIQ(A2043,"IQ_TOTAL_DEBT_REPAID",IQ_FY-10), _xll.ciqfunctions.udf.CIQ(A2043, "IQ_TOTAL_DEBT_REPAID",IQ_FY-9))</f>
        <v>-0.17399999999999999</v>
      </c>
      <c r="O2043" s="15">
        <f t="shared" ref="O2043:O2053" si="545">(M2043+N2043)/I2043</f>
        <v>0.16836985212534217</v>
      </c>
      <c r="P2043" s="15">
        <f t="shared" ref="P2043:P2053" si="546">L2043+O2043</f>
        <v>1.1110199309321449</v>
      </c>
      <c r="W2043" s="43"/>
      <c r="AA2043" s="43"/>
    </row>
    <row r="2044" spans="1:27">
      <c r="A2044" s="18" t="str">
        <f>_xll.ciqfunctions.udf.CIQ(A2043,"IQ_COMPANY_NAME")</f>
        <v>Vishay Intertechnology, Inc.</v>
      </c>
      <c r="B2044" s="13">
        <v>2</v>
      </c>
      <c r="C2044" s="14" t="s">
        <v>17</v>
      </c>
      <c r="D2044" s="15">
        <f>IF(A2051=A2052,_xll.ciqfunctions.udf.CIQ(A2043,"IQ_TOTAL_REV",IQ_FY-9)/I2044, _xll.ciqfunctions.udf.CIQ(A2043, "IQ_TOTAL_REV",IQ_FY-8)/I2044)</f>
        <v>16.895583954575063</v>
      </c>
      <c r="E2044" s="16">
        <f t="shared" ref="E2044:E2053" si="547">(D2044-D2043)/D2043</f>
        <v>5.0722228090138897E-2</v>
      </c>
      <c r="F2044" s="15">
        <f>IF(A2051=A2052,_xll.ciqfunctions.udf.CIQ(A2043,"IQ_DILUT_EPS_EXCL",IQ_FY-9), _xll.ciqfunctions.udf.CIQ(A2043, "IQ_DILUT_EPS_EXCL",IQ_FY-8))</f>
        <v>0.76561999999999997</v>
      </c>
      <c r="G2044" s="15">
        <f>IF(A2051=A2052,_xll.ciqfunctions.udf.CIQ(A2043,"IQ_EBITDA_MARGIN",IQ_FY-9), _xll.ciqfunctions.udf.CIQ(A2043, "IQ_EBITDA_MARGIN",IQ_FY-8))</f>
        <v>16.271599999999999</v>
      </c>
      <c r="H2044" s="15">
        <f>IF(A2051=A2052,_xll.ciqfunctions.udf.CIQ(A2043,"IQ_TOTAL_DIV_PAID_CF",IQ_FY-9)/-I2044, _xll.ciqfunctions.udf.CIQ(A2043, "IQ_TOTAL_DIV_PAID_CF",IQ_FY-8)/-I2044)</f>
        <v>0.23980477338082987</v>
      </c>
      <c r="I2044" s="17">
        <f>IF(A2051=A2052,_xll.ciqfunctions.udf.CIQ(A2043,"IQ_TOTAL_OUTSTANDING_FILING_DATE",IQ_FY-9), _xll.ciqfunctions.udf.CIQ(A2043, "IQ_TOTAL_OUTSTANDING_FILING_DATE",IQ_FY-8))</f>
        <v>147.57004000000001</v>
      </c>
      <c r="J2044" s="17">
        <f>IF(A2051=A2052,_xll.ciqfunctions.udf.CIQ(A2043,"IQ_CASH_OPER",IQ_FY-9), _xll.ciqfunctions.udf.CIQ(A2043, "IQ_CASH_OPER",IQ_FY-8))</f>
        <v>297.03699999999998</v>
      </c>
      <c r="K2044" s="17">
        <f>IF(A2051=A2052,_xll.ciqfunctions.udf.CIQ(A2043,"IQ_CAPEX",IQ_FY-9), _xll.ciqfunctions.udf.CIQ(A2043, "IQ_CAPEX",IQ_FY-8))</f>
        <v>-156.97399999999999</v>
      </c>
      <c r="L2044" s="15">
        <f t="shared" si="544"/>
        <v>0.94912896953880332</v>
      </c>
      <c r="M2044" s="17">
        <f>IF(A2051=A2052,_xll.ciqfunctions.udf.CIQ(A2043,"IQ_TOTAL_DEBT_ISSUED",IQ_FY-9), _xll.ciqfunctions.udf.CIQ(A2043, "IQ_TOTAL_DEBT_ISSUED",IQ_FY-8))</f>
        <v>86.016000000000005</v>
      </c>
      <c r="N2044" s="17">
        <f>IF(A2051=A2052,_xll.ciqfunctions.udf.CIQ(A2043,"IQ_TOTAL_DEBT_REPAID",IQ_FY-9), _xll.ciqfunctions.udf.CIQ(A2043, "IQ_TOTAL_DEBT_REPAID",IQ_FY-8))</f>
        <v>-1.0999999999999999E-2</v>
      </c>
      <c r="O2044" s="15">
        <f t="shared" si="545"/>
        <v>0.58280800086521634</v>
      </c>
      <c r="P2044" s="15">
        <f t="shared" si="546"/>
        <v>1.5319369704040198</v>
      </c>
      <c r="Q2044" s="25" t="s">
        <v>18</v>
      </c>
      <c r="R2044" s="39" t="s">
        <v>19</v>
      </c>
      <c r="S2044" s="1">
        <f>R2042/((AVERAGE(P2048:P2053))*(1+E2054)^3)</f>
        <v>25.476258841638955</v>
      </c>
      <c r="U2044" s="25" t="s">
        <v>48</v>
      </c>
      <c r="V2044" s="39" t="s">
        <v>19</v>
      </c>
      <c r="W2044" s="1">
        <f>V2042/((AVERAGE(P2048:P2053))*(1+E2054)^3)</f>
        <v>25.476258841638955</v>
      </c>
      <c r="Y2044" s="25" t="s">
        <v>39</v>
      </c>
      <c r="Z2044" s="39" t="s">
        <v>19</v>
      </c>
      <c r="AA2044" s="1">
        <f>Z2042/((AVERAGE(P2048:P2053))*(1+E2054)^3)</f>
        <v>25.476258841638955</v>
      </c>
    </row>
    <row r="2045" spans="1:27">
      <c r="B2045" s="13">
        <v>3</v>
      </c>
      <c r="C2045" s="14" t="s">
        <v>20</v>
      </c>
      <c r="D2045" s="15" cm="1">
        <f t="array" ref="D2045">_xlfn.SINGLE(IF(A2051=A2052,_xll.ciqfunctions.udf.CIQ(A2043,"IQ_TOTAL_REV",IQ_FY-8)/I2045, _xll.ciqfunctions.udf.CIQ(A2043, "IQ_TOTAL_REV",IQ_FY-7)/I2045))</f>
        <v>15.57604657631226</v>
      </c>
      <c r="E2045" s="16">
        <f t="shared" si="547"/>
        <v>-7.8099542567482111E-2</v>
      </c>
      <c r="F2045" s="15">
        <f>IF(A2051=A2052,_xll.ciqfunctions.udf.CIQ(A2043,"IQ_DILUT_EPS_EXCL",IQ_FY-8), _xll.ciqfunctions.udf.CIQ(A2043, "IQ_DILUT_EPS_EXCL",IQ_FY-7))</f>
        <v>-0.73468999999999995</v>
      </c>
      <c r="G2045" s="15">
        <f>IF(A2051=A2052,_xll.ciqfunctions.udf.CIQ(A2043,"IQ_EBITDA_MARGIN",IQ_FY-8), _xll.ciqfunctions.udf.CIQ(A2043, "IQ_EBITDA_MARGIN",IQ_FY-7))</f>
        <v>15.481999999999999</v>
      </c>
      <c r="H2045" s="15">
        <f>IF(A2051=A2052,_xll.ciqfunctions.udf.CIQ(A2043,"IQ_TOTAL_DIV_PAID_CF",IQ_FY-8)/-I2045, _xll.ciqfunctions.udf.CIQ(A2043, "IQ_TOTAL_DIV_PAID_CF",IQ_FY-7)/-I2045)</f>
        <v>0.23979992140504594</v>
      </c>
      <c r="I2045" s="17">
        <f>IF(A2051=A2052,_xll.ciqfunctions.udf.CIQ(A2043,"IQ_TOTAL_OUTSTANDING_FILING_DATE",IQ_FY-8), _xll.ciqfunctions.udf.CIQ(A2043, "IQ_TOTAL_OUTSTANDING_FILING_DATE",IQ_FY-7))</f>
        <v>147.69396</v>
      </c>
      <c r="J2045" s="17">
        <f>IF(A2051=A2052,_xll.ciqfunctions.udf.CIQ(A2043,"IQ_CASH_OPER",IQ_FY-8), _xll.ciqfunctions.udf.CIQ(A2043, "IQ_CASH_OPER",IQ_FY-7))</f>
        <v>245.99100000000001</v>
      </c>
      <c r="K2045" s="17">
        <f>IF(A2051=A2052,_xll.ciqfunctions.udf.CIQ(A2043,"IQ_CAPEX",IQ_FY-8), _xll.ciqfunctions.udf.CIQ(A2043, "IQ_CAPEX",IQ_FY-7))</f>
        <v>-147.142</v>
      </c>
      <c r="L2045" s="15">
        <f t="shared" si="544"/>
        <v>0.66928261656739396</v>
      </c>
      <c r="M2045" s="17">
        <f>IF(A2051=A2052,_xll.ciqfunctions.udf.CIQ(A2043,"IQ_TOTAL_DEBT_ISSUED",IQ_FY-8), _xll.ciqfunctions.udf.CIQ(A2043, "IQ_TOTAL_DEBT_ISSUED",IQ_FY-7))</f>
        <v>0</v>
      </c>
      <c r="N2045" s="17">
        <f>IF(A2051=A2052,_xll.ciqfunctions.udf.CIQ(A2043,"IQ_TOTAL_DEBT_REPAID",IQ_FY-8), _xll.ciqfunctions.udf.CIQ(A2043, "IQ_TOTAL_DEBT_REPAID",IQ_FY-7))</f>
        <v>-10.013999999999999</v>
      </c>
      <c r="O2045" s="15">
        <f t="shared" si="545"/>
        <v>-6.7802366461025207E-2</v>
      </c>
      <c r="P2045" s="15">
        <f t="shared" si="546"/>
        <v>0.60148025010636874</v>
      </c>
      <c r="Q2045" s="25" t="s">
        <v>21</v>
      </c>
      <c r="R2045" s="38" t="s">
        <v>49</v>
      </c>
      <c r="S2045" s="2">
        <f>(R2042*I2053)/1000</f>
        <v>3.1167182810750003</v>
      </c>
      <c r="U2045" s="25" t="s">
        <v>59</v>
      </c>
      <c r="V2045" s="38" t="s">
        <v>49</v>
      </c>
      <c r="W2045" s="2">
        <f>(V2042*I2053)/1000</f>
        <v>3.1167182810750003</v>
      </c>
      <c r="Y2045" s="25" t="s">
        <v>46</v>
      </c>
      <c r="Z2045" s="38" t="s">
        <v>49</v>
      </c>
      <c r="AA2045" s="2">
        <f>(Z2042*I2053)/1000</f>
        <v>3.1167182810750003</v>
      </c>
    </row>
    <row r="2046" spans="1:27">
      <c r="A2046" s="18"/>
      <c r="B2046" s="13">
        <v>4</v>
      </c>
      <c r="C2046" s="14" t="s">
        <v>22</v>
      </c>
      <c r="D2046" s="15" cm="1">
        <f t="array" ref="D2046">_xlfn.SINGLE(IF(A2051=A2052,_xll.ciqfunctions.udf.CIQ(A2043,"IQ_TOTAL_REV",IQ_FY-7)/I2046, _xll.ciqfunctions.udf.CIQ(A2043, "IQ_TOTAL_REV",IQ_FY-6)/I2046))</f>
        <v>15.863899477777117</v>
      </c>
      <c r="E2046" s="16">
        <f t="shared" si="547"/>
        <v>1.8480485407806776E-2</v>
      </c>
      <c r="F2046" s="15">
        <f>IF(A2051=A2052,_xll.ciqfunctions.udf.CIQ(A2043,"IQ_DILUT_EPS_EXCL",IQ_FY-7), _xll.ciqfunctions.udf.CIQ(A2043, "IQ_DILUT_EPS_EXCL",IQ_FY-6))</f>
        <v>0.32402999999999998</v>
      </c>
      <c r="G2046" s="15">
        <f>IF(A2051=A2052,_xll.ciqfunctions.udf.CIQ(A2043,"IQ_EBITDA_MARGIN",IQ_FY-7), _xll.ciqfunctions.udf.CIQ(A2043, "IQ_EBITDA_MARGIN",IQ_FY-6))</f>
        <v>15.4102</v>
      </c>
      <c r="H2046" s="15">
        <f>IF(A2051=A2052,_xll.ciqfunctions.udf.CIQ(A2043,"IQ_TOTAL_DIV_PAID_CF",IQ_FY-7)/-I2046, _xll.ciqfunctions.udf.CIQ(A2043, "IQ_TOTAL_DIV_PAID_CF",IQ_FY-6)/-I2046)</f>
        <v>0.25141098209721052</v>
      </c>
      <c r="I2046" s="17">
        <f>IF(A2051=A2052,_xll.ciqfunctions.udf.CIQ(A2043,"IQ_TOTAL_OUTSTANDING_FILING_DATE",IQ_FY-7), _xll.ciqfunctions.udf.CIQ(A2043, "IQ_TOTAL_OUTSTANDING_FILING_DATE",IQ_FY-6))</f>
        <v>146.07556</v>
      </c>
      <c r="J2046" s="17">
        <f>IF(A2051=A2052,_xll.ciqfunctions.udf.CIQ(A2043,"IQ_CASH_OPER",IQ_FY-7), _xll.ciqfunctions.udf.CIQ(A2043, "IQ_CASH_OPER",IQ_FY-6))</f>
        <v>296.50900000000001</v>
      </c>
      <c r="K2046" s="17">
        <f>IF(A2051=A2052,_xll.ciqfunctions.udf.CIQ(A2043,"IQ_CAPEX",IQ_FY-7), _xll.ciqfunctions.udf.CIQ(A2043, "IQ_CAPEX",IQ_FY-6))</f>
        <v>-134.63499999999999</v>
      </c>
      <c r="L2046" s="15">
        <f t="shared" si="544"/>
        <v>1.1081525205174638</v>
      </c>
      <c r="M2046" s="17">
        <f>IF(A2051=A2052,_xll.ciqfunctions.udf.CIQ(A2043,"IQ_TOTAL_DEBT_ISSUED",IQ_FY-7), _xll.ciqfunctions.udf.CIQ(A2043, "IQ_TOTAL_DEBT_ISSUED",IQ_FY-6))</f>
        <v>0</v>
      </c>
      <c r="N2046" s="17">
        <f>IF(A2051=A2052,_xll.ciqfunctions.udf.CIQ(A2043,"IQ_TOTAL_DEBT_REPAID",IQ_FY-7), _xll.ciqfunctions.udf.CIQ(A2043, "IQ_TOTAL_DEBT_REPAID",IQ_FY-6))</f>
        <v>-81.766999999999996</v>
      </c>
      <c r="O2046" s="15">
        <f t="shared" si="545"/>
        <v>-0.55975825114071098</v>
      </c>
      <c r="P2046" s="15">
        <f t="shared" si="546"/>
        <v>0.54839426937675284</v>
      </c>
      <c r="Q2046" s="25" t="s">
        <v>23</v>
      </c>
      <c r="R2046" s="38" t="s">
        <v>24</v>
      </c>
      <c r="S2046" s="1">
        <f>R2042/(AVERAGE(H2048:H2053)*(1+H2054)/(0.5-H2054))</f>
        <v>25.825027422430384</v>
      </c>
      <c r="U2046" s="25" t="s">
        <v>40</v>
      </c>
      <c r="V2046" s="38" t="s">
        <v>24</v>
      </c>
      <c r="W2046" s="1">
        <f>V2042/(AVERAGE(H2048:H2053)*(1+H2054)/(0.5-H2054))</f>
        <v>25.825027422430384</v>
      </c>
      <c r="Y2046" s="25" t="s">
        <v>47</v>
      </c>
      <c r="Z2046" s="38" t="s">
        <v>24</v>
      </c>
      <c r="AA2046" s="1">
        <f>Z2042/(AVERAGE(H2048:H2053)*(1+H2054)/(0.5-H2054))</f>
        <v>25.825027422430384</v>
      </c>
    </row>
    <row r="2047" spans="1:27">
      <c r="B2047" s="13">
        <v>5</v>
      </c>
      <c r="C2047" s="14" t="s">
        <v>25</v>
      </c>
      <c r="D2047" s="15" cm="1">
        <f t="array" ref="D2047">_xlfn.SINGLE(IF(A2051=A2052,_xll.ciqfunctions.udf.CIQ(A2043,"IQ_TOTAL_REV",IQ_FY-6)/I2047, _xll.ciqfunctions.udf.CIQ(A2043, "IQ_TOTAL_REV",IQ_FY-5)/I2047))</f>
        <v>18.037995172275242</v>
      </c>
      <c r="E2047" s="16">
        <f t="shared" si="547"/>
        <v>0.13704673920455043</v>
      </c>
      <c r="F2047" s="15">
        <f>IF(A2051=A2052,_xll.ciqfunctions.udf.CIQ(A2043,"IQ_DILUT_EPS_EXCL",IQ_FY-6), _xll.ciqfunctions.udf.CIQ(A2043, "IQ_DILUT_EPS_EXCL",IQ_FY-5))</f>
        <v>-0.14000000000000001</v>
      </c>
      <c r="G2047" s="15">
        <f>IF(A2051=A2052,_xll.ciqfunctions.udf.CIQ(A2043,"IQ_EBITDA_MARGIN",IQ_FY-6), _xll.ciqfunctions.udf.CIQ(A2043, "IQ_EBITDA_MARGIN",IQ_FY-5))</f>
        <v>18.686900000000001</v>
      </c>
      <c r="H2047" s="15">
        <f>IF(A2051=A2052,_xll.ciqfunctions.udf.CIQ(A2043,"IQ_TOTAL_DIV_PAID_CF",IQ_FY-6)/-I2047, _xll.ciqfunctions.udf.CIQ(A2043, "IQ_TOTAL_DIV_PAID_CF",IQ_FY-5)/-I2047)</f>
        <v>0.25709698785921253</v>
      </c>
      <c r="I2047" s="17">
        <f>IF(A2051=A2052,_xll.ciqfunctions.udf.CIQ(A2043,"IQ_TOTAL_OUTSTANDING_FILING_DATE",IQ_FY-6), _xll.ciqfunctions.udf.CIQ(A2043, "IQ_TOTAL_OUTSTANDING_FILING_DATE",IQ_FY-5))</f>
        <v>144.10515000000001</v>
      </c>
      <c r="J2047" s="17">
        <f>IF(A2051=A2052,_xll.ciqfunctions.udf.CIQ(A2043,"IQ_CASH_OPER",IQ_FY-6), _xll.ciqfunctions.udf.CIQ(A2043, "IQ_CASH_OPER",IQ_FY-5))</f>
        <v>368.77699999999999</v>
      </c>
      <c r="K2047" s="17">
        <f>IF(A2051=A2052,_xll.ciqfunctions.udf.CIQ(A2043,"IQ_CAPEX",IQ_FY-6), _xll.ciqfunctions.udf.CIQ(A2043, "IQ_CAPEX",IQ_FY-5))</f>
        <v>-170.43199999999999</v>
      </c>
      <c r="L2047" s="15">
        <f t="shared" si="544"/>
        <v>1.3763907813148939</v>
      </c>
      <c r="M2047" s="17">
        <f>IF(A2051=A2052,_xll.ciqfunctions.udf.CIQ(A2043,"IQ_TOTAL_DEBT_ISSUED",IQ_FY-6), _xll.ciqfunctions.udf.CIQ(A2043, "IQ_TOTAL_DEBT_ISSUED",IQ_FY-5))</f>
        <v>7.0010000000000003</v>
      </c>
      <c r="N2047" s="17">
        <f>IF(A2051=A2052,_xll.ciqfunctions.udf.CIQ(A2043,"IQ_TOTAL_DEBT_REPAID",IQ_FY-6), _xll.ciqfunctions.udf.CIQ(A2043, "IQ_TOTAL_DEBT_REPAID",IQ_FY-5))</f>
        <v>0</v>
      </c>
      <c r="O2047" s="15">
        <f t="shared" si="545"/>
        <v>4.8582580150674695E-2</v>
      </c>
      <c r="P2047" s="15">
        <f t="shared" si="546"/>
        <v>1.4249733614655686</v>
      </c>
      <c r="Q2047" s="18"/>
      <c r="R2047" s="38" t="s">
        <v>50</v>
      </c>
      <c r="S2047" s="3">
        <f>I2054</f>
        <v>-8.4324262666445327E-3</v>
      </c>
      <c r="U2047" s="18"/>
      <c r="V2047" s="38" t="s">
        <v>50</v>
      </c>
      <c r="W2047" s="3">
        <f>I2054</f>
        <v>-8.4324262666445327E-3</v>
      </c>
      <c r="Y2047" s="18"/>
      <c r="Z2047" s="38" t="s">
        <v>50</v>
      </c>
      <c r="AA2047" s="3">
        <f>I2054</f>
        <v>-8.4324262666445327E-3</v>
      </c>
    </row>
    <row r="2048" spans="1:27">
      <c r="B2048" s="13">
        <v>6</v>
      </c>
      <c r="C2048" s="14" t="s">
        <v>26</v>
      </c>
      <c r="D2048" s="15" cm="1">
        <f t="array" ref="D2048">_xlfn.SINGLE(IF(A2051=A2052,_xll.ciqfunctions.udf.CIQ(A2043,"IQ_TOTAL_REV",IQ_FY-5)/I2048, _xll.ciqfunctions.udf.CIQ(A2043, "IQ_TOTAL_REV",IQ_FY-4)/I2048))</f>
        <v>21.027679141966139</v>
      </c>
      <c r="E2048" s="16">
        <f t="shared" si="547"/>
        <v>0.16574369496927804</v>
      </c>
      <c r="F2048" s="15">
        <f>IF(A2051=A2052,_xll.ciqfunctions.udf.CIQ(A2043,"IQ_DILUT_EPS_EXCL",IQ_FY-5), _xll.ciqfunctions.udf.CIQ(A2043, "IQ_DILUT_EPS_EXCL",IQ_FY-4))</f>
        <v>2.2400000000000002</v>
      </c>
      <c r="G2048" s="15">
        <f>IF(A2051=A2052,_xll.ciqfunctions.udf.CIQ(A2043,"IQ_EBITDA_MARGIN",IQ_FY-5), _xll.ciqfunctions.udf.CIQ(A2043, "IQ_EBITDA_MARGIN",IQ_FY-4))</f>
        <v>20.8873</v>
      </c>
      <c r="H2048" s="15">
        <f>IF(A2051=A2052,_xll.ciqfunctions.udf.CIQ(A2043,"IQ_TOTAL_DIV_PAID_CF",IQ_FY-5)/-I2048, _xll.ciqfunctions.udf.CIQ(A2043, "IQ_TOTAL_DIV_PAID_CF",IQ_FY-4)/-I2048)</f>
        <v>0.32226575086069881</v>
      </c>
      <c r="I2048" s="17">
        <f>IF(A2051=A2052,_xll.ciqfunctions.udf.CIQ(A2043,"IQ_TOTAL_OUTSTANDING_FILING_DATE",IQ_FY-5), _xll.ciqfunctions.udf.CIQ(A2043, "IQ_TOTAL_OUTSTANDING_FILING_DATE",IQ_FY-4))</f>
        <v>144.31878</v>
      </c>
      <c r="J2048" s="17">
        <f>IF(A2051=A2052,_xll.ciqfunctions.udf.CIQ(A2043,"IQ_CASH_OPER",IQ_FY-5), _xll.ciqfunctions.udf.CIQ(A2043, "IQ_CASH_OPER",IQ_FY-4))</f>
        <v>258.50599999999997</v>
      </c>
      <c r="K2048" s="17">
        <f>IF(A2051=A2052,_xll.ciqfunctions.udf.CIQ(A2043,"IQ_CAPEX",IQ_FY-5), _xll.ciqfunctions.udf.CIQ(A2043, "IQ_CAPEX",IQ_FY-4))</f>
        <v>-229.899</v>
      </c>
      <c r="L2048" s="15">
        <f t="shared" si="544"/>
        <v>0.19822091068120151</v>
      </c>
      <c r="M2048" s="17">
        <f>IF(A2051=A2052,_xll.ciqfunctions.udf.CIQ(A2043,"IQ_TOTAL_DEBT_ISSUED",IQ_FY-5), _xll.ciqfunctions.udf.CIQ(A2043, "IQ_TOTAL_DEBT_ISSUED",IQ_FY-4))</f>
        <v>600.01499999999999</v>
      </c>
      <c r="N2048" s="17">
        <f>IF(A2051=A2052,_xll.ciqfunctions.udf.CIQ(A2043,"IQ_TOTAL_DEBT_REPAID",IQ_FY-5), _xll.ciqfunctions.udf.CIQ(A2043, "IQ_TOTAL_DEBT_REPAID",IQ_FY-4))</f>
        <v>-1110.9949999999999</v>
      </c>
      <c r="O2048" s="15">
        <f t="shared" si="545"/>
        <v>-3.5406341433872979</v>
      </c>
      <c r="P2048" s="15">
        <f t="shared" si="546"/>
        <v>-3.3424132327060962</v>
      </c>
      <c r="Q2048" s="25" t="s">
        <v>27</v>
      </c>
      <c r="R2048" s="38" t="s">
        <v>51</v>
      </c>
      <c r="S2048" s="4">
        <f>AVERAGE(F2048:F2053)/AVERAGE(D2048:D2053)</f>
        <v>9.0633497555120734E-2</v>
      </c>
      <c r="U2048" s="25" t="s">
        <v>58</v>
      </c>
      <c r="V2048" s="38" t="s">
        <v>51</v>
      </c>
      <c r="W2048" s="4">
        <f>AVERAGE(F2048:F2053)/AVERAGE(D2048:D2053)</f>
        <v>9.0633497555120734E-2</v>
      </c>
      <c r="Y2048" s="25" t="s">
        <v>56</v>
      </c>
      <c r="Z2048" s="38" t="s">
        <v>51</v>
      </c>
      <c r="AA2048" s="4">
        <f>AVERAGE(F2048:F2053)/AVERAGE(D2048:D2053)</f>
        <v>9.0633497555120734E-2</v>
      </c>
    </row>
    <row r="2049" spans="1:27">
      <c r="A2049" s="18"/>
      <c r="B2049" s="13">
        <v>7</v>
      </c>
      <c r="C2049" s="14" t="s">
        <v>28</v>
      </c>
      <c r="D2049" s="15" cm="1">
        <f t="array" ref="D2049">_xlfn.SINGLE(IF(A2051=A2052,_xll.ciqfunctions.udf.CIQ(A2043,"IQ_TOTAL_REV",IQ_FY-4)/I2049, _xll.ciqfunctions.udf.CIQ(A2043, "IQ_TOTAL_REV",IQ_FY-3)/I2049))</f>
        <v>18.459555951761864</v>
      </c>
      <c r="E2049" s="16">
        <f t="shared" si="547"/>
        <v>-0.12213060570621535</v>
      </c>
      <c r="F2049" s="15">
        <f>IF(A2051=A2052,_xll.ciqfunctions.udf.CIQ(A2043,"IQ_DILUT_EPS_EXCL",IQ_FY-4), _xll.ciqfunctions.udf.CIQ(A2043, "IQ_DILUT_EPS_EXCL",IQ_FY-3))</f>
        <v>1.1299999999999999</v>
      </c>
      <c r="G2049" s="15">
        <f>IF(A2051=A2052,_xll.ciqfunctions.udf.CIQ(A2043,"IQ_EBITDA_MARGIN",IQ_FY-4), _xll.ciqfunctions.udf.CIQ(A2043, "IQ_EBITDA_MARGIN",IQ_FY-3))</f>
        <v>16.38</v>
      </c>
      <c r="H2049" s="15">
        <f>IF(A2051=A2052,_xll.ciqfunctions.udf.CIQ(A2043,"IQ_TOTAL_DIV_PAID_CF",IQ_FY-4)/-I2049, _xll.ciqfunctions.udf.CIQ(A2043, "IQ_TOTAL_DIV_PAID_CF",IQ_FY-3)/-I2049)</f>
        <v>0.3697300377153141</v>
      </c>
      <c r="I2049" s="17">
        <f>IF(A2051=A2052,_xll.ciqfunctions.udf.CIQ(A2043,"IQ_TOTAL_OUTSTANDING_FILING_DATE",IQ_FY-4), _xll.ciqfunctions.udf.CIQ(A2043, "IQ_TOTAL_OUTSTANDING_FILING_DATE",IQ_FY-3))</f>
        <v>144.54871</v>
      </c>
      <c r="J2049" s="17">
        <f>IF(A2051=A2052,_xll.ciqfunctions.udf.CIQ(A2043,"IQ_CASH_OPER",IQ_FY-4), _xll.ciqfunctions.udf.CIQ(A2043, "IQ_CASH_OPER",IQ_FY-3))</f>
        <v>296.44400000000002</v>
      </c>
      <c r="K2049" s="17">
        <f>IF(A2051=A2052,_xll.ciqfunctions.udf.CIQ(A2043,"IQ_CAPEX",IQ_FY-4), _xll.ciqfunctions.udf.CIQ(A2043, "IQ_CAPEX",IQ_FY-3))</f>
        <v>-156.64099999999999</v>
      </c>
      <c r="L2049" s="15">
        <f t="shared" si="544"/>
        <v>0.9671687834502295</v>
      </c>
      <c r="M2049" s="17">
        <f>IF(A2051=A2052,_xll.ciqfunctions.udf.CIQ(A2043,"IQ_TOTAL_DEBT_ISSUED",IQ_FY-4), _xll.ciqfunctions.udf.CIQ(A2043, "IQ_TOTAL_DEBT_ISSUED",IQ_FY-3))</f>
        <v>0</v>
      </c>
      <c r="N2049" s="17">
        <f>IF(A2051=A2052,_xll.ciqfunctions.udf.CIQ(A2043,"IQ_TOTAL_DEBT_REPAID",IQ_FY-4), _xll.ciqfunctions.udf.CIQ(A2043, "IQ_TOTAL_DEBT_REPAID",IQ_FY-3))</f>
        <v>-27.879000000000001</v>
      </c>
      <c r="O2049" s="15">
        <f t="shared" si="545"/>
        <v>-0.19286924110218626</v>
      </c>
      <c r="P2049" s="15">
        <f t="shared" si="546"/>
        <v>0.77429954234804321</v>
      </c>
      <c r="Q2049" s="18"/>
      <c r="R2049" s="38" t="s">
        <v>29</v>
      </c>
      <c r="S2049" s="4">
        <f>(AVERAGE(P2048:P2053)/_xlfn.STDEV.P(P2048:P2053))/(IF(A2051=A2052,(_xlfn.SINGLE(_xll.ciqfunctions.udf.CIQ(A2043,"IQ_total_assets",IQ_FY)) - _xlfn.SINGLE(_xll.ciqfunctions.udf.CIQ(A2043,"iq_gw_intan", IQ_FY)))/I2053, (_xlfn.SINGLE(_xll.ciqfunctions.udf.CIQ(A2043, "IQ_total_assets",IQ_LTM))-_xlfn.SINGLE(_xll.ciqfunctions.udf.CIQ(A2043,"iq_gw_intan",IQ_LTM)))/I2053))</f>
        <v>1.2670055608632763E-2</v>
      </c>
      <c r="U2049" s="18"/>
      <c r="V2049" s="38" t="s">
        <v>29</v>
      </c>
      <c r="W2049" s="4">
        <f>(AVERAGE(P2048:P2053)/_xlfn.STDEV.P(P2048:P2053))/(IF(A2051=A2052,(_xlfn.SINGLE(_xll.ciqfunctions.udf.CIQ(A2043,"IQ_total_assets",IQ_FY)) - _xlfn.SINGLE(_xll.ciqfunctions.udf.CIQ(A2043,"iq_gw_intan", IQ_FY)))/I2053, (_xlfn.SINGLE(_xll.ciqfunctions.udf.CIQ(A2043, "IQ_total_assets",IQ_LTM))-_xlfn.SINGLE(_xll.ciqfunctions.udf.CIQ(A2043,"iq_gw_intan",IQ_LTM)))/I2053))</f>
        <v>1.2670055608632763E-2</v>
      </c>
      <c r="Y2049" s="18"/>
      <c r="Z2049" s="38" t="s">
        <v>29</v>
      </c>
      <c r="AA2049" s="4">
        <f>(AVERAGE(P2048:P2053)/_xlfn.STDEV.P(P2048:P2053))/(IF(A2051=A2052,(_xlfn.SINGLE(_xll.ciqfunctions.udf.CIQ(A2043,"IQ_total_assets",IQ_FY)) - _xlfn.SINGLE(_xll.ciqfunctions.udf.CIQ(A2043,"iq_gw_intan", IQ_FY)))/I2053, (_xlfn.SINGLE(_xll.ciqfunctions.udf.CIQ(A2043, "IQ_total_assets",IQ_LTM))-_xlfn.SINGLE(_xll.ciqfunctions.udf.CIQ(A2043,"iq_gw_intan",IQ_LTM)))/I2053))</f>
        <v>1.2670055608632763E-2</v>
      </c>
    </row>
    <row r="2050" spans="1:27">
      <c r="A2050" s="18"/>
      <c r="B2050" s="13">
        <v>8</v>
      </c>
      <c r="C2050" s="14" t="s">
        <v>30</v>
      </c>
      <c r="D2050" s="15" cm="1">
        <f t="array" ref="D2050">_xlfn.SINGLE(IF(A2051=A2052,_xll.ciqfunctions.udf.CIQ(A2043,"IQ_TOTAL_REV",IQ_FY-3)/I2050, _xll.ciqfunctions.udf.CIQ(A2043, "IQ_TOTAL_REV",IQ_FY-2)/I2050))</f>
        <v>17.286567140254082</v>
      </c>
      <c r="E2050" s="16">
        <f t="shared" si="547"/>
        <v>-6.3543717658919446E-2</v>
      </c>
      <c r="F2050" s="15">
        <f>IF(A2051=A2052,_xll.ciqfunctions.udf.CIQ(A2043,"IQ_DILUT_EPS_EXCL",IQ_FY-3), _xll.ciqfunctions.udf.CIQ(A2043, "IQ_DILUT_EPS_EXCL",IQ_FY-2))</f>
        <v>0.84870000000000001</v>
      </c>
      <c r="G2050" s="15">
        <f>IF(A2051=A2052,_xll.ciqfunctions.udf.CIQ(A2043,"IQ_EBITDA_MARGIN",IQ_FY-3), _xll.ciqfunctions.udf.CIQ(A2043, "IQ_EBITDA_MARGIN",IQ_FY-2))</f>
        <v>14.636100000000001</v>
      </c>
      <c r="H2050" s="15">
        <f>IF(A2051=A2052,_xll.ciqfunctions.udf.CIQ(A2043,"IQ_TOTAL_DIV_PAID_CF",IQ_FY-3)/-I2050, _xll.ciqfunctions.udf.CIQ(A2043, "IQ_TOTAL_DIV_PAID_CF",IQ_FY-2)/-I2050)</f>
        <v>0.37980177814308447</v>
      </c>
      <c r="I2050" s="17">
        <f>IF(A2051=A2052,_xll.ciqfunctions.udf.CIQ(A2043,"IQ_TOTAL_OUTSTANDING_FILING_DATE",IQ_FY-3), _xll.ciqfunctions.udf.CIQ(A2043, "IQ_TOTAL_OUTSTANDING_FILING_DATE",IQ_FY-2))</f>
        <v>144.73076</v>
      </c>
      <c r="J2050" s="17">
        <f>IF(A2051=A2052,_xll.ciqfunctions.udf.CIQ(A2043,"IQ_CASH_OPER",IQ_FY-3), _xll.ciqfunctions.udf.CIQ(A2043, "IQ_CASH_OPER",IQ_FY-2))</f>
        <v>314.93799999999999</v>
      </c>
      <c r="K2050" s="17">
        <f>IF(A2051=A2052,_xll.ciqfunctions.udf.CIQ(A2043,"IQ_CAPEX",IQ_FY-3), _xll.ciqfunctions.udf.CIQ(A2043, "IQ_CAPEX",IQ_FY-2))</f>
        <v>-123.599</v>
      </c>
      <c r="L2050" s="15">
        <f t="shared" si="544"/>
        <v>1.3220340997311144</v>
      </c>
      <c r="M2050" s="17">
        <f>IF(A2051=A2052,_xll.ciqfunctions.udf.CIQ(A2043,"IQ_TOTAL_DEBT_ISSUED",IQ_FY-3), _xll.ciqfunctions.udf.CIQ(A2043, "IQ_TOTAL_DEBT_ISSUED",IQ_FY-2))</f>
        <v>0</v>
      </c>
      <c r="N2050" s="17">
        <f>IF(A2051=A2052,_xll.ciqfunctions.udf.CIQ(A2043,"IQ_TOTAL_DEBT_REPAID",IQ_FY-3), _xll.ciqfunctions.udf.CIQ(A2043, "IQ_TOTAL_DEBT_REPAID",IQ_FY-2))</f>
        <v>-151.797</v>
      </c>
      <c r="O2050" s="15">
        <f t="shared" si="545"/>
        <v>-1.0488233461912311</v>
      </c>
      <c r="P2050" s="15">
        <f t="shared" si="546"/>
        <v>0.27321075353988333</v>
      </c>
      <c r="Q2050" s="18"/>
      <c r="R2050" s="39" t="s">
        <v>31</v>
      </c>
      <c r="S2050" s="5">
        <f>IF(NOT(D2043&gt;0),FALSE,SLOPE(G2043:G2053,B2043:B2053))</f>
        <v>0.50475636363636367</v>
      </c>
      <c r="U2050" s="18"/>
      <c r="V2050" s="39" t="s">
        <v>31</v>
      </c>
      <c r="W2050" s="5">
        <f>IF(NOT(D2043&gt;0),FALSE,SLOPE(G2043:G2053,B2043:B2053))</f>
        <v>0.50475636363636367</v>
      </c>
      <c r="Y2050" s="18"/>
      <c r="Z2050" s="39" t="s">
        <v>31</v>
      </c>
      <c r="AA2050" s="5">
        <f>IF(NOT(L2043&gt;0),FALSE,SLOPE(O2043:O2053,J2043:J2053))</f>
        <v>9.3266052603136074E-3</v>
      </c>
    </row>
    <row r="2051" spans="1:27">
      <c r="A2051" s="19">
        <f>_xll.ciqfunctions.udf.CIQ(A2043,"IQ_TOTAL_REV",IQ_FY)</f>
        <v>3497.4009999999998</v>
      </c>
      <c r="B2051" s="13">
        <v>9</v>
      </c>
      <c r="C2051" s="14" t="s">
        <v>32</v>
      </c>
      <c r="D2051" s="15" cm="1">
        <f t="array" ref="D2051">_xlfn.SINGLE(IF(A2051=A2052,_xll.ciqfunctions.udf.CIQ(A2043,"IQ_TOTAL_REV",IQ_FY-2)/I2051, _xll.ciqfunctions.udf.CIQ(A2043, "IQ_TOTAL_REV",IQ_FY-1)/I2051))</f>
        <v>22.363200396956163</v>
      </c>
      <c r="E2051" s="16">
        <f t="shared" si="547"/>
        <v>0.2936750377048814</v>
      </c>
      <c r="F2051" s="15">
        <f>IF(A2051=A2052,_xll.ciqfunctions.udf.CIQ(A2043,"IQ_DILUT_EPS_EXCL",IQ_FY-2), _xll.ciqfunctions.udf.CIQ(A2043, "IQ_DILUT_EPS_EXCL",IQ_FY-1))</f>
        <v>2.0499999999999998</v>
      </c>
      <c r="G2051" s="15">
        <f>IF(A2051=A2052,_xll.ciqfunctions.udf.CIQ(A2043,"IQ_EBITDA_MARGIN",IQ_FY-2), _xll.ciqfunctions.udf.CIQ(A2043, "IQ_EBITDA_MARGIN",IQ_FY-1))</f>
        <v>19.183299999999999</v>
      </c>
      <c r="H2051" s="15">
        <f>IF(A2051=A2052,_xll.ciqfunctions.udf.CIQ(A2043,"IQ_TOTAL_DIV_PAID_CF",IQ_FY-2)/-I2051, _xll.ciqfunctions.udf.CIQ(A2043, "IQ_TOTAL_DIV_PAID_CF",IQ_FY-1)/-I2051)</f>
        <v>0.38474796699715291</v>
      </c>
      <c r="I2051" s="17">
        <f>IF(A2051=A2052,_xll.ciqfunctions.udf.CIQ(A2043,"IQ_TOTAL_OUTSTANDING_FILING_DATE",IQ_FY-2), _xll.ciqfunctions.udf.CIQ(A2043, "IQ_TOTAL_OUTSTANDING_FILING_DATE",IQ_FY-1))</f>
        <v>144.90264999999999</v>
      </c>
      <c r="J2051" s="17">
        <f>IF(A2051=A2052,_xll.ciqfunctions.udf.CIQ(A2043,"IQ_CASH_OPER",IQ_FY-2), _xll.ciqfunctions.udf.CIQ(A2043, "IQ_CASH_OPER",IQ_FY-1))</f>
        <v>457.10399999999998</v>
      </c>
      <c r="K2051" s="17">
        <f>IF(A2051=A2052,_xll.ciqfunctions.udf.CIQ(A2043,"IQ_CAPEX",IQ_FY-2), _xll.ciqfunctions.udf.CIQ(A2043, "IQ_CAPEX",IQ_FY-1))</f>
        <v>-218.37200000000001</v>
      </c>
      <c r="L2051" s="15">
        <f t="shared" si="544"/>
        <v>1.6475337062503685</v>
      </c>
      <c r="M2051" s="17">
        <f>IF(A2051=A2052,_xll.ciqfunctions.udf.CIQ(A2043,"IQ_TOTAL_DEBT_ISSUED",IQ_FY-2), _xll.ciqfunctions.udf.CIQ(A2043, "IQ_TOTAL_DEBT_ISSUED",IQ_FY-1))</f>
        <v>0</v>
      </c>
      <c r="N2051" s="17">
        <f>IF(A2051=A2052,_xll.ciqfunctions.udf.CIQ(A2043,"IQ_TOTAL_DEBT_REPAID",IQ_FY-2), _xll.ciqfunctions.udf.CIQ(A2043, "IQ_TOTAL_DEBT_REPAID",IQ_FY-1))</f>
        <v>-0.3</v>
      </c>
      <c r="O2051" s="15">
        <f t="shared" si="545"/>
        <v>-2.0703555110965881E-3</v>
      </c>
      <c r="P2051" s="15">
        <f t="shared" si="546"/>
        <v>1.645463350739272</v>
      </c>
      <c r="Q2051" s="25" t="s">
        <v>33</v>
      </c>
      <c r="R2051" s="38" t="s">
        <v>52</v>
      </c>
      <c r="S2051" s="4">
        <f>(AVERAGE(O2048:O2053)/AVERAGE(P2048:P2053))</f>
        <v>-0.38970355860614969</v>
      </c>
      <c r="U2051" s="25" t="s">
        <v>54</v>
      </c>
      <c r="V2051" s="38" t="s">
        <v>52</v>
      </c>
      <c r="W2051" s="4">
        <f>(AVERAGE(O2048:O2053)/AVERAGE(P2048:P2053))</f>
        <v>-0.38970355860614969</v>
      </c>
      <c r="Y2051" s="25" t="s">
        <v>60</v>
      </c>
      <c r="Z2051" s="38" t="s">
        <v>52</v>
      </c>
      <c r="AA2051" s="4">
        <f>(AVERAGE(O2048:O2053)/AVERAGE(P2048:P2053))</f>
        <v>-0.38970355860614969</v>
      </c>
    </row>
    <row r="2052" spans="1:27">
      <c r="A2052" s="19">
        <f>_xll.ciqfunctions.udf.CIQ(A2043,"IQ_TOTAL_REV",IQ_LTM)</f>
        <v>3472.107</v>
      </c>
      <c r="B2052" s="13">
        <v>10</v>
      </c>
      <c r="C2052" s="14" t="s">
        <v>34</v>
      </c>
      <c r="D2052" s="15" cm="1">
        <f t="array" ref="D2052">_xlfn.SINGLE(IF(A2051=A2052,_xll.ciqfunctions.udf.CIQ(A2043,"IQ_TOTAL_REV",IQ_FY-1)/I2052, _xll.ciqfunctions.udf.CIQ(A2043, "IQ_TOTAL_REV",IQ_FY)/I2052))</f>
        <v>24.899675850083689</v>
      </c>
      <c r="E2052" s="16">
        <f t="shared" si="547"/>
        <v>0.11342184517886642</v>
      </c>
      <c r="F2052" s="15">
        <f>IF(A2051=A2052,_xll.ciqfunctions.udf.CIQ(A2043,"IQ_DILUT_EPS_EXCL",IQ_FY-1), _xll.ciqfunctions.udf.CIQ(A2043, "IQ_DILUT_EPS_EXCL",IQ_FY))</f>
        <v>2.98</v>
      </c>
      <c r="G2052" s="15">
        <f>IF(A2051=A2052,_xll.ciqfunctions.udf.CIQ(A2043,"IQ_EBITDA_MARGIN",IQ_FY-1), _xll.ciqfunctions.udf.CIQ(A2043, "IQ_EBITDA_MARGIN",IQ_FY))</f>
        <v>22.176200000000001</v>
      </c>
      <c r="H2052" s="15">
        <f>IF(A2051=A2052,_xll.ciqfunctions.udf.CIQ(A2043,"IQ_TOTAL_DIV_PAID_CF",IQ_FY-1)/-I2052, _xll.ciqfunctions.udf.CIQ(A2043, "IQ_TOTAL_DIV_PAID_CF",IQ_FY)/-I2052)</f>
        <v>0.40714169259937188</v>
      </c>
      <c r="I2052" s="17">
        <f>IF(A2051=A2052,_xll.ciqfunctions.udf.CIQ(A2043,"IQ_TOTAL_OUTSTANDING_FILING_DATE",IQ_FY-1), _xll.ciqfunctions.udf.CIQ(A2043, "IQ_TOTAL_OUTSTANDING_FILING_DATE",IQ_FY))</f>
        <v>140.4597</v>
      </c>
      <c r="J2052" s="17">
        <f>IF(A2051=A2052,_xll.ciqfunctions.udf.CIQ(A2043,"IQ_CASH_OPER",IQ_FY-1), _xll.ciqfunctions.udf.CIQ(A2043, "IQ_CASH_OPER",IQ_FY))</f>
        <v>484.28800000000001</v>
      </c>
      <c r="K2052" s="17">
        <f>IF(A2051=A2052,_xll.ciqfunctions.udf.CIQ(A2043,"IQ_CAPEX",IQ_FY-1), _xll.ciqfunctions.udf.CIQ(A2043, "IQ_CAPEX",IQ_FY))</f>
        <v>-325.30799999999999</v>
      </c>
      <c r="L2052" s="15">
        <f t="shared" si="544"/>
        <v>1.1318549021534292</v>
      </c>
      <c r="M2052" s="17">
        <f>IF(A2051=A2052,_xll.ciqfunctions.udf.CIQ(A2043,"IQ_TOTAL_DEBT_ISSUED",IQ_FY-1), _xll.ciqfunctions.udf.CIQ(A2043, "IQ_TOTAL_DEBT_ISSUED",IQ_FY))</f>
        <v>42</v>
      </c>
      <c r="N2052" s="17">
        <f>IF(A2051=A2052,_xll.ciqfunctions.udf.CIQ(A2043,"IQ_TOTAL_DEBT_REPAID",IQ_FY-1), _xll.ciqfunctions.udf.CIQ(A2043, "IQ_TOTAL_DEBT_REPAID",IQ_FY))</f>
        <v>0</v>
      </c>
      <c r="O2052" s="15">
        <f t="shared" si="545"/>
        <v>0.29901815253770297</v>
      </c>
      <c r="P2052" s="15">
        <f t="shared" si="546"/>
        <v>1.4308730546911321</v>
      </c>
      <c r="Q2052" s="25" t="s">
        <v>44</v>
      </c>
      <c r="R2052" s="38" t="s">
        <v>35</v>
      </c>
      <c r="S2052" s="1">
        <f>_xll.ciqfunctions.udf.CIQ(A2043,"IQ_TEV_EBITDA")</f>
        <v>3.8654799999999998</v>
      </c>
      <c r="U2052" s="25" t="s">
        <v>55</v>
      </c>
      <c r="V2052" s="38" t="s">
        <v>53</v>
      </c>
      <c r="W2052" s="1">
        <f>V2042/(AVERAGE(D2048:D2053)/_xlfn.STDEV.P(E2048:E2053))</f>
        <v>0.14777633631644368</v>
      </c>
      <c r="Y2052" s="25" t="s">
        <v>57</v>
      </c>
      <c r="Z2052" s="38" t="s">
        <v>53</v>
      </c>
      <c r="AA2052" s="1">
        <f>Z2042/(AVERAGE(D2048:D2053)/_xlfn.STDEV.P(E2048:E2053))</f>
        <v>0.14777633631644368</v>
      </c>
    </row>
    <row r="2053" spans="1:27">
      <c r="B2053" s="13">
        <v>11</v>
      </c>
      <c r="C2053" s="20" t="s">
        <v>36</v>
      </c>
      <c r="D2053" s="21" cm="1">
        <f t="array" ref="D2053">_xlfn.SINGLE(IF(A2051=A2052,_xll.ciqfunctions.udf.CIQ(A2043,"IQ_TOTAL_REV",IQ_FY)/I2053, _xll.ciqfunctions.udf.CIQ(A2043, "IQ_TOTAL_REV",IQ_LTM)/I2053))</f>
        <v>25.099130195918267</v>
      </c>
      <c r="E2053" s="22">
        <f t="shared" si="547"/>
        <v>8.010318971036233E-3</v>
      </c>
      <c r="F2053" s="21">
        <f>IF(A2051=A2052,_xll.ciqfunctions.udf.CIQ(A2043,"IQ_DILUT_EPS_EXCL",IQ_FY), _xll.ciqfunctions.udf.CIQ(A2043, "IQ_DILUT_EPS_EXCL",IQ_LTM))</f>
        <v>2.45533</v>
      </c>
      <c r="G2053" s="21">
        <f>IF(A2051=A2052,_xll.ciqfunctions.udf.CIQ(A2043,"IQ_EBITDA_MARGIN",IQ_FY), _xll.ciqfunctions.udf.CIQ(A2043, "IQ_EBITDA_MARGIN",IQ_LTM))</f>
        <v>20.488</v>
      </c>
      <c r="H2053" s="21">
        <f>IF(A2051=A2052,_xll.ciqfunctions.udf.CIQ(A2043,"IQ_TOTAL_DIV_PAID_CF",IQ_FY)/-I2053, _xll.ciqfunctions.udf.CIQ(A2043, "IQ_TOTAL_DIV_PAID_CF",IQ_LTM)/-I2053)</f>
        <v>0.40453028230229715</v>
      </c>
      <c r="I2053" s="23">
        <f>IF(A2051=A2052,_xll.ciqfunctions.udf.CIQ(A2043,"IQ_TOTAL_OUTSTANDING_FILING_DATE",IQ_FY),_xll.ciqfunctions.udf.CIQ(A2043,"IQ_sharesoutstanding"))</f>
        <v>138.33574999999999</v>
      </c>
      <c r="J2053" s="23">
        <f>IF(A2051=A2052,_xll.ciqfunctions.udf.CIQ(A2043,"IQ_CASH_OPER",IQ_FY), _xll.ciqfunctions.udf.CIQ(A2043, "IQ_CASH_OPER",IQ_LTM))</f>
        <v>525.93100000000004</v>
      </c>
      <c r="K2053" s="23">
        <f>IF(A2051=A2052,_xll.ciqfunctions.udf.CIQ(A2043,"IQ_CAPEX",IQ_FY), _xll.ciqfunctions.udf.CIQ(A2043, "IQ_CAPEX",IQ_LTM))</f>
        <v>-337.21199999999999</v>
      </c>
      <c r="L2053" s="21">
        <f t="shared" si="544"/>
        <v>1.3642099023571279</v>
      </c>
      <c r="M2053" s="23">
        <f>IF(A2051=A2052,_xll.ciqfunctions.udf.CIQ(A2043,"IQ_TOTAL_DEBT_ISSUED",IQ_FY), _xll.ciqfunctions.udf.CIQ(A2043, "IQ_TOTAL_DEBT_ISSUED",IQ_LTM))</f>
        <v>792</v>
      </c>
      <c r="N2053" s="23">
        <f>IF(A2051=A2052,_xll.ciqfunctions.udf.CIQ(A2043,"IQ_TOTAL_DEBT_REPAID",IQ_FY), _xll.ciqfunctions.udf.CIQ(A2043, "IQ_TOTAL_DEBT_REPAID",IQ_LTM))</f>
        <v>-428.745</v>
      </c>
      <c r="O2053" s="21">
        <f t="shared" si="545"/>
        <v>2.6258938849863469</v>
      </c>
      <c r="P2053" s="21">
        <f t="shared" si="546"/>
        <v>3.9901037873434748</v>
      </c>
      <c r="Q2053" s="25" t="s">
        <v>45</v>
      </c>
      <c r="S2053" s="45"/>
      <c r="U2053" s="25"/>
      <c r="W2053" s="45"/>
      <c r="Y2053" s="25"/>
      <c r="AA2053" s="45"/>
    </row>
    <row r="2054" spans="1:27">
      <c r="B2054" s="24"/>
      <c r="C2054" s="25" t="s">
        <v>37</v>
      </c>
      <c r="E2054" s="26">
        <f>((D2053/D2048)^(1/5))-1</f>
        <v>3.6032706740004361E-2</v>
      </c>
      <c r="F2054" s="27">
        <f>((F2053/F2048)^(1/5))-1</f>
        <v>1.852658777505467E-2</v>
      </c>
      <c r="G2054" s="28"/>
      <c r="H2054" s="27">
        <f>((H2053/H2048)^(1/5))-1</f>
        <v>4.6519625057242608E-2</v>
      </c>
      <c r="I2054" s="27">
        <f>((I2053/I2048)^(1/5))-1</f>
        <v>-8.4324262666445327E-3</v>
      </c>
      <c r="J2054" s="27"/>
      <c r="K2054" s="27"/>
      <c r="L2054" s="26">
        <f>((L2053/L2048)^(1/5))-1</f>
        <v>0.47077536208087012</v>
      </c>
      <c r="M2054" s="26"/>
      <c r="N2054" s="26"/>
      <c r="O2054" s="26"/>
      <c r="P2054" s="26">
        <f>((P2053/P2048)^(1/5))-1</f>
        <v>-2.0360597690586197</v>
      </c>
      <c r="Q2054" s="18"/>
      <c r="R2054" s="36"/>
      <c r="S2054" s="45"/>
      <c r="U2054" s="18"/>
      <c r="V2054" s="36"/>
      <c r="W2054" s="45"/>
      <c r="Y2054" s="18"/>
      <c r="Z2054" s="36"/>
      <c r="AA2054" s="45"/>
    </row>
    <row r="2055" spans="1:27">
      <c r="A2055" s="29"/>
      <c r="B2055" s="30"/>
      <c r="C2055" s="31" t="s">
        <v>38</v>
      </c>
      <c r="D2055" s="29"/>
      <c r="E2055" s="32">
        <f>((D2053/D2043)^(1/10))-1</f>
        <v>4.5532021415887414E-2</v>
      </c>
      <c r="F2055" s="33">
        <f>((F2053/F2043)^(1/10))-1</f>
        <v>0.11685173364750234</v>
      </c>
      <c r="G2055" s="34"/>
      <c r="H2055" s="33" t="e">
        <f>((H2053/H2043)^(1/10))-1</f>
        <v>#DIV/0!</v>
      </c>
      <c r="I2055" s="33">
        <f>((I2053/I2043)^(1/10))-1</f>
        <v>-6.3596918469696062E-3</v>
      </c>
      <c r="J2055" s="33"/>
      <c r="K2055" s="33"/>
      <c r="L2055" s="32">
        <f>((L2053/L2043)^(1/10))-1</f>
        <v>3.7655205136625236E-2</v>
      </c>
      <c r="M2055" s="32"/>
      <c r="N2055" s="32"/>
      <c r="O2055" s="32"/>
      <c r="P2055" s="32">
        <f>((P2053/P2043)^(1/10))-1</f>
        <v>0.13638694082994629</v>
      </c>
      <c r="Q2055" s="40"/>
      <c r="R2055" s="41"/>
      <c r="S2055" s="46"/>
      <c r="U2055" s="40"/>
      <c r="V2055" s="41"/>
      <c r="W2055" s="46"/>
      <c r="Y2055" s="40"/>
      <c r="Z2055" s="41"/>
      <c r="AA2055" s="46"/>
    </row>
    <row r="2056" spans="1:27">
      <c r="B2056" s="24"/>
      <c r="C2056" s="25"/>
      <c r="E2056" s="26"/>
      <c r="F2056" s="27"/>
      <c r="G2056" s="28"/>
      <c r="H2056" s="27"/>
      <c r="I2056" s="27"/>
      <c r="J2056" s="27"/>
      <c r="K2056" s="27"/>
      <c r="L2056" s="26"/>
      <c r="M2056" s="17"/>
      <c r="N2056" s="17"/>
      <c r="O2056" s="17"/>
      <c r="P2056" s="35"/>
      <c r="Q2056" s="18"/>
      <c r="R2056" s="36"/>
    </row>
    <row r="2057" spans="1:27">
      <c r="A2057" s="9" t="s">
        <v>0</v>
      </c>
      <c r="B2057" s="10"/>
      <c r="C2057" s="9" t="s">
        <v>1</v>
      </c>
      <c r="D2057" s="9" t="s">
        <v>2</v>
      </c>
      <c r="E2057" s="9" t="s">
        <v>3</v>
      </c>
      <c r="F2057" s="11" t="s">
        <v>4</v>
      </c>
      <c r="G2057" s="11" t="s">
        <v>5</v>
      </c>
      <c r="H2057" s="9" t="s">
        <v>6</v>
      </c>
      <c r="I2057" s="11" t="s">
        <v>7</v>
      </c>
      <c r="J2057" s="11" t="s">
        <v>8</v>
      </c>
      <c r="K2057" s="11" t="s">
        <v>9</v>
      </c>
      <c r="L2057" s="11" t="s">
        <v>10</v>
      </c>
      <c r="M2057" s="11" t="s">
        <v>11</v>
      </c>
      <c r="N2057" s="11" t="s">
        <v>12</v>
      </c>
      <c r="O2057" s="11" t="s">
        <v>13</v>
      </c>
      <c r="P2057" s="11" t="s">
        <v>14</v>
      </c>
      <c r="Q2057" s="37" t="s">
        <v>15</v>
      </c>
      <c r="R2057" s="42">
        <f>_xll.ciqfunctions.udf.CIQ(A2058,("IQ_LASTSALEPRICE"))</f>
        <v>60.6</v>
      </c>
      <c r="S2057" s="44"/>
      <c r="U2057" s="37" t="s">
        <v>15</v>
      </c>
      <c r="V2057" s="42">
        <f>_xll.ciqfunctions.udf.CIQ(A2058,("IQ_LASTSALEPRICE"))</f>
        <v>60.6</v>
      </c>
      <c r="W2057" s="44"/>
      <c r="Y2057" s="37" t="s">
        <v>15</v>
      </c>
      <c r="Z2057" s="42">
        <f>_xll.ciqfunctions.udf.CIQ(A2058,("IQ_LASTSALEPRICE"))</f>
        <v>60.6</v>
      </c>
      <c r="AA2057" s="44"/>
    </row>
    <row r="2058" spans="1:27">
      <c r="A2058" s="12" t="str">
        <f>Analysis!B139</f>
        <v>NasdaqGS:CNXN</v>
      </c>
      <c r="B2058" s="13">
        <v>1</v>
      </c>
      <c r="C2058" s="14" t="s">
        <v>16</v>
      </c>
      <c r="D2058" s="15">
        <f>IF(A2066=A2067,_xll.ciqfunctions.udf.CIQ(A2058,"IQ_TOTAL_REV",IQ_FY-10)/I2058,_xll.ciqfunctions.udf.CIQ(A2058, "IQ_TOTAL_REV",IQ_FY-9)/I2058)</f>
        <v>84.795634794165323</v>
      </c>
      <c r="E2058" s="16"/>
      <c r="F2058" s="15">
        <f>IF(A2066=A2067,_xll.ciqfunctions.udf.CIQ(A2058,"IQ_DILUT_EPS_EXCL",IQ_FY-10), _xll.ciqfunctions.udf.CIQ(A2058, "IQ_DILUT_EPS_EXCL",IQ_FY-9))</f>
        <v>1.35</v>
      </c>
      <c r="G2058" s="15">
        <f>IF(A2066=A2067,_xll.ciqfunctions.udf.CIQ(A2058,"IQ_EBITDA_MARGIN",IQ_FY-10), _xll.ciqfunctions.udf.CIQ(A2058, "IQ_EBITDA_MARGIN",IQ_FY-9))</f>
        <v>2.9925999999999999</v>
      </c>
      <c r="H2058" s="15">
        <f>IF(A2066=A2067,_xll.ciqfunctions.udf.CIQ(A2058,"IQ_TOTAL_DIV_PAID_CF",IQ_FY-10)/-I2058, _xll.ciqfunctions.udf.CIQ(A2058, "IQ_TOTAL_DIV_PAID_CF",IQ_FY-9)/-I2058)</f>
        <v>0</v>
      </c>
      <c r="I2058" s="17">
        <f>IF(A2066=A2067,_xll.ciqfunctions.udf.CIQ(A2058,"IQ_TOTAL_OUTSTANDING_FILING_DATE",IQ_FY-10), _xll.ciqfunctions.udf.CIQ(A2058, "IQ_TOTAL_OUTSTANDING_FILING_DATE",IQ_FY-9))</f>
        <v>26.199909999999999</v>
      </c>
      <c r="J2058" s="17">
        <f>IF(A2066=A2067,_xll.ciqfunctions.udf.CIQ(A2058,"IQ_CASH_OPER",IQ_FY-10), _xll.ciqfunctions.udf.CIQ(A2058, "IQ_CASH_OPER",IQ_FY-9))</f>
        <v>19.655999999999999</v>
      </c>
      <c r="K2058" s="17">
        <f>IF(A2066=A2067,_xll.ciqfunctions.udf.CIQ(A2058,"IQ_CAPEX",IQ_FY-10), _xll.ciqfunctions.udf.CIQ(A2058, "IQ_CAPEX",IQ_FY-9))</f>
        <v>-7.6070000000000002</v>
      </c>
      <c r="L2058" s="15">
        <f t="shared" ref="L2058:L2068" si="548">(J2058+K2058)/I2058</f>
        <v>0.45988707594797079</v>
      </c>
      <c r="M2058" s="17">
        <f>IF(A2066=A2067,_xll.ciqfunctions.udf.CIQ(A2058,"IQ_TOTAL_DEBT_ISSUED",IQ_FY-10), _xll.ciqfunctions.udf.CIQ(A2058, "IQ_TOTAL_DEBT_ISSUED",IQ_FY-9))</f>
        <v>0</v>
      </c>
      <c r="N2058" s="17">
        <f>IF(A2066=A2067,_xll.ciqfunctions.udf.CIQ(A2058,"IQ_TOTAL_DEBT_REPAID",IQ_FY-10), _xll.ciqfunctions.udf.CIQ(A2058, "IQ_TOTAL_DEBT_REPAID",IQ_FY-9))</f>
        <v>-0.98899999999999999</v>
      </c>
      <c r="O2058" s="15">
        <f t="shared" ref="O2058:O2068" si="549">(M2058+N2058)/I2058</f>
        <v>-3.7748221272515821E-2</v>
      </c>
      <c r="P2058" s="15">
        <f t="shared" ref="P2058:P2068" si="550">L2058+O2058</f>
        <v>0.42213885467545498</v>
      </c>
      <c r="W2058" s="43"/>
      <c r="AA2058" s="43"/>
    </row>
    <row r="2059" spans="1:27">
      <c r="A2059" s="18" t="str">
        <f>_xll.ciqfunctions.udf.CIQ(A2058,"IQ_COMPANY_NAME")</f>
        <v>PC Connection, Inc.</v>
      </c>
      <c r="B2059" s="13">
        <v>2</v>
      </c>
      <c r="C2059" s="14" t="s">
        <v>17</v>
      </c>
      <c r="D2059" s="15">
        <f>IF(A2066=A2067,_xll.ciqfunctions.udf.CIQ(A2058,"IQ_TOTAL_REV",IQ_FY-9)/I2059, _xll.ciqfunctions.udf.CIQ(A2058, "IQ_TOTAL_REV",IQ_FY-8)/I2059)</f>
        <v>93.508559619731045</v>
      </c>
      <c r="E2059" s="16">
        <f t="shared" ref="E2059:E2068" si="551">(D2059-D2058)/D2058</f>
        <v>0.10275204433241941</v>
      </c>
      <c r="F2059" s="15">
        <f>IF(A2066=A2067,_xll.ciqfunctions.udf.CIQ(A2058,"IQ_DILUT_EPS_EXCL",IQ_FY-9), _xll.ciqfunctions.udf.CIQ(A2058, "IQ_DILUT_EPS_EXCL",IQ_FY-8))</f>
        <v>1.61</v>
      </c>
      <c r="G2059" s="15">
        <f>IF(A2066=A2067,_xll.ciqfunctions.udf.CIQ(A2058,"IQ_EBITDA_MARGIN",IQ_FY-9), _xll.ciqfunctions.udf.CIQ(A2058, "IQ_EBITDA_MARGIN",IQ_FY-8))</f>
        <v>3.2290999999999999</v>
      </c>
      <c r="H2059" s="15">
        <f>IF(A2066=A2067,_xll.ciqfunctions.udf.CIQ(A2058,"IQ_TOTAL_DIV_PAID_CF",IQ_FY-9)/-I2059, _xll.ciqfunctions.udf.CIQ(A2058, "IQ_TOTAL_DIV_PAID_CF",IQ_FY-8)/-I2059)</f>
        <v>0</v>
      </c>
      <c r="I2059" s="17">
        <f>IF(A2066=A2067,_xll.ciqfunctions.udf.CIQ(A2058,"IQ_TOTAL_OUTSTANDING_FILING_DATE",IQ_FY-9), _xll.ciqfunctions.udf.CIQ(A2058, "IQ_TOTAL_OUTSTANDING_FILING_DATE",IQ_FY-8))</f>
        <v>26.34346</v>
      </c>
      <c r="J2059" s="17">
        <f>IF(A2066=A2067,_xll.ciqfunctions.udf.CIQ(A2058,"IQ_CASH_OPER",IQ_FY-9), _xll.ciqfunctions.udf.CIQ(A2058, "IQ_CASH_OPER",IQ_FY-8))</f>
        <v>35.398000000000003</v>
      </c>
      <c r="K2059" s="17">
        <f>IF(A2066=A2067,_xll.ciqfunctions.udf.CIQ(A2058,"IQ_CAPEX",IQ_FY-9), _xll.ciqfunctions.udf.CIQ(A2058, "IQ_CAPEX",IQ_FY-8))</f>
        <v>-7.609</v>
      </c>
      <c r="L2059" s="15">
        <f t="shared" si="548"/>
        <v>1.0548728223247821</v>
      </c>
      <c r="M2059" s="17">
        <f>IF(A2066=A2067,_xll.ciqfunctions.udf.CIQ(A2058,"IQ_TOTAL_DEBT_ISSUED",IQ_FY-9), _xll.ciqfunctions.udf.CIQ(A2058, "IQ_TOTAL_DEBT_ISSUED",IQ_FY-8))</f>
        <v>0</v>
      </c>
      <c r="N2059" s="17">
        <f>IF(A2066=A2067,_xll.ciqfunctions.udf.CIQ(A2058,"IQ_TOTAL_DEBT_REPAID",IQ_FY-9), _xll.ciqfunctions.udf.CIQ(A2058, "IQ_TOTAL_DEBT_REPAID",IQ_FY-8))</f>
        <v>0</v>
      </c>
      <c r="O2059" s="15">
        <f t="shared" si="549"/>
        <v>0</v>
      </c>
      <c r="P2059" s="15">
        <f t="shared" si="550"/>
        <v>1.0548728223247821</v>
      </c>
      <c r="Q2059" s="25" t="s">
        <v>18</v>
      </c>
      <c r="R2059" s="39" t="s">
        <v>19</v>
      </c>
      <c r="S2059" s="1">
        <f>R2057/((AVERAGE(P2063:P2068))*(1+E2069)^3)</f>
        <v>24.728133687894818</v>
      </c>
      <c r="U2059" s="25" t="s">
        <v>48</v>
      </c>
      <c r="V2059" s="39" t="s">
        <v>19</v>
      </c>
      <c r="W2059" s="1">
        <f>V2057/((AVERAGE(P2063:P2068))*(1+E2069)^3)</f>
        <v>24.728133687894818</v>
      </c>
      <c r="Y2059" s="25" t="s">
        <v>39</v>
      </c>
      <c r="Z2059" s="39" t="s">
        <v>19</v>
      </c>
      <c r="AA2059" s="1">
        <f>Z2057/((AVERAGE(P2063:P2068))*(1+E2069)^3)</f>
        <v>24.728133687894818</v>
      </c>
    </row>
    <row r="2060" spans="1:27">
      <c r="B2060" s="13">
        <v>3</v>
      </c>
      <c r="C2060" s="14" t="s">
        <v>20</v>
      </c>
      <c r="D2060" s="15" cm="1">
        <f t="array" ref="D2060">_xlfn.SINGLE(IF(A2066=A2067,_xll.ciqfunctions.udf.CIQ(A2058,"IQ_TOTAL_REV",IQ_FY-8)/I2060, _xll.ciqfunctions.udf.CIQ(A2058, "IQ_TOTAL_REV",IQ_FY-7)/I2060))</f>
        <v>97.140000815169401</v>
      </c>
      <c r="E2060" s="16">
        <f t="shared" si="551"/>
        <v>3.8835388013741722E-2</v>
      </c>
      <c r="F2060" s="15">
        <f>IF(A2066=A2067,_xll.ciqfunctions.udf.CIQ(A2058,"IQ_DILUT_EPS_EXCL",IQ_FY-8), _xll.ciqfunctions.udf.CIQ(A2058, "IQ_DILUT_EPS_EXCL",IQ_FY-7))</f>
        <v>1.76</v>
      </c>
      <c r="G2060" s="15">
        <f>IF(A2066=A2067,_xll.ciqfunctions.udf.CIQ(A2058,"IQ_EBITDA_MARGIN",IQ_FY-8), _xll.ciqfunctions.udf.CIQ(A2058, "IQ_EBITDA_MARGIN",IQ_FY-7))</f>
        <v>3.3999000000000001</v>
      </c>
      <c r="H2060" s="15">
        <f>IF(A2066=A2067,_xll.ciqfunctions.udf.CIQ(A2058,"IQ_TOTAL_DIV_PAID_CF",IQ_FY-8)/-I2060, _xll.ciqfunctions.udf.CIQ(A2058, "IQ_TOTAL_DIV_PAID_CF",IQ_FY-7)/-I2060)</f>
        <v>0</v>
      </c>
      <c r="I2060" s="17">
        <f>IF(A2066=A2067,_xll.ciqfunctions.udf.CIQ(A2058,"IQ_TOTAL_OUTSTANDING_FILING_DATE",IQ_FY-8), _xll.ciqfunctions.udf.CIQ(A2058, "IQ_TOTAL_OUTSTANDING_FILING_DATE",IQ_FY-7))</f>
        <v>26.49756</v>
      </c>
      <c r="J2060" s="17">
        <f>IF(A2066=A2067,_xll.ciqfunctions.udf.CIQ(A2058,"IQ_CASH_OPER",IQ_FY-8), _xll.ciqfunctions.udf.CIQ(A2058, "IQ_CASH_OPER",IQ_FY-7))</f>
        <v>30.861999999999998</v>
      </c>
      <c r="K2060" s="17">
        <f>IF(A2066=A2067,_xll.ciqfunctions.udf.CIQ(A2058,"IQ_CAPEX",IQ_FY-8), _xll.ciqfunctions.udf.CIQ(A2058, "IQ_CAPEX",IQ_FY-7))</f>
        <v>-12.337</v>
      </c>
      <c r="L2060" s="15">
        <f t="shared" si="548"/>
        <v>0.69912097566719344</v>
      </c>
      <c r="M2060" s="17">
        <f>IF(A2066=A2067,_xll.ciqfunctions.udf.CIQ(A2058,"IQ_TOTAL_DEBT_ISSUED",IQ_FY-8), _xll.ciqfunctions.udf.CIQ(A2058, "IQ_TOTAL_DEBT_ISSUED",IQ_FY-7))</f>
        <v>0</v>
      </c>
      <c r="N2060" s="17">
        <f>IF(A2066=A2067,_xll.ciqfunctions.udf.CIQ(A2058,"IQ_TOTAL_DEBT_REPAID",IQ_FY-8), _xll.ciqfunctions.udf.CIQ(A2058, "IQ_TOTAL_DEBT_REPAID",IQ_FY-7))</f>
        <v>0</v>
      </c>
      <c r="O2060" s="15">
        <f t="shared" si="549"/>
        <v>0</v>
      </c>
      <c r="P2060" s="15">
        <f t="shared" si="550"/>
        <v>0.69912097566719344</v>
      </c>
      <c r="Q2060" s="25" t="s">
        <v>21</v>
      </c>
      <c r="R2060" s="38" t="s">
        <v>49</v>
      </c>
      <c r="S2060" s="2">
        <f>(R2057*I2068)/1000</f>
        <v>1.592054112</v>
      </c>
      <c r="U2060" s="25" t="s">
        <v>59</v>
      </c>
      <c r="V2060" s="38" t="s">
        <v>49</v>
      </c>
      <c r="W2060" s="2">
        <f>(V2057*I2068)/1000</f>
        <v>1.592054112</v>
      </c>
      <c r="Y2060" s="25" t="s">
        <v>46</v>
      </c>
      <c r="Z2060" s="38" t="s">
        <v>49</v>
      </c>
      <c r="AA2060" s="2">
        <f>(Z2057*I2068)/1000</f>
        <v>1.592054112</v>
      </c>
    </row>
    <row r="2061" spans="1:27">
      <c r="A2061" s="18"/>
      <c r="B2061" s="13">
        <v>4</v>
      </c>
      <c r="C2061" s="14" t="s">
        <v>22</v>
      </c>
      <c r="D2061" s="15" cm="1">
        <f t="array" ref="D2061">_xlfn.SINGLE(IF(A2066=A2067,_xll.ciqfunctions.udf.CIQ(A2058,"IQ_TOTAL_REV",IQ_FY-7)/I2061, _xll.ciqfunctions.udf.CIQ(A2058, "IQ_TOTAL_REV",IQ_FY-6)/I2061))</f>
        <v>100.77371357440101</v>
      </c>
      <c r="E2061" s="16">
        <f t="shared" si="551"/>
        <v>3.7406966530148231E-2</v>
      </c>
      <c r="F2061" s="15">
        <f>IF(A2066=A2067,_xll.ciqfunctions.udf.CIQ(A2058,"IQ_DILUT_EPS_EXCL",IQ_FY-7), _xll.ciqfunctions.udf.CIQ(A2058, "IQ_DILUT_EPS_EXCL",IQ_FY-6))</f>
        <v>1.8</v>
      </c>
      <c r="G2061" s="15">
        <f>IF(A2066=A2067,_xll.ciqfunctions.udf.CIQ(A2058,"IQ_EBITDA_MARGIN",IQ_FY-7), _xll.ciqfunctions.udf.CIQ(A2058, "IQ_EBITDA_MARGIN",IQ_FY-6))</f>
        <v>3.5051000000000001</v>
      </c>
      <c r="H2061" s="15">
        <f>IF(A2066=A2067,_xll.ciqfunctions.udf.CIQ(A2058,"IQ_TOTAL_DIV_PAID_CF",IQ_FY-7)/-I2061, _xll.ciqfunctions.udf.CIQ(A2058, "IQ_TOTAL_DIV_PAID_CF",IQ_FY-6)/-I2061)</f>
        <v>0</v>
      </c>
      <c r="I2061" s="17">
        <f>IF(A2066=A2067,_xll.ciqfunctions.udf.CIQ(A2058,"IQ_TOTAL_OUTSTANDING_FILING_DATE",IQ_FY-7), _xll.ciqfunctions.udf.CIQ(A2058, "IQ_TOTAL_OUTSTANDING_FILING_DATE",IQ_FY-6))</f>
        <v>26.719190000000001</v>
      </c>
      <c r="J2061" s="17">
        <f>IF(A2066=A2067,_xll.ciqfunctions.udf.CIQ(A2058,"IQ_CASH_OPER",IQ_FY-7), _xll.ciqfunctions.udf.CIQ(A2058, "IQ_CASH_OPER",IQ_FY-6))</f>
        <v>33.585999999999999</v>
      </c>
      <c r="K2061" s="17">
        <f>IF(A2066=A2067,_xll.ciqfunctions.udf.CIQ(A2058,"IQ_CAPEX",IQ_FY-7), _xll.ciqfunctions.udf.CIQ(A2058, "IQ_CAPEX",IQ_FY-6))</f>
        <v>-11.885</v>
      </c>
      <c r="L2061" s="15">
        <f t="shared" si="548"/>
        <v>0.81218779461503132</v>
      </c>
      <c r="M2061" s="17">
        <f>IF(A2066=A2067,_xll.ciqfunctions.udf.CIQ(A2058,"IQ_TOTAL_DEBT_ISSUED",IQ_FY-7), _xll.ciqfunctions.udf.CIQ(A2058, "IQ_TOTAL_DEBT_ISSUED",IQ_FY-6))</f>
        <v>0</v>
      </c>
      <c r="N2061" s="17">
        <f>IF(A2066=A2067,_xll.ciqfunctions.udf.CIQ(A2058,"IQ_TOTAL_DEBT_REPAID",IQ_FY-7), _xll.ciqfunctions.udf.CIQ(A2058, "IQ_TOTAL_DEBT_REPAID",IQ_FY-6))</f>
        <v>0</v>
      </c>
      <c r="O2061" s="15">
        <f t="shared" si="549"/>
        <v>0</v>
      </c>
      <c r="P2061" s="15">
        <f t="shared" si="550"/>
        <v>0.81218779461503132</v>
      </c>
      <c r="Q2061" s="25" t="s">
        <v>23</v>
      </c>
      <c r="R2061" s="38" t="s">
        <v>24</v>
      </c>
      <c r="S2061" s="1" t="e">
        <f>R2057/(AVERAGE(H2063:H2068)*(1+H2069)/(0.5-H2069))</f>
        <v>#DIV/0!</v>
      </c>
      <c r="U2061" s="25" t="s">
        <v>40</v>
      </c>
      <c r="V2061" s="38" t="s">
        <v>24</v>
      </c>
      <c r="W2061" s="1" t="e">
        <f>V2057/(AVERAGE(H2063:H2068)*(1+H2069)/(0.5-H2069))</f>
        <v>#DIV/0!</v>
      </c>
      <c r="Y2061" s="25" t="s">
        <v>47</v>
      </c>
      <c r="Z2061" s="38" t="s">
        <v>24</v>
      </c>
      <c r="AA2061" s="1" t="e">
        <f>Z2057/(AVERAGE(H2063:H2068)*(1+H2069)/(0.5-H2069))</f>
        <v>#DIV/0!</v>
      </c>
    </row>
    <row r="2062" spans="1:27">
      <c r="B2062" s="13">
        <v>5</v>
      </c>
      <c r="C2062" s="14" t="s">
        <v>25</v>
      </c>
      <c r="D2062" s="15" cm="1">
        <f t="array" ref="D2062">_xlfn.SINGLE(IF(A2066=A2067,_xll.ciqfunctions.udf.CIQ(A2058,"IQ_TOTAL_REV",IQ_FY-6)/I2062, _xll.ciqfunctions.udf.CIQ(A2058, "IQ_TOTAL_REV",IQ_FY-5)/I2062))</f>
        <v>108.43875068475194</v>
      </c>
      <c r="E2062" s="16">
        <f t="shared" si="551"/>
        <v>7.6061870089682099E-2</v>
      </c>
      <c r="F2062" s="15">
        <f>IF(A2066=A2067,_xll.ciqfunctions.udf.CIQ(A2058,"IQ_DILUT_EPS_EXCL",IQ_FY-6), _xll.ciqfunctions.udf.CIQ(A2058, "IQ_DILUT_EPS_EXCL",IQ_FY-5))</f>
        <v>2.04</v>
      </c>
      <c r="G2062" s="15">
        <f>IF(A2066=A2067,_xll.ciqfunctions.udf.CIQ(A2058,"IQ_EBITDA_MARGIN",IQ_FY-6), _xll.ciqfunctions.udf.CIQ(A2058, "IQ_EBITDA_MARGIN",IQ_FY-5))</f>
        <v>3.1938</v>
      </c>
      <c r="H2062" s="15">
        <f>IF(A2066=A2067,_xll.ciqfunctions.udf.CIQ(A2058,"IQ_TOTAL_DIV_PAID_CF",IQ_FY-6)/-I2062, _xll.ciqfunctions.udf.CIQ(A2058, "IQ_TOTAL_DIV_PAID_CF",IQ_FY-5)/-I2062)</f>
        <v>0</v>
      </c>
      <c r="I2062" s="17">
        <f>IF(A2066=A2067,_xll.ciqfunctions.udf.CIQ(A2058,"IQ_TOTAL_OUTSTANDING_FILING_DATE",IQ_FY-6), _xll.ciqfunctions.udf.CIQ(A2058, "IQ_TOTAL_OUTSTANDING_FILING_DATE",IQ_FY-5))</f>
        <v>26.852789999999999</v>
      </c>
      <c r="J2062" s="17">
        <f>IF(A2066=A2067,_xll.ciqfunctions.udf.CIQ(A2058,"IQ_CASH_OPER",IQ_FY-6), _xll.ciqfunctions.udf.CIQ(A2058, "IQ_CASH_OPER",IQ_FY-5))</f>
        <v>19.32</v>
      </c>
      <c r="K2062" s="17">
        <f>IF(A2066=A2067,_xll.ciqfunctions.udf.CIQ(A2058,"IQ_CAPEX",IQ_FY-6), _xll.ciqfunctions.udf.CIQ(A2058, "IQ_CAPEX",IQ_FY-5))</f>
        <v>-11.803000000000001</v>
      </c>
      <c r="L2062" s="15">
        <f t="shared" si="548"/>
        <v>0.27993366797267621</v>
      </c>
      <c r="M2062" s="17">
        <f>IF(A2066=A2067,_xll.ciqfunctions.udf.CIQ(A2058,"IQ_TOTAL_DEBT_ISSUED",IQ_FY-6), _xll.ciqfunctions.udf.CIQ(A2058, "IQ_TOTAL_DEBT_ISSUED",IQ_FY-5))</f>
        <v>0</v>
      </c>
      <c r="N2062" s="17">
        <f>IF(A2066=A2067,_xll.ciqfunctions.udf.CIQ(A2058,"IQ_TOTAL_DEBT_REPAID",IQ_FY-6), _xll.ciqfunctions.udf.CIQ(A2058, "IQ_TOTAL_DEBT_REPAID",IQ_FY-5))</f>
        <v>0</v>
      </c>
      <c r="O2062" s="15">
        <f t="shared" si="549"/>
        <v>0</v>
      </c>
      <c r="P2062" s="15">
        <f t="shared" si="550"/>
        <v>0.27993366797267621</v>
      </c>
      <c r="Q2062" s="18"/>
      <c r="R2062" s="38" t="s">
        <v>50</v>
      </c>
      <c r="S2062" s="3">
        <f>I2069</f>
        <v>-9.4253507402841663E-4</v>
      </c>
      <c r="U2062" s="18"/>
      <c r="V2062" s="38" t="s">
        <v>50</v>
      </c>
      <c r="W2062" s="3">
        <f>I2069</f>
        <v>-9.4253507402841663E-4</v>
      </c>
      <c r="Y2062" s="18"/>
      <c r="Z2062" s="38" t="s">
        <v>50</v>
      </c>
      <c r="AA2062" s="3">
        <f>I2069</f>
        <v>-9.4253507402841663E-4</v>
      </c>
    </row>
    <row r="2063" spans="1:27">
      <c r="B2063" s="13">
        <v>6</v>
      </c>
      <c r="C2063" s="14" t="s">
        <v>26</v>
      </c>
      <c r="D2063" s="15" cm="1">
        <f t="array" ref="D2063">_xlfn.SINGLE(IF(A2066=A2067,_xll.ciqfunctions.udf.CIQ(A2058,"IQ_TOTAL_REV",IQ_FY-5)/I2063, _xll.ciqfunctions.udf.CIQ(A2058, "IQ_TOTAL_REV",IQ_FY-4)/I2063))</f>
        <v>102.2701063204282</v>
      </c>
      <c r="E2063" s="16">
        <f t="shared" si="551"/>
        <v>-5.68859778019477E-2</v>
      </c>
      <c r="F2063" s="15">
        <f>IF(A2066=A2067,_xll.ciqfunctions.udf.CIQ(A2058,"IQ_DILUT_EPS_EXCL",IQ_FY-5), _xll.ciqfunctions.udf.CIQ(A2058, "IQ_DILUT_EPS_EXCL",IQ_FY-4))</f>
        <v>2.41</v>
      </c>
      <c r="G2063" s="15">
        <f>IF(A2066=A2067,_xll.ciqfunctions.udf.CIQ(A2058,"IQ_EBITDA_MARGIN",IQ_FY-5), _xll.ciqfunctions.udf.CIQ(A2058, "IQ_EBITDA_MARGIN",IQ_FY-4))</f>
        <v>3.7309000000000001</v>
      </c>
      <c r="H2063" s="15">
        <f>IF(A2066=A2067,_xll.ciqfunctions.udf.CIQ(A2058,"IQ_TOTAL_DIV_PAID_CF",IQ_FY-5)/-I2063, _xll.ciqfunctions.udf.CIQ(A2058, "IQ_TOTAL_DIV_PAID_CF",IQ_FY-4)/-I2063)</f>
        <v>0</v>
      </c>
      <c r="I2063" s="17">
        <f>IF(A2066=A2067,_xll.ciqfunctions.udf.CIQ(A2058,"IQ_TOTAL_OUTSTANDING_FILING_DATE",IQ_FY-5), _xll.ciqfunctions.udf.CIQ(A2058, "IQ_TOTAL_OUTSTANDING_FILING_DATE",IQ_FY-4))</f>
        <v>26.395679999999999</v>
      </c>
      <c r="J2063" s="17">
        <f>IF(A2066=A2067,_xll.ciqfunctions.udf.CIQ(A2058,"IQ_CASH_OPER",IQ_FY-5), _xll.ciqfunctions.udf.CIQ(A2058, "IQ_CASH_OPER",IQ_FY-4))</f>
        <v>86.838999999999999</v>
      </c>
      <c r="K2063" s="17">
        <f>IF(A2066=A2067,_xll.ciqfunctions.udf.CIQ(A2058,"IQ_CAPEX",IQ_FY-5), _xll.ciqfunctions.udf.CIQ(A2058, "IQ_CAPEX",IQ_FY-4))</f>
        <v>-21.238</v>
      </c>
      <c r="L2063" s="15">
        <f t="shared" si="548"/>
        <v>2.4852930479533017</v>
      </c>
      <c r="M2063" s="17">
        <f>IF(A2066=A2067,_xll.ciqfunctions.udf.CIQ(A2058,"IQ_TOTAL_DEBT_ISSUED",IQ_FY-5), _xll.ciqfunctions.udf.CIQ(A2058, "IQ_TOTAL_DEBT_ISSUED",IQ_FY-4))</f>
        <v>0.85899999999999999</v>
      </c>
      <c r="N2063" s="17">
        <f>IF(A2066=A2067,_xll.ciqfunctions.udf.CIQ(A2058,"IQ_TOTAL_DEBT_REPAID",IQ_FY-5), _xll.ciqfunctions.udf.CIQ(A2058, "IQ_TOTAL_DEBT_REPAID",IQ_FY-4))</f>
        <v>-0.85899999999999999</v>
      </c>
      <c r="O2063" s="15">
        <f t="shared" si="549"/>
        <v>0</v>
      </c>
      <c r="P2063" s="15">
        <f t="shared" si="550"/>
        <v>2.4852930479533017</v>
      </c>
      <c r="Q2063" s="25" t="s">
        <v>27</v>
      </c>
      <c r="R2063" s="38" t="s">
        <v>51</v>
      </c>
      <c r="S2063" s="4">
        <f>AVERAGE(F2063:F2068)/AVERAGE(D2063:D2068)</f>
        <v>2.5669945558815955E-2</v>
      </c>
      <c r="U2063" s="25" t="s">
        <v>58</v>
      </c>
      <c r="V2063" s="38" t="s">
        <v>51</v>
      </c>
      <c r="W2063" s="4">
        <f>AVERAGE(F2063:F2068)/AVERAGE(D2063:D2068)</f>
        <v>2.5669945558815955E-2</v>
      </c>
      <c r="Y2063" s="25" t="s">
        <v>56</v>
      </c>
      <c r="Z2063" s="38" t="s">
        <v>51</v>
      </c>
      <c r="AA2063" s="4">
        <f>AVERAGE(F2063:F2068)/AVERAGE(D2063:D2068)</f>
        <v>2.5669945558815955E-2</v>
      </c>
    </row>
    <row r="2064" spans="1:27">
      <c r="A2064" s="18"/>
      <c r="B2064" s="13">
        <v>7</v>
      </c>
      <c r="C2064" s="14" t="s">
        <v>28</v>
      </c>
      <c r="D2064" s="15" cm="1">
        <f t="array" ref="D2064">_xlfn.SINGLE(IF(A2066=A2067,_xll.ciqfunctions.udf.CIQ(A2058,"IQ_TOTAL_REV",IQ_FY-4)/I2064, _xll.ciqfunctions.udf.CIQ(A2058, "IQ_TOTAL_REV",IQ_FY-3)/I2064))</f>
        <v>107.04312495350133</v>
      </c>
      <c r="E2064" s="16">
        <f t="shared" si="551"/>
        <v>4.6670711557867395E-2</v>
      </c>
      <c r="F2064" s="15">
        <f>IF(A2066=A2067,_xll.ciqfunctions.udf.CIQ(A2058,"IQ_DILUT_EPS_EXCL",IQ_FY-4), _xll.ciqfunctions.udf.CIQ(A2058, "IQ_DILUT_EPS_EXCL",IQ_FY-3))</f>
        <v>3.1</v>
      </c>
      <c r="G2064" s="15">
        <f>IF(A2066=A2067,_xll.ciqfunctions.udf.CIQ(A2058,"IQ_EBITDA_MARGIN",IQ_FY-4), _xll.ciqfunctions.udf.CIQ(A2058, "IQ_EBITDA_MARGIN",IQ_FY-3))</f>
        <v>4.4676</v>
      </c>
      <c r="H2064" s="15">
        <f>IF(A2066=A2067,_xll.ciqfunctions.udf.CIQ(A2058,"IQ_TOTAL_DIV_PAID_CF",IQ_FY-4)/-I2064, _xll.ciqfunctions.udf.CIQ(A2058, "IQ_TOTAL_DIV_PAID_CF",IQ_FY-3)/-I2064)</f>
        <v>0</v>
      </c>
      <c r="I2064" s="17">
        <f>IF(A2066=A2067,_xll.ciqfunctions.udf.CIQ(A2058,"IQ_TOTAL_OUTSTANDING_FILING_DATE",IQ_FY-4), _xll.ciqfunctions.udf.CIQ(A2058, "IQ_TOTAL_OUTSTANDING_FILING_DATE",IQ_FY-3))</f>
        <v>26.344840000000001</v>
      </c>
      <c r="J2064" s="17">
        <f>IF(A2066=A2067,_xll.ciqfunctions.udf.CIQ(A2058,"IQ_CASH_OPER",IQ_FY-4), _xll.ciqfunctions.udf.CIQ(A2058, "IQ_CASH_OPER",IQ_FY-3))</f>
        <v>36.603000000000002</v>
      </c>
      <c r="K2064" s="17">
        <f>IF(A2066=A2067,_xll.ciqfunctions.udf.CIQ(A2058,"IQ_CAPEX",IQ_FY-4), _xll.ciqfunctions.udf.CIQ(A2058, "IQ_CAPEX",IQ_FY-3))</f>
        <v>-25.655999999999999</v>
      </c>
      <c r="L2064" s="15">
        <f t="shared" si="548"/>
        <v>0.41552729111279485</v>
      </c>
      <c r="M2064" s="17">
        <f>IF(A2066=A2067,_xll.ciqfunctions.udf.CIQ(A2058,"IQ_TOTAL_DEBT_ISSUED",IQ_FY-4), _xll.ciqfunctions.udf.CIQ(A2058, "IQ_TOTAL_DEBT_ISSUED",IQ_FY-3))</f>
        <v>0</v>
      </c>
      <c r="N2064" s="17">
        <f>IF(A2066=A2067,_xll.ciqfunctions.udf.CIQ(A2058,"IQ_TOTAL_DEBT_REPAID",IQ_FY-4), _xll.ciqfunctions.udf.CIQ(A2058, "IQ_TOTAL_DEBT_REPAID",IQ_FY-3))</f>
        <v>0</v>
      </c>
      <c r="O2064" s="15">
        <f t="shared" si="549"/>
        <v>0</v>
      </c>
      <c r="P2064" s="15">
        <f t="shared" si="550"/>
        <v>0.41552729111279485</v>
      </c>
      <c r="Q2064" s="18"/>
      <c r="R2064" s="38" t="s">
        <v>29</v>
      </c>
      <c r="S2064" s="4">
        <f>(AVERAGE(P2063:P2068)/_xlfn.STDEV.P(P2063:P2068))/(IF(A2066=A2067,(_xlfn.SINGLE(_xll.ciqfunctions.udf.CIQ(A2058,"IQ_total_assets",IQ_FY)) - _xlfn.SINGLE(_xll.ciqfunctions.udf.CIQ(A2058,"iq_gw_intan", IQ_FY)))/I2068, (_xlfn.SINGLE(_xll.ciqfunctions.udf.CIQ(A2058, "IQ_total_assets",IQ_LTM))-_xlfn.SINGLE(_xll.ciqfunctions.udf.CIQ(A2058,"iq_gw_intan",IQ_LTM)))/I2068))</f>
        <v>2.3548622950140534E-2</v>
      </c>
      <c r="U2064" s="18"/>
      <c r="V2064" s="38" t="s">
        <v>29</v>
      </c>
      <c r="W2064" s="4">
        <f>(AVERAGE(P2063:P2068)/_xlfn.STDEV.P(P2063:P2068))/(IF(A2066=A2067,(_xlfn.SINGLE(_xll.ciqfunctions.udf.CIQ(A2058,"IQ_total_assets",IQ_FY)) - _xlfn.SINGLE(_xll.ciqfunctions.udf.CIQ(A2058,"iq_gw_intan", IQ_FY)))/I2068, (_xlfn.SINGLE(_xll.ciqfunctions.udf.CIQ(A2058, "IQ_total_assets",IQ_LTM))-_xlfn.SINGLE(_xll.ciqfunctions.udf.CIQ(A2058,"iq_gw_intan",IQ_LTM)))/I2068))</f>
        <v>2.3548622950140534E-2</v>
      </c>
      <c r="Y2064" s="18"/>
      <c r="Z2064" s="38" t="s">
        <v>29</v>
      </c>
      <c r="AA2064" s="4">
        <f>(AVERAGE(P2063:P2068)/_xlfn.STDEV.P(P2063:P2068))/(IF(A2066=A2067,(_xlfn.SINGLE(_xll.ciqfunctions.udf.CIQ(A2058,"IQ_total_assets",IQ_FY)) - _xlfn.SINGLE(_xll.ciqfunctions.udf.CIQ(A2058,"iq_gw_intan", IQ_FY)))/I2068, (_xlfn.SINGLE(_xll.ciqfunctions.udf.CIQ(A2058, "IQ_total_assets",IQ_LTM))-_xlfn.SINGLE(_xll.ciqfunctions.udf.CIQ(A2058,"iq_gw_intan",IQ_LTM)))/I2068))</f>
        <v>2.3548622950140534E-2</v>
      </c>
    </row>
    <row r="2065" spans="1:27">
      <c r="A2065" s="18"/>
      <c r="B2065" s="13">
        <v>8</v>
      </c>
      <c r="C2065" s="14" t="s">
        <v>30</v>
      </c>
      <c r="D2065" s="15" cm="1">
        <f t="array" ref="D2065">_xlfn.SINGLE(IF(A2066=A2067,_xll.ciqfunctions.udf.CIQ(A2058,"IQ_TOTAL_REV",IQ_FY-3)/I2065, _xll.ciqfunctions.udf.CIQ(A2058, "IQ_TOTAL_REV",IQ_FY-2)/I2065))</f>
        <v>98.961063372307152</v>
      </c>
      <c r="E2065" s="16">
        <f t="shared" si="551"/>
        <v>-7.5502855365115362E-2</v>
      </c>
      <c r="F2065" s="15">
        <f>IF(A2066=A2067,_xll.ciqfunctions.udf.CIQ(A2058,"IQ_DILUT_EPS_EXCL",IQ_FY-3), _xll.ciqfunctions.udf.CIQ(A2058, "IQ_DILUT_EPS_EXCL",IQ_FY-2))</f>
        <v>2.12</v>
      </c>
      <c r="G2065" s="15">
        <f>IF(A2066=A2067,_xll.ciqfunctions.udf.CIQ(A2058,"IQ_EBITDA_MARGIN",IQ_FY-3), _xll.ciqfunctions.udf.CIQ(A2058, "IQ_EBITDA_MARGIN",IQ_FY-2))</f>
        <v>3.3458999999999999</v>
      </c>
      <c r="H2065" s="15">
        <f>IF(A2066=A2067,_xll.ciqfunctions.udf.CIQ(A2058,"IQ_TOTAL_DIV_PAID_CF",IQ_FY-3)/-I2065, _xll.ciqfunctions.udf.CIQ(A2058, "IQ_TOTAL_DIV_PAID_CF",IQ_FY-2)/-I2065)</f>
        <v>0</v>
      </c>
      <c r="I2065" s="17">
        <f>IF(A2066=A2067,_xll.ciqfunctions.udf.CIQ(A2058,"IQ_TOTAL_OUTSTANDING_FILING_DATE",IQ_FY-3), _xll.ciqfunctions.udf.CIQ(A2058, "IQ_TOTAL_OUTSTANDING_FILING_DATE",IQ_FY-2))</f>
        <v>26.17484</v>
      </c>
      <c r="J2065" s="17">
        <f>IF(A2066=A2067,_xll.ciqfunctions.udf.CIQ(A2058,"IQ_CASH_OPER",IQ_FY-3), _xll.ciqfunctions.udf.CIQ(A2058, "IQ_CASH_OPER",IQ_FY-2))</f>
        <v>36.097999999999999</v>
      </c>
      <c r="K2065" s="17">
        <f>IF(A2066=A2067,_xll.ciqfunctions.udf.CIQ(A2058,"IQ_CAPEX",IQ_FY-3), _xll.ciqfunctions.udf.CIQ(A2058, "IQ_CAPEX",IQ_FY-2))</f>
        <v>-11.032999999999999</v>
      </c>
      <c r="L2065" s="15">
        <f t="shared" si="548"/>
        <v>0.95759897672726935</v>
      </c>
      <c r="M2065" s="17">
        <f>IF(A2066=A2067,_xll.ciqfunctions.udf.CIQ(A2058,"IQ_TOTAL_DEBT_ISSUED",IQ_FY-3), _xll.ciqfunctions.udf.CIQ(A2058, "IQ_TOTAL_DEBT_ISSUED",IQ_FY-2))</f>
        <v>0</v>
      </c>
      <c r="N2065" s="17">
        <f>IF(A2066=A2067,_xll.ciqfunctions.udf.CIQ(A2058,"IQ_TOTAL_DEBT_REPAID",IQ_FY-3), _xll.ciqfunctions.udf.CIQ(A2058, "IQ_TOTAL_DEBT_REPAID",IQ_FY-2))</f>
        <v>0</v>
      </c>
      <c r="O2065" s="15">
        <f t="shared" si="549"/>
        <v>0</v>
      </c>
      <c r="P2065" s="15">
        <f t="shared" si="550"/>
        <v>0.95759897672726935</v>
      </c>
      <c r="Q2065" s="18"/>
      <c r="R2065" s="39" t="s">
        <v>31</v>
      </c>
      <c r="S2065" s="5">
        <f>IF(NOT(D2058&gt;0),FALSE,SLOPE(G2058:G2068,B2058:B2068))</f>
        <v>9.9117272727272748E-2</v>
      </c>
      <c r="U2065" s="18"/>
      <c r="V2065" s="39" t="s">
        <v>31</v>
      </c>
      <c r="W2065" s="5">
        <f>IF(NOT(D2058&gt;0),FALSE,SLOPE(G2058:G2068,B2058:B2068))</f>
        <v>9.9117272727272748E-2</v>
      </c>
      <c r="Y2065" s="18"/>
      <c r="Z2065" s="39" t="s">
        <v>31</v>
      </c>
      <c r="AA2065" s="5">
        <f>IF(NOT(L2058&gt;0),FALSE,SLOPE(O2058:O2068,J2058:J2068))</f>
        <v>4.5679881567968277E-5</v>
      </c>
    </row>
    <row r="2066" spans="1:27">
      <c r="A2066" s="19">
        <f>_xll.ciqfunctions.udf.CIQ(A2058,"IQ_TOTAL_REV",IQ_FY)</f>
        <v>3124.9960000000001</v>
      </c>
      <c r="B2066" s="13">
        <v>9</v>
      </c>
      <c r="C2066" s="14" t="s">
        <v>32</v>
      </c>
      <c r="D2066" s="15" cm="1">
        <f t="array" ref="D2066">_xlfn.SINGLE(IF(A2066=A2067,_xll.ciqfunctions.udf.CIQ(A2058,"IQ_TOTAL_REV",IQ_FY-2)/I2066, _xll.ciqfunctions.udf.CIQ(A2058, "IQ_TOTAL_REV",IQ_FY-1)/I2066))</f>
        <v>110.15154526975103</v>
      </c>
      <c r="E2066" s="16">
        <f t="shared" si="551"/>
        <v>0.11307964482296955</v>
      </c>
      <c r="F2066" s="15">
        <f>IF(A2066=A2067,_xll.ciqfunctions.udf.CIQ(A2058,"IQ_DILUT_EPS_EXCL",IQ_FY-2), _xll.ciqfunctions.udf.CIQ(A2058, "IQ_DILUT_EPS_EXCL",IQ_FY-1))</f>
        <v>2.65</v>
      </c>
      <c r="G2066" s="15">
        <f>IF(A2066=A2067,_xll.ciqfunctions.udf.CIQ(A2058,"IQ_EBITDA_MARGIN",IQ_FY-2), _xll.ciqfunctions.udf.CIQ(A2058, "IQ_EBITDA_MARGIN",IQ_FY-1))</f>
        <v>3.7585000000000002</v>
      </c>
      <c r="H2066" s="15">
        <f>IF(A2066=A2067,_xll.ciqfunctions.udf.CIQ(A2058,"IQ_TOTAL_DIV_PAID_CF",IQ_FY-2)/-I2066, _xll.ciqfunctions.udf.CIQ(A2058, "IQ_TOTAL_DIV_PAID_CF",IQ_FY-1)/-I2066)</f>
        <v>0</v>
      </c>
      <c r="I2066" s="17">
        <f>IF(A2066=A2067,_xll.ciqfunctions.udf.CIQ(A2058,"IQ_TOTAL_OUTSTANDING_FILING_DATE",IQ_FY-2), _xll.ciqfunctions.udf.CIQ(A2058, "IQ_TOTAL_OUTSTANDING_FILING_DATE",IQ_FY-1))</f>
        <v>26.26014</v>
      </c>
      <c r="J2066" s="17">
        <f>IF(A2066=A2067,_xll.ciqfunctions.udf.CIQ(A2058,"IQ_CASH_OPER",IQ_FY-2), _xll.ciqfunctions.udf.CIQ(A2058, "IQ_CASH_OPER",IQ_FY-1))</f>
        <v>57.753999999999998</v>
      </c>
      <c r="K2066" s="17">
        <f>IF(A2066=A2067,_xll.ciqfunctions.udf.CIQ(A2058,"IQ_CAPEX",IQ_FY-2), _xll.ciqfunctions.udf.CIQ(A2058, "IQ_CAPEX",IQ_FY-1))</f>
        <v>-10.302</v>
      </c>
      <c r="L2066" s="15">
        <f t="shared" si="548"/>
        <v>1.8069972208830569</v>
      </c>
      <c r="M2066" s="17">
        <f>IF(A2066=A2067,_xll.ciqfunctions.udf.CIQ(A2058,"IQ_TOTAL_DEBT_ISSUED",IQ_FY-2), _xll.ciqfunctions.udf.CIQ(A2058, "IQ_TOTAL_DEBT_ISSUED",IQ_FY-1))</f>
        <v>0</v>
      </c>
      <c r="N2066" s="17">
        <f>IF(A2066=A2067,_xll.ciqfunctions.udf.CIQ(A2058,"IQ_TOTAL_DEBT_REPAID",IQ_FY-2), _xll.ciqfunctions.udf.CIQ(A2058, "IQ_TOTAL_DEBT_REPAID",IQ_FY-1))</f>
        <v>0</v>
      </c>
      <c r="O2066" s="15">
        <f t="shared" si="549"/>
        <v>0</v>
      </c>
      <c r="P2066" s="15">
        <f t="shared" si="550"/>
        <v>1.8069972208830569</v>
      </c>
      <c r="Q2066" s="25" t="s">
        <v>33</v>
      </c>
      <c r="R2066" s="38" t="s">
        <v>52</v>
      </c>
      <c r="S2066" s="4">
        <f>(AVERAGE(O2063:O2068)/AVERAGE(P2063:P2068))</f>
        <v>0</v>
      </c>
      <c r="U2066" s="25" t="s">
        <v>54</v>
      </c>
      <c r="V2066" s="38" t="s">
        <v>52</v>
      </c>
      <c r="W2066" s="4">
        <f>(AVERAGE(O2063:O2068)/AVERAGE(P2063:P2068))</f>
        <v>0</v>
      </c>
      <c r="Y2066" s="25" t="s">
        <v>60</v>
      </c>
      <c r="Z2066" s="38" t="s">
        <v>52</v>
      </c>
      <c r="AA2066" s="4">
        <f>(AVERAGE(O2063:O2068)/AVERAGE(P2063:P2068))</f>
        <v>0</v>
      </c>
    </row>
    <row r="2067" spans="1:27">
      <c r="A2067" s="19">
        <f>_xll.ciqfunctions.udf.CIQ(A2058,"IQ_TOTAL_REV",IQ_LTM)</f>
        <v>2886.6289999999999</v>
      </c>
      <c r="B2067" s="13">
        <v>10</v>
      </c>
      <c r="C2067" s="14" t="s">
        <v>34</v>
      </c>
      <c r="D2067" s="15" cm="1">
        <f t="array" ref="D2067">_xlfn.SINGLE(IF(A2066=A2067,_xll.ciqfunctions.udf.CIQ(A2058,"IQ_TOTAL_REV",IQ_FY-1)/I2067, _xll.ciqfunctions.udf.CIQ(A2058, "IQ_TOTAL_REV",IQ_FY)/I2067))</f>
        <v>118.76306870480822</v>
      </c>
      <c r="E2067" s="16">
        <f t="shared" si="551"/>
        <v>7.8178870881641868E-2</v>
      </c>
      <c r="F2067" s="15">
        <f>IF(A2066=A2067,_xll.ciqfunctions.udf.CIQ(A2058,"IQ_DILUT_EPS_EXCL",IQ_FY-1), _xll.ciqfunctions.udf.CIQ(A2058, "IQ_DILUT_EPS_EXCL",IQ_FY))</f>
        <v>3.37</v>
      </c>
      <c r="G2067" s="15">
        <f>IF(A2066=A2067,_xll.ciqfunctions.udf.CIQ(A2058,"IQ_EBITDA_MARGIN",IQ_FY-1), _xll.ciqfunctions.udf.CIQ(A2058, "IQ_EBITDA_MARGIN",IQ_FY))</f>
        <v>4.2408999999999999</v>
      </c>
      <c r="H2067" s="15">
        <f>IF(A2066=A2067,_xll.ciqfunctions.udf.CIQ(A2058,"IQ_TOTAL_DIV_PAID_CF",IQ_FY-1)/-I2067, _xll.ciqfunctions.udf.CIQ(A2058, "IQ_TOTAL_DIV_PAID_CF",IQ_FY)/-I2067)</f>
        <v>0</v>
      </c>
      <c r="I2067" s="17">
        <f>IF(A2066=A2067,_xll.ciqfunctions.udf.CIQ(A2058,"IQ_TOTAL_OUTSTANDING_FILING_DATE",IQ_FY-1), _xll.ciqfunctions.udf.CIQ(A2058, "IQ_TOTAL_OUTSTANDING_FILING_DATE",IQ_FY))</f>
        <v>26.312860000000001</v>
      </c>
      <c r="J2067" s="17">
        <f>IF(A2066=A2067,_xll.ciqfunctions.udf.CIQ(A2058,"IQ_CASH_OPER",IQ_FY-1), _xll.ciqfunctions.udf.CIQ(A2058, "IQ_CASH_OPER",IQ_FY))</f>
        <v>34.889000000000003</v>
      </c>
      <c r="K2067" s="17">
        <f>IF(A2066=A2067,_xll.ciqfunctions.udf.CIQ(A2058,"IQ_CAPEX",IQ_FY-1), _xll.ciqfunctions.udf.CIQ(A2058, "IQ_CAPEX",IQ_FY))</f>
        <v>-9.077</v>
      </c>
      <c r="L2067" s="15">
        <f t="shared" si="548"/>
        <v>0.98096520104618057</v>
      </c>
      <c r="M2067" s="17">
        <f>IF(A2066=A2067,_xll.ciqfunctions.udf.CIQ(A2058,"IQ_TOTAL_DEBT_ISSUED",IQ_FY-1), _xll.ciqfunctions.udf.CIQ(A2058, "IQ_TOTAL_DEBT_ISSUED",IQ_FY))</f>
        <v>36.463000000000001</v>
      </c>
      <c r="N2067" s="17">
        <f>IF(A2066=A2067,_xll.ciqfunctions.udf.CIQ(A2058,"IQ_TOTAL_DEBT_REPAID",IQ_FY-1), _xll.ciqfunctions.udf.CIQ(A2058, "IQ_TOTAL_DEBT_REPAID",IQ_FY))</f>
        <v>-36.463000000000001</v>
      </c>
      <c r="O2067" s="15">
        <f t="shared" si="549"/>
        <v>0</v>
      </c>
      <c r="P2067" s="15">
        <f t="shared" si="550"/>
        <v>0.98096520104618057</v>
      </c>
      <c r="Q2067" s="25" t="s">
        <v>44</v>
      </c>
      <c r="R2067" s="38" t="s">
        <v>35</v>
      </c>
      <c r="S2067" s="1">
        <f>_xll.ciqfunctions.udf.CIQ(A2058,"IQ_TEV_EBITDA")</f>
        <v>10.62229</v>
      </c>
      <c r="U2067" s="25" t="s">
        <v>55</v>
      </c>
      <c r="V2067" s="38" t="s">
        <v>53</v>
      </c>
      <c r="W2067" s="1">
        <f>V2057/(AVERAGE(D2063:D2068)/_xlfn.STDEV.P(E2063:E2068))</f>
        <v>4.3195620328720354E-2</v>
      </c>
      <c r="Y2067" s="25" t="s">
        <v>57</v>
      </c>
      <c r="Z2067" s="38" t="s">
        <v>53</v>
      </c>
      <c r="AA2067" s="1">
        <f>Z2057/(AVERAGE(D2063:D2068)/_xlfn.STDEV.P(E2063:E2068))</f>
        <v>4.3195620328720354E-2</v>
      </c>
    </row>
    <row r="2068" spans="1:27">
      <c r="B2068" s="13">
        <v>11</v>
      </c>
      <c r="C2068" s="20" t="s">
        <v>36</v>
      </c>
      <c r="D2068" s="21" cm="1">
        <f t="array" ref="D2068">_xlfn.SINGLE(IF(A2066=A2067,_xll.ciqfunctions.udf.CIQ(A2058,"IQ_TOTAL_REV",IQ_FY)/I2068, _xll.ciqfunctions.udf.CIQ(A2058, "IQ_TOTAL_REV",IQ_LTM)/I2068))</f>
        <v>109.87674104886204</v>
      </c>
      <c r="E2068" s="22">
        <f t="shared" si="551"/>
        <v>-7.4823998342730638E-2</v>
      </c>
      <c r="F2068" s="21">
        <f>IF(A2066=A2067,_xll.ciqfunctions.udf.CIQ(A2058,"IQ_DILUT_EPS_EXCL",IQ_FY), _xll.ciqfunctions.udf.CIQ(A2058, "IQ_DILUT_EPS_EXCL",IQ_LTM))</f>
        <v>2.96014</v>
      </c>
      <c r="G2068" s="21">
        <f>IF(A2066=A2067,_xll.ciqfunctions.udf.CIQ(A2058,"IQ_EBITDA_MARGIN",IQ_FY), _xll.ciqfunctions.udf.CIQ(A2058, "IQ_EBITDA_MARGIN",IQ_LTM))</f>
        <v>3.9575</v>
      </c>
      <c r="H2068" s="21">
        <f>IF(A2066=A2067,_xll.ciqfunctions.udf.CIQ(A2058,"IQ_TOTAL_DIV_PAID_CF",IQ_FY)/-I2068, _xll.ciqfunctions.udf.CIQ(A2058, "IQ_TOTAL_DIV_PAID_CF",IQ_LTM)/-I2068)</f>
        <v>0.24006985511306542</v>
      </c>
      <c r="I2068" s="23">
        <f>IF(A2066=A2067,_xll.ciqfunctions.udf.CIQ(A2058,"IQ_TOTAL_OUTSTANDING_FILING_DATE",IQ_FY),_xll.ciqfunctions.udf.CIQ(A2058,"IQ_sharesoutstanding"))</f>
        <v>26.271519999999999</v>
      </c>
      <c r="J2068" s="23">
        <f>IF(A2066=A2067,_xll.ciqfunctions.udf.CIQ(A2058,"IQ_CASH_OPER",IQ_FY), _xll.ciqfunctions.udf.CIQ(A2058, "IQ_CASH_OPER",IQ_LTM))</f>
        <v>204.86500000000001</v>
      </c>
      <c r="K2068" s="23">
        <f>IF(A2066=A2067,_xll.ciqfunctions.udf.CIQ(A2058,"IQ_CAPEX",IQ_FY), _xll.ciqfunctions.udf.CIQ(A2058, "IQ_CAPEX",IQ_LTM))</f>
        <v>-9.4570000000000007</v>
      </c>
      <c r="L2068" s="21">
        <f t="shared" si="548"/>
        <v>7.4380165289256208</v>
      </c>
      <c r="M2068" s="23">
        <f>IF(A2066=A2067,_xll.ciqfunctions.udf.CIQ(A2058,"IQ_TOTAL_DEBT_ISSUED",IQ_FY), _xll.ciqfunctions.udf.CIQ(A2058, "IQ_TOTAL_DEBT_ISSUED",IQ_LTM))</f>
        <v>70.876999999999995</v>
      </c>
      <c r="N2068" s="23">
        <f>IF(A2066=A2067,_xll.ciqfunctions.udf.CIQ(A2058,"IQ_TOTAL_DEBT_REPAID",IQ_FY), _xll.ciqfunctions.udf.CIQ(A2058, "IQ_TOTAL_DEBT_REPAID",IQ_LTM))</f>
        <v>-70.876999999999995</v>
      </c>
      <c r="O2068" s="21">
        <f t="shared" si="549"/>
        <v>0</v>
      </c>
      <c r="P2068" s="21">
        <f t="shared" si="550"/>
        <v>7.4380165289256208</v>
      </c>
      <c r="Q2068" s="25" t="s">
        <v>45</v>
      </c>
      <c r="S2068" s="45"/>
      <c r="U2068" s="25"/>
      <c r="W2068" s="45"/>
      <c r="Y2068" s="25"/>
      <c r="AA2068" s="45"/>
    </row>
    <row r="2069" spans="1:27">
      <c r="B2069" s="24"/>
      <c r="C2069" s="25" t="s">
        <v>37</v>
      </c>
      <c r="E2069" s="26">
        <f>((D2068/D2063)^(1/5))-1</f>
        <v>1.4451789216664457E-2</v>
      </c>
      <c r="F2069" s="27">
        <f>((F2068/F2063)^(1/5))-1</f>
        <v>4.1979181122242748E-2</v>
      </c>
      <c r="G2069" s="28"/>
      <c r="H2069" s="27" t="e">
        <f>((H2068/H2063)^(1/5))-1</f>
        <v>#DIV/0!</v>
      </c>
      <c r="I2069" s="27">
        <f>((I2068/I2063)^(1/5))-1</f>
        <v>-9.4253507402841663E-4</v>
      </c>
      <c r="J2069" s="27"/>
      <c r="K2069" s="27"/>
      <c r="L2069" s="26">
        <f>((L2068/L2063)^(1/5))-1</f>
        <v>0.24513346836648653</v>
      </c>
      <c r="M2069" s="26"/>
      <c r="N2069" s="26"/>
      <c r="O2069" s="26"/>
      <c r="P2069" s="26">
        <f>((P2068/P2063)^(1/5))-1</f>
        <v>0.24513346836648653</v>
      </c>
      <c r="Q2069" s="18"/>
      <c r="R2069" s="36"/>
      <c r="S2069" s="45"/>
      <c r="U2069" s="18"/>
      <c r="V2069" s="36"/>
      <c r="W2069" s="45"/>
      <c r="Y2069" s="18"/>
      <c r="Z2069" s="36"/>
      <c r="AA2069" s="45"/>
    </row>
    <row r="2070" spans="1:27">
      <c r="A2070" s="29"/>
      <c r="B2070" s="30"/>
      <c r="C2070" s="31" t="s">
        <v>38</v>
      </c>
      <c r="D2070" s="29"/>
      <c r="E2070" s="32">
        <f>((D2068/D2058)^(1/10))-1</f>
        <v>2.6250135338700353E-2</v>
      </c>
      <c r="F2070" s="33">
        <f>((F2068/F2058)^(1/10))-1</f>
        <v>8.1677630191073325E-2</v>
      </c>
      <c r="G2070" s="34"/>
      <c r="H2070" s="33" t="e">
        <f>((H2068/H2058)^(1/10))-1</f>
        <v>#DIV/0!</v>
      </c>
      <c r="I2070" s="33">
        <f>((I2068/I2058)^(1/10))-1</f>
        <v>2.7298595933888947E-4</v>
      </c>
      <c r="J2070" s="33"/>
      <c r="K2070" s="33"/>
      <c r="L2070" s="32">
        <f>((L2068/L2058)^(1/10))-1</f>
        <v>0.32093240206863327</v>
      </c>
      <c r="M2070" s="32"/>
      <c r="N2070" s="32"/>
      <c r="O2070" s="32"/>
      <c r="P2070" s="32">
        <f>((P2068/P2058)^(1/10))-1</f>
        <v>0.33229433473134118</v>
      </c>
      <c r="Q2070" s="40"/>
      <c r="R2070" s="41"/>
      <c r="S2070" s="46"/>
      <c r="U2070" s="40"/>
      <c r="V2070" s="41"/>
      <c r="W2070" s="46"/>
      <c r="Y2070" s="40"/>
      <c r="Z2070" s="41"/>
      <c r="AA2070" s="46"/>
    </row>
    <row r="2071" spans="1:27">
      <c r="B2071" s="24"/>
      <c r="C2071" s="25"/>
      <c r="E2071" s="26"/>
      <c r="F2071" s="27"/>
      <c r="G2071" s="28"/>
      <c r="H2071" s="27"/>
      <c r="I2071" s="27"/>
      <c r="J2071" s="27"/>
      <c r="K2071" s="27"/>
      <c r="L2071" s="26"/>
      <c r="M2071" s="17"/>
      <c r="N2071" s="17"/>
      <c r="O2071" s="17"/>
      <c r="P2071" s="35"/>
      <c r="Q2071" s="18"/>
      <c r="R2071" s="36"/>
    </row>
    <row r="2072" spans="1:27">
      <c r="A2072" s="9" t="s">
        <v>0</v>
      </c>
      <c r="B2072" s="10"/>
      <c r="C2072" s="9" t="s">
        <v>1</v>
      </c>
      <c r="D2072" s="9" t="s">
        <v>2</v>
      </c>
      <c r="E2072" s="9" t="s">
        <v>3</v>
      </c>
      <c r="F2072" s="11" t="s">
        <v>4</v>
      </c>
      <c r="G2072" s="11" t="s">
        <v>5</v>
      </c>
      <c r="H2072" s="9" t="s">
        <v>6</v>
      </c>
      <c r="I2072" s="11" t="s">
        <v>7</v>
      </c>
      <c r="J2072" s="11" t="s">
        <v>8</v>
      </c>
      <c r="K2072" s="11" t="s">
        <v>9</v>
      </c>
      <c r="L2072" s="11" t="s">
        <v>10</v>
      </c>
      <c r="M2072" s="11" t="s">
        <v>11</v>
      </c>
      <c r="N2072" s="11" t="s">
        <v>12</v>
      </c>
      <c r="O2072" s="11" t="s">
        <v>13</v>
      </c>
      <c r="P2072" s="11" t="s">
        <v>14</v>
      </c>
      <c r="Q2072" s="37" t="s">
        <v>15</v>
      </c>
      <c r="R2072" s="42">
        <f>_xll.ciqfunctions.udf.CIQ(A2073,("IQ_LASTSALEPRICE"))</f>
        <v>95.72</v>
      </c>
      <c r="S2072" s="44"/>
      <c r="U2072" s="37" t="s">
        <v>15</v>
      </c>
      <c r="V2072" s="42">
        <f>_xll.ciqfunctions.udf.CIQ(A2073,("IQ_LASTSALEPRICE"))</f>
        <v>95.72</v>
      </c>
      <c r="W2072" s="44"/>
      <c r="Y2072" s="37" t="s">
        <v>15</v>
      </c>
      <c r="Z2072" s="42">
        <f>_xll.ciqfunctions.udf.CIQ(A2073,("IQ_LASTSALEPRICE"))</f>
        <v>95.72</v>
      </c>
      <c r="AA2072" s="44"/>
    </row>
    <row r="2073" spans="1:27">
      <c r="A2073" s="12" t="str">
        <f>Analysis!B140</f>
        <v>NasdaqGS:IPGP</v>
      </c>
      <c r="B2073" s="13">
        <v>1</v>
      </c>
      <c r="C2073" s="14" t="s">
        <v>16</v>
      </c>
      <c r="D2073" s="15">
        <f>IF(A2081=A2082,_xll.ciqfunctions.udf.CIQ(A2073,"IQ_TOTAL_REV",IQ_FY-10)/I2073,_xll.ciqfunctions.udf.CIQ(A2073, "IQ_TOTAL_REV",IQ_FY-9)/I2073)</f>
        <v>12.47299103955001</v>
      </c>
      <c r="E2073" s="16"/>
      <c r="F2073" s="15">
        <f>IF(A2081=A2082,_xll.ciqfunctions.udf.CIQ(A2073,"IQ_DILUT_EPS_EXCL",IQ_FY-10), _xll.ciqfunctions.udf.CIQ(A2073, "IQ_DILUT_EPS_EXCL",IQ_FY-9))</f>
        <v>2.97</v>
      </c>
      <c r="G2073" s="15">
        <f>IF(A2081=A2082,_xll.ciqfunctions.udf.CIQ(A2073,"IQ_EBITDA_MARGIN",IQ_FY-10), _xll.ciqfunctions.udf.CIQ(A2073, "IQ_EBITDA_MARGIN",IQ_FY-9))</f>
        <v>38.918700000000001</v>
      </c>
      <c r="H2073" s="15">
        <f>IF(A2081=A2082,_xll.ciqfunctions.udf.CIQ(A2073,"IQ_TOTAL_DIV_PAID_CF",IQ_FY-10)/-I2073, _xll.ciqfunctions.udf.CIQ(A2073, "IQ_TOTAL_DIV_PAID_CF",IQ_FY-9)/-I2073)</f>
        <v>0</v>
      </c>
      <c r="I2073" s="17">
        <f>IF(A2081=A2082,_xll.ciqfunctions.udf.CIQ(A2073,"IQ_TOTAL_OUTSTANDING_FILING_DATE",IQ_FY-10), _xll.ciqfunctions.udf.CIQ(A2073, "IQ_TOTAL_OUTSTANDING_FILING_DATE",IQ_FY-9))</f>
        <v>51.954979999999999</v>
      </c>
      <c r="J2073" s="17">
        <f>IF(A2081=A2082,_xll.ciqfunctions.udf.CIQ(A2073,"IQ_CASH_OPER",IQ_FY-10), _xll.ciqfunctions.udf.CIQ(A2073, "IQ_CASH_OPER",IQ_FY-9))</f>
        <v>119.367</v>
      </c>
      <c r="K2073" s="17">
        <f>IF(A2081=A2082,_xll.ciqfunctions.udf.CIQ(A2073,"IQ_CAPEX",IQ_FY-10), _xll.ciqfunctions.udf.CIQ(A2073, "IQ_CAPEX",IQ_FY-9))</f>
        <v>-70.918999999999997</v>
      </c>
      <c r="L2073" s="15">
        <f t="shared" ref="L2073:L2083" si="552">(J2073+K2073)/I2073</f>
        <v>0.93249963718588691</v>
      </c>
      <c r="M2073" s="17">
        <f>IF(A2081=A2082,_xll.ciqfunctions.udf.CIQ(A2073,"IQ_TOTAL_DEBT_ISSUED",IQ_FY-10), _xll.ciqfunctions.udf.CIQ(A2073, "IQ_TOTAL_DEBT_ISSUED",IQ_FY-9))</f>
        <v>16.843</v>
      </c>
      <c r="N2073" s="17">
        <f>IF(A2081=A2082,_xll.ciqfunctions.udf.CIQ(A2073,"IQ_TOTAL_DEBT_REPAID",IQ_FY-10), _xll.ciqfunctions.udf.CIQ(A2073, "IQ_TOTAL_DEBT_REPAID",IQ_FY-9))</f>
        <v>-18.843</v>
      </c>
      <c r="O2073" s="15">
        <f t="shared" ref="O2073:O2083" si="553">(M2073+N2073)/I2073</f>
        <v>-3.8494866132178285E-2</v>
      </c>
      <c r="P2073" s="15">
        <f t="shared" ref="P2073:P2083" si="554">L2073+O2073</f>
        <v>0.89400477105370868</v>
      </c>
      <c r="W2073" s="43"/>
      <c r="AA2073" s="43"/>
    </row>
    <row r="2074" spans="1:27">
      <c r="A2074" s="18" t="str">
        <f>_xll.ciqfunctions.udf.CIQ(A2073,"IQ_COMPANY_NAME")</f>
        <v>IPG Photonics Corporation</v>
      </c>
      <c r="B2074" s="13">
        <v>2</v>
      </c>
      <c r="C2074" s="14" t="s">
        <v>17</v>
      </c>
      <c r="D2074" s="15">
        <f>IF(A2081=A2082,_xll.ciqfunctions.udf.CIQ(A2073,"IQ_TOTAL_REV",IQ_FY-9)/I2074, _xll.ciqfunctions.udf.CIQ(A2073, "IQ_TOTAL_REV",IQ_FY-8)/I2074)</f>
        <v>14.66835332380254</v>
      </c>
      <c r="E2074" s="16">
        <f t="shared" ref="E2074:E2083" si="555">(D2074-D2073)/D2073</f>
        <v>0.17600928897418119</v>
      </c>
      <c r="F2074" s="15">
        <f>IF(A2081=A2082,_xll.ciqfunctions.udf.CIQ(A2073,"IQ_DILUT_EPS_EXCL",IQ_FY-9), _xll.ciqfunctions.udf.CIQ(A2073, "IQ_DILUT_EPS_EXCL",IQ_FY-8))</f>
        <v>3.79</v>
      </c>
      <c r="G2074" s="15">
        <f>IF(A2081=A2082,_xll.ciqfunctions.udf.CIQ(A2073,"IQ_EBITDA_MARGIN",IQ_FY-9), _xll.ciqfunctions.udf.CIQ(A2073, "IQ_EBITDA_MARGIN",IQ_FY-8))</f>
        <v>40.625999999999998</v>
      </c>
      <c r="H2074" s="15">
        <f>IF(A2081=A2082,_xll.ciqfunctions.udf.CIQ(A2073,"IQ_TOTAL_DIV_PAID_CF",IQ_FY-9)/-I2074, _xll.ciqfunctions.udf.CIQ(A2073, "IQ_TOTAL_DIV_PAID_CF",IQ_FY-8)/-I2074)</f>
        <v>0</v>
      </c>
      <c r="I2074" s="17">
        <f>IF(A2081=A2082,_xll.ciqfunctions.udf.CIQ(A2073,"IQ_TOTAL_OUTSTANDING_FILING_DATE",IQ_FY-9), _xll.ciqfunctions.udf.CIQ(A2073, "IQ_TOTAL_OUTSTANDING_FILING_DATE",IQ_FY-8))</f>
        <v>52.482509999999998</v>
      </c>
      <c r="J2074" s="17">
        <f>IF(A2081=A2082,_xll.ciqfunctions.udf.CIQ(A2073,"IQ_CASH_OPER",IQ_FY-9), _xll.ciqfunctions.udf.CIQ(A2073, "IQ_CASH_OPER",IQ_FY-8))</f>
        <v>180.10499999999999</v>
      </c>
      <c r="K2074" s="17">
        <f>IF(A2081=A2082,_xll.ciqfunctions.udf.CIQ(A2073,"IQ_CAPEX",IQ_FY-9), _xll.ciqfunctions.udf.CIQ(A2073, "IQ_CAPEX",IQ_FY-8))</f>
        <v>-88.600999999999999</v>
      </c>
      <c r="L2074" s="15">
        <f t="shared" si="552"/>
        <v>1.7435141726262711</v>
      </c>
      <c r="M2074" s="17">
        <f>IF(A2081=A2082,_xll.ciqfunctions.udf.CIQ(A2073,"IQ_TOTAL_DEBT_ISSUED",IQ_FY-9), _xll.ciqfunctions.udf.CIQ(A2073, "IQ_TOTAL_DEBT_ISSUED",IQ_FY-8))</f>
        <v>33.281999999999996</v>
      </c>
      <c r="N2074" s="17">
        <f>IF(A2081=A2082,_xll.ciqfunctions.udf.CIQ(A2073,"IQ_TOTAL_DEBT_REPAID",IQ_FY-9), _xll.ciqfunctions.udf.CIQ(A2073, "IQ_TOTAL_DEBT_REPAID",IQ_FY-8))</f>
        <v>-35.29</v>
      </c>
      <c r="O2074" s="15">
        <f t="shared" si="553"/>
        <v>-3.8260365215002153E-2</v>
      </c>
      <c r="P2074" s="15">
        <f t="shared" si="554"/>
        <v>1.7052538074112689</v>
      </c>
      <c r="Q2074" s="25" t="s">
        <v>18</v>
      </c>
      <c r="R2074" s="39" t="s">
        <v>19</v>
      </c>
      <c r="S2074" s="1">
        <f>R2072/((AVERAGE(P2078:P2083))*(1+E2084)^3)</f>
        <v>27.752200926104749</v>
      </c>
      <c r="U2074" s="25" t="s">
        <v>48</v>
      </c>
      <c r="V2074" s="39" t="s">
        <v>19</v>
      </c>
      <c r="W2074" s="1">
        <f>V2072/((AVERAGE(P2078:P2083))*(1+E2084)^3)</f>
        <v>27.752200926104749</v>
      </c>
      <c r="Y2074" s="25" t="s">
        <v>39</v>
      </c>
      <c r="Z2074" s="39" t="s">
        <v>19</v>
      </c>
      <c r="AA2074" s="1">
        <f>Z2072/((AVERAGE(P2078:P2083))*(1+E2084)^3)</f>
        <v>27.752200926104749</v>
      </c>
    </row>
    <row r="2075" spans="1:27">
      <c r="B2075" s="13">
        <v>3</v>
      </c>
      <c r="C2075" s="14" t="s">
        <v>20</v>
      </c>
      <c r="D2075" s="15" cm="1">
        <f t="array" ref="D2075">_xlfn.SINGLE(IF(A2081=A2082,_xll.ciqfunctions.udf.CIQ(A2073,"IQ_TOTAL_REV",IQ_FY-8)/I2075, _xll.ciqfunctions.udf.CIQ(A2073, "IQ_TOTAL_REV",IQ_FY-7)/I2075))</f>
        <v>17.041098190449844</v>
      </c>
      <c r="E2075" s="16">
        <f t="shared" si="555"/>
        <v>0.16175945685716597</v>
      </c>
      <c r="F2075" s="15">
        <f>IF(A2081=A2082,_xll.ciqfunctions.udf.CIQ(A2073,"IQ_DILUT_EPS_EXCL",IQ_FY-8), _xll.ciqfunctions.udf.CIQ(A2073, "IQ_DILUT_EPS_EXCL",IQ_FY-7))</f>
        <v>4.53</v>
      </c>
      <c r="G2075" s="15">
        <f>IF(A2081=A2082,_xll.ciqfunctions.udf.CIQ(A2073,"IQ_EBITDA_MARGIN",IQ_FY-8), _xll.ciqfunctions.udf.CIQ(A2073, "IQ_EBITDA_MARGIN",IQ_FY-7))</f>
        <v>42.3735</v>
      </c>
      <c r="H2075" s="15">
        <f>IF(A2081=A2082,_xll.ciqfunctions.udf.CIQ(A2073,"IQ_TOTAL_DIV_PAID_CF",IQ_FY-8)/-I2075, _xll.ciqfunctions.udf.CIQ(A2073, "IQ_TOTAL_DIV_PAID_CF",IQ_FY-7)/-I2075)</f>
        <v>0</v>
      </c>
      <c r="I2075" s="17">
        <f>IF(A2081=A2082,_xll.ciqfunctions.udf.CIQ(A2073,"IQ_TOTAL_OUTSTANDING_FILING_DATE",IQ_FY-8), _xll.ciqfunctions.udf.CIQ(A2073, "IQ_TOTAL_OUTSTANDING_FILING_DATE",IQ_FY-7))</f>
        <v>52.887729999999998</v>
      </c>
      <c r="J2075" s="17">
        <f>IF(A2081=A2082,_xll.ciqfunctions.udf.CIQ(A2073,"IQ_CASH_OPER",IQ_FY-8), _xll.ciqfunctions.udf.CIQ(A2073, "IQ_CASH_OPER",IQ_FY-7))</f>
        <v>263.48200000000003</v>
      </c>
      <c r="K2075" s="17">
        <f>IF(A2081=A2082,_xll.ciqfunctions.udf.CIQ(A2073,"IQ_CAPEX",IQ_FY-8), _xll.ciqfunctions.udf.CIQ(A2073, "IQ_CAPEX",IQ_FY-7))</f>
        <v>-70.119</v>
      </c>
      <c r="L2075" s="15">
        <f t="shared" si="552"/>
        <v>3.6561032209172155</v>
      </c>
      <c r="M2075" s="17">
        <f>IF(A2081=A2082,_xll.ciqfunctions.udf.CIQ(A2073,"IQ_TOTAL_DEBT_ISSUED",IQ_FY-8), _xll.ciqfunctions.udf.CIQ(A2073, "IQ_TOTAL_DEBT_ISSUED",IQ_FY-7))</f>
        <v>12.887</v>
      </c>
      <c r="N2075" s="17">
        <f>IF(A2081=A2082,_xll.ciqfunctions.udf.CIQ(A2073,"IQ_TOTAL_DEBT_REPAID",IQ_FY-8), _xll.ciqfunctions.udf.CIQ(A2073, "IQ_TOTAL_DEBT_REPAID",IQ_FY-7))</f>
        <v>-28.56</v>
      </c>
      <c r="O2075" s="15">
        <f t="shared" si="553"/>
        <v>-0.29634472873008538</v>
      </c>
      <c r="P2075" s="15">
        <f t="shared" si="554"/>
        <v>3.35975849218713</v>
      </c>
      <c r="Q2075" s="25" t="s">
        <v>21</v>
      </c>
      <c r="R2075" s="38" t="s">
        <v>49</v>
      </c>
      <c r="S2075" s="2">
        <f>(R2072*I2083)/1000</f>
        <v>4.4914169139999993</v>
      </c>
      <c r="U2075" s="25" t="s">
        <v>59</v>
      </c>
      <c r="V2075" s="38" t="s">
        <v>49</v>
      </c>
      <c r="W2075" s="2">
        <f>(V2072*I2083)/1000</f>
        <v>4.4914169139999993</v>
      </c>
      <c r="Y2075" s="25" t="s">
        <v>46</v>
      </c>
      <c r="Z2075" s="38" t="s">
        <v>49</v>
      </c>
      <c r="AA2075" s="2">
        <f>(Z2072*I2083)/1000</f>
        <v>4.4914169139999993</v>
      </c>
    </row>
    <row r="2076" spans="1:27">
      <c r="A2076" s="18"/>
      <c r="B2076" s="13">
        <v>4</v>
      </c>
      <c r="C2076" s="14" t="s">
        <v>22</v>
      </c>
      <c r="D2076" s="15" cm="1">
        <f t="array" ref="D2076">_xlfn.SINGLE(IF(A2081=A2082,_xll.ciqfunctions.udf.CIQ(A2073,"IQ_TOTAL_REV",IQ_FY-7)/I2076, _xll.ciqfunctions.udf.CIQ(A2073, "IQ_TOTAL_REV",IQ_FY-6)/I2076))</f>
        <v>18.800945117593145</v>
      </c>
      <c r="E2076" s="16">
        <f t="shared" si="555"/>
        <v>0.10327074625563464</v>
      </c>
      <c r="F2076" s="15">
        <f>IF(A2081=A2082,_xll.ciqfunctions.udf.CIQ(A2073,"IQ_DILUT_EPS_EXCL",IQ_FY-7), _xll.ciqfunctions.udf.CIQ(A2073, "IQ_DILUT_EPS_EXCL",IQ_FY-6))</f>
        <v>4.8499999999999996</v>
      </c>
      <c r="G2076" s="15">
        <f>IF(A2081=A2082,_xll.ciqfunctions.udf.CIQ(A2073,"IQ_EBITDA_MARGIN",IQ_FY-7), _xll.ciqfunctions.udf.CIQ(A2073, "IQ_EBITDA_MARGIN",IQ_FY-6))</f>
        <v>42.054400000000001</v>
      </c>
      <c r="H2076" s="15">
        <f>IF(A2081=A2082,_xll.ciqfunctions.udf.CIQ(A2073,"IQ_TOTAL_DIV_PAID_CF",IQ_FY-7)/-I2076, _xll.ciqfunctions.udf.CIQ(A2073, "IQ_TOTAL_DIV_PAID_CF",IQ_FY-6)/-I2076)</f>
        <v>0</v>
      </c>
      <c r="I2076" s="17">
        <f>IF(A2081=A2082,_xll.ciqfunctions.udf.CIQ(A2073,"IQ_TOTAL_OUTSTANDING_FILING_DATE",IQ_FY-7), _xll.ciqfunctions.udf.CIQ(A2073, "IQ_TOTAL_OUTSTANDING_FILING_DATE",IQ_FY-6))</f>
        <v>53.517150000000001</v>
      </c>
      <c r="J2076" s="17">
        <f>IF(A2081=A2082,_xll.ciqfunctions.udf.CIQ(A2073,"IQ_CASH_OPER",IQ_FY-7), _xll.ciqfunctions.udf.CIQ(A2073, "IQ_CASH_OPER",IQ_FY-6))</f>
        <v>297.69600000000003</v>
      </c>
      <c r="K2076" s="17">
        <f>IF(A2081=A2082,_xll.ciqfunctions.udf.CIQ(A2073,"IQ_CAPEX",IQ_FY-7), _xll.ciqfunctions.udf.CIQ(A2073, "IQ_CAPEX",IQ_FY-6))</f>
        <v>-127.042</v>
      </c>
      <c r="L2076" s="15">
        <f t="shared" si="552"/>
        <v>3.188772197323662</v>
      </c>
      <c r="M2076" s="17">
        <f>IF(A2081=A2082,_xll.ciqfunctions.udf.CIQ(A2073,"IQ_TOTAL_DEBT_ISSUED",IQ_FY-7), _xll.ciqfunctions.udf.CIQ(A2073, "IQ_TOTAL_DEBT_ISSUED",IQ_FY-6))</f>
        <v>31.742000000000001</v>
      </c>
      <c r="N2076" s="17">
        <f>IF(A2081=A2082,_xll.ciqfunctions.udf.CIQ(A2073,"IQ_TOTAL_DEBT_REPAID",IQ_FY-7), _xll.ciqfunctions.udf.CIQ(A2073, "IQ_TOTAL_DEBT_REPAID",IQ_FY-6))</f>
        <v>-10.586</v>
      </c>
      <c r="O2076" s="15">
        <f t="shared" si="553"/>
        <v>0.3953125306560607</v>
      </c>
      <c r="P2076" s="15">
        <f t="shared" si="554"/>
        <v>3.5840847279797226</v>
      </c>
      <c r="Q2076" s="25" t="s">
        <v>23</v>
      </c>
      <c r="R2076" s="38" t="s">
        <v>24</v>
      </c>
      <c r="S2076" s="1" t="e">
        <f>R2072/(AVERAGE(H2078:H2083)*(1+H2084)/(0.5-H2084))</f>
        <v>#DIV/0!</v>
      </c>
      <c r="U2076" s="25" t="s">
        <v>40</v>
      </c>
      <c r="V2076" s="38" t="s">
        <v>24</v>
      </c>
      <c r="W2076" s="1" t="e">
        <f>V2072/(AVERAGE(H2078:H2083)*(1+H2084)/(0.5-H2084))</f>
        <v>#DIV/0!</v>
      </c>
      <c r="Y2076" s="25" t="s">
        <v>47</v>
      </c>
      <c r="Z2076" s="38" t="s">
        <v>24</v>
      </c>
      <c r="AA2076" s="1" t="e">
        <f>Z2072/(AVERAGE(H2078:H2083)*(1+H2084)/(0.5-H2084))</f>
        <v>#DIV/0!</v>
      </c>
    </row>
    <row r="2077" spans="1:27">
      <c r="B2077" s="13">
        <v>5</v>
      </c>
      <c r="C2077" s="14" t="s">
        <v>25</v>
      </c>
      <c r="D2077" s="15" cm="1">
        <f t="array" ref="D2077">_xlfn.SINGLE(IF(A2081=A2082,_xll.ciqfunctions.udf.CIQ(A2073,"IQ_TOTAL_REV",IQ_FY-6)/I2077, _xll.ciqfunctions.udf.CIQ(A2073, "IQ_TOTAL_REV",IQ_FY-5)/I2077))</f>
        <v>26.063450354927433</v>
      </c>
      <c r="E2077" s="16">
        <f t="shared" si="555"/>
        <v>0.3862840507171279</v>
      </c>
      <c r="F2077" s="15">
        <f>IF(A2081=A2082,_xll.ciqfunctions.udf.CIQ(A2073,"IQ_DILUT_EPS_EXCL",IQ_FY-6), _xll.ciqfunctions.udf.CIQ(A2073, "IQ_DILUT_EPS_EXCL",IQ_FY-5))</f>
        <v>6.36</v>
      </c>
      <c r="G2077" s="15">
        <f>IF(A2081=A2082,_xll.ciqfunctions.udf.CIQ(A2073,"IQ_EBITDA_MARGIN",IQ_FY-6), _xll.ciqfunctions.udf.CIQ(A2073, "IQ_EBITDA_MARGIN",IQ_FY-5))</f>
        <v>44.725999999999999</v>
      </c>
      <c r="H2077" s="15">
        <f>IF(A2081=A2082,_xll.ciqfunctions.udf.CIQ(A2073,"IQ_TOTAL_DIV_PAID_CF",IQ_FY-6)/-I2077, _xll.ciqfunctions.udf.CIQ(A2073, "IQ_TOTAL_DIV_PAID_CF",IQ_FY-5)/-I2077)</f>
        <v>0</v>
      </c>
      <c r="I2077" s="17">
        <f>IF(A2081=A2082,_xll.ciqfunctions.udf.CIQ(A2073,"IQ_TOTAL_OUTSTANDING_FILING_DATE",IQ_FY-6), _xll.ciqfunctions.udf.CIQ(A2073, "IQ_TOTAL_OUTSTANDING_FILING_DATE",IQ_FY-5))</f>
        <v>54.05612</v>
      </c>
      <c r="J2077" s="17">
        <f>IF(A2081=A2082,_xll.ciqfunctions.udf.CIQ(A2073,"IQ_CASH_OPER",IQ_FY-6), _xll.ciqfunctions.udf.CIQ(A2073, "IQ_CASH_OPER",IQ_FY-5))</f>
        <v>405.39499999999998</v>
      </c>
      <c r="K2077" s="17">
        <f>IF(A2081=A2082,_xll.ciqfunctions.udf.CIQ(A2073,"IQ_CAPEX",IQ_FY-6), _xll.ciqfunctions.udf.CIQ(A2073, "IQ_CAPEX",IQ_FY-5))</f>
        <v>-126.535</v>
      </c>
      <c r="L2077" s="15">
        <f t="shared" si="552"/>
        <v>5.1587128339954846</v>
      </c>
      <c r="M2077" s="17">
        <f>IF(A2081=A2082,_xll.ciqfunctions.udf.CIQ(A2073,"IQ_TOTAL_DEBT_ISSUED",IQ_FY-6), _xll.ciqfunctions.udf.CIQ(A2073, "IQ_TOTAL_DEBT_ISSUED",IQ_FY-5))</f>
        <v>34.761000000000003</v>
      </c>
      <c r="N2077" s="17">
        <f>IF(A2081=A2082,_xll.ciqfunctions.udf.CIQ(A2073,"IQ_TOTAL_DEBT_REPAID",IQ_FY-6), _xll.ciqfunctions.udf.CIQ(A2073, "IQ_TOTAL_DEBT_REPAID",IQ_FY-5))</f>
        <v>-26.603000000000002</v>
      </c>
      <c r="O2077" s="15">
        <f t="shared" si="553"/>
        <v>0.15091723194339515</v>
      </c>
      <c r="P2077" s="15">
        <f t="shared" si="554"/>
        <v>5.3096300659388795</v>
      </c>
      <c r="Q2077" s="18"/>
      <c r="R2077" s="38" t="s">
        <v>50</v>
      </c>
      <c r="S2077" s="3">
        <f>I2084</f>
        <v>-2.3924876785034521E-2</v>
      </c>
      <c r="U2077" s="18"/>
      <c r="V2077" s="38" t="s">
        <v>50</v>
      </c>
      <c r="W2077" s="3">
        <f>I2084</f>
        <v>-2.3924876785034521E-2</v>
      </c>
      <c r="Y2077" s="18"/>
      <c r="Z2077" s="38" t="s">
        <v>50</v>
      </c>
      <c r="AA2077" s="3">
        <f>I2084</f>
        <v>-2.3924876785034521E-2</v>
      </c>
    </row>
    <row r="2078" spans="1:27">
      <c r="B2078" s="13">
        <v>6</v>
      </c>
      <c r="C2078" s="14" t="s">
        <v>26</v>
      </c>
      <c r="D2078" s="15" cm="1">
        <f t="array" ref="D2078">_xlfn.SINGLE(IF(A2081=A2082,_xll.ciqfunctions.udf.CIQ(A2073,"IQ_TOTAL_REV",IQ_FY-5)/I2078, _xll.ciqfunctions.udf.CIQ(A2073, "IQ_TOTAL_REV",IQ_FY-4)/I2078))</f>
        <v>27.564550514604715</v>
      </c>
      <c r="E2078" s="16">
        <f t="shared" si="555"/>
        <v>5.7594069059758668E-2</v>
      </c>
      <c r="F2078" s="15">
        <f>IF(A2081=A2082,_xll.ciqfunctions.udf.CIQ(A2073,"IQ_DILUT_EPS_EXCL",IQ_FY-5), _xll.ciqfunctions.udf.CIQ(A2073, "IQ_DILUT_EPS_EXCL",IQ_FY-4))</f>
        <v>7.38</v>
      </c>
      <c r="G2078" s="15">
        <f>IF(A2081=A2082,_xll.ciqfunctions.udf.CIQ(A2073,"IQ_EBITDA_MARGIN",IQ_FY-5), _xll.ciqfunctions.udf.CIQ(A2073, "IQ_EBITDA_MARGIN",IQ_FY-4))</f>
        <v>40.929900000000004</v>
      </c>
      <c r="H2078" s="15">
        <f>IF(A2081=A2082,_xll.ciqfunctions.udf.CIQ(A2073,"IQ_TOTAL_DIV_PAID_CF",IQ_FY-5)/-I2078, _xll.ciqfunctions.udf.CIQ(A2073, "IQ_TOTAL_DIV_PAID_CF",IQ_FY-4)/-I2078)</f>
        <v>0</v>
      </c>
      <c r="I2078" s="17">
        <f>IF(A2081=A2082,_xll.ciqfunctions.udf.CIQ(A2073,"IQ_TOTAL_OUTSTANDING_FILING_DATE",IQ_FY-5), _xll.ciqfunctions.udf.CIQ(A2073, "IQ_TOTAL_OUTSTANDING_FILING_DATE",IQ_FY-4))</f>
        <v>52.962009999999999</v>
      </c>
      <c r="J2078" s="17">
        <f>IF(A2081=A2082,_xll.ciqfunctions.udf.CIQ(A2073,"IQ_CASH_OPER",IQ_FY-5), _xll.ciqfunctions.udf.CIQ(A2073, "IQ_CASH_OPER",IQ_FY-4))</f>
        <v>393.30099999999999</v>
      </c>
      <c r="K2078" s="17">
        <f>IF(A2081=A2082,_xll.ciqfunctions.udf.CIQ(A2073,"IQ_CAPEX",IQ_FY-5), _xll.ciqfunctions.udf.CIQ(A2073, "IQ_CAPEX",IQ_FY-4))</f>
        <v>-160.34299999999999</v>
      </c>
      <c r="L2078" s="15">
        <f t="shared" si="552"/>
        <v>4.3985868361113942</v>
      </c>
      <c r="M2078" s="17">
        <f>IF(A2081=A2082,_xll.ciqfunctions.udf.CIQ(A2073,"IQ_TOTAL_DEBT_ISSUED",IQ_FY-5), _xll.ciqfunctions.udf.CIQ(A2073, "IQ_TOTAL_DEBT_ISSUED",IQ_FY-4))</f>
        <v>0.255</v>
      </c>
      <c r="N2078" s="17">
        <f>IF(A2081=A2082,_xll.ciqfunctions.udf.CIQ(A2073,"IQ_TOTAL_DEBT_REPAID",IQ_FY-5), _xll.ciqfunctions.udf.CIQ(A2073, "IQ_TOTAL_DEBT_REPAID",IQ_FY-4))</f>
        <v>-3.859</v>
      </c>
      <c r="O2078" s="15">
        <f t="shared" si="553"/>
        <v>-6.8048776849670173E-2</v>
      </c>
      <c r="P2078" s="15">
        <f t="shared" si="554"/>
        <v>4.3305380592617242</v>
      </c>
      <c r="Q2078" s="25" t="s">
        <v>27</v>
      </c>
      <c r="R2078" s="38" t="s">
        <v>51</v>
      </c>
      <c r="S2078" s="4">
        <f>AVERAGE(F2078:F2083)/AVERAGE(D2078:D2083)</f>
        <v>0.1419061617281315</v>
      </c>
      <c r="U2078" s="25" t="s">
        <v>58</v>
      </c>
      <c r="V2078" s="38" t="s">
        <v>51</v>
      </c>
      <c r="W2078" s="4">
        <f>AVERAGE(F2078:F2083)/AVERAGE(D2078:D2083)</f>
        <v>0.1419061617281315</v>
      </c>
      <c r="Y2078" s="25" t="s">
        <v>56</v>
      </c>
      <c r="Z2078" s="38" t="s">
        <v>51</v>
      </c>
      <c r="AA2078" s="4">
        <f>AVERAGE(F2078:F2083)/AVERAGE(D2078:D2083)</f>
        <v>0.1419061617281315</v>
      </c>
    </row>
    <row r="2079" spans="1:27">
      <c r="A2079" s="18"/>
      <c r="B2079" s="13">
        <v>7</v>
      </c>
      <c r="C2079" s="14" t="s">
        <v>28</v>
      </c>
      <c r="D2079" s="15" cm="1">
        <f t="array" ref="D2079">_xlfn.SINGLE(IF(A2081=A2082,_xll.ciqfunctions.udf.CIQ(A2073,"IQ_TOTAL_REV",IQ_FY-4)/I2079, _xll.ciqfunctions.udf.CIQ(A2073, "IQ_TOTAL_REV",IQ_FY-3)/I2079))</f>
        <v>24.775960525251921</v>
      </c>
      <c r="E2079" s="16">
        <f t="shared" si="555"/>
        <v>-0.10116580670797791</v>
      </c>
      <c r="F2079" s="15">
        <f>IF(A2081=A2082,_xll.ciqfunctions.udf.CIQ(A2073,"IQ_DILUT_EPS_EXCL",IQ_FY-4), _xll.ciqfunctions.udf.CIQ(A2073, "IQ_DILUT_EPS_EXCL",IQ_FY-3))</f>
        <v>3.35</v>
      </c>
      <c r="G2079" s="15">
        <f>IF(A2081=A2082,_xll.ciqfunctions.udf.CIQ(A2073,"IQ_EBITDA_MARGIN",IQ_FY-4), _xll.ciqfunctions.udf.CIQ(A2073, "IQ_EBITDA_MARGIN",IQ_FY-3))</f>
        <v>29.4495</v>
      </c>
      <c r="H2079" s="15">
        <f>IF(A2081=A2082,_xll.ciqfunctions.udf.CIQ(A2073,"IQ_TOTAL_DIV_PAID_CF",IQ_FY-4)/-I2079, _xll.ciqfunctions.udf.CIQ(A2073, "IQ_TOTAL_DIV_PAID_CF",IQ_FY-3)/-I2079)</f>
        <v>0</v>
      </c>
      <c r="I2079" s="17">
        <f>IF(A2081=A2082,_xll.ciqfunctions.udf.CIQ(A2073,"IQ_TOTAL_OUTSTANDING_FILING_DATE",IQ_FY-4), _xll.ciqfunctions.udf.CIQ(A2073, "IQ_TOTAL_OUTSTANDING_FILING_DATE",IQ_FY-3))</f>
        <v>53.058729999999997</v>
      </c>
      <c r="J2079" s="17">
        <f>IF(A2081=A2082,_xll.ciqfunctions.udf.CIQ(A2073,"IQ_CASH_OPER",IQ_FY-4), _xll.ciqfunctions.udf.CIQ(A2073, "IQ_CASH_OPER",IQ_FY-3))</f>
        <v>323.52100000000002</v>
      </c>
      <c r="K2079" s="17">
        <f>IF(A2081=A2082,_xll.ciqfunctions.udf.CIQ(A2073,"IQ_CAPEX",IQ_FY-4), _xll.ciqfunctions.udf.CIQ(A2073, "IQ_CAPEX",IQ_FY-3))</f>
        <v>-133.536</v>
      </c>
      <c r="L2079" s="15">
        <f t="shared" si="552"/>
        <v>3.5806548705557035</v>
      </c>
      <c r="M2079" s="17">
        <f>IF(A2081=A2082,_xll.ciqfunctions.udf.CIQ(A2073,"IQ_TOTAL_DEBT_ISSUED",IQ_FY-4), _xll.ciqfunctions.udf.CIQ(A2073, "IQ_TOTAL_DEBT_ISSUED",IQ_FY-3))</f>
        <v>1.4999999999999999E-2</v>
      </c>
      <c r="N2079" s="17">
        <f>IF(A2081=A2082,_xll.ciqfunctions.udf.CIQ(A2073,"IQ_TOTAL_DEBT_REPAID",IQ_FY-4), _xll.ciqfunctions.udf.CIQ(A2073, "IQ_TOTAL_DEBT_REPAID",IQ_FY-3))</f>
        <v>-3.6859999999999999</v>
      </c>
      <c r="O2079" s="15">
        <f t="shared" si="553"/>
        <v>-6.9187483379266709E-2</v>
      </c>
      <c r="P2079" s="15">
        <f t="shared" si="554"/>
        <v>3.5114673871764368</v>
      </c>
      <c r="Q2079" s="18"/>
      <c r="R2079" s="38" t="s">
        <v>29</v>
      </c>
      <c r="S2079" s="4">
        <f>(AVERAGE(P2078:P2083)/_xlfn.STDEV.P(P2078:P2083))/(IF(A2081=A2082,(_xlfn.SINGLE(_xll.ciqfunctions.udf.CIQ(A2073,"IQ_total_assets",IQ_FY)) - _xlfn.SINGLE(_xll.ciqfunctions.udf.CIQ(A2073,"iq_gw_intan", IQ_FY)))/I2083, (_xlfn.SINGLE(_xll.ciqfunctions.udf.CIQ(A2073, "IQ_total_assets",IQ_LTM))-_xlfn.SINGLE(_xll.ciqfunctions.udf.CIQ(A2073,"iq_gw_intan",IQ_LTM)))/I2083))</f>
        <v>5.5153851113988531E-2</v>
      </c>
      <c r="U2079" s="18"/>
      <c r="V2079" s="38" t="s">
        <v>29</v>
      </c>
      <c r="W2079" s="4">
        <f>(AVERAGE(P2078:P2083)/_xlfn.STDEV.P(P2078:P2083))/(IF(A2081=A2082,(_xlfn.SINGLE(_xll.ciqfunctions.udf.CIQ(A2073,"IQ_total_assets",IQ_FY)) - _xlfn.SINGLE(_xll.ciqfunctions.udf.CIQ(A2073,"iq_gw_intan", IQ_FY)))/I2083, (_xlfn.SINGLE(_xll.ciqfunctions.udf.CIQ(A2073, "IQ_total_assets",IQ_LTM))-_xlfn.SINGLE(_xll.ciqfunctions.udf.CIQ(A2073,"iq_gw_intan",IQ_LTM)))/I2083))</f>
        <v>5.5153851113988531E-2</v>
      </c>
      <c r="Y2079" s="18"/>
      <c r="Z2079" s="38" t="s">
        <v>29</v>
      </c>
      <c r="AA2079" s="4">
        <f>(AVERAGE(P2078:P2083)/_xlfn.STDEV.P(P2078:P2083))/(IF(A2081=A2082,(_xlfn.SINGLE(_xll.ciqfunctions.udf.CIQ(A2073,"IQ_total_assets",IQ_FY)) - _xlfn.SINGLE(_xll.ciqfunctions.udf.CIQ(A2073,"iq_gw_intan", IQ_FY)))/I2083, (_xlfn.SINGLE(_xll.ciqfunctions.udf.CIQ(A2073, "IQ_total_assets",IQ_LTM))-_xlfn.SINGLE(_xll.ciqfunctions.udf.CIQ(A2073,"iq_gw_intan",IQ_LTM)))/I2083))</f>
        <v>5.5153851113988531E-2</v>
      </c>
    </row>
    <row r="2080" spans="1:27">
      <c r="A2080" s="18"/>
      <c r="B2080" s="13">
        <v>8</v>
      </c>
      <c r="C2080" s="14" t="s">
        <v>30</v>
      </c>
      <c r="D2080" s="15" cm="1">
        <f t="array" ref="D2080">_xlfn.SINGLE(IF(A2081=A2082,_xll.ciqfunctions.udf.CIQ(A2073,"IQ_TOTAL_REV",IQ_FY-3)/I2080, _xll.ciqfunctions.udf.CIQ(A2073, "IQ_TOTAL_REV",IQ_FY-2)/I2080))</f>
        <v>22.429356970081773</v>
      </c>
      <c r="E2080" s="16">
        <f t="shared" si="555"/>
        <v>-9.4712919516418539E-2</v>
      </c>
      <c r="F2080" s="15">
        <f>IF(A2081=A2082,_xll.ciqfunctions.udf.CIQ(A2073,"IQ_DILUT_EPS_EXCL",IQ_FY-3), _xll.ciqfunctions.udf.CIQ(A2073, "IQ_DILUT_EPS_EXCL",IQ_FY-2))</f>
        <v>2.97</v>
      </c>
      <c r="G2080" s="15">
        <f>IF(A2081=A2082,_xll.ciqfunctions.udf.CIQ(A2073,"IQ_EBITDA_MARGIN",IQ_FY-3), _xll.ciqfunctions.udf.CIQ(A2073, "IQ_EBITDA_MARGIN",IQ_FY-2))</f>
        <v>27.1556</v>
      </c>
      <c r="H2080" s="15">
        <f>IF(A2081=A2082,_xll.ciqfunctions.udf.CIQ(A2073,"IQ_TOTAL_DIV_PAID_CF",IQ_FY-3)/-I2080, _xll.ciqfunctions.udf.CIQ(A2073, "IQ_TOTAL_DIV_PAID_CF",IQ_FY-2)/-I2080)</f>
        <v>0</v>
      </c>
      <c r="I2080" s="17">
        <f>IF(A2081=A2082,_xll.ciqfunctions.udf.CIQ(A2073,"IQ_TOTAL_OUTSTANDING_FILING_DATE",IQ_FY-3), _xll.ciqfunctions.udf.CIQ(A2073, "IQ_TOTAL_OUTSTANDING_FILING_DATE",IQ_FY-2))</f>
        <v>53.533589999999997</v>
      </c>
      <c r="J2080" s="17">
        <f>IF(A2081=A2082,_xll.ciqfunctions.udf.CIQ(A2073,"IQ_CASH_OPER",IQ_FY-3), _xll.ciqfunctions.udf.CIQ(A2073, "IQ_CASH_OPER",IQ_FY-2))</f>
        <v>285.33499999999998</v>
      </c>
      <c r="K2080" s="17">
        <f>IF(A2081=A2082,_xll.ciqfunctions.udf.CIQ(A2073,"IQ_CAPEX",IQ_FY-3), _xll.ciqfunctions.udf.CIQ(A2073, "IQ_CAPEX",IQ_FY-2))</f>
        <v>-87.695999999999998</v>
      </c>
      <c r="L2080" s="15">
        <f t="shared" si="552"/>
        <v>3.6918689742272095</v>
      </c>
      <c r="M2080" s="17">
        <f>IF(A2081=A2082,_xll.ciqfunctions.udf.CIQ(A2073,"IQ_TOTAL_DEBT_ISSUED",IQ_FY-3), _xll.ciqfunctions.udf.CIQ(A2073, "IQ_TOTAL_DEBT_ISSUED",IQ_FY-2))</f>
        <v>0</v>
      </c>
      <c r="N2080" s="17">
        <f>IF(A2081=A2082,_xll.ciqfunctions.udf.CIQ(A2073,"IQ_TOTAL_DEBT_REPAID",IQ_FY-3), _xll.ciqfunctions.udf.CIQ(A2073, "IQ_TOTAL_DEBT_REPAID",IQ_FY-2))</f>
        <v>-3.74</v>
      </c>
      <c r="O2080" s="15">
        <f t="shared" si="553"/>
        <v>-6.9862678740581385E-2</v>
      </c>
      <c r="P2080" s="15">
        <f t="shared" si="554"/>
        <v>3.6220062954866279</v>
      </c>
      <c r="Q2080" s="18"/>
      <c r="R2080" s="39" t="s">
        <v>31</v>
      </c>
      <c r="S2080" s="5">
        <f>IF(NOT(D2073&gt;0),FALSE,SLOPE(G2073:G2083,B2073:B2083))</f>
        <v>-2.2651554545454542</v>
      </c>
      <c r="U2080" s="18"/>
      <c r="V2080" s="39" t="s">
        <v>31</v>
      </c>
      <c r="W2080" s="5">
        <f>IF(NOT(D2073&gt;0),FALSE,SLOPE(G2073:G2083,B2073:B2083))</f>
        <v>-2.2651554545454542</v>
      </c>
      <c r="Y2080" s="18"/>
      <c r="Z2080" s="39" t="s">
        <v>31</v>
      </c>
      <c r="AA2080" s="5">
        <f>IF(NOT(L2073&gt;0),FALSE,SLOPE(O2073:O2083,J2073:J2083))</f>
        <v>7.6991515959008217E-4</v>
      </c>
    </row>
    <row r="2081" spans="1:27">
      <c r="A2081" s="19">
        <f>_xll.ciqfunctions.udf.CIQ(A2073,"IQ_TOTAL_REV",IQ_FY)</f>
        <v>1429.547</v>
      </c>
      <c r="B2081" s="13">
        <v>9</v>
      </c>
      <c r="C2081" s="14" t="s">
        <v>32</v>
      </c>
      <c r="D2081" s="15" cm="1">
        <f t="array" ref="D2081">_xlfn.SINGLE(IF(A2081=A2082,_xll.ciqfunctions.udf.CIQ(A2073,"IQ_TOTAL_REV",IQ_FY-2)/I2081, _xll.ciqfunctions.udf.CIQ(A2073, "IQ_TOTAL_REV",IQ_FY-1)/I2081))</f>
        <v>27.594958611151092</v>
      </c>
      <c r="E2081" s="16">
        <f t="shared" si="555"/>
        <v>0.23030538271603807</v>
      </c>
      <c r="F2081" s="15">
        <f>IF(A2081=A2082,_xll.ciqfunctions.udf.CIQ(A2073,"IQ_DILUT_EPS_EXCL",IQ_FY-2), _xll.ciqfunctions.udf.CIQ(A2073, "IQ_DILUT_EPS_EXCL",IQ_FY-1))</f>
        <v>5.16</v>
      </c>
      <c r="G2081" s="15">
        <f>IF(A2081=A2082,_xll.ciqfunctions.udf.CIQ(A2073,"IQ_EBITDA_MARGIN",IQ_FY-2), _xll.ciqfunctions.udf.CIQ(A2073, "IQ_EBITDA_MARGIN",IQ_FY-1))</f>
        <v>30.741599999999998</v>
      </c>
      <c r="H2081" s="15">
        <f>IF(A2081=A2082,_xll.ciqfunctions.udf.CIQ(A2073,"IQ_TOTAL_DIV_PAID_CF",IQ_FY-2)/-I2081, _xll.ciqfunctions.udf.CIQ(A2073, "IQ_TOTAL_DIV_PAID_CF",IQ_FY-1)/-I2081)</f>
        <v>0</v>
      </c>
      <c r="I2081" s="17">
        <f>IF(A2081=A2082,_xll.ciqfunctions.udf.CIQ(A2073,"IQ_TOTAL_OUTSTANDING_FILING_DATE",IQ_FY-2), _xll.ciqfunctions.udf.CIQ(A2073, "IQ_TOTAL_OUTSTANDING_FILING_DATE",IQ_FY-1))</f>
        <v>52.93938</v>
      </c>
      <c r="J2081" s="17">
        <f>IF(A2081=A2082,_xll.ciqfunctions.udf.CIQ(A2073,"IQ_CASH_OPER",IQ_FY-2), _xll.ciqfunctions.udf.CIQ(A2073, "IQ_CASH_OPER",IQ_FY-1))</f>
        <v>389.7</v>
      </c>
      <c r="K2081" s="17">
        <f>IF(A2081=A2082,_xll.ciqfunctions.udf.CIQ(A2073,"IQ_CAPEX",IQ_FY-2), _xll.ciqfunctions.udf.CIQ(A2073, "IQ_CAPEX",IQ_FY-1))</f>
        <v>-123.108</v>
      </c>
      <c r="L2081" s="15">
        <f t="shared" si="552"/>
        <v>5.0357975480634636</v>
      </c>
      <c r="M2081" s="17">
        <f>IF(A2081=A2082,_xll.ciqfunctions.udf.CIQ(A2073,"IQ_TOTAL_DEBT_ISSUED",IQ_FY-2), _xll.ciqfunctions.udf.CIQ(A2073, "IQ_TOTAL_DEBT_ISSUED",IQ_FY-1))</f>
        <v>0</v>
      </c>
      <c r="N2081" s="17">
        <f>IF(A2081=A2082,_xll.ciqfunctions.udf.CIQ(A2073,"IQ_TOTAL_DEBT_REPAID",IQ_FY-2), _xll.ciqfunctions.udf.CIQ(A2073, "IQ_TOTAL_DEBT_REPAID",IQ_FY-1))</f>
        <v>-3.81</v>
      </c>
      <c r="O2081" s="15">
        <f t="shared" si="553"/>
        <v>-7.19691088184259E-2</v>
      </c>
      <c r="P2081" s="15">
        <f t="shared" si="554"/>
        <v>4.963828439245038</v>
      </c>
      <c r="Q2081" s="25" t="s">
        <v>33</v>
      </c>
      <c r="R2081" s="38" t="s">
        <v>52</v>
      </c>
      <c r="S2081" s="4">
        <f>(AVERAGE(O2078:O2083)/AVERAGE(P2078:P2083))</f>
        <v>-4.9335586761102786E-2</v>
      </c>
      <c r="U2081" s="25" t="s">
        <v>54</v>
      </c>
      <c r="V2081" s="38" t="s">
        <v>52</v>
      </c>
      <c r="W2081" s="4">
        <f>(AVERAGE(O2078:O2083)/AVERAGE(P2078:P2083))</f>
        <v>-4.9335586761102786E-2</v>
      </c>
      <c r="Y2081" s="25" t="s">
        <v>60</v>
      </c>
      <c r="Z2081" s="38" t="s">
        <v>52</v>
      </c>
      <c r="AA2081" s="4">
        <f>(AVERAGE(O2078:O2083)/AVERAGE(P2078:P2083))</f>
        <v>-4.9335586761102786E-2</v>
      </c>
    </row>
    <row r="2082" spans="1:27">
      <c r="A2082" s="19">
        <f>_xll.ciqfunctions.udf.CIQ(A2073,"IQ_TOTAL_REV",IQ_LTM)</f>
        <v>1322.085</v>
      </c>
      <c r="B2082" s="13">
        <v>10</v>
      </c>
      <c r="C2082" s="14" t="s">
        <v>34</v>
      </c>
      <c r="D2082" s="15" cm="1">
        <f t="array" ref="D2082">_xlfn.SINGLE(IF(A2081=A2082,_xll.ciqfunctions.udf.CIQ(A2073,"IQ_TOTAL_REV",IQ_FY-1)/I2082, _xll.ciqfunctions.udf.CIQ(A2073, "IQ_TOTAL_REV",IQ_FY)/I2082))</f>
        <v>30.015386185271677</v>
      </c>
      <c r="E2082" s="16">
        <f t="shared" si="555"/>
        <v>8.7712672746770928E-2</v>
      </c>
      <c r="F2082" s="15">
        <f>IF(A2081=A2082,_xll.ciqfunctions.udf.CIQ(A2073,"IQ_DILUT_EPS_EXCL",IQ_FY-1), _xll.ciqfunctions.udf.CIQ(A2073, "IQ_DILUT_EPS_EXCL",IQ_FY))</f>
        <v>2.16</v>
      </c>
      <c r="G2082" s="15">
        <f>IF(A2081=A2082,_xll.ciqfunctions.udf.CIQ(A2073,"IQ_EBITDA_MARGIN",IQ_FY-1), _xll.ciqfunctions.udf.CIQ(A2073, "IQ_EBITDA_MARGIN",IQ_FY))</f>
        <v>22.522300000000001</v>
      </c>
      <c r="H2082" s="15">
        <f>IF(A2081=A2082,_xll.ciqfunctions.udf.CIQ(A2073,"IQ_TOTAL_DIV_PAID_CF",IQ_FY-1)/-I2082, _xll.ciqfunctions.udf.CIQ(A2073, "IQ_TOTAL_DIV_PAID_CF",IQ_FY)/-I2082)</f>
        <v>0</v>
      </c>
      <c r="I2082" s="17">
        <f>IF(A2081=A2082,_xll.ciqfunctions.udf.CIQ(A2073,"IQ_TOTAL_OUTSTANDING_FILING_DATE",IQ_FY-1), _xll.ciqfunctions.udf.CIQ(A2073, "IQ_TOTAL_OUTSTANDING_FILING_DATE",IQ_FY))</f>
        <v>47.627139999999997</v>
      </c>
      <c r="J2082" s="17">
        <f>IF(A2081=A2082,_xll.ciqfunctions.udf.CIQ(A2073,"IQ_CASH_OPER",IQ_FY-1), _xll.ciqfunctions.udf.CIQ(A2073, "IQ_CASH_OPER",IQ_FY))</f>
        <v>212.649</v>
      </c>
      <c r="K2082" s="17">
        <f>IF(A2081=A2082,_xll.ciqfunctions.udf.CIQ(A2073,"IQ_CAPEX",IQ_FY-1), _xll.ciqfunctions.udf.CIQ(A2073, "IQ_CAPEX",IQ_FY))</f>
        <v>-110.14100000000001</v>
      </c>
      <c r="L2082" s="15">
        <f t="shared" si="552"/>
        <v>2.1523022377577155</v>
      </c>
      <c r="M2082" s="17">
        <f>IF(A2081=A2082,_xll.ciqfunctions.udf.CIQ(A2073,"IQ_TOTAL_DEBT_ISSUED",IQ_FY-1), _xll.ciqfunctions.udf.CIQ(A2073, "IQ_TOTAL_DEBT_ISSUED",IQ_FY))</f>
        <v>0</v>
      </c>
      <c r="N2082" s="17">
        <f>IF(A2081=A2082,_xll.ciqfunctions.udf.CIQ(A2073,"IQ_TOTAL_DEBT_REPAID",IQ_FY-1), _xll.ciqfunctions.udf.CIQ(A2073, "IQ_TOTAL_DEBT_REPAID",IQ_FY))</f>
        <v>-18.126000000000001</v>
      </c>
      <c r="O2082" s="15">
        <f t="shared" si="553"/>
        <v>-0.38058132400979783</v>
      </c>
      <c r="P2082" s="15">
        <f t="shared" si="554"/>
        <v>1.7717209137479175</v>
      </c>
      <c r="Q2082" s="25" t="s">
        <v>44</v>
      </c>
      <c r="R2082" s="38" t="s">
        <v>35</v>
      </c>
      <c r="S2082" s="1">
        <f>_xll.ciqfunctions.udf.CIQ(A2073,"IQ_TEV_EBITDA")</f>
        <v>12.577680000000001</v>
      </c>
      <c r="U2082" s="25" t="s">
        <v>55</v>
      </c>
      <c r="V2082" s="38" t="s">
        <v>53</v>
      </c>
      <c r="W2082" s="1">
        <f>V2072/(AVERAGE(D2078:D2083)/_xlfn.STDEV.P(E2078:E2083))</f>
        <v>0.42493720521946327</v>
      </c>
      <c r="Y2082" s="25" t="s">
        <v>57</v>
      </c>
      <c r="Z2082" s="38" t="s">
        <v>53</v>
      </c>
      <c r="AA2082" s="1">
        <f>Z2072/(AVERAGE(D2078:D2083)/_xlfn.STDEV.P(E2078:E2083))</f>
        <v>0.42493720521946327</v>
      </c>
    </row>
    <row r="2083" spans="1:27">
      <c r="B2083" s="13">
        <v>11</v>
      </c>
      <c r="C2083" s="20" t="s">
        <v>36</v>
      </c>
      <c r="D2083" s="21" cm="1">
        <f t="array" ref="D2083">_xlfn.SINGLE(IF(A2081=A2082,_xll.ciqfunctions.udf.CIQ(A2073,"IQ_TOTAL_REV",IQ_FY)/I2083, _xll.ciqfunctions.udf.CIQ(A2073, "IQ_TOTAL_REV",IQ_LTM)/I2083))</f>
        <v>28.1759584164936</v>
      </c>
      <c r="E2083" s="22">
        <f t="shared" si="555"/>
        <v>-6.1282828660744325E-2</v>
      </c>
      <c r="F2083" s="21">
        <f>IF(A2081=A2082,_xll.ciqfunctions.udf.CIQ(A2073,"IQ_DILUT_EPS_EXCL",IQ_FY), _xll.ciqfunctions.udf.CIQ(A2073, "IQ_DILUT_EPS_EXCL",IQ_LTM))</f>
        <v>1.7639100000000001</v>
      </c>
      <c r="G2083" s="21">
        <f>IF(A2081=A2082,_xll.ciqfunctions.udf.CIQ(A2073,"IQ_EBITDA_MARGIN",IQ_FY), _xll.ciqfunctions.udf.CIQ(A2073, "IQ_EBITDA_MARGIN",IQ_LTM))</f>
        <v>19.562200000000001</v>
      </c>
      <c r="H2083" s="21">
        <f>IF(A2081=A2082,_xll.ciqfunctions.udf.CIQ(A2073,"IQ_TOTAL_DIV_PAID_CF",IQ_FY)/-I2083, _xll.ciqfunctions.udf.CIQ(A2073, "IQ_TOTAL_DIV_PAID_CF",IQ_LTM)/-I2083)</f>
        <v>0</v>
      </c>
      <c r="I2083" s="23">
        <f>IF(A2081=A2082,_xll.ciqfunctions.udf.CIQ(A2073,"IQ_TOTAL_OUTSTANDING_FILING_DATE",IQ_FY),_xll.ciqfunctions.udf.CIQ(A2073,"IQ_sharesoutstanding"))</f>
        <v>46.922449999999998</v>
      </c>
      <c r="J2083" s="23">
        <f>IF(A2081=A2082,_xll.ciqfunctions.udf.CIQ(A2073,"IQ_CASH_OPER",IQ_FY), _xll.ciqfunctions.udf.CIQ(A2073, "IQ_CASH_OPER",IQ_LTM))</f>
        <v>231.547</v>
      </c>
      <c r="K2083" s="23">
        <f>IF(A2081=A2082,_xll.ciqfunctions.udf.CIQ(A2073,"IQ_CAPEX",IQ_FY), _xll.ciqfunctions.udf.CIQ(A2073, "IQ_CAPEX",IQ_LTM))</f>
        <v>-110.845</v>
      </c>
      <c r="L2083" s="21">
        <f t="shared" si="552"/>
        <v>2.5723720734957363</v>
      </c>
      <c r="M2083" s="23">
        <f>IF(A2081=A2082,_xll.ciqfunctions.udf.CIQ(A2073,"IQ_TOTAL_DEBT_ISSUED",IQ_FY), _xll.ciqfunctions.udf.CIQ(A2073, "IQ_TOTAL_DEBT_ISSUED",IQ_LTM))</f>
        <v>0</v>
      </c>
      <c r="N2083" s="23">
        <f>IF(A2081=A2082,_xll.ciqfunctions.udf.CIQ(A2073,"IQ_TOTAL_DEBT_REPAID",IQ_FY), _xll.ciqfunctions.udf.CIQ(A2073, "IQ_TOTAL_DEBT_REPAID",IQ_LTM))</f>
        <v>-16.327999999999999</v>
      </c>
      <c r="O2083" s="21">
        <f t="shared" si="553"/>
        <v>-0.3479784197116732</v>
      </c>
      <c r="P2083" s="21">
        <f t="shared" si="554"/>
        <v>2.224393653784063</v>
      </c>
      <c r="Q2083" s="25" t="s">
        <v>45</v>
      </c>
      <c r="S2083" s="45"/>
      <c r="U2083" s="25"/>
      <c r="W2083" s="45"/>
      <c r="Y2083" s="25"/>
      <c r="AA2083" s="45"/>
    </row>
    <row r="2084" spans="1:27">
      <c r="B2084" s="24"/>
      <c r="C2084" s="25" t="s">
        <v>37</v>
      </c>
      <c r="E2084" s="26">
        <f>((D2083/D2078)^(1/5))-1</f>
        <v>4.3973461517605728E-3</v>
      </c>
      <c r="F2084" s="27">
        <f>((F2083/F2078)^(1/5))-1</f>
        <v>-0.24892377964284762</v>
      </c>
      <c r="G2084" s="28"/>
      <c r="H2084" s="27" t="e">
        <f>((H2083/H2078)^(1/5))-1</f>
        <v>#DIV/0!</v>
      </c>
      <c r="I2084" s="27">
        <f>((I2083/I2078)^(1/5))-1</f>
        <v>-2.3924876785034521E-2</v>
      </c>
      <c r="J2084" s="27"/>
      <c r="K2084" s="27"/>
      <c r="L2084" s="26">
        <f>((L2083/L2078)^(1/5))-1</f>
        <v>-0.10173573419813975</v>
      </c>
      <c r="M2084" s="26"/>
      <c r="N2084" s="26"/>
      <c r="O2084" s="26"/>
      <c r="P2084" s="26">
        <f>((P2083/P2078)^(1/5))-1</f>
        <v>-0.12474629564367246</v>
      </c>
      <c r="Q2084" s="18"/>
      <c r="R2084" s="36"/>
      <c r="S2084" s="45"/>
      <c r="U2084" s="18"/>
      <c r="V2084" s="36"/>
      <c r="W2084" s="45"/>
      <c r="Y2084" s="18"/>
      <c r="Z2084" s="36"/>
      <c r="AA2084" s="45"/>
    </row>
    <row r="2085" spans="1:27">
      <c r="A2085" s="29"/>
      <c r="B2085" s="30"/>
      <c r="C2085" s="31" t="s">
        <v>38</v>
      </c>
      <c r="D2085" s="29"/>
      <c r="E2085" s="32">
        <f>((D2083/D2073)^(1/10))-1</f>
        <v>8.4902746719233146E-2</v>
      </c>
      <c r="F2085" s="33">
        <f>((F2083/F2073)^(1/10))-1</f>
        <v>-5.0768815679713919E-2</v>
      </c>
      <c r="G2085" s="34"/>
      <c r="H2085" s="33" t="e">
        <f>((H2083/H2073)^(1/10))-1</f>
        <v>#DIV/0!</v>
      </c>
      <c r="I2085" s="33">
        <f>((I2083/I2073)^(1/10))-1</f>
        <v>-1.0136410310429445E-2</v>
      </c>
      <c r="J2085" s="33"/>
      <c r="K2085" s="33"/>
      <c r="L2085" s="32">
        <f>((L2083/L2073)^(1/10))-1</f>
        <v>0.10679837148316684</v>
      </c>
      <c r="M2085" s="32"/>
      <c r="N2085" s="32"/>
      <c r="O2085" s="32"/>
      <c r="P2085" s="32">
        <f>((P2083/P2073)^(1/10))-1</f>
        <v>9.5436433251119057E-2</v>
      </c>
      <c r="Q2085" s="40"/>
      <c r="R2085" s="41"/>
      <c r="S2085" s="46"/>
      <c r="U2085" s="40"/>
      <c r="V2085" s="41"/>
      <c r="W2085" s="46"/>
      <c r="Y2085" s="40"/>
      <c r="Z2085" s="41"/>
      <c r="AA2085" s="46"/>
    </row>
    <row r="2086" spans="1:27">
      <c r="B2086" s="24"/>
      <c r="C2086" s="25"/>
      <c r="E2086" s="26"/>
      <c r="F2086" s="27"/>
      <c r="G2086" s="28"/>
      <c r="H2086" s="27"/>
      <c r="I2086" s="27"/>
      <c r="J2086" s="27"/>
      <c r="K2086" s="27"/>
      <c r="L2086" s="26"/>
      <c r="M2086" s="17"/>
      <c r="N2086" s="17"/>
      <c r="O2086" s="17"/>
      <c r="P2086" s="35"/>
      <c r="Q2086" s="18"/>
      <c r="R2086" s="36"/>
    </row>
    <row r="2087" spans="1:27">
      <c r="A2087" s="9" t="s">
        <v>0</v>
      </c>
      <c r="B2087" s="10"/>
      <c r="C2087" s="9" t="s">
        <v>1</v>
      </c>
      <c r="D2087" s="9" t="s">
        <v>2</v>
      </c>
      <c r="E2087" s="9" t="s">
        <v>3</v>
      </c>
      <c r="F2087" s="11" t="s">
        <v>4</v>
      </c>
      <c r="G2087" s="11" t="s">
        <v>5</v>
      </c>
      <c r="H2087" s="9" t="s">
        <v>6</v>
      </c>
      <c r="I2087" s="11" t="s">
        <v>7</v>
      </c>
      <c r="J2087" s="11" t="s">
        <v>8</v>
      </c>
      <c r="K2087" s="11" t="s">
        <v>9</v>
      </c>
      <c r="L2087" s="11" t="s">
        <v>10</v>
      </c>
      <c r="M2087" s="11" t="s">
        <v>11</v>
      </c>
      <c r="N2087" s="11" t="s">
        <v>12</v>
      </c>
      <c r="O2087" s="11" t="s">
        <v>13</v>
      </c>
      <c r="P2087" s="11" t="s">
        <v>14</v>
      </c>
      <c r="Q2087" s="37" t="s">
        <v>15</v>
      </c>
      <c r="R2087" s="42">
        <f>_xll.ciqfunctions.udf.CIQ(A2088,("IQ_LASTSALEPRICE"))</f>
        <v>120.9</v>
      </c>
      <c r="S2087" s="44"/>
      <c r="U2087" s="37" t="s">
        <v>15</v>
      </c>
      <c r="V2087" s="42">
        <f>_xll.ciqfunctions.udf.CIQ(A2088,("IQ_LASTSALEPRICE"))</f>
        <v>120.9</v>
      </c>
      <c r="W2087" s="44"/>
      <c r="Y2087" s="37" t="s">
        <v>15</v>
      </c>
      <c r="Z2087" s="42">
        <f>_xll.ciqfunctions.udf.CIQ(A2088,("IQ_LASTSALEPRICE"))</f>
        <v>120.9</v>
      </c>
      <c r="AA2087" s="44"/>
    </row>
    <row r="2088" spans="1:27">
      <c r="A2088" s="12" t="str">
        <f>Analysis!B141</f>
        <v>NasdaqGS:OSIS</v>
      </c>
      <c r="B2088" s="13">
        <v>1</v>
      </c>
      <c r="C2088" s="14" t="s">
        <v>16</v>
      </c>
      <c r="D2088" s="15">
        <f>IF(A2096=A2097,_xll.ciqfunctions.udf.CIQ(A2088,"IQ_TOTAL_REV",IQ_FY-10)/I2088,_xll.ciqfunctions.udf.CIQ(A2088, "IQ_TOTAL_REV",IQ_FY-9)/I2088)</f>
        <v>45.802961925746771</v>
      </c>
      <c r="E2088" s="16"/>
      <c r="F2088" s="15">
        <f>IF(A2096=A2097,_xll.ciqfunctions.udf.CIQ(A2088,"IQ_DILUT_EPS_EXCL",IQ_FY-10), _xll.ciqfunctions.udf.CIQ(A2088, "IQ_DILUT_EPS_EXCL",IQ_FY-9))</f>
        <v>2.33</v>
      </c>
      <c r="G2088" s="15">
        <f>IF(A2096=A2097,_xll.ciqfunctions.udf.CIQ(A2088,"IQ_EBITDA_MARGIN",IQ_FY-10), _xll.ciqfunctions.udf.CIQ(A2088, "IQ_EBITDA_MARGIN",IQ_FY-9))</f>
        <v>16.275600000000001</v>
      </c>
      <c r="H2088" s="15">
        <f>IF(A2096=A2097,_xll.ciqfunctions.udf.CIQ(A2088,"IQ_TOTAL_DIV_PAID_CF",IQ_FY-10)/-I2088, _xll.ciqfunctions.udf.CIQ(A2088, "IQ_TOTAL_DIV_PAID_CF",IQ_FY-9)/-I2088)</f>
        <v>0</v>
      </c>
      <c r="I2088" s="17">
        <f>IF(A2096=A2097,_xll.ciqfunctions.udf.CIQ(A2088,"IQ_TOTAL_OUTSTANDING_FILING_DATE",IQ_FY-10), _xll.ciqfunctions.udf.CIQ(A2088, "IQ_TOTAL_OUTSTANDING_FILING_DATE",IQ_FY-9))</f>
        <v>19.796579999999999</v>
      </c>
      <c r="J2088" s="17">
        <f>IF(A2096=A2097,_xll.ciqfunctions.udf.CIQ(A2088,"IQ_CASH_OPER",IQ_FY-10), _xll.ciqfunctions.udf.CIQ(A2088, "IQ_CASH_OPER",IQ_FY-9))</f>
        <v>129.16999999999999</v>
      </c>
      <c r="K2088" s="17">
        <f>IF(A2096=A2097,_xll.ciqfunctions.udf.CIQ(A2088,"IQ_CAPEX",IQ_FY-10), _xll.ciqfunctions.udf.CIQ(A2088, "IQ_CAPEX",IQ_FY-9))</f>
        <v>-54.597999999999999</v>
      </c>
      <c r="L2088" s="15">
        <f t="shared" ref="L2088:L2098" si="556">(J2088+K2088)/I2088</f>
        <v>3.7669132749192027</v>
      </c>
      <c r="M2088" s="17">
        <f>IF(A2096=A2097,_xll.ciqfunctions.udf.CIQ(A2088,"IQ_TOTAL_DEBT_ISSUED",IQ_FY-10), _xll.ciqfunctions.udf.CIQ(A2088, "IQ_TOTAL_DEBT_ISSUED",IQ_FY-9))</f>
        <v>3.4969999999999999</v>
      </c>
      <c r="N2088" s="17">
        <f>IF(A2096=A2097,_xll.ciqfunctions.udf.CIQ(A2088,"IQ_TOTAL_DEBT_REPAID",IQ_FY-10), _xll.ciqfunctions.udf.CIQ(A2088, "IQ_TOTAL_DEBT_REPAID",IQ_FY-9))</f>
        <v>-38.667000000000002</v>
      </c>
      <c r="O2088" s="15">
        <f t="shared" ref="O2088:O2098" si="557">(M2088+N2088)/I2088</f>
        <v>-1.776569488265145</v>
      </c>
      <c r="P2088" s="15">
        <f t="shared" ref="P2088:P2098" si="558">L2088+O2088</f>
        <v>1.9903437866540576</v>
      </c>
      <c r="W2088" s="43"/>
      <c r="AA2088" s="43"/>
    </row>
    <row r="2089" spans="1:27">
      <c r="A2089" s="18" t="str">
        <f>_xll.ciqfunctions.udf.CIQ(A2088,"IQ_COMPANY_NAME")</f>
        <v>OSI Systems, Inc.</v>
      </c>
      <c r="B2089" s="13">
        <v>2</v>
      </c>
      <c r="C2089" s="14" t="s">
        <v>17</v>
      </c>
      <c r="D2089" s="15">
        <f>IF(A2096=A2097,_xll.ciqfunctions.udf.CIQ(A2088,"IQ_TOTAL_REV",IQ_FY-9)/I2089, _xll.ciqfunctions.udf.CIQ(A2088, "IQ_TOTAL_REV",IQ_FY-8)/I2089)</f>
        <v>48.494875455682347</v>
      </c>
      <c r="E2089" s="16">
        <f t="shared" ref="E2089:E2098" si="559">(D2089-D2088)/D2088</f>
        <v>5.8771603773126228E-2</v>
      </c>
      <c r="F2089" s="15">
        <f>IF(A2096=A2097,_xll.ciqfunctions.udf.CIQ(A2088,"IQ_DILUT_EPS_EXCL",IQ_FY-9), _xll.ciqfunctions.udf.CIQ(A2088, "IQ_DILUT_EPS_EXCL",IQ_FY-8))</f>
        <v>3.17</v>
      </c>
      <c r="G2089" s="15">
        <f>IF(A2096=A2097,_xll.ciqfunctions.udf.CIQ(A2088,"IQ_EBITDA_MARGIN",IQ_FY-9), _xll.ciqfunctions.udf.CIQ(A2088, "IQ_EBITDA_MARGIN",IQ_FY-8))</f>
        <v>16.795400000000001</v>
      </c>
      <c r="H2089" s="15">
        <f>IF(A2096=A2097,_xll.ciqfunctions.udf.CIQ(A2088,"IQ_TOTAL_DIV_PAID_CF",IQ_FY-9)/-I2089, _xll.ciqfunctions.udf.CIQ(A2088, "IQ_TOTAL_DIV_PAID_CF",IQ_FY-8)/-I2089)</f>
        <v>0</v>
      </c>
      <c r="I2089" s="17">
        <f>IF(A2096=A2097,_xll.ciqfunctions.udf.CIQ(A2088,"IQ_TOTAL_OUTSTANDING_FILING_DATE",IQ_FY-9), _xll.ciqfunctions.udf.CIQ(A2088, "IQ_TOTAL_OUTSTANDING_FILING_DATE",IQ_FY-8))</f>
        <v>19.75883</v>
      </c>
      <c r="J2089" s="17">
        <f>IF(A2096=A2097,_xll.ciqfunctions.udf.CIQ(A2088,"IQ_CASH_OPER",IQ_FY-9), _xll.ciqfunctions.udf.CIQ(A2088, "IQ_CASH_OPER",IQ_FY-8))</f>
        <v>105.10299999999999</v>
      </c>
      <c r="K2089" s="17">
        <f>IF(A2096=A2097,_xll.ciqfunctions.udf.CIQ(A2088,"IQ_CAPEX",IQ_FY-9), _xll.ciqfunctions.udf.CIQ(A2088, "IQ_CAPEX",IQ_FY-8))</f>
        <v>-15.286</v>
      </c>
      <c r="L2089" s="15">
        <f t="shared" si="556"/>
        <v>4.545663887993368</v>
      </c>
      <c r="M2089" s="17">
        <f>IF(A2096=A2097,_xll.ciqfunctions.udf.CIQ(A2088,"IQ_TOTAL_DEBT_ISSUED",IQ_FY-9), _xll.ciqfunctions.udf.CIQ(A2088, "IQ_TOTAL_DEBT_ISSUED",IQ_FY-8))</f>
        <v>1.5609999999999999</v>
      </c>
      <c r="N2089" s="17">
        <f>IF(A2096=A2097,_xll.ciqfunctions.udf.CIQ(A2088,"IQ_TOTAL_DEBT_REPAID",IQ_FY-9), _xll.ciqfunctions.udf.CIQ(A2088, "IQ_TOTAL_DEBT_REPAID",IQ_FY-8))</f>
        <v>-27.247</v>
      </c>
      <c r="O2089" s="15">
        <f t="shared" si="557"/>
        <v>-1.2999757576739108</v>
      </c>
      <c r="P2089" s="15">
        <f t="shared" si="558"/>
        <v>3.2456881303194569</v>
      </c>
      <c r="Q2089" s="25" t="s">
        <v>18</v>
      </c>
      <c r="R2089" s="39" t="s">
        <v>19</v>
      </c>
      <c r="S2089" s="1">
        <f>R2087/((AVERAGE(P2093:P2098))*(1+E2099)^3)</f>
        <v>23.25138098778443</v>
      </c>
      <c r="U2089" s="25" t="s">
        <v>48</v>
      </c>
      <c r="V2089" s="39" t="s">
        <v>19</v>
      </c>
      <c r="W2089" s="1">
        <f>V2087/((AVERAGE(P2093:P2098))*(1+E2099)^3)</f>
        <v>23.25138098778443</v>
      </c>
      <c r="Y2089" s="25" t="s">
        <v>39</v>
      </c>
      <c r="Z2089" s="39" t="s">
        <v>19</v>
      </c>
      <c r="AA2089" s="1">
        <f>Z2087/((AVERAGE(P2093:P2098))*(1+E2099)^3)</f>
        <v>23.25138098778443</v>
      </c>
    </row>
    <row r="2090" spans="1:27">
      <c r="B2090" s="13">
        <v>3</v>
      </c>
      <c r="C2090" s="14" t="s">
        <v>20</v>
      </c>
      <c r="D2090" s="15" cm="1">
        <f t="array" ref="D2090">_xlfn.SINGLE(IF(A2096=A2097,_xll.ciqfunctions.udf.CIQ(A2088,"IQ_TOTAL_REV",IQ_FY-8)/I2090, _xll.ciqfunctions.udf.CIQ(A2088, "IQ_TOTAL_REV",IQ_FY-7)/I2090))</f>
        <v>43.766772048897494</v>
      </c>
      <c r="E2090" s="16">
        <f t="shared" si="559"/>
        <v>-9.7496969779944903E-2</v>
      </c>
      <c r="F2090" s="15">
        <f>IF(A2096=A2097,_xll.ciqfunctions.udf.CIQ(A2088,"IQ_DILUT_EPS_EXCL",IQ_FY-8), _xll.ciqfunctions.udf.CIQ(A2088, "IQ_DILUT_EPS_EXCL",IQ_FY-7))</f>
        <v>1.3</v>
      </c>
      <c r="G2090" s="15">
        <f>IF(A2096=A2097,_xll.ciqfunctions.udf.CIQ(A2088,"IQ_EBITDA_MARGIN",IQ_FY-8), _xll.ciqfunctions.udf.CIQ(A2088, "IQ_EBITDA_MARGIN",IQ_FY-7))</f>
        <v>14.26</v>
      </c>
      <c r="H2090" s="15">
        <f>IF(A2096=A2097,_xll.ciqfunctions.udf.CIQ(A2088,"IQ_TOTAL_DIV_PAID_CF",IQ_FY-8)/-I2090, _xll.ciqfunctions.udf.CIQ(A2088, "IQ_TOTAL_DIV_PAID_CF",IQ_FY-7)/-I2090)</f>
        <v>0</v>
      </c>
      <c r="I2090" s="17">
        <f>IF(A2096=A2097,_xll.ciqfunctions.udf.CIQ(A2088,"IQ_TOTAL_OUTSTANDING_FILING_DATE",IQ_FY-8), _xll.ciqfunctions.udf.CIQ(A2088, "IQ_TOTAL_OUTSTANDING_FILING_DATE",IQ_FY-7))</f>
        <v>18.956389999999999</v>
      </c>
      <c r="J2090" s="17">
        <f>IF(A2096=A2097,_xll.ciqfunctions.udf.CIQ(A2088,"IQ_CASH_OPER",IQ_FY-8), _xll.ciqfunctions.udf.CIQ(A2088, "IQ_CASH_OPER",IQ_FY-7))</f>
        <v>59.218000000000004</v>
      </c>
      <c r="K2090" s="17">
        <f>IF(A2096=A2097,_xll.ciqfunctions.udf.CIQ(A2088,"IQ_CAPEX",IQ_FY-8), _xll.ciqfunctions.udf.CIQ(A2088, "IQ_CAPEX",IQ_FY-7))</f>
        <v>-17.687999999999999</v>
      </c>
      <c r="L2090" s="15">
        <f t="shared" si="556"/>
        <v>2.1908179774735594</v>
      </c>
      <c r="M2090" s="17">
        <f>IF(A2096=A2097,_xll.ciqfunctions.udf.CIQ(A2088,"IQ_TOTAL_DEBT_ISSUED",IQ_FY-8), _xll.ciqfunctions.udf.CIQ(A2088, "IQ_TOTAL_DEBT_ISSUED",IQ_FY-7))</f>
        <v>125.691</v>
      </c>
      <c r="N2090" s="17">
        <f>IF(A2096=A2097,_xll.ciqfunctions.udf.CIQ(A2088,"IQ_TOTAL_DEBT_REPAID",IQ_FY-8), _xll.ciqfunctions.udf.CIQ(A2088, "IQ_TOTAL_DEBT_REPAID",IQ_FY-7))</f>
        <v>-2.9169999999999998</v>
      </c>
      <c r="O2090" s="15">
        <f t="shared" si="557"/>
        <v>6.4766551015251324</v>
      </c>
      <c r="P2090" s="15">
        <f t="shared" si="558"/>
        <v>8.6674730789986913</v>
      </c>
      <c r="Q2090" s="25" t="s">
        <v>21</v>
      </c>
      <c r="R2090" s="38" t="s">
        <v>49</v>
      </c>
      <c r="S2090" s="2">
        <f>(R2087*I2098)/1000</f>
        <v>2.0538298559999997</v>
      </c>
      <c r="U2090" s="25" t="s">
        <v>59</v>
      </c>
      <c r="V2090" s="38" t="s">
        <v>49</v>
      </c>
      <c r="W2090" s="2">
        <f>(V2087*I2098)/1000</f>
        <v>2.0538298559999997</v>
      </c>
      <c r="Y2090" s="25" t="s">
        <v>46</v>
      </c>
      <c r="Z2090" s="38" t="s">
        <v>49</v>
      </c>
      <c r="AA2090" s="2">
        <f>(Z2087*I2098)/1000</f>
        <v>2.0538298559999997</v>
      </c>
    </row>
    <row r="2091" spans="1:27">
      <c r="A2091" s="18"/>
      <c r="B2091" s="13">
        <v>4</v>
      </c>
      <c r="C2091" s="14" t="s">
        <v>22</v>
      </c>
      <c r="D2091" s="15" cm="1">
        <f t="array" ref="D2091">_xlfn.SINGLE(IF(A2096=A2097,_xll.ciqfunctions.udf.CIQ(A2088,"IQ_TOTAL_REV",IQ_FY-7)/I2091, _xll.ciqfunctions.udf.CIQ(A2088, "IQ_TOTAL_REV",IQ_FY-6)/I2091))</f>
        <v>51.177433914634243</v>
      </c>
      <c r="E2091" s="16">
        <f t="shared" si="559"/>
        <v>0.16932164559582655</v>
      </c>
      <c r="F2091" s="15">
        <f>IF(A2096=A2097,_xll.ciqfunctions.udf.CIQ(A2088,"IQ_DILUT_EPS_EXCL",IQ_FY-7), _xll.ciqfunctions.udf.CIQ(A2088, "IQ_DILUT_EPS_EXCL",IQ_FY-6))</f>
        <v>1.07</v>
      </c>
      <c r="G2091" s="15">
        <f>IF(A2096=A2097,_xll.ciqfunctions.udf.CIQ(A2088,"IQ_EBITDA_MARGIN",IQ_FY-7), _xll.ciqfunctions.udf.CIQ(A2088, "IQ_EBITDA_MARGIN",IQ_FY-6))</f>
        <v>15.424799999999999</v>
      </c>
      <c r="H2091" s="15">
        <f>IF(A2096=A2097,_xll.ciqfunctions.udf.CIQ(A2088,"IQ_TOTAL_DIV_PAID_CF",IQ_FY-7)/-I2091, _xll.ciqfunctions.udf.CIQ(A2088, "IQ_TOTAL_DIV_PAID_CF",IQ_FY-6)/-I2091)</f>
        <v>0</v>
      </c>
      <c r="I2091" s="17">
        <f>IF(A2096=A2097,_xll.ciqfunctions.udf.CIQ(A2088,"IQ_TOTAL_OUTSTANDING_FILING_DATE",IQ_FY-7), _xll.ciqfunctions.udf.CIQ(A2088, "IQ_TOTAL_OUTSTANDING_FILING_DATE",IQ_FY-6))</f>
        <v>18.77685</v>
      </c>
      <c r="J2091" s="17">
        <f>IF(A2096=A2097,_xll.ciqfunctions.udf.CIQ(A2088,"IQ_CASH_OPER",IQ_FY-7), _xll.ciqfunctions.udf.CIQ(A2088, "IQ_CASH_OPER",IQ_FY-6))</f>
        <v>62.779000000000003</v>
      </c>
      <c r="K2091" s="17">
        <f>IF(A2096=A2097,_xll.ciqfunctions.udf.CIQ(A2088,"IQ_CAPEX",IQ_FY-7), _xll.ciqfunctions.udf.CIQ(A2088, "IQ_CAPEX",IQ_FY-6))</f>
        <v>-17.096</v>
      </c>
      <c r="L2091" s="15">
        <f t="shared" si="556"/>
        <v>2.432942692730677</v>
      </c>
      <c r="M2091" s="17">
        <f>IF(A2096=A2097,_xll.ciqfunctions.udf.CIQ(A2088,"IQ_TOTAL_DEBT_ISSUED",IQ_FY-7), _xll.ciqfunctions.udf.CIQ(A2088, "IQ_TOTAL_DEBT_ISSUED",IQ_FY-6))</f>
        <v>280.541</v>
      </c>
      <c r="N2091" s="17">
        <f>IF(A2096=A2097,_xll.ciqfunctions.udf.CIQ(A2088,"IQ_TOTAL_DEBT_REPAID",IQ_FY-7), _xll.ciqfunctions.udf.CIQ(A2088, "IQ_TOTAL_DEBT_REPAID",IQ_FY-6))</f>
        <v>-26.077000000000002</v>
      </c>
      <c r="O2091" s="15">
        <f t="shared" si="557"/>
        <v>13.552006859510515</v>
      </c>
      <c r="P2091" s="15">
        <f t="shared" si="558"/>
        <v>15.984949552241192</v>
      </c>
      <c r="Q2091" s="25" t="s">
        <v>23</v>
      </c>
      <c r="R2091" s="38" t="s">
        <v>24</v>
      </c>
      <c r="S2091" s="1" t="e">
        <f>R2087/(AVERAGE(H2093:H2098)*(1+H2099)/(0.5-H2099))</f>
        <v>#DIV/0!</v>
      </c>
      <c r="U2091" s="25" t="s">
        <v>40</v>
      </c>
      <c r="V2091" s="38" t="s">
        <v>24</v>
      </c>
      <c r="W2091" s="1" t="e">
        <f>V2087/(AVERAGE(H2093:H2098)*(1+H2099)/(0.5-H2099))</f>
        <v>#DIV/0!</v>
      </c>
      <c r="Y2091" s="25" t="s">
        <v>47</v>
      </c>
      <c r="Z2091" s="38" t="s">
        <v>24</v>
      </c>
      <c r="AA2091" s="1" t="e">
        <f>Z2087/(AVERAGE(H2093:H2098)*(1+H2099)/(0.5-H2099))</f>
        <v>#DIV/0!</v>
      </c>
    </row>
    <row r="2092" spans="1:27">
      <c r="B2092" s="13">
        <v>5</v>
      </c>
      <c r="C2092" s="14" t="s">
        <v>25</v>
      </c>
      <c r="D2092" s="15" cm="1">
        <f t="array" ref="D2092">_xlfn.SINGLE(IF(A2096=A2097,_xll.ciqfunctions.udf.CIQ(A2088,"IQ_TOTAL_REV",IQ_FY-6)/I2092, _xll.ciqfunctions.udf.CIQ(A2088, "IQ_TOTAL_REV",IQ_FY-5)/I2092))</f>
        <v>60.203599440015878</v>
      </c>
      <c r="E2092" s="16">
        <f t="shared" si="559"/>
        <v>0.1763700294242497</v>
      </c>
      <c r="F2092" s="15">
        <f>IF(A2096=A2097,_xll.ciqfunctions.udf.CIQ(A2088,"IQ_DILUT_EPS_EXCL",IQ_FY-6), _xll.ciqfunctions.udf.CIQ(A2088, "IQ_DILUT_EPS_EXCL",IQ_FY-5))</f>
        <v>-1.57</v>
      </c>
      <c r="G2092" s="15">
        <f>IF(A2096=A2097,_xll.ciqfunctions.udf.CIQ(A2088,"IQ_EBITDA_MARGIN",IQ_FY-6), _xll.ciqfunctions.udf.CIQ(A2088, "IQ_EBITDA_MARGIN",IQ_FY-5))</f>
        <v>14.1074</v>
      </c>
      <c r="H2092" s="15">
        <f>IF(A2096=A2097,_xll.ciqfunctions.udf.CIQ(A2088,"IQ_TOTAL_DIV_PAID_CF",IQ_FY-6)/-I2092, _xll.ciqfunctions.udf.CIQ(A2088, "IQ_TOTAL_DIV_PAID_CF",IQ_FY-5)/-I2092)</f>
        <v>0</v>
      </c>
      <c r="I2092" s="17">
        <f>IF(A2096=A2097,_xll.ciqfunctions.udf.CIQ(A2088,"IQ_TOTAL_OUTSTANDING_FILING_DATE",IQ_FY-6), _xll.ciqfunctions.udf.CIQ(A2088, "IQ_TOTAL_OUTSTANDING_FILING_DATE",IQ_FY-5))</f>
        <v>18.09337</v>
      </c>
      <c r="J2092" s="17">
        <f>IF(A2096=A2097,_xll.ciqfunctions.udf.CIQ(A2088,"IQ_CASH_OPER",IQ_FY-6), _xll.ciqfunctions.udf.CIQ(A2088, "IQ_CASH_OPER",IQ_FY-5))</f>
        <v>133.10900000000001</v>
      </c>
      <c r="K2092" s="17">
        <f>IF(A2096=A2097,_xll.ciqfunctions.udf.CIQ(A2088,"IQ_CAPEX",IQ_FY-6), _xll.ciqfunctions.udf.CIQ(A2088, "IQ_CAPEX",IQ_FY-5))</f>
        <v>-43.198</v>
      </c>
      <c r="L2092" s="15">
        <f t="shared" si="556"/>
        <v>4.969278802124756</v>
      </c>
      <c r="M2092" s="17">
        <f>IF(A2096=A2097,_xll.ciqfunctions.udf.CIQ(A2088,"IQ_TOTAL_DEBT_ISSUED",IQ_FY-6), _xll.ciqfunctions.udf.CIQ(A2088, "IQ_TOTAL_DEBT_ISSUED",IQ_FY-5))</f>
        <v>11.044</v>
      </c>
      <c r="N2092" s="17">
        <f>IF(A2096=A2097,_xll.ciqfunctions.udf.CIQ(A2088,"IQ_TOTAL_DEBT_REPAID",IQ_FY-6), _xll.ciqfunctions.udf.CIQ(A2088, "IQ_TOTAL_DEBT_REPAID",IQ_FY-5))</f>
        <v>-2.5920000000000001</v>
      </c>
      <c r="O2092" s="15">
        <f t="shared" si="557"/>
        <v>0.46713243580383312</v>
      </c>
      <c r="P2092" s="15">
        <f t="shared" si="558"/>
        <v>5.4364112379285894</v>
      </c>
      <c r="Q2092" s="18"/>
      <c r="R2092" s="38" t="s">
        <v>50</v>
      </c>
      <c r="S2092" s="3">
        <f>I2099</f>
        <v>-1.3895231449558954E-2</v>
      </c>
      <c r="U2092" s="18"/>
      <c r="V2092" s="38" t="s">
        <v>50</v>
      </c>
      <c r="W2092" s="3">
        <f>I2099</f>
        <v>-1.3895231449558954E-2</v>
      </c>
      <c r="Y2092" s="18"/>
      <c r="Z2092" s="38" t="s">
        <v>50</v>
      </c>
      <c r="AA2092" s="3">
        <f>I2099</f>
        <v>-1.3895231449558954E-2</v>
      </c>
    </row>
    <row r="2093" spans="1:27">
      <c r="B2093" s="13">
        <v>6</v>
      </c>
      <c r="C2093" s="14" t="s">
        <v>26</v>
      </c>
      <c r="D2093" s="15" cm="1">
        <f t="array" ref="D2093">_xlfn.SINGLE(IF(A2096=A2097,_xll.ciqfunctions.udf.CIQ(A2088,"IQ_TOTAL_REV",IQ_FY-5)/I2093, _xll.ciqfunctions.udf.CIQ(A2088, "IQ_TOTAL_REV",IQ_FY-4)/I2093))</f>
        <v>64.88388725353245</v>
      </c>
      <c r="E2093" s="16">
        <f t="shared" si="559"/>
        <v>7.7740996502705731E-2</v>
      </c>
      <c r="F2093" s="15">
        <f>IF(A2096=A2097,_xll.ciqfunctions.udf.CIQ(A2088,"IQ_DILUT_EPS_EXCL",IQ_FY-5), _xll.ciqfunctions.udf.CIQ(A2088, "IQ_DILUT_EPS_EXCL",IQ_FY-4))</f>
        <v>3.46</v>
      </c>
      <c r="G2093" s="15">
        <f>IF(A2096=A2097,_xll.ciqfunctions.udf.CIQ(A2088,"IQ_EBITDA_MARGIN",IQ_FY-5), _xll.ciqfunctions.udf.CIQ(A2088, "IQ_EBITDA_MARGIN",IQ_FY-4))</f>
        <v>12.985200000000001</v>
      </c>
      <c r="H2093" s="15">
        <f>IF(A2096=A2097,_xll.ciqfunctions.udf.CIQ(A2088,"IQ_TOTAL_DIV_PAID_CF",IQ_FY-5)/-I2093, _xll.ciqfunctions.udf.CIQ(A2088, "IQ_TOTAL_DIV_PAID_CF",IQ_FY-4)/-I2093)</f>
        <v>0</v>
      </c>
      <c r="I2093" s="17">
        <f>IF(A2096=A2097,_xll.ciqfunctions.udf.CIQ(A2088,"IQ_TOTAL_OUTSTANDING_FILING_DATE",IQ_FY-5), _xll.ciqfunctions.udf.CIQ(A2088, "IQ_TOTAL_OUTSTANDING_FILING_DATE",IQ_FY-4))</f>
        <v>18.21893</v>
      </c>
      <c r="J2093" s="17">
        <f>IF(A2096=A2097,_xll.ciqfunctions.udf.CIQ(A2088,"IQ_CASH_OPER",IQ_FY-5), _xll.ciqfunctions.udf.CIQ(A2088, "IQ_CASH_OPER",IQ_FY-4))</f>
        <v>119.11199999999999</v>
      </c>
      <c r="K2093" s="17">
        <f>IF(A2096=A2097,_xll.ciqfunctions.udf.CIQ(A2088,"IQ_CAPEX",IQ_FY-5), _xll.ciqfunctions.udf.CIQ(A2088, "IQ_CAPEX",IQ_FY-4))</f>
        <v>-27.411999999999999</v>
      </c>
      <c r="L2093" s="15">
        <f t="shared" si="556"/>
        <v>5.0332264298726646</v>
      </c>
      <c r="M2093" s="17">
        <f>IF(A2096=A2097,_xll.ciqfunctions.udf.CIQ(A2088,"IQ_TOTAL_DEBT_ISSUED",IQ_FY-5), _xll.ciqfunctions.udf.CIQ(A2088, "IQ_TOTAL_DEBT_ISSUED",IQ_FY-4))</f>
        <v>1.409</v>
      </c>
      <c r="N2093" s="17">
        <f>IF(A2096=A2097,_xll.ciqfunctions.udf.CIQ(A2088,"IQ_TOTAL_DEBT_REPAID",IQ_FY-5), _xll.ciqfunctions.udf.CIQ(A2088, "IQ_TOTAL_DEBT_REPAID",IQ_FY-4))</f>
        <v>-28.128</v>
      </c>
      <c r="O2093" s="15">
        <f t="shared" si="557"/>
        <v>-1.4665515483071729</v>
      </c>
      <c r="P2093" s="15">
        <f t="shared" si="558"/>
        <v>3.5666748815654916</v>
      </c>
      <c r="Q2093" s="25" t="s">
        <v>27</v>
      </c>
      <c r="R2093" s="38" t="s">
        <v>51</v>
      </c>
      <c r="S2093" s="4">
        <f>AVERAGE(F2093:F2098)/AVERAGE(D2093:D2098)</f>
        <v>6.9251465461655018E-2</v>
      </c>
      <c r="U2093" s="25" t="s">
        <v>58</v>
      </c>
      <c r="V2093" s="38" t="s">
        <v>51</v>
      </c>
      <c r="W2093" s="4">
        <f>AVERAGE(F2093:F2098)/AVERAGE(D2093:D2098)</f>
        <v>6.9251465461655018E-2</v>
      </c>
      <c r="Y2093" s="25" t="s">
        <v>56</v>
      </c>
      <c r="Z2093" s="38" t="s">
        <v>51</v>
      </c>
      <c r="AA2093" s="4">
        <f>AVERAGE(F2093:F2098)/AVERAGE(D2093:D2098)</f>
        <v>6.9251465461655018E-2</v>
      </c>
    </row>
    <row r="2094" spans="1:27">
      <c r="A2094" s="18"/>
      <c r="B2094" s="13">
        <v>7</v>
      </c>
      <c r="C2094" s="14" t="s">
        <v>28</v>
      </c>
      <c r="D2094" s="15" cm="1">
        <f t="array" ref="D2094">_xlfn.SINGLE(IF(A2096=A2097,_xll.ciqfunctions.udf.CIQ(A2088,"IQ_TOTAL_REV",IQ_FY-4)/I2094, _xll.ciqfunctions.udf.CIQ(A2088, "IQ_TOTAL_REV",IQ_FY-3)/I2094))</f>
        <v>64.492085913933423</v>
      </c>
      <c r="E2094" s="16">
        <f t="shared" si="559"/>
        <v>-6.0384997906810295E-3</v>
      </c>
      <c r="F2094" s="15">
        <f>IF(A2096=A2097,_xll.ciqfunctions.udf.CIQ(A2088,"IQ_DILUT_EPS_EXCL",IQ_FY-4), _xll.ciqfunctions.udf.CIQ(A2088, "IQ_DILUT_EPS_EXCL",IQ_FY-3))</f>
        <v>4.05</v>
      </c>
      <c r="G2094" s="15">
        <f>IF(A2096=A2097,_xll.ciqfunctions.udf.CIQ(A2088,"IQ_EBITDA_MARGIN",IQ_FY-4), _xll.ciqfunctions.udf.CIQ(A2088, "IQ_EBITDA_MARGIN",IQ_FY-3))</f>
        <v>13.818300000000001</v>
      </c>
      <c r="H2094" s="15">
        <f>IF(A2096=A2097,_xll.ciqfunctions.udf.CIQ(A2088,"IQ_TOTAL_DIV_PAID_CF",IQ_FY-4)/-I2094, _xll.ciqfunctions.udf.CIQ(A2088, "IQ_TOTAL_DIV_PAID_CF",IQ_FY-3)/-I2094)</f>
        <v>0</v>
      </c>
      <c r="I2094" s="17">
        <f>IF(A2096=A2097,_xll.ciqfunctions.udf.CIQ(A2088,"IQ_TOTAL_OUTSTANDING_FILING_DATE",IQ_FY-4), _xll.ciqfunctions.udf.CIQ(A2088, "IQ_TOTAL_OUTSTANDING_FILING_DATE",IQ_FY-3))</f>
        <v>18.08042</v>
      </c>
      <c r="J2094" s="17">
        <f>IF(A2096=A2097,_xll.ciqfunctions.udf.CIQ(A2088,"IQ_CASH_OPER",IQ_FY-4), _xll.ciqfunctions.udf.CIQ(A2088, "IQ_CASH_OPER",IQ_FY-3))</f>
        <v>129.18</v>
      </c>
      <c r="K2094" s="17">
        <f>IF(A2096=A2097,_xll.ciqfunctions.udf.CIQ(A2088,"IQ_CAPEX",IQ_FY-4), _xll.ciqfunctions.udf.CIQ(A2088, "IQ_CAPEX",IQ_FY-3))</f>
        <v>-21.056999999999999</v>
      </c>
      <c r="L2094" s="15">
        <f t="shared" si="556"/>
        <v>5.9801155061663396</v>
      </c>
      <c r="M2094" s="17">
        <f>IF(A2096=A2097,_xll.ciqfunctions.udf.CIQ(A2088,"IQ_TOTAL_DEBT_ISSUED",IQ_FY-4), _xll.ciqfunctions.udf.CIQ(A2088, "IQ_TOTAL_DEBT_ISSUED",IQ_FY-3))</f>
        <v>0.77</v>
      </c>
      <c r="N2094" s="17">
        <f>IF(A2096=A2097,_xll.ciqfunctions.udf.CIQ(A2088,"IQ_TOTAL_DEBT_REPAID",IQ_FY-4), _xll.ciqfunctions.udf.CIQ(A2088, "IQ_TOTAL_DEBT_REPAID",IQ_FY-3))</f>
        <v>-29.97</v>
      </c>
      <c r="O2094" s="15">
        <f t="shared" si="557"/>
        <v>-1.6150067310383276</v>
      </c>
      <c r="P2094" s="15">
        <f t="shared" si="558"/>
        <v>4.3651087751280118</v>
      </c>
      <c r="Q2094" s="18"/>
      <c r="R2094" s="38" t="s">
        <v>29</v>
      </c>
      <c r="S2094" s="4">
        <f>(AVERAGE(P2093:P2098)/_xlfn.STDEV.P(P2093:P2098))/(IF(A2096=A2097,(_xlfn.SINGLE(_xll.ciqfunctions.udf.CIQ(A2088,"IQ_total_assets",IQ_FY)) - _xlfn.SINGLE(_xll.ciqfunctions.udf.CIQ(A2088,"iq_gw_intan", IQ_FY)))/I2098, (_xlfn.SINGLE(_xll.ciqfunctions.udf.CIQ(A2088, "IQ_total_assets",IQ_LTM))-_xlfn.SINGLE(_xll.ciqfunctions.udf.CIQ(A2088,"iq_gw_intan",IQ_LTM)))/I2098))</f>
        <v>6.696970571451194E-2</v>
      </c>
      <c r="U2094" s="18"/>
      <c r="V2094" s="38" t="s">
        <v>29</v>
      </c>
      <c r="W2094" s="4">
        <f>(AVERAGE(P2093:P2098)/_xlfn.STDEV.P(P2093:P2098))/(IF(A2096=A2097,(_xlfn.SINGLE(_xll.ciqfunctions.udf.CIQ(A2088,"IQ_total_assets",IQ_FY)) - _xlfn.SINGLE(_xll.ciqfunctions.udf.CIQ(A2088,"iq_gw_intan", IQ_FY)))/I2098, (_xlfn.SINGLE(_xll.ciqfunctions.udf.CIQ(A2088, "IQ_total_assets",IQ_LTM))-_xlfn.SINGLE(_xll.ciqfunctions.udf.CIQ(A2088,"iq_gw_intan",IQ_LTM)))/I2098))</f>
        <v>6.696970571451194E-2</v>
      </c>
      <c r="Y2094" s="18"/>
      <c r="Z2094" s="38" t="s">
        <v>29</v>
      </c>
      <c r="AA2094" s="4">
        <f>(AVERAGE(P2093:P2098)/_xlfn.STDEV.P(P2093:P2098))/(IF(A2096=A2097,(_xlfn.SINGLE(_xll.ciqfunctions.udf.CIQ(A2088,"IQ_total_assets",IQ_FY)) - _xlfn.SINGLE(_xll.ciqfunctions.udf.CIQ(A2088,"iq_gw_intan", IQ_FY)))/I2098, (_xlfn.SINGLE(_xll.ciqfunctions.udf.CIQ(A2088, "IQ_total_assets",IQ_LTM))-_xlfn.SINGLE(_xll.ciqfunctions.udf.CIQ(A2088,"iq_gw_intan",IQ_LTM)))/I2098))</f>
        <v>6.696970571451194E-2</v>
      </c>
    </row>
    <row r="2095" spans="1:27">
      <c r="A2095" s="18"/>
      <c r="B2095" s="13">
        <v>8</v>
      </c>
      <c r="C2095" s="14" t="s">
        <v>30</v>
      </c>
      <c r="D2095" s="15" cm="1">
        <f t="array" ref="D2095">_xlfn.SINGLE(IF(A2096=A2097,_xll.ciqfunctions.udf.CIQ(A2088,"IQ_TOTAL_REV",IQ_FY-3)/I2095, _xll.ciqfunctions.udf.CIQ(A2088, "IQ_TOTAL_REV",IQ_FY-2)/I2095))</f>
        <v>64.102102639197852</v>
      </c>
      <c r="E2095" s="16">
        <f t="shared" si="559"/>
        <v>-6.0469942816861961E-3</v>
      </c>
      <c r="F2095" s="15">
        <f>IF(A2096=A2097,_xll.ciqfunctions.udf.CIQ(A2088,"IQ_DILUT_EPS_EXCL",IQ_FY-3), _xll.ciqfunctions.udf.CIQ(A2088, "IQ_DILUT_EPS_EXCL",IQ_FY-2))</f>
        <v>4.03</v>
      </c>
      <c r="G2095" s="15">
        <f>IF(A2096=A2097,_xll.ciqfunctions.udf.CIQ(A2088,"IQ_EBITDA_MARGIN",IQ_FY-3), _xll.ciqfunctions.udf.CIQ(A2088, "IQ_EBITDA_MARGIN",IQ_FY-2))</f>
        <v>14.764099999999999</v>
      </c>
      <c r="H2095" s="15">
        <f>IF(A2096=A2097,_xll.ciqfunctions.udf.CIQ(A2088,"IQ_TOTAL_DIV_PAID_CF",IQ_FY-3)/-I2095, _xll.ciqfunctions.udf.CIQ(A2088, "IQ_TOTAL_DIV_PAID_CF",IQ_FY-2)/-I2095)</f>
        <v>0</v>
      </c>
      <c r="I2095" s="17">
        <f>IF(A2096=A2097,_xll.ciqfunctions.udf.CIQ(A2088,"IQ_TOTAL_OUTSTANDING_FILING_DATE",IQ_FY-3), _xll.ciqfunctions.udf.CIQ(A2088, "IQ_TOTAL_OUTSTANDING_FILING_DATE",IQ_FY-2))</f>
        <v>17.8918</v>
      </c>
      <c r="J2095" s="17">
        <f>IF(A2096=A2097,_xll.ciqfunctions.udf.CIQ(A2088,"IQ_CASH_OPER",IQ_FY-3), _xll.ciqfunctions.udf.CIQ(A2088, "IQ_CASH_OPER",IQ_FY-2))</f>
        <v>139.066</v>
      </c>
      <c r="K2095" s="17">
        <f>IF(A2096=A2097,_xll.ciqfunctions.udf.CIQ(A2088,"IQ_CAPEX",IQ_FY-3), _xll.ciqfunctions.udf.CIQ(A2088, "IQ_CAPEX",IQ_FY-2))</f>
        <v>-16.896000000000001</v>
      </c>
      <c r="L2095" s="15">
        <f t="shared" si="556"/>
        <v>6.8282676980516213</v>
      </c>
      <c r="M2095" s="17">
        <f>IF(A2096=A2097,_xll.ciqfunctions.udf.CIQ(A2088,"IQ_TOTAL_DEBT_ISSUED",IQ_FY-3), _xll.ciqfunctions.udf.CIQ(A2088, "IQ_TOTAL_DEBT_ISSUED",IQ_FY-2))</f>
        <v>0.73899999999999999</v>
      </c>
      <c r="N2095" s="17">
        <f>IF(A2096=A2097,_xll.ciqfunctions.udf.CIQ(A2088,"IQ_TOTAL_DEBT_REPAID",IQ_FY-3), _xll.ciqfunctions.udf.CIQ(A2088, "IQ_TOTAL_DEBT_REPAID",IQ_FY-2))</f>
        <v>-60.057000000000002</v>
      </c>
      <c r="O2095" s="15">
        <f t="shared" si="557"/>
        <v>-3.315373523066433</v>
      </c>
      <c r="P2095" s="15">
        <f t="shared" si="558"/>
        <v>3.5128941749851883</v>
      </c>
      <c r="Q2095" s="18"/>
      <c r="R2095" s="39" t="s">
        <v>31</v>
      </c>
      <c r="S2095" s="5">
        <f>IF(NOT(D2088&gt;0),FALSE,SLOPE(G2088:G2098,B2088:B2098))</f>
        <v>-0.2782254545454545</v>
      </c>
      <c r="U2095" s="18"/>
      <c r="V2095" s="39" t="s">
        <v>31</v>
      </c>
      <c r="W2095" s="5">
        <f>IF(NOT(D2088&gt;0),FALSE,SLOPE(G2088:G2098,B2088:B2098))</f>
        <v>-0.2782254545454545</v>
      </c>
      <c r="Y2095" s="18"/>
      <c r="Z2095" s="39" t="s">
        <v>31</v>
      </c>
      <c r="AA2095" s="5">
        <f>IF(NOT(L2088&gt;0),FALSE,SLOPE(O2088:O2098,J2088:J2098))</f>
        <v>-0.13291946782754335</v>
      </c>
    </row>
    <row r="2096" spans="1:27">
      <c r="A2096" s="19">
        <f>_xll.ciqfunctions.udf.CIQ(A2088,"IQ_TOTAL_REV",IQ_FY)</f>
        <v>1278.4269999999999</v>
      </c>
      <c r="B2096" s="13">
        <v>9</v>
      </c>
      <c r="C2096" s="14" t="s">
        <v>32</v>
      </c>
      <c r="D2096" s="15" cm="1">
        <f t="array" ref="D2096">_xlfn.SINGLE(IF(A2096=A2097,_xll.ciqfunctions.udf.CIQ(A2088,"IQ_TOTAL_REV",IQ_FY-2)/I2096, _xll.ciqfunctions.udf.CIQ(A2088, "IQ_TOTAL_REV",IQ_FY-1)/I2096))</f>
        <v>69.954854714477946</v>
      </c>
      <c r="E2096" s="16">
        <f t="shared" si="559"/>
        <v>9.1303589653254053E-2</v>
      </c>
      <c r="F2096" s="15">
        <f>IF(A2096=A2097,_xll.ciqfunctions.udf.CIQ(A2088,"IQ_DILUT_EPS_EXCL",IQ_FY-2), _xll.ciqfunctions.udf.CIQ(A2088, "IQ_DILUT_EPS_EXCL",IQ_FY-1))</f>
        <v>6.45</v>
      </c>
      <c r="G2096" s="15">
        <f>IF(A2096=A2097,_xll.ciqfunctions.udf.CIQ(A2088,"IQ_EBITDA_MARGIN",IQ_FY-2), _xll.ciqfunctions.udf.CIQ(A2088, "IQ_EBITDA_MARGIN",IQ_FY-1))</f>
        <v>14.1958</v>
      </c>
      <c r="H2096" s="15">
        <f>IF(A2096=A2097,_xll.ciqfunctions.udf.CIQ(A2088,"IQ_TOTAL_DIV_PAID_CF",IQ_FY-2)/-I2096, _xll.ciqfunctions.udf.CIQ(A2088, "IQ_TOTAL_DIV_PAID_CF",IQ_FY-1)/-I2096)</f>
        <v>0</v>
      </c>
      <c r="I2096" s="17">
        <f>IF(A2096=A2097,_xll.ciqfunctions.udf.CIQ(A2088,"IQ_TOTAL_OUTSTANDING_FILING_DATE",IQ_FY-2), _xll.ciqfunctions.udf.CIQ(A2088, "IQ_TOTAL_OUTSTANDING_FILING_DATE",IQ_FY-1))</f>
        <v>16.914280000000002</v>
      </c>
      <c r="J2096" s="17">
        <f>IF(A2096=A2097,_xll.ciqfunctions.udf.CIQ(A2088,"IQ_CASH_OPER",IQ_FY-2), _xll.ciqfunctions.udf.CIQ(A2088, "IQ_CASH_OPER",IQ_FY-1))</f>
        <v>63.808</v>
      </c>
      <c r="K2096" s="17">
        <f>IF(A2096=A2097,_xll.ciqfunctions.udf.CIQ(A2088,"IQ_CAPEX",IQ_FY-2), _xll.ciqfunctions.udf.CIQ(A2088, "IQ_CAPEX",IQ_FY-1))</f>
        <v>-14.920999999999999</v>
      </c>
      <c r="L2096" s="15">
        <f t="shared" si="556"/>
        <v>2.890279692662058</v>
      </c>
      <c r="M2096" s="17">
        <f>IF(A2096=A2097,_xll.ciqfunctions.udf.CIQ(A2088,"IQ_TOTAL_DEBT_ISSUED",IQ_FY-2), _xll.ciqfunctions.udf.CIQ(A2088, "IQ_TOTAL_DEBT_ISSUED",IQ_FY-1))</f>
        <v>110.38800000000001</v>
      </c>
      <c r="N2096" s="17">
        <f>IF(A2096=A2097,_xll.ciqfunctions.udf.CIQ(A2088,"IQ_TOTAL_DEBT_REPAID",IQ_FY-2), _xll.ciqfunctions.udf.CIQ(A2088, "IQ_TOTAL_DEBT_REPAID",IQ_FY-1))</f>
        <v>-46.073999999999998</v>
      </c>
      <c r="O2096" s="15">
        <f t="shared" si="557"/>
        <v>3.802349257550425</v>
      </c>
      <c r="P2096" s="15">
        <f t="shared" si="558"/>
        <v>6.6926289502124829</v>
      </c>
      <c r="Q2096" s="25" t="s">
        <v>33</v>
      </c>
      <c r="R2096" s="38" t="s">
        <v>52</v>
      </c>
      <c r="S2096" s="4">
        <f>(AVERAGE(O2093:O2098)/AVERAGE(P2093:P2098))</f>
        <v>-5.5288979075568651E-2</v>
      </c>
      <c r="U2096" s="25" t="s">
        <v>54</v>
      </c>
      <c r="V2096" s="38" t="s">
        <v>52</v>
      </c>
      <c r="W2096" s="4">
        <f>(AVERAGE(O2093:O2098)/AVERAGE(P2093:P2098))</f>
        <v>-5.5288979075568651E-2</v>
      </c>
      <c r="Y2096" s="25" t="s">
        <v>60</v>
      </c>
      <c r="Z2096" s="38" t="s">
        <v>52</v>
      </c>
      <c r="AA2096" s="4">
        <f>(AVERAGE(O2093:O2098)/AVERAGE(P2093:P2098))</f>
        <v>-5.5288979075568651E-2</v>
      </c>
    </row>
    <row r="2097" spans="1:27">
      <c r="A2097" s="19">
        <f>_xll.ciqfunctions.udf.CIQ(A2088,"IQ_TOTAL_REV",IQ_LTM)</f>
        <v>1289.566</v>
      </c>
      <c r="B2097" s="13">
        <v>10</v>
      </c>
      <c r="C2097" s="14" t="s">
        <v>34</v>
      </c>
      <c r="D2097" s="15" cm="1">
        <f t="array" ref="D2097">_xlfn.SINGLE(IF(A2096=A2097,_xll.ciqfunctions.udf.CIQ(A2088,"IQ_TOTAL_REV",IQ_FY-1)/I2097, _xll.ciqfunctions.udf.CIQ(A2088, "IQ_TOTAL_REV",IQ_FY)/I2097))</f>
        <v>76.1001519708892</v>
      </c>
      <c r="E2097" s="16">
        <f t="shared" si="559"/>
        <v>8.7846615956725244E-2</v>
      </c>
      <c r="F2097" s="15">
        <f>IF(A2096=A2097,_xll.ciqfunctions.udf.CIQ(A2088,"IQ_DILUT_EPS_EXCL",IQ_FY-1), _xll.ciqfunctions.udf.CIQ(A2088, "IQ_DILUT_EPS_EXCL",IQ_FY))</f>
        <v>5.34</v>
      </c>
      <c r="G2097" s="15">
        <f>IF(A2096=A2097,_xll.ciqfunctions.udf.CIQ(A2088,"IQ_EBITDA_MARGIN",IQ_FY-1), _xll.ciqfunctions.udf.CIQ(A2088, "IQ_EBITDA_MARGIN",IQ_FY))</f>
        <v>13.255100000000001</v>
      </c>
      <c r="H2097" s="15">
        <f>IF(A2096=A2097,_xll.ciqfunctions.udf.CIQ(A2088,"IQ_TOTAL_DIV_PAID_CF",IQ_FY-1)/-I2097, _xll.ciqfunctions.udf.CIQ(A2088, "IQ_TOTAL_DIV_PAID_CF",IQ_FY)/-I2097)</f>
        <v>0</v>
      </c>
      <c r="I2097" s="17">
        <f>IF(A2096=A2097,_xll.ciqfunctions.udf.CIQ(A2088,"IQ_TOTAL_OUTSTANDING_FILING_DATE",IQ_FY-1), _xll.ciqfunctions.udf.CIQ(A2088, "IQ_TOTAL_OUTSTANDING_FILING_DATE",IQ_FY))</f>
        <v>16.79927</v>
      </c>
      <c r="J2097" s="17">
        <f>IF(A2096=A2097,_xll.ciqfunctions.udf.CIQ(A2088,"IQ_CASH_OPER",IQ_FY-1), _xll.ciqfunctions.udf.CIQ(A2088, "IQ_CASH_OPER",IQ_FY))</f>
        <v>94.811999999999998</v>
      </c>
      <c r="K2097" s="17">
        <f>IF(A2096=A2097,_xll.ciqfunctions.udf.CIQ(A2088,"IQ_CAPEX",IQ_FY-1), _xll.ciqfunctions.udf.CIQ(A2088, "IQ_CAPEX",IQ_FY))</f>
        <v>-15.811</v>
      </c>
      <c r="L2097" s="15">
        <f t="shared" si="556"/>
        <v>4.7026448173045621</v>
      </c>
      <c r="M2097" s="17">
        <f>IF(A2096=A2097,_xll.ciqfunctions.udf.CIQ(A2088,"IQ_TOTAL_DEBT_ISSUED",IQ_FY-1), _xll.ciqfunctions.udf.CIQ(A2088, "IQ_TOTAL_DEBT_ISSUED",IQ_FY))</f>
        <v>255.76599999999999</v>
      </c>
      <c r="N2097" s="17">
        <f>IF(A2096=A2097,_xll.ciqfunctions.udf.CIQ(A2088,"IQ_TOTAL_DEBT_REPAID",IQ_FY-1), _xll.ciqfunctions.udf.CIQ(A2088, "IQ_TOTAL_DEBT_REPAID",IQ_FY))</f>
        <v>-249.84200000000001</v>
      </c>
      <c r="O2097" s="15">
        <f t="shared" si="557"/>
        <v>0.35263437042204682</v>
      </c>
      <c r="P2097" s="15">
        <f t="shared" si="558"/>
        <v>5.055279187726609</v>
      </c>
      <c r="Q2097" s="25" t="s">
        <v>44</v>
      </c>
      <c r="R2097" s="38" t="s">
        <v>35</v>
      </c>
      <c r="S2097" s="1">
        <f>_xll.ciqfunctions.udf.CIQ(A2088,"IQ_TEV_EBITDA")</f>
        <v>12.794090000000001</v>
      </c>
      <c r="U2097" s="25" t="s">
        <v>55</v>
      </c>
      <c r="V2097" s="38" t="s">
        <v>53</v>
      </c>
      <c r="W2097" s="1">
        <f>V2087/(AVERAGE(D2093:D2098)/_xlfn.STDEV.P(E2093:E2098))</f>
        <v>7.9344680562344755E-2</v>
      </c>
      <c r="Y2097" s="25" t="s">
        <v>57</v>
      </c>
      <c r="Z2097" s="38" t="s">
        <v>53</v>
      </c>
      <c r="AA2097" s="1">
        <f>Z2087/(AVERAGE(D2093:D2098)/_xlfn.STDEV.P(E2093:E2098))</f>
        <v>7.9344680562344755E-2</v>
      </c>
    </row>
    <row r="2098" spans="1:27">
      <c r="B2098" s="13">
        <v>11</v>
      </c>
      <c r="C2098" s="20" t="s">
        <v>36</v>
      </c>
      <c r="D2098" s="21" cm="1">
        <f t="array" ref="D2098">_xlfn.SINGLE(IF(A2096=A2097,_xll.ciqfunctions.udf.CIQ(A2088,"IQ_TOTAL_REV",IQ_FY)/I2098, _xll.ciqfunctions.udf.CIQ(A2088, "IQ_TOTAL_REV",IQ_LTM)/I2098))</f>
        <v>75.911122308663153</v>
      </c>
      <c r="E2098" s="22">
        <f t="shared" si="559"/>
        <v>-2.4839590635555883E-3</v>
      </c>
      <c r="F2098" s="21">
        <f>IF(A2096=A2097,_xll.ciqfunctions.udf.CIQ(A2088,"IQ_DILUT_EPS_EXCL",IQ_FY), _xll.ciqfunctions.udf.CIQ(A2088, "IQ_DILUT_EPS_EXCL",IQ_LTM))</f>
        <v>5.4401200000000003</v>
      </c>
      <c r="G2098" s="21">
        <f>IF(A2096=A2097,_xll.ciqfunctions.udf.CIQ(A2088,"IQ_EBITDA_MARGIN",IQ_FY), _xll.ciqfunctions.udf.CIQ(A2088, "IQ_EBITDA_MARGIN",IQ_LTM))</f>
        <v>13.3475</v>
      </c>
      <c r="H2098" s="21">
        <f>IF(A2096=A2097,_xll.ciqfunctions.udf.CIQ(A2088,"IQ_TOTAL_DIV_PAID_CF",IQ_FY)/-I2098, _xll.ciqfunctions.udf.CIQ(A2088, "IQ_TOTAL_DIV_PAID_CF",IQ_LTM)/-I2098)</f>
        <v>0</v>
      </c>
      <c r="I2098" s="23">
        <f>IF(A2096=A2097,_xll.ciqfunctions.udf.CIQ(A2088,"IQ_TOTAL_OUTSTANDING_FILING_DATE",IQ_FY),_xll.ciqfunctions.udf.CIQ(A2088,"IQ_sharesoutstanding"))</f>
        <v>16.987839999999998</v>
      </c>
      <c r="J2098" s="23">
        <f>IF(A2096=A2097,_xll.ciqfunctions.udf.CIQ(A2088,"IQ_CASH_OPER",IQ_FY), _xll.ciqfunctions.udf.CIQ(A2088, "IQ_CASH_OPER",IQ_LTM))</f>
        <v>94.713999999999999</v>
      </c>
      <c r="K2098" s="23">
        <f>IF(A2096=A2097,_xll.ciqfunctions.udf.CIQ(A2088,"IQ_CAPEX",IQ_FY), _xll.ciqfunctions.udf.CIQ(A2088, "IQ_CAPEX",IQ_LTM))</f>
        <v>-17.768999999999998</v>
      </c>
      <c r="L2098" s="21">
        <f t="shared" si="556"/>
        <v>4.5294163354493566</v>
      </c>
      <c r="M2098" s="23">
        <f>IF(A2096=A2097,_xll.ciqfunctions.udf.CIQ(A2088,"IQ_TOTAL_DEBT_ISSUED",IQ_FY), _xll.ciqfunctions.udf.CIQ(A2088, "IQ_TOTAL_DEBT_ISSUED",IQ_LTM))</f>
        <v>20.853000000000002</v>
      </c>
      <c r="N2098" s="23">
        <f>IF(A2096=A2097,_xll.ciqfunctions.udf.CIQ(A2088,"IQ_TOTAL_DEBT_REPAID",IQ_FY), _xll.ciqfunctions.udf.CIQ(A2088, "IQ_TOTAL_DEBT_REPAID",IQ_LTM))</f>
        <v>-9.4359999999999999</v>
      </c>
      <c r="O2098" s="21">
        <f t="shared" si="557"/>
        <v>0.67206896226948232</v>
      </c>
      <c r="P2098" s="21">
        <f t="shared" si="558"/>
        <v>5.2014852977188388</v>
      </c>
      <c r="Q2098" s="25" t="s">
        <v>45</v>
      </c>
      <c r="S2098" s="45"/>
      <c r="U2098" s="25"/>
      <c r="W2098" s="45"/>
      <c r="Y2098" s="25"/>
      <c r="AA2098" s="45"/>
    </row>
    <row r="2099" spans="1:27">
      <c r="B2099" s="24"/>
      <c r="C2099" s="25" t="s">
        <v>37</v>
      </c>
      <c r="E2099" s="26">
        <f>((D2098/D2093)^(1/5))-1</f>
        <v>3.1890728301474214E-2</v>
      </c>
      <c r="F2099" s="27">
        <f>((F2098/F2093)^(1/5))-1</f>
        <v>9.4728630005805226E-2</v>
      </c>
      <c r="G2099" s="28"/>
      <c r="H2099" s="27" t="e">
        <f>((H2098/H2093)^(1/5))-1</f>
        <v>#DIV/0!</v>
      </c>
      <c r="I2099" s="27">
        <f>((I2098/I2093)^(1/5))-1</f>
        <v>-1.3895231449558954E-2</v>
      </c>
      <c r="J2099" s="27"/>
      <c r="K2099" s="27"/>
      <c r="L2099" s="26">
        <f>((L2098/L2093)^(1/5))-1</f>
        <v>-2.0872711279567469E-2</v>
      </c>
      <c r="M2099" s="26"/>
      <c r="N2099" s="26"/>
      <c r="O2099" s="26"/>
      <c r="P2099" s="26">
        <f>((P2098/P2093)^(1/5))-1</f>
        <v>7.8382348258978274E-2</v>
      </c>
      <c r="Q2099" s="18"/>
      <c r="R2099" s="36"/>
      <c r="S2099" s="45"/>
      <c r="U2099" s="18"/>
      <c r="V2099" s="36"/>
      <c r="W2099" s="45"/>
      <c r="Y2099" s="18"/>
      <c r="Z2099" s="36"/>
      <c r="AA2099" s="45"/>
    </row>
    <row r="2100" spans="1:27">
      <c r="A2100" s="29"/>
      <c r="B2100" s="30"/>
      <c r="C2100" s="31" t="s">
        <v>38</v>
      </c>
      <c r="D2100" s="29"/>
      <c r="E2100" s="32">
        <f>((D2098/D2088)^(1/10))-1</f>
        <v>5.1819419669840494E-2</v>
      </c>
      <c r="F2100" s="33">
        <f>((F2098/F2088)^(1/10))-1</f>
        <v>8.8492036012987718E-2</v>
      </c>
      <c r="G2100" s="34"/>
      <c r="H2100" s="33" t="e">
        <f>((H2098/H2088)^(1/10))-1</f>
        <v>#DIV/0!</v>
      </c>
      <c r="I2100" s="33">
        <f>((I2098/I2088)^(1/10))-1</f>
        <v>-1.5184672492528084E-2</v>
      </c>
      <c r="J2100" s="33"/>
      <c r="K2100" s="33"/>
      <c r="L2100" s="32">
        <f>((L2098/L2088)^(1/10))-1</f>
        <v>1.8604667858661772E-2</v>
      </c>
      <c r="M2100" s="32"/>
      <c r="N2100" s="32"/>
      <c r="O2100" s="32"/>
      <c r="P2100" s="32">
        <f>((P2098/P2088)^(1/10))-1</f>
        <v>0.10082916675176645</v>
      </c>
      <c r="Q2100" s="40"/>
      <c r="R2100" s="41"/>
      <c r="S2100" s="46"/>
      <c r="U2100" s="40"/>
      <c r="V2100" s="41"/>
      <c r="W2100" s="46"/>
      <c r="Y2100" s="40"/>
      <c r="Z2100" s="41"/>
      <c r="AA2100" s="46"/>
    </row>
    <row r="2101" spans="1:27">
      <c r="B2101" s="24"/>
      <c r="C2101" s="25"/>
      <c r="E2101" s="26"/>
      <c r="F2101" s="27"/>
      <c r="G2101" s="28"/>
      <c r="H2101" s="27"/>
      <c r="I2101" s="27"/>
      <c r="J2101" s="27"/>
      <c r="K2101" s="27"/>
      <c r="L2101" s="26"/>
      <c r="M2101" s="17"/>
      <c r="N2101" s="17"/>
      <c r="O2101" s="17"/>
      <c r="P2101" s="35"/>
      <c r="Q2101" s="18"/>
      <c r="R2101" s="36"/>
    </row>
    <row r="2102" spans="1:27">
      <c r="A2102" s="9" t="s">
        <v>0</v>
      </c>
      <c r="B2102" s="10"/>
      <c r="C2102" s="9" t="s">
        <v>1</v>
      </c>
      <c r="D2102" s="9" t="s">
        <v>2</v>
      </c>
      <c r="E2102" s="9" t="s">
        <v>3</v>
      </c>
      <c r="F2102" s="11" t="s">
        <v>4</v>
      </c>
      <c r="G2102" s="11" t="s">
        <v>5</v>
      </c>
      <c r="H2102" s="9" t="s">
        <v>6</v>
      </c>
      <c r="I2102" s="11" t="s">
        <v>7</v>
      </c>
      <c r="J2102" s="11" t="s">
        <v>8</v>
      </c>
      <c r="K2102" s="11" t="s">
        <v>9</v>
      </c>
      <c r="L2102" s="11" t="s">
        <v>10</v>
      </c>
      <c r="M2102" s="11" t="s">
        <v>11</v>
      </c>
      <c r="N2102" s="11" t="s">
        <v>12</v>
      </c>
      <c r="O2102" s="11" t="s">
        <v>13</v>
      </c>
      <c r="P2102" s="11" t="s">
        <v>14</v>
      </c>
      <c r="Q2102" s="37" t="s">
        <v>15</v>
      </c>
      <c r="R2102" s="42">
        <f>_xll.ciqfunctions.udf.CIQ(A2103,("IQ_LASTSALEPRICE"))</f>
        <v>14.664999999999999</v>
      </c>
      <c r="S2102" s="44"/>
      <c r="U2102" s="37" t="s">
        <v>15</v>
      </c>
      <c r="V2102" s="42">
        <f>_xll.ciqfunctions.udf.CIQ(A2103,("IQ_LASTSALEPRICE"))</f>
        <v>14.664999999999999</v>
      </c>
      <c r="W2102" s="44"/>
      <c r="Y2102" s="37" t="s">
        <v>15</v>
      </c>
      <c r="Z2102" s="42">
        <f>_xll.ciqfunctions.udf.CIQ(A2103,("IQ_LASTSALEPRICE"))</f>
        <v>14.664999999999999</v>
      </c>
      <c r="AA2102" s="44"/>
    </row>
    <row r="2103" spans="1:27">
      <c r="A2103" s="12" t="str">
        <f>Analysis!B142</f>
        <v>NasdaqGS:TTMI</v>
      </c>
      <c r="B2103" s="13">
        <v>1</v>
      </c>
      <c r="C2103" s="14" t="s">
        <v>16</v>
      </c>
      <c r="D2103" s="15">
        <f>IF(A2111=A2112,_xll.ciqfunctions.udf.CIQ(A2103,"IQ_TOTAL_REV",IQ_FY-10)/I2103,_xll.ciqfunctions.udf.CIQ(A2103, "IQ_TOTAL_REV",IQ_FY-9)/I2103)</f>
        <v>16.550498729210947</v>
      </c>
      <c r="E2103" s="16"/>
      <c r="F2103" s="15">
        <f>IF(A2111=A2112,_xll.ciqfunctions.udf.CIQ(A2103,"IQ_DILUT_EPS_EXCL",IQ_FY-10), _xll.ciqfunctions.udf.CIQ(A2103, "IQ_DILUT_EPS_EXCL",IQ_FY-9))</f>
        <v>0.26</v>
      </c>
      <c r="G2103" s="15">
        <f>IF(A2111=A2112,_xll.ciqfunctions.udf.CIQ(A2103,"IQ_EBITDA_MARGIN",IQ_FY-10), _xll.ciqfunctions.udf.CIQ(A2103, "IQ_EBITDA_MARGIN",IQ_FY-9))</f>
        <v>12.1976</v>
      </c>
      <c r="H2103" s="15">
        <f>IF(A2111=A2112,_xll.ciqfunctions.udf.CIQ(A2103,"IQ_TOTAL_DIV_PAID_CF",IQ_FY-10)/-I2103, _xll.ciqfunctions.udf.CIQ(A2103, "IQ_TOTAL_DIV_PAID_CF",IQ_FY-9)/-I2103)</f>
        <v>0</v>
      </c>
      <c r="I2103" s="17">
        <f>IF(A2111=A2112,_xll.ciqfunctions.udf.CIQ(A2103,"IQ_TOTAL_OUTSTANDING_FILING_DATE",IQ_FY-10), _xll.ciqfunctions.udf.CIQ(A2103, "IQ_TOTAL_OUTSTANDING_FILING_DATE",IQ_FY-9))</f>
        <v>82.669110000000003</v>
      </c>
      <c r="J2103" s="17">
        <f>IF(A2111=A2112,_xll.ciqfunctions.udf.CIQ(A2103,"IQ_CASH_OPER",IQ_FY-10), _xll.ciqfunctions.udf.CIQ(A2103, "IQ_CASH_OPER",IQ_FY-9))</f>
        <v>71.388000000000005</v>
      </c>
      <c r="K2103" s="17">
        <f>IF(A2111=A2112,_xll.ciqfunctions.udf.CIQ(A2103,"IQ_CAPEX",IQ_FY-10), _xll.ciqfunctions.udf.CIQ(A2103, "IQ_CAPEX",IQ_FY-9))</f>
        <v>-103.34699999999999</v>
      </c>
      <c r="L2103" s="15">
        <f t="shared" ref="L2103:L2113" si="560">(J2103+K2103)/I2103</f>
        <v>-0.38658938024130157</v>
      </c>
      <c r="M2103" s="17">
        <f>IF(A2111=A2112,_xll.ciqfunctions.udf.CIQ(A2103,"IQ_TOTAL_DEBT_ISSUED",IQ_FY-10), _xll.ciqfunctions.udf.CIQ(A2103, "IQ_TOTAL_DEBT_ISSUED",IQ_FY-9))</f>
        <v>220</v>
      </c>
      <c r="N2103" s="17">
        <f>IF(A2111=A2112,_xll.ciqfunctions.udf.CIQ(A2103,"IQ_TOTAL_DEBT_REPAID",IQ_FY-10), _xll.ciqfunctions.udf.CIQ(A2103, "IQ_TOTAL_DEBT_REPAID",IQ_FY-9))</f>
        <v>-143.05500000000001</v>
      </c>
      <c r="O2103" s="15">
        <f t="shared" ref="O2103:O2113" si="561">(M2103+N2103)/I2103</f>
        <v>0.93075878039572446</v>
      </c>
      <c r="P2103" s="15">
        <f t="shared" ref="P2103:P2113" si="562">L2103+O2103</f>
        <v>0.54416940015442283</v>
      </c>
      <c r="W2103" s="43"/>
      <c r="AA2103" s="43"/>
    </row>
    <row r="2104" spans="1:27">
      <c r="A2104" s="18" t="str">
        <f>_xll.ciqfunctions.udf.CIQ(A2103,"IQ_COMPANY_NAME")</f>
        <v>TTM Technologies, Inc.</v>
      </c>
      <c r="B2104" s="13">
        <v>2</v>
      </c>
      <c r="C2104" s="14" t="s">
        <v>17</v>
      </c>
      <c r="D2104" s="15">
        <f>IF(A2111=A2112,_xll.ciqfunctions.udf.CIQ(A2103,"IQ_TOTAL_REV",IQ_FY-9)/I2104, _xll.ciqfunctions.udf.CIQ(A2103, "IQ_TOTAL_REV",IQ_FY-8)/I2104)</f>
        <v>15.853156001568914</v>
      </c>
      <c r="E2104" s="16">
        <f t="shared" ref="E2104:E2113" si="563">(D2104-D2103)/D2103</f>
        <v>-4.2134242541661399E-2</v>
      </c>
      <c r="F2104" s="15">
        <f>IF(A2111=A2112,_xll.ciqfunctions.udf.CIQ(A2103,"IQ_DILUT_EPS_EXCL",IQ_FY-9), _xll.ciqfunctions.udf.CIQ(A2103, "IQ_DILUT_EPS_EXCL",IQ_FY-8))</f>
        <v>0.17652000000000001</v>
      </c>
      <c r="G2104" s="15">
        <f>IF(A2111=A2112,_xll.ciqfunctions.udf.CIQ(A2103,"IQ_EBITDA_MARGIN",IQ_FY-9), _xll.ciqfunctions.udf.CIQ(A2103, "IQ_EBITDA_MARGIN",IQ_FY-8))</f>
        <v>11.925599999999999</v>
      </c>
      <c r="H2104" s="15">
        <f>IF(A2111=A2112,_xll.ciqfunctions.udf.CIQ(A2103,"IQ_TOTAL_DIV_PAID_CF",IQ_FY-9)/-I2104, _xll.ciqfunctions.udf.CIQ(A2103, "IQ_TOTAL_DIV_PAID_CF",IQ_FY-8)/-I2104)</f>
        <v>0</v>
      </c>
      <c r="I2104" s="17">
        <f>IF(A2111=A2112,_xll.ciqfunctions.udf.CIQ(A2103,"IQ_TOTAL_OUTSTANDING_FILING_DATE",IQ_FY-9), _xll.ciqfunctions.udf.CIQ(A2103, "IQ_TOTAL_OUTSTANDING_FILING_DATE",IQ_FY-8))</f>
        <v>83.624799999999993</v>
      </c>
      <c r="J2104" s="17">
        <f>IF(A2111=A2112,_xll.ciqfunctions.udf.CIQ(A2103,"IQ_CASH_OPER",IQ_FY-9), _xll.ciqfunctions.udf.CIQ(A2103, "IQ_CASH_OPER",IQ_FY-8))</f>
        <v>129.81</v>
      </c>
      <c r="K2104" s="17">
        <f>IF(A2111=A2112,_xll.ciqfunctions.udf.CIQ(A2103,"IQ_CAPEX",IQ_FY-9), _xll.ciqfunctions.udf.CIQ(A2103, "IQ_CAPEX",IQ_FY-8))</f>
        <v>-109.624</v>
      </c>
      <c r="L2104" s="15">
        <f t="shared" si="560"/>
        <v>0.24138772230247496</v>
      </c>
      <c r="M2104" s="17">
        <f>IF(A2111=A2112,_xll.ciqfunctions.udf.CIQ(A2103,"IQ_TOTAL_DEBT_ISSUED",IQ_FY-9), _xll.ciqfunctions.udf.CIQ(A2103, "IQ_TOTAL_DEBT_ISSUED",IQ_FY-8))</f>
        <v>30</v>
      </c>
      <c r="N2104" s="17">
        <f>IF(A2111=A2112,_xll.ciqfunctions.udf.CIQ(A2103,"IQ_TOTAL_DEBT_REPAID",IQ_FY-9), _xll.ciqfunctions.udf.CIQ(A2103, "IQ_TOTAL_DEBT_REPAID",IQ_FY-8))</f>
        <v>-101.61499999999999</v>
      </c>
      <c r="O2104" s="15">
        <f t="shared" si="561"/>
        <v>-0.85638470884235296</v>
      </c>
      <c r="P2104" s="15">
        <f t="shared" si="562"/>
        <v>-0.614996986539878</v>
      </c>
      <c r="Q2104" s="25" t="s">
        <v>18</v>
      </c>
      <c r="R2104" s="39" t="s">
        <v>19</v>
      </c>
      <c r="S2104" s="1">
        <f>R2102/((AVERAGE(P2108:P2113))*(1+E2114)^3)</f>
        <v>17.939710820127676</v>
      </c>
      <c r="U2104" s="25" t="s">
        <v>48</v>
      </c>
      <c r="V2104" s="39" t="s">
        <v>19</v>
      </c>
      <c r="W2104" s="1">
        <f>V2102/((AVERAGE(P2108:P2113))*(1+E2114)^3)</f>
        <v>17.939710820127676</v>
      </c>
      <c r="Y2104" s="25" t="s">
        <v>39</v>
      </c>
      <c r="Z2104" s="39" t="s">
        <v>19</v>
      </c>
      <c r="AA2104" s="1">
        <f>Z2102/((AVERAGE(P2108:P2113))*(1+E2114)^3)</f>
        <v>17.939710820127676</v>
      </c>
    </row>
    <row r="2105" spans="1:27">
      <c r="B2105" s="13">
        <v>3</v>
      </c>
      <c r="C2105" s="14" t="s">
        <v>20</v>
      </c>
      <c r="D2105" s="15" cm="1">
        <f t="array" ref="D2105">_xlfn.SINGLE(IF(A2111=A2112,_xll.ciqfunctions.udf.CIQ(A2103,"IQ_TOTAL_REV",IQ_FY-8)/I2105, _xll.ciqfunctions.udf.CIQ(A2103, "IQ_TOTAL_REV",IQ_FY-7)/I2105))</f>
        <v>21.074755315711297</v>
      </c>
      <c r="E2105" s="16">
        <f t="shared" si="563"/>
        <v>0.32937285885697615</v>
      </c>
      <c r="F2105" s="15">
        <f>IF(A2111=A2112,_xll.ciqfunctions.udf.CIQ(A2103,"IQ_DILUT_EPS_EXCL",IQ_FY-8), _xll.ciqfunctions.udf.CIQ(A2103, "IQ_DILUT_EPS_EXCL",IQ_FY-7))</f>
        <v>-0.28000000000000003</v>
      </c>
      <c r="G2105" s="15">
        <f>IF(A2111=A2112,_xll.ciqfunctions.udf.CIQ(A2103,"IQ_EBITDA_MARGIN",IQ_FY-8), _xll.ciqfunctions.udf.CIQ(A2103, "IQ_EBITDA_MARGIN",IQ_FY-7))</f>
        <v>12.076499999999999</v>
      </c>
      <c r="H2105" s="15">
        <f>IF(A2111=A2112,_xll.ciqfunctions.udf.CIQ(A2103,"IQ_TOTAL_DIV_PAID_CF",IQ_FY-8)/-I2105, _xll.ciqfunctions.udf.CIQ(A2103, "IQ_TOTAL_DIV_PAID_CF",IQ_FY-7)/-I2105)</f>
        <v>0</v>
      </c>
      <c r="I2105" s="17">
        <f>IF(A2111=A2112,_xll.ciqfunctions.udf.CIQ(A2103,"IQ_TOTAL_OUTSTANDING_FILING_DATE",IQ_FY-8), _xll.ciqfunctions.udf.CIQ(A2103, "IQ_TOTAL_OUTSTANDING_FILING_DATE",IQ_FY-7))</f>
        <v>99.431190000000001</v>
      </c>
      <c r="J2105" s="17">
        <f>IF(A2111=A2112,_xll.ciqfunctions.udf.CIQ(A2103,"IQ_CASH_OPER",IQ_FY-8), _xll.ciqfunctions.udf.CIQ(A2103, "IQ_CASH_OPER",IQ_FY-7))</f>
        <v>237.46199999999999</v>
      </c>
      <c r="K2105" s="17">
        <f>IF(A2111=A2112,_xll.ciqfunctions.udf.CIQ(A2103,"IQ_CAPEX",IQ_FY-8), _xll.ciqfunctions.udf.CIQ(A2103, "IQ_CAPEX",IQ_FY-7))</f>
        <v>-99.924999999999997</v>
      </c>
      <c r="L2105" s="15">
        <f t="shared" si="560"/>
        <v>1.3832379960453052</v>
      </c>
      <c r="M2105" s="17">
        <f>IF(A2111=A2112,_xll.ciqfunctions.udf.CIQ(A2103,"IQ_TOTAL_DEBT_ISSUED",IQ_FY-8), _xll.ciqfunctions.udf.CIQ(A2103, "IQ_TOTAL_DEBT_ISSUED",IQ_FY-7))</f>
        <v>1030</v>
      </c>
      <c r="N2105" s="17">
        <f>IF(A2111=A2112,_xll.ciqfunctions.udf.CIQ(A2103,"IQ_TOTAL_DEBT_REPAID",IQ_FY-8), _xll.ciqfunctions.udf.CIQ(A2103, "IQ_TOTAL_DEBT_REPAID",IQ_FY-7))</f>
        <v>-968.86599999999999</v>
      </c>
      <c r="O2105" s="15">
        <f t="shared" si="561"/>
        <v>0.61483725579468584</v>
      </c>
      <c r="P2105" s="15">
        <f t="shared" si="562"/>
        <v>1.9980752518399911</v>
      </c>
      <c r="Q2105" s="25" t="s">
        <v>21</v>
      </c>
      <c r="R2105" s="38" t="s">
        <v>49</v>
      </c>
      <c r="S2105" s="2">
        <f>(R2102*I2113)/1000</f>
        <v>1.4994173522999998</v>
      </c>
      <c r="U2105" s="25" t="s">
        <v>59</v>
      </c>
      <c r="V2105" s="38" t="s">
        <v>49</v>
      </c>
      <c r="W2105" s="2">
        <f>(V2102*I2113)/1000</f>
        <v>1.4994173522999998</v>
      </c>
      <c r="Y2105" s="25" t="s">
        <v>46</v>
      </c>
      <c r="Z2105" s="38" t="s">
        <v>49</v>
      </c>
      <c r="AA2105" s="2">
        <f>(Z2102*I2113)/1000</f>
        <v>1.4994173522999998</v>
      </c>
    </row>
    <row r="2106" spans="1:27">
      <c r="A2106" s="18"/>
      <c r="B2106" s="13">
        <v>4</v>
      </c>
      <c r="C2106" s="14" t="s">
        <v>22</v>
      </c>
      <c r="D2106" s="15" cm="1">
        <f t="array" ref="D2106">_xlfn.SINGLE(IF(A2111=A2112,_xll.ciqfunctions.udf.CIQ(A2103,"IQ_TOTAL_REV",IQ_FY-7)/I2106, _xll.ciqfunctions.udf.CIQ(A2103, "IQ_TOTAL_REV",IQ_FY-6)/I2106))</f>
        <v>25.231259580519289</v>
      </c>
      <c r="E2106" s="16">
        <f t="shared" si="563"/>
        <v>0.19722669148662927</v>
      </c>
      <c r="F2106" s="15">
        <f>IF(A2111=A2112,_xll.ciqfunctions.udf.CIQ(A2103,"IQ_DILUT_EPS_EXCL",IQ_FY-7), _xll.ciqfunctions.udf.CIQ(A2103, "IQ_DILUT_EPS_EXCL",IQ_FY-6))</f>
        <v>0.34</v>
      </c>
      <c r="G2106" s="15">
        <f>IF(A2111=A2112,_xll.ciqfunctions.udf.CIQ(A2103,"IQ_EBITDA_MARGIN",IQ_FY-7), _xll.ciqfunctions.udf.CIQ(A2103, "IQ_EBITDA_MARGIN",IQ_FY-6))</f>
        <v>14.456300000000001</v>
      </c>
      <c r="H2106" s="15">
        <f>IF(A2111=A2112,_xll.ciqfunctions.udf.CIQ(A2103,"IQ_TOTAL_DIV_PAID_CF",IQ_FY-7)/-I2106, _xll.ciqfunctions.udf.CIQ(A2103, "IQ_TOTAL_DIV_PAID_CF",IQ_FY-6)/-I2106)</f>
        <v>0</v>
      </c>
      <c r="I2106" s="17">
        <f>IF(A2111=A2112,_xll.ciqfunctions.udf.CIQ(A2103,"IQ_TOTAL_OUTSTANDING_FILING_DATE",IQ_FY-7), _xll.ciqfunctions.udf.CIQ(A2103, "IQ_TOTAL_OUTSTANDING_FILING_DATE",IQ_FY-6))</f>
        <v>100.40557</v>
      </c>
      <c r="J2106" s="17">
        <f>IF(A2111=A2112,_xll.ciqfunctions.udf.CIQ(A2103,"IQ_CASH_OPER",IQ_FY-7), _xll.ciqfunctions.udf.CIQ(A2103, "IQ_CASH_OPER",IQ_FY-6))</f>
        <v>298.33600000000001</v>
      </c>
      <c r="K2106" s="17">
        <f>IF(A2111=A2112,_xll.ciqfunctions.udf.CIQ(A2103,"IQ_CAPEX",IQ_FY-7), _xll.ciqfunctions.udf.CIQ(A2103, "IQ_CAPEX",IQ_FY-6))</f>
        <v>-85.138999999999996</v>
      </c>
      <c r="L2106" s="15">
        <f t="shared" si="560"/>
        <v>2.1233582957598869</v>
      </c>
      <c r="M2106" s="17">
        <f>IF(A2111=A2112,_xll.ciqfunctions.udf.CIQ(A2103,"IQ_TOTAL_DEBT_ISSUED",IQ_FY-7), _xll.ciqfunctions.udf.CIQ(A2103, "IQ_TOTAL_DEBT_ISSUED",IQ_FY-6))</f>
        <v>805</v>
      </c>
      <c r="N2106" s="17">
        <f>IF(A2111=A2112,_xll.ciqfunctions.udf.CIQ(A2103,"IQ_TOTAL_DEBT_REPAID",IQ_FY-7), _xll.ciqfunctions.udf.CIQ(A2103, "IQ_TOTAL_DEBT_REPAID",IQ_FY-6))</f>
        <v>-1022.625</v>
      </c>
      <c r="O2106" s="15">
        <f t="shared" si="561"/>
        <v>-2.1674594347704019</v>
      </c>
      <c r="P2106" s="15">
        <f t="shared" si="562"/>
        <v>-4.4101139010515045E-2</v>
      </c>
      <c r="Q2106" s="25" t="s">
        <v>23</v>
      </c>
      <c r="R2106" s="38" t="s">
        <v>24</v>
      </c>
      <c r="S2106" s="1" t="e">
        <f>R2102/(AVERAGE(H2108:H2113)*(1+H2114)/(0.5-H2114))</f>
        <v>#DIV/0!</v>
      </c>
      <c r="U2106" s="25" t="s">
        <v>40</v>
      </c>
      <c r="V2106" s="38" t="s">
        <v>24</v>
      </c>
      <c r="W2106" s="1" t="e">
        <f>V2102/(AVERAGE(H2108:H2113)*(1+H2114)/(0.5-H2114))</f>
        <v>#DIV/0!</v>
      </c>
      <c r="Y2106" s="25" t="s">
        <v>47</v>
      </c>
      <c r="Z2106" s="38" t="s">
        <v>24</v>
      </c>
      <c r="AA2106" s="1" t="e">
        <f>Z2102/(AVERAGE(H2108:H2113)*(1+H2114)/(0.5-H2114))</f>
        <v>#DIV/0!</v>
      </c>
    </row>
    <row r="2107" spans="1:27">
      <c r="B2107" s="13">
        <v>5</v>
      </c>
      <c r="C2107" s="14" t="s">
        <v>25</v>
      </c>
      <c r="D2107" s="15" cm="1">
        <f t="array" ref="D2107">_xlfn.SINGLE(IF(A2111=A2112,_xll.ciqfunctions.udf.CIQ(A2103,"IQ_TOTAL_REV",IQ_FY-6)/I2107, _xll.ciqfunctions.udf.CIQ(A2103, "IQ_TOTAL_REV",IQ_FY-5)/I2107))</f>
        <v>25.977046602391212</v>
      </c>
      <c r="E2107" s="16">
        <f t="shared" si="563"/>
        <v>2.9558057515596047E-2</v>
      </c>
      <c r="F2107" s="15">
        <f>IF(A2111=A2112,_xll.ciqfunctions.udf.CIQ(A2103,"IQ_DILUT_EPS_EXCL",IQ_FY-6), _xll.ciqfunctions.udf.CIQ(A2103, "IQ_DILUT_EPS_EXCL",IQ_FY-5))</f>
        <v>1.04183</v>
      </c>
      <c r="G2107" s="15">
        <f>IF(A2111=A2112,_xll.ciqfunctions.udf.CIQ(A2103,"IQ_EBITDA_MARGIN",IQ_FY-6), _xll.ciqfunctions.udf.CIQ(A2103, "IQ_EBITDA_MARGIN",IQ_FY-5))</f>
        <v>14.6089</v>
      </c>
      <c r="H2107" s="15">
        <f>IF(A2111=A2112,_xll.ciqfunctions.udf.CIQ(A2103,"IQ_TOTAL_DIV_PAID_CF",IQ_FY-6)/-I2107, _xll.ciqfunctions.udf.CIQ(A2103, "IQ_TOTAL_DIV_PAID_CF",IQ_FY-5)/-I2107)</f>
        <v>0</v>
      </c>
      <c r="I2107" s="17">
        <f>IF(A2111=A2112,_xll.ciqfunctions.udf.CIQ(A2103,"IQ_TOTAL_OUTSTANDING_FILING_DATE",IQ_FY-6), _xll.ciqfunctions.udf.CIQ(A2103, "IQ_TOTAL_OUTSTANDING_FILING_DATE",IQ_FY-5))</f>
        <v>102.34389</v>
      </c>
      <c r="J2107" s="17">
        <f>IF(A2111=A2112,_xll.ciqfunctions.udf.CIQ(A2103,"IQ_CASH_OPER",IQ_FY-6), _xll.ciqfunctions.udf.CIQ(A2103, "IQ_CASH_OPER",IQ_FY-5))</f>
        <v>332.755</v>
      </c>
      <c r="K2107" s="17">
        <f>IF(A2111=A2112,_xll.ciqfunctions.udf.CIQ(A2103,"IQ_CAPEX",IQ_FY-6), _xll.ciqfunctions.udf.CIQ(A2103, "IQ_CAPEX",IQ_FY-5))</f>
        <v>-151.345</v>
      </c>
      <c r="L2107" s="15">
        <f t="shared" si="560"/>
        <v>1.7725533004461722</v>
      </c>
      <c r="M2107" s="17">
        <f>IF(A2111=A2112,_xll.ciqfunctions.udf.CIQ(A2103,"IQ_TOTAL_DEBT_ISSUED",IQ_FY-6), _xll.ciqfunctions.udf.CIQ(A2103, "IQ_TOTAL_DEBT_ISSUED",IQ_FY-5))</f>
        <v>725</v>
      </c>
      <c r="N2107" s="17">
        <f>IF(A2111=A2112,_xll.ciqfunctions.udf.CIQ(A2103,"IQ_TOTAL_DEBT_REPAID",IQ_FY-6), _xll.ciqfunctions.udf.CIQ(A2103, "IQ_TOTAL_DEBT_REPAID",IQ_FY-5))</f>
        <v>-763.89</v>
      </c>
      <c r="O2107" s="15">
        <f t="shared" si="561"/>
        <v>-0.37999337332204186</v>
      </c>
      <c r="P2107" s="15">
        <f t="shared" si="562"/>
        <v>1.3925599271241302</v>
      </c>
      <c r="Q2107" s="18"/>
      <c r="R2107" s="38" t="s">
        <v>50</v>
      </c>
      <c r="S2107" s="3">
        <f>I2114</f>
        <v>-4.1318981161309054E-3</v>
      </c>
      <c r="U2107" s="18"/>
      <c r="V2107" s="38" t="s">
        <v>50</v>
      </c>
      <c r="W2107" s="3">
        <f>I2114</f>
        <v>-4.1318981161309054E-3</v>
      </c>
      <c r="Y2107" s="18"/>
      <c r="Z2107" s="38" t="s">
        <v>50</v>
      </c>
      <c r="AA2107" s="3">
        <f>I2114</f>
        <v>-4.1318981161309054E-3</v>
      </c>
    </row>
    <row r="2108" spans="1:27">
      <c r="B2108" s="13">
        <v>6</v>
      </c>
      <c r="C2108" s="14" t="s">
        <v>26</v>
      </c>
      <c r="D2108" s="15" cm="1">
        <f t="array" ref="D2108">_xlfn.SINGLE(IF(A2111=A2112,_xll.ciqfunctions.udf.CIQ(A2103,"IQ_TOTAL_REV",IQ_FY-5)/I2108, _xll.ciqfunctions.udf.CIQ(A2103, "IQ_TOTAL_REV",IQ_FY-4)/I2108))</f>
        <v>21.437723131785923</v>
      </c>
      <c r="E2108" s="16">
        <f t="shared" si="563"/>
        <v>-0.17474363194880824</v>
      </c>
      <c r="F2108" s="15">
        <f>IF(A2111=A2112,_xll.ciqfunctions.udf.CIQ(A2103,"IQ_DILUT_EPS_EXCL",IQ_FY-5), _xll.ciqfunctions.udf.CIQ(A2103, "IQ_DILUT_EPS_EXCL",IQ_FY-4))</f>
        <v>1.09894</v>
      </c>
      <c r="G2108" s="15">
        <f>IF(A2111=A2112,_xll.ciqfunctions.udf.CIQ(A2103,"IQ_EBITDA_MARGIN",IQ_FY-5), _xll.ciqfunctions.udf.CIQ(A2103, "IQ_EBITDA_MARGIN",IQ_FY-4))</f>
        <v>15.4918</v>
      </c>
      <c r="H2108" s="15">
        <f>IF(A2111=A2112,_xll.ciqfunctions.udf.CIQ(A2103,"IQ_TOTAL_DIV_PAID_CF",IQ_FY-5)/-I2108, _xll.ciqfunctions.udf.CIQ(A2103, "IQ_TOTAL_DIV_PAID_CF",IQ_FY-4)/-I2108)</f>
        <v>0</v>
      </c>
      <c r="I2108" s="17">
        <f>IF(A2111=A2112,_xll.ciqfunctions.udf.CIQ(A2103,"IQ_TOTAL_OUTSTANDING_FILING_DATE",IQ_FY-5), _xll.ciqfunctions.udf.CIQ(A2103, "IQ_TOTAL_OUTSTANDING_FILING_DATE",IQ_FY-4))</f>
        <v>104.38338</v>
      </c>
      <c r="J2108" s="17">
        <f>IF(A2111=A2112,_xll.ciqfunctions.udf.CIQ(A2103,"IQ_CASH_OPER",IQ_FY-5), _xll.ciqfunctions.udf.CIQ(A2103, "IQ_CASH_OPER",IQ_FY-4))</f>
        <v>273.13799999999998</v>
      </c>
      <c r="K2108" s="17">
        <f>IF(A2111=A2112,_xll.ciqfunctions.udf.CIQ(A2103,"IQ_CAPEX",IQ_FY-5), _xll.ciqfunctions.udf.CIQ(A2103, "IQ_CAPEX",IQ_FY-4))</f>
        <v>-150.12700000000001</v>
      </c>
      <c r="L2108" s="15">
        <f t="shared" si="560"/>
        <v>1.1784538879656892</v>
      </c>
      <c r="M2108" s="17">
        <f>IF(A2111=A2112,_xll.ciqfunctions.udf.CIQ(A2103,"IQ_TOTAL_DEBT_ISSUED",IQ_FY-5), _xll.ciqfunctions.udf.CIQ(A2103, "IQ_TOTAL_DEBT_ISSUED",IQ_FY-4))</f>
        <v>623</v>
      </c>
      <c r="N2108" s="17">
        <f>IF(A2111=A2112,_xll.ciqfunctions.udf.CIQ(A2103,"IQ_TOTAL_DEBT_REPAID",IQ_FY-5), _xll.ciqfunctions.udf.CIQ(A2103, "IQ_TOTAL_DEBT_REPAID",IQ_FY-4))</f>
        <v>-292.98200000000003</v>
      </c>
      <c r="O2108" s="15">
        <f t="shared" si="561"/>
        <v>3.1615952654531783</v>
      </c>
      <c r="P2108" s="15">
        <f t="shared" si="562"/>
        <v>4.3400491534188674</v>
      </c>
      <c r="Q2108" s="25" t="s">
        <v>27</v>
      </c>
      <c r="R2108" s="38" t="s">
        <v>51</v>
      </c>
      <c r="S2108" s="4">
        <f>AVERAGE(F2108:F2113)/AVERAGE(D2108:D2113)</f>
        <v>1.8188851773247423E-2</v>
      </c>
      <c r="U2108" s="25" t="s">
        <v>58</v>
      </c>
      <c r="V2108" s="38" t="s">
        <v>51</v>
      </c>
      <c r="W2108" s="4">
        <f>AVERAGE(F2108:F2113)/AVERAGE(D2108:D2113)</f>
        <v>1.8188851773247423E-2</v>
      </c>
      <c r="Y2108" s="25" t="s">
        <v>56</v>
      </c>
      <c r="Z2108" s="38" t="s">
        <v>51</v>
      </c>
      <c r="AA2108" s="4">
        <f>AVERAGE(F2108:F2113)/AVERAGE(D2108:D2113)</f>
        <v>1.8188851773247423E-2</v>
      </c>
    </row>
    <row r="2109" spans="1:27">
      <c r="A2109" s="18"/>
      <c r="B2109" s="13">
        <v>7</v>
      </c>
      <c r="C2109" s="14" t="s">
        <v>28</v>
      </c>
      <c r="D2109" s="15" cm="1">
        <f t="array" ref="D2109">_xlfn.SINGLE(IF(A2111=A2112,_xll.ciqfunctions.udf.CIQ(A2103,"IQ_TOTAL_REV",IQ_FY-4)/I2109, _xll.ciqfunctions.udf.CIQ(A2103, "IQ_TOTAL_REV",IQ_FY-3)/I2109))</f>
        <v>20.217872811486185</v>
      </c>
      <c r="E2109" s="16">
        <f t="shared" si="563"/>
        <v>-5.6902046583998181E-2</v>
      </c>
      <c r="F2109" s="15">
        <f>IF(A2111=A2112,_xll.ciqfunctions.udf.CIQ(A2103,"IQ_DILUT_EPS_EXCL",IQ_FY-4), _xll.ciqfunctions.udf.CIQ(A2103, "IQ_DILUT_EPS_EXCL",IQ_FY-3))</f>
        <v>0.3</v>
      </c>
      <c r="G2109" s="15">
        <f>IF(A2111=A2112,_xll.ciqfunctions.udf.CIQ(A2103,"IQ_EBITDA_MARGIN",IQ_FY-4), _xll.ciqfunctions.udf.CIQ(A2103, "IQ_EBITDA_MARGIN",IQ_FY-3))</f>
        <v>15.8954</v>
      </c>
      <c r="H2109" s="15">
        <f>IF(A2111=A2112,_xll.ciqfunctions.udf.CIQ(A2103,"IQ_TOTAL_DIV_PAID_CF",IQ_FY-4)/-I2109, _xll.ciqfunctions.udf.CIQ(A2103, "IQ_TOTAL_DIV_PAID_CF",IQ_FY-3)/-I2109)</f>
        <v>0</v>
      </c>
      <c r="I2109" s="17">
        <f>IF(A2111=A2112,_xll.ciqfunctions.udf.CIQ(A2103,"IQ_TOTAL_OUTSTANDING_FILING_DATE",IQ_FY-4), _xll.ciqfunctions.udf.CIQ(A2103, "IQ_TOTAL_OUTSTANDING_FILING_DATE",IQ_FY-3))</f>
        <v>105.5111</v>
      </c>
      <c r="J2109" s="17">
        <f>IF(A2111=A2112,_xll.ciqfunctions.udf.CIQ(A2103,"IQ_CASH_OPER",IQ_FY-4), _xll.ciqfunctions.udf.CIQ(A2103, "IQ_CASH_OPER",IQ_FY-3))</f>
        <v>311.93700000000001</v>
      </c>
      <c r="K2109" s="17">
        <f>IF(A2111=A2112,_xll.ciqfunctions.udf.CIQ(A2103,"IQ_CAPEX",IQ_FY-4), _xll.ciqfunctions.udf.CIQ(A2103, "IQ_CAPEX",IQ_FY-3))</f>
        <v>-142.57599999999999</v>
      </c>
      <c r="L2109" s="15">
        <f t="shared" si="560"/>
        <v>1.6051486526062189</v>
      </c>
      <c r="M2109" s="17">
        <f>IF(A2111=A2112,_xll.ciqfunctions.udf.CIQ(A2103,"IQ_TOTAL_DEBT_ISSUED",IQ_FY-4), _xll.ciqfunctions.udf.CIQ(A2103, "IQ_TOTAL_DEBT_ISSUED",IQ_FY-3))</f>
        <v>0</v>
      </c>
      <c r="N2109" s="17">
        <f>IF(A2111=A2112,_xll.ciqfunctions.udf.CIQ(A2103,"IQ_TOTAL_DEBT_REPAID",IQ_FY-4), _xll.ciqfunctions.udf.CIQ(A2103, "IQ_TOTAL_DEBT_REPAID",IQ_FY-3))</f>
        <v>-30.01</v>
      </c>
      <c r="O2109" s="15">
        <f t="shared" si="561"/>
        <v>-0.28442505101359006</v>
      </c>
      <c r="P2109" s="15">
        <f t="shared" si="562"/>
        <v>1.3207236015926287</v>
      </c>
      <c r="Q2109" s="18"/>
      <c r="R2109" s="38" t="s">
        <v>29</v>
      </c>
      <c r="S2109" s="4">
        <f>(AVERAGE(P2108:P2113)/_xlfn.STDEV.P(P2108:P2113))/(IF(A2111=A2112,(_xlfn.SINGLE(_xll.ciqfunctions.udf.CIQ(A2103,"IQ_total_assets",IQ_FY)) - _xlfn.SINGLE(_xll.ciqfunctions.udf.CIQ(A2103,"iq_gw_intan", IQ_FY)))/I2113, (_xlfn.SINGLE(_xll.ciqfunctions.udf.CIQ(A2103, "IQ_total_assets",IQ_LTM))-_xlfn.SINGLE(_xll.ciqfunctions.udf.CIQ(A2103,"iq_gw_intan",IQ_LTM)))/I2113))</f>
        <v>1.3447734876291164E-2</v>
      </c>
      <c r="U2109" s="18"/>
      <c r="V2109" s="38" t="s">
        <v>29</v>
      </c>
      <c r="W2109" s="4">
        <f>(AVERAGE(P2108:P2113)/_xlfn.STDEV.P(P2108:P2113))/(IF(A2111=A2112,(_xlfn.SINGLE(_xll.ciqfunctions.udf.CIQ(A2103,"IQ_total_assets",IQ_FY)) - _xlfn.SINGLE(_xll.ciqfunctions.udf.CIQ(A2103,"iq_gw_intan", IQ_FY)))/I2113, (_xlfn.SINGLE(_xll.ciqfunctions.udf.CIQ(A2103, "IQ_total_assets",IQ_LTM))-_xlfn.SINGLE(_xll.ciqfunctions.udf.CIQ(A2103,"iq_gw_intan",IQ_LTM)))/I2113))</f>
        <v>1.3447734876291164E-2</v>
      </c>
      <c r="Y2109" s="18"/>
      <c r="Z2109" s="38" t="s">
        <v>29</v>
      </c>
      <c r="AA2109" s="4">
        <f>(AVERAGE(P2108:P2113)/_xlfn.STDEV.P(P2108:P2113))/(IF(A2111=A2112,(_xlfn.SINGLE(_xll.ciqfunctions.udf.CIQ(A2103,"IQ_total_assets",IQ_FY)) - _xlfn.SINGLE(_xll.ciqfunctions.udf.CIQ(A2103,"iq_gw_intan", IQ_FY)))/I2113, (_xlfn.SINGLE(_xll.ciqfunctions.udf.CIQ(A2103, "IQ_total_assets",IQ_LTM))-_xlfn.SINGLE(_xll.ciqfunctions.udf.CIQ(A2103,"iq_gw_intan",IQ_LTM)))/I2113))</f>
        <v>1.3447734876291164E-2</v>
      </c>
    </row>
    <row r="2110" spans="1:27">
      <c r="A2110" s="18"/>
      <c r="B2110" s="13">
        <v>8</v>
      </c>
      <c r="C2110" s="14" t="s">
        <v>30</v>
      </c>
      <c r="D2110" s="15" cm="1">
        <f t="array" ref="D2110">_xlfn.SINGLE(IF(A2111=A2112,_xll.ciqfunctions.udf.CIQ(A2103,"IQ_TOTAL_REV",IQ_FY-3)/I2110, _xll.ciqfunctions.udf.CIQ(A2103, "IQ_TOTAL_REV",IQ_FY-2)/I2110))</f>
        <v>19.718186387878234</v>
      </c>
      <c r="E2110" s="16">
        <f t="shared" si="563"/>
        <v>-2.4715083939200022E-2</v>
      </c>
      <c r="F2110" s="15">
        <f>IF(A2111=A2112,_xll.ciqfunctions.udf.CIQ(A2103,"IQ_DILUT_EPS_EXCL",IQ_FY-3), _xll.ciqfunctions.udf.CIQ(A2103, "IQ_DILUT_EPS_EXCL",IQ_FY-2))</f>
        <v>-0.15404999999999999</v>
      </c>
      <c r="G2110" s="15">
        <f>IF(A2111=A2112,_xll.ciqfunctions.udf.CIQ(A2103,"IQ_EBITDA_MARGIN",IQ_FY-3), _xll.ciqfunctions.udf.CIQ(A2103, "IQ_EBITDA_MARGIN",IQ_FY-2))</f>
        <v>13.2699</v>
      </c>
      <c r="H2110" s="15">
        <f>IF(A2111=A2112,_xll.ciqfunctions.udf.CIQ(A2103,"IQ_TOTAL_DIV_PAID_CF",IQ_FY-3)/-I2110, _xll.ciqfunctions.udf.CIQ(A2103, "IQ_TOTAL_DIV_PAID_CF",IQ_FY-2)/-I2110)</f>
        <v>0</v>
      </c>
      <c r="I2110" s="17">
        <f>IF(A2111=A2112,_xll.ciqfunctions.udf.CIQ(A2103,"IQ_TOTAL_OUTSTANDING_FILING_DATE",IQ_FY-3), _xll.ciqfunctions.udf.CIQ(A2103, "IQ_TOTAL_OUTSTANDING_FILING_DATE",IQ_FY-2))</f>
        <v>106.77057000000001</v>
      </c>
      <c r="J2110" s="17">
        <f>IF(A2111=A2112,_xll.ciqfunctions.udf.CIQ(A2103,"IQ_CASH_OPER",IQ_FY-3), _xll.ciqfunctions.udf.CIQ(A2103, "IQ_CASH_OPER",IQ_FY-2))</f>
        <v>287.17599999999999</v>
      </c>
      <c r="K2110" s="17">
        <f>IF(A2111=A2112,_xll.ciqfunctions.udf.CIQ(A2103,"IQ_CAPEX",IQ_FY-3), _xll.ciqfunctions.udf.CIQ(A2103, "IQ_CAPEX",IQ_FY-2))</f>
        <v>-103.289</v>
      </c>
      <c r="L2110" s="15">
        <f t="shared" si="560"/>
        <v>1.7222629793959139</v>
      </c>
      <c r="M2110" s="17">
        <f>IF(A2111=A2112,_xll.ciqfunctions.udf.CIQ(A2103,"IQ_TOTAL_DEBT_ISSUED",IQ_FY-3), _xll.ciqfunctions.udf.CIQ(A2103, "IQ_TOTAL_DEBT_ISSUED",IQ_FY-2))</f>
        <v>0</v>
      </c>
      <c r="N2110" s="17">
        <f>IF(A2111=A2112,_xll.ciqfunctions.udf.CIQ(A2103,"IQ_TOTAL_DEBT_REPAID",IQ_FY-3), _xll.ciqfunctions.udf.CIQ(A2103, "IQ_TOTAL_DEBT_REPAID",IQ_FY-2))</f>
        <v>-649.97500000000002</v>
      </c>
      <c r="O2110" s="15">
        <f t="shared" si="561"/>
        <v>-6.0875857457724534</v>
      </c>
      <c r="P2110" s="15">
        <f t="shared" si="562"/>
        <v>-4.3653227663765399</v>
      </c>
      <c r="Q2110" s="18"/>
      <c r="R2110" s="39" t="s">
        <v>31</v>
      </c>
      <c r="S2110" s="5">
        <f>IF(NOT(D2103&gt;0),FALSE,SLOPE(G2103:G2113,B2103:B2113))</f>
        <v>-5.1331818181818097E-2</v>
      </c>
      <c r="U2110" s="18"/>
      <c r="V2110" s="39" t="s">
        <v>31</v>
      </c>
      <c r="W2110" s="5">
        <f>IF(NOT(D2103&gt;0),FALSE,SLOPE(G2103:G2113,B2103:B2113))</f>
        <v>-5.1331818181818097E-2</v>
      </c>
      <c r="Y2110" s="18"/>
      <c r="Z2110" s="39" t="s">
        <v>31</v>
      </c>
      <c r="AA2110" s="5" t="b">
        <f>IF(NOT(L2103&gt;0),FALSE,SLOPE(O2103:O2113,J2103:J2113))</f>
        <v>0</v>
      </c>
    </row>
    <row r="2111" spans="1:27">
      <c r="A2111" s="19">
        <f>_xll.ciqfunctions.udf.CIQ(A2103,"IQ_TOTAL_REV",IQ_FY)</f>
        <v>2495.0459999999998</v>
      </c>
      <c r="B2111" s="13">
        <v>9</v>
      </c>
      <c r="C2111" s="14" t="s">
        <v>32</v>
      </c>
      <c r="D2111" s="15" cm="1">
        <f t="array" ref="D2111">_xlfn.SINGLE(IF(A2111=A2112,_xll.ciqfunctions.udf.CIQ(A2103,"IQ_TOTAL_REV",IQ_FY-2)/I2111, _xll.ciqfunctions.udf.CIQ(A2103, "IQ_TOTAL_REV",IQ_FY-1)/I2111))</f>
        <v>21.882242215093154</v>
      </c>
      <c r="E2111" s="16">
        <f t="shared" si="563"/>
        <v>0.10974923274613503</v>
      </c>
      <c r="F2111" s="15">
        <f>IF(A2111=A2112,_xll.ciqfunctions.udf.CIQ(A2103,"IQ_DILUT_EPS_EXCL",IQ_FY-2), _xll.ciqfunctions.udf.CIQ(A2103, "IQ_DILUT_EPS_EXCL",IQ_FY-1))</f>
        <v>0.5</v>
      </c>
      <c r="G2111" s="15">
        <f>IF(A2111=A2112,_xll.ciqfunctions.udf.CIQ(A2103,"IQ_EBITDA_MARGIN",IQ_FY-2), _xll.ciqfunctions.udf.CIQ(A2103, "IQ_EBITDA_MARGIN",IQ_FY-1))</f>
        <v>11.453799999999999</v>
      </c>
      <c r="H2111" s="15">
        <f>IF(A2111=A2112,_xll.ciqfunctions.udf.CIQ(A2103,"IQ_TOTAL_DIV_PAID_CF",IQ_FY-2)/-I2111, _xll.ciqfunctions.udf.CIQ(A2103, "IQ_TOTAL_DIV_PAID_CF",IQ_FY-1)/-I2111)</f>
        <v>0</v>
      </c>
      <c r="I2111" s="17">
        <f>IF(A2111=A2112,_xll.ciqfunctions.udf.CIQ(A2103,"IQ_TOTAL_OUTSTANDING_FILING_DATE",IQ_FY-2), _xll.ciqfunctions.udf.CIQ(A2103, "IQ_TOTAL_OUTSTANDING_FILING_DATE",IQ_FY-1))</f>
        <v>102.76552</v>
      </c>
      <c r="J2111" s="17">
        <f>IF(A2111=A2112,_xll.ciqfunctions.udf.CIQ(A2103,"IQ_CASH_OPER",IQ_FY-2), _xll.ciqfunctions.udf.CIQ(A2103, "IQ_CASH_OPER",IQ_FY-1))</f>
        <v>176.63200000000001</v>
      </c>
      <c r="K2111" s="17">
        <f>IF(A2111=A2112,_xll.ciqfunctions.udf.CIQ(A2103,"IQ_CAPEX",IQ_FY-2), _xll.ciqfunctions.udf.CIQ(A2103, "IQ_CAPEX",IQ_FY-1))</f>
        <v>-81.950999999999993</v>
      </c>
      <c r="L2111" s="15">
        <f t="shared" si="560"/>
        <v>0.92133042288892242</v>
      </c>
      <c r="M2111" s="17">
        <f>IF(A2111=A2112,_xll.ciqfunctions.udf.CIQ(A2103,"IQ_TOTAL_DEBT_ISSUED",IQ_FY-2), _xll.ciqfunctions.udf.CIQ(A2103, "IQ_TOTAL_DEBT_ISSUED",IQ_FY-1))</f>
        <v>500</v>
      </c>
      <c r="N2111" s="17">
        <f>IF(A2111=A2112,_xll.ciqfunctions.udf.CIQ(A2103,"IQ_TOTAL_DEBT_REPAID",IQ_FY-2), _xll.ciqfunctions.udf.CIQ(A2103, "IQ_TOTAL_DEBT_REPAID",IQ_FY-1))</f>
        <v>-425.83800000000002</v>
      </c>
      <c r="O2111" s="15">
        <f t="shared" si="561"/>
        <v>0.72166228517113507</v>
      </c>
      <c r="P2111" s="15">
        <f t="shared" si="562"/>
        <v>1.6429927080600575</v>
      </c>
      <c r="Q2111" s="25" t="s">
        <v>33</v>
      </c>
      <c r="R2111" s="38" t="s">
        <v>52</v>
      </c>
      <c r="S2111" s="4">
        <f>(AVERAGE(O2108:O2113)/AVERAGE(P2108:P2113))</f>
        <v>-0.63555135809045782</v>
      </c>
      <c r="U2111" s="25" t="s">
        <v>54</v>
      </c>
      <c r="V2111" s="38" t="s">
        <v>52</v>
      </c>
      <c r="W2111" s="4">
        <f>(AVERAGE(O2108:O2113)/AVERAGE(P2108:P2113))</f>
        <v>-0.63555135809045782</v>
      </c>
      <c r="Y2111" s="25" t="s">
        <v>60</v>
      </c>
      <c r="Z2111" s="38" t="s">
        <v>52</v>
      </c>
      <c r="AA2111" s="4">
        <f>(AVERAGE(O2108:O2113)/AVERAGE(P2108:P2113))</f>
        <v>-0.63555135809045782</v>
      </c>
    </row>
    <row r="2112" spans="1:27">
      <c r="A2112" s="19">
        <f>_xll.ciqfunctions.udf.CIQ(A2103,"IQ_TOTAL_REV",IQ_LTM)</f>
        <v>2280.6840000000002</v>
      </c>
      <c r="B2112" s="13">
        <v>10</v>
      </c>
      <c r="C2112" s="14" t="s">
        <v>34</v>
      </c>
      <c r="D2112" s="15" cm="1">
        <f t="array" ref="D2112">_xlfn.SINGLE(IF(A2111=A2112,_xll.ciqfunctions.udf.CIQ(A2103,"IQ_TOTAL_REV",IQ_FY-1)/I2112, _xll.ciqfunctions.udf.CIQ(A2103, "IQ_TOTAL_REV",IQ_FY)/I2112))</f>
        <v>24.321778508230015</v>
      </c>
      <c r="E2112" s="16">
        <f t="shared" si="563"/>
        <v>0.11148474955890053</v>
      </c>
      <c r="F2112" s="15">
        <f>IF(A2111=A2112,_xll.ciqfunctions.udf.CIQ(A2103,"IQ_DILUT_EPS_EXCL",IQ_FY-1), _xll.ciqfunctions.udf.CIQ(A2103, "IQ_DILUT_EPS_EXCL",IQ_FY))</f>
        <v>0.91</v>
      </c>
      <c r="G2112" s="15">
        <f>IF(A2111=A2112,_xll.ciqfunctions.udf.CIQ(A2103,"IQ_EBITDA_MARGIN",IQ_FY-1), _xll.ciqfunctions.udf.CIQ(A2103, "IQ_EBITDA_MARGIN",IQ_FY))</f>
        <v>11.887700000000001</v>
      </c>
      <c r="H2112" s="15">
        <f>IF(A2111=A2112,_xll.ciqfunctions.udf.CIQ(A2103,"IQ_TOTAL_DIV_PAID_CF",IQ_FY-1)/-I2112, _xll.ciqfunctions.udf.CIQ(A2103, "IQ_TOTAL_DIV_PAID_CF",IQ_FY)/-I2112)</f>
        <v>0</v>
      </c>
      <c r="I2112" s="17">
        <f>IF(A2111=A2112,_xll.ciqfunctions.udf.CIQ(A2103,"IQ_TOTAL_OUTSTANDING_FILING_DATE",IQ_FY-1), _xll.ciqfunctions.udf.CIQ(A2103, "IQ_TOTAL_OUTSTANDING_FILING_DATE",IQ_FY))</f>
        <v>102.58485</v>
      </c>
      <c r="J2112" s="17">
        <f>IF(A2111=A2112,_xll.ciqfunctions.udf.CIQ(A2103,"IQ_CASH_OPER",IQ_FY-1), _xll.ciqfunctions.udf.CIQ(A2103, "IQ_CASH_OPER",IQ_FY))</f>
        <v>272.87299999999999</v>
      </c>
      <c r="K2112" s="17">
        <f>IF(A2111=A2112,_xll.ciqfunctions.udf.CIQ(A2103,"IQ_CAPEX",IQ_FY-1), _xll.ciqfunctions.udf.CIQ(A2103, "IQ_CAPEX",IQ_FY))</f>
        <v>-102.884</v>
      </c>
      <c r="L2112" s="15">
        <f t="shared" si="560"/>
        <v>1.6570575479712646</v>
      </c>
      <c r="M2112" s="17">
        <f>IF(A2111=A2112,_xll.ciqfunctions.udf.CIQ(A2103,"IQ_TOTAL_DEBT_ISSUED",IQ_FY-1), _xll.ciqfunctions.udf.CIQ(A2103, "IQ_TOTAL_DEBT_ISSUED",IQ_FY))</f>
        <v>50</v>
      </c>
      <c r="N2112" s="17">
        <f>IF(A2111=A2112,_xll.ciqfunctions.udf.CIQ(A2103,"IQ_TOTAL_DEBT_REPAID",IQ_FY-1), _xll.ciqfunctions.udf.CIQ(A2103, "IQ_TOTAL_DEBT_REPAID",IQ_FY))</f>
        <v>-50</v>
      </c>
      <c r="O2112" s="15">
        <f t="shared" si="561"/>
        <v>0</v>
      </c>
      <c r="P2112" s="15">
        <f t="shared" si="562"/>
        <v>1.6570575479712646</v>
      </c>
      <c r="Q2112" s="25" t="s">
        <v>44</v>
      </c>
      <c r="R2112" s="38" t="s">
        <v>35</v>
      </c>
      <c r="S2112" s="1">
        <f>_xll.ciqfunctions.udf.CIQ(A2103,"IQ_TEV_EBITDA")</f>
        <v>7.3897199999999996</v>
      </c>
      <c r="U2112" s="25" t="s">
        <v>55</v>
      </c>
      <c r="V2112" s="38" t="s">
        <v>53</v>
      </c>
      <c r="W2112" s="1">
        <f>V2102/(AVERAGE(D2108:D2113)/_xlfn.STDEV.P(E2108:E2113))</f>
        <v>6.9640872829041189E-2</v>
      </c>
      <c r="Y2112" s="25" t="s">
        <v>57</v>
      </c>
      <c r="Z2112" s="38" t="s">
        <v>53</v>
      </c>
      <c r="AA2112" s="1">
        <f>Z2102/(AVERAGE(D2108:D2113)/_xlfn.STDEV.P(E2108:E2113))</f>
        <v>6.9640872829041189E-2</v>
      </c>
    </row>
    <row r="2113" spans="1:27">
      <c r="B2113" s="13">
        <v>11</v>
      </c>
      <c r="C2113" s="20" t="s">
        <v>36</v>
      </c>
      <c r="D2113" s="21" cm="1">
        <f t="array" ref="D2113">_xlfn.SINGLE(IF(A2111=A2112,_xll.ciqfunctions.udf.CIQ(A2103,"IQ_TOTAL_REV",IQ_FY)/I2113, _xll.ciqfunctions.udf.CIQ(A2103, "IQ_TOTAL_REV",IQ_LTM)/I2113))</f>
        <v>22.306151658639841</v>
      </c>
      <c r="E2113" s="22">
        <f t="shared" si="563"/>
        <v>-8.2873333005155231E-2</v>
      </c>
      <c r="F2113" s="21">
        <f>IF(A2111=A2112,_xll.ciqfunctions.udf.CIQ(A2103,"IQ_DILUT_EPS_EXCL",IQ_FY), _xll.ciqfunctions.udf.CIQ(A2103, "IQ_DILUT_EPS_EXCL",IQ_LTM))</f>
        <v>-0.29244999999999999</v>
      </c>
      <c r="G2113" s="21">
        <f>IF(A2111=A2112,_xll.ciqfunctions.udf.CIQ(A2103,"IQ_EBITDA_MARGIN",IQ_FY), _xll.ciqfunctions.udf.CIQ(A2103, "IQ_EBITDA_MARGIN",IQ_LTM))</f>
        <v>11.689500000000001</v>
      </c>
      <c r="H2113" s="21">
        <f>IF(A2111=A2112,_xll.ciqfunctions.udf.CIQ(A2103,"IQ_TOTAL_DIV_PAID_CF",IQ_FY)/-I2113, _xll.ciqfunctions.udf.CIQ(A2103, "IQ_TOTAL_DIV_PAID_CF",IQ_LTM)/-I2113)</f>
        <v>0</v>
      </c>
      <c r="I2113" s="23">
        <f>IF(A2111=A2112,_xll.ciqfunctions.udf.CIQ(A2103,"IQ_TOTAL_OUTSTANDING_FILING_DATE",IQ_FY),_xll.ciqfunctions.udf.CIQ(A2103,"IQ_sharesoutstanding"))</f>
        <v>102.24462</v>
      </c>
      <c r="J2113" s="23">
        <f>IF(A2111=A2112,_xll.ciqfunctions.udf.CIQ(A2103,"IQ_CASH_OPER",IQ_FY), _xll.ciqfunctions.udf.CIQ(A2103, "IQ_CASH_OPER",IQ_LTM))</f>
        <v>217.37299999999999</v>
      </c>
      <c r="K2113" s="23">
        <f>IF(A2111=A2112,_xll.ciqfunctions.udf.CIQ(A2103,"IQ_CAPEX",IQ_FY), _xll.ciqfunctions.udf.CIQ(A2103, "IQ_CAPEX",IQ_LTM))</f>
        <v>-140.80600000000001</v>
      </c>
      <c r="L2113" s="21">
        <f t="shared" si="560"/>
        <v>0.74886091806101862</v>
      </c>
      <c r="M2113" s="23">
        <f>IF(A2111=A2112,_xll.ciqfunctions.udf.CIQ(A2103,"IQ_TOTAL_DEBT_ISSUED",IQ_FY), _xll.ciqfunctions.udf.CIQ(A2103, "IQ_TOTAL_DEBT_ISSUED",IQ_LTM))</f>
        <v>234.81800000000001</v>
      </c>
      <c r="N2113" s="23">
        <f>IF(A2111=A2112,_xll.ciqfunctions.udf.CIQ(A2103,"IQ_TOTAL_DEBT_REPAID",IQ_FY), _xll.ciqfunctions.udf.CIQ(A2103, "IQ_TOTAL_DEBT_REPAID",IQ_LTM))</f>
        <v>-291.572</v>
      </c>
      <c r="O2113" s="21">
        <f t="shared" si="561"/>
        <v>-0.5550805509375456</v>
      </c>
      <c r="P2113" s="21">
        <f t="shared" si="562"/>
        <v>0.19378036712347302</v>
      </c>
      <c r="Q2113" s="25" t="s">
        <v>45</v>
      </c>
      <c r="S2113" s="45"/>
      <c r="U2113" s="25"/>
      <c r="W2113" s="45"/>
      <c r="Y2113" s="25"/>
      <c r="AA2113" s="45"/>
    </row>
    <row r="2114" spans="1:27">
      <c r="B2114" s="24"/>
      <c r="C2114" s="25" t="s">
        <v>37</v>
      </c>
      <c r="E2114" s="26">
        <f>((D2113/D2108)^(1/5))-1</f>
        <v>7.9736951635822617E-3</v>
      </c>
      <c r="F2114" s="27">
        <f>((F2113/F2108)^(1/5))-1</f>
        <v>-1.7673889280186525</v>
      </c>
      <c r="G2114" s="28"/>
      <c r="H2114" s="27" t="e">
        <f>((H2113/H2108)^(1/5))-1</f>
        <v>#DIV/0!</v>
      </c>
      <c r="I2114" s="27">
        <f>((I2113/I2108)^(1/5))-1</f>
        <v>-4.1318981161309054E-3</v>
      </c>
      <c r="J2114" s="27"/>
      <c r="K2114" s="27"/>
      <c r="L2114" s="26">
        <f>((L2113/L2108)^(1/5))-1</f>
        <v>-8.6691048036460994E-2</v>
      </c>
      <c r="M2114" s="26"/>
      <c r="N2114" s="26"/>
      <c r="O2114" s="26"/>
      <c r="P2114" s="26">
        <f>((P2113/P2108)^(1/5))-1</f>
        <v>-0.46301392324613833</v>
      </c>
      <c r="Q2114" s="18"/>
      <c r="R2114" s="36"/>
      <c r="S2114" s="45"/>
      <c r="U2114" s="18"/>
      <c r="V2114" s="36"/>
      <c r="W2114" s="45"/>
      <c r="Y2114" s="18"/>
      <c r="Z2114" s="36"/>
      <c r="AA2114" s="45"/>
    </row>
    <row r="2115" spans="1:27">
      <c r="A2115" s="29"/>
      <c r="B2115" s="30"/>
      <c r="C2115" s="31" t="s">
        <v>38</v>
      </c>
      <c r="D2115" s="29"/>
      <c r="E2115" s="32">
        <f>((D2113/D2103)^(1/10))-1</f>
        <v>3.0294440907954634E-2</v>
      </c>
      <c r="F2115" s="33" t="e">
        <f>((F2113/F2103)^(1/10))-1</f>
        <v>#NUM!</v>
      </c>
      <c r="G2115" s="34"/>
      <c r="H2115" s="33" t="e">
        <f>((H2113/H2103)^(1/10))-1</f>
        <v>#DIV/0!</v>
      </c>
      <c r="I2115" s="33">
        <f>((I2113/I2103)^(1/10))-1</f>
        <v>2.1479653060045845E-2</v>
      </c>
      <c r="J2115" s="33"/>
      <c r="K2115" s="33"/>
      <c r="L2115" s="32" t="e">
        <f>((L2113/L2103)^(1/10))-1</f>
        <v>#NUM!</v>
      </c>
      <c r="M2115" s="32"/>
      <c r="N2115" s="32"/>
      <c r="O2115" s="32"/>
      <c r="P2115" s="32">
        <f>((P2113/P2103)^(1/10))-1</f>
        <v>-9.8101705322384603E-2</v>
      </c>
      <c r="Q2115" s="40"/>
      <c r="R2115" s="41"/>
      <c r="S2115" s="46"/>
      <c r="U2115" s="40"/>
      <c r="V2115" s="41"/>
      <c r="W2115" s="46"/>
      <c r="Y2115" s="40"/>
      <c r="Z2115" s="41"/>
      <c r="AA2115" s="46"/>
    </row>
    <row r="2116" spans="1:27">
      <c r="B2116" s="24"/>
      <c r="C2116" s="25"/>
      <c r="E2116" s="26"/>
      <c r="F2116" s="27"/>
      <c r="G2116" s="28"/>
      <c r="H2116" s="27"/>
      <c r="I2116" s="27"/>
      <c r="J2116" s="27"/>
      <c r="K2116" s="27"/>
      <c r="L2116" s="26"/>
      <c r="M2116" s="17"/>
      <c r="N2116" s="17"/>
      <c r="O2116" s="17"/>
      <c r="P2116" s="35"/>
      <c r="Q2116" s="18"/>
      <c r="R2116" s="36"/>
    </row>
    <row r="2117" spans="1:27">
      <c r="A2117" s="9" t="s">
        <v>0</v>
      </c>
      <c r="B2117" s="10"/>
      <c r="C2117" s="9" t="s">
        <v>1</v>
      </c>
      <c r="D2117" s="9" t="s">
        <v>2</v>
      </c>
      <c r="E2117" s="9" t="s">
        <v>3</v>
      </c>
      <c r="F2117" s="11" t="s">
        <v>4</v>
      </c>
      <c r="G2117" s="11" t="s">
        <v>5</v>
      </c>
      <c r="H2117" s="9" t="s">
        <v>6</v>
      </c>
      <c r="I2117" s="11" t="s">
        <v>7</v>
      </c>
      <c r="J2117" s="11" t="s">
        <v>8</v>
      </c>
      <c r="K2117" s="11" t="s">
        <v>9</v>
      </c>
      <c r="L2117" s="11" t="s">
        <v>10</v>
      </c>
      <c r="M2117" s="11" t="s">
        <v>11</v>
      </c>
      <c r="N2117" s="11" t="s">
        <v>12</v>
      </c>
      <c r="O2117" s="11" t="s">
        <v>13</v>
      </c>
      <c r="P2117" s="11" t="s">
        <v>14</v>
      </c>
      <c r="Q2117" s="37" t="s">
        <v>15</v>
      </c>
      <c r="R2117" s="42">
        <f>_xll.ciqfunctions.udf.CIQ(A2118,("IQ_LASTSALEPRICE"))</f>
        <v>49.9</v>
      </c>
      <c r="S2117" s="44"/>
      <c r="U2117" s="37" t="s">
        <v>15</v>
      </c>
      <c r="V2117" s="42">
        <f>_xll.ciqfunctions.udf.CIQ(A2118,("IQ_LASTSALEPRICE"))</f>
        <v>49.9</v>
      </c>
      <c r="W2117" s="44"/>
      <c r="Y2117" s="37" t="s">
        <v>15</v>
      </c>
      <c r="Z2117" s="42">
        <f>_xll.ciqfunctions.udf.CIQ(A2118,("IQ_LASTSALEPRICE"))</f>
        <v>49.9</v>
      </c>
      <c r="AA2117" s="44"/>
    </row>
    <row r="2118" spans="1:27">
      <c r="A2118" s="12" t="str">
        <f>Analysis!B143</f>
        <v>NasdaqGS:SANM</v>
      </c>
      <c r="B2118" s="13">
        <v>1</v>
      </c>
      <c r="C2118" s="14" t="s">
        <v>16</v>
      </c>
      <c r="D2118" s="15">
        <f>IF(A2126=A2127,_xll.ciqfunctions.udf.CIQ(A2118,"IQ_TOTAL_REV",IQ_FY-10)/I2118,_xll.ciqfunctions.udf.CIQ(A2118, "IQ_TOTAL_REV",IQ_FY-9)/I2118)</f>
        <v>70.256475286196817</v>
      </c>
      <c r="E2118" s="16"/>
      <c r="F2118" s="15">
        <f>IF(A2126=A2127,_xll.ciqfunctions.udf.CIQ(A2118,"IQ_DILUT_EPS_EXCL",IQ_FY-10), _xll.ciqfunctions.udf.CIQ(A2118, "IQ_DILUT_EPS_EXCL",IQ_FY-9))</f>
        <v>0.93</v>
      </c>
      <c r="G2118" s="15">
        <f>IF(A2126=A2127,_xll.ciqfunctions.udf.CIQ(A2118,"IQ_EBITDA_MARGIN",IQ_FY-10), _xll.ciqfunctions.udf.CIQ(A2118, "IQ_EBITDA_MARGIN",IQ_FY-9))</f>
        <v>4.3483000000000001</v>
      </c>
      <c r="H2118" s="15">
        <f>IF(A2126=A2127,_xll.ciqfunctions.udf.CIQ(A2118,"IQ_TOTAL_DIV_PAID_CF",IQ_FY-10)/-I2118, _xll.ciqfunctions.udf.CIQ(A2118, "IQ_TOTAL_DIV_PAID_CF",IQ_FY-9)/-I2118)</f>
        <v>0</v>
      </c>
      <c r="I2118" s="17">
        <f>IF(A2126=A2127,_xll.ciqfunctions.udf.CIQ(A2118,"IQ_TOTAL_OUTSTANDING_FILING_DATE",IQ_FY-10), _xll.ciqfunctions.udf.CIQ(A2118, "IQ_TOTAL_OUTSTANDING_FILING_DATE",IQ_FY-9))</f>
        <v>84.221760000000003</v>
      </c>
      <c r="J2118" s="17">
        <f>IF(A2126=A2127,_xll.ciqfunctions.udf.CIQ(A2118,"IQ_CASH_OPER",IQ_FY-10), _xll.ciqfunctions.udf.CIQ(A2118, "IQ_CASH_OPER",IQ_FY-9))</f>
        <v>317.88900000000001</v>
      </c>
      <c r="K2118" s="17">
        <f>IF(A2126=A2127,_xll.ciqfunctions.udf.CIQ(A2118,"IQ_CAPEX",IQ_FY-10), _xll.ciqfunctions.udf.CIQ(A2118, "IQ_CAPEX",IQ_FY-9))</f>
        <v>-75.95</v>
      </c>
      <c r="L2118" s="15">
        <f t="shared" ref="L2118:L2128" si="564">(J2118+K2118)/I2118</f>
        <v>2.8726424145019056</v>
      </c>
      <c r="M2118" s="17">
        <f>IF(A2126=A2127,_xll.ciqfunctions.udf.CIQ(A2118,"IQ_TOTAL_DEBT_ISSUED",IQ_FY-10), _xll.ciqfunctions.udf.CIQ(A2118, "IQ_TOTAL_DEBT_ISSUED",IQ_FY-9))</f>
        <v>1259.9760000000001</v>
      </c>
      <c r="N2118" s="17">
        <f>IF(A2126=A2127,_xll.ciqfunctions.udf.CIQ(A2118,"IQ_TOTAL_DEBT_REPAID",IQ_FY-10), _xll.ciqfunctions.udf.CIQ(A2118, "IQ_TOTAL_DEBT_REPAID",IQ_FY-9))</f>
        <v>-1555.0809999999999</v>
      </c>
      <c r="O2118" s="15">
        <f t="shared" ref="O2118:O2128" si="565">(M2118+N2118)/I2118</f>
        <v>-3.5039044541458142</v>
      </c>
      <c r="P2118" s="15">
        <f t="shared" ref="P2118:P2128" si="566">L2118+O2118</f>
        <v>-0.63126203964390859</v>
      </c>
      <c r="W2118" s="43"/>
      <c r="AA2118" s="43"/>
    </row>
    <row r="2119" spans="1:27">
      <c r="A2119" s="18" t="str">
        <f>_xll.ciqfunctions.udf.CIQ(A2118,"IQ_COMPANY_NAME")</f>
        <v>Sanmina Corporation</v>
      </c>
      <c r="B2119" s="13">
        <v>2</v>
      </c>
      <c r="C2119" s="14" t="s">
        <v>17</v>
      </c>
      <c r="D2119" s="15">
        <f>IF(A2126=A2127,_xll.ciqfunctions.udf.CIQ(A2118,"IQ_TOTAL_REV",IQ_FY-9)/I2119, _xll.ciqfunctions.udf.CIQ(A2118, "IQ_TOTAL_REV",IQ_FY-8)/I2119)</f>
        <v>75.357855804262556</v>
      </c>
      <c r="E2119" s="16">
        <f t="shared" ref="E2119:E2128" si="567">(D2119-D2118)/D2118</f>
        <v>7.261082337656069E-2</v>
      </c>
      <c r="F2119" s="15">
        <f>IF(A2126=A2127,_xll.ciqfunctions.udf.CIQ(A2118,"IQ_DILUT_EPS_EXCL",IQ_FY-9), _xll.ciqfunctions.udf.CIQ(A2118, "IQ_DILUT_EPS_EXCL",IQ_FY-8))</f>
        <v>2.27</v>
      </c>
      <c r="G2119" s="15">
        <f>IF(A2126=A2127,_xll.ciqfunctions.udf.CIQ(A2118,"IQ_EBITDA_MARGIN",IQ_FY-9), _xll.ciqfunctions.udf.CIQ(A2118, "IQ_EBITDA_MARGIN",IQ_FY-8))</f>
        <v>4.9778000000000002</v>
      </c>
      <c r="H2119" s="15">
        <f>IF(A2126=A2127,_xll.ciqfunctions.udf.CIQ(A2118,"IQ_TOTAL_DIV_PAID_CF",IQ_FY-9)/-I2119, _xll.ciqfunctions.udf.CIQ(A2118, "IQ_TOTAL_DIV_PAID_CF",IQ_FY-8)/-I2119)</f>
        <v>0</v>
      </c>
      <c r="I2119" s="17">
        <f>IF(A2126=A2127,_xll.ciqfunctions.udf.CIQ(A2118,"IQ_TOTAL_OUTSTANDING_FILING_DATE",IQ_FY-9), _xll.ciqfunctions.udf.CIQ(A2118, "IQ_TOTAL_OUTSTANDING_FILING_DATE",IQ_FY-8))</f>
        <v>82.474559999999997</v>
      </c>
      <c r="J2119" s="17">
        <f>IF(A2126=A2127,_xll.ciqfunctions.udf.CIQ(A2118,"IQ_CASH_OPER",IQ_FY-9), _xll.ciqfunctions.udf.CIQ(A2118, "IQ_CASH_OPER",IQ_FY-8))</f>
        <v>307.38200000000001</v>
      </c>
      <c r="K2119" s="17">
        <f>IF(A2126=A2127,_xll.ciqfunctions.udf.CIQ(A2118,"IQ_CAPEX",IQ_FY-9), _xll.ciqfunctions.udf.CIQ(A2118, "IQ_CAPEX",IQ_FY-8))</f>
        <v>-69.507000000000005</v>
      </c>
      <c r="L2119" s="15">
        <f t="shared" si="564"/>
        <v>2.8842227227402004</v>
      </c>
      <c r="M2119" s="17">
        <f>IF(A2126=A2127,_xll.ciqfunctions.udf.CIQ(A2118,"IQ_TOTAL_DEBT_ISSUED",IQ_FY-9), _xll.ciqfunctions.udf.CIQ(A2118, "IQ_TOTAL_DEBT_ISSUED",IQ_FY-8))</f>
        <v>1011.725</v>
      </c>
      <c r="N2119" s="17">
        <f>IF(A2126=A2127,_xll.ciqfunctions.udf.CIQ(A2118,"IQ_TOTAL_DEBT_REPAID",IQ_FY-9), _xll.ciqfunctions.udf.CIQ(A2118, "IQ_TOTAL_DEBT_REPAID",IQ_FY-8))</f>
        <v>-1076.2460000000001</v>
      </c>
      <c r="O2119" s="15">
        <f t="shared" si="565"/>
        <v>-0.78231396445158452</v>
      </c>
      <c r="P2119" s="15">
        <f t="shared" si="566"/>
        <v>2.1019087582886158</v>
      </c>
      <c r="Q2119" s="25" t="s">
        <v>18</v>
      </c>
      <c r="R2119" s="39" t="s">
        <v>19</v>
      </c>
      <c r="S2119" s="1">
        <f>R2117/((AVERAGE(P2123:P2128))*(1+E2129)^3)</f>
        <v>16.8021136224285</v>
      </c>
      <c r="U2119" s="25" t="s">
        <v>48</v>
      </c>
      <c r="V2119" s="39" t="s">
        <v>19</v>
      </c>
      <c r="W2119" s="1">
        <f>V2117/((AVERAGE(P2123:P2128))*(1+E2129)^3)</f>
        <v>16.8021136224285</v>
      </c>
      <c r="Y2119" s="25" t="s">
        <v>39</v>
      </c>
      <c r="Z2119" s="39" t="s">
        <v>19</v>
      </c>
      <c r="AA2119" s="1">
        <f>Z2117/((AVERAGE(P2123:P2128))*(1+E2129)^3)</f>
        <v>16.8021136224285</v>
      </c>
    </row>
    <row r="2120" spans="1:27">
      <c r="B2120" s="13">
        <v>3</v>
      </c>
      <c r="C2120" s="14" t="s">
        <v>20</v>
      </c>
      <c r="D2120" s="15" cm="1">
        <f t="array" ref="D2120">_xlfn.SINGLE(IF(A2126=A2127,_xll.ciqfunctions.udf.CIQ(A2118,"IQ_TOTAL_REV",IQ_FY-8)/I2120, _xll.ciqfunctions.udf.CIQ(A2118, "IQ_TOTAL_REV",IQ_FY-7)/I2120))</f>
        <v>81.302922447880121</v>
      </c>
      <c r="E2120" s="16">
        <f t="shared" si="567"/>
        <v>7.8891133249060511E-2</v>
      </c>
      <c r="F2120" s="15">
        <f>IF(A2126=A2127,_xll.ciqfunctions.udf.CIQ(A2118,"IQ_DILUT_EPS_EXCL",IQ_FY-8), _xll.ciqfunctions.udf.CIQ(A2118, "IQ_DILUT_EPS_EXCL",IQ_FY-7))</f>
        <v>4.41</v>
      </c>
      <c r="G2120" s="15">
        <f>IF(A2126=A2127,_xll.ciqfunctions.udf.CIQ(A2118,"IQ_EBITDA_MARGIN",IQ_FY-8), _xll.ciqfunctions.udf.CIQ(A2118, "IQ_EBITDA_MARGIN",IQ_FY-7))</f>
        <v>4.8630000000000004</v>
      </c>
      <c r="H2120" s="15">
        <f>IF(A2126=A2127,_xll.ciqfunctions.udf.CIQ(A2118,"IQ_TOTAL_DIV_PAID_CF",IQ_FY-8)/-I2120, _xll.ciqfunctions.udf.CIQ(A2118, "IQ_TOTAL_DIV_PAID_CF",IQ_FY-7)/-I2120)</f>
        <v>0</v>
      </c>
      <c r="I2120" s="17">
        <f>IF(A2126=A2127,_xll.ciqfunctions.udf.CIQ(A2118,"IQ_TOTAL_OUTSTANDING_FILING_DATE",IQ_FY-8), _xll.ciqfunctions.udf.CIQ(A2118, "IQ_TOTAL_OUTSTANDING_FILING_DATE",IQ_FY-7))</f>
        <v>78.404820000000001</v>
      </c>
      <c r="J2120" s="17">
        <f>IF(A2126=A2127,_xll.ciqfunctions.udf.CIQ(A2118,"IQ_CASH_OPER",IQ_FY-8), _xll.ciqfunctions.udf.CIQ(A2118, "IQ_CASH_OPER",IQ_FY-7))</f>
        <v>174.89599999999999</v>
      </c>
      <c r="K2120" s="17">
        <f>IF(A2126=A2127,_xll.ciqfunctions.udf.CIQ(A2118,"IQ_CAPEX",IQ_FY-8), _xll.ciqfunctions.udf.CIQ(A2118, "IQ_CAPEX",IQ_FY-7))</f>
        <v>-119.09699999999999</v>
      </c>
      <c r="L2120" s="15">
        <f t="shared" si="564"/>
        <v>0.71167818509117153</v>
      </c>
      <c r="M2120" s="17">
        <f>IF(A2126=A2127,_xll.ciqfunctions.udf.CIQ(A2118,"IQ_TOTAL_DEBT_ISSUED",IQ_FY-8), _xll.ciqfunctions.udf.CIQ(A2118, "IQ_TOTAL_DEBT_ISSUED",IQ_FY-7))</f>
        <v>2692.9</v>
      </c>
      <c r="N2120" s="17">
        <f>IF(A2126=A2127,_xll.ciqfunctions.udf.CIQ(A2118,"IQ_TOTAL_DEBT_REPAID",IQ_FY-8), _xll.ciqfunctions.udf.CIQ(A2118, "IQ_TOTAL_DEBT_REPAID",IQ_FY-7))</f>
        <v>-2717.1149999999998</v>
      </c>
      <c r="O2120" s="15">
        <f t="shared" si="565"/>
        <v>-0.30884580820413454</v>
      </c>
      <c r="P2120" s="15">
        <f t="shared" si="566"/>
        <v>0.40283237688703699</v>
      </c>
      <c r="Q2120" s="25" t="s">
        <v>21</v>
      </c>
      <c r="R2120" s="38" t="s">
        <v>49</v>
      </c>
      <c r="S2120" s="2">
        <f>(R2117*I2128)/1000</f>
        <v>2.836265601</v>
      </c>
      <c r="U2120" s="25" t="s">
        <v>59</v>
      </c>
      <c r="V2120" s="38" t="s">
        <v>49</v>
      </c>
      <c r="W2120" s="2">
        <f>(V2117*I2128)/1000</f>
        <v>2.836265601</v>
      </c>
      <c r="Y2120" s="25" t="s">
        <v>46</v>
      </c>
      <c r="Z2120" s="38" t="s">
        <v>49</v>
      </c>
      <c r="AA2120" s="2">
        <f>(Z2117*I2128)/1000</f>
        <v>2.836265601</v>
      </c>
    </row>
    <row r="2121" spans="1:27">
      <c r="A2121" s="18"/>
      <c r="B2121" s="13">
        <v>4</v>
      </c>
      <c r="C2121" s="14" t="s">
        <v>22</v>
      </c>
      <c r="D2121" s="15" cm="1">
        <f t="array" ref="D2121">_xlfn.SINGLE(IF(A2126=A2127,_xll.ciqfunctions.udf.CIQ(A2118,"IQ_TOTAL_REV",IQ_FY-7)/I2121, _xll.ciqfunctions.udf.CIQ(A2118, "IQ_TOTAL_REV",IQ_FY-6)/I2121))</f>
        <v>88.274213099794324</v>
      </c>
      <c r="E2121" s="16">
        <f t="shared" si="567"/>
        <v>8.5744650278508791E-2</v>
      </c>
      <c r="F2121" s="15">
        <f>IF(A2126=A2127,_xll.ciqfunctions.udf.CIQ(A2118,"IQ_DILUT_EPS_EXCL",IQ_FY-7), _xll.ciqfunctions.udf.CIQ(A2118, "IQ_DILUT_EPS_EXCL",IQ_FY-6))</f>
        <v>2.38</v>
      </c>
      <c r="G2121" s="15">
        <f>IF(A2126=A2127,_xll.ciqfunctions.udf.CIQ(A2118,"IQ_EBITDA_MARGIN",IQ_FY-7), _xll.ciqfunctions.udf.CIQ(A2118, "IQ_EBITDA_MARGIN",IQ_FY-6))</f>
        <v>5.2519999999999998</v>
      </c>
      <c r="H2121" s="15">
        <f>IF(A2126=A2127,_xll.ciqfunctions.udf.CIQ(A2118,"IQ_TOTAL_DIV_PAID_CF",IQ_FY-7)/-I2121, _xll.ciqfunctions.udf.CIQ(A2118, "IQ_TOTAL_DIV_PAID_CF",IQ_FY-6)/-I2121)</f>
        <v>0</v>
      </c>
      <c r="I2121" s="17">
        <f>IF(A2126=A2127,_xll.ciqfunctions.udf.CIQ(A2118,"IQ_TOTAL_OUTSTANDING_FILING_DATE",IQ_FY-7), _xll.ciqfunctions.udf.CIQ(A2118, "IQ_TOTAL_OUTSTANDING_FILING_DATE",IQ_FY-6))</f>
        <v>73.421000000000006</v>
      </c>
      <c r="J2121" s="17">
        <f>IF(A2126=A2127,_xll.ciqfunctions.udf.CIQ(A2118,"IQ_CASH_OPER",IQ_FY-7), _xll.ciqfunctions.udf.CIQ(A2118, "IQ_CASH_OPER",IQ_FY-6))</f>
        <v>390.11599999999999</v>
      </c>
      <c r="K2121" s="17">
        <f>IF(A2126=A2127,_xll.ciqfunctions.udf.CIQ(A2118,"IQ_CAPEX",IQ_FY-7), _xll.ciqfunctions.udf.CIQ(A2118, "IQ_CAPEX",IQ_FY-6))</f>
        <v>-120.4</v>
      </c>
      <c r="L2121" s="15">
        <f t="shared" si="564"/>
        <v>3.6735538878522491</v>
      </c>
      <c r="M2121" s="17">
        <f>IF(A2126=A2127,_xll.ciqfunctions.udf.CIQ(A2118,"IQ_TOTAL_DEBT_ISSUED",IQ_FY-7), _xll.ciqfunctions.udf.CIQ(A2118, "IQ_TOTAL_DEBT_ISSUED",IQ_FY-6))</f>
        <v>2962.45</v>
      </c>
      <c r="N2121" s="17">
        <f>IF(A2126=A2127,_xll.ciqfunctions.udf.CIQ(A2118,"IQ_TOTAL_DEBT_REPAID",IQ_FY-7), _xll.ciqfunctions.udf.CIQ(A2118, "IQ_TOTAL_DEBT_REPAID",IQ_FY-6))</f>
        <v>-3069.846</v>
      </c>
      <c r="O2121" s="15">
        <f t="shared" si="565"/>
        <v>-1.4627422671987602</v>
      </c>
      <c r="P2121" s="15">
        <f t="shared" si="566"/>
        <v>2.2108116206534891</v>
      </c>
      <c r="Q2121" s="25" t="s">
        <v>23</v>
      </c>
      <c r="R2121" s="38" t="s">
        <v>24</v>
      </c>
      <c r="S2121" s="1" t="e">
        <f>R2117/(AVERAGE(H2123:H2128)*(1+H2129)/(0.5-H2129))</f>
        <v>#DIV/0!</v>
      </c>
      <c r="U2121" s="25" t="s">
        <v>40</v>
      </c>
      <c r="V2121" s="38" t="s">
        <v>24</v>
      </c>
      <c r="W2121" s="1" t="e">
        <f>V2117/(AVERAGE(H2123:H2128)*(1+H2129)/(0.5-H2129))</f>
        <v>#DIV/0!</v>
      </c>
      <c r="Y2121" s="25" t="s">
        <v>47</v>
      </c>
      <c r="Z2121" s="38" t="s">
        <v>24</v>
      </c>
      <c r="AA2121" s="1" t="e">
        <f>Z2117/(AVERAGE(H2123:H2128)*(1+H2129)/(0.5-H2129))</f>
        <v>#DIV/0!</v>
      </c>
    </row>
    <row r="2122" spans="1:27">
      <c r="B2122" s="13">
        <v>5</v>
      </c>
      <c r="C2122" s="14" t="s">
        <v>25</v>
      </c>
      <c r="D2122" s="15" cm="1">
        <f t="array" ref="D2122">_xlfn.SINGLE(IF(A2126=A2127,_xll.ciqfunctions.udf.CIQ(A2118,"IQ_TOTAL_REV",IQ_FY-6)/I2122, _xll.ciqfunctions.udf.CIQ(A2118, "IQ_TOTAL_REV",IQ_FY-5)/I2122))</f>
        <v>95.369961280619279</v>
      </c>
      <c r="E2122" s="16">
        <f t="shared" si="567"/>
        <v>8.0383023894001593E-2</v>
      </c>
      <c r="F2122" s="15">
        <f>IF(A2126=A2127,_xll.ciqfunctions.udf.CIQ(A2118,"IQ_DILUT_EPS_EXCL",IQ_FY-6), _xll.ciqfunctions.udf.CIQ(A2118, "IQ_DILUT_EPS_EXCL",IQ_FY-5))</f>
        <v>1.78</v>
      </c>
      <c r="G2122" s="15">
        <f>IF(A2126=A2127,_xll.ciqfunctions.udf.CIQ(A2118,"IQ_EBITDA_MARGIN",IQ_FY-6), _xll.ciqfunctions.udf.CIQ(A2118, "IQ_EBITDA_MARGIN",IQ_FY-5))</f>
        <v>5.0454999999999997</v>
      </c>
      <c r="H2122" s="15">
        <f>IF(A2126=A2127,_xll.ciqfunctions.udf.CIQ(A2118,"IQ_TOTAL_DIV_PAID_CF",IQ_FY-6)/-I2122, _xll.ciqfunctions.udf.CIQ(A2118, "IQ_TOTAL_DIV_PAID_CF",IQ_FY-5)/-I2122)</f>
        <v>0</v>
      </c>
      <c r="I2122" s="17">
        <f>IF(A2126=A2127,_xll.ciqfunctions.udf.CIQ(A2118,"IQ_TOTAL_OUTSTANDING_FILING_DATE",IQ_FY-6), _xll.ciqfunctions.udf.CIQ(A2118, "IQ_TOTAL_OUTSTANDING_FILING_DATE",IQ_FY-5))</f>
        <v>72.020780000000002</v>
      </c>
      <c r="J2122" s="17">
        <f>IF(A2126=A2127,_xll.ciqfunctions.udf.CIQ(A2118,"IQ_CASH_OPER",IQ_FY-6), _xll.ciqfunctions.udf.CIQ(A2118, "IQ_CASH_OPER",IQ_FY-5))</f>
        <v>250.96100000000001</v>
      </c>
      <c r="K2122" s="17">
        <f>IF(A2126=A2127,_xll.ciqfunctions.udf.CIQ(A2118,"IQ_CAPEX",IQ_FY-6), _xll.ciqfunctions.udf.CIQ(A2118, "IQ_CAPEX",IQ_FY-5))</f>
        <v>-111.833</v>
      </c>
      <c r="L2122" s="15">
        <f t="shared" si="564"/>
        <v>1.9317758013728816</v>
      </c>
      <c r="M2122" s="17">
        <f>IF(A2126=A2127,_xll.ciqfunctions.udf.CIQ(A2118,"IQ_TOTAL_DEBT_ISSUED",IQ_FY-6), _xll.ciqfunctions.udf.CIQ(A2118, "IQ_TOTAL_DEBT_ISSUED",IQ_FY-5))</f>
        <v>932.77</v>
      </c>
      <c r="N2122" s="17">
        <f>IF(A2126=A2127,_xll.ciqfunctions.udf.CIQ(A2118,"IQ_TOTAL_DEBT_REPAID",IQ_FY-6), _xll.ciqfunctions.udf.CIQ(A2118, "IQ_TOTAL_DEBT_REPAID",IQ_FY-5))</f>
        <v>-916.18600000000004</v>
      </c>
      <c r="O2122" s="15">
        <f t="shared" si="565"/>
        <v>0.230266875754469</v>
      </c>
      <c r="P2122" s="15">
        <f t="shared" si="566"/>
        <v>2.1620426771273507</v>
      </c>
      <c r="Q2122" s="18"/>
      <c r="R2122" s="38" t="s">
        <v>50</v>
      </c>
      <c r="S2122" s="3">
        <f>I2129</f>
        <v>-3.5971258044638521E-2</v>
      </c>
      <c r="U2122" s="18"/>
      <c r="V2122" s="38" t="s">
        <v>50</v>
      </c>
      <c r="W2122" s="3">
        <f>I2129</f>
        <v>-3.5971258044638521E-2</v>
      </c>
      <c r="Y2122" s="18"/>
      <c r="Z2122" s="38" t="s">
        <v>50</v>
      </c>
      <c r="AA2122" s="3">
        <f>I2129</f>
        <v>-3.5971258044638521E-2</v>
      </c>
    </row>
    <row r="2123" spans="1:27">
      <c r="B2123" s="13">
        <v>6</v>
      </c>
      <c r="C2123" s="14" t="s">
        <v>26</v>
      </c>
      <c r="D2123" s="15" cm="1">
        <f t="array" ref="D2123">_xlfn.SINGLE(IF(A2126=A2127,_xll.ciqfunctions.udf.CIQ(A2118,"IQ_TOTAL_REV",IQ_FY-5)/I2123, _xll.ciqfunctions.udf.CIQ(A2118, "IQ_TOTAL_REV",IQ_FY-4)/I2123))</f>
        <v>104.15523445925378</v>
      </c>
      <c r="E2123" s="16">
        <f t="shared" si="567"/>
        <v>9.2117822642125868E-2</v>
      </c>
      <c r="F2123" s="15">
        <f>IF(A2126=A2127,_xll.ciqfunctions.udf.CIQ(A2118,"IQ_DILUT_EPS_EXCL",IQ_FY-5), _xll.ciqfunctions.udf.CIQ(A2118, "IQ_DILUT_EPS_EXCL",IQ_FY-4))</f>
        <v>-1.37</v>
      </c>
      <c r="G2123" s="15">
        <f>IF(A2126=A2127,_xll.ciqfunctions.udf.CIQ(A2118,"IQ_EBITDA_MARGIN",IQ_FY-5), _xll.ciqfunctions.udf.CIQ(A2118, "IQ_EBITDA_MARGIN",IQ_FY-4))</f>
        <v>4.1913999999999998</v>
      </c>
      <c r="H2123" s="15">
        <f>IF(A2126=A2127,_xll.ciqfunctions.udf.CIQ(A2118,"IQ_TOTAL_DIV_PAID_CF",IQ_FY-5)/-I2123, _xll.ciqfunctions.udf.CIQ(A2118, "IQ_TOTAL_DIV_PAID_CF",IQ_FY-4)/-I2123)</f>
        <v>0</v>
      </c>
      <c r="I2123" s="17">
        <f>IF(A2126=A2127,_xll.ciqfunctions.udf.CIQ(A2118,"IQ_TOTAL_OUTSTANDING_FILING_DATE",IQ_FY-5), _xll.ciqfunctions.udf.CIQ(A2118, "IQ_TOTAL_OUTSTANDING_FILING_DATE",IQ_FY-4))</f>
        <v>68.264740000000003</v>
      </c>
      <c r="J2123" s="17">
        <f>IF(A2126=A2127,_xll.ciqfunctions.udf.CIQ(A2118,"IQ_CASH_OPER",IQ_FY-5), _xll.ciqfunctions.udf.CIQ(A2118, "IQ_CASH_OPER",IQ_FY-4))</f>
        <v>156.42400000000001</v>
      </c>
      <c r="K2123" s="17">
        <f>IF(A2126=A2127,_xll.ciqfunctions.udf.CIQ(A2118,"IQ_CAPEX",IQ_FY-5), _xll.ciqfunctions.udf.CIQ(A2118, "IQ_CAPEX",IQ_FY-4))</f>
        <v>-118.881</v>
      </c>
      <c r="L2123" s="15">
        <f t="shared" si="564"/>
        <v>0.54996181044562686</v>
      </c>
      <c r="M2123" s="17">
        <f>IF(A2126=A2127,_xll.ciqfunctions.udf.CIQ(A2118,"IQ_TOTAL_DEBT_ISSUED",IQ_FY-5), _xll.ciqfunctions.udf.CIQ(A2118, "IQ_TOTAL_DEBT_ISSUED",IQ_FY-4))</f>
        <v>4040.6</v>
      </c>
      <c r="N2123" s="17">
        <f>IF(A2126=A2127,_xll.ciqfunctions.udf.CIQ(A2118,"IQ_TOTAL_DEBT_REPAID",IQ_FY-5), _xll.ciqfunctions.udf.CIQ(A2118, "IQ_TOTAL_DEBT_REPAID",IQ_FY-4))</f>
        <v>-3914.0160000000001</v>
      </c>
      <c r="O2123" s="15">
        <f t="shared" si="565"/>
        <v>1.8543101460578306</v>
      </c>
      <c r="P2123" s="15">
        <f t="shared" si="566"/>
        <v>2.4042719565034574</v>
      </c>
      <c r="Q2123" s="25" t="s">
        <v>27</v>
      </c>
      <c r="R2123" s="38" t="s">
        <v>51</v>
      </c>
      <c r="S2123" s="4">
        <f>AVERAGE(F2123:F2128)/AVERAGE(D2123:D2128)</f>
        <v>2.0853638537116123E-2</v>
      </c>
      <c r="U2123" s="25" t="s">
        <v>58</v>
      </c>
      <c r="V2123" s="38" t="s">
        <v>51</v>
      </c>
      <c r="W2123" s="4">
        <f>AVERAGE(F2123:F2128)/AVERAGE(D2123:D2128)</f>
        <v>2.0853638537116123E-2</v>
      </c>
      <c r="Y2123" s="25" t="s">
        <v>56</v>
      </c>
      <c r="Z2123" s="38" t="s">
        <v>51</v>
      </c>
      <c r="AA2123" s="4">
        <f>AVERAGE(F2123:F2128)/AVERAGE(D2123:D2128)</f>
        <v>2.0853638537116123E-2</v>
      </c>
    </row>
    <row r="2124" spans="1:27">
      <c r="A2124" s="18"/>
      <c r="B2124" s="13">
        <v>7</v>
      </c>
      <c r="C2124" s="14" t="s">
        <v>28</v>
      </c>
      <c r="D2124" s="15" cm="1">
        <f t="array" ref="D2124">_xlfn.SINGLE(IF(A2126=A2127,_xll.ciqfunctions.udf.CIQ(A2118,"IQ_TOTAL_REV",IQ_FY-4)/I2124, _xll.ciqfunctions.udf.CIQ(A2118, "IQ_TOTAL_REV",IQ_FY-3)/I2124))</f>
        <v>117.66535309070476</v>
      </c>
      <c r="E2124" s="16">
        <f t="shared" si="567"/>
        <v>0.12971137458037432</v>
      </c>
      <c r="F2124" s="15">
        <f>IF(A2126=A2127,_xll.ciqfunctions.udf.CIQ(A2118,"IQ_DILUT_EPS_EXCL",IQ_FY-4), _xll.ciqfunctions.udf.CIQ(A2118, "IQ_DILUT_EPS_EXCL",IQ_FY-3))</f>
        <v>1.97</v>
      </c>
      <c r="G2124" s="15">
        <f>IF(A2126=A2127,_xll.ciqfunctions.udf.CIQ(A2118,"IQ_EBITDA_MARGIN",IQ_FY-4), _xll.ciqfunctions.udf.CIQ(A2118, "IQ_EBITDA_MARGIN",IQ_FY-3))</f>
        <v>5.0621999999999998</v>
      </c>
      <c r="H2124" s="15">
        <f>IF(A2126=A2127,_xll.ciqfunctions.udf.CIQ(A2118,"IQ_TOTAL_DIV_PAID_CF",IQ_FY-4)/-I2124, _xll.ciqfunctions.udf.CIQ(A2118, "IQ_TOTAL_DIV_PAID_CF",IQ_FY-3)/-I2124)</f>
        <v>0</v>
      </c>
      <c r="I2124" s="17">
        <f>IF(A2126=A2127,_xll.ciqfunctions.udf.CIQ(A2118,"IQ_TOTAL_OUTSTANDING_FILING_DATE",IQ_FY-4), _xll.ciqfunctions.udf.CIQ(A2118, "IQ_TOTAL_OUTSTANDING_FILING_DATE",IQ_FY-3))</f>
        <v>69.976920000000007</v>
      </c>
      <c r="J2124" s="17">
        <f>IF(A2126=A2127,_xll.ciqfunctions.udf.CIQ(A2118,"IQ_CASH_OPER",IQ_FY-4), _xll.ciqfunctions.udf.CIQ(A2118, "IQ_CASH_OPER",IQ_FY-3))</f>
        <v>382.96499999999997</v>
      </c>
      <c r="K2124" s="17">
        <f>IF(A2126=A2127,_xll.ciqfunctions.udf.CIQ(A2118,"IQ_CAPEX",IQ_FY-4), _xll.ciqfunctions.udf.CIQ(A2118, "IQ_CAPEX",IQ_FY-3))</f>
        <v>-134.67400000000001</v>
      </c>
      <c r="L2124" s="15">
        <f t="shared" si="564"/>
        <v>3.5481841727243775</v>
      </c>
      <c r="M2124" s="17">
        <f>IF(A2126=A2127,_xll.ciqfunctions.udf.CIQ(A2118,"IQ_TOTAL_DEBT_ISSUED",IQ_FY-4), _xll.ciqfunctions.udf.CIQ(A2118, "IQ_TOTAL_DEBT_ISSUED",IQ_FY-3))</f>
        <v>4259.3249999999998</v>
      </c>
      <c r="N2124" s="17">
        <f>IF(A2126=A2127,_xll.ciqfunctions.udf.CIQ(A2118,"IQ_TOTAL_DEBT_REPAID",IQ_FY-4), _xll.ciqfunctions.udf.CIQ(A2118, "IQ_TOTAL_DEBT_REPAID",IQ_FY-3))</f>
        <v>-4477.741</v>
      </c>
      <c r="O2124" s="15">
        <f t="shared" si="565"/>
        <v>-3.1212576946799051</v>
      </c>
      <c r="P2124" s="15">
        <f t="shared" si="566"/>
        <v>0.42692647804447237</v>
      </c>
      <c r="Q2124" s="18"/>
      <c r="R2124" s="38" t="s">
        <v>29</v>
      </c>
      <c r="S2124" s="4">
        <f>(AVERAGE(P2123:P2128)/_xlfn.STDEV.P(P2123:P2128))/(IF(A2126=A2127,(_xlfn.SINGLE(_xll.ciqfunctions.udf.CIQ(A2118,"IQ_total_assets",IQ_FY)) - _xlfn.SINGLE(_xll.ciqfunctions.udf.CIQ(A2118,"iq_gw_intan", IQ_FY)))/I2128, (_xlfn.SINGLE(_xll.ciqfunctions.udf.CIQ(A2118, "IQ_total_assets",IQ_LTM))-_xlfn.SINGLE(_xll.ciqfunctions.udf.CIQ(A2118,"iq_gw_intan",IQ_LTM)))/I2128))</f>
        <v>1.9975502594037395E-2</v>
      </c>
      <c r="U2124" s="18"/>
      <c r="V2124" s="38" t="s">
        <v>29</v>
      </c>
      <c r="W2124" s="4">
        <f>(AVERAGE(P2123:P2128)/_xlfn.STDEV.P(P2123:P2128))/(IF(A2126=A2127,(_xlfn.SINGLE(_xll.ciqfunctions.udf.CIQ(A2118,"IQ_total_assets",IQ_FY)) - _xlfn.SINGLE(_xll.ciqfunctions.udf.CIQ(A2118,"iq_gw_intan", IQ_FY)))/I2128, (_xlfn.SINGLE(_xll.ciqfunctions.udf.CIQ(A2118, "IQ_total_assets",IQ_LTM))-_xlfn.SINGLE(_xll.ciqfunctions.udf.CIQ(A2118,"iq_gw_intan",IQ_LTM)))/I2128))</f>
        <v>1.9975502594037395E-2</v>
      </c>
      <c r="Y2124" s="18"/>
      <c r="Z2124" s="38" t="s">
        <v>29</v>
      </c>
      <c r="AA2124" s="4">
        <f>(AVERAGE(P2123:P2128)/_xlfn.STDEV.P(P2123:P2128))/(IF(A2126=A2127,(_xlfn.SINGLE(_xll.ciqfunctions.udf.CIQ(A2118,"IQ_total_assets",IQ_FY)) - _xlfn.SINGLE(_xll.ciqfunctions.udf.CIQ(A2118,"iq_gw_intan", IQ_FY)))/I2128, (_xlfn.SINGLE(_xll.ciqfunctions.udf.CIQ(A2118, "IQ_total_assets",IQ_LTM))-_xlfn.SINGLE(_xll.ciqfunctions.udf.CIQ(A2118,"iq_gw_intan",IQ_LTM)))/I2128))</f>
        <v>1.9975502594037395E-2</v>
      </c>
    </row>
    <row r="2125" spans="1:27">
      <c r="A2125" s="18"/>
      <c r="B2125" s="13">
        <v>8</v>
      </c>
      <c r="C2125" s="14" t="s">
        <v>30</v>
      </c>
      <c r="D2125" s="15" cm="1">
        <f t="array" ref="D2125">_xlfn.SINGLE(IF(A2126=A2127,_xll.ciqfunctions.udf.CIQ(A2118,"IQ_TOTAL_REV",IQ_FY-3)/I2125, _xll.ciqfunctions.udf.CIQ(A2118, "IQ_TOTAL_REV",IQ_FY-2)/I2125))</f>
        <v>106.81843959989931</v>
      </c>
      <c r="E2125" s="16">
        <f t="shared" si="567"/>
        <v>-9.2184429875835097E-2</v>
      </c>
      <c r="F2125" s="15">
        <f>IF(A2126=A2127,_xll.ciqfunctions.udf.CIQ(A2118,"IQ_DILUT_EPS_EXCL",IQ_FY-3), _xll.ciqfunctions.udf.CIQ(A2118, "IQ_DILUT_EPS_EXCL",IQ_FY-2))</f>
        <v>1.88</v>
      </c>
      <c r="G2125" s="15">
        <f>IF(A2126=A2127,_xll.ciqfunctions.udf.CIQ(A2118,"IQ_EBITDA_MARGIN",IQ_FY-3), _xll.ciqfunctions.udf.CIQ(A2118, "IQ_EBITDA_MARGIN",IQ_FY-2))</f>
        <v>5.2767999999999997</v>
      </c>
      <c r="H2125" s="15">
        <f>IF(A2126=A2127,_xll.ciqfunctions.udf.CIQ(A2118,"IQ_TOTAL_DIV_PAID_CF",IQ_FY-3)/-I2125, _xll.ciqfunctions.udf.CIQ(A2118, "IQ_TOTAL_DIV_PAID_CF",IQ_FY-2)/-I2125)</f>
        <v>0</v>
      </c>
      <c r="I2125" s="17">
        <f>IF(A2126=A2127,_xll.ciqfunctions.udf.CIQ(A2118,"IQ_TOTAL_OUTSTANDING_FILING_DATE",IQ_FY-3), _xll.ciqfunctions.udf.CIQ(A2118, "IQ_TOTAL_OUTSTANDING_FILING_DATE",IQ_FY-2))</f>
        <v>65.065619999999996</v>
      </c>
      <c r="J2125" s="17">
        <f>IF(A2126=A2127,_xll.ciqfunctions.udf.CIQ(A2118,"IQ_CASH_OPER",IQ_FY-3), _xll.ciqfunctions.udf.CIQ(A2118, "IQ_CASH_OPER",IQ_FY-2))</f>
        <v>300.55500000000001</v>
      </c>
      <c r="K2125" s="17">
        <f>IF(A2126=A2127,_xll.ciqfunctions.udf.CIQ(A2118,"IQ_CAPEX",IQ_FY-3), _xll.ciqfunctions.udf.CIQ(A2118, "IQ_CAPEX",IQ_FY-2))</f>
        <v>-65.981999999999999</v>
      </c>
      <c r="L2125" s="15">
        <f t="shared" si="564"/>
        <v>3.6051758209635136</v>
      </c>
      <c r="M2125" s="17">
        <f>IF(A2126=A2127,_xll.ciqfunctions.udf.CIQ(A2118,"IQ_TOTAL_DEBT_ISSUED",IQ_FY-3), _xll.ciqfunctions.udf.CIQ(A2118, "IQ_TOTAL_DEBT_ISSUED",IQ_FY-2))</f>
        <v>1909</v>
      </c>
      <c r="N2125" s="17">
        <f>IF(A2126=A2127,_xll.ciqfunctions.udf.CIQ(A2118,"IQ_TOTAL_DEBT_REPAID",IQ_FY-3), _xll.ciqfunctions.udf.CIQ(A2118, "IQ_TOTAL_DEBT_REPAID",IQ_FY-2))</f>
        <v>-1948.048</v>
      </c>
      <c r="O2125" s="15">
        <f t="shared" si="565"/>
        <v>-0.6001326045921026</v>
      </c>
      <c r="P2125" s="15">
        <f t="shared" si="566"/>
        <v>3.0050432163714111</v>
      </c>
      <c r="Q2125" s="18"/>
      <c r="R2125" s="39" t="s">
        <v>31</v>
      </c>
      <c r="S2125" s="5">
        <f>IF(NOT(D2118&gt;0),FALSE,SLOPE(G2118:G2128,B2118:B2128))</f>
        <v>0.15103272727272726</v>
      </c>
      <c r="U2125" s="18"/>
      <c r="V2125" s="39" t="s">
        <v>31</v>
      </c>
      <c r="W2125" s="5">
        <f>IF(NOT(D2118&gt;0),FALSE,SLOPE(G2118:G2128,B2118:B2128))</f>
        <v>0.15103272727272726</v>
      </c>
      <c r="Y2125" s="18"/>
      <c r="Z2125" s="39" t="s">
        <v>31</v>
      </c>
      <c r="AA2125" s="5">
        <f>IF(NOT(L2118&gt;0),FALSE,SLOPE(O2118:O2128,J2118:J2128))</f>
        <v>-1.2973200217744179E-2</v>
      </c>
    </row>
    <row r="2126" spans="1:27">
      <c r="A2126" s="19">
        <f>_xll.ciqfunctions.udf.CIQ(A2118,"IQ_TOTAL_REV",IQ_FY)</f>
        <v>8935.0480000000007</v>
      </c>
      <c r="B2126" s="13">
        <v>9</v>
      </c>
      <c r="C2126" s="14" t="s">
        <v>32</v>
      </c>
      <c r="D2126" s="15" cm="1">
        <f t="array" ref="D2126">_xlfn.SINGLE(IF(A2126=A2127,_xll.ciqfunctions.udf.CIQ(A2118,"IQ_TOTAL_REV",IQ_FY-2)/I2126, _xll.ciqfunctions.udf.CIQ(A2118, "IQ_TOTAL_REV",IQ_FY-1)/I2126))</f>
        <v>104.67064584652067</v>
      </c>
      <c r="E2126" s="16">
        <f t="shared" si="567"/>
        <v>-2.0106956827149351E-2</v>
      </c>
      <c r="F2126" s="15">
        <f>IF(A2126=A2127,_xll.ciqfunctions.udf.CIQ(A2118,"IQ_DILUT_EPS_EXCL",IQ_FY-2), _xll.ciqfunctions.udf.CIQ(A2118, "IQ_DILUT_EPS_EXCL",IQ_FY-1))</f>
        <v>3.72</v>
      </c>
      <c r="G2126" s="15">
        <f>IF(A2126=A2127,_xll.ciqfunctions.udf.CIQ(A2118,"IQ_EBITDA_MARGIN",IQ_FY-2), _xll.ciqfunctions.udf.CIQ(A2118, "IQ_EBITDA_MARGIN",IQ_FY-1))</f>
        <v>5.6489000000000003</v>
      </c>
      <c r="H2126" s="15">
        <f>IF(A2126=A2127,_xll.ciqfunctions.udf.CIQ(A2118,"IQ_TOTAL_DIV_PAID_CF",IQ_FY-2)/-I2126, _xll.ciqfunctions.udf.CIQ(A2118, "IQ_TOTAL_DIV_PAID_CF",IQ_FY-1)/-I2126)</f>
        <v>0</v>
      </c>
      <c r="I2126" s="17">
        <f>IF(A2126=A2127,_xll.ciqfunctions.udf.CIQ(A2118,"IQ_TOTAL_OUTSTANDING_FILING_DATE",IQ_FY-2), _xll.ciqfunctions.udf.CIQ(A2118, "IQ_TOTAL_OUTSTANDING_FILING_DATE",IQ_FY-1))</f>
        <v>64.376750000000001</v>
      </c>
      <c r="J2126" s="17">
        <f>IF(A2126=A2127,_xll.ciqfunctions.udf.CIQ(A2118,"IQ_CASH_OPER",IQ_FY-2), _xll.ciqfunctions.udf.CIQ(A2118, "IQ_CASH_OPER",IQ_FY-1))</f>
        <v>338.34199999999998</v>
      </c>
      <c r="K2126" s="17">
        <f>IF(A2126=A2127,_xll.ciqfunctions.udf.CIQ(A2118,"IQ_CAPEX",IQ_FY-2), _xll.ciqfunctions.udf.CIQ(A2118, "IQ_CAPEX",IQ_FY-1))</f>
        <v>-73.296000000000006</v>
      </c>
      <c r="L2126" s="15">
        <f t="shared" si="564"/>
        <v>4.1171074961069021</v>
      </c>
      <c r="M2126" s="17">
        <f>IF(A2126=A2127,_xll.ciqfunctions.udf.CIQ(A2118,"IQ_TOTAL_DEBT_ISSUED",IQ_FY-2), _xll.ciqfunctions.udf.CIQ(A2118, "IQ_TOTAL_DEBT_ISSUED",IQ_FY-1))</f>
        <v>399.6</v>
      </c>
      <c r="N2126" s="17">
        <f>IF(A2126=A2127,_xll.ciqfunctions.udf.CIQ(A2118,"IQ_TOTAL_DEBT_REPAID",IQ_FY-2), _xll.ciqfunctions.udf.CIQ(A2118, "IQ_TOTAL_DEBT_REPAID",IQ_FY-1))</f>
        <v>-418.35199999999998</v>
      </c>
      <c r="O2126" s="15">
        <f t="shared" si="565"/>
        <v>-0.29128528544855015</v>
      </c>
      <c r="P2126" s="15">
        <f t="shared" si="566"/>
        <v>3.8258222106583517</v>
      </c>
      <c r="Q2126" s="25" t="s">
        <v>33</v>
      </c>
      <c r="R2126" s="38" t="s">
        <v>52</v>
      </c>
      <c r="S2126" s="4">
        <f>(AVERAGE(O2123:O2128)/AVERAGE(P2123:P2128))</f>
        <v>-0.14500595406278857</v>
      </c>
      <c r="U2126" s="25" t="s">
        <v>54</v>
      </c>
      <c r="V2126" s="38" t="s">
        <v>52</v>
      </c>
      <c r="W2126" s="4">
        <f>(AVERAGE(O2123:O2128)/AVERAGE(P2123:P2128))</f>
        <v>-0.14500595406278857</v>
      </c>
      <c r="Y2126" s="25" t="s">
        <v>60</v>
      </c>
      <c r="Z2126" s="38" t="s">
        <v>52</v>
      </c>
      <c r="AA2126" s="4">
        <f>(AVERAGE(O2123:O2128)/AVERAGE(P2123:P2128))</f>
        <v>-0.14500595406278857</v>
      </c>
    </row>
    <row r="2127" spans="1:27">
      <c r="A2127" s="19">
        <f>_xll.ciqfunctions.udf.CIQ(A2118,"IQ_TOTAL_REV",IQ_LTM)</f>
        <v>8935.0480000000007</v>
      </c>
      <c r="B2127" s="13">
        <v>10</v>
      </c>
      <c r="C2127" s="14" t="s">
        <v>34</v>
      </c>
      <c r="D2127" s="15" cm="1">
        <f t="array" ref="D2127">_xlfn.SINGLE(IF(A2126=A2127,_xll.ciqfunctions.udf.CIQ(A2118,"IQ_TOTAL_REV",IQ_FY-1)/I2127, _xll.ciqfunctions.udf.CIQ(A2118, "IQ_TOTAL_REV",IQ_FY)/I2127))</f>
        <v>137.90110764948881</v>
      </c>
      <c r="E2127" s="16">
        <f t="shared" si="567"/>
        <v>0.31747641885858052</v>
      </c>
      <c r="F2127" s="15">
        <f>IF(A2126=A2127,_xll.ciqfunctions.udf.CIQ(A2118,"IQ_DILUT_EPS_EXCL",IQ_FY-1), _xll.ciqfunctions.udf.CIQ(A2118, "IQ_DILUT_EPS_EXCL",IQ_FY))</f>
        <v>3.81</v>
      </c>
      <c r="G2127" s="15">
        <f>IF(A2126=A2127,_xll.ciqfunctions.udf.CIQ(A2118,"IQ_EBITDA_MARGIN",IQ_FY-1), _xll.ciqfunctions.udf.CIQ(A2118, "IQ_EBITDA_MARGIN",IQ_FY))</f>
        <v>5.8472</v>
      </c>
      <c r="H2127" s="15">
        <f>IF(A2126=A2127,_xll.ciqfunctions.udf.CIQ(A2118,"IQ_TOTAL_DIV_PAID_CF",IQ_FY-1)/-I2127, _xll.ciqfunctions.udf.CIQ(A2118, "IQ_TOTAL_DIV_PAID_CF",IQ_FY)/-I2127)</f>
        <v>0</v>
      </c>
      <c r="I2127" s="17">
        <f>IF(A2126=A2127,_xll.ciqfunctions.udf.CIQ(A2118,"IQ_TOTAL_OUTSTANDING_FILING_DATE",IQ_FY-1), _xll.ciqfunctions.udf.CIQ(A2118, "IQ_TOTAL_OUTSTANDING_FILING_DATE",IQ_FY))</f>
        <v>57.429720000000003</v>
      </c>
      <c r="J2127" s="17">
        <f>IF(A2126=A2127,_xll.ciqfunctions.udf.CIQ(A2118,"IQ_CASH_OPER",IQ_FY-1), _xll.ciqfunctions.udf.CIQ(A2118, "IQ_CASH_OPER",IQ_FY))</f>
        <v>330.85399999999998</v>
      </c>
      <c r="K2127" s="17">
        <f>IF(A2126=A2127,_xll.ciqfunctions.udf.CIQ(A2118,"IQ_CAPEX",IQ_FY-1), _xll.ciqfunctions.udf.CIQ(A2118, "IQ_CAPEX",IQ_FY))</f>
        <v>-138.63900000000001</v>
      </c>
      <c r="L2127" s="15">
        <f t="shared" si="564"/>
        <v>3.3469604239755997</v>
      </c>
      <c r="M2127" s="17">
        <f>IF(A2126=A2127,_xll.ciqfunctions.udf.CIQ(A2118,"IQ_TOTAL_DEBT_ISSUED",IQ_FY-1), _xll.ciqfunctions.udf.CIQ(A2118, "IQ_TOTAL_DEBT_ISSUED",IQ_FY))</f>
        <v>2224</v>
      </c>
      <c r="N2127" s="17">
        <f>IF(A2126=A2127,_xll.ciqfunctions.udf.CIQ(A2118,"IQ_TOTAL_DEBT_REPAID",IQ_FY-1), _xll.ciqfunctions.udf.CIQ(A2118, "IQ_TOTAL_DEBT_REPAID",IQ_FY))</f>
        <v>-2206.8139999999999</v>
      </c>
      <c r="O2127" s="15">
        <f t="shared" si="565"/>
        <v>0.299252721413236</v>
      </c>
      <c r="P2127" s="15">
        <f t="shared" si="566"/>
        <v>3.6462131453888356</v>
      </c>
      <c r="Q2127" s="25" t="s">
        <v>44</v>
      </c>
      <c r="R2127" s="38" t="s">
        <v>35</v>
      </c>
      <c r="S2127" s="1">
        <f>_xll.ciqfunctions.udf.CIQ(A2118,"IQ_TEV_EBITDA")</f>
        <v>4.4400500000000003</v>
      </c>
      <c r="U2127" s="25" t="s">
        <v>55</v>
      </c>
      <c r="V2127" s="38" t="s">
        <v>53</v>
      </c>
      <c r="W2127" s="1">
        <f>V2117/(AVERAGE(D2123:D2128)/_xlfn.STDEV.P(E2123:E2128))</f>
        <v>5.3332601405360877E-2</v>
      </c>
      <c r="Y2127" s="25" t="s">
        <v>57</v>
      </c>
      <c r="Z2127" s="38" t="s">
        <v>53</v>
      </c>
      <c r="AA2127" s="1">
        <f>Z2117/(AVERAGE(D2123:D2128)/_xlfn.STDEV.P(E2123:E2128))</f>
        <v>5.3332601405360877E-2</v>
      </c>
    </row>
    <row r="2128" spans="1:27">
      <c r="B2128" s="13">
        <v>11</v>
      </c>
      <c r="C2128" s="20" t="s">
        <v>36</v>
      </c>
      <c r="D2128" s="21" cm="1">
        <f t="array" ref="D2128">_xlfn.SINGLE(IF(A2126=A2127,_xll.ciqfunctions.udf.CIQ(A2118,"IQ_TOTAL_REV",IQ_FY)/I2128, _xll.ciqfunctions.udf.CIQ(A2118, "IQ_TOTAL_REV",IQ_LTM)/I2128))</f>
        <v>157.19927465283953</v>
      </c>
      <c r="E2128" s="22">
        <f t="shared" si="567"/>
        <v>0.13994207394187139</v>
      </c>
      <c r="F2128" s="21">
        <f>IF(A2126=A2127,_xll.ciqfunctions.udf.CIQ(A2118,"IQ_DILUT_EPS_EXCL",IQ_FY), _xll.ciqfunctions.udf.CIQ(A2118, "IQ_DILUT_EPS_EXCL",IQ_LTM))</f>
        <v>5.18</v>
      </c>
      <c r="G2128" s="21">
        <f>IF(A2126=A2127,_xll.ciqfunctions.udf.CIQ(A2118,"IQ_EBITDA_MARGIN",IQ_FY), _xll.ciqfunctions.udf.CIQ(A2118, "IQ_EBITDA_MARGIN",IQ_LTM))</f>
        <v>6.4907000000000004</v>
      </c>
      <c r="H2128" s="21">
        <f>IF(A2126=A2127,_xll.ciqfunctions.udf.CIQ(A2118,"IQ_TOTAL_DIV_PAID_CF",IQ_FY)/-I2128, _xll.ciqfunctions.udf.CIQ(A2118, "IQ_TOTAL_DIV_PAID_CF",IQ_LTM)/-I2128)</f>
        <v>0</v>
      </c>
      <c r="I2128" s="23">
        <f>IF(A2126=A2127,_xll.ciqfunctions.udf.CIQ(A2118,"IQ_TOTAL_OUTSTANDING_FILING_DATE",IQ_FY),_xll.ciqfunctions.udf.CIQ(A2118,"IQ_sharesoutstanding"))</f>
        <v>56.838990000000003</v>
      </c>
      <c r="J2128" s="23">
        <f>IF(A2126=A2127,_xll.ciqfunctions.udf.CIQ(A2118,"IQ_CASH_OPER",IQ_FY), _xll.ciqfunctions.udf.CIQ(A2118, "IQ_CASH_OPER",IQ_LTM))</f>
        <v>235.16800000000001</v>
      </c>
      <c r="K2128" s="23">
        <f>IF(A2126=A2127,_xll.ciqfunctions.udf.CIQ(A2118,"IQ_CAPEX",IQ_FY), _xll.ciqfunctions.udf.CIQ(A2118, "IQ_CAPEX",IQ_LTM))</f>
        <v>-191.36699999999999</v>
      </c>
      <c r="L2128" s="21">
        <f t="shared" si="564"/>
        <v>0.77061538215228687</v>
      </c>
      <c r="M2128" s="23">
        <f>IF(A2126=A2127,_xll.ciqfunctions.udf.CIQ(A2118,"IQ_TOTAL_DEBT_ISSUED",IQ_FY), _xll.ciqfunctions.udf.CIQ(A2118, "IQ_TOTAL_DEBT_ISSUED",IQ_LTM))</f>
        <v>2989.2449999999999</v>
      </c>
      <c r="N2128" s="23">
        <f>IF(A2126=A2127,_xll.ciqfunctions.udf.CIQ(A2118,"IQ_TOTAL_DEBT_REPAID",IQ_FY), _xll.ciqfunctions.udf.CIQ(A2118, "IQ_TOTAL_DEBT_REPAID",IQ_LTM))</f>
        <v>-2998.3</v>
      </c>
      <c r="O2128" s="21">
        <f t="shared" si="565"/>
        <v>-0.1593096569801872</v>
      </c>
      <c r="P2128" s="21">
        <f t="shared" si="566"/>
        <v>0.61130572517209969</v>
      </c>
      <c r="Q2128" s="25" t="s">
        <v>45</v>
      </c>
      <c r="S2128" s="45"/>
      <c r="U2128" s="25"/>
      <c r="W2128" s="45"/>
      <c r="Y2128" s="25"/>
      <c r="AA2128" s="45"/>
    </row>
    <row r="2129" spans="1:27">
      <c r="B2129" s="24"/>
      <c r="C2129" s="25" t="s">
        <v>37</v>
      </c>
      <c r="E2129" s="26">
        <f>((D2128/D2123)^(1/5))-1</f>
        <v>8.5810125800286796E-2</v>
      </c>
      <c r="F2129" s="27">
        <f>((F2128/F2123)^(1/5))-1</f>
        <v>-2.3047335755775178</v>
      </c>
      <c r="G2129" s="28"/>
      <c r="H2129" s="27" t="e">
        <f>((H2128/H2123)^(1/5))-1</f>
        <v>#DIV/0!</v>
      </c>
      <c r="I2129" s="27">
        <f>((I2128/I2123)^(1/5))-1</f>
        <v>-3.5971258044638521E-2</v>
      </c>
      <c r="J2129" s="27"/>
      <c r="K2129" s="27"/>
      <c r="L2129" s="26">
        <f>((L2128/L2123)^(1/5))-1</f>
        <v>6.9796143896232898E-2</v>
      </c>
      <c r="M2129" s="26"/>
      <c r="N2129" s="26"/>
      <c r="O2129" s="26"/>
      <c r="P2129" s="26">
        <f>((P2128/P2123)^(1/5))-1</f>
        <v>-0.23957747228757009</v>
      </c>
      <c r="Q2129" s="18"/>
      <c r="R2129" s="36"/>
      <c r="S2129" s="45"/>
      <c r="U2129" s="18"/>
      <c r="V2129" s="36"/>
      <c r="W2129" s="45"/>
      <c r="Y2129" s="18"/>
      <c r="Z2129" s="36"/>
      <c r="AA2129" s="45"/>
    </row>
    <row r="2130" spans="1:27">
      <c r="A2130" s="29"/>
      <c r="B2130" s="30"/>
      <c r="C2130" s="31" t="s">
        <v>38</v>
      </c>
      <c r="D2130" s="29"/>
      <c r="E2130" s="32">
        <f>((D2128/D2118)^(1/10))-1</f>
        <v>8.3868058865742556E-2</v>
      </c>
      <c r="F2130" s="33">
        <f>((F2128/F2118)^(1/10))-1</f>
        <v>0.18736619764465767</v>
      </c>
      <c r="G2130" s="34"/>
      <c r="H2130" s="33" t="e">
        <f>((H2128/H2118)^(1/10))-1</f>
        <v>#DIV/0!</v>
      </c>
      <c r="I2130" s="33">
        <f>((I2128/I2118)^(1/10))-1</f>
        <v>-3.8559961763997785E-2</v>
      </c>
      <c r="J2130" s="33"/>
      <c r="K2130" s="33"/>
      <c r="L2130" s="32">
        <f>((L2128/L2118)^(1/10))-1</f>
        <v>-0.12329070604956205</v>
      </c>
      <c r="M2130" s="32"/>
      <c r="N2130" s="32"/>
      <c r="O2130" s="32"/>
      <c r="P2130" s="32" t="e">
        <f>((P2128/P2118)^(1/10))-1</f>
        <v>#NUM!</v>
      </c>
      <c r="Q2130" s="40"/>
      <c r="R2130" s="41"/>
      <c r="S2130" s="46"/>
      <c r="U2130" s="40"/>
      <c r="V2130" s="41"/>
      <c r="W2130" s="46"/>
      <c r="Y2130" s="40"/>
      <c r="Z2130" s="41"/>
      <c r="AA2130" s="46"/>
    </row>
    <row r="2131" spans="1:27">
      <c r="B2131" s="24"/>
      <c r="C2131" s="25"/>
      <c r="E2131" s="26"/>
      <c r="F2131" s="27"/>
      <c r="G2131" s="28"/>
      <c r="H2131" s="27"/>
      <c r="I2131" s="27"/>
      <c r="J2131" s="27"/>
      <c r="K2131" s="27"/>
      <c r="L2131" s="26"/>
      <c r="M2131" s="17"/>
      <c r="N2131" s="17"/>
      <c r="O2131" s="17"/>
      <c r="P2131" s="35"/>
      <c r="Q2131" s="18"/>
      <c r="R2131" s="36"/>
    </row>
    <row r="2132" spans="1:27">
      <c r="A2132" s="9" t="s">
        <v>0</v>
      </c>
      <c r="B2132" s="10"/>
      <c r="C2132" s="9" t="s">
        <v>1</v>
      </c>
      <c r="D2132" s="9" t="s">
        <v>2</v>
      </c>
      <c r="E2132" s="9" t="s">
        <v>3</v>
      </c>
      <c r="F2132" s="11" t="s">
        <v>4</v>
      </c>
      <c r="G2132" s="11" t="s">
        <v>5</v>
      </c>
      <c r="H2132" s="9" t="s">
        <v>6</v>
      </c>
      <c r="I2132" s="11" t="s">
        <v>7</v>
      </c>
      <c r="J2132" s="11" t="s">
        <v>8</v>
      </c>
      <c r="K2132" s="11" t="s">
        <v>9</v>
      </c>
      <c r="L2132" s="11" t="s">
        <v>10</v>
      </c>
      <c r="M2132" s="11" t="s">
        <v>11</v>
      </c>
      <c r="N2132" s="11" t="s">
        <v>12</v>
      </c>
      <c r="O2132" s="11" t="s">
        <v>13</v>
      </c>
      <c r="P2132" s="11" t="s">
        <v>14</v>
      </c>
      <c r="Q2132" s="37" t="s">
        <v>15</v>
      </c>
      <c r="R2132" s="42">
        <f>_xll.ciqfunctions.udf.CIQ(A2133,("IQ_LASTSALEPRICE"))</f>
        <v>132.59800000000001</v>
      </c>
      <c r="S2132" s="44"/>
      <c r="U2132" s="37" t="s">
        <v>15</v>
      </c>
      <c r="V2132" s="42">
        <f>_xll.ciqfunctions.udf.CIQ(A2133,("IQ_LASTSALEPRICE"))</f>
        <v>132.59800000000001</v>
      </c>
      <c r="W2132" s="44"/>
      <c r="Y2132" s="37" t="s">
        <v>15</v>
      </c>
      <c r="Z2132" s="42">
        <f>_xll.ciqfunctions.udf.CIQ(A2133,("IQ_LASTSALEPRICE"))</f>
        <v>132.59800000000001</v>
      </c>
      <c r="AA2132" s="44"/>
    </row>
    <row r="2133" spans="1:27">
      <c r="A2133" s="12" t="str">
        <f>Analysis!B144</f>
        <v>NYSE:ROG</v>
      </c>
      <c r="B2133" s="13">
        <v>1</v>
      </c>
      <c r="C2133" s="14" t="s">
        <v>16</v>
      </c>
      <c r="D2133" s="15">
        <f>IF(A2141=A2142,_xll.ciqfunctions.udf.CIQ(A2133,"IQ_TOTAL_REV",IQ_FY-10)/I2133,_xll.ciqfunctions.udf.CIQ(A2133, "IQ_TOTAL_REV",IQ_FY-9)/I2133)</f>
        <v>30.05597588731008</v>
      </c>
      <c r="E2133" s="16"/>
      <c r="F2133" s="15">
        <f>IF(A2141=A2142,_xll.ciqfunctions.udf.CIQ(A2133,"IQ_DILUT_EPS_EXCL",IQ_FY-10), _xll.ciqfunctions.udf.CIQ(A2133, "IQ_DILUT_EPS_EXCL",IQ_FY-9))</f>
        <v>2.15</v>
      </c>
      <c r="G2133" s="15">
        <f>IF(A2141=A2142,_xll.ciqfunctions.udf.CIQ(A2133,"IQ_EBITDA_MARGIN",IQ_FY-10), _xll.ciqfunctions.udf.CIQ(A2133, "IQ_EBITDA_MARGIN",IQ_FY-9))</f>
        <v>16.473800000000001</v>
      </c>
      <c r="H2133" s="15">
        <f>IF(A2141=A2142,_xll.ciqfunctions.udf.CIQ(A2133,"IQ_TOTAL_DIV_PAID_CF",IQ_FY-10)/-I2133, _xll.ciqfunctions.udf.CIQ(A2133, "IQ_TOTAL_DIV_PAID_CF",IQ_FY-9)/-I2133)</f>
        <v>0</v>
      </c>
      <c r="I2133" s="17">
        <f>IF(A2141=A2142,_xll.ciqfunctions.udf.CIQ(A2133,"IQ_TOTAL_OUTSTANDING_FILING_DATE",IQ_FY-10), _xll.ciqfunctions.udf.CIQ(A2133, "IQ_TOTAL_OUTSTANDING_FILING_DATE",IQ_FY-9))</f>
        <v>17.8827</v>
      </c>
      <c r="J2133" s="17">
        <f>IF(A2141=A2142,_xll.ciqfunctions.udf.CIQ(A2133,"IQ_CASH_OPER",IQ_FY-10), _xll.ciqfunctions.udf.CIQ(A2133, "IQ_CASH_OPER",IQ_FY-9))</f>
        <v>78.015000000000001</v>
      </c>
      <c r="K2133" s="17">
        <f>IF(A2141=A2142,_xll.ciqfunctions.udf.CIQ(A2133,"IQ_CAPEX",IQ_FY-10), _xll.ciqfunctions.udf.CIQ(A2133, "IQ_CAPEX",IQ_FY-9))</f>
        <v>-16.859000000000002</v>
      </c>
      <c r="L2133" s="15">
        <f t="shared" ref="L2133:L2143" si="568">(J2133+K2133)/I2133</f>
        <v>3.4198415228125505</v>
      </c>
      <c r="M2133" s="17">
        <f>IF(A2141=A2142,_xll.ciqfunctions.udf.CIQ(A2133,"IQ_TOTAL_DEBT_ISSUED",IQ_FY-10), _xll.ciqfunctions.udf.CIQ(A2133, "IQ_TOTAL_DEBT_ISSUED",IQ_FY-9))</f>
        <v>0</v>
      </c>
      <c r="N2133" s="17">
        <f>IF(A2141=A2142,_xll.ciqfunctions.udf.CIQ(A2133,"IQ_TOTAL_DEBT_REPAID",IQ_FY-10), _xll.ciqfunctions.udf.CIQ(A2133, "IQ_TOTAL_DEBT_REPAID",IQ_FY-9))</f>
        <v>-21.206</v>
      </c>
      <c r="O2133" s="15">
        <f t="shared" ref="O2133:O2143" si="569">(M2133+N2133)/I2133</f>
        <v>-1.1858388274701248</v>
      </c>
      <c r="P2133" s="15">
        <f t="shared" ref="P2133:P2143" si="570">L2133+O2133</f>
        <v>2.2340026953424257</v>
      </c>
      <c r="W2133" s="43"/>
      <c r="AA2133" s="43"/>
    </row>
    <row r="2134" spans="1:27">
      <c r="A2134" s="18" t="str">
        <f>_xll.ciqfunctions.udf.CIQ(A2133,"IQ_COMPANY_NAME")</f>
        <v>Rogers Corporation</v>
      </c>
      <c r="B2134" s="13">
        <v>2</v>
      </c>
      <c r="C2134" s="14" t="s">
        <v>17</v>
      </c>
      <c r="D2134" s="15">
        <f>IF(A2141=A2142,_xll.ciqfunctions.udf.CIQ(A2133,"IQ_TOTAL_REV",IQ_FY-9)/I2134, _xll.ciqfunctions.udf.CIQ(A2133, "IQ_TOTAL_REV",IQ_FY-8)/I2134)</f>
        <v>33.173289168239144</v>
      </c>
      <c r="E2134" s="16">
        <f t="shared" ref="E2134:E2143" si="571">(D2134-D2133)/D2133</f>
        <v>0.10371692114130367</v>
      </c>
      <c r="F2134" s="15">
        <f>IF(A2141=A2142,_xll.ciqfunctions.udf.CIQ(A2133,"IQ_DILUT_EPS_EXCL",IQ_FY-9), _xll.ciqfunctions.udf.CIQ(A2133, "IQ_DILUT_EPS_EXCL",IQ_FY-8))</f>
        <v>2.86</v>
      </c>
      <c r="G2134" s="15">
        <f>IF(A2141=A2142,_xll.ciqfunctions.udf.CIQ(A2133,"IQ_EBITDA_MARGIN",IQ_FY-9), _xll.ciqfunctions.udf.CIQ(A2133, "IQ_EBITDA_MARGIN",IQ_FY-8))</f>
        <v>18.9878</v>
      </c>
      <c r="H2134" s="15">
        <f>IF(A2141=A2142,_xll.ciqfunctions.udf.CIQ(A2133,"IQ_TOTAL_DIV_PAID_CF",IQ_FY-9)/-I2134, _xll.ciqfunctions.udf.CIQ(A2133, "IQ_TOTAL_DIV_PAID_CF",IQ_FY-8)/-I2134)</f>
        <v>0</v>
      </c>
      <c r="I2134" s="17">
        <f>IF(A2141=A2142,_xll.ciqfunctions.udf.CIQ(A2133,"IQ_TOTAL_OUTSTANDING_FILING_DATE",IQ_FY-9), _xll.ciqfunctions.udf.CIQ(A2133, "IQ_TOTAL_OUTSTANDING_FILING_DATE",IQ_FY-8))</f>
        <v>18.415749999999999</v>
      </c>
      <c r="J2134" s="17">
        <f>IF(A2141=A2142,_xll.ciqfunctions.udf.CIQ(A2133,"IQ_CASH_OPER",IQ_FY-9), _xll.ciqfunctions.udf.CIQ(A2133, "IQ_CASH_OPER",IQ_FY-8))</f>
        <v>85.206999999999994</v>
      </c>
      <c r="K2134" s="17">
        <f>IF(A2141=A2142,_xll.ciqfunctions.udf.CIQ(A2133,"IQ_CAPEX",IQ_FY-9), _xll.ciqfunctions.udf.CIQ(A2133, "IQ_CAPEX",IQ_FY-8))</f>
        <v>-28.754999999999999</v>
      </c>
      <c r="L2134" s="15">
        <f t="shared" si="568"/>
        <v>3.0654195457692466</v>
      </c>
      <c r="M2134" s="17">
        <f>IF(A2141=A2142,_xll.ciqfunctions.udf.CIQ(A2133,"IQ_TOTAL_DEBT_ISSUED",IQ_FY-9), _xll.ciqfunctions.udf.CIQ(A2133, "IQ_TOTAL_DEBT_ISSUED",IQ_FY-8))</f>
        <v>0</v>
      </c>
      <c r="N2134" s="17">
        <f>IF(A2141=A2142,_xll.ciqfunctions.udf.CIQ(A2133,"IQ_TOTAL_DEBT_REPAID",IQ_FY-9), _xll.ciqfunctions.udf.CIQ(A2133, "IQ_TOTAL_DEBT_REPAID",IQ_FY-8))</f>
        <v>-17.797000000000001</v>
      </c>
      <c r="O2134" s="15">
        <f t="shared" si="569"/>
        <v>-0.96640104258583015</v>
      </c>
      <c r="P2134" s="15">
        <f t="shared" si="570"/>
        <v>2.0990185031834163</v>
      </c>
      <c r="Q2134" s="25" t="s">
        <v>18</v>
      </c>
      <c r="R2134" s="39" t="s">
        <v>19</v>
      </c>
      <c r="S2134" s="1">
        <f>R2132/((AVERAGE(P2138:P2143))*(1+E2144)^3)</f>
        <v>54.49288861629271</v>
      </c>
      <c r="U2134" s="25" t="s">
        <v>48</v>
      </c>
      <c r="V2134" s="39" t="s">
        <v>19</v>
      </c>
      <c r="W2134" s="1">
        <f>V2132/((AVERAGE(P2138:P2143))*(1+E2144)^3)</f>
        <v>54.49288861629271</v>
      </c>
      <c r="Y2134" s="25" t="s">
        <v>39</v>
      </c>
      <c r="Z2134" s="39" t="s">
        <v>19</v>
      </c>
      <c r="AA2134" s="1">
        <f>Z2132/((AVERAGE(P2138:P2143))*(1+E2144)^3)</f>
        <v>54.49288861629271</v>
      </c>
    </row>
    <row r="2135" spans="1:27">
      <c r="B2135" s="13">
        <v>3</v>
      </c>
      <c r="C2135" s="14" t="s">
        <v>20</v>
      </c>
      <c r="D2135" s="15" cm="1">
        <f t="array" ref="D2135">_xlfn.SINGLE(IF(A2141=A2142,_xll.ciqfunctions.udf.CIQ(A2133,"IQ_TOTAL_REV",IQ_FY-8)/I2135, _xll.ciqfunctions.udf.CIQ(A2133, "IQ_TOTAL_REV",IQ_FY-7)/I2135))</f>
        <v>35.696108138489826</v>
      </c>
      <c r="E2135" s="16">
        <f t="shared" si="571"/>
        <v>7.6049708470454794E-2</v>
      </c>
      <c r="F2135" s="15">
        <f>IF(A2141=A2142,_xll.ciqfunctions.udf.CIQ(A2133,"IQ_DILUT_EPS_EXCL",IQ_FY-8), _xll.ciqfunctions.udf.CIQ(A2133, "IQ_DILUT_EPS_EXCL",IQ_FY-7))</f>
        <v>2.48</v>
      </c>
      <c r="G2135" s="15">
        <f>IF(A2141=A2142,_xll.ciqfunctions.udf.CIQ(A2133,"IQ_EBITDA_MARGIN",IQ_FY-8), _xll.ciqfunctions.udf.CIQ(A2133, "IQ_EBITDA_MARGIN",IQ_FY-7))</f>
        <v>18.1479</v>
      </c>
      <c r="H2135" s="15">
        <f>IF(A2141=A2142,_xll.ciqfunctions.udf.CIQ(A2133,"IQ_TOTAL_DIV_PAID_CF",IQ_FY-8)/-I2135, _xll.ciqfunctions.udf.CIQ(A2133, "IQ_TOTAL_DIV_PAID_CF",IQ_FY-7)/-I2135)</f>
        <v>0</v>
      </c>
      <c r="I2135" s="17">
        <f>IF(A2141=A2142,_xll.ciqfunctions.udf.CIQ(A2133,"IQ_TOTAL_OUTSTANDING_FILING_DATE",IQ_FY-8), _xll.ciqfunctions.udf.CIQ(A2133, "IQ_TOTAL_OUTSTANDING_FILING_DATE",IQ_FY-7))</f>
        <v>17.969550000000002</v>
      </c>
      <c r="J2135" s="17">
        <f>IF(A2141=A2142,_xll.ciqfunctions.udf.CIQ(A2133,"IQ_CASH_OPER",IQ_FY-8), _xll.ciqfunctions.udf.CIQ(A2133, "IQ_CASH_OPER",IQ_FY-7))</f>
        <v>73.921999999999997</v>
      </c>
      <c r="K2135" s="17">
        <f>IF(A2141=A2142,_xll.ciqfunctions.udf.CIQ(A2133,"IQ_CAPEX",IQ_FY-8), _xll.ciqfunctions.udf.CIQ(A2133, "IQ_CAPEX",IQ_FY-7))</f>
        <v>-24.837</v>
      </c>
      <c r="L2135" s="15">
        <f t="shared" si="568"/>
        <v>2.7315653424821429</v>
      </c>
      <c r="M2135" s="17">
        <f>IF(A2141=A2142,_xll.ciqfunctions.udf.CIQ(A2133,"IQ_TOTAL_DEBT_ISSUED",IQ_FY-8), _xll.ciqfunctions.udf.CIQ(A2133, "IQ_TOTAL_DEBT_ISSUED",IQ_FY-7))</f>
        <v>125</v>
      </c>
      <c r="N2135" s="17">
        <f>IF(A2141=A2142,_xll.ciqfunctions.udf.CIQ(A2133,"IQ_TOTAL_DEBT_REPAID",IQ_FY-8), _xll.ciqfunctions.udf.CIQ(A2133, "IQ_TOTAL_DEBT_REPAID",IQ_FY-7))</f>
        <v>-6.641</v>
      </c>
      <c r="O2135" s="15">
        <f t="shared" si="569"/>
        <v>6.5866424033990825</v>
      </c>
      <c r="P2135" s="15">
        <f t="shared" si="570"/>
        <v>9.3182077458812245</v>
      </c>
      <c r="Q2135" s="25" t="s">
        <v>21</v>
      </c>
      <c r="R2135" s="38" t="s">
        <v>49</v>
      </c>
      <c r="S2135" s="2">
        <f>(R2132*I2143)/1000</f>
        <v>2.4685133189600004</v>
      </c>
      <c r="U2135" s="25" t="s">
        <v>59</v>
      </c>
      <c r="V2135" s="38" t="s">
        <v>49</v>
      </c>
      <c r="W2135" s="2">
        <f>(V2132*I2143)/1000</f>
        <v>2.4685133189600004</v>
      </c>
      <c r="Y2135" s="25" t="s">
        <v>46</v>
      </c>
      <c r="Z2135" s="38" t="s">
        <v>49</v>
      </c>
      <c r="AA2135" s="2">
        <f>(Z2132*I2143)/1000</f>
        <v>2.4685133189600004</v>
      </c>
    </row>
    <row r="2136" spans="1:27">
      <c r="A2136" s="18"/>
      <c r="B2136" s="13">
        <v>4</v>
      </c>
      <c r="C2136" s="14" t="s">
        <v>22</v>
      </c>
      <c r="D2136" s="15" cm="1">
        <f t="array" ref="D2136">_xlfn.SINGLE(IF(A2141=A2142,_xll.ciqfunctions.udf.CIQ(A2133,"IQ_TOTAL_REV",IQ_FY-7)/I2136, _xll.ciqfunctions.udf.CIQ(A2133, "IQ_TOTAL_REV",IQ_FY-6)/I2136))</f>
        <v>36.389231722882201</v>
      </c>
      <c r="E2136" s="16">
        <f t="shared" si="571"/>
        <v>1.9417343249389259E-2</v>
      </c>
      <c r="F2136" s="15">
        <f>IF(A2141=A2142,_xll.ciqfunctions.udf.CIQ(A2133,"IQ_DILUT_EPS_EXCL",IQ_FY-7), _xll.ciqfunctions.udf.CIQ(A2133, "IQ_DILUT_EPS_EXCL",IQ_FY-6))</f>
        <v>2.65</v>
      </c>
      <c r="G2136" s="15">
        <f>IF(A2141=A2142,_xll.ciqfunctions.udf.CIQ(A2133,"IQ_EBITDA_MARGIN",IQ_FY-7), _xll.ciqfunctions.udf.CIQ(A2133, "IQ_EBITDA_MARGIN",IQ_FY-6))</f>
        <v>18.974599999999999</v>
      </c>
      <c r="H2136" s="15">
        <f>IF(A2141=A2142,_xll.ciqfunctions.udf.CIQ(A2133,"IQ_TOTAL_DIV_PAID_CF",IQ_FY-7)/-I2136, _xll.ciqfunctions.udf.CIQ(A2133, "IQ_TOTAL_DIV_PAID_CF",IQ_FY-6)/-I2136)</f>
        <v>0</v>
      </c>
      <c r="I2136" s="17">
        <f>IF(A2141=A2142,_xll.ciqfunctions.udf.CIQ(A2133,"IQ_TOTAL_OUTSTANDING_FILING_DATE",IQ_FY-7), _xll.ciqfunctions.udf.CIQ(A2133, "IQ_TOTAL_OUTSTANDING_FILING_DATE",IQ_FY-6))</f>
        <v>18.03594</v>
      </c>
      <c r="J2136" s="17">
        <f>IF(A2141=A2142,_xll.ciqfunctions.udf.CIQ(A2133,"IQ_CASH_OPER",IQ_FY-7), _xll.ciqfunctions.udf.CIQ(A2133, "IQ_CASH_OPER",IQ_FY-6))</f>
        <v>116.967</v>
      </c>
      <c r="K2136" s="17">
        <f>IF(A2141=A2142,_xll.ciqfunctions.udf.CIQ(A2133,"IQ_CAPEX",IQ_FY-7), _xll.ciqfunctions.udf.CIQ(A2133, "IQ_CAPEX",IQ_FY-6))</f>
        <v>-18.135999999999999</v>
      </c>
      <c r="L2136" s="15">
        <f t="shared" si="568"/>
        <v>5.4796700366046904</v>
      </c>
      <c r="M2136" s="17">
        <f>IF(A2141=A2142,_xll.ciqfunctions.udf.CIQ(A2133,"IQ_TOTAL_DEBT_ISSUED",IQ_FY-7), _xll.ciqfunctions.udf.CIQ(A2133, "IQ_TOTAL_DEBT_ISSUED",IQ_FY-6))</f>
        <v>166</v>
      </c>
      <c r="N2136" s="17">
        <f>IF(A2141=A2142,_xll.ciqfunctions.udf.CIQ(A2133,"IQ_TOTAL_DEBT_REPAID",IQ_FY-7), _xll.ciqfunctions.udf.CIQ(A2133, "IQ_TOTAL_DEBT_REPAID",IQ_FY-6))</f>
        <v>-103.76</v>
      </c>
      <c r="O2136" s="15">
        <f t="shared" si="569"/>
        <v>3.4508875057246806</v>
      </c>
      <c r="P2136" s="15">
        <f t="shared" si="570"/>
        <v>8.930557542329371</v>
      </c>
      <c r="Q2136" s="25" t="s">
        <v>23</v>
      </c>
      <c r="R2136" s="38" t="s">
        <v>24</v>
      </c>
      <c r="S2136" s="1" t="e">
        <f>R2132/(AVERAGE(H2138:H2143)*(1+H2144)/(0.5-H2144))</f>
        <v>#DIV/0!</v>
      </c>
      <c r="U2136" s="25" t="s">
        <v>40</v>
      </c>
      <c r="V2136" s="38" t="s">
        <v>24</v>
      </c>
      <c r="W2136" s="1" t="e">
        <f>V2132/(AVERAGE(H2138:H2143)*(1+H2144)/(0.5-H2144))</f>
        <v>#DIV/0!</v>
      </c>
      <c r="Y2136" s="25" t="s">
        <v>47</v>
      </c>
      <c r="Z2136" s="38" t="s">
        <v>24</v>
      </c>
      <c r="AA2136" s="1" t="e">
        <f>Z2132/(AVERAGE(H2138:H2143)*(1+H2144)/(0.5-H2144))</f>
        <v>#DIV/0!</v>
      </c>
    </row>
    <row r="2137" spans="1:27">
      <c r="B2137" s="13">
        <v>5</v>
      </c>
      <c r="C2137" s="14" t="s">
        <v>25</v>
      </c>
      <c r="D2137" s="15" cm="1">
        <f t="array" ref="D2137">_xlfn.SINGLE(IF(A2141=A2142,_xll.ciqfunctions.udf.CIQ(A2133,"IQ_TOTAL_REV",IQ_FY-6)/I2137, _xll.ciqfunctions.udf.CIQ(A2133, "IQ_TOTAL_REV",IQ_FY-5)/I2137))</f>
        <v>44.825468267851178</v>
      </c>
      <c r="E2137" s="16">
        <f t="shared" si="571"/>
        <v>0.23183332391335212</v>
      </c>
      <c r="F2137" s="15">
        <f>IF(A2141=A2142,_xll.ciqfunctions.udf.CIQ(A2133,"IQ_DILUT_EPS_EXCL",IQ_FY-6), _xll.ciqfunctions.udf.CIQ(A2133, "IQ_DILUT_EPS_EXCL",IQ_FY-5))</f>
        <v>4.34</v>
      </c>
      <c r="G2137" s="15">
        <f>IF(A2141=A2142,_xll.ciqfunctions.udf.CIQ(A2133,"IQ_EBITDA_MARGIN",IQ_FY-6), _xll.ciqfunctions.udf.CIQ(A2133, "IQ_EBITDA_MARGIN",IQ_FY-5))</f>
        <v>21.499099999999999</v>
      </c>
      <c r="H2137" s="15">
        <f>IF(A2141=A2142,_xll.ciqfunctions.udf.CIQ(A2133,"IQ_TOTAL_DIV_PAID_CF",IQ_FY-6)/-I2137, _xll.ciqfunctions.udf.CIQ(A2133, "IQ_TOTAL_DIV_PAID_CF",IQ_FY-5)/-I2137)</f>
        <v>0</v>
      </c>
      <c r="I2137" s="17">
        <f>IF(A2141=A2142,_xll.ciqfunctions.udf.CIQ(A2133,"IQ_TOTAL_OUTSTANDING_FILING_DATE",IQ_FY-6), _xll.ciqfunctions.udf.CIQ(A2133, "IQ_TOTAL_OUTSTANDING_FILING_DATE",IQ_FY-5))</f>
        <v>18.31644</v>
      </c>
      <c r="J2137" s="17">
        <f>IF(A2141=A2142,_xll.ciqfunctions.udf.CIQ(A2133,"IQ_CASH_OPER",IQ_FY-6), _xll.ciqfunctions.udf.CIQ(A2133, "IQ_CASH_OPER",IQ_FY-5))</f>
        <v>138.982</v>
      </c>
      <c r="K2137" s="17">
        <f>IF(A2141=A2142,_xll.ciqfunctions.udf.CIQ(A2133,"IQ_CAPEX",IQ_FY-6), _xll.ciqfunctions.udf.CIQ(A2133, "IQ_CAPEX",IQ_FY-5))</f>
        <v>-27.215</v>
      </c>
      <c r="L2137" s="15">
        <f t="shared" si="568"/>
        <v>6.1020045379997416</v>
      </c>
      <c r="M2137" s="17">
        <f>IF(A2141=A2142,_xll.ciqfunctions.udf.CIQ(A2133,"IQ_TOTAL_DEBT_ISSUED",IQ_FY-6), _xll.ciqfunctions.udf.CIQ(A2133, "IQ_TOTAL_DEBT_ISSUED",IQ_FY-5))</f>
        <v>0</v>
      </c>
      <c r="N2137" s="17">
        <f>IF(A2141=A2142,_xll.ciqfunctions.udf.CIQ(A2133,"IQ_TOTAL_DEBT_REPAID",IQ_FY-6), _xll.ciqfunctions.udf.CIQ(A2133, "IQ_TOTAL_DEBT_REPAID",IQ_FY-5))</f>
        <v>-110.68899999999999</v>
      </c>
      <c r="O2137" s="15">
        <f t="shared" si="569"/>
        <v>-6.0431503065006078</v>
      </c>
      <c r="P2137" s="15">
        <f t="shared" si="570"/>
        <v>5.8854231499133824E-2</v>
      </c>
      <c r="Q2137" s="18"/>
      <c r="R2137" s="38" t="s">
        <v>50</v>
      </c>
      <c r="S2137" s="3">
        <f>I2144</f>
        <v>1.9235453751087483E-3</v>
      </c>
      <c r="U2137" s="18"/>
      <c r="V2137" s="38" t="s">
        <v>50</v>
      </c>
      <c r="W2137" s="3">
        <f>I2144</f>
        <v>1.9235453751087483E-3</v>
      </c>
      <c r="Y2137" s="18"/>
      <c r="Z2137" s="38" t="s">
        <v>50</v>
      </c>
      <c r="AA2137" s="3">
        <f>I2144</f>
        <v>1.9235453751087483E-3</v>
      </c>
    </row>
    <row r="2138" spans="1:27">
      <c r="B2138" s="13">
        <v>6</v>
      </c>
      <c r="C2138" s="14" t="s">
        <v>26</v>
      </c>
      <c r="D2138" s="15" cm="1">
        <f t="array" ref="D2138">_xlfn.SINGLE(IF(A2141=A2142,_xll.ciqfunctions.udf.CIQ(A2133,"IQ_TOTAL_REV",IQ_FY-5)/I2138, _xll.ciqfunctions.udf.CIQ(A2133, "IQ_TOTAL_REV",IQ_FY-4)/I2138))</f>
        <v>47.676925997234044</v>
      </c>
      <c r="E2138" s="16">
        <f t="shared" si="571"/>
        <v>6.3612447110294443E-2</v>
      </c>
      <c r="F2138" s="15">
        <f>IF(A2141=A2142,_xll.ciqfunctions.udf.CIQ(A2133,"IQ_DILUT_EPS_EXCL",IQ_FY-5), _xll.ciqfunctions.udf.CIQ(A2133, "IQ_DILUT_EPS_EXCL",IQ_FY-4))</f>
        <v>4.7</v>
      </c>
      <c r="G2138" s="15">
        <f>IF(A2141=A2142,_xll.ciqfunctions.udf.CIQ(A2133,"IQ_EBITDA_MARGIN",IQ_FY-5), _xll.ciqfunctions.udf.CIQ(A2133, "IQ_EBITDA_MARGIN",IQ_FY-4))</f>
        <v>18.5808</v>
      </c>
      <c r="H2138" s="15">
        <f>IF(A2141=A2142,_xll.ciqfunctions.udf.CIQ(A2133,"IQ_TOTAL_DIV_PAID_CF",IQ_FY-5)/-I2138, _xll.ciqfunctions.udf.CIQ(A2133, "IQ_TOTAL_DIV_PAID_CF",IQ_FY-4)/-I2138)</f>
        <v>0</v>
      </c>
      <c r="I2138" s="17">
        <f>IF(A2141=A2142,_xll.ciqfunctions.udf.CIQ(A2133,"IQ_TOTAL_OUTSTANDING_FILING_DATE",IQ_FY-5), _xll.ciqfunctions.udf.CIQ(A2133, "IQ_TOTAL_OUTSTANDING_FILING_DATE",IQ_FY-4))</f>
        <v>18.438500000000001</v>
      </c>
      <c r="J2138" s="17">
        <f>IF(A2141=A2142,_xll.ciqfunctions.udf.CIQ(A2133,"IQ_CASH_OPER",IQ_FY-5), _xll.ciqfunctions.udf.CIQ(A2133, "IQ_CASH_OPER",IQ_FY-4))</f>
        <v>66.819999999999993</v>
      </c>
      <c r="K2138" s="17">
        <f>IF(A2141=A2142,_xll.ciqfunctions.udf.CIQ(A2133,"IQ_CAPEX",IQ_FY-5), _xll.ciqfunctions.udf.CIQ(A2133, "IQ_CAPEX",IQ_FY-4))</f>
        <v>-90.549000000000007</v>
      </c>
      <c r="L2138" s="15">
        <f t="shared" si="568"/>
        <v>-1.2869268107492482</v>
      </c>
      <c r="M2138" s="17">
        <f>IF(A2141=A2142,_xll.ciqfunctions.udf.CIQ(A2133,"IQ_TOTAL_DEBT_ISSUED",IQ_FY-5), _xll.ciqfunctions.udf.CIQ(A2133, "IQ_TOTAL_DEBT_ISSUED",IQ_FY-4))</f>
        <v>102.5</v>
      </c>
      <c r="N2138" s="17">
        <f>IF(A2141=A2142,_xll.ciqfunctions.udf.CIQ(A2133,"IQ_TOTAL_DEBT_REPAID",IQ_FY-5), _xll.ciqfunctions.udf.CIQ(A2133, "IQ_TOTAL_DEBT_REPAID",IQ_FY-4))</f>
        <v>-6.1619999999999999</v>
      </c>
      <c r="O2138" s="15">
        <f t="shared" si="569"/>
        <v>5.2248284838788397</v>
      </c>
      <c r="P2138" s="15">
        <f t="shared" si="570"/>
        <v>3.9379016731295913</v>
      </c>
      <c r="Q2138" s="25" t="s">
        <v>27</v>
      </c>
      <c r="R2138" s="38" t="s">
        <v>51</v>
      </c>
      <c r="S2138" s="4">
        <f>AVERAGE(F2138:F2143)/AVERAGE(D2138:D2143)</f>
        <v>9.3488871294857598E-2</v>
      </c>
      <c r="U2138" s="25" t="s">
        <v>58</v>
      </c>
      <c r="V2138" s="38" t="s">
        <v>51</v>
      </c>
      <c r="W2138" s="4">
        <f>AVERAGE(F2138:F2143)/AVERAGE(D2138:D2143)</f>
        <v>9.3488871294857598E-2</v>
      </c>
      <c r="Y2138" s="25" t="s">
        <v>56</v>
      </c>
      <c r="Z2138" s="38" t="s">
        <v>51</v>
      </c>
      <c r="AA2138" s="4">
        <f>AVERAGE(F2138:F2143)/AVERAGE(D2138:D2143)</f>
        <v>9.3488871294857598E-2</v>
      </c>
    </row>
    <row r="2139" spans="1:27">
      <c r="A2139" s="18"/>
      <c r="B2139" s="13">
        <v>7</v>
      </c>
      <c r="C2139" s="14" t="s">
        <v>28</v>
      </c>
      <c r="D2139" s="15" cm="1">
        <f t="array" ref="D2139">_xlfn.SINGLE(IF(A2141=A2142,_xll.ciqfunctions.udf.CIQ(A2133,"IQ_TOTAL_REV",IQ_FY-4)/I2139, _xll.ciqfunctions.udf.CIQ(A2133, "IQ_TOTAL_REV",IQ_FY-3)/I2139))</f>
        <v>48.25795166146262</v>
      </c>
      <c r="E2139" s="16">
        <f t="shared" si="571"/>
        <v>1.218672664135864E-2</v>
      </c>
      <c r="F2139" s="15">
        <f>IF(A2141=A2142,_xll.ciqfunctions.udf.CIQ(A2133,"IQ_DILUT_EPS_EXCL",IQ_FY-4), _xll.ciqfunctions.udf.CIQ(A2133, "IQ_DILUT_EPS_EXCL",IQ_FY-3))</f>
        <v>2.5299999999999998</v>
      </c>
      <c r="G2139" s="15">
        <f>IF(A2141=A2142,_xll.ciqfunctions.udf.CIQ(A2133,"IQ_EBITDA_MARGIN",IQ_FY-4), _xll.ciqfunctions.udf.CIQ(A2133, "IQ_EBITDA_MARGIN",IQ_FY-3))</f>
        <v>18.134799999999998</v>
      </c>
      <c r="H2139" s="15">
        <f>IF(A2141=A2142,_xll.ciqfunctions.udf.CIQ(A2133,"IQ_TOTAL_DIV_PAID_CF",IQ_FY-4)/-I2139, _xll.ciqfunctions.udf.CIQ(A2133, "IQ_TOTAL_DIV_PAID_CF",IQ_FY-3)/-I2139)</f>
        <v>0</v>
      </c>
      <c r="I2139" s="17">
        <f>IF(A2141=A2142,_xll.ciqfunctions.udf.CIQ(A2133,"IQ_TOTAL_OUTSTANDING_FILING_DATE",IQ_FY-4), _xll.ciqfunctions.udf.CIQ(A2133, "IQ_TOTAL_OUTSTANDING_FILING_DATE",IQ_FY-3))</f>
        <v>18.613720000000001</v>
      </c>
      <c r="J2139" s="17">
        <f>IF(A2141=A2142,_xll.ciqfunctions.udf.CIQ(A2133,"IQ_CASH_OPER",IQ_FY-4), _xll.ciqfunctions.udf.CIQ(A2133, "IQ_CASH_OPER",IQ_FY-3))</f>
        <v>161.32300000000001</v>
      </c>
      <c r="K2139" s="17">
        <f>IF(A2141=A2142,_xll.ciqfunctions.udf.CIQ(A2133,"IQ_CAPEX",IQ_FY-4), _xll.ciqfunctions.udf.CIQ(A2133, "IQ_CAPEX",IQ_FY-3))</f>
        <v>-51.597000000000001</v>
      </c>
      <c r="L2139" s="15">
        <f t="shared" si="568"/>
        <v>5.8948990314671113</v>
      </c>
      <c r="M2139" s="17">
        <f>IF(A2141=A2142,_xll.ciqfunctions.udf.CIQ(A2133,"IQ_TOTAL_DEBT_ISSUED",IQ_FY-4), _xll.ciqfunctions.udf.CIQ(A2133, "IQ_TOTAL_DEBT_ISSUED",IQ_FY-3))</f>
        <v>0</v>
      </c>
      <c r="N2139" s="17">
        <f>IF(A2141=A2142,_xll.ciqfunctions.udf.CIQ(A2133,"IQ_TOTAL_DEBT_REPAID",IQ_FY-4), _xll.ciqfunctions.udf.CIQ(A2133, "IQ_TOTAL_DEBT_REPAID",IQ_FY-3))</f>
        <v>-105.886</v>
      </c>
      <c r="O2139" s="15">
        <f t="shared" si="569"/>
        <v>-5.6885995921288162</v>
      </c>
      <c r="P2139" s="15">
        <f t="shared" si="570"/>
        <v>0.20629943933829509</v>
      </c>
      <c r="Q2139" s="18"/>
      <c r="R2139" s="38" t="s">
        <v>29</v>
      </c>
      <c r="S2139" s="4">
        <f>(AVERAGE(P2138:P2143)/_xlfn.STDEV.P(P2138:P2143))/(IF(A2141=A2142,(_xlfn.SINGLE(_xll.ciqfunctions.udf.CIQ(A2133,"IQ_total_assets",IQ_FY)) - _xlfn.SINGLE(_xll.ciqfunctions.udf.CIQ(A2133,"iq_gw_intan", IQ_FY)))/I2143, (_xlfn.SINGLE(_xll.ciqfunctions.udf.CIQ(A2133, "IQ_total_assets",IQ_LTM))-_xlfn.SINGLE(_xll.ciqfunctions.udf.CIQ(A2133,"iq_gw_intan",IQ_LTM)))/I2143))</f>
        <v>8.7765658217400806E-3</v>
      </c>
      <c r="U2139" s="18"/>
      <c r="V2139" s="38" t="s">
        <v>29</v>
      </c>
      <c r="W2139" s="4">
        <f>(AVERAGE(P2138:P2143)/_xlfn.STDEV.P(P2138:P2143))/(IF(A2141=A2142,(_xlfn.SINGLE(_xll.ciqfunctions.udf.CIQ(A2133,"IQ_total_assets",IQ_FY)) - _xlfn.SINGLE(_xll.ciqfunctions.udf.CIQ(A2133,"iq_gw_intan", IQ_FY)))/I2143, (_xlfn.SINGLE(_xll.ciqfunctions.udf.CIQ(A2133, "IQ_total_assets",IQ_LTM))-_xlfn.SINGLE(_xll.ciqfunctions.udf.CIQ(A2133,"iq_gw_intan",IQ_LTM)))/I2143))</f>
        <v>8.7765658217400806E-3</v>
      </c>
      <c r="Y2139" s="18"/>
      <c r="Z2139" s="38" t="s">
        <v>29</v>
      </c>
      <c r="AA2139" s="4">
        <f>(AVERAGE(P2138:P2143)/_xlfn.STDEV.P(P2138:P2143))/(IF(A2141=A2142,(_xlfn.SINGLE(_xll.ciqfunctions.udf.CIQ(A2133,"IQ_total_assets",IQ_FY)) - _xlfn.SINGLE(_xll.ciqfunctions.udf.CIQ(A2133,"iq_gw_intan", IQ_FY)))/I2143, (_xlfn.SINGLE(_xll.ciqfunctions.udf.CIQ(A2133, "IQ_total_assets",IQ_LTM))-_xlfn.SINGLE(_xll.ciqfunctions.udf.CIQ(A2133,"iq_gw_intan",IQ_LTM)))/I2143))</f>
        <v>8.7765658217400806E-3</v>
      </c>
    </row>
    <row r="2140" spans="1:27">
      <c r="A2140" s="18"/>
      <c r="B2140" s="13">
        <v>8</v>
      </c>
      <c r="C2140" s="14" t="s">
        <v>30</v>
      </c>
      <c r="D2140" s="15" cm="1">
        <f t="array" ref="D2140">_xlfn.SINGLE(IF(A2141=A2142,_xll.ciqfunctions.udf.CIQ(A2133,"IQ_TOTAL_REV",IQ_FY-3)/I2140, _xll.ciqfunctions.udf.CIQ(A2133, "IQ_TOTAL_REV",IQ_FY-2)/I2140))</f>
        <v>42.919336035679528</v>
      </c>
      <c r="E2140" s="16">
        <f t="shared" si="571"/>
        <v>-0.11062665202274537</v>
      </c>
      <c r="F2140" s="15">
        <f>IF(A2141=A2142,_xll.ciqfunctions.udf.CIQ(A2133,"IQ_DILUT_EPS_EXCL",IQ_FY-3), _xll.ciqfunctions.udf.CIQ(A2133, "IQ_DILUT_EPS_EXCL",IQ_FY-2))</f>
        <v>2.67</v>
      </c>
      <c r="G2140" s="15">
        <f>IF(A2141=A2142,_xll.ciqfunctions.udf.CIQ(A2133,"IQ_EBITDA_MARGIN",IQ_FY-3), _xll.ciqfunctions.udf.CIQ(A2133, "IQ_EBITDA_MARGIN",IQ_FY-2))</f>
        <v>18.952000000000002</v>
      </c>
      <c r="H2140" s="15">
        <f>IF(A2141=A2142,_xll.ciqfunctions.udf.CIQ(A2133,"IQ_TOTAL_DIV_PAID_CF",IQ_FY-3)/-I2140, _xll.ciqfunctions.udf.CIQ(A2133, "IQ_TOTAL_DIV_PAID_CF",IQ_FY-2)/-I2140)</f>
        <v>0</v>
      </c>
      <c r="I2140" s="17">
        <f>IF(A2141=A2142,_xll.ciqfunctions.udf.CIQ(A2133,"IQ_TOTAL_OUTSTANDING_FILING_DATE",IQ_FY-3), _xll.ciqfunctions.udf.CIQ(A2133, "IQ_TOTAL_OUTSTANDING_FILING_DATE",IQ_FY-2))</f>
        <v>18.6998</v>
      </c>
      <c r="J2140" s="17">
        <f>IF(A2141=A2142,_xll.ciqfunctions.udf.CIQ(A2133,"IQ_CASH_OPER",IQ_FY-3), _xll.ciqfunctions.udf.CIQ(A2133, "IQ_CASH_OPER",IQ_FY-2))</f>
        <v>165.05600000000001</v>
      </c>
      <c r="K2140" s="17">
        <f>IF(A2141=A2142,_xll.ciqfunctions.udf.CIQ(A2133,"IQ_CAPEX",IQ_FY-3), _xll.ciqfunctions.udf.CIQ(A2133, "IQ_CAPEX",IQ_FY-2))</f>
        <v>-40.384999999999998</v>
      </c>
      <c r="L2140" s="15">
        <f t="shared" si="568"/>
        <v>6.6669697002106982</v>
      </c>
      <c r="M2140" s="17">
        <f>IF(A2141=A2142,_xll.ciqfunctions.udf.CIQ(A2133,"IQ_TOTAL_DEBT_ISSUED",IQ_FY-3), _xll.ciqfunctions.udf.CIQ(A2133, "IQ_TOTAL_DEBT_ISSUED",IQ_FY-2))</f>
        <v>150</v>
      </c>
      <c r="N2140" s="17">
        <f>IF(A2141=A2142,_xll.ciqfunctions.udf.CIQ(A2133,"IQ_TOTAL_DEBT_REPAID",IQ_FY-3), _xll.ciqfunctions.udf.CIQ(A2133, "IQ_TOTAL_DEBT_REPAID",IQ_FY-2))</f>
        <v>-248.33</v>
      </c>
      <c r="O2140" s="15">
        <f t="shared" si="569"/>
        <v>-5.258345009037531</v>
      </c>
      <c r="P2140" s="15">
        <f t="shared" si="570"/>
        <v>1.4086246911731672</v>
      </c>
      <c r="Q2140" s="18"/>
      <c r="R2140" s="39" t="s">
        <v>31</v>
      </c>
      <c r="S2140" s="5">
        <f>IF(NOT(D2133&gt;0),FALSE,SLOPE(G2133:G2143,B2133:B2143))</f>
        <v>-0.30167909090909084</v>
      </c>
      <c r="U2140" s="18"/>
      <c r="V2140" s="39" t="s">
        <v>31</v>
      </c>
      <c r="W2140" s="5">
        <f>IF(NOT(D2133&gt;0),FALSE,SLOPE(G2133:G2143,B2133:B2143))</f>
        <v>-0.30167909090909084</v>
      </c>
      <c r="Y2140" s="18"/>
      <c r="Z2140" s="39" t="s">
        <v>31</v>
      </c>
      <c r="AA2140" s="5">
        <f>IF(NOT(L2133&gt;0),FALSE,SLOPE(O2133:O2143,J2133:J2143))</f>
        <v>-0.10818620137927212</v>
      </c>
    </row>
    <row r="2141" spans="1:27">
      <c r="A2141" s="19">
        <f>_xll.ciqfunctions.udf.CIQ(A2133,"IQ_TOTAL_REV",IQ_FY)</f>
        <v>971.17100000000005</v>
      </c>
      <c r="B2141" s="13">
        <v>9</v>
      </c>
      <c r="C2141" s="14" t="s">
        <v>32</v>
      </c>
      <c r="D2141" s="15" cm="1">
        <f t="array" ref="D2141">_xlfn.SINGLE(IF(A2141=A2142,_xll.ciqfunctions.udf.CIQ(A2133,"IQ_TOTAL_REV",IQ_FY-2)/I2141, _xll.ciqfunctions.udf.CIQ(A2133, "IQ_TOTAL_REV",IQ_FY-1)/I2141))</f>
        <v>49.61312456756054</v>
      </c>
      <c r="E2141" s="16">
        <f t="shared" si="571"/>
        <v>0.15596207094900905</v>
      </c>
      <c r="F2141" s="15">
        <f>IF(A2141=A2142,_xll.ciqfunctions.udf.CIQ(A2133,"IQ_DILUT_EPS_EXCL",IQ_FY-2), _xll.ciqfunctions.udf.CIQ(A2133, "IQ_DILUT_EPS_EXCL",IQ_FY-1))</f>
        <v>5.73</v>
      </c>
      <c r="G2141" s="15">
        <f>IF(A2141=A2142,_xll.ciqfunctions.udf.CIQ(A2133,"IQ_EBITDA_MARGIN",IQ_FY-2), _xll.ciqfunctions.udf.CIQ(A2133, "IQ_EBITDA_MARGIN",IQ_FY-1))</f>
        <v>18.209700000000002</v>
      </c>
      <c r="H2141" s="15">
        <f>IF(A2141=A2142,_xll.ciqfunctions.udf.CIQ(A2133,"IQ_TOTAL_DIV_PAID_CF",IQ_FY-2)/-I2141, _xll.ciqfunctions.udf.CIQ(A2133, "IQ_TOTAL_DIV_PAID_CF",IQ_FY-1)/-I2141)</f>
        <v>0</v>
      </c>
      <c r="I2141" s="17">
        <f>IF(A2141=A2142,_xll.ciqfunctions.udf.CIQ(A2133,"IQ_TOTAL_OUTSTANDING_FILING_DATE",IQ_FY-2), _xll.ciqfunctions.udf.CIQ(A2133, "IQ_TOTAL_OUTSTANDING_FILING_DATE",IQ_FY-1))</f>
        <v>18.80321</v>
      </c>
      <c r="J2141" s="17">
        <f>IF(A2141=A2142,_xll.ciqfunctions.udf.CIQ(A2133,"IQ_CASH_OPER",IQ_FY-2), _xll.ciqfunctions.udf.CIQ(A2133, "IQ_CASH_OPER",IQ_FY-1))</f>
        <v>124.363</v>
      </c>
      <c r="K2141" s="17">
        <f>IF(A2141=A2142,_xll.ciqfunctions.udf.CIQ(A2133,"IQ_CAPEX",IQ_FY-2), _xll.ciqfunctions.udf.CIQ(A2133, "IQ_CAPEX",IQ_FY-1))</f>
        <v>-71.125</v>
      </c>
      <c r="L2141" s="15">
        <f t="shared" si="568"/>
        <v>2.83132507694165</v>
      </c>
      <c r="M2141" s="17">
        <f>IF(A2141=A2142,_xll.ciqfunctions.udf.CIQ(A2133,"IQ_TOTAL_DEBT_ISSUED",IQ_FY-2), _xll.ciqfunctions.udf.CIQ(A2133, "IQ_TOTAL_DEBT_ISSUED",IQ_FY-1))</f>
        <v>190</v>
      </c>
      <c r="N2141" s="17">
        <f>IF(A2141=A2142,_xll.ciqfunctions.udf.CIQ(A2133,"IQ_TOTAL_DEBT_REPAID",IQ_FY-2), _xll.ciqfunctions.udf.CIQ(A2133, "IQ_TOTAL_DEBT_REPAID",IQ_FY-1))</f>
        <v>-29.623999999999999</v>
      </c>
      <c r="O2141" s="15">
        <f t="shared" si="569"/>
        <v>8.5291819854163204</v>
      </c>
      <c r="P2141" s="15">
        <f t="shared" si="570"/>
        <v>11.360507062357971</v>
      </c>
      <c r="Q2141" s="25" t="s">
        <v>33</v>
      </c>
      <c r="R2141" s="38" t="s">
        <v>52</v>
      </c>
      <c r="S2141" s="4">
        <f>(AVERAGE(O2138:O2143)/AVERAGE(P2138:P2143))</f>
        <v>-0.50392951653825679</v>
      </c>
      <c r="U2141" s="25" t="s">
        <v>54</v>
      </c>
      <c r="V2141" s="38" t="s">
        <v>52</v>
      </c>
      <c r="W2141" s="4">
        <f>(AVERAGE(O2138:O2143)/AVERAGE(P2138:P2143))</f>
        <v>-0.50392951653825679</v>
      </c>
      <c r="Y2141" s="25" t="s">
        <v>60</v>
      </c>
      <c r="Z2141" s="38" t="s">
        <v>52</v>
      </c>
      <c r="AA2141" s="4">
        <f>(AVERAGE(O2138:O2143)/AVERAGE(P2138:P2143))</f>
        <v>-0.50392951653825679</v>
      </c>
    </row>
    <row r="2142" spans="1:27">
      <c r="A2142" s="19">
        <f>_xll.ciqfunctions.udf.CIQ(A2133,"IQ_TOTAL_REV",IQ_LTM)</f>
        <v>927.52</v>
      </c>
      <c r="B2142" s="13">
        <v>10</v>
      </c>
      <c r="C2142" s="14" t="s">
        <v>34</v>
      </c>
      <c r="D2142" s="15" cm="1">
        <f t="array" ref="D2142">_xlfn.SINGLE(IF(A2141=A2142,_xll.ciqfunctions.udf.CIQ(A2133,"IQ_TOTAL_REV",IQ_FY-1)/I2142, _xll.ciqfunctions.udf.CIQ(A2133, "IQ_TOTAL_REV",IQ_FY)/I2142))</f>
        <v>52.194553051983824</v>
      </c>
      <c r="E2142" s="16">
        <f t="shared" si="571"/>
        <v>5.2031161248633537E-2</v>
      </c>
      <c r="F2142" s="15">
        <f>IF(A2141=A2142,_xll.ciqfunctions.udf.CIQ(A2133,"IQ_DILUT_EPS_EXCL",IQ_FY-1), _xll.ciqfunctions.udf.CIQ(A2133, "IQ_DILUT_EPS_EXCL",IQ_FY))</f>
        <v>6.15</v>
      </c>
      <c r="G2142" s="15">
        <f>IF(A2141=A2142,_xll.ciqfunctions.udf.CIQ(A2133,"IQ_EBITDA_MARGIN",IQ_FY-1), _xll.ciqfunctions.udf.CIQ(A2133, "IQ_EBITDA_MARGIN",IQ_FY))</f>
        <v>13.7494</v>
      </c>
      <c r="H2142" s="15">
        <f>IF(A2141=A2142,_xll.ciqfunctions.udf.CIQ(A2133,"IQ_TOTAL_DIV_PAID_CF",IQ_FY-1)/-I2142, _xll.ciqfunctions.udf.CIQ(A2133, "IQ_TOTAL_DIV_PAID_CF",IQ_FY)/-I2142)</f>
        <v>0</v>
      </c>
      <c r="I2142" s="17">
        <f>IF(A2141=A2142,_xll.ciqfunctions.udf.CIQ(A2133,"IQ_TOTAL_OUTSTANDING_FILING_DATE",IQ_FY-1), _xll.ciqfunctions.udf.CIQ(A2133, "IQ_TOTAL_OUTSTANDING_FILING_DATE",IQ_FY))</f>
        <v>18.606750000000002</v>
      </c>
      <c r="J2142" s="17">
        <f>IF(A2141=A2142,_xll.ciqfunctions.udf.CIQ(A2133,"IQ_CASH_OPER",IQ_FY-1), _xll.ciqfunctions.udf.CIQ(A2133, "IQ_CASH_OPER",IQ_FY))</f>
        <v>129.46100000000001</v>
      </c>
      <c r="K2142" s="17">
        <f>IF(A2141=A2142,_xll.ciqfunctions.udf.CIQ(A2133,"IQ_CAPEX",IQ_FY-1), _xll.ciqfunctions.udf.CIQ(A2133, "IQ_CAPEX",IQ_FY))</f>
        <v>-116.788</v>
      </c>
      <c r="L2142" s="15">
        <f t="shared" si="568"/>
        <v>0.68109691375441783</v>
      </c>
      <c r="M2142" s="17">
        <f>IF(A2141=A2142,_xll.ciqfunctions.udf.CIQ(A2133,"IQ_TOTAL_DEBT_ISSUED",IQ_FY-1), _xll.ciqfunctions.udf.CIQ(A2133, "IQ_TOTAL_DEBT_ISSUED",IQ_FY))</f>
        <v>100</v>
      </c>
      <c r="N2142" s="17">
        <f>IF(A2141=A2142,_xll.ciqfunctions.udf.CIQ(A2133,"IQ_TOTAL_DEBT_REPAID",IQ_FY-1), _xll.ciqfunctions.udf.CIQ(A2133, "IQ_TOTAL_DEBT_REPAID",IQ_FY))</f>
        <v>-75.271000000000001</v>
      </c>
      <c r="O2142" s="15">
        <f t="shared" si="569"/>
        <v>1.3290338183723647</v>
      </c>
      <c r="P2142" s="15">
        <f t="shared" si="570"/>
        <v>2.0101307321267825</v>
      </c>
      <c r="Q2142" s="25" t="s">
        <v>44</v>
      </c>
      <c r="R2142" s="38" t="s">
        <v>35</v>
      </c>
      <c r="S2142" s="1">
        <f>_xll.ciqfunctions.udf.CIQ(A2133,"IQ_TEV_EBITDA")</f>
        <v>17.21781</v>
      </c>
      <c r="U2142" s="25" t="s">
        <v>55</v>
      </c>
      <c r="V2142" s="38" t="s">
        <v>53</v>
      </c>
      <c r="W2142" s="1">
        <f>V2132/(AVERAGE(D2138:D2143)/_xlfn.STDEV.P(E2138:E2143))</f>
        <v>0.23135062951604224</v>
      </c>
      <c r="Y2142" s="25" t="s">
        <v>57</v>
      </c>
      <c r="Z2142" s="38" t="s">
        <v>53</v>
      </c>
      <c r="AA2142" s="1">
        <f>Z2132/(AVERAGE(D2138:D2143)/_xlfn.STDEV.P(E2138:E2143))</f>
        <v>0.23135062951604224</v>
      </c>
    </row>
    <row r="2143" spans="1:27">
      <c r="B2143" s="13">
        <v>11</v>
      </c>
      <c r="C2143" s="20" t="s">
        <v>36</v>
      </c>
      <c r="D2143" s="21" cm="1">
        <f t="array" ref="D2143">_xlfn.SINGLE(IF(A2141=A2142,_xll.ciqfunctions.udf.CIQ(A2133,"IQ_TOTAL_REV",IQ_FY)/I2143, _xll.ciqfunctions.udf.CIQ(A2133, "IQ_TOTAL_REV",IQ_LTM)/I2143))</f>
        <v>49.822415789846865</v>
      </c>
      <c r="E2143" s="22">
        <f t="shared" si="571"/>
        <v>-4.5447984960698858E-2</v>
      </c>
      <c r="F2143" s="21">
        <f>IF(A2141=A2142,_xll.ciqfunctions.udf.CIQ(A2133,"IQ_DILUT_EPS_EXCL",IQ_FY), _xll.ciqfunctions.udf.CIQ(A2133, "IQ_DILUT_EPS_EXCL",IQ_LTM))</f>
        <v>5.3770499999999997</v>
      </c>
      <c r="G2143" s="21">
        <f>IF(A2141=A2142,_xll.ciqfunctions.udf.CIQ(A2133,"IQ_EBITDA_MARGIN",IQ_FY), _xll.ciqfunctions.udf.CIQ(A2133, "IQ_EBITDA_MARGIN",IQ_LTM))</f>
        <v>14.6724</v>
      </c>
      <c r="H2143" s="21">
        <f>IF(A2141=A2142,_xll.ciqfunctions.udf.CIQ(A2133,"IQ_TOTAL_DIV_PAID_CF",IQ_FY)/-I2143, _xll.ciqfunctions.udf.CIQ(A2133, "IQ_TOTAL_DIV_PAID_CF",IQ_LTM)/-I2143)</f>
        <v>0</v>
      </c>
      <c r="I2143" s="23">
        <f>IF(A2141=A2142,_xll.ciqfunctions.udf.CIQ(A2133,"IQ_TOTAL_OUTSTANDING_FILING_DATE",IQ_FY),_xll.ciqfunctions.udf.CIQ(A2133,"IQ_sharesoutstanding"))</f>
        <v>18.616520000000001</v>
      </c>
      <c r="J2143" s="23">
        <f>IF(A2141=A2142,_xll.ciqfunctions.udf.CIQ(A2133,"IQ_CASH_OPER",IQ_FY), _xll.ciqfunctions.udf.CIQ(A2133, "IQ_CASH_OPER",IQ_LTM))</f>
        <v>187.149</v>
      </c>
      <c r="K2143" s="23">
        <f>IF(A2141=A2142,_xll.ciqfunctions.udf.CIQ(A2133,"IQ_CAPEX",IQ_FY), _xll.ciqfunctions.udf.CIQ(A2133, "IQ_CAPEX",IQ_LTM))</f>
        <v>-64.326999999999998</v>
      </c>
      <c r="L2143" s="21">
        <f t="shared" si="568"/>
        <v>6.5974736416902831</v>
      </c>
      <c r="M2143" s="23">
        <f>IF(A2141=A2142,_xll.ciqfunctions.udf.CIQ(A2133,"IQ_TOTAL_DEBT_ISSUED",IQ_FY), _xll.ciqfunctions.udf.CIQ(A2133, "IQ_TOTAL_DEBT_ISSUED",IQ_LTM))</f>
        <v>0</v>
      </c>
      <c r="N2143" s="23">
        <f>IF(A2141=A2142,_xll.ciqfunctions.udf.CIQ(A2133,"IQ_TOTAL_DEBT_REPAID",IQ_FY), _xll.ciqfunctions.udf.CIQ(A2133, "IQ_TOTAL_DEBT_REPAID",IQ_LTM))</f>
        <v>-210.39699999999999</v>
      </c>
      <c r="O2143" s="21">
        <f t="shared" si="569"/>
        <v>-11.301628875858645</v>
      </c>
      <c r="P2143" s="21">
        <f t="shared" si="570"/>
        <v>-4.7041552341683621</v>
      </c>
      <c r="Q2143" s="25" t="s">
        <v>45</v>
      </c>
      <c r="S2143" s="45"/>
      <c r="U2143" s="25"/>
      <c r="W2143" s="45"/>
      <c r="Y2143" s="25"/>
      <c r="AA2143" s="45"/>
    </row>
    <row r="2144" spans="1:27">
      <c r="B2144" s="24"/>
      <c r="C2144" s="25" t="s">
        <v>37</v>
      </c>
      <c r="E2144" s="26">
        <f>((D2143/D2138)^(1/5))-1</f>
        <v>8.8423546577278689E-3</v>
      </c>
      <c r="F2144" s="27">
        <f>((F2143/F2138)^(1/5))-1</f>
        <v>2.7280970827195494E-2</v>
      </c>
      <c r="G2144" s="28"/>
      <c r="H2144" s="27" t="e">
        <f>((H2143/H2138)^(1/5))-1</f>
        <v>#DIV/0!</v>
      </c>
      <c r="I2144" s="27">
        <f>((I2143/I2138)^(1/5))-1</f>
        <v>1.9235453751087483E-3</v>
      </c>
      <c r="J2144" s="27"/>
      <c r="K2144" s="27"/>
      <c r="L2144" s="26">
        <f>((L2143/L2138)^(1/5))-1</f>
        <v>-2.3866433174136832</v>
      </c>
      <c r="M2144" s="26"/>
      <c r="N2144" s="26"/>
      <c r="O2144" s="26"/>
      <c r="P2144" s="26">
        <f>((P2143/P2138)^(1/5))-1</f>
        <v>-2.0361994450835033</v>
      </c>
      <c r="Q2144" s="18"/>
      <c r="R2144" s="36"/>
      <c r="S2144" s="45"/>
      <c r="U2144" s="18"/>
      <c r="V2144" s="36"/>
      <c r="W2144" s="45"/>
      <c r="Y2144" s="18"/>
      <c r="Z2144" s="36"/>
      <c r="AA2144" s="45"/>
    </row>
    <row r="2145" spans="1:27">
      <c r="A2145" s="29"/>
      <c r="B2145" s="30"/>
      <c r="C2145" s="31" t="s">
        <v>38</v>
      </c>
      <c r="D2145" s="29"/>
      <c r="E2145" s="32">
        <f>((D2143/D2133)^(1/10))-1</f>
        <v>5.1839303479241927E-2</v>
      </c>
      <c r="F2145" s="33">
        <f>((F2143/F2133)^(1/10))-1</f>
        <v>9.600001855002338E-2</v>
      </c>
      <c r="G2145" s="34"/>
      <c r="H2145" s="33" t="e">
        <f>((H2143/H2133)^(1/10))-1</f>
        <v>#DIV/0!</v>
      </c>
      <c r="I2145" s="33">
        <f>((I2143/I2133)^(1/10))-1</f>
        <v>4.0296566722239913E-3</v>
      </c>
      <c r="J2145" s="33"/>
      <c r="K2145" s="33"/>
      <c r="L2145" s="32">
        <f>((L2143/L2133)^(1/10))-1</f>
        <v>6.7916184210693009E-2</v>
      </c>
      <c r="M2145" s="32"/>
      <c r="N2145" s="32"/>
      <c r="O2145" s="32"/>
      <c r="P2145" s="32" t="e">
        <f>((P2143/P2133)^(1/10))-1</f>
        <v>#NUM!</v>
      </c>
      <c r="Q2145" s="40"/>
      <c r="R2145" s="41"/>
      <c r="S2145" s="46"/>
      <c r="U2145" s="40"/>
      <c r="V2145" s="41"/>
      <c r="W2145" s="46"/>
      <c r="Y2145" s="40"/>
      <c r="Z2145" s="41"/>
      <c r="AA2145" s="46"/>
    </row>
    <row r="2146" spans="1:27">
      <c r="B2146" s="24"/>
      <c r="C2146" s="25"/>
      <c r="E2146" s="26"/>
      <c r="F2146" s="27"/>
      <c r="G2146" s="28"/>
      <c r="H2146" s="27"/>
      <c r="I2146" s="27"/>
      <c r="J2146" s="27"/>
      <c r="K2146" s="27"/>
      <c r="L2146" s="26"/>
      <c r="M2146" s="17"/>
      <c r="N2146" s="17"/>
      <c r="O2146" s="17"/>
      <c r="P2146" s="35"/>
      <c r="Q2146" s="18"/>
      <c r="R2146" s="36"/>
    </row>
    <row r="2147" spans="1:27">
      <c r="A2147" s="9" t="s">
        <v>0</v>
      </c>
      <c r="B2147" s="10"/>
      <c r="C2147" s="9" t="s">
        <v>1</v>
      </c>
      <c r="D2147" s="9" t="s">
        <v>2</v>
      </c>
      <c r="E2147" s="9" t="s">
        <v>3</v>
      </c>
      <c r="F2147" s="11" t="s">
        <v>4</v>
      </c>
      <c r="G2147" s="11" t="s">
        <v>5</v>
      </c>
      <c r="H2147" s="9" t="s">
        <v>6</v>
      </c>
      <c r="I2147" s="11" t="s">
        <v>7</v>
      </c>
      <c r="J2147" s="11" t="s">
        <v>8</v>
      </c>
      <c r="K2147" s="11" t="s">
        <v>9</v>
      </c>
      <c r="L2147" s="11" t="s">
        <v>10</v>
      </c>
      <c r="M2147" s="11" t="s">
        <v>11</v>
      </c>
      <c r="N2147" s="11" t="s">
        <v>12</v>
      </c>
      <c r="O2147" s="11" t="s">
        <v>13</v>
      </c>
      <c r="P2147" s="11" t="s">
        <v>14</v>
      </c>
      <c r="Q2147" s="37" t="s">
        <v>15</v>
      </c>
      <c r="R2147" s="42">
        <f>_xll.ciqfunctions.udf.CIQ(A2148,("IQ_LASTSALEPRICE"))</f>
        <v>68.61</v>
      </c>
      <c r="S2147" s="44"/>
      <c r="U2147" s="37" t="s">
        <v>15</v>
      </c>
      <c r="V2147" s="42">
        <f>_xll.ciqfunctions.udf.CIQ(A2148,("IQ_LASTSALEPRICE"))</f>
        <v>68.61</v>
      </c>
      <c r="W2147" s="44"/>
      <c r="Y2147" s="37" t="s">
        <v>15</v>
      </c>
      <c r="Z2147" s="42">
        <f>_xll.ciqfunctions.udf.CIQ(A2148,("IQ_LASTSALEPRICE"))</f>
        <v>68.61</v>
      </c>
      <c r="AA2147" s="44"/>
    </row>
    <row r="2148" spans="1:27">
      <c r="A2148" s="12" t="str">
        <f>Analysis!B145</f>
        <v>NYSE:BDC</v>
      </c>
      <c r="B2148" s="13">
        <v>1</v>
      </c>
      <c r="C2148" s="14" t="s">
        <v>16</v>
      </c>
      <c r="D2148" s="15">
        <f>IF(A2156=A2157,_xll.ciqfunctions.udf.CIQ(A2148,"IQ_TOTAL_REV",IQ_FY-10)/I2148,_xll.ciqfunctions.udf.CIQ(A2148, "IQ_TOTAL_REV",IQ_FY-9)/I2148)</f>
        <v>47.595249475673022</v>
      </c>
      <c r="E2148" s="16"/>
      <c r="F2148" s="15">
        <f>IF(A2156=A2157,_xll.ciqfunctions.udf.CIQ(A2148,"IQ_DILUT_EPS_EXCL",IQ_FY-10), _xll.ciqfunctions.udf.CIQ(A2148, "IQ_DILUT_EPS_EXCL",IQ_FY-9))</f>
        <v>2.34</v>
      </c>
      <c r="G2148" s="15">
        <f>IF(A2156=A2157,_xll.ciqfunctions.udf.CIQ(A2148,"IQ_EBITDA_MARGIN",IQ_FY-10), _xll.ciqfunctions.udf.CIQ(A2148, "IQ_EBITDA_MARGIN",IQ_FY-9))</f>
        <v>14.896599999999999</v>
      </c>
      <c r="H2148" s="15">
        <f>IF(A2156=A2157,_xll.ciqfunctions.udf.CIQ(A2148,"IQ_TOTAL_DIV_PAID_CF",IQ_FY-10)/-I2148, _xll.ciqfunctions.udf.CIQ(A2148, "IQ_TOTAL_DIV_PAID_CF",IQ_FY-9)/-I2148)</f>
        <v>0.15360629772019546</v>
      </c>
      <c r="I2148" s="17">
        <f>IF(A2156=A2157,_xll.ciqfunctions.udf.CIQ(A2148,"IQ_TOTAL_OUTSTANDING_FILING_DATE",IQ_FY-10), _xll.ciqfunctions.udf.CIQ(A2148, "IQ_TOTAL_OUTSTANDING_FILING_DATE",IQ_FY-9))</f>
        <v>43.474780000000003</v>
      </c>
      <c r="J2148" s="17">
        <f>IF(A2156=A2157,_xll.ciqfunctions.udf.CIQ(A2148,"IQ_CASH_OPER",IQ_FY-10), _xll.ciqfunctions.udf.CIQ(A2148, "IQ_CASH_OPER",IQ_FY-9))</f>
        <v>164.601</v>
      </c>
      <c r="K2148" s="17">
        <f>IF(A2156=A2157,_xll.ciqfunctions.udf.CIQ(A2148,"IQ_CAPEX",IQ_FY-10), _xll.ciqfunctions.udf.CIQ(A2148, "IQ_CAPEX",IQ_FY-9))</f>
        <v>-40.209000000000003</v>
      </c>
      <c r="L2148" s="15">
        <f t="shared" ref="L2148:L2158" si="572">(J2148+K2148)/I2148</f>
        <v>2.8612450712804063</v>
      </c>
      <c r="M2148" s="17">
        <f>IF(A2156=A2157,_xll.ciqfunctions.udf.CIQ(A2148,"IQ_TOTAL_DEBT_ISSUED",IQ_FY-10), _xll.ciqfunctions.udf.CIQ(A2148, "IQ_TOTAL_DEBT_ISSUED",IQ_FY-9))</f>
        <v>637.59500000000003</v>
      </c>
      <c r="N2148" s="17">
        <f>IF(A2156=A2157,_xll.ciqfunctions.udf.CIQ(A2148,"IQ_TOTAL_DEBT_REPAID",IQ_FY-10), _xll.ciqfunctions.udf.CIQ(A2148, "IQ_TOTAL_DEBT_REPAID",IQ_FY-9))</f>
        <v>-434.74299999999999</v>
      </c>
      <c r="O2148" s="15">
        <f t="shared" ref="O2148:O2158" si="573">(M2148+N2148)/I2148</f>
        <v>4.665969557522776</v>
      </c>
      <c r="P2148" s="15">
        <f t="shared" ref="P2148:P2158" si="574">L2148+O2148</f>
        <v>7.5272146288031827</v>
      </c>
      <c r="W2148" s="43"/>
      <c r="AA2148" s="43"/>
    </row>
    <row r="2149" spans="1:27">
      <c r="A2149" s="18" t="str">
        <f>_xll.ciqfunctions.udf.CIQ(A2148,"IQ_COMPANY_NAME")</f>
        <v>Belden Inc.</v>
      </c>
      <c r="B2149" s="13">
        <v>2</v>
      </c>
      <c r="C2149" s="14" t="s">
        <v>17</v>
      </c>
      <c r="D2149" s="15">
        <f>IF(A2156=A2157,_xll.ciqfunctions.udf.CIQ(A2148,"IQ_TOTAL_REV",IQ_FY-9)/I2149, _xll.ciqfunctions.udf.CIQ(A2148, "IQ_TOTAL_REV",IQ_FY-8)/I2149)</f>
        <v>54.290171643556782</v>
      </c>
      <c r="E2149" s="16">
        <f t="shared" ref="E2149:E2158" si="575">(D2149-D2148)/D2148</f>
        <v>0.14066366374034203</v>
      </c>
      <c r="F2149" s="15">
        <f>IF(A2156=A2157,_xll.ciqfunctions.udf.CIQ(A2148,"IQ_DILUT_EPS_EXCL",IQ_FY-9), _xll.ciqfunctions.udf.CIQ(A2148, "IQ_DILUT_EPS_EXCL",IQ_FY-8))</f>
        <v>1.69</v>
      </c>
      <c r="G2149" s="15">
        <f>IF(A2156=A2157,_xll.ciqfunctions.udf.CIQ(A2148,"IQ_EBITDA_MARGIN",IQ_FY-9), _xll.ciqfunctions.udf.CIQ(A2148, "IQ_EBITDA_MARGIN",IQ_FY-8))</f>
        <v>14.9238</v>
      </c>
      <c r="H2149" s="15">
        <f>IF(A2156=A2157,_xll.ciqfunctions.udf.CIQ(A2148,"IQ_TOTAL_DIV_PAID_CF",IQ_FY-9)/-I2149, _xll.ciqfunctions.udf.CIQ(A2148, "IQ_TOTAL_DIV_PAID_CF",IQ_FY-8)/-I2149)</f>
        <v>0.20459964654287982</v>
      </c>
      <c r="I2149" s="17">
        <f>IF(A2156=A2157,_xll.ciqfunctions.udf.CIQ(A2148,"IQ_TOTAL_OUTSTANDING_FILING_DATE",IQ_FY-9), _xll.ciqfunctions.udf.CIQ(A2148, "IQ_TOTAL_OUTSTANDING_FILING_DATE",IQ_FY-8))</f>
        <v>42.517180000000003</v>
      </c>
      <c r="J2149" s="17">
        <f>IF(A2156=A2157,_xll.ciqfunctions.udf.CIQ(A2148,"IQ_CASH_OPER",IQ_FY-9), _xll.ciqfunctions.udf.CIQ(A2148, "IQ_CASH_OPER",IQ_FY-8))</f>
        <v>200.887</v>
      </c>
      <c r="K2149" s="17">
        <f>IF(A2156=A2157,_xll.ciqfunctions.udf.CIQ(A2148,"IQ_CAPEX",IQ_FY-9), _xll.ciqfunctions.udf.CIQ(A2148, "IQ_CAPEX",IQ_FY-8))</f>
        <v>-45.459000000000003</v>
      </c>
      <c r="L2149" s="15">
        <f t="shared" si="572"/>
        <v>3.6556516683373634</v>
      </c>
      <c r="M2149" s="17">
        <f>IF(A2156=A2157,_xll.ciqfunctions.udf.CIQ(A2148,"IQ_TOTAL_DEBT_ISSUED",IQ_FY-9), _xll.ciqfunctions.udf.CIQ(A2148, "IQ_TOTAL_DEBT_ISSUED",IQ_FY-8))</f>
        <v>456.16300000000001</v>
      </c>
      <c r="N2149" s="17">
        <f>IF(A2156=A2157,_xll.ciqfunctions.udf.CIQ(A2148,"IQ_TOTAL_DEBT_REPAID",IQ_FY-9), _xll.ciqfunctions.udf.CIQ(A2148, "IQ_TOTAL_DEBT_REPAID",IQ_FY-8))</f>
        <v>-2.5</v>
      </c>
      <c r="O2149" s="15">
        <f t="shared" si="573"/>
        <v>10.670110294238706</v>
      </c>
      <c r="P2149" s="15">
        <f t="shared" si="574"/>
        <v>14.325761962576069</v>
      </c>
      <c r="Q2149" s="25" t="s">
        <v>18</v>
      </c>
      <c r="R2149" s="39" t="s">
        <v>19</v>
      </c>
      <c r="S2149" s="1">
        <f>R2147/((AVERAGE(P2153:P2158))*(1+E2159)^3)</f>
        <v>21.709350252556916</v>
      </c>
      <c r="U2149" s="25" t="s">
        <v>48</v>
      </c>
      <c r="V2149" s="39" t="s">
        <v>19</v>
      </c>
      <c r="W2149" s="1">
        <f>V2147/((AVERAGE(P2153:P2158))*(1+E2159)^3)</f>
        <v>21.709350252556916</v>
      </c>
      <c r="Y2149" s="25" t="s">
        <v>39</v>
      </c>
      <c r="Z2149" s="39" t="s">
        <v>19</v>
      </c>
      <c r="AA2149" s="1">
        <f>Z2147/((AVERAGE(P2153:P2158))*(1+E2159)^3)</f>
        <v>21.709350252556916</v>
      </c>
    </row>
    <row r="2150" spans="1:27">
      <c r="B2150" s="13">
        <v>3</v>
      </c>
      <c r="C2150" s="14" t="s">
        <v>20</v>
      </c>
      <c r="D2150" s="15" cm="1">
        <f t="array" ref="D2150">_xlfn.SINGLE(IF(A2156=A2157,_xll.ciqfunctions.udf.CIQ(A2148,"IQ_TOTAL_REV",IQ_FY-8)/I2150, _xll.ciqfunctions.udf.CIQ(A2148, "IQ_TOTAL_REV",IQ_FY-7)/I2150))</f>
        <v>54.997307558294764</v>
      </c>
      <c r="E2150" s="16">
        <f t="shared" si="575"/>
        <v>1.302511842070969E-2</v>
      </c>
      <c r="F2150" s="15">
        <f>IF(A2156=A2157,_xll.ciqfunctions.udf.CIQ(A2148,"IQ_DILUT_EPS_EXCL",IQ_FY-8), _xll.ciqfunctions.udf.CIQ(A2148, "IQ_DILUT_EPS_EXCL",IQ_FY-7))</f>
        <v>1.55</v>
      </c>
      <c r="G2150" s="15">
        <f>IF(A2156=A2157,_xll.ciqfunctions.udf.CIQ(A2148,"IQ_EBITDA_MARGIN",IQ_FY-8), _xll.ciqfunctions.udf.CIQ(A2148, "IQ_EBITDA_MARGIN",IQ_FY-7))</f>
        <v>15.0524</v>
      </c>
      <c r="H2150" s="15">
        <f>IF(A2156=A2157,_xll.ciqfunctions.udf.CIQ(A2148,"IQ_TOTAL_DIV_PAID_CF",IQ_FY-8)/-I2150, _xll.ciqfunctions.udf.CIQ(A2148, "IQ_TOTAL_DIV_PAID_CF",IQ_FY-7)/-I2150)</f>
        <v>0.19993850610806777</v>
      </c>
      <c r="I2150" s="17">
        <f>IF(A2156=A2157,_xll.ciqfunctions.udf.CIQ(A2148,"IQ_TOTAL_OUTSTANDING_FILING_DATE",IQ_FY-8), _xll.ciqfunctions.udf.CIQ(A2148, "IQ_TOTAL_OUTSTANDING_FILING_DATE",IQ_FY-7))</f>
        <v>41.987909999999999</v>
      </c>
      <c r="J2150" s="17">
        <f>IF(A2156=A2157,_xll.ciqfunctions.udf.CIQ(A2148,"IQ_CASH_OPER",IQ_FY-8), _xll.ciqfunctions.udf.CIQ(A2148, "IQ_CASH_OPER",IQ_FY-7))</f>
        <v>241.46</v>
      </c>
      <c r="K2150" s="17">
        <f>IF(A2156=A2157,_xll.ciqfunctions.udf.CIQ(A2148,"IQ_CAPEX",IQ_FY-8), _xll.ciqfunctions.udf.CIQ(A2148, "IQ_CAPEX",IQ_FY-7))</f>
        <v>-54.969000000000001</v>
      </c>
      <c r="L2150" s="15">
        <f t="shared" si="572"/>
        <v>4.4415404339010927</v>
      </c>
      <c r="M2150" s="17">
        <f>IF(A2156=A2157,_xll.ciqfunctions.udf.CIQ(A2148,"IQ_TOTAL_DEBT_ISSUED",IQ_FY-8), _xll.ciqfunctions.udf.CIQ(A2148, "IQ_TOTAL_DEBT_ISSUED",IQ_FY-7))</f>
        <v>200</v>
      </c>
      <c r="N2150" s="17">
        <f>IF(A2156=A2157,_xll.ciqfunctions.udf.CIQ(A2148,"IQ_TOTAL_DEBT_REPAID",IQ_FY-8), _xll.ciqfunctions.udf.CIQ(A2148, "IQ_TOTAL_DEBT_REPAID",IQ_FY-7))</f>
        <v>-152.5</v>
      </c>
      <c r="O2150" s="15">
        <f t="shared" si="573"/>
        <v>1.1312780274131291</v>
      </c>
      <c r="P2150" s="15">
        <f t="shared" si="574"/>
        <v>5.5728184613142222</v>
      </c>
      <c r="Q2150" s="25" t="s">
        <v>21</v>
      </c>
      <c r="R2150" s="38" t="s">
        <v>49</v>
      </c>
      <c r="S2150" s="2">
        <f>(R2147*I2158)/1000</f>
        <v>2.8597752620999999</v>
      </c>
      <c r="U2150" s="25" t="s">
        <v>59</v>
      </c>
      <c r="V2150" s="38" t="s">
        <v>49</v>
      </c>
      <c r="W2150" s="2">
        <f>(V2147*I2158)/1000</f>
        <v>2.8597752620999999</v>
      </c>
      <c r="Y2150" s="25" t="s">
        <v>46</v>
      </c>
      <c r="Z2150" s="38" t="s">
        <v>49</v>
      </c>
      <c r="AA2150" s="2">
        <f>(Z2147*I2158)/1000</f>
        <v>2.8597752620999999</v>
      </c>
    </row>
    <row r="2151" spans="1:27">
      <c r="A2151" s="18"/>
      <c r="B2151" s="13">
        <v>4</v>
      </c>
      <c r="C2151" s="14" t="s">
        <v>22</v>
      </c>
      <c r="D2151" s="15" cm="1">
        <f t="array" ref="D2151">_xlfn.SINGLE(IF(A2156=A2157,_xll.ciqfunctions.udf.CIQ(A2148,"IQ_TOTAL_REV",IQ_FY-7)/I2151, _xll.ciqfunctions.udf.CIQ(A2148, "IQ_TOTAL_REV",IQ_FY-6)/I2151))</f>
        <v>55.868330575087704</v>
      </c>
      <c r="E2151" s="16">
        <f t="shared" si="575"/>
        <v>1.5837557427146647E-2</v>
      </c>
      <c r="F2151" s="15">
        <f>IF(A2156=A2157,_xll.ciqfunctions.udf.CIQ(A2148,"IQ_DILUT_EPS_EXCL",IQ_FY-7), _xll.ciqfunctions.udf.CIQ(A2148, "IQ_DILUT_EPS_EXCL",IQ_FY-6))</f>
        <v>2.65</v>
      </c>
      <c r="G2151" s="15">
        <f>IF(A2156=A2157,_xll.ciqfunctions.udf.CIQ(A2148,"IQ_EBITDA_MARGIN",IQ_FY-7), _xll.ciqfunctions.udf.CIQ(A2148, "IQ_EBITDA_MARGIN",IQ_FY-6))</f>
        <v>18.245000000000001</v>
      </c>
      <c r="H2151" s="15">
        <f>IF(A2156=A2157,_xll.ciqfunctions.udf.CIQ(A2148,"IQ_TOTAL_DIV_PAID_CF",IQ_FY-7)/-I2151, _xll.ciqfunctions.udf.CIQ(A2148, "IQ_TOTAL_DIV_PAID_CF",IQ_FY-6)/-I2151)</f>
        <v>0.38117603438952691</v>
      </c>
      <c r="I2151" s="17">
        <f>IF(A2156=A2157,_xll.ciqfunctions.udf.CIQ(A2148,"IQ_TOTAL_OUTSTANDING_FILING_DATE",IQ_FY-7), _xll.ciqfunctions.udf.CIQ(A2148, "IQ_TOTAL_OUTSTANDING_FILING_DATE",IQ_FY-6))</f>
        <v>42.182609999999997</v>
      </c>
      <c r="J2151" s="17">
        <f>IF(A2156=A2157,_xll.ciqfunctions.udf.CIQ(A2148,"IQ_CASH_OPER",IQ_FY-7), _xll.ciqfunctions.udf.CIQ(A2148, "IQ_CASH_OPER",IQ_FY-6))</f>
        <v>314.79399999999998</v>
      </c>
      <c r="K2151" s="17">
        <f>IF(A2156=A2157,_xll.ciqfunctions.udf.CIQ(A2148,"IQ_CAPEX",IQ_FY-7), _xll.ciqfunctions.udf.CIQ(A2148, "IQ_CAPEX",IQ_FY-6))</f>
        <v>-53.973999999999997</v>
      </c>
      <c r="L2151" s="15">
        <f t="shared" si="572"/>
        <v>6.1831166919258909</v>
      </c>
      <c r="M2151" s="17">
        <f>IF(A2156=A2157,_xll.ciqfunctions.udf.CIQ(A2148,"IQ_TOTAL_DEBT_ISSUED",IQ_FY-7), _xll.ciqfunctions.udf.CIQ(A2148, "IQ_TOTAL_DEBT_ISSUED",IQ_FY-6))</f>
        <v>222.05</v>
      </c>
      <c r="N2151" s="17">
        <f>IF(A2156=A2157,_xll.ciqfunctions.udf.CIQ(A2148,"IQ_TOTAL_DEBT_REPAID",IQ_FY-7), _xll.ciqfunctions.udf.CIQ(A2148, "IQ_TOTAL_DEBT_REPAID",IQ_FY-6))</f>
        <v>-294.375</v>
      </c>
      <c r="O2151" s="15">
        <f t="shared" si="573"/>
        <v>-1.714569107980753</v>
      </c>
      <c r="P2151" s="15">
        <f t="shared" si="574"/>
        <v>4.4685475839451376</v>
      </c>
      <c r="Q2151" s="25" t="s">
        <v>23</v>
      </c>
      <c r="R2151" s="38" t="s">
        <v>24</v>
      </c>
      <c r="S2151" s="1">
        <f>R2147/(AVERAGE(H2153:H2158)*(1+H2159)/(0.5-H2159))</f>
        <v>168.71700281447247</v>
      </c>
      <c r="U2151" s="25" t="s">
        <v>40</v>
      </c>
      <c r="V2151" s="38" t="s">
        <v>24</v>
      </c>
      <c r="W2151" s="1">
        <f>V2147/(AVERAGE(H2153:H2158)*(1+H2159)/(0.5-H2159))</f>
        <v>168.71700281447247</v>
      </c>
      <c r="Y2151" s="25" t="s">
        <v>47</v>
      </c>
      <c r="Z2151" s="38" t="s">
        <v>24</v>
      </c>
      <c r="AA2151" s="1">
        <f>Z2147/(AVERAGE(H2153:H2158)*(1+H2159)/(0.5-H2159))</f>
        <v>168.71700281447247</v>
      </c>
    </row>
    <row r="2152" spans="1:27">
      <c r="B2152" s="13">
        <v>5</v>
      </c>
      <c r="C2152" s="14" t="s">
        <v>25</v>
      </c>
      <c r="D2152" s="15" cm="1">
        <f t="array" ref="D2152">_xlfn.SINGLE(IF(A2156=A2157,_xll.ciqfunctions.udf.CIQ(A2148,"IQ_TOTAL_REV",IQ_FY-6)/I2152, _xll.ciqfunctions.udf.CIQ(A2148, "IQ_TOTAL_REV",IQ_FY-5)/I2152))</f>
        <v>49.777179222028039</v>
      </c>
      <c r="E2152" s="16">
        <f t="shared" si="575"/>
        <v>-0.1090269082745024</v>
      </c>
      <c r="F2152" s="15">
        <f>IF(A2156=A2157,_xll.ciqfunctions.udf.CIQ(A2148,"IQ_DILUT_EPS_EXCL",IQ_FY-6), _xll.ciqfunctions.udf.CIQ(A2148, "IQ_DILUT_EPS_EXCL",IQ_FY-5))</f>
        <v>1.6</v>
      </c>
      <c r="G2152" s="15">
        <f>IF(A2156=A2157,_xll.ciqfunctions.udf.CIQ(A2148,"IQ_EBITDA_MARGIN",IQ_FY-6), _xll.ciqfunctions.udf.CIQ(A2148, "IQ_EBITDA_MARGIN",IQ_FY-5))</f>
        <v>19.641500000000001</v>
      </c>
      <c r="H2152" s="15">
        <f>IF(A2156=A2157,_xll.ciqfunctions.udf.CIQ(A2148,"IQ_TOTAL_DIV_PAID_CF",IQ_FY-6)/-I2152, _xll.ciqfunctions.udf.CIQ(A2148, "IQ_TOTAL_DIV_PAID_CF",IQ_FY-5)/-I2152)</f>
        <v>1.0344722321857851</v>
      </c>
      <c r="I2152" s="17">
        <f>IF(A2156=A2157,_xll.ciqfunctions.udf.CIQ(A2148,"IQ_TOTAL_OUTSTANDING_FILING_DATE",IQ_FY-6), _xll.ciqfunctions.udf.CIQ(A2148, "IQ_TOTAL_OUTSTANDING_FILING_DATE",IQ_FY-5))</f>
        <v>41.93056</v>
      </c>
      <c r="J2152" s="17">
        <f>IF(A2156=A2157,_xll.ciqfunctions.udf.CIQ(A2148,"IQ_CASH_OPER",IQ_FY-6), _xll.ciqfunctions.udf.CIQ(A2148, "IQ_CASH_OPER",IQ_FY-5))</f>
        <v>255.3</v>
      </c>
      <c r="K2152" s="17">
        <f>IF(A2156=A2157,_xll.ciqfunctions.udf.CIQ(A2148,"IQ_CAPEX",IQ_FY-6), _xll.ciqfunctions.udf.CIQ(A2148, "IQ_CAPEX",IQ_FY-5))</f>
        <v>-64.260999999999996</v>
      </c>
      <c r="L2152" s="15">
        <f t="shared" si="572"/>
        <v>4.5560803385406734</v>
      </c>
      <c r="M2152" s="17">
        <f>IF(A2156=A2157,_xll.ciqfunctions.udf.CIQ(A2148,"IQ_TOTAL_DEBT_ISSUED",IQ_FY-6), _xll.ciqfunctions.udf.CIQ(A2148, "IQ_TOTAL_DEBT_ISSUED",IQ_FY-5))</f>
        <v>866.7</v>
      </c>
      <c r="N2152" s="17">
        <f>IF(A2156=A2157,_xll.ciqfunctions.udf.CIQ(A2148,"IQ_TOTAL_DEBT_REPAID",IQ_FY-6), _xll.ciqfunctions.udf.CIQ(A2148, "IQ_TOTAL_DEBT_REPAID",IQ_FY-5))</f>
        <v>-1105.8920000000001</v>
      </c>
      <c r="O2152" s="15">
        <f t="shared" si="573"/>
        <v>-5.7044790243679078</v>
      </c>
      <c r="P2152" s="15">
        <f t="shared" si="574"/>
        <v>-1.1483986858272344</v>
      </c>
      <c r="Q2152" s="18"/>
      <c r="R2152" s="38" t="s">
        <v>50</v>
      </c>
      <c r="S2152" s="3">
        <f>I2159</f>
        <v>1.1325489760680041E-2</v>
      </c>
      <c r="U2152" s="18"/>
      <c r="V2152" s="38" t="s">
        <v>50</v>
      </c>
      <c r="W2152" s="3">
        <f>I2159</f>
        <v>1.1325489760680041E-2</v>
      </c>
      <c r="Y2152" s="18"/>
      <c r="Z2152" s="38" t="s">
        <v>50</v>
      </c>
      <c r="AA2152" s="3">
        <f>I2159</f>
        <v>1.1325489760680041E-2</v>
      </c>
    </row>
    <row r="2153" spans="1:27">
      <c r="B2153" s="13">
        <v>6</v>
      </c>
      <c r="C2153" s="14" t="s">
        <v>26</v>
      </c>
      <c r="D2153" s="15" cm="1">
        <f t="array" ref="D2153">_xlfn.SINGLE(IF(A2156=A2157,_xll.ciqfunctions.udf.CIQ(A2148,"IQ_TOTAL_REV",IQ_FY-5)/I2153, _xll.ciqfunctions.udf.CIQ(A2148, "IQ_TOTAL_REV",IQ_FY-4)/I2153))</f>
        <v>54.967878960624034</v>
      </c>
      <c r="E2153" s="16">
        <f t="shared" si="575"/>
        <v>0.10427870401099265</v>
      </c>
      <c r="F2153" s="15">
        <f>IF(A2156=A2157,_xll.ciqfunctions.udf.CIQ(A2148,"IQ_DILUT_EPS_EXCL",IQ_FY-5), _xll.ciqfunctions.udf.CIQ(A2148, "IQ_DILUT_EPS_EXCL",IQ_FY-4))</f>
        <v>3.23</v>
      </c>
      <c r="G2153" s="15">
        <f>IF(A2156=A2157,_xll.ciqfunctions.udf.CIQ(A2148,"IQ_EBITDA_MARGIN",IQ_FY-5), _xll.ciqfunctions.udf.CIQ(A2148, "IQ_EBITDA_MARGIN",IQ_FY-4))</f>
        <v>18.1082</v>
      </c>
      <c r="H2153" s="15">
        <f>IF(A2156=A2157,_xll.ciqfunctions.udf.CIQ(A2148,"IQ_TOTAL_DIV_PAID_CF",IQ_FY-5)/-I2153, _xll.ciqfunctions.udf.CIQ(A2148, "IQ_TOTAL_DIV_PAID_CF",IQ_FY-4)/-I2153)</f>
        <v>1.095676305812701</v>
      </c>
      <c r="I2153" s="17">
        <f>IF(A2156=A2157,_xll.ciqfunctions.udf.CIQ(A2148,"IQ_TOTAL_OUTSTANDING_FILING_DATE",IQ_FY-5), _xll.ciqfunctions.udf.CIQ(A2148, "IQ_TOTAL_OUTSTANDING_FILING_DATE",IQ_FY-4))</f>
        <v>39.399410000000003</v>
      </c>
      <c r="J2153" s="17">
        <f>IF(A2156=A2157,_xll.ciqfunctions.udf.CIQ(A2148,"IQ_CASH_OPER",IQ_FY-5), _xll.ciqfunctions.udf.CIQ(A2148, "IQ_CASH_OPER",IQ_FY-4))</f>
        <v>289.22000000000003</v>
      </c>
      <c r="K2153" s="17">
        <f>IF(A2156=A2157,_xll.ciqfunctions.udf.CIQ(A2148,"IQ_CAPEX",IQ_FY-5), _xll.ciqfunctions.udf.CIQ(A2148, "IQ_CAPEX",IQ_FY-4))</f>
        <v>-97.846999999999994</v>
      </c>
      <c r="L2153" s="15">
        <f t="shared" si="572"/>
        <v>4.857255476668306</v>
      </c>
      <c r="M2153" s="17">
        <f>IF(A2156=A2157,_xll.ciqfunctions.udf.CIQ(A2148,"IQ_TOTAL_DEBT_ISSUED",IQ_FY-5), _xll.ciqfunctions.udf.CIQ(A2148, "IQ_TOTAL_DEBT_ISSUED",IQ_FY-4))</f>
        <v>431.27</v>
      </c>
      <c r="N2153" s="17">
        <f>IF(A2156=A2157,_xll.ciqfunctions.udf.CIQ(A2148,"IQ_TOTAL_DEBT_REPAID",IQ_FY-5), _xll.ciqfunctions.udf.CIQ(A2148, "IQ_TOTAL_DEBT_REPAID",IQ_FY-4))</f>
        <v>-484.75700000000001</v>
      </c>
      <c r="O2153" s="15">
        <f t="shared" si="573"/>
        <v>-1.3575583999861931</v>
      </c>
      <c r="P2153" s="15">
        <f t="shared" si="574"/>
        <v>3.4996970766821129</v>
      </c>
      <c r="Q2153" s="25" t="s">
        <v>27</v>
      </c>
      <c r="R2153" s="38" t="s">
        <v>51</v>
      </c>
      <c r="S2153" s="4">
        <f>AVERAGE(F2153:F2158)/AVERAGE(D2153:D2158)</f>
        <v>7.4325138803765303E-2</v>
      </c>
      <c r="U2153" s="25" t="s">
        <v>58</v>
      </c>
      <c r="V2153" s="38" t="s">
        <v>51</v>
      </c>
      <c r="W2153" s="4">
        <f>AVERAGE(F2153:F2158)/AVERAGE(D2153:D2158)</f>
        <v>7.4325138803765303E-2</v>
      </c>
      <c r="Y2153" s="25" t="s">
        <v>56</v>
      </c>
      <c r="Z2153" s="38" t="s">
        <v>51</v>
      </c>
      <c r="AA2153" s="4">
        <f>AVERAGE(F2153:F2158)/AVERAGE(D2153:D2158)</f>
        <v>7.4325138803765303E-2</v>
      </c>
    </row>
    <row r="2154" spans="1:27">
      <c r="A2154" s="18"/>
      <c r="B2154" s="13">
        <v>7</v>
      </c>
      <c r="C2154" s="14" t="s">
        <v>28</v>
      </c>
      <c r="D2154" s="15" cm="1">
        <f t="array" ref="D2154">_xlfn.SINGLE(IF(A2156=A2157,_xll.ciqfunctions.udf.CIQ(A2148,"IQ_TOTAL_REV",IQ_FY-4)/I2154, _xll.ciqfunctions.udf.CIQ(A2148, "IQ_TOTAL_REV",IQ_FY-3)/I2154))</f>
        <v>46.882768551419019</v>
      </c>
      <c r="E2154" s="16">
        <f t="shared" si="575"/>
        <v>-0.14708790955890336</v>
      </c>
      <c r="F2154" s="15">
        <f>IF(A2156=A2157,_xll.ciqfunctions.udf.CIQ(A2148,"IQ_DILUT_EPS_EXCL",IQ_FY-4), _xll.ciqfunctions.udf.CIQ(A2148, "IQ_DILUT_EPS_EXCL",IQ_FY-3))</f>
        <v>2.15</v>
      </c>
      <c r="G2154" s="15">
        <f>IF(A2156=A2157,_xll.ciqfunctions.udf.CIQ(A2148,"IQ_EBITDA_MARGIN",IQ_FY-4), _xll.ciqfunctions.udf.CIQ(A2148, "IQ_EBITDA_MARGIN",IQ_FY-3))</f>
        <v>16.4405</v>
      </c>
      <c r="H2154" s="15">
        <f>IF(A2156=A2157,_xll.ciqfunctions.udf.CIQ(A2148,"IQ_TOTAL_DIV_PAID_CF",IQ_FY-4)/-I2154, _xll.ciqfunctions.udf.CIQ(A2148, "IQ_TOTAL_DIV_PAID_CF",IQ_FY-3)/-I2154)</f>
        <v>0.75757159138428676</v>
      </c>
      <c r="I2154" s="17">
        <f>IF(A2156=A2157,_xll.ciqfunctions.udf.CIQ(A2148,"IQ_TOTAL_OUTSTANDING_FILING_DATE",IQ_FY-4), _xll.ciqfunctions.udf.CIQ(A2148, "IQ_TOTAL_OUTSTANDING_FILING_DATE",IQ_FY-3))</f>
        <v>45.45973</v>
      </c>
      <c r="J2154" s="17">
        <f>IF(A2156=A2157,_xll.ciqfunctions.udf.CIQ(A2148,"IQ_CASH_OPER",IQ_FY-4), _xll.ciqfunctions.udf.CIQ(A2148, "IQ_CASH_OPER",IQ_FY-3))</f>
        <v>276.89299999999997</v>
      </c>
      <c r="K2154" s="17">
        <f>IF(A2156=A2157,_xll.ciqfunctions.udf.CIQ(A2148,"IQ_CAPEX",IQ_FY-4), _xll.ciqfunctions.udf.CIQ(A2148, "IQ_CAPEX",IQ_FY-3))</f>
        <v>-110.002</v>
      </c>
      <c r="L2154" s="15">
        <f t="shared" si="572"/>
        <v>3.6711832648368117</v>
      </c>
      <c r="M2154" s="17">
        <f>IF(A2156=A2157,_xll.ciqfunctions.udf.CIQ(A2148,"IQ_TOTAL_DEBT_ISSUED",IQ_FY-4), _xll.ciqfunctions.udf.CIQ(A2148, "IQ_TOTAL_DEBT_ISSUED",IQ_FY-3))</f>
        <v>0</v>
      </c>
      <c r="N2154" s="17">
        <f>IF(A2156=A2157,_xll.ciqfunctions.udf.CIQ(A2148,"IQ_TOTAL_DEBT_REPAID",IQ_FY-4), _xll.ciqfunctions.udf.CIQ(A2148, "IQ_TOTAL_DEBT_REPAID",IQ_FY-3))</f>
        <v>-0.36</v>
      </c>
      <c r="O2154" s="15">
        <f t="shared" si="573"/>
        <v>-7.9190967478249431E-3</v>
      </c>
      <c r="P2154" s="15">
        <f t="shared" si="574"/>
        <v>3.6632641680889866</v>
      </c>
      <c r="Q2154" s="18"/>
      <c r="R2154" s="38" t="s">
        <v>29</v>
      </c>
      <c r="S2154" s="4">
        <f>(AVERAGE(P2153:P2158)/_xlfn.STDEV.P(P2153:P2158))/(IF(A2156=A2157,(_xlfn.SINGLE(_xll.ciqfunctions.udf.CIQ(A2148,"IQ_total_assets",IQ_FY)) - _xlfn.SINGLE(_xll.ciqfunctions.udf.CIQ(A2148,"iq_gw_intan", IQ_FY)))/I2158, (_xlfn.SINGLE(_xll.ciqfunctions.udf.CIQ(A2148, "IQ_total_assets",IQ_LTM))-_xlfn.SINGLE(_xll.ciqfunctions.udf.CIQ(A2148,"iq_gw_intan",IQ_LTM)))/I2158))</f>
        <v>2.7992127652470521E-2</v>
      </c>
      <c r="U2154" s="18"/>
      <c r="V2154" s="38" t="s">
        <v>29</v>
      </c>
      <c r="W2154" s="4">
        <f>(AVERAGE(P2153:P2158)/_xlfn.STDEV.P(P2153:P2158))/(IF(A2156=A2157,(_xlfn.SINGLE(_xll.ciqfunctions.udf.CIQ(A2148,"IQ_total_assets",IQ_FY)) - _xlfn.SINGLE(_xll.ciqfunctions.udf.CIQ(A2148,"iq_gw_intan", IQ_FY)))/I2158, (_xlfn.SINGLE(_xll.ciqfunctions.udf.CIQ(A2148, "IQ_total_assets",IQ_LTM))-_xlfn.SINGLE(_xll.ciqfunctions.udf.CIQ(A2148,"iq_gw_intan",IQ_LTM)))/I2158))</f>
        <v>2.7992127652470521E-2</v>
      </c>
      <c r="Y2154" s="18"/>
      <c r="Z2154" s="38" t="s">
        <v>29</v>
      </c>
      <c r="AA2154" s="4">
        <f>(AVERAGE(P2153:P2158)/_xlfn.STDEV.P(P2153:P2158))/(IF(A2156=A2157,(_xlfn.SINGLE(_xll.ciqfunctions.udf.CIQ(A2148,"IQ_total_assets",IQ_FY)) - _xlfn.SINGLE(_xll.ciqfunctions.udf.CIQ(A2148,"iq_gw_intan", IQ_FY)))/I2158, (_xlfn.SINGLE(_xll.ciqfunctions.udf.CIQ(A2148, "IQ_total_assets",IQ_LTM))-_xlfn.SINGLE(_xll.ciqfunctions.udf.CIQ(A2148,"iq_gw_intan",IQ_LTM)))/I2158))</f>
        <v>2.7992127652470521E-2</v>
      </c>
    </row>
    <row r="2155" spans="1:27">
      <c r="A2155" s="18"/>
      <c r="B2155" s="13">
        <v>8</v>
      </c>
      <c r="C2155" s="14" t="s">
        <v>30</v>
      </c>
      <c r="D2155" s="15" cm="1">
        <f t="array" ref="D2155">_xlfn.SINGLE(IF(A2156=A2157,_xll.ciqfunctions.udf.CIQ(A2148,"IQ_TOTAL_REV",IQ_FY-3)/I2155, _xll.ciqfunctions.udf.CIQ(A2148, "IQ_TOTAL_REV",IQ_FY-2)/I2155))</f>
        <v>39.2366530502931</v>
      </c>
      <c r="E2155" s="16">
        <f t="shared" si="575"/>
        <v>-0.16309010191537615</v>
      </c>
      <c r="F2155" s="15">
        <f>IF(A2156=A2157,_xll.ciqfunctions.udf.CIQ(A2148,"IQ_DILUT_EPS_EXCL",IQ_FY-3), _xll.ciqfunctions.udf.CIQ(A2148, "IQ_DILUT_EPS_EXCL",IQ_FY-2))</f>
        <v>1.57</v>
      </c>
      <c r="G2155" s="15">
        <f>IF(A2156=A2157,_xll.ciqfunctions.udf.CIQ(A2148,"IQ_EBITDA_MARGIN",IQ_FY-3), _xll.ciqfunctions.udf.CIQ(A2148, "IQ_EBITDA_MARGIN",IQ_FY-2))</f>
        <v>15.214</v>
      </c>
      <c r="H2155" s="15">
        <f>IF(A2156=A2157,_xll.ciqfunctions.udf.CIQ(A2148,"IQ_TOTAL_DIV_PAID_CF",IQ_FY-3)/-I2155, _xll.ciqfunctions.udf.CIQ(A2148, "IQ_TOTAL_DIV_PAID_CF",IQ_FY-2)/-I2155)</f>
        <v>0.20218545706811605</v>
      </c>
      <c r="I2155" s="17">
        <f>IF(A2156=A2157,_xll.ciqfunctions.udf.CIQ(A2148,"IQ_TOTAL_OUTSTANDING_FILING_DATE",IQ_FY-3), _xll.ciqfunctions.udf.CIQ(A2148, "IQ_TOTAL_OUTSTANDING_FILING_DATE",IQ_FY-2))</f>
        <v>44.657020000000003</v>
      </c>
      <c r="J2155" s="17">
        <f>IF(A2156=A2157,_xll.ciqfunctions.udf.CIQ(A2148,"IQ_CASH_OPER",IQ_FY-3), _xll.ciqfunctions.udf.CIQ(A2148, "IQ_CASH_OPER",IQ_FY-2))</f>
        <v>173.364</v>
      </c>
      <c r="K2155" s="17">
        <f>IF(A2156=A2157,_xll.ciqfunctions.udf.CIQ(A2148,"IQ_CAPEX",IQ_FY-3), _xll.ciqfunctions.udf.CIQ(A2148, "IQ_CAPEX",IQ_FY-2))</f>
        <v>-90.215000000000003</v>
      </c>
      <c r="L2155" s="15">
        <f t="shared" si="572"/>
        <v>1.8619469010695293</v>
      </c>
      <c r="M2155" s="17">
        <f>IF(A2156=A2157,_xll.ciqfunctions.udf.CIQ(A2148,"IQ_TOTAL_DEBT_ISSUED",IQ_FY-3), _xll.ciqfunctions.udf.CIQ(A2148, "IQ_TOTAL_DEBT_ISSUED",IQ_FY-2))</f>
        <v>190</v>
      </c>
      <c r="N2155" s="17">
        <f>IF(A2156=A2157,_xll.ciqfunctions.udf.CIQ(A2148,"IQ_TOTAL_DEBT_REPAID",IQ_FY-3), _xll.ciqfunctions.udf.CIQ(A2148, "IQ_TOTAL_DEBT_REPAID",IQ_FY-2))</f>
        <v>-190.19399999999999</v>
      </c>
      <c r="O2155" s="15">
        <f t="shared" si="573"/>
        <v>-4.3442218043207624E-3</v>
      </c>
      <c r="P2155" s="15">
        <f t="shared" si="574"/>
        <v>1.8576026792652085</v>
      </c>
      <c r="Q2155" s="18"/>
      <c r="R2155" s="39" t="s">
        <v>31</v>
      </c>
      <c r="S2155" s="5">
        <f>IF(NOT(D2148&gt;0),FALSE,SLOPE(G2148:G2158,B2148:B2158))</f>
        <v>0.10097818181818187</v>
      </c>
      <c r="U2155" s="18"/>
      <c r="V2155" s="39" t="s">
        <v>31</v>
      </c>
      <c r="W2155" s="5">
        <f>IF(NOT(D2148&gt;0),FALSE,SLOPE(G2148:G2158,B2148:B2158))</f>
        <v>0.10097818181818187</v>
      </c>
      <c r="Y2155" s="18"/>
      <c r="Z2155" s="39" t="s">
        <v>31</v>
      </c>
      <c r="AA2155" s="5">
        <f>IF(NOT(L2148&gt;0),FALSE,SLOPE(O2148:O2158,J2148:J2158))</f>
        <v>-3.6904616933886164E-2</v>
      </c>
    </row>
    <row r="2156" spans="1:27">
      <c r="A2156" s="19">
        <f>_xll.ciqfunctions.udf.CIQ(A2148,"IQ_TOTAL_REV",IQ_FY)</f>
        <v>2606.4850000000001</v>
      </c>
      <c r="B2156" s="13">
        <v>9</v>
      </c>
      <c r="C2156" s="14" t="s">
        <v>32</v>
      </c>
      <c r="D2156" s="15" cm="1">
        <f t="array" ref="D2156">_xlfn.SINGLE(IF(A2156=A2157,_xll.ciqfunctions.udf.CIQ(A2148,"IQ_TOTAL_REV",IQ_FY-2)/I2156, _xll.ciqfunctions.udf.CIQ(A2148, "IQ_TOTAL_REV",IQ_FY-1)/I2156))</f>
        <v>51.148420123573608</v>
      </c>
      <c r="E2156" s="16">
        <f t="shared" si="575"/>
        <v>0.30358774633534974</v>
      </c>
      <c r="F2156" s="15">
        <f>IF(A2156=A2157,_xll.ciqfunctions.udf.CIQ(A2148,"IQ_DILUT_EPS_EXCL",IQ_FY-2), _xll.ciqfunctions.udf.CIQ(A2148, "IQ_DILUT_EPS_EXCL",IQ_FY-1))</f>
        <v>4.37</v>
      </c>
      <c r="G2156" s="15">
        <f>IF(A2156=A2157,_xll.ciqfunctions.udf.CIQ(A2148,"IQ_EBITDA_MARGIN",IQ_FY-2), _xll.ciqfunctions.udf.CIQ(A2148, "IQ_EBITDA_MARGIN",IQ_FY-1))</f>
        <v>16.389900000000001</v>
      </c>
      <c r="H2156" s="15">
        <f>IF(A2156=A2157,_xll.ciqfunctions.udf.CIQ(A2148,"IQ_TOTAL_DIV_PAID_CF",IQ_FY-2)/-I2156, _xll.ciqfunctions.udf.CIQ(A2148, "IQ_TOTAL_DIV_PAID_CF",IQ_FY-1)/-I2156)</f>
        <v>0.20128107760056774</v>
      </c>
      <c r="I2156" s="17">
        <f>IF(A2156=A2157,_xll.ciqfunctions.udf.CIQ(A2148,"IQ_TOTAL_OUTSTANDING_FILING_DATE",IQ_FY-2), _xll.ciqfunctions.udf.CIQ(A2148, "IQ_TOTAL_OUTSTANDING_FILING_DATE",IQ_FY-1))</f>
        <v>44.991810000000001</v>
      </c>
      <c r="J2156" s="17">
        <f>IF(A2156=A2157,_xll.ciqfunctions.udf.CIQ(A2148,"IQ_CASH_OPER",IQ_FY-2), _xll.ciqfunctions.udf.CIQ(A2148, "IQ_CASH_OPER",IQ_FY-1))</f>
        <v>272.05500000000001</v>
      </c>
      <c r="K2156" s="17">
        <f>IF(A2156=A2157,_xll.ciqfunctions.udf.CIQ(A2148,"IQ_CAPEX",IQ_FY-2), _xll.ciqfunctions.udf.CIQ(A2148, "IQ_CAPEX",IQ_FY-1))</f>
        <v>-90.981999999999999</v>
      </c>
      <c r="L2156" s="15">
        <f t="shared" si="572"/>
        <v>4.0245769174434196</v>
      </c>
      <c r="M2156" s="17">
        <f>IF(A2156=A2157,_xll.ciqfunctions.udf.CIQ(A2148,"IQ_TOTAL_DEBT_ISSUED",IQ_FY-2), _xll.ciqfunctions.udf.CIQ(A2148, "IQ_TOTAL_DEBT_ISSUED",IQ_FY-1))</f>
        <v>356.01</v>
      </c>
      <c r="N2156" s="17">
        <f>IF(A2156=A2157,_xll.ciqfunctions.udf.CIQ(A2148,"IQ_TOTAL_DEBT_REPAID",IQ_FY-2), _xll.ciqfunctions.udf.CIQ(A2148, "IQ_TOTAL_DEBT_REPAID",IQ_FY-1))</f>
        <v>-363.45499999999998</v>
      </c>
      <c r="O2156" s="15">
        <f t="shared" si="573"/>
        <v>-0.16547456081451253</v>
      </c>
      <c r="P2156" s="15">
        <f t="shared" si="574"/>
        <v>3.8591023566289069</v>
      </c>
      <c r="Q2156" s="25" t="s">
        <v>33</v>
      </c>
      <c r="R2156" s="38" t="s">
        <v>52</v>
      </c>
      <c r="S2156" s="4">
        <f>(AVERAGE(O2153:O2158)/AVERAGE(P2153:P2158))</f>
        <v>-0.39565651014208852</v>
      </c>
      <c r="U2156" s="25" t="s">
        <v>54</v>
      </c>
      <c r="V2156" s="38" t="s">
        <v>52</v>
      </c>
      <c r="W2156" s="4">
        <f>(AVERAGE(O2153:O2158)/AVERAGE(P2153:P2158))</f>
        <v>-0.39565651014208852</v>
      </c>
      <c r="Y2156" s="25" t="s">
        <v>60</v>
      </c>
      <c r="Z2156" s="38" t="s">
        <v>52</v>
      </c>
      <c r="AA2156" s="4">
        <f>(AVERAGE(O2153:O2158)/AVERAGE(P2153:P2158))</f>
        <v>-0.39565651014208852</v>
      </c>
    </row>
    <row r="2157" spans="1:27">
      <c r="A2157" s="19">
        <f>_xll.ciqfunctions.udf.CIQ(A2148,"IQ_TOTAL_REV",IQ_LTM)</f>
        <v>2619.913</v>
      </c>
      <c r="B2157" s="13">
        <v>10</v>
      </c>
      <c r="C2157" s="14" t="s">
        <v>34</v>
      </c>
      <c r="D2157" s="15" cm="1">
        <f t="array" ref="D2157">_xlfn.SINGLE(IF(A2156=A2157,_xll.ciqfunctions.udf.CIQ(A2148,"IQ_TOTAL_REV",IQ_FY-1)/I2157, _xll.ciqfunctions.udf.CIQ(A2148, "IQ_TOTAL_REV",IQ_FY)/I2157))</f>
        <v>60.763415760533192</v>
      </c>
      <c r="E2157" s="16">
        <f t="shared" si="575"/>
        <v>0.18798226052202469</v>
      </c>
      <c r="F2157" s="15">
        <f>IF(A2156=A2157,_xll.ciqfunctions.udf.CIQ(A2148,"IQ_DILUT_EPS_EXCL",IQ_FY-1), _xll.ciqfunctions.udf.CIQ(A2148, "IQ_DILUT_EPS_EXCL",IQ_FY))</f>
        <v>6.01</v>
      </c>
      <c r="G2157" s="15">
        <f>IF(A2156=A2157,_xll.ciqfunctions.udf.CIQ(A2148,"IQ_EBITDA_MARGIN",IQ_FY-1), _xll.ciqfunctions.udf.CIQ(A2148, "IQ_EBITDA_MARGIN",IQ_FY))</f>
        <v>16.527200000000001</v>
      </c>
      <c r="H2157" s="15">
        <f>IF(A2156=A2157,_xll.ciqfunctions.udf.CIQ(A2148,"IQ_TOTAL_DIV_PAID_CF",IQ_FY-1)/-I2157, _xll.ciqfunctions.udf.CIQ(A2148, "IQ_TOTAL_DIV_PAID_CF",IQ_FY)/-I2157)</f>
        <v>0.20862264990629584</v>
      </c>
      <c r="I2157" s="17">
        <f>IF(A2156=A2157,_xll.ciqfunctions.udf.CIQ(A2148,"IQ_TOTAL_OUTSTANDING_FILING_DATE",IQ_FY-1), _xll.ciqfunctions.udf.CIQ(A2148, "IQ_TOTAL_OUTSTANDING_FILING_DATE",IQ_FY))</f>
        <v>42.895629999999997</v>
      </c>
      <c r="J2157" s="17">
        <f>IF(A2156=A2157,_xll.ciqfunctions.udf.CIQ(A2148,"IQ_CASH_OPER",IQ_FY-1), _xll.ciqfunctions.udf.CIQ(A2148, "IQ_CASH_OPER",IQ_FY))</f>
        <v>281.29599999999999</v>
      </c>
      <c r="K2157" s="17">
        <f>IF(A2156=A2157,_xll.ciqfunctions.udf.CIQ(A2148,"IQ_CAPEX",IQ_FY-1), _xll.ciqfunctions.udf.CIQ(A2148, "IQ_CAPEX",IQ_FY))</f>
        <v>-105.09399999999999</v>
      </c>
      <c r="L2157" s="15">
        <f t="shared" si="572"/>
        <v>4.1076911564184977</v>
      </c>
      <c r="M2157" s="17">
        <f>IF(A2156=A2157,_xll.ciqfunctions.udf.CIQ(A2148,"IQ_TOTAL_DEBT_ISSUED",IQ_FY-1), _xll.ciqfunctions.udf.CIQ(A2148, "IQ_TOTAL_DEBT_ISSUED",IQ_FY))</f>
        <v>0</v>
      </c>
      <c r="N2157" s="17">
        <f>IF(A2156=A2157,_xll.ciqfunctions.udf.CIQ(A2148,"IQ_TOTAL_DEBT_REPAID",IQ_FY-1), _xll.ciqfunctions.udf.CIQ(A2148, "IQ_TOTAL_DEBT_REPAID",IQ_FY))</f>
        <v>-230.79599999999999</v>
      </c>
      <c r="O2157" s="15">
        <f t="shared" si="573"/>
        <v>-5.3804082140768186</v>
      </c>
      <c r="P2157" s="15">
        <f t="shared" si="574"/>
        <v>-1.2727170576583209</v>
      </c>
      <c r="Q2157" s="25" t="s">
        <v>44</v>
      </c>
      <c r="R2157" s="38" t="s">
        <v>35</v>
      </c>
      <c r="S2157" s="1">
        <f>_xll.ciqfunctions.udf.CIQ(A2148,"IQ_TEV_EBITDA")</f>
        <v>7.6555799999999996</v>
      </c>
      <c r="U2157" s="25" t="s">
        <v>55</v>
      </c>
      <c r="V2157" s="38" t="s">
        <v>53</v>
      </c>
      <c r="W2157" s="1">
        <f>V2147/(AVERAGE(D2153:D2158)/_xlfn.STDEV.P(E2153:E2158))</f>
        <v>0.2198446575295902</v>
      </c>
      <c r="Y2157" s="25" t="s">
        <v>57</v>
      </c>
      <c r="Z2157" s="38" t="s">
        <v>53</v>
      </c>
      <c r="AA2157" s="1">
        <f>Z2147/(AVERAGE(D2153:D2158)/_xlfn.STDEV.P(E2153:E2158))</f>
        <v>0.2198446575295902</v>
      </c>
    </row>
    <row r="2158" spans="1:27">
      <c r="B2158" s="13">
        <v>11</v>
      </c>
      <c r="C2158" s="20" t="s">
        <v>36</v>
      </c>
      <c r="D2158" s="21" cm="1">
        <f t="array" ref="D2158">_xlfn.SINGLE(IF(A2156=A2157,_xll.ciqfunctions.udf.CIQ(A2148,"IQ_TOTAL_REV",IQ_FY)/I2158, _xll.ciqfunctions.udf.CIQ(A2148, "IQ_TOTAL_REV",IQ_LTM)/I2158))</f>
        <v>62.855369550264491</v>
      </c>
      <c r="E2158" s="22">
        <f t="shared" si="575"/>
        <v>3.4427850435130684E-2</v>
      </c>
      <c r="F2158" s="21">
        <f>IF(A2156=A2157,_xll.ciqfunctions.udf.CIQ(A2148,"IQ_DILUT_EPS_EXCL",IQ_FY), _xll.ciqfunctions.udf.CIQ(A2148, "IQ_DILUT_EPS_EXCL",IQ_LTM))</f>
        <v>6.1459299999999999</v>
      </c>
      <c r="G2158" s="21">
        <f>IF(A2156=A2157,_xll.ciqfunctions.udf.CIQ(A2148,"IQ_EBITDA_MARGIN",IQ_FY), _xll.ciqfunctions.udf.CIQ(A2148, "IQ_EBITDA_MARGIN",IQ_LTM))</f>
        <v>16.8855</v>
      </c>
      <c r="H2158" s="21">
        <f>IF(A2156=A2157,_xll.ciqfunctions.udf.CIQ(A2148,"IQ_TOTAL_DIV_PAID_CF",IQ_FY)/-I2158, _xll.ciqfunctions.udf.CIQ(A2148, "IQ_TOTAL_DIV_PAID_CF",IQ_LTM)/-I2158)</f>
        <v>0.20620604626356806</v>
      </c>
      <c r="I2158" s="23">
        <f>IF(A2156=A2157,_xll.ciqfunctions.udf.CIQ(A2148,"IQ_TOTAL_OUTSTANDING_FILING_DATE",IQ_FY),_xll.ciqfunctions.udf.CIQ(A2148,"IQ_sharesoutstanding"))</f>
        <v>41.681609999999999</v>
      </c>
      <c r="J2158" s="23">
        <f>IF(A2156=A2157,_xll.ciqfunctions.udf.CIQ(A2148,"IQ_CASH_OPER",IQ_FY), _xll.ciqfunctions.udf.CIQ(A2148, "IQ_CASH_OPER",IQ_LTM))</f>
        <v>362.48899999999998</v>
      </c>
      <c r="K2158" s="23">
        <f>IF(A2156=A2157,_xll.ciqfunctions.udf.CIQ(A2148,"IQ_CAPEX",IQ_FY), _xll.ciqfunctions.udf.CIQ(A2148, "IQ_CAPEX",IQ_LTM))</f>
        <v>-116.714</v>
      </c>
      <c r="L2158" s="21">
        <f t="shared" si="572"/>
        <v>5.8964852845175599</v>
      </c>
      <c r="M2158" s="23">
        <f>IF(A2156=A2157,_xll.ciqfunctions.udf.CIQ(A2148,"IQ_TOTAL_DEBT_ISSUED",IQ_FY), _xll.ciqfunctions.udf.CIQ(A2148, "IQ_TOTAL_DEBT_ISSUED",IQ_LTM))</f>
        <v>0</v>
      </c>
      <c r="N2158" s="23">
        <f>IF(A2156=A2157,_xll.ciqfunctions.udf.CIQ(A2148,"IQ_TOTAL_DEBT_REPAID",IQ_FY), _xll.ciqfunctions.udf.CIQ(A2148, "IQ_TOTAL_DEBT_REPAID",IQ_LTM))</f>
        <v>-0.28799999999999998</v>
      </c>
      <c r="O2158" s="21">
        <f t="shared" si="573"/>
        <v>-6.9095219690410228E-3</v>
      </c>
      <c r="P2158" s="21">
        <f t="shared" si="574"/>
        <v>5.8895757625485192</v>
      </c>
      <c r="Q2158" s="25" t="s">
        <v>45</v>
      </c>
      <c r="S2158" s="45"/>
      <c r="U2158" s="25"/>
      <c r="W2158" s="45"/>
      <c r="Y2158" s="25"/>
      <c r="AA2158" s="45"/>
    </row>
    <row r="2159" spans="1:27">
      <c r="B2159" s="24"/>
      <c r="C2159" s="25" t="s">
        <v>37</v>
      </c>
      <c r="E2159" s="26">
        <f>((D2158/D2153)^(1/5))-1</f>
        <v>2.718029854668802E-2</v>
      </c>
      <c r="F2159" s="27">
        <f>((F2158/F2153)^(1/5))-1</f>
        <v>0.13730518060571173</v>
      </c>
      <c r="G2159" s="28"/>
      <c r="H2159" s="27">
        <f>((H2158/H2153)^(1/5))-1</f>
        <v>-0.28398218983527845</v>
      </c>
      <c r="I2159" s="27">
        <f>((I2158/I2153)^(1/5))-1</f>
        <v>1.1325489760680041E-2</v>
      </c>
      <c r="J2159" s="27"/>
      <c r="K2159" s="27"/>
      <c r="L2159" s="26">
        <f>((L2158/L2153)^(1/5))-1</f>
        <v>3.9538203505833369E-2</v>
      </c>
      <c r="M2159" s="26"/>
      <c r="N2159" s="26"/>
      <c r="O2159" s="26"/>
      <c r="P2159" s="26">
        <f>((P2158/P2153)^(1/5))-1</f>
        <v>0.10971309686436936</v>
      </c>
      <c r="Q2159" s="18"/>
      <c r="R2159" s="36"/>
      <c r="S2159" s="45"/>
      <c r="U2159" s="18"/>
      <c r="V2159" s="36"/>
      <c r="W2159" s="45"/>
      <c r="Y2159" s="18"/>
      <c r="Z2159" s="36"/>
      <c r="AA2159" s="45"/>
    </row>
    <row r="2160" spans="1:27">
      <c r="A2160" s="29"/>
      <c r="B2160" s="30"/>
      <c r="C2160" s="31" t="s">
        <v>38</v>
      </c>
      <c r="D2160" s="29"/>
      <c r="E2160" s="32">
        <f>((D2158/D2148)^(1/10))-1</f>
        <v>2.8200658463638062E-2</v>
      </c>
      <c r="F2160" s="33">
        <f>((F2158/F2148)^(1/10))-1</f>
        <v>0.10137997301723156</v>
      </c>
      <c r="G2160" s="34"/>
      <c r="H2160" s="33">
        <f>((H2158/H2148)^(1/10))-1</f>
        <v>2.9886196479464777E-2</v>
      </c>
      <c r="I2160" s="33">
        <f>((I2158/I2148)^(1/10))-1</f>
        <v>-4.2032391099917632E-3</v>
      </c>
      <c r="J2160" s="33"/>
      <c r="K2160" s="33"/>
      <c r="L2160" s="32">
        <f>((L2158/L2148)^(1/10))-1</f>
        <v>7.4988494703249753E-2</v>
      </c>
      <c r="M2160" s="32"/>
      <c r="N2160" s="32"/>
      <c r="O2160" s="32"/>
      <c r="P2160" s="32">
        <f>((P2158/P2148)^(1/10))-1</f>
        <v>-2.423559515165663E-2</v>
      </c>
      <c r="Q2160" s="40"/>
      <c r="R2160" s="41"/>
      <c r="S2160" s="46"/>
      <c r="U2160" s="40"/>
      <c r="V2160" s="41"/>
      <c r="W2160" s="46"/>
      <c r="Y2160" s="40"/>
      <c r="Z2160" s="41"/>
      <c r="AA2160" s="46"/>
    </row>
    <row r="2161" spans="1:27">
      <c r="B2161" s="24"/>
      <c r="C2161" s="25"/>
      <c r="E2161" s="26"/>
      <c r="F2161" s="27"/>
      <c r="G2161" s="28"/>
      <c r="H2161" s="27"/>
      <c r="I2161" s="27"/>
      <c r="J2161" s="27"/>
      <c r="K2161" s="27"/>
      <c r="L2161" s="26"/>
      <c r="M2161" s="17"/>
      <c r="N2161" s="17"/>
      <c r="O2161" s="17"/>
      <c r="P2161" s="35"/>
      <c r="Q2161" s="18"/>
      <c r="R2161" s="36"/>
    </row>
    <row r="2162" spans="1:27">
      <c r="A2162" s="9" t="s">
        <v>0</v>
      </c>
      <c r="B2162" s="10"/>
      <c r="C2162" s="9" t="s">
        <v>1</v>
      </c>
      <c r="D2162" s="9" t="s">
        <v>2</v>
      </c>
      <c r="E2162" s="9" t="s">
        <v>3</v>
      </c>
      <c r="F2162" s="11" t="s">
        <v>4</v>
      </c>
      <c r="G2162" s="11" t="s">
        <v>5</v>
      </c>
      <c r="H2162" s="9" t="s">
        <v>6</v>
      </c>
      <c r="I2162" s="11" t="s">
        <v>7</v>
      </c>
      <c r="J2162" s="11" t="s">
        <v>8</v>
      </c>
      <c r="K2162" s="11" t="s">
        <v>9</v>
      </c>
      <c r="L2162" s="11" t="s">
        <v>10</v>
      </c>
      <c r="M2162" s="11" t="s">
        <v>11</v>
      </c>
      <c r="N2162" s="11" t="s">
        <v>12</v>
      </c>
      <c r="O2162" s="11" t="s">
        <v>13</v>
      </c>
      <c r="P2162" s="11" t="s">
        <v>14</v>
      </c>
      <c r="Q2162" s="37" t="s">
        <v>15</v>
      </c>
      <c r="R2162" s="42">
        <f>_xll.ciqfunctions.udf.CIQ(A2163,("IQ_LASTSALEPRICE"))</f>
        <v>150.66</v>
      </c>
      <c r="S2162" s="44"/>
      <c r="U2162" s="37" t="s">
        <v>15</v>
      </c>
      <c r="V2162" s="42">
        <f>_xll.ciqfunctions.udf.CIQ(A2163,("IQ_LASTSALEPRICE"))</f>
        <v>150.66</v>
      </c>
      <c r="W2162" s="44"/>
      <c r="Y2162" s="37" t="s">
        <v>15</v>
      </c>
      <c r="Z2162" s="42">
        <f>_xll.ciqfunctions.udf.CIQ(A2163,("IQ_LASTSALEPRICE"))</f>
        <v>150.66</v>
      </c>
      <c r="AA2162" s="44"/>
    </row>
    <row r="2163" spans="1:27">
      <c r="A2163" s="12" t="str">
        <f>Analysis!B146</f>
        <v>NYSE:BMI</v>
      </c>
      <c r="B2163" s="13">
        <v>1</v>
      </c>
      <c r="C2163" s="14" t="s">
        <v>16</v>
      </c>
      <c r="D2163" s="15">
        <f>IF(A2171=A2172,_xll.ciqfunctions.udf.CIQ(A2163,"IQ_TOTAL_REV",IQ_FY-10)/I2163,_xll.ciqfunctions.udf.CIQ(A2163, "IQ_TOTAL_REV",IQ_FY-9)/I2163)</f>
        <v>11.59619172958948</v>
      </c>
      <c r="E2163" s="16"/>
      <c r="F2163" s="15">
        <f>IF(A2171=A2172,_xll.ciqfunctions.udf.CIQ(A2163,"IQ_DILUT_EPS_EXCL",IQ_FY-10), _xll.ciqfunctions.udf.CIQ(A2163, "IQ_DILUT_EPS_EXCL",IQ_FY-9))</f>
        <v>0.85</v>
      </c>
      <c r="G2163" s="15">
        <f>IF(A2171=A2172,_xll.ciqfunctions.udf.CIQ(A2163,"IQ_EBITDA_MARGIN",IQ_FY-10), _xll.ciqfunctions.udf.CIQ(A2163, "IQ_EBITDA_MARGIN",IQ_FY-9))</f>
        <v>15.743</v>
      </c>
      <c r="H2163" s="15">
        <f>IF(A2171=A2172,_xll.ciqfunctions.udf.CIQ(A2163,"IQ_TOTAL_DIV_PAID_CF",IQ_FY-10)/-I2163, _xll.ciqfunctions.udf.CIQ(A2163, "IQ_TOTAL_DIV_PAID_CF",IQ_FY-9)/-I2163)</f>
        <v>0.34720342288988193</v>
      </c>
      <c r="I2163" s="17">
        <f>IF(A2171=A2172,_xll.ciqfunctions.udf.CIQ(A2163,"IQ_TOTAL_OUTSTANDING_FILING_DATE",IQ_FY-10), _xll.ciqfunctions.udf.CIQ(A2163, "IQ_TOTAL_OUTSTANDING_FILING_DATE",IQ_FY-9))</f>
        <v>28.813079999999999</v>
      </c>
      <c r="J2163" s="17">
        <f>IF(A2171=A2172,_xll.ciqfunctions.udf.CIQ(A2163,"IQ_CASH_OPER",IQ_FY-10), _xll.ciqfunctions.udf.CIQ(A2163, "IQ_CASH_OPER",IQ_FY-9))</f>
        <v>34.817999999999998</v>
      </c>
      <c r="K2163" s="17">
        <f>IF(A2171=A2172,_xll.ciqfunctions.udf.CIQ(A2163,"IQ_CAPEX",IQ_FY-10), _xll.ciqfunctions.udf.CIQ(A2163, "IQ_CAPEX",IQ_FY-9))</f>
        <v>-14.311</v>
      </c>
      <c r="L2163" s="15">
        <f t="shared" ref="L2163:L2173" si="576">(J2163+K2163)/I2163</f>
        <v>0.71172536917261187</v>
      </c>
      <c r="M2163" s="17">
        <f>IF(A2171=A2172,_xll.ciqfunctions.udf.CIQ(A2163,"IQ_TOTAL_DEBT_ISSUED",IQ_FY-10), _xll.ciqfunctions.udf.CIQ(A2163, "IQ_TOTAL_DEBT_ISSUED",IQ_FY-9))</f>
        <v>3.2050000000000001</v>
      </c>
      <c r="N2163" s="17">
        <f>IF(A2171=A2172,_xll.ciqfunctions.udf.CIQ(A2163,"IQ_TOTAL_DEBT_REPAID",IQ_FY-10), _xll.ciqfunctions.udf.CIQ(A2163, "IQ_TOTAL_DEBT_REPAID",IQ_FY-9))</f>
        <v>0</v>
      </c>
      <c r="O2163" s="15">
        <f t="shared" ref="O2163:O2173" si="577">(M2163+N2163)/I2163</f>
        <v>0.11123420335486522</v>
      </c>
      <c r="P2163" s="15">
        <f t="shared" ref="P2163:P2173" si="578">L2163+O2163</f>
        <v>0.82295957252747709</v>
      </c>
      <c r="W2163" s="43"/>
      <c r="AA2163" s="43"/>
    </row>
    <row r="2164" spans="1:27">
      <c r="A2164" s="18" t="str">
        <f>_xll.ciqfunctions.udf.CIQ(A2163,"IQ_COMPANY_NAME")</f>
        <v>Badger Meter, Inc.</v>
      </c>
      <c r="B2164" s="13">
        <v>2</v>
      </c>
      <c r="C2164" s="14" t="s">
        <v>17</v>
      </c>
      <c r="D2164" s="15">
        <f>IF(A2171=A2172,_xll.ciqfunctions.udf.CIQ(A2163,"IQ_TOTAL_REV",IQ_FY-9)/I2164, _xll.ciqfunctions.udf.CIQ(A2163, "IQ_TOTAL_REV",IQ_FY-8)/I2164)</f>
        <v>12.618219706351589</v>
      </c>
      <c r="E2164" s="16">
        <f t="shared" ref="E2164:E2173" si="579">(D2164-D2163)/D2163</f>
        <v>8.8134794645922096E-2</v>
      </c>
      <c r="F2164" s="15">
        <f>IF(A2171=A2172,_xll.ciqfunctions.udf.CIQ(A2163,"IQ_DILUT_EPS_EXCL",IQ_FY-9), _xll.ciqfunctions.udf.CIQ(A2163, "IQ_DILUT_EPS_EXCL",IQ_FY-8))</f>
        <v>1.03</v>
      </c>
      <c r="G2164" s="15">
        <f>IF(A2171=A2172,_xll.ciqfunctions.udf.CIQ(A2163,"IQ_EBITDA_MARGIN",IQ_FY-9), _xll.ciqfunctions.udf.CIQ(A2163, "IQ_EBITDA_MARGIN",IQ_FY-8))</f>
        <v>17.383900000000001</v>
      </c>
      <c r="H2164" s="15">
        <f>IF(A2171=A2172,_xll.ciqfunctions.udf.CIQ(A2163,"IQ_TOTAL_DIV_PAID_CF",IQ_FY-9)/-I2164, _xll.ciqfunctions.udf.CIQ(A2163, "IQ_TOTAL_DIV_PAID_CF",IQ_FY-8)/-I2164)</f>
        <v>0.36782154722354055</v>
      </c>
      <c r="I2164" s="17">
        <f>IF(A2171=A2172,_xll.ciqfunctions.udf.CIQ(A2163,"IQ_TOTAL_OUTSTANDING_FILING_DATE",IQ_FY-9), _xll.ciqfunctions.udf.CIQ(A2163, "IQ_TOTAL_OUTSTANDING_FILING_DATE",IQ_FY-8))</f>
        <v>28.90804</v>
      </c>
      <c r="J2164" s="17">
        <f>IF(A2171=A2172,_xll.ciqfunctions.udf.CIQ(A2163,"IQ_CASH_OPER",IQ_FY-9), _xll.ciqfunctions.udf.CIQ(A2163, "IQ_CASH_OPER",IQ_FY-8))</f>
        <v>35.734999999999999</v>
      </c>
      <c r="K2164" s="17">
        <f>IF(A2171=A2172,_xll.ciqfunctions.udf.CIQ(A2163,"IQ_CAPEX",IQ_FY-9), _xll.ciqfunctions.udf.CIQ(A2163, "IQ_CAPEX",IQ_FY-8))</f>
        <v>-12.332000000000001</v>
      </c>
      <c r="L2164" s="15">
        <f t="shared" si="576"/>
        <v>0.80956716539758489</v>
      </c>
      <c r="M2164" s="17">
        <f>IF(A2171=A2172,_xll.ciqfunctions.udf.CIQ(A2163,"IQ_TOTAL_DEBT_ISSUED",IQ_FY-9), _xll.ciqfunctions.udf.CIQ(A2163, "IQ_TOTAL_DEBT_ISSUED",IQ_FY-8))</f>
        <v>6.6529999999999996</v>
      </c>
      <c r="N2164" s="17">
        <f>IF(A2171=A2172,_xll.ciqfunctions.udf.CIQ(A2163,"IQ_TOTAL_DEBT_REPAID",IQ_FY-9), _xll.ciqfunctions.udf.CIQ(A2163, "IQ_TOTAL_DEBT_REPAID",IQ_FY-8))</f>
        <v>0</v>
      </c>
      <c r="O2164" s="15">
        <f t="shared" si="577"/>
        <v>0.23014358635175541</v>
      </c>
      <c r="P2164" s="15">
        <f t="shared" si="578"/>
        <v>1.0397107517493402</v>
      </c>
      <c r="Q2164" s="25" t="s">
        <v>18</v>
      </c>
      <c r="R2164" s="39" t="s">
        <v>19</v>
      </c>
      <c r="S2164" s="1">
        <f>R2162/((AVERAGE(P2168:P2173))*(1+E2174)^3)</f>
        <v>49.424297922359742</v>
      </c>
      <c r="U2164" s="25" t="s">
        <v>48</v>
      </c>
      <c r="V2164" s="39" t="s">
        <v>19</v>
      </c>
      <c r="W2164" s="1">
        <f>V2162/((AVERAGE(P2168:P2173))*(1+E2174)^3)</f>
        <v>49.424297922359742</v>
      </c>
      <c r="Y2164" s="25" t="s">
        <v>39</v>
      </c>
      <c r="Z2164" s="39" t="s">
        <v>19</v>
      </c>
      <c r="AA2164" s="1">
        <f>Z2162/((AVERAGE(P2168:P2173))*(1+E2174)^3)</f>
        <v>49.424297922359742</v>
      </c>
    </row>
    <row r="2165" spans="1:27">
      <c r="B2165" s="13">
        <v>3</v>
      </c>
      <c r="C2165" s="14" t="s">
        <v>20</v>
      </c>
      <c r="D2165" s="15" cm="1">
        <f t="array" ref="D2165">_xlfn.SINGLE(IF(A2171=A2172,_xll.ciqfunctions.udf.CIQ(A2163,"IQ_TOTAL_REV",IQ_FY-8)/I2165, _xll.ciqfunctions.udf.CIQ(A2163, "IQ_TOTAL_REV",IQ_FY-7)/I2165))</f>
        <v>13.004109898910327</v>
      </c>
      <c r="E2165" s="16">
        <f t="shared" si="579"/>
        <v>3.0581983951705517E-2</v>
      </c>
      <c r="F2165" s="15">
        <f>IF(A2171=A2172,_xll.ciqfunctions.udf.CIQ(A2163,"IQ_DILUT_EPS_EXCL",IQ_FY-8), _xll.ciqfunctions.udf.CIQ(A2163, "IQ_DILUT_EPS_EXCL",IQ_FY-7))</f>
        <v>0.9</v>
      </c>
      <c r="G2165" s="15">
        <f>IF(A2171=A2172,_xll.ciqfunctions.udf.CIQ(A2163,"IQ_EBITDA_MARGIN",IQ_FY-8), _xll.ciqfunctions.udf.CIQ(A2163, "IQ_EBITDA_MARGIN",IQ_FY-7))</f>
        <v>16.883299999999998</v>
      </c>
      <c r="H2165" s="15">
        <f>IF(A2171=A2172,_xll.ciqfunctions.udf.CIQ(A2163,"IQ_TOTAL_DIV_PAID_CF",IQ_FY-8)/-I2165, _xll.ciqfunctions.udf.CIQ(A2163, "IQ_TOTAL_DIV_PAID_CF",IQ_FY-7)/-I2165)</f>
        <v>0.3877152687375342</v>
      </c>
      <c r="I2165" s="17">
        <f>IF(A2171=A2172,_xll.ciqfunctions.udf.CIQ(A2163,"IQ_TOTAL_OUTSTANDING_FILING_DATE",IQ_FY-8), _xll.ciqfunctions.udf.CIQ(A2163, "IQ_TOTAL_OUTSTANDING_FILING_DATE",IQ_FY-7))</f>
        <v>29.044509999999999</v>
      </c>
      <c r="J2165" s="17">
        <f>IF(A2171=A2172,_xll.ciqfunctions.udf.CIQ(A2163,"IQ_CASH_OPER",IQ_FY-8), _xll.ciqfunctions.udf.CIQ(A2163, "IQ_CASH_OPER",IQ_FY-7))</f>
        <v>35.831000000000003</v>
      </c>
      <c r="K2165" s="17">
        <f>IF(A2171=A2172,_xll.ciqfunctions.udf.CIQ(A2163,"IQ_CAPEX",IQ_FY-8), _xll.ciqfunctions.udf.CIQ(A2163, "IQ_CAPEX",IQ_FY-7))</f>
        <v>-19.765999999999998</v>
      </c>
      <c r="L2165" s="15">
        <f t="shared" si="576"/>
        <v>0.55311657865806674</v>
      </c>
      <c r="M2165" s="17">
        <f>IF(A2171=A2172,_xll.ciqfunctions.udf.CIQ(A2163,"IQ_TOTAL_DEBT_ISSUED",IQ_FY-8), _xll.ciqfunctions.udf.CIQ(A2163, "IQ_TOTAL_DEBT_ISSUED",IQ_FY-7))</f>
        <v>0</v>
      </c>
      <c r="N2165" s="17">
        <f>IF(A2171=A2172,_xll.ciqfunctions.udf.CIQ(A2163,"IQ_TOTAL_DEBT_REPAID",IQ_FY-8), _xll.ciqfunctions.udf.CIQ(A2163, "IQ_TOTAL_DEBT_REPAID",IQ_FY-7))</f>
        <v>-3.96</v>
      </c>
      <c r="O2165" s="15">
        <f t="shared" si="577"/>
        <v>-0.13634246196613406</v>
      </c>
      <c r="P2165" s="15">
        <f t="shared" si="578"/>
        <v>0.41677411669193265</v>
      </c>
      <c r="Q2165" s="25" t="s">
        <v>21</v>
      </c>
      <c r="R2165" s="38" t="s">
        <v>49</v>
      </c>
      <c r="S2165" s="2">
        <f>(R2162*I2173)/1000</f>
        <v>4.4213994341999996</v>
      </c>
      <c r="U2165" s="25" t="s">
        <v>59</v>
      </c>
      <c r="V2165" s="38" t="s">
        <v>49</v>
      </c>
      <c r="W2165" s="2">
        <f>(V2162*I2173)/1000</f>
        <v>4.4213994341999996</v>
      </c>
      <c r="Y2165" s="25" t="s">
        <v>46</v>
      </c>
      <c r="Z2165" s="38" t="s">
        <v>49</v>
      </c>
      <c r="AA2165" s="2">
        <f>(Z2162*I2173)/1000</f>
        <v>4.4213994341999996</v>
      </c>
    </row>
    <row r="2166" spans="1:27">
      <c r="A2166" s="18"/>
      <c r="B2166" s="13">
        <v>4</v>
      </c>
      <c r="C2166" s="14" t="s">
        <v>22</v>
      </c>
      <c r="D2166" s="15" cm="1">
        <f t="array" ref="D2166">_xlfn.SINGLE(IF(A2171=A2172,_xll.ciqfunctions.udf.CIQ(A2163,"IQ_TOTAL_REV",IQ_FY-7)/I2166, _xll.ciqfunctions.udf.CIQ(A2163, "IQ_TOTAL_REV",IQ_FY-6)/I2166))</f>
        <v>13.525677115124942</v>
      </c>
      <c r="E2166" s="16">
        <f t="shared" si="579"/>
        <v>4.0107875146327368E-2</v>
      </c>
      <c r="F2166" s="15">
        <f>IF(A2171=A2172,_xll.ciqfunctions.udf.CIQ(A2163,"IQ_DILUT_EPS_EXCL",IQ_FY-7), _xll.ciqfunctions.udf.CIQ(A2163, "IQ_DILUT_EPS_EXCL",IQ_FY-6))</f>
        <v>1.1100000000000001</v>
      </c>
      <c r="G2166" s="15">
        <f>IF(A2171=A2172,_xll.ciqfunctions.udf.CIQ(A2163,"IQ_EBITDA_MARGIN",IQ_FY-7), _xll.ciqfunctions.udf.CIQ(A2163, "IQ_EBITDA_MARGIN",IQ_FY-6))</f>
        <v>18.591699999999999</v>
      </c>
      <c r="H2166" s="15">
        <f>IF(A2171=A2172,_xll.ciqfunctions.udf.CIQ(A2163,"IQ_TOTAL_DIV_PAID_CF",IQ_FY-7)/-I2166, _xll.ciqfunctions.udf.CIQ(A2163, "IQ_TOTAL_DIV_PAID_CF",IQ_FY-6)/-I2166)</f>
        <v>0.42803493116781982</v>
      </c>
      <c r="I2166" s="17">
        <f>IF(A2171=A2172,_xll.ciqfunctions.udf.CIQ(A2163,"IQ_TOTAL_OUTSTANDING_FILING_DATE",IQ_FY-7), _xll.ciqfunctions.udf.CIQ(A2163, "IQ_TOTAL_OUTSTANDING_FILING_DATE",IQ_FY-6))</f>
        <v>29.112110000000001</v>
      </c>
      <c r="J2166" s="17">
        <f>IF(A2171=A2172,_xll.ciqfunctions.udf.CIQ(A2163,"IQ_CASH_OPER",IQ_FY-7), _xll.ciqfunctions.udf.CIQ(A2163, "IQ_CASH_OPER",IQ_FY-6))</f>
        <v>56.185000000000002</v>
      </c>
      <c r="K2166" s="17">
        <f>IF(A2171=A2172,_xll.ciqfunctions.udf.CIQ(A2163,"IQ_CAPEX",IQ_FY-7), _xll.ciqfunctions.udf.CIQ(A2163, "IQ_CAPEX",IQ_FY-6))</f>
        <v>-10.596</v>
      </c>
      <c r="L2166" s="15">
        <f t="shared" si="576"/>
        <v>1.5659806176879654</v>
      </c>
      <c r="M2166" s="17">
        <f>IF(A2171=A2172,_xll.ciqfunctions.udf.CIQ(A2163,"IQ_TOTAL_DEBT_ISSUED",IQ_FY-7), _xll.ciqfunctions.udf.CIQ(A2163, "IQ_TOTAL_DEBT_ISSUED",IQ_FY-6))</f>
        <v>0</v>
      </c>
      <c r="N2166" s="17">
        <f>IF(A2171=A2172,_xll.ciqfunctions.udf.CIQ(A2163,"IQ_TOTAL_DEBT_REPAID",IQ_FY-7), _xll.ciqfunctions.udf.CIQ(A2163, "IQ_TOTAL_DEBT_REPAID",IQ_FY-6))</f>
        <v>-33.095999999999997</v>
      </c>
      <c r="O2166" s="15">
        <f t="shared" si="577"/>
        <v>-1.1368464875957118</v>
      </c>
      <c r="P2166" s="15">
        <f t="shared" si="578"/>
        <v>0.42913413009225354</v>
      </c>
      <c r="Q2166" s="25" t="s">
        <v>23</v>
      </c>
      <c r="R2166" s="38" t="s">
        <v>24</v>
      </c>
      <c r="S2166" s="1">
        <f>R2162/(AVERAGE(H2168:H2173)*(1+H2174)/(0.5-H2174))</f>
        <v>71.235953945706939</v>
      </c>
      <c r="U2166" s="25" t="s">
        <v>40</v>
      </c>
      <c r="V2166" s="38" t="s">
        <v>24</v>
      </c>
      <c r="W2166" s="1">
        <f>V2162/(AVERAGE(H2168:H2173)*(1+H2174)/(0.5-H2174))</f>
        <v>71.235953945706939</v>
      </c>
      <c r="Y2166" s="25" t="s">
        <v>47</v>
      </c>
      <c r="Z2166" s="38" t="s">
        <v>24</v>
      </c>
      <c r="AA2166" s="1">
        <f>Z2162/(AVERAGE(H2168:H2173)*(1+H2174)/(0.5-H2174))</f>
        <v>71.235953945706939</v>
      </c>
    </row>
    <row r="2167" spans="1:27">
      <c r="B2167" s="13">
        <v>5</v>
      </c>
      <c r="C2167" s="14" t="s">
        <v>25</v>
      </c>
      <c r="D2167" s="15" cm="1">
        <f t="array" ref="D2167">_xlfn.SINGLE(IF(A2171=A2172,_xll.ciqfunctions.udf.CIQ(A2163,"IQ_TOTAL_REV",IQ_FY-6)/I2167, _xll.ciqfunctions.udf.CIQ(A2163, "IQ_TOTAL_REV",IQ_FY-5)/I2167))</f>
        <v>13.824018906520241</v>
      </c>
      <c r="E2167" s="16">
        <f t="shared" si="579"/>
        <v>2.2057438519043227E-2</v>
      </c>
      <c r="F2167" s="15">
        <f>IF(A2171=A2172,_xll.ciqfunctions.udf.CIQ(A2163,"IQ_DILUT_EPS_EXCL",IQ_FY-6), _xll.ciqfunctions.udf.CIQ(A2163, "IQ_DILUT_EPS_EXCL",IQ_FY-5))</f>
        <v>1.19</v>
      </c>
      <c r="G2167" s="15">
        <f>IF(A2171=A2172,_xll.ciqfunctions.udf.CIQ(A2163,"IQ_EBITDA_MARGIN",IQ_FY-6), _xll.ciqfunctions.udf.CIQ(A2163, "IQ_EBITDA_MARGIN",IQ_FY-5))</f>
        <v>19.883700000000001</v>
      </c>
      <c r="H2167" s="15">
        <f>IF(A2171=A2172,_xll.ciqfunctions.udf.CIQ(A2163,"IQ_TOTAL_DIV_PAID_CF",IQ_FY-6)/-I2167, _xll.ciqfunctions.udf.CIQ(A2163, "IQ_TOTAL_DIV_PAID_CF",IQ_FY-5)/-I2167)</f>
        <v>0.48829248771539913</v>
      </c>
      <c r="I2167" s="17">
        <f>IF(A2171=A2172,_xll.ciqfunctions.udf.CIQ(A2163,"IQ_TOTAL_OUTSTANDING_FILING_DATE",IQ_FY-6), _xll.ciqfunctions.udf.CIQ(A2163, "IQ_TOTAL_OUTSTANDING_FILING_DATE",IQ_FY-5))</f>
        <v>29.111650000000001</v>
      </c>
      <c r="J2167" s="17">
        <f>IF(A2171=A2172,_xll.ciqfunctions.udf.CIQ(A2163,"IQ_CASH_OPER",IQ_FY-6), _xll.ciqfunctions.udf.CIQ(A2163, "IQ_CASH_OPER",IQ_FY-5))</f>
        <v>49.750999999999998</v>
      </c>
      <c r="K2167" s="17">
        <f>IF(A2171=A2172,_xll.ciqfunctions.udf.CIQ(A2163,"IQ_CAPEX",IQ_FY-6), _xll.ciqfunctions.udf.CIQ(A2163, "IQ_CAPEX",IQ_FY-5))</f>
        <v>-15.069000000000001</v>
      </c>
      <c r="L2167" s="15">
        <f t="shared" si="576"/>
        <v>1.1913443587017567</v>
      </c>
      <c r="M2167" s="17">
        <f>IF(A2171=A2172,_xll.ciqfunctions.udf.CIQ(A2163,"IQ_TOTAL_DEBT_ISSUED",IQ_FY-6), _xll.ciqfunctions.udf.CIQ(A2163, "IQ_TOTAL_DEBT_ISSUED",IQ_FY-5))</f>
        <v>6.3760000000000003</v>
      </c>
      <c r="N2167" s="17">
        <f>IF(A2171=A2172,_xll.ciqfunctions.udf.CIQ(A2163,"IQ_TOTAL_DEBT_REPAID",IQ_FY-6), _xll.ciqfunctions.udf.CIQ(A2163, "IQ_TOTAL_DEBT_REPAID",IQ_FY-5))</f>
        <v>0</v>
      </c>
      <c r="O2167" s="15">
        <f t="shared" si="577"/>
        <v>0.21901884640685088</v>
      </c>
      <c r="P2167" s="15">
        <f t="shared" si="578"/>
        <v>1.4103632051086077</v>
      </c>
      <c r="Q2167" s="18"/>
      <c r="R2167" s="38" t="s">
        <v>50</v>
      </c>
      <c r="S2167" s="3">
        <f>I2174</f>
        <v>1.6059709650917409E-3</v>
      </c>
      <c r="U2167" s="18"/>
      <c r="V2167" s="38" t="s">
        <v>50</v>
      </c>
      <c r="W2167" s="3">
        <f>I2174</f>
        <v>1.6059709650917409E-3</v>
      </c>
      <c r="Y2167" s="18"/>
      <c r="Z2167" s="38" t="s">
        <v>50</v>
      </c>
      <c r="AA2167" s="3">
        <f>I2174</f>
        <v>1.6059709650917409E-3</v>
      </c>
    </row>
    <row r="2168" spans="1:27">
      <c r="B2168" s="13">
        <v>6</v>
      </c>
      <c r="C2168" s="14" t="s">
        <v>26</v>
      </c>
      <c r="D2168" s="15" cm="1">
        <f t="array" ref="D2168">_xlfn.SINGLE(IF(A2171=A2172,_xll.ciqfunctions.udf.CIQ(A2163,"IQ_TOTAL_REV",IQ_FY-5)/I2168, _xll.ciqfunctions.udf.CIQ(A2163, "IQ_TOTAL_REV",IQ_FY-4)/I2168))</f>
        <v>14.898556798059932</v>
      </c>
      <c r="E2168" s="16">
        <f t="shared" si="579"/>
        <v>7.772977589265842E-2</v>
      </c>
      <c r="F2168" s="15">
        <f>IF(A2171=A2172,_xll.ciqfunctions.udf.CIQ(A2163,"IQ_DILUT_EPS_EXCL",IQ_FY-5), _xll.ciqfunctions.udf.CIQ(A2163, "IQ_DILUT_EPS_EXCL",IQ_FY-4))</f>
        <v>0.95</v>
      </c>
      <c r="G2168" s="15">
        <f>IF(A2171=A2172,_xll.ciqfunctions.udf.CIQ(A2163,"IQ_EBITDA_MARGIN",IQ_FY-5), _xll.ciqfunctions.udf.CIQ(A2163, "IQ_EBITDA_MARGIN",IQ_FY-4))</f>
        <v>14.1386</v>
      </c>
      <c r="H2168" s="15">
        <f>IF(A2171=A2172,_xll.ciqfunctions.udf.CIQ(A2163,"IQ_TOTAL_DIV_PAID_CF",IQ_FY-5)/-I2168, _xll.ciqfunctions.udf.CIQ(A2163, "IQ_TOTAL_DIV_PAID_CF",IQ_FY-4)/-I2168)</f>
        <v>0.5586975974114079</v>
      </c>
      <c r="I2168" s="17">
        <f>IF(A2171=A2172,_xll.ciqfunctions.udf.CIQ(A2163,"IQ_TOTAL_OUTSTANDING_FILING_DATE",IQ_FY-5), _xll.ciqfunctions.udf.CIQ(A2163, "IQ_TOTAL_OUTSTANDING_FILING_DATE",IQ_FY-4))</f>
        <v>29.112349999999999</v>
      </c>
      <c r="J2168" s="17">
        <f>IF(A2171=A2172,_xll.ciqfunctions.udf.CIQ(A2163,"IQ_CASH_OPER",IQ_FY-5), _xll.ciqfunctions.udf.CIQ(A2163, "IQ_CASH_OPER",IQ_FY-4))</f>
        <v>60.35</v>
      </c>
      <c r="K2168" s="17">
        <f>IF(A2171=A2172,_xll.ciqfunctions.udf.CIQ(A2163,"IQ_CAPEX",IQ_FY-5), _xll.ciqfunctions.udf.CIQ(A2163, "IQ_CAPEX",IQ_FY-4))</f>
        <v>-8.6430000000000007</v>
      </c>
      <c r="L2168" s="15">
        <f t="shared" si="576"/>
        <v>1.7761190697418794</v>
      </c>
      <c r="M2168" s="17">
        <f>IF(A2171=A2172,_xll.ciqfunctions.udf.CIQ(A2163,"IQ_TOTAL_DEBT_ISSUED",IQ_FY-5), _xll.ciqfunctions.udf.CIQ(A2163, "IQ_TOTAL_DEBT_ISSUED",IQ_FY-4))</f>
        <v>0</v>
      </c>
      <c r="N2168" s="17">
        <f>IF(A2171=A2172,_xll.ciqfunctions.udf.CIQ(A2163,"IQ_TOTAL_DEBT_REPAID",IQ_FY-5), _xll.ciqfunctions.udf.CIQ(A2163, "IQ_TOTAL_DEBT_REPAID",IQ_FY-4))</f>
        <v>-21.012</v>
      </c>
      <c r="O2168" s="15">
        <f t="shared" si="577"/>
        <v>-0.72175554360949912</v>
      </c>
      <c r="P2168" s="15">
        <f t="shared" si="578"/>
        <v>1.0543635261323803</v>
      </c>
      <c r="Q2168" s="25" t="s">
        <v>27</v>
      </c>
      <c r="R2168" s="38" t="s">
        <v>51</v>
      </c>
      <c r="S2168" s="4">
        <f>AVERAGE(F2168:F2173)/AVERAGE(D2168:D2173)</f>
        <v>0.1109807347467112</v>
      </c>
      <c r="U2168" s="25" t="s">
        <v>58</v>
      </c>
      <c r="V2168" s="38" t="s">
        <v>51</v>
      </c>
      <c r="W2168" s="4">
        <f>AVERAGE(F2168:F2173)/AVERAGE(D2168:D2173)</f>
        <v>0.1109807347467112</v>
      </c>
      <c r="Y2168" s="25" t="s">
        <v>56</v>
      </c>
      <c r="Z2168" s="38" t="s">
        <v>51</v>
      </c>
      <c r="AA2168" s="4">
        <f>AVERAGE(F2168:F2173)/AVERAGE(D2168:D2173)</f>
        <v>0.1109807347467112</v>
      </c>
    </row>
    <row r="2169" spans="1:27">
      <c r="A2169" s="18"/>
      <c r="B2169" s="13">
        <v>7</v>
      </c>
      <c r="C2169" s="14" t="s">
        <v>28</v>
      </c>
      <c r="D2169" s="15" cm="1">
        <f t="array" ref="D2169">_xlfn.SINGLE(IF(A2171=A2172,_xll.ciqfunctions.udf.CIQ(A2163,"IQ_TOTAL_REV",IQ_FY-4)/I2169, _xll.ciqfunctions.udf.CIQ(A2163, "IQ_TOTAL_REV",IQ_FY-3)/I2169))</f>
        <v>14.585288343035677</v>
      </c>
      <c r="E2169" s="16">
        <f t="shared" si="579"/>
        <v>-2.1026765160572388E-2</v>
      </c>
      <c r="F2169" s="15">
        <f>IF(A2171=A2172,_xll.ciqfunctions.udf.CIQ(A2163,"IQ_DILUT_EPS_EXCL",IQ_FY-4), _xll.ciqfunctions.udf.CIQ(A2163, "IQ_DILUT_EPS_EXCL",IQ_FY-3))</f>
        <v>1.61</v>
      </c>
      <c r="G2169" s="15">
        <f>IF(A2171=A2172,_xll.ciqfunctions.udf.CIQ(A2163,"IQ_EBITDA_MARGIN",IQ_FY-4), _xll.ciqfunctions.udf.CIQ(A2163, "IQ_EBITDA_MARGIN",IQ_FY-3))</f>
        <v>20.2545</v>
      </c>
      <c r="H2169" s="15">
        <f>IF(A2171=A2172,_xll.ciqfunctions.udf.CIQ(A2163,"IQ_TOTAL_DIV_PAID_CF",IQ_FY-4)/-I2169, _xll.ciqfunctions.udf.CIQ(A2163, "IQ_TOTAL_DIV_PAID_CF",IQ_FY-3)/-I2169)</f>
        <v>0.63871283306152105</v>
      </c>
      <c r="I2169" s="17">
        <f>IF(A2171=A2172,_xll.ciqfunctions.udf.CIQ(A2163,"IQ_TOTAL_OUTSTANDING_FILING_DATE",IQ_FY-4), _xll.ciqfunctions.udf.CIQ(A2163, "IQ_TOTAL_OUTSTANDING_FILING_DATE",IQ_FY-3))</f>
        <v>29.113240000000001</v>
      </c>
      <c r="J2169" s="17">
        <f>IF(A2171=A2172,_xll.ciqfunctions.udf.CIQ(A2163,"IQ_CASH_OPER",IQ_FY-4), _xll.ciqfunctions.udf.CIQ(A2163, "IQ_CASH_OPER",IQ_FY-3))</f>
        <v>80.713999999999999</v>
      </c>
      <c r="K2169" s="17">
        <f>IF(A2171=A2172,_xll.ciqfunctions.udf.CIQ(A2163,"IQ_CAPEX",IQ_FY-4), _xll.ciqfunctions.udf.CIQ(A2163, "IQ_CAPEX",IQ_FY-3))</f>
        <v>-7.4960000000000004</v>
      </c>
      <c r="L2169" s="15">
        <f t="shared" si="576"/>
        <v>2.5149382205484514</v>
      </c>
      <c r="M2169" s="17">
        <f>IF(A2171=A2172,_xll.ciqfunctions.udf.CIQ(A2163,"IQ_TOTAL_DEBT_ISSUED",IQ_FY-4), _xll.ciqfunctions.udf.CIQ(A2163, "IQ_TOTAL_DEBT_ISSUED",IQ_FY-3))</f>
        <v>0</v>
      </c>
      <c r="N2169" s="17">
        <f>IF(A2171=A2172,_xll.ciqfunctions.udf.CIQ(A2163,"IQ_TOTAL_DEBT_REPAID",IQ_FY-4), _xll.ciqfunctions.udf.CIQ(A2163, "IQ_TOTAL_DEBT_REPAID",IQ_FY-3))</f>
        <v>-13.5</v>
      </c>
      <c r="O2169" s="15">
        <f t="shared" si="577"/>
        <v>-0.46370654726165828</v>
      </c>
      <c r="P2169" s="15">
        <f t="shared" si="578"/>
        <v>2.051231673286793</v>
      </c>
      <c r="Q2169" s="18"/>
      <c r="R2169" s="38" t="s">
        <v>29</v>
      </c>
      <c r="S2169" s="4">
        <f>(AVERAGE(P2168:P2173)/_xlfn.STDEV.P(P2168:P2173))/(IF(A2171=A2172,(_xlfn.SINGLE(_xll.ciqfunctions.udf.CIQ(A2163,"IQ_total_assets",IQ_FY)) - _xlfn.SINGLE(_xll.ciqfunctions.udf.CIQ(A2163,"iq_gw_intan", IQ_FY)))/I2173, (_xlfn.SINGLE(_xll.ciqfunctions.udf.CIQ(A2163, "IQ_total_assets",IQ_LTM))-_xlfn.SINGLE(_xll.ciqfunctions.udf.CIQ(A2163,"iq_gw_intan",IQ_LTM)))/I2173))</f>
        <v>0.20084012049956032</v>
      </c>
      <c r="U2169" s="18"/>
      <c r="V2169" s="38" t="s">
        <v>29</v>
      </c>
      <c r="W2169" s="4">
        <f>(AVERAGE(P2168:P2173)/_xlfn.STDEV.P(P2168:P2173))/(IF(A2171=A2172,(_xlfn.SINGLE(_xll.ciqfunctions.udf.CIQ(A2163,"IQ_total_assets",IQ_FY)) - _xlfn.SINGLE(_xll.ciqfunctions.udf.CIQ(A2163,"iq_gw_intan", IQ_FY)))/I2173, (_xlfn.SINGLE(_xll.ciqfunctions.udf.CIQ(A2163, "IQ_total_assets",IQ_LTM))-_xlfn.SINGLE(_xll.ciqfunctions.udf.CIQ(A2163,"iq_gw_intan",IQ_LTM)))/I2173))</f>
        <v>0.20084012049956032</v>
      </c>
      <c r="Y2169" s="18"/>
      <c r="Z2169" s="38" t="s">
        <v>29</v>
      </c>
      <c r="AA2169" s="4">
        <f>(AVERAGE(P2168:P2173)/_xlfn.STDEV.P(P2168:P2173))/(IF(A2171=A2172,(_xlfn.SINGLE(_xll.ciqfunctions.udf.CIQ(A2163,"IQ_total_assets",IQ_FY)) - _xlfn.SINGLE(_xll.ciqfunctions.udf.CIQ(A2163,"iq_gw_intan", IQ_FY)))/I2173, (_xlfn.SINGLE(_xll.ciqfunctions.udf.CIQ(A2163, "IQ_total_assets",IQ_LTM))-_xlfn.SINGLE(_xll.ciqfunctions.udf.CIQ(A2163,"iq_gw_intan",IQ_LTM)))/I2173))</f>
        <v>0.20084012049956032</v>
      </c>
    </row>
    <row r="2170" spans="1:27">
      <c r="A2170" s="18"/>
      <c r="B2170" s="13">
        <v>8</v>
      </c>
      <c r="C2170" s="14" t="s">
        <v>30</v>
      </c>
      <c r="D2170" s="15" cm="1">
        <f t="array" ref="D2170">_xlfn.SINGLE(IF(A2171=A2172,_xll.ciqfunctions.udf.CIQ(A2163,"IQ_TOTAL_REV",IQ_FY-3)/I2170, _xll.ciqfunctions.udf.CIQ(A2163, "IQ_TOTAL_REV",IQ_FY-2)/I2170))</f>
        <v>14.600721005468786</v>
      </c>
      <c r="E2170" s="16">
        <f t="shared" si="579"/>
        <v>1.0580978634185691E-3</v>
      </c>
      <c r="F2170" s="15">
        <f>IF(A2171=A2172,_xll.ciqfunctions.udf.CIQ(A2163,"IQ_DILUT_EPS_EXCL",IQ_FY-3), _xll.ciqfunctions.udf.CIQ(A2163, "IQ_DILUT_EPS_EXCL",IQ_FY-2))</f>
        <v>1.69</v>
      </c>
      <c r="G2170" s="15">
        <f>IF(A2171=A2172,_xll.ciqfunctions.udf.CIQ(A2163,"IQ_EBITDA_MARGIN",IQ_FY-3), _xll.ciqfunctions.udf.CIQ(A2163, "IQ_EBITDA_MARGIN",IQ_FY-2))</f>
        <v>21.2027</v>
      </c>
      <c r="H2170" s="15">
        <f>IF(A2171=A2172,_xll.ciqfunctions.udf.CIQ(A2163,"IQ_TOTAL_DIV_PAID_CF",IQ_FY-3)/-I2170, _xll.ciqfunctions.udf.CIQ(A2163, "IQ_TOTAL_DIV_PAID_CF",IQ_FY-2)/-I2170)</f>
        <v>0.69788004354716582</v>
      </c>
      <c r="I2170" s="17">
        <f>IF(A2171=A2172,_xll.ciqfunctions.udf.CIQ(A2163,"IQ_TOTAL_OUTSTANDING_FILING_DATE",IQ_FY-3), _xll.ciqfunctions.udf.CIQ(A2163, "IQ_TOTAL_OUTSTANDING_FILING_DATE",IQ_FY-2))</f>
        <v>29.145409999999998</v>
      </c>
      <c r="J2170" s="17">
        <f>IF(A2171=A2172,_xll.ciqfunctions.udf.CIQ(A2163,"IQ_CASH_OPER",IQ_FY-3), _xll.ciqfunctions.udf.CIQ(A2163, "IQ_CASH_OPER",IQ_FY-2))</f>
        <v>89.578000000000003</v>
      </c>
      <c r="K2170" s="17">
        <f>IF(A2171=A2172,_xll.ciqfunctions.udf.CIQ(A2163,"IQ_CAPEX",IQ_FY-3), _xll.ciqfunctions.udf.CIQ(A2163, "IQ_CAPEX",IQ_FY-2))</f>
        <v>-9.0589999999999993</v>
      </c>
      <c r="L2170" s="15">
        <f t="shared" si="576"/>
        <v>2.7626648587204645</v>
      </c>
      <c r="M2170" s="17">
        <f>IF(A2171=A2172,_xll.ciqfunctions.udf.CIQ(A2163,"IQ_TOTAL_DEBT_ISSUED",IQ_FY-3), _xll.ciqfunctions.udf.CIQ(A2163, "IQ_TOTAL_DEBT_ISSUED",IQ_FY-2))</f>
        <v>0</v>
      </c>
      <c r="N2170" s="17">
        <f>IF(A2171=A2172,_xll.ciqfunctions.udf.CIQ(A2163,"IQ_TOTAL_DEBT_REPAID",IQ_FY-3), _xll.ciqfunctions.udf.CIQ(A2163, "IQ_TOTAL_DEBT_REPAID",IQ_FY-2))</f>
        <v>-4.5999999999999996</v>
      </c>
      <c r="O2170" s="15">
        <f t="shared" si="577"/>
        <v>-0.15782931171666481</v>
      </c>
      <c r="P2170" s="15">
        <f t="shared" si="578"/>
        <v>2.6048355470037996</v>
      </c>
      <c r="Q2170" s="18"/>
      <c r="R2170" s="39" t="s">
        <v>31</v>
      </c>
      <c r="S2170" s="5">
        <f>IF(NOT(D2163&gt;0),FALSE,SLOPE(G2163:G2173,B2163:B2173))</f>
        <v>0.4666481818181818</v>
      </c>
      <c r="U2170" s="18"/>
      <c r="V2170" s="39" t="s">
        <v>31</v>
      </c>
      <c r="W2170" s="5">
        <f>IF(NOT(D2163&gt;0),FALSE,SLOPE(G2163:G2173,B2163:B2173))</f>
        <v>0.4666481818181818</v>
      </c>
      <c r="Y2170" s="18"/>
      <c r="Z2170" s="39" t="s">
        <v>31</v>
      </c>
      <c r="AA2170" s="5">
        <f>IF(NOT(L2163&gt;0),FALSE,SLOPE(O2163:O2173,J2163:J2173))</f>
        <v>-1.2190019324900036E-3</v>
      </c>
    </row>
    <row r="2171" spans="1:27">
      <c r="A2171" s="19">
        <f>_xll.ciqfunctions.udf.CIQ(A2163,"IQ_TOTAL_REV",IQ_FY)</f>
        <v>565.56799999999998</v>
      </c>
      <c r="B2171" s="13">
        <v>9</v>
      </c>
      <c r="C2171" s="14" t="s">
        <v>32</v>
      </c>
      <c r="D2171" s="15" cm="1">
        <f t="array" ref="D2171">_xlfn.SINGLE(IF(A2171=A2172,_xll.ciqfunctions.udf.CIQ(A2163,"IQ_TOTAL_REV",IQ_FY-2)/I2171, _xll.ciqfunctions.udf.CIQ(A2163, "IQ_TOTAL_REV",IQ_FY-1)/I2171))</f>
        <v>17.272051269340107</v>
      </c>
      <c r="E2171" s="16">
        <f t="shared" si="579"/>
        <v>0.18295879106728757</v>
      </c>
      <c r="F2171" s="15">
        <f>IF(A2171=A2172,_xll.ciqfunctions.udf.CIQ(A2163,"IQ_DILUT_EPS_EXCL",IQ_FY-2), _xll.ciqfunctions.udf.CIQ(A2163, "IQ_DILUT_EPS_EXCL",IQ_FY-1))</f>
        <v>2.08</v>
      </c>
      <c r="G2171" s="15">
        <f>IF(A2171=A2172,_xll.ciqfunctions.udf.CIQ(A2163,"IQ_EBITDA_MARGIN",IQ_FY-2), _xll.ciqfunctions.udf.CIQ(A2163, "IQ_EBITDA_MARGIN",IQ_FY-1))</f>
        <v>21.073899999999998</v>
      </c>
      <c r="H2171" s="15">
        <f>IF(A2171=A2172,_xll.ciqfunctions.udf.CIQ(A2163,"IQ_TOTAL_DIV_PAID_CF",IQ_FY-2)/-I2171, _xll.ciqfunctions.udf.CIQ(A2163, "IQ_TOTAL_DIV_PAID_CF",IQ_FY-1)/-I2171)</f>
        <v>0.7574501400881043</v>
      </c>
      <c r="I2171" s="17">
        <f>IF(A2171=A2172,_xll.ciqfunctions.udf.CIQ(A2163,"IQ_TOTAL_OUTSTANDING_FILING_DATE",IQ_FY-2), _xll.ciqfunctions.udf.CIQ(A2163, "IQ_TOTAL_OUTSTANDING_FILING_DATE",IQ_FY-1))</f>
        <v>29.24945</v>
      </c>
      <c r="J2171" s="17">
        <f>IF(A2171=A2172,_xll.ciqfunctions.udf.CIQ(A2163,"IQ_CASH_OPER",IQ_FY-2), _xll.ciqfunctions.udf.CIQ(A2163, "IQ_CASH_OPER",IQ_FY-1))</f>
        <v>87.51</v>
      </c>
      <c r="K2171" s="17">
        <f>IF(A2171=A2172,_xll.ciqfunctions.udf.CIQ(A2163,"IQ_CAPEX",IQ_FY-2), _xll.ciqfunctions.udf.CIQ(A2163, "IQ_CAPEX",IQ_FY-1))</f>
        <v>-6.7460000000000004</v>
      </c>
      <c r="L2171" s="15">
        <f t="shared" si="576"/>
        <v>2.7612143134315348</v>
      </c>
      <c r="M2171" s="17">
        <f>IF(A2171=A2172,_xll.ciqfunctions.udf.CIQ(A2163,"IQ_TOTAL_DEBT_ISSUED",IQ_FY-2), _xll.ciqfunctions.udf.CIQ(A2163, "IQ_TOTAL_DEBT_ISSUED",IQ_FY-1))</f>
        <v>0</v>
      </c>
      <c r="N2171" s="17">
        <f>IF(A2171=A2172,_xll.ciqfunctions.udf.CIQ(A2163,"IQ_TOTAL_DEBT_REPAID",IQ_FY-2), _xll.ciqfunctions.udf.CIQ(A2163, "IQ_TOTAL_DEBT_REPAID",IQ_FY-1))</f>
        <v>0</v>
      </c>
      <c r="O2171" s="15">
        <f t="shared" si="577"/>
        <v>0</v>
      </c>
      <c r="P2171" s="15">
        <f t="shared" si="578"/>
        <v>2.7612143134315348</v>
      </c>
      <c r="Q2171" s="25" t="s">
        <v>33</v>
      </c>
      <c r="R2171" s="38" t="s">
        <v>52</v>
      </c>
      <c r="S2171" s="4">
        <f>(AVERAGE(O2168:O2173)/AVERAGE(P2168:P2173))</f>
        <v>-9.4752227564786129E-2</v>
      </c>
      <c r="U2171" s="25" t="s">
        <v>54</v>
      </c>
      <c r="V2171" s="38" t="s">
        <v>52</v>
      </c>
      <c r="W2171" s="4">
        <f>(AVERAGE(O2168:O2173)/AVERAGE(P2168:P2173))</f>
        <v>-9.4752227564786129E-2</v>
      </c>
      <c r="Y2171" s="25" t="s">
        <v>60</v>
      </c>
      <c r="Z2171" s="38" t="s">
        <v>52</v>
      </c>
      <c r="AA2171" s="4">
        <f>(AVERAGE(O2168:O2173)/AVERAGE(P2168:P2173))</f>
        <v>-9.4752227564786129E-2</v>
      </c>
    </row>
    <row r="2172" spans="1:27">
      <c r="A2172" s="19">
        <f>_xll.ciqfunctions.udf.CIQ(A2163,"IQ_TOTAL_REV",IQ_LTM)</f>
        <v>668.476</v>
      </c>
      <c r="B2172" s="13">
        <v>10</v>
      </c>
      <c r="C2172" s="14" t="s">
        <v>34</v>
      </c>
      <c r="D2172" s="15" cm="1">
        <f t="array" ref="D2172">_xlfn.SINGLE(IF(A2171=A2172,_xll.ciqfunctions.udf.CIQ(A2163,"IQ_TOTAL_REV",IQ_FY-1)/I2172, _xll.ciqfunctions.udf.CIQ(A2163, "IQ_TOTAL_REV",IQ_FY)/I2172))</f>
        <v>19.307307731041085</v>
      </c>
      <c r="E2172" s="16">
        <f t="shared" si="579"/>
        <v>0.11783524897901354</v>
      </c>
      <c r="F2172" s="15">
        <f>IF(A2171=A2172,_xll.ciqfunctions.udf.CIQ(A2163,"IQ_DILUT_EPS_EXCL",IQ_FY-1), _xll.ciqfunctions.udf.CIQ(A2163, "IQ_DILUT_EPS_EXCL",IQ_FY))</f>
        <v>2.2599999999999998</v>
      </c>
      <c r="G2172" s="15">
        <f>IF(A2171=A2172,_xll.ciqfunctions.udf.CIQ(A2163,"IQ_EBITDA_MARGIN",IQ_FY-1), _xll.ciqfunctions.udf.CIQ(A2163, "IQ_EBITDA_MARGIN",IQ_FY))</f>
        <v>20.0517</v>
      </c>
      <c r="H2172" s="15">
        <f>IF(A2171=A2172,_xll.ciqfunctions.udf.CIQ(A2163,"IQ_TOTAL_DIV_PAID_CF",IQ_FY-1)/-I2172, _xll.ciqfunctions.udf.CIQ(A2163, "IQ_TOTAL_DIV_PAID_CF",IQ_FY)/-I2172)</f>
        <v>0.849385261641453</v>
      </c>
      <c r="I2172" s="17">
        <f>IF(A2171=A2172,_xll.ciqfunctions.udf.CIQ(A2163,"IQ_TOTAL_OUTSTANDING_FILING_DATE",IQ_FY-1), _xll.ciqfunctions.udf.CIQ(A2163, "IQ_TOTAL_OUTSTANDING_FILING_DATE",IQ_FY))</f>
        <v>29.292950000000001</v>
      </c>
      <c r="J2172" s="17">
        <f>IF(A2171=A2172,_xll.ciqfunctions.udf.CIQ(A2163,"IQ_CASH_OPER",IQ_FY-1), _xll.ciqfunctions.udf.CIQ(A2163, "IQ_CASH_OPER",IQ_FY))</f>
        <v>82.450999999999993</v>
      </c>
      <c r="K2172" s="17">
        <f>IF(A2171=A2172,_xll.ciqfunctions.udf.CIQ(A2163,"IQ_CAPEX",IQ_FY-1), _xll.ciqfunctions.udf.CIQ(A2163, "IQ_CAPEX",IQ_FY))</f>
        <v>-5.891</v>
      </c>
      <c r="L2172" s="15">
        <f t="shared" si="576"/>
        <v>2.6135981524564778</v>
      </c>
      <c r="M2172" s="17">
        <f>IF(A2171=A2172,_xll.ciqfunctions.udf.CIQ(A2163,"IQ_TOTAL_DEBT_ISSUED",IQ_FY-1), _xll.ciqfunctions.udf.CIQ(A2163, "IQ_TOTAL_DEBT_ISSUED",IQ_FY))</f>
        <v>0</v>
      </c>
      <c r="N2172" s="17">
        <f>IF(A2171=A2172,_xll.ciqfunctions.udf.CIQ(A2163,"IQ_TOTAL_DEBT_REPAID",IQ_FY-1), _xll.ciqfunctions.udf.CIQ(A2163, "IQ_TOTAL_DEBT_REPAID",IQ_FY))</f>
        <v>0</v>
      </c>
      <c r="O2172" s="15">
        <f t="shared" si="577"/>
        <v>0</v>
      </c>
      <c r="P2172" s="15">
        <f t="shared" si="578"/>
        <v>2.6135981524564778</v>
      </c>
      <c r="Q2172" s="25" t="s">
        <v>44</v>
      </c>
      <c r="R2172" s="38" t="s">
        <v>35</v>
      </c>
      <c r="S2172" s="1">
        <f>_xll.ciqfunctions.udf.CIQ(A2163,"IQ_TEV_EBITDA")</f>
        <v>30.479590000000002</v>
      </c>
      <c r="U2172" s="25" t="s">
        <v>55</v>
      </c>
      <c r="V2172" s="38" t="s">
        <v>53</v>
      </c>
      <c r="W2172" s="1">
        <f>V2162/(AVERAGE(D2168:D2173)/_xlfn.STDEV.P(E2168:E2173))</f>
        <v>0.69421441673548534</v>
      </c>
      <c r="Y2172" s="25" t="s">
        <v>57</v>
      </c>
      <c r="Z2172" s="38" t="s">
        <v>53</v>
      </c>
      <c r="AA2172" s="1">
        <f>Z2162/(AVERAGE(D2168:D2173)/_xlfn.STDEV.P(E2168:E2173))</f>
        <v>0.69421441673548534</v>
      </c>
    </row>
    <row r="2173" spans="1:27">
      <c r="B2173" s="13">
        <v>11</v>
      </c>
      <c r="C2173" s="20" t="s">
        <v>36</v>
      </c>
      <c r="D2173" s="21" cm="1">
        <f t="array" ref="D2173">_xlfn.SINGLE(IF(A2171=A2172,_xll.ciqfunctions.udf.CIQ(A2163,"IQ_TOTAL_REV",IQ_FY)/I2173, _xll.ciqfunctions.udf.CIQ(A2163, "IQ_TOTAL_REV",IQ_LTM)/I2173))</f>
        <v>22.778442811788789</v>
      </c>
      <c r="E2173" s="22">
        <f t="shared" si="579"/>
        <v>0.17978348556422652</v>
      </c>
      <c r="F2173" s="21">
        <f>IF(A2171=A2172,_xll.ciqfunctions.udf.CIQ(A2163,"IQ_DILUT_EPS_EXCL",IQ_FY), _xll.ciqfunctions.udf.CIQ(A2163, "IQ_DILUT_EPS_EXCL",IQ_LTM))</f>
        <v>2.89011</v>
      </c>
      <c r="G2173" s="21">
        <f>IF(A2171=A2172,_xll.ciqfunctions.udf.CIQ(A2163,"IQ_EBITDA_MARGIN",IQ_FY), _xll.ciqfunctions.udf.CIQ(A2163, "IQ_EBITDA_MARGIN",IQ_LTM))</f>
        <v>20.242100000000001</v>
      </c>
      <c r="H2173" s="21">
        <f>IF(A2171=A2172,_xll.ciqfunctions.udf.CIQ(A2163,"IQ_TOTAL_DIV_PAID_CF",IQ_FY)/-I2173, _xll.ciqfunctions.udf.CIQ(A2163, "IQ_TOTAL_DIV_PAID_CF",IQ_LTM)/-I2173)</f>
        <v>0.94466633068535077</v>
      </c>
      <c r="I2173" s="23">
        <f>IF(A2171=A2172,_xll.ciqfunctions.udf.CIQ(A2163,"IQ_TOTAL_OUTSTANDING_FILING_DATE",IQ_FY),_xll.ciqfunctions.udf.CIQ(A2163,"IQ_sharesoutstanding"))</f>
        <v>29.346869999999999</v>
      </c>
      <c r="J2173" s="23">
        <f>IF(A2171=A2172,_xll.ciqfunctions.udf.CIQ(A2163,"IQ_CASH_OPER",IQ_FY), _xll.ciqfunctions.udf.CIQ(A2163, "IQ_CASH_OPER",IQ_LTM))</f>
        <v>101.88</v>
      </c>
      <c r="K2173" s="23">
        <f>IF(A2171=A2172,_xll.ciqfunctions.udf.CIQ(A2163,"IQ_CAPEX",IQ_FY), _xll.ciqfunctions.udf.CIQ(A2163, "IQ_CAPEX",IQ_LTM))</f>
        <v>-11.15</v>
      </c>
      <c r="L2173" s="21">
        <f t="shared" si="576"/>
        <v>3.0916414595491784</v>
      </c>
      <c r="M2173" s="23">
        <f>IF(A2171=A2172,_xll.ciqfunctions.udf.CIQ(A2163,"IQ_TOTAL_DEBT_ISSUED",IQ_FY), _xll.ciqfunctions.udf.CIQ(A2163, "IQ_TOTAL_DEBT_ISSUED",IQ_LTM))</f>
        <v>0</v>
      </c>
      <c r="N2173" s="23">
        <f>IF(A2171=A2172,_xll.ciqfunctions.udf.CIQ(A2163,"IQ_TOTAL_DEBT_REPAID",IQ_FY), _xll.ciqfunctions.udf.CIQ(A2163, "IQ_TOTAL_DEBT_REPAID",IQ_LTM))</f>
        <v>0</v>
      </c>
      <c r="O2173" s="21">
        <f t="shared" si="577"/>
        <v>0</v>
      </c>
      <c r="P2173" s="21">
        <f t="shared" si="578"/>
        <v>3.0916414595491784</v>
      </c>
      <c r="Q2173" s="25" t="s">
        <v>45</v>
      </c>
      <c r="S2173" s="45"/>
      <c r="U2173" s="25"/>
      <c r="W2173" s="45"/>
      <c r="Y2173" s="25"/>
      <c r="AA2173" s="45"/>
    </row>
    <row r="2174" spans="1:27">
      <c r="B2174" s="24"/>
      <c r="C2174" s="25" t="s">
        <v>37</v>
      </c>
      <c r="E2174" s="26">
        <f>((D2173/D2168)^(1/5))-1</f>
        <v>8.8619140767695725E-2</v>
      </c>
      <c r="F2174" s="27">
        <f>((F2173/F2168)^(1/5))-1</f>
        <v>0.24921777023057867</v>
      </c>
      <c r="G2174" s="28"/>
      <c r="H2174" s="27">
        <f>((H2173/H2168)^(1/5))-1</f>
        <v>0.11076024240973115</v>
      </c>
      <c r="I2174" s="27">
        <f>((I2173/I2168)^(1/5))-1</f>
        <v>1.6059709650917409E-3</v>
      </c>
      <c r="J2174" s="27"/>
      <c r="K2174" s="27"/>
      <c r="L2174" s="26">
        <f>((L2173/L2168)^(1/5))-1</f>
        <v>0.1172321099079634</v>
      </c>
      <c r="M2174" s="26"/>
      <c r="N2174" s="26"/>
      <c r="O2174" s="26"/>
      <c r="P2174" s="26">
        <f>((P2173/P2168)^(1/5))-1</f>
        <v>0.24005157920842768</v>
      </c>
      <c r="Q2174" s="18"/>
      <c r="R2174" s="36"/>
      <c r="S2174" s="45"/>
      <c r="U2174" s="18"/>
      <c r="V2174" s="36"/>
      <c r="W2174" s="45"/>
      <c r="Y2174" s="18"/>
      <c r="Z2174" s="36"/>
      <c r="AA2174" s="45"/>
    </row>
    <row r="2175" spans="1:27">
      <c r="A2175" s="29"/>
      <c r="B2175" s="30"/>
      <c r="C2175" s="31" t="s">
        <v>38</v>
      </c>
      <c r="D2175" s="29"/>
      <c r="E2175" s="32">
        <f>((D2173/D2163)^(1/10))-1</f>
        <v>6.9845007625718214E-2</v>
      </c>
      <c r="F2175" s="33">
        <f>((F2173/F2163)^(1/10))-1</f>
        <v>0.13018501489569911</v>
      </c>
      <c r="G2175" s="34"/>
      <c r="H2175" s="33">
        <f>((H2173/H2163)^(1/10))-1</f>
        <v>0.10527270177941372</v>
      </c>
      <c r="I2175" s="33">
        <f>((I2173/I2163)^(1/10))-1</f>
        <v>1.8373304197873974E-3</v>
      </c>
      <c r="J2175" s="33"/>
      <c r="K2175" s="33"/>
      <c r="L2175" s="32">
        <f>((L2173/L2163)^(1/10))-1</f>
        <v>0.15821095290406206</v>
      </c>
      <c r="M2175" s="32"/>
      <c r="N2175" s="32"/>
      <c r="O2175" s="32"/>
      <c r="P2175" s="32">
        <f>((P2173/P2163)^(1/10))-1</f>
        <v>0.14151352665673955</v>
      </c>
      <c r="Q2175" s="40"/>
      <c r="R2175" s="41"/>
      <c r="S2175" s="46"/>
      <c r="U2175" s="40"/>
      <c r="V2175" s="41"/>
      <c r="W2175" s="46"/>
      <c r="Y2175" s="40"/>
      <c r="Z2175" s="41"/>
      <c r="AA2175" s="46"/>
    </row>
    <row r="2176" spans="1:27">
      <c r="B2176" s="24"/>
      <c r="C2176" s="25"/>
      <c r="E2176" s="26"/>
      <c r="F2176" s="27"/>
      <c r="G2176" s="28"/>
      <c r="H2176" s="27"/>
      <c r="I2176" s="27"/>
      <c r="J2176" s="27"/>
      <c r="K2176" s="27"/>
      <c r="L2176" s="26"/>
      <c r="M2176" s="17"/>
      <c r="N2176" s="17"/>
      <c r="O2176" s="17"/>
      <c r="P2176" s="35"/>
      <c r="Q2176" s="18"/>
      <c r="R2176" s="36"/>
    </row>
    <row r="2177" spans="1:27">
      <c r="A2177" s="9" t="s">
        <v>0</v>
      </c>
      <c r="B2177" s="10"/>
      <c r="C2177" s="9" t="s">
        <v>1</v>
      </c>
      <c r="D2177" s="9" t="s">
        <v>2</v>
      </c>
      <c r="E2177" s="9" t="s">
        <v>3</v>
      </c>
      <c r="F2177" s="11" t="s">
        <v>4</v>
      </c>
      <c r="G2177" s="11" t="s">
        <v>5</v>
      </c>
      <c r="H2177" s="9" t="s">
        <v>6</v>
      </c>
      <c r="I2177" s="11" t="s">
        <v>7</v>
      </c>
      <c r="J2177" s="11" t="s">
        <v>8</v>
      </c>
      <c r="K2177" s="11" t="s">
        <v>9</v>
      </c>
      <c r="L2177" s="11" t="s">
        <v>10</v>
      </c>
      <c r="M2177" s="11" t="s">
        <v>11</v>
      </c>
      <c r="N2177" s="11" t="s">
        <v>12</v>
      </c>
      <c r="O2177" s="11" t="s">
        <v>13</v>
      </c>
      <c r="P2177" s="11" t="s">
        <v>14</v>
      </c>
      <c r="Q2177" s="37" t="s">
        <v>15</v>
      </c>
      <c r="R2177" s="42">
        <f>_xll.ciqfunctions.udf.CIQ(A2178,("IQ_LASTSALEPRICE"))</f>
        <v>16.175000000000001</v>
      </c>
      <c r="S2177" s="44"/>
      <c r="U2177" s="37" t="s">
        <v>15</v>
      </c>
      <c r="V2177" s="42">
        <f>_xll.ciqfunctions.udf.CIQ(A2178,("IQ_LASTSALEPRICE"))</f>
        <v>16.175000000000001</v>
      </c>
      <c r="W2177" s="44"/>
      <c r="Y2177" s="37" t="s">
        <v>15</v>
      </c>
      <c r="Z2177" s="42">
        <f>_xll.ciqfunctions.udf.CIQ(A2178,("IQ_LASTSALEPRICE"))</f>
        <v>16.175000000000001</v>
      </c>
      <c r="AA2177" s="44"/>
    </row>
    <row r="2178" spans="1:27">
      <c r="A2178" s="12" t="str">
        <f>Analysis!B147</f>
        <v>NYSE:KN</v>
      </c>
      <c r="B2178" s="13">
        <v>1</v>
      </c>
      <c r="C2178" s="14" t="s">
        <v>16</v>
      </c>
      <c r="D2178" s="15">
        <f>IF(A2186=A2187,_xll.ciqfunctions.udf.CIQ(A2178,"IQ_TOTAL_REV",IQ_FY-10)/I2178,_xll.ciqfunctions.udf.CIQ(A2178, "IQ_TOTAL_REV",IQ_FY-9)/I2178)</f>
        <v>14.287122231576046</v>
      </c>
      <c r="E2178" s="16"/>
      <c r="F2178" s="15">
        <f>IF(A2186=A2187,_xll.ciqfunctions.udf.CIQ(A2178,"IQ_DILUT_EPS_EXCL",IQ_FY-10), _xll.ciqfunctions.udf.CIQ(A2178, "IQ_DILUT_EPS_EXCL",IQ_FY-9))</f>
        <v>1.24</v>
      </c>
      <c r="G2178" s="15">
        <f>IF(A2186=A2187,_xll.ciqfunctions.udf.CIQ(A2178,"IQ_EBITDA_MARGIN",IQ_FY-10), _xll.ciqfunctions.udf.CIQ(A2178, "IQ_EBITDA_MARGIN",IQ_FY-9))</f>
        <v>25.337499999999999</v>
      </c>
      <c r="H2178" s="15">
        <f>IF(A2186=A2187,_xll.ciqfunctions.udf.CIQ(A2178,"IQ_TOTAL_DIV_PAID_CF",IQ_FY-10)/-I2178, _xll.ciqfunctions.udf.CIQ(A2178, "IQ_TOTAL_DIV_PAID_CF",IQ_FY-9)/-I2178)</f>
        <v>0</v>
      </c>
      <c r="I2178" s="17">
        <f>IF(A2186=A2187,_xll.ciqfunctions.udf.CIQ(A2178,"IQ_TOTAL_OUTSTANDING_FILING_DATE",IQ_FY-10), _xll.ciqfunctions.udf.CIQ(A2178, "IQ_TOTAL_OUTSTANDING_FILING_DATE",IQ_FY-9))</f>
        <v>85.027619999999999</v>
      </c>
      <c r="J2178" s="17">
        <f>IF(A2186=A2187,_xll.ciqfunctions.udf.CIQ(A2178,"IQ_CASH_OPER",IQ_FY-10), _xll.ciqfunctions.udf.CIQ(A2178, "IQ_CASH_OPER",IQ_FY-9))</f>
        <v>174.3</v>
      </c>
      <c r="K2178" s="17">
        <f>IF(A2186=A2187,_xll.ciqfunctions.udf.CIQ(A2178,"IQ_CAPEX",IQ_FY-10), _xll.ciqfunctions.udf.CIQ(A2178, "IQ_CAPEX",IQ_FY-9))</f>
        <v>-105.2</v>
      </c>
      <c r="L2178" s="15">
        <f t="shared" ref="L2178:L2188" si="580">(J2178+K2178)/I2178</f>
        <v>0.81267710421625361</v>
      </c>
      <c r="M2178" s="17">
        <f>IF(A2186=A2187,_xll.ciqfunctions.udf.CIQ(A2178,"IQ_TOTAL_DEBT_ISSUED",IQ_FY-10), _xll.ciqfunctions.udf.CIQ(A2178, "IQ_TOTAL_DEBT_ISSUED",IQ_FY-9))</f>
        <v>0</v>
      </c>
      <c r="N2178" s="17">
        <f>IF(A2186=A2187,_xll.ciqfunctions.udf.CIQ(A2178,"IQ_TOTAL_DEBT_REPAID",IQ_FY-10), _xll.ciqfunctions.udf.CIQ(A2178, "IQ_TOTAL_DEBT_REPAID",IQ_FY-9))</f>
        <v>-574.1</v>
      </c>
      <c r="O2178" s="15">
        <f t="shared" ref="O2178:O2188" si="581">(M2178+N2178)/I2178</f>
        <v>-6.7519236690383666</v>
      </c>
      <c r="P2178" s="15">
        <f t="shared" ref="P2178:P2188" si="582">L2178+O2178</f>
        <v>-5.9392465648221133</v>
      </c>
      <c r="W2178" s="43"/>
      <c r="AA2178" s="43"/>
    </row>
    <row r="2179" spans="1:27">
      <c r="A2179" s="18" t="str">
        <f>_xll.ciqfunctions.udf.CIQ(A2178,"IQ_COMPANY_NAME")</f>
        <v>Knowles Corporation</v>
      </c>
      <c r="B2179" s="13">
        <v>2</v>
      </c>
      <c r="C2179" s="14" t="s">
        <v>17</v>
      </c>
      <c r="D2179" s="15">
        <f>IF(A2186=A2187,_xll.ciqfunctions.udf.CIQ(A2178,"IQ_TOTAL_REV",IQ_FY-9)/I2179, _xll.ciqfunctions.udf.CIQ(A2178, "IQ_TOTAL_REV",IQ_FY-8)/I2179)</f>
        <v>10.755851918132803</v>
      </c>
      <c r="E2179" s="16">
        <f t="shared" ref="E2179:E2188" si="583">(D2179-D2178)/D2178</f>
        <v>-0.24716456233843667</v>
      </c>
      <c r="F2179" s="15">
        <f>IF(A2186=A2187,_xll.ciqfunctions.udf.CIQ(A2178,"IQ_DILUT_EPS_EXCL",IQ_FY-9), _xll.ciqfunctions.udf.CIQ(A2178, "IQ_DILUT_EPS_EXCL",IQ_FY-8))</f>
        <v>1.4</v>
      </c>
      <c r="G2179" s="15">
        <f>IF(A2186=A2187,_xll.ciqfunctions.udf.CIQ(A2178,"IQ_EBITDA_MARGIN",IQ_FY-9), _xll.ciqfunctions.udf.CIQ(A2178, "IQ_EBITDA_MARGIN",IQ_FY-8))</f>
        <v>33.562800000000003</v>
      </c>
      <c r="H2179" s="15">
        <f>IF(A2186=A2187,_xll.ciqfunctions.udf.CIQ(A2178,"IQ_TOTAL_DIV_PAID_CF",IQ_FY-9)/-I2179, _xll.ciqfunctions.udf.CIQ(A2178, "IQ_TOTAL_DIV_PAID_CF",IQ_FY-8)/-I2179)</f>
        <v>0</v>
      </c>
      <c r="I2179" s="17">
        <f>IF(A2186=A2187,_xll.ciqfunctions.udf.CIQ(A2178,"IQ_TOTAL_OUTSTANDING_FILING_DATE",IQ_FY-9), _xll.ciqfunctions.udf.CIQ(A2178, "IQ_TOTAL_OUTSTANDING_FILING_DATE",IQ_FY-8))</f>
        <v>85.069969999999998</v>
      </c>
      <c r="J2179" s="17">
        <f>IF(A2186=A2187,_xll.ciqfunctions.udf.CIQ(A2178,"IQ_CASH_OPER",IQ_FY-9), _xll.ciqfunctions.udf.CIQ(A2178, "IQ_CASH_OPER",IQ_FY-8))</f>
        <v>115.5</v>
      </c>
      <c r="K2179" s="17">
        <f>IF(A2186=A2187,_xll.ciqfunctions.udf.CIQ(A2178,"IQ_CAPEX",IQ_FY-9), _xll.ciqfunctions.udf.CIQ(A2178, "IQ_CAPEX",IQ_FY-8))</f>
        <v>-83.9</v>
      </c>
      <c r="L2179" s="15">
        <f t="shared" si="580"/>
        <v>0.37145892963169019</v>
      </c>
      <c r="M2179" s="17">
        <f>IF(A2186=A2187,_xll.ciqfunctions.udf.CIQ(A2178,"IQ_TOTAL_DEBT_ISSUED",IQ_FY-9), _xll.ciqfunctions.udf.CIQ(A2178, "IQ_TOTAL_DEBT_ISSUED",IQ_FY-8))</f>
        <v>400</v>
      </c>
      <c r="N2179" s="17">
        <f>IF(A2186=A2187,_xll.ciqfunctions.udf.CIQ(A2178,"IQ_TOTAL_DEBT_REPAID",IQ_FY-9), _xll.ciqfunctions.udf.CIQ(A2178, "IQ_TOTAL_DEBT_REPAID",IQ_FY-8))</f>
        <v>0</v>
      </c>
      <c r="O2179" s="15">
        <f t="shared" si="581"/>
        <v>4.7020117674897497</v>
      </c>
      <c r="P2179" s="15">
        <f t="shared" si="582"/>
        <v>5.0734706971214401</v>
      </c>
      <c r="Q2179" s="25" t="s">
        <v>18</v>
      </c>
      <c r="R2179" s="39" t="s">
        <v>19</v>
      </c>
      <c r="S2179" s="1">
        <f>R2177/((AVERAGE(P2183:P2188))*(1+E2189)^3)</f>
        <v>39.785951873749347</v>
      </c>
      <c r="U2179" s="25" t="s">
        <v>48</v>
      </c>
      <c r="V2179" s="39" t="s">
        <v>19</v>
      </c>
      <c r="W2179" s="1">
        <f>V2177/((AVERAGE(P2183:P2188))*(1+E2189)^3)</f>
        <v>39.785951873749347</v>
      </c>
      <c r="Y2179" s="25" t="s">
        <v>39</v>
      </c>
      <c r="Z2179" s="39" t="s">
        <v>19</v>
      </c>
      <c r="AA2179" s="1">
        <f>Z2177/((AVERAGE(P2183:P2188))*(1+E2189)^3)</f>
        <v>39.785951873749347</v>
      </c>
    </row>
    <row r="2180" spans="1:27">
      <c r="B2180" s="13">
        <v>3</v>
      </c>
      <c r="C2180" s="14" t="s">
        <v>20</v>
      </c>
      <c r="D2180" s="15" cm="1">
        <f t="array" ref="D2180">_xlfn.SINGLE(IF(A2186=A2187,_xll.ciqfunctions.udf.CIQ(A2178,"IQ_TOTAL_REV",IQ_FY-8)/I2180, _xll.ciqfunctions.udf.CIQ(A2178, "IQ_TOTAL_REV",IQ_FY-7)/I2180))</f>
        <v>8.5188071092700923</v>
      </c>
      <c r="E2180" s="16">
        <f t="shared" si="583"/>
        <v>-0.20798397243563557</v>
      </c>
      <c r="F2180" s="15">
        <f>IF(A2186=A2187,_xll.ciqfunctions.udf.CIQ(A2178,"IQ_DILUT_EPS_EXCL",IQ_FY-8), _xll.ciqfunctions.udf.CIQ(A2178, "IQ_DILUT_EPS_EXCL",IQ_FY-7))</f>
        <v>0.2</v>
      </c>
      <c r="G2180" s="15">
        <f>IF(A2186=A2187,_xll.ciqfunctions.udf.CIQ(A2178,"IQ_EBITDA_MARGIN",IQ_FY-8), _xll.ciqfunctions.udf.CIQ(A2178, "IQ_EBITDA_MARGIN",IQ_FY-7))</f>
        <v>19.2807</v>
      </c>
      <c r="H2180" s="15">
        <f>IF(A2186=A2187,_xll.ciqfunctions.udf.CIQ(A2178,"IQ_TOTAL_DIV_PAID_CF",IQ_FY-8)/-I2180, _xll.ciqfunctions.udf.CIQ(A2178, "IQ_TOTAL_DIV_PAID_CF",IQ_FY-7)/-I2180)</f>
        <v>0</v>
      </c>
      <c r="I2180" s="17">
        <f>IF(A2186=A2187,_xll.ciqfunctions.udf.CIQ(A2178,"IQ_TOTAL_OUTSTANDING_FILING_DATE",IQ_FY-8), _xll.ciqfunctions.udf.CIQ(A2178, "IQ_TOTAL_OUTSTANDING_FILING_DATE",IQ_FY-7))</f>
        <v>88.463089999999994</v>
      </c>
      <c r="J2180" s="17">
        <f>IF(A2186=A2187,_xll.ciqfunctions.udf.CIQ(A2178,"IQ_CASH_OPER",IQ_FY-8), _xll.ciqfunctions.udf.CIQ(A2178, "IQ_CASH_OPER",IQ_FY-7))</f>
        <v>78.900000000000006</v>
      </c>
      <c r="K2180" s="17">
        <f>IF(A2186=A2187,_xll.ciqfunctions.udf.CIQ(A2178,"IQ_CAPEX",IQ_FY-8), _xll.ciqfunctions.udf.CIQ(A2178, "IQ_CAPEX",IQ_FY-7))</f>
        <v>-63.1</v>
      </c>
      <c r="L2180" s="15">
        <f t="shared" si="580"/>
        <v>0.17860556306590697</v>
      </c>
      <c r="M2180" s="17">
        <f>IF(A2186=A2187,_xll.ciqfunctions.udf.CIQ(A2178,"IQ_TOTAL_DEBT_ISSUED",IQ_FY-8), _xll.ciqfunctions.udf.CIQ(A2178, "IQ_TOTAL_DEBT_ISSUED",IQ_FY-7))</f>
        <v>130</v>
      </c>
      <c r="N2180" s="17">
        <f>IF(A2186=A2187,_xll.ciqfunctions.udf.CIQ(A2178,"IQ_TOTAL_DEBT_REPAID",IQ_FY-8), _xll.ciqfunctions.udf.CIQ(A2178, "IQ_TOTAL_DEBT_REPAID",IQ_FY-7))</f>
        <v>-101.4</v>
      </c>
      <c r="O2180" s="15">
        <f t="shared" si="581"/>
        <v>0.32329867744841373</v>
      </c>
      <c r="P2180" s="15">
        <f t="shared" si="582"/>
        <v>0.5019042405143207</v>
      </c>
      <c r="Q2180" s="25" t="s">
        <v>21</v>
      </c>
      <c r="R2180" s="38" t="s">
        <v>49</v>
      </c>
      <c r="S2180" s="2">
        <f>(R2177*I2188)/1000</f>
        <v>1.45990940125</v>
      </c>
      <c r="U2180" s="25" t="s">
        <v>59</v>
      </c>
      <c r="V2180" s="38" t="s">
        <v>49</v>
      </c>
      <c r="W2180" s="2">
        <f>(V2177*I2188)/1000</f>
        <v>1.45990940125</v>
      </c>
      <c r="Y2180" s="25" t="s">
        <v>46</v>
      </c>
      <c r="Z2180" s="38" t="s">
        <v>49</v>
      </c>
      <c r="AA2180" s="2">
        <f>(Z2177*I2188)/1000</f>
        <v>1.45990940125</v>
      </c>
    </row>
    <row r="2181" spans="1:27">
      <c r="A2181" s="18"/>
      <c r="B2181" s="13">
        <v>4</v>
      </c>
      <c r="C2181" s="14" t="s">
        <v>22</v>
      </c>
      <c r="D2181" s="15" cm="1">
        <f t="array" ref="D2181">_xlfn.SINGLE(IF(A2186=A2187,_xll.ciqfunctions.udf.CIQ(A2178,"IQ_TOTAL_REV",IQ_FY-7)/I2181, _xll.ciqfunctions.udf.CIQ(A2178, "IQ_TOTAL_REV",IQ_FY-6)/I2181))</f>
        <v>8.5152807428452828</v>
      </c>
      <c r="E2181" s="16">
        <f t="shared" si="583"/>
        <v>-4.1395073037540225E-4</v>
      </c>
      <c r="F2181" s="15">
        <f>IF(A2186=A2187,_xll.ciqfunctions.udf.CIQ(A2178,"IQ_DILUT_EPS_EXCL",IQ_FY-7), _xll.ciqfunctions.udf.CIQ(A2178, "IQ_DILUT_EPS_EXCL",IQ_FY-6))</f>
        <v>0.22</v>
      </c>
      <c r="G2181" s="15">
        <f>IF(A2186=A2187,_xll.ciqfunctions.udf.CIQ(A2178,"IQ_EBITDA_MARGIN",IQ_FY-7), _xll.ciqfunctions.udf.CIQ(A2178, "IQ_EBITDA_MARGIN",IQ_FY-6))</f>
        <v>16.9511</v>
      </c>
      <c r="H2181" s="15">
        <f>IF(A2186=A2187,_xll.ciqfunctions.udf.CIQ(A2178,"IQ_TOTAL_DIV_PAID_CF",IQ_FY-7)/-I2181, _xll.ciqfunctions.udf.CIQ(A2178, "IQ_TOTAL_DIV_PAID_CF",IQ_FY-6)/-I2181)</f>
        <v>0</v>
      </c>
      <c r="I2181" s="17">
        <f>IF(A2186=A2187,_xll.ciqfunctions.udf.CIQ(A2178,"IQ_TOTAL_OUTSTANDING_FILING_DATE",IQ_FY-7), _xll.ciqfunctions.udf.CIQ(A2178, "IQ_TOTAL_OUTSTANDING_FILING_DATE",IQ_FY-6))</f>
        <v>88.746340000000004</v>
      </c>
      <c r="J2181" s="17">
        <f>IF(A2186=A2187,_xll.ciqfunctions.udf.CIQ(A2178,"IQ_CASH_OPER",IQ_FY-7), _xll.ciqfunctions.udf.CIQ(A2178, "IQ_CASH_OPER",IQ_FY-6))</f>
        <v>106.7</v>
      </c>
      <c r="K2181" s="17">
        <f>IF(A2186=A2187,_xll.ciqfunctions.udf.CIQ(A2178,"IQ_CAPEX",IQ_FY-7), _xll.ciqfunctions.udf.CIQ(A2178, "IQ_CAPEX",IQ_FY-6))</f>
        <v>-38.700000000000003</v>
      </c>
      <c r="L2181" s="15">
        <f t="shared" si="580"/>
        <v>0.7662287819418806</v>
      </c>
      <c r="M2181" s="17">
        <f>IF(A2186=A2187,_xll.ciqfunctions.udf.CIQ(A2178,"IQ_TOTAL_DEBT_ISSUED",IQ_FY-7), _xll.ciqfunctions.udf.CIQ(A2178, "IQ_TOTAL_DEBT_ISSUED",IQ_FY-6))</f>
        <v>204.5</v>
      </c>
      <c r="N2181" s="17">
        <f>IF(A2186=A2187,_xll.ciqfunctions.udf.CIQ(A2178,"IQ_TOTAL_DEBT_REPAID",IQ_FY-7), _xll.ciqfunctions.udf.CIQ(A2178, "IQ_TOTAL_DEBT_REPAID",IQ_FY-6))</f>
        <v>-300.8</v>
      </c>
      <c r="O2181" s="15">
        <f t="shared" si="581"/>
        <v>-1.0851151720735752</v>
      </c>
      <c r="P2181" s="15">
        <f t="shared" si="582"/>
        <v>-0.31888639013169462</v>
      </c>
      <c r="Q2181" s="25" t="s">
        <v>23</v>
      </c>
      <c r="R2181" s="38" t="s">
        <v>24</v>
      </c>
      <c r="S2181" s="1" t="e">
        <f>R2177/(AVERAGE(H2183:H2188)*(1+H2189)/(0.5-H2189))</f>
        <v>#DIV/0!</v>
      </c>
      <c r="U2181" s="25" t="s">
        <v>40</v>
      </c>
      <c r="V2181" s="38" t="s">
        <v>24</v>
      </c>
      <c r="W2181" s="1" t="e">
        <f>V2177/(AVERAGE(H2183:H2188)*(1+H2189)/(0.5-H2189))</f>
        <v>#DIV/0!</v>
      </c>
      <c r="Y2181" s="25" t="s">
        <v>47</v>
      </c>
      <c r="Z2181" s="38" t="s">
        <v>24</v>
      </c>
      <c r="AA2181" s="1" t="e">
        <f>Z2177/(AVERAGE(H2183:H2188)*(1+H2189)/(0.5-H2189))</f>
        <v>#DIV/0!</v>
      </c>
    </row>
    <row r="2182" spans="1:27">
      <c r="B2182" s="13">
        <v>5</v>
      </c>
      <c r="C2182" s="14" t="s">
        <v>25</v>
      </c>
      <c r="D2182" s="15" cm="1">
        <f t="array" ref="D2182">_xlfn.SINGLE(IF(A2186=A2187,_xll.ciqfunctions.udf.CIQ(A2178,"IQ_TOTAL_REV",IQ_FY-6)/I2182, _xll.ciqfunctions.udf.CIQ(A2178, "IQ_TOTAL_REV",IQ_FY-5)/I2182))</f>
        <v>8.3158456975946411</v>
      </c>
      <c r="E2182" s="16">
        <f t="shared" si="583"/>
        <v>-2.3420842045426535E-2</v>
      </c>
      <c r="F2182" s="15">
        <f>IF(A2186=A2187,_xll.ciqfunctions.udf.CIQ(A2178,"IQ_DILUT_EPS_EXCL",IQ_FY-6), _xll.ciqfunctions.udf.CIQ(A2178, "IQ_DILUT_EPS_EXCL",IQ_FY-5))</f>
        <v>7.0000000000000007E-2</v>
      </c>
      <c r="G2182" s="15">
        <f>IF(A2186=A2187,_xll.ciqfunctions.udf.CIQ(A2178,"IQ_EBITDA_MARGIN",IQ_FY-6), _xll.ciqfunctions.udf.CIQ(A2178, "IQ_EBITDA_MARGIN",IQ_FY-5))</f>
        <v>17.817699999999999</v>
      </c>
      <c r="H2182" s="15">
        <f>IF(A2186=A2187,_xll.ciqfunctions.udf.CIQ(A2178,"IQ_TOTAL_DIV_PAID_CF",IQ_FY-6)/-I2182, _xll.ciqfunctions.udf.CIQ(A2178, "IQ_TOTAL_DIV_PAID_CF",IQ_FY-5)/-I2182)</f>
        <v>0</v>
      </c>
      <c r="I2182" s="17">
        <f>IF(A2186=A2187,_xll.ciqfunctions.udf.CIQ(A2178,"IQ_TOTAL_OUTSTANDING_FILING_DATE",IQ_FY-6), _xll.ciqfunctions.udf.CIQ(A2178, "IQ_TOTAL_OUTSTANDING_FILING_DATE",IQ_FY-5))</f>
        <v>89.491799999999998</v>
      </c>
      <c r="J2182" s="17">
        <f>IF(A2186=A2187,_xll.ciqfunctions.udf.CIQ(A2178,"IQ_CASH_OPER",IQ_FY-6), _xll.ciqfunctions.udf.CIQ(A2178, "IQ_CASH_OPER",IQ_FY-5))</f>
        <v>95.7</v>
      </c>
      <c r="K2182" s="17">
        <f>IF(A2186=A2187,_xll.ciqfunctions.udf.CIQ(A2178,"IQ_CAPEX",IQ_FY-6), _xll.ciqfunctions.udf.CIQ(A2178, "IQ_CAPEX",IQ_FY-5))</f>
        <v>-51.6</v>
      </c>
      <c r="L2182" s="15">
        <f t="shared" si="580"/>
        <v>0.49278257896254185</v>
      </c>
      <c r="M2182" s="17">
        <f>IF(A2186=A2187,_xll.ciqfunctions.udf.CIQ(A2178,"IQ_TOTAL_DEBT_ISSUED",IQ_FY-6), _xll.ciqfunctions.udf.CIQ(A2178, "IQ_TOTAL_DEBT_ISSUED",IQ_FY-5))</f>
        <v>190.7</v>
      </c>
      <c r="N2182" s="17">
        <f>IF(A2186=A2187,_xll.ciqfunctions.udf.CIQ(A2178,"IQ_TOTAL_DEBT_REPAID",IQ_FY-6), _xll.ciqfunctions.udf.CIQ(A2178, "IQ_TOTAL_DEBT_REPAID",IQ_FY-5))</f>
        <v>-305.10000000000002</v>
      </c>
      <c r="O2182" s="15">
        <f t="shared" si="581"/>
        <v>-1.2783294111862766</v>
      </c>
      <c r="P2182" s="15">
        <f t="shared" si="582"/>
        <v>-0.78554683222373478</v>
      </c>
      <c r="Q2182" s="18"/>
      <c r="R2182" s="38" t="s">
        <v>50</v>
      </c>
      <c r="S2182" s="3">
        <f>I2189</f>
        <v>8.9856435737889484E-5</v>
      </c>
      <c r="U2182" s="18"/>
      <c r="V2182" s="38" t="s">
        <v>50</v>
      </c>
      <c r="W2182" s="3">
        <f>I2189</f>
        <v>8.9856435737889484E-5</v>
      </c>
      <c r="Y2182" s="18"/>
      <c r="Z2182" s="38" t="s">
        <v>50</v>
      </c>
      <c r="AA2182" s="3">
        <f>I2189</f>
        <v>8.9856435737889484E-5</v>
      </c>
    </row>
    <row r="2183" spans="1:27">
      <c r="B2183" s="13">
        <v>6</v>
      </c>
      <c r="C2183" s="14" t="s">
        <v>26</v>
      </c>
      <c r="D2183" s="15" cm="1">
        <f t="array" ref="D2183">_xlfn.SINGLE(IF(A2186=A2187,_xll.ciqfunctions.udf.CIQ(A2178,"IQ_TOTAL_REV",IQ_FY-5)/I2183, _xll.ciqfunctions.udf.CIQ(A2178, "IQ_TOTAL_REV",IQ_FY-4)/I2183))</f>
        <v>9.1657179315427602</v>
      </c>
      <c r="E2183" s="16">
        <f t="shared" si="583"/>
        <v>0.10219913462246476</v>
      </c>
      <c r="F2183" s="15">
        <f>IF(A2186=A2187,_xll.ciqfunctions.udf.CIQ(A2178,"IQ_DILUT_EPS_EXCL",IQ_FY-5), _xll.ciqfunctions.udf.CIQ(A2178, "IQ_DILUT_EPS_EXCL",IQ_FY-4))</f>
        <v>0.72</v>
      </c>
      <c r="G2183" s="15">
        <f>IF(A2186=A2187,_xll.ciqfunctions.udf.CIQ(A2178,"IQ_EBITDA_MARGIN",IQ_FY-5), _xll.ciqfunctions.udf.CIQ(A2178, "IQ_EBITDA_MARGIN",IQ_FY-4))</f>
        <v>16.253399999999999</v>
      </c>
      <c r="H2183" s="15">
        <f>IF(A2186=A2187,_xll.ciqfunctions.udf.CIQ(A2178,"IQ_TOTAL_DIV_PAID_CF",IQ_FY-5)/-I2183, _xll.ciqfunctions.udf.CIQ(A2178, "IQ_TOTAL_DIV_PAID_CF",IQ_FY-4)/-I2183)</f>
        <v>0</v>
      </c>
      <c r="I2183" s="17">
        <f>IF(A2186=A2187,_xll.ciqfunctions.udf.CIQ(A2178,"IQ_TOTAL_OUTSTANDING_FILING_DATE",IQ_FY-5), _xll.ciqfunctions.udf.CIQ(A2178, "IQ_TOTAL_OUTSTANDING_FILING_DATE",IQ_FY-4))</f>
        <v>90.216610000000003</v>
      </c>
      <c r="J2183" s="17">
        <f>IF(A2186=A2187,_xll.ciqfunctions.udf.CIQ(A2178,"IQ_CASH_OPER",IQ_FY-5), _xll.ciqfunctions.udf.CIQ(A2178, "IQ_CASH_OPER",IQ_FY-4))</f>
        <v>98.5</v>
      </c>
      <c r="K2183" s="17">
        <f>IF(A2186=A2187,_xll.ciqfunctions.udf.CIQ(A2178,"IQ_CAPEX",IQ_FY-5), _xll.ciqfunctions.udf.CIQ(A2178, "IQ_CAPEX",IQ_FY-4))</f>
        <v>-80.099999999999994</v>
      </c>
      <c r="L2183" s="15">
        <f t="shared" si="580"/>
        <v>0.20395357351600782</v>
      </c>
      <c r="M2183" s="17">
        <f>IF(A2186=A2187,_xll.ciqfunctions.udf.CIQ(A2178,"IQ_TOTAL_DEBT_ISSUED",IQ_FY-5), _xll.ciqfunctions.udf.CIQ(A2178, "IQ_TOTAL_DEBT_ISSUED",IQ_FY-4))</f>
        <v>6</v>
      </c>
      <c r="N2183" s="17">
        <f>IF(A2186=A2187,_xll.ciqfunctions.udf.CIQ(A2178,"IQ_TOTAL_DEBT_REPAID",IQ_FY-5), _xll.ciqfunctions.udf.CIQ(A2178, "IQ_TOTAL_DEBT_REPAID",IQ_FY-4))</f>
        <v>-49.4</v>
      </c>
      <c r="O2183" s="15">
        <f t="shared" si="581"/>
        <v>-0.48106440709754</v>
      </c>
      <c r="P2183" s="15">
        <f t="shared" si="582"/>
        <v>-0.27711083358153221</v>
      </c>
      <c r="Q2183" s="25" t="s">
        <v>27</v>
      </c>
      <c r="R2183" s="38" t="s">
        <v>51</v>
      </c>
      <c r="S2183" s="4">
        <f>AVERAGE(F2183:F2188)/AVERAGE(D2183:D2188)</f>
        <v>-7.3188880610850257E-2</v>
      </c>
      <c r="U2183" s="25" t="s">
        <v>58</v>
      </c>
      <c r="V2183" s="38" t="s">
        <v>51</v>
      </c>
      <c r="W2183" s="4">
        <f>AVERAGE(F2183:F2188)/AVERAGE(D2183:D2188)</f>
        <v>-7.3188880610850257E-2</v>
      </c>
      <c r="Y2183" s="25" t="s">
        <v>56</v>
      </c>
      <c r="Z2183" s="38" t="s">
        <v>51</v>
      </c>
      <c r="AA2183" s="4">
        <f>AVERAGE(F2183:F2188)/AVERAGE(D2183:D2188)</f>
        <v>-7.3188880610850257E-2</v>
      </c>
    </row>
    <row r="2184" spans="1:27">
      <c r="A2184" s="18"/>
      <c r="B2184" s="13">
        <v>7</v>
      </c>
      <c r="C2184" s="14" t="s">
        <v>28</v>
      </c>
      <c r="D2184" s="15" cm="1">
        <f t="array" ref="D2184">_xlfn.SINGLE(IF(A2186=A2187,_xll.ciqfunctions.udf.CIQ(A2178,"IQ_TOTAL_REV",IQ_FY-4)/I2184, _xll.ciqfunctions.udf.CIQ(A2178, "IQ_TOTAL_REV",IQ_FY-3)/I2184))</f>
        <v>9.3208067273805781</v>
      </c>
      <c r="E2184" s="16">
        <f t="shared" si="583"/>
        <v>1.6920528975051457E-2</v>
      </c>
      <c r="F2184" s="15">
        <f>IF(A2186=A2187,_xll.ciqfunctions.udf.CIQ(A2178,"IQ_DILUT_EPS_EXCL",IQ_FY-4), _xll.ciqfunctions.udf.CIQ(A2178, "IQ_DILUT_EPS_EXCL",IQ_FY-3))</f>
        <v>0.53</v>
      </c>
      <c r="G2184" s="15">
        <f>IF(A2186=A2187,_xll.ciqfunctions.udf.CIQ(A2178,"IQ_EBITDA_MARGIN",IQ_FY-4), _xll.ciqfunctions.udf.CIQ(A2178, "IQ_EBITDA_MARGIN",IQ_FY-3))</f>
        <v>16.869399999999999</v>
      </c>
      <c r="H2184" s="15">
        <f>IF(A2186=A2187,_xll.ciqfunctions.udf.CIQ(A2178,"IQ_TOTAL_DIV_PAID_CF",IQ_FY-4)/-I2184, _xll.ciqfunctions.udf.CIQ(A2178, "IQ_TOTAL_DIV_PAID_CF",IQ_FY-3)/-I2184)</f>
        <v>0</v>
      </c>
      <c r="I2184" s="17">
        <f>IF(A2186=A2187,_xll.ciqfunctions.udf.CIQ(A2178,"IQ_TOTAL_OUTSTANDING_FILING_DATE",IQ_FY-4), _xll.ciqfunctions.udf.CIQ(A2178, "IQ_TOTAL_OUTSTANDING_FILING_DATE",IQ_FY-3))</f>
        <v>91.708799999999997</v>
      </c>
      <c r="J2184" s="17">
        <f>IF(A2186=A2187,_xll.ciqfunctions.udf.CIQ(A2178,"IQ_CASH_OPER",IQ_FY-4), _xll.ciqfunctions.udf.CIQ(A2178, "IQ_CASH_OPER",IQ_FY-3))</f>
        <v>123.9</v>
      </c>
      <c r="K2184" s="17">
        <f>IF(A2186=A2187,_xll.ciqfunctions.udf.CIQ(A2178,"IQ_CAPEX",IQ_FY-4), _xll.ciqfunctions.udf.CIQ(A2178, "IQ_CAPEX",IQ_FY-3))</f>
        <v>-41.2</v>
      </c>
      <c r="L2184" s="15">
        <f t="shared" si="580"/>
        <v>0.90176733312397506</v>
      </c>
      <c r="M2184" s="17">
        <f>IF(A2186=A2187,_xll.ciqfunctions.udf.CIQ(A2178,"IQ_TOTAL_DEBT_ISSUED",IQ_FY-4), _xll.ciqfunctions.udf.CIQ(A2178, "IQ_TOTAL_DEBT_ISSUED",IQ_FY-3))</f>
        <v>10</v>
      </c>
      <c r="N2184" s="17">
        <f>IF(A2186=A2187,_xll.ciqfunctions.udf.CIQ(A2178,"IQ_TOTAL_DEBT_REPAID",IQ_FY-4), _xll.ciqfunctions.udf.CIQ(A2178, "IQ_TOTAL_DEBT_REPAID",IQ_FY-3))</f>
        <v>-20.7</v>
      </c>
      <c r="O2184" s="15">
        <f t="shared" si="581"/>
        <v>-0.1166736452772253</v>
      </c>
      <c r="P2184" s="15">
        <f t="shared" si="582"/>
        <v>0.78509368784674971</v>
      </c>
      <c r="Q2184" s="18"/>
      <c r="R2184" s="38" t="s">
        <v>29</v>
      </c>
      <c r="S2184" s="4">
        <f>(AVERAGE(P2183:P2188)/_xlfn.STDEV.P(P2183:P2188))/(IF(A2186=A2187,(_xlfn.SINGLE(_xll.ciqfunctions.udf.CIQ(A2178,"IQ_total_assets",IQ_FY)) - _xlfn.SINGLE(_xll.ciqfunctions.udf.CIQ(A2178,"iq_gw_intan", IQ_FY)))/I2188, (_xlfn.SINGLE(_xll.ciqfunctions.udf.CIQ(A2178, "IQ_total_assets",IQ_LTM))-_xlfn.SINGLE(_xll.ciqfunctions.udf.CIQ(A2178,"iq_gw_intan",IQ_LTM)))/I2188))</f>
        <v>0.15457433727560277</v>
      </c>
      <c r="U2184" s="18"/>
      <c r="V2184" s="38" t="s">
        <v>29</v>
      </c>
      <c r="W2184" s="4">
        <f>(AVERAGE(P2183:P2188)/_xlfn.STDEV.P(P2183:P2188))/(IF(A2186=A2187,(_xlfn.SINGLE(_xll.ciqfunctions.udf.CIQ(A2178,"IQ_total_assets",IQ_FY)) - _xlfn.SINGLE(_xll.ciqfunctions.udf.CIQ(A2178,"iq_gw_intan", IQ_FY)))/I2188, (_xlfn.SINGLE(_xll.ciqfunctions.udf.CIQ(A2178, "IQ_total_assets",IQ_LTM))-_xlfn.SINGLE(_xll.ciqfunctions.udf.CIQ(A2178,"iq_gw_intan",IQ_LTM)))/I2188))</f>
        <v>0.15457433727560277</v>
      </c>
      <c r="Y2184" s="18"/>
      <c r="Z2184" s="38" t="s">
        <v>29</v>
      </c>
      <c r="AA2184" s="4">
        <f>(AVERAGE(P2183:P2188)/_xlfn.STDEV.P(P2183:P2188))/(IF(A2186=A2187,(_xlfn.SINGLE(_xll.ciqfunctions.udf.CIQ(A2178,"IQ_total_assets",IQ_FY)) - _xlfn.SINGLE(_xll.ciqfunctions.udf.CIQ(A2178,"iq_gw_intan", IQ_FY)))/I2188, (_xlfn.SINGLE(_xll.ciqfunctions.udf.CIQ(A2178, "IQ_total_assets",IQ_LTM))-_xlfn.SINGLE(_xll.ciqfunctions.udf.CIQ(A2178,"iq_gw_intan",IQ_LTM)))/I2188))</f>
        <v>0.15457433727560277</v>
      </c>
    </row>
    <row r="2185" spans="1:27">
      <c r="A2185" s="18"/>
      <c r="B2185" s="13">
        <v>8</v>
      </c>
      <c r="C2185" s="14" t="s">
        <v>30</v>
      </c>
      <c r="D2185" s="15" cm="1">
        <f t="array" ref="D2185">_xlfn.SINGLE(IF(A2186=A2187,_xll.ciqfunctions.udf.CIQ(A2178,"IQ_TOTAL_REV",IQ_FY-3)/I2185, _xll.ciqfunctions.udf.CIQ(A2178, "IQ_TOTAL_REV",IQ_FY-2)/I2185))</f>
        <v>8.3323903112714124</v>
      </c>
      <c r="E2185" s="16">
        <f t="shared" si="583"/>
        <v>-0.10604408448955575</v>
      </c>
      <c r="F2185" s="15">
        <f>IF(A2186=A2187,_xll.ciqfunctions.udf.CIQ(A2178,"IQ_DILUT_EPS_EXCL",IQ_FY-3), _xll.ciqfunctions.udf.CIQ(A2178, "IQ_DILUT_EPS_EXCL",IQ_FY-2))</f>
        <v>0.03</v>
      </c>
      <c r="G2185" s="15">
        <f>IF(A2186=A2187,_xll.ciqfunctions.udf.CIQ(A2178,"IQ_EBITDA_MARGIN",IQ_FY-3), _xll.ciqfunctions.udf.CIQ(A2178, "IQ_EBITDA_MARGIN",IQ_FY-2))</f>
        <v>14.457599999999999</v>
      </c>
      <c r="H2185" s="15">
        <f>IF(A2186=A2187,_xll.ciqfunctions.udf.CIQ(A2178,"IQ_TOTAL_DIV_PAID_CF",IQ_FY-3)/-I2185, _xll.ciqfunctions.udf.CIQ(A2178, "IQ_TOTAL_DIV_PAID_CF",IQ_FY-2)/-I2185)</f>
        <v>0</v>
      </c>
      <c r="I2185" s="17">
        <f>IF(A2186=A2187,_xll.ciqfunctions.udf.CIQ(A2178,"IQ_TOTAL_OUTSTANDING_FILING_DATE",IQ_FY-3), _xll.ciqfunctions.udf.CIQ(A2178, "IQ_TOTAL_OUTSTANDING_FILING_DATE",IQ_FY-2))</f>
        <v>91.726380000000006</v>
      </c>
      <c r="J2185" s="17">
        <f>IF(A2186=A2187,_xll.ciqfunctions.udf.CIQ(A2178,"IQ_CASH_OPER",IQ_FY-3), _xll.ciqfunctions.udf.CIQ(A2178, "IQ_CASH_OPER",IQ_FY-2))</f>
        <v>128.1</v>
      </c>
      <c r="K2185" s="17">
        <f>IF(A2186=A2187,_xll.ciqfunctions.udf.CIQ(A2178,"IQ_CAPEX",IQ_FY-3), _xll.ciqfunctions.udf.CIQ(A2178, "IQ_CAPEX",IQ_FY-2))</f>
        <v>-31.9</v>
      </c>
      <c r="L2185" s="15">
        <f t="shared" si="580"/>
        <v>1.048771356724205</v>
      </c>
      <c r="M2185" s="17">
        <f>IF(A2186=A2187,_xll.ciqfunctions.udf.CIQ(A2178,"IQ_TOTAL_DEBT_ISSUED",IQ_FY-3), _xll.ciqfunctions.udf.CIQ(A2178, "IQ_TOTAL_DEBT_ISSUED",IQ_FY-2))</f>
        <v>100</v>
      </c>
      <c r="N2185" s="17">
        <f>IF(A2186=A2187,_xll.ciqfunctions.udf.CIQ(A2178,"IQ_TOTAL_DEBT_REPAID",IQ_FY-3), _xll.ciqfunctions.udf.CIQ(A2178, "IQ_TOTAL_DEBT_REPAID",IQ_FY-2))</f>
        <v>-102</v>
      </c>
      <c r="O2185" s="15">
        <f t="shared" si="581"/>
        <v>-2.1803978310274533E-2</v>
      </c>
      <c r="P2185" s="15">
        <f t="shared" si="582"/>
        <v>1.0269673784139304</v>
      </c>
      <c r="Q2185" s="18"/>
      <c r="R2185" s="39" t="s">
        <v>31</v>
      </c>
      <c r="S2185" s="5">
        <f>IF(NOT(D2178&gt;0),FALSE,SLOPE(G2178:G2188,B2178:B2188))</f>
        <v>-0.99861181818181843</v>
      </c>
      <c r="U2185" s="18"/>
      <c r="V2185" s="39" t="s">
        <v>31</v>
      </c>
      <c r="W2185" s="5">
        <f>IF(NOT(D2178&gt;0),FALSE,SLOPE(G2178:G2188,B2178:B2188))</f>
        <v>-0.99861181818181843</v>
      </c>
      <c r="Y2185" s="18"/>
      <c r="Z2185" s="39" t="s">
        <v>31</v>
      </c>
      <c r="AA2185" s="5">
        <f>IF(NOT(L2178&gt;0),FALSE,SLOPE(O2178:O2188,J2178:J2188))</f>
        <v>-3.7501668059986032E-2</v>
      </c>
    </row>
    <row r="2186" spans="1:27">
      <c r="A2186" s="19">
        <f>_xll.ciqfunctions.udf.CIQ(A2178,"IQ_TOTAL_REV",IQ_FY)</f>
        <v>764.7</v>
      </c>
      <c r="B2186" s="13">
        <v>9</v>
      </c>
      <c r="C2186" s="14" t="s">
        <v>32</v>
      </c>
      <c r="D2186" s="15" cm="1">
        <f t="array" ref="D2186">_xlfn.SINGLE(IF(A2186=A2187,_xll.ciqfunctions.udf.CIQ(A2178,"IQ_TOTAL_REV",IQ_FY-2)/I2186, _xll.ciqfunctions.udf.CIQ(A2178, "IQ_TOTAL_REV",IQ_FY-1)/I2186))</f>
        <v>9.4550880594251367</v>
      </c>
      <c r="E2186" s="16">
        <f t="shared" si="583"/>
        <v>0.13473897719781872</v>
      </c>
      <c r="F2186" s="15">
        <f>IF(A2186=A2187,_xll.ciqfunctions.udf.CIQ(A2178,"IQ_DILUT_EPS_EXCL",IQ_FY-2), _xll.ciqfunctions.udf.CIQ(A2178, "IQ_DILUT_EPS_EXCL",IQ_FY-1))</f>
        <v>1.59</v>
      </c>
      <c r="G2186" s="15">
        <f>IF(A2186=A2187,_xll.ciqfunctions.udf.CIQ(A2178,"IQ_EBITDA_MARGIN",IQ_FY-2), _xll.ciqfunctions.udf.CIQ(A2178, "IQ_EBITDA_MARGIN",IQ_FY-1))</f>
        <v>21.184100000000001</v>
      </c>
      <c r="H2186" s="15">
        <f>IF(A2186=A2187,_xll.ciqfunctions.udf.CIQ(A2178,"IQ_TOTAL_DIV_PAID_CF",IQ_FY-2)/-I2186, _xll.ciqfunctions.udf.CIQ(A2178, "IQ_TOTAL_DIV_PAID_CF",IQ_FY-1)/-I2186)</f>
        <v>0</v>
      </c>
      <c r="I2186" s="17">
        <f>IF(A2186=A2187,_xll.ciqfunctions.udf.CIQ(A2178,"IQ_TOTAL_OUTSTANDING_FILING_DATE",IQ_FY-2), _xll.ciqfunctions.udf.CIQ(A2178, "IQ_TOTAL_OUTSTANDING_FILING_DATE",IQ_FY-1))</f>
        <v>91.813000000000002</v>
      </c>
      <c r="J2186" s="17">
        <f>IF(A2186=A2187,_xll.ciqfunctions.udf.CIQ(A2178,"IQ_CASH_OPER",IQ_FY-2), _xll.ciqfunctions.udf.CIQ(A2178, "IQ_CASH_OPER",IQ_FY-1))</f>
        <v>182.1</v>
      </c>
      <c r="K2186" s="17">
        <f>IF(A2186=A2187,_xll.ciqfunctions.udf.CIQ(A2178,"IQ_CAPEX",IQ_FY-2), _xll.ciqfunctions.udf.CIQ(A2178, "IQ_CAPEX",IQ_FY-1))</f>
        <v>-48.6</v>
      </c>
      <c r="L2186" s="15">
        <f t="shared" si="580"/>
        <v>1.4540424558613703</v>
      </c>
      <c r="M2186" s="17">
        <f>IF(A2186=A2187,_xll.ciqfunctions.udf.CIQ(A2178,"IQ_TOTAL_DEBT_ISSUED",IQ_FY-2), _xll.ciqfunctions.udf.CIQ(A2178, "IQ_TOTAL_DEBT_ISSUED",IQ_FY-1))</f>
        <v>70</v>
      </c>
      <c r="N2186" s="17">
        <f>IF(A2186=A2187,_xll.ciqfunctions.udf.CIQ(A2178,"IQ_TOTAL_DEBT_REPAID",IQ_FY-2), _xll.ciqfunctions.udf.CIQ(A2178, "IQ_TOTAL_DEBT_REPAID",IQ_FY-1))</f>
        <v>-174.8</v>
      </c>
      <c r="O2186" s="15">
        <f t="shared" si="581"/>
        <v>-1.141450557110649</v>
      </c>
      <c r="P2186" s="15">
        <f t="shared" si="582"/>
        <v>0.31259189875072124</v>
      </c>
      <c r="Q2186" s="25" t="s">
        <v>33</v>
      </c>
      <c r="R2186" s="38" t="s">
        <v>52</v>
      </c>
      <c r="S2186" s="4">
        <f>(AVERAGE(O2183:O2188)/AVERAGE(P2183:P2188))</f>
        <v>-0.90932354688939654</v>
      </c>
      <c r="U2186" s="25" t="s">
        <v>54</v>
      </c>
      <c r="V2186" s="38" t="s">
        <v>52</v>
      </c>
      <c r="W2186" s="4">
        <f>(AVERAGE(O2183:O2188)/AVERAGE(P2183:P2188))</f>
        <v>-0.90932354688939654</v>
      </c>
      <c r="Y2186" s="25" t="s">
        <v>60</v>
      </c>
      <c r="Z2186" s="38" t="s">
        <v>52</v>
      </c>
      <c r="AA2186" s="4">
        <f>(AVERAGE(O2183:O2188)/AVERAGE(P2183:P2188))</f>
        <v>-0.90932354688939654</v>
      </c>
    </row>
    <row r="2187" spans="1:27">
      <c r="A2187" s="19">
        <f>_xll.ciqfunctions.udf.CIQ(A2178,"IQ_TOTAL_REV",IQ_LTM)</f>
        <v>689.5</v>
      </c>
      <c r="B2187" s="13">
        <v>10</v>
      </c>
      <c r="C2187" s="14" t="s">
        <v>34</v>
      </c>
      <c r="D2187" s="15" cm="1">
        <f t="array" ref="D2187">_xlfn.SINGLE(IF(A2186=A2187,_xll.ciqfunctions.udf.CIQ(A2178,"IQ_TOTAL_REV",IQ_FY-1)/I2187, _xll.ciqfunctions.udf.CIQ(A2178, "IQ_TOTAL_REV",IQ_FY)/I2187))</f>
        <v>8.3818153080643221</v>
      </c>
      <c r="E2187" s="16">
        <f t="shared" si="583"/>
        <v>-0.11351271871983697</v>
      </c>
      <c r="F2187" s="15">
        <f>IF(A2186=A2187,_xll.ciqfunctions.udf.CIQ(A2178,"IQ_DILUT_EPS_EXCL",IQ_FY-1), _xll.ciqfunctions.udf.CIQ(A2178, "IQ_DILUT_EPS_EXCL",IQ_FY))</f>
        <v>-4.6902900000000001</v>
      </c>
      <c r="G2187" s="15">
        <f>IF(A2186=A2187,_xll.ciqfunctions.udf.CIQ(A2178,"IQ_EBITDA_MARGIN",IQ_FY-1), _xll.ciqfunctions.udf.CIQ(A2178, "IQ_EBITDA_MARGIN",IQ_FY))</f>
        <v>19.536999999999999</v>
      </c>
      <c r="H2187" s="15">
        <f>IF(A2186=A2187,_xll.ciqfunctions.udf.CIQ(A2178,"IQ_TOTAL_DIV_PAID_CF",IQ_FY-1)/-I2187, _xll.ciqfunctions.udf.CIQ(A2178, "IQ_TOTAL_DIV_PAID_CF",IQ_FY)/-I2187)</f>
        <v>0</v>
      </c>
      <c r="I2187" s="17">
        <f>IF(A2186=A2187,_xll.ciqfunctions.udf.CIQ(A2178,"IQ_TOTAL_OUTSTANDING_FILING_DATE",IQ_FY-1), _xll.ciqfunctions.udf.CIQ(A2178, "IQ_TOTAL_OUTSTANDING_FILING_DATE",IQ_FY))</f>
        <v>91.233220000000003</v>
      </c>
      <c r="J2187" s="17">
        <f>IF(A2186=A2187,_xll.ciqfunctions.udf.CIQ(A2178,"IQ_CASH_OPER",IQ_FY-1), _xll.ciqfunctions.udf.CIQ(A2178, "IQ_CASH_OPER",IQ_FY))</f>
        <v>86.3</v>
      </c>
      <c r="K2187" s="17">
        <f>IF(A2186=A2187,_xll.ciqfunctions.udf.CIQ(A2178,"IQ_CAPEX",IQ_FY-1), _xll.ciqfunctions.udf.CIQ(A2178, "IQ_CAPEX",IQ_FY))</f>
        <v>-32.1</v>
      </c>
      <c r="L2187" s="15">
        <f t="shared" si="580"/>
        <v>0.59408184869502567</v>
      </c>
      <c r="M2187" s="17">
        <f>IF(A2186=A2187,_xll.ciqfunctions.udf.CIQ(A2178,"IQ_TOTAL_DEBT_ISSUED",IQ_FY-1), _xll.ciqfunctions.udf.CIQ(A2178, "IQ_TOTAL_DEBT_ISSUED",IQ_FY))</f>
        <v>23</v>
      </c>
      <c r="N2187" s="17">
        <f>IF(A2186=A2187,_xll.ciqfunctions.udf.CIQ(A2178,"IQ_TOTAL_DEBT_REPAID",IQ_FY-1), _xll.ciqfunctions.udf.CIQ(A2178, "IQ_TOTAL_DEBT_REPAID",IQ_FY))</f>
        <v>-52.8</v>
      </c>
      <c r="O2187" s="15">
        <f t="shared" si="581"/>
        <v>-0.32663540758508791</v>
      </c>
      <c r="P2187" s="15">
        <f t="shared" si="582"/>
        <v>0.26744644110993776</v>
      </c>
      <c r="Q2187" s="25" t="s">
        <v>44</v>
      </c>
      <c r="R2187" s="38" t="s">
        <v>35</v>
      </c>
      <c r="S2187" s="1">
        <f>_xll.ciqfunctions.udf.CIQ(A2178,"IQ_TEV_EBITDA")</f>
        <v>13.32586</v>
      </c>
      <c r="U2187" s="25" t="s">
        <v>55</v>
      </c>
      <c r="V2187" s="38" t="s">
        <v>53</v>
      </c>
      <c r="W2187" s="1">
        <f>V2177/(AVERAGE(D2183:D2188)/_xlfn.STDEV.P(E2183:E2188))</f>
        <v>0.18615703631001976</v>
      </c>
      <c r="Y2187" s="25" t="s">
        <v>57</v>
      </c>
      <c r="Z2187" s="38" t="s">
        <v>53</v>
      </c>
      <c r="AA2187" s="1">
        <f>Z2177/(AVERAGE(D2183:D2188)/_xlfn.STDEV.P(E2183:E2188))</f>
        <v>0.18615703631001976</v>
      </c>
    </row>
    <row r="2188" spans="1:27">
      <c r="B2188" s="13">
        <v>11</v>
      </c>
      <c r="C2188" s="20" t="s">
        <v>36</v>
      </c>
      <c r="D2188" s="21" cm="1">
        <f t="array" ref="D2188">_xlfn.SINGLE(IF(A2186=A2187,_xll.ciqfunctions.udf.CIQ(A2178,"IQ_TOTAL_REV",IQ_FY)/I2188, _xll.ciqfunctions.udf.CIQ(A2178, "IQ_TOTAL_REV",IQ_LTM)/I2188))</f>
        <v>7.6392839791639782</v>
      </c>
      <c r="E2188" s="22">
        <f t="shared" si="583"/>
        <v>-8.8588366792804268E-2</v>
      </c>
      <c r="F2188" s="21">
        <f>IF(A2186=A2187,_xll.ciqfunctions.udf.CIQ(A2178,"IQ_DILUT_EPS_EXCL",IQ_FY), _xll.ciqfunctions.udf.CIQ(A2178, "IQ_DILUT_EPS_EXCL",IQ_LTM))</f>
        <v>-2.0071300000000001</v>
      </c>
      <c r="G2188" s="21">
        <f>IF(A2186=A2187,_xll.ciqfunctions.udf.CIQ(A2178,"IQ_EBITDA_MARGIN",IQ_FY), _xll.ciqfunctions.udf.CIQ(A2178, "IQ_EBITDA_MARGIN",IQ_LTM))</f>
        <v>14.633699999999999</v>
      </c>
      <c r="H2188" s="21">
        <f>IF(A2186=A2187,_xll.ciqfunctions.udf.CIQ(A2178,"IQ_TOTAL_DIV_PAID_CF",IQ_FY)/-I2188, _xll.ciqfunctions.udf.CIQ(A2178, "IQ_TOTAL_DIV_PAID_CF",IQ_LTM)/-I2188)</f>
        <v>0</v>
      </c>
      <c r="I2188" s="23">
        <f>IF(A2186=A2187,_xll.ciqfunctions.udf.CIQ(A2178,"IQ_TOTAL_OUTSTANDING_FILING_DATE",IQ_FY),_xll.ciqfunctions.udf.CIQ(A2178,"IQ_sharesoutstanding"))</f>
        <v>90.257149999999996</v>
      </c>
      <c r="J2188" s="23">
        <f>IF(A2186=A2187,_xll.ciqfunctions.udf.CIQ(A2178,"IQ_CASH_OPER",IQ_FY), _xll.ciqfunctions.udf.CIQ(A2178, "IQ_CASH_OPER",IQ_LTM))</f>
        <v>109.1</v>
      </c>
      <c r="K2188" s="23">
        <f>IF(A2186=A2187,_xll.ciqfunctions.udf.CIQ(A2178,"IQ_CAPEX",IQ_FY), _xll.ciqfunctions.udf.CIQ(A2178, "IQ_CAPEX",IQ_LTM))</f>
        <v>-19.5</v>
      </c>
      <c r="L2188" s="21">
        <f t="shared" si="580"/>
        <v>0.99271913637866915</v>
      </c>
      <c r="M2188" s="23">
        <f>IF(A2186=A2187,_xll.ciqfunctions.udf.CIQ(A2178,"IQ_TOTAL_DEBT_ISSUED",IQ_FY), _xll.ciqfunctions.udf.CIQ(A2178, "IQ_TOTAL_DEBT_ISSUED",IQ_LTM))</f>
        <v>0</v>
      </c>
      <c r="N2188" s="23">
        <f>IF(A2186=A2187,_xll.ciqfunctions.udf.CIQ(A2178,"IQ_TOTAL_DEBT_REPAID",IQ_FY), _xll.ciqfunctions.udf.CIQ(A2178, "IQ_TOTAL_DEBT_REPAID",IQ_LTM))</f>
        <v>-34.9</v>
      </c>
      <c r="O2188" s="21">
        <f t="shared" si="581"/>
        <v>-0.38667296718320932</v>
      </c>
      <c r="P2188" s="21">
        <f t="shared" si="582"/>
        <v>0.60604616919545984</v>
      </c>
      <c r="Q2188" s="25" t="s">
        <v>45</v>
      </c>
      <c r="S2188" s="45"/>
      <c r="U2188" s="25"/>
      <c r="W2188" s="45"/>
      <c r="Y2188" s="25"/>
      <c r="AA2188" s="45"/>
    </row>
    <row r="2189" spans="1:27">
      <c r="B2189" s="24"/>
      <c r="C2189" s="25" t="s">
        <v>37</v>
      </c>
      <c r="E2189" s="26">
        <f>((D2188/D2183)^(1/5))-1</f>
        <v>-3.5777562503362503E-2</v>
      </c>
      <c r="F2189" s="27">
        <f>((F2188/F2183)^(1/5))-1</f>
        <v>-2.2275765995067722</v>
      </c>
      <c r="G2189" s="28"/>
      <c r="H2189" s="27" t="e">
        <f>((H2188/H2183)^(1/5))-1</f>
        <v>#DIV/0!</v>
      </c>
      <c r="I2189" s="27">
        <f>((I2188/I2183)^(1/5))-1</f>
        <v>8.9856435737889484E-5</v>
      </c>
      <c r="J2189" s="27"/>
      <c r="K2189" s="27"/>
      <c r="L2189" s="26">
        <f>((L2188/L2183)^(1/5))-1</f>
        <v>0.37233144576511679</v>
      </c>
      <c r="M2189" s="26"/>
      <c r="N2189" s="26"/>
      <c r="O2189" s="26"/>
      <c r="P2189" s="26">
        <f>((P2188/P2183)^(1/5))-1</f>
        <v>-2.1694197954826335</v>
      </c>
      <c r="Q2189" s="18"/>
      <c r="R2189" s="36"/>
      <c r="S2189" s="45"/>
      <c r="U2189" s="18"/>
      <c r="V2189" s="36"/>
      <c r="W2189" s="45"/>
      <c r="Y2189" s="18"/>
      <c r="Z2189" s="36"/>
      <c r="AA2189" s="45"/>
    </row>
    <row r="2190" spans="1:27">
      <c r="A2190" s="29"/>
      <c r="B2190" s="30"/>
      <c r="C2190" s="31" t="s">
        <v>38</v>
      </c>
      <c r="D2190" s="29"/>
      <c r="E2190" s="32">
        <f>((D2188/D2178)^(1/10))-1</f>
        <v>-6.0686012750285956E-2</v>
      </c>
      <c r="F2190" s="33" t="e">
        <f>((F2188/F2178)^(1/10))-1</f>
        <v>#NUM!</v>
      </c>
      <c r="G2190" s="34"/>
      <c r="H2190" s="33" t="e">
        <f>((H2188/H2178)^(1/10))-1</f>
        <v>#DIV/0!</v>
      </c>
      <c r="I2190" s="33">
        <f>((I2188/I2178)^(1/10))-1</f>
        <v>5.9865153435838536E-3</v>
      </c>
      <c r="J2190" s="33"/>
      <c r="K2190" s="33"/>
      <c r="L2190" s="32">
        <f>((L2188/L2178)^(1/10))-1</f>
        <v>2.0212961781855387E-2</v>
      </c>
      <c r="M2190" s="32"/>
      <c r="N2190" s="32"/>
      <c r="O2190" s="32"/>
      <c r="P2190" s="32" t="e">
        <f>((P2188/P2178)^(1/10))-1</f>
        <v>#NUM!</v>
      </c>
      <c r="Q2190" s="40"/>
      <c r="R2190" s="41"/>
      <c r="S2190" s="46"/>
      <c r="U2190" s="40"/>
      <c r="V2190" s="41"/>
      <c r="W2190" s="46"/>
      <c r="Y2190" s="40"/>
      <c r="Z2190" s="41"/>
      <c r="AA2190" s="46"/>
    </row>
    <row r="2191" spans="1:27">
      <c r="B2191" s="24"/>
      <c r="C2191" s="25"/>
      <c r="E2191" s="26"/>
      <c r="F2191" s="27"/>
      <c r="G2191" s="28"/>
      <c r="H2191" s="27"/>
      <c r="I2191" s="27"/>
      <c r="J2191" s="27"/>
      <c r="K2191" s="27"/>
      <c r="L2191" s="26"/>
      <c r="M2191" s="17"/>
      <c r="N2191" s="17"/>
      <c r="O2191" s="17"/>
      <c r="P2191" s="35"/>
      <c r="Q2191" s="18"/>
      <c r="R2191" s="36"/>
    </row>
    <row r="2192" spans="1:27">
      <c r="A2192" s="9" t="s">
        <v>0</v>
      </c>
      <c r="B2192" s="10"/>
      <c r="C2192" s="9" t="s">
        <v>1</v>
      </c>
      <c r="D2192" s="9" t="s">
        <v>2</v>
      </c>
      <c r="E2192" s="9" t="s">
        <v>3</v>
      </c>
      <c r="F2192" s="11" t="s">
        <v>4</v>
      </c>
      <c r="G2192" s="11" t="s">
        <v>5</v>
      </c>
      <c r="H2192" s="9" t="s">
        <v>6</v>
      </c>
      <c r="I2192" s="11" t="s">
        <v>7</v>
      </c>
      <c r="J2192" s="11" t="s">
        <v>8</v>
      </c>
      <c r="K2192" s="11" t="s">
        <v>9</v>
      </c>
      <c r="L2192" s="11" t="s">
        <v>10</v>
      </c>
      <c r="M2192" s="11" t="s">
        <v>11</v>
      </c>
      <c r="N2192" s="11" t="s">
        <v>12</v>
      </c>
      <c r="O2192" s="11" t="s">
        <v>13</v>
      </c>
      <c r="P2192" s="11" t="s">
        <v>14</v>
      </c>
      <c r="Q2192" s="37" t="s">
        <v>15</v>
      </c>
      <c r="R2192" s="42">
        <f>_xll.ciqfunctions.udf.CIQ(A2193,("IQ_LASTSALEPRICE"))</f>
        <v>66.41</v>
      </c>
      <c r="S2192" s="44"/>
      <c r="U2192" s="37" t="s">
        <v>15</v>
      </c>
      <c r="V2192" s="42">
        <f>_xll.ciqfunctions.udf.CIQ(A2193,("IQ_LASTSALEPRICE"))</f>
        <v>66.41</v>
      </c>
      <c r="W2192" s="44"/>
      <c r="Y2192" s="37" t="s">
        <v>15</v>
      </c>
      <c r="Z2192" s="42">
        <f>_xll.ciqfunctions.udf.CIQ(A2193,("IQ_LASTSALEPRICE"))</f>
        <v>66.41</v>
      </c>
      <c r="AA2192" s="44"/>
    </row>
    <row r="2193" spans="1:27">
      <c r="A2193" s="12" t="str">
        <f>Analysis!B148</f>
        <v>NasdaqGS:ITRI</v>
      </c>
      <c r="B2193" s="13">
        <v>1</v>
      </c>
      <c r="C2193" s="14" t="s">
        <v>16</v>
      </c>
      <c r="D2193" s="15">
        <f>IF(A2201=A2202,_xll.ciqfunctions.udf.CIQ(A2193,"IQ_TOTAL_REV",IQ_FY-10)/I2193,_xll.ciqfunctions.udf.CIQ(A2193, "IQ_TOTAL_REV",IQ_FY-9)/I2193)</f>
        <v>49.487865925873344</v>
      </c>
      <c r="E2193" s="16"/>
      <c r="F2193" s="15">
        <f>IF(A2201=A2202,_xll.ciqfunctions.udf.CIQ(A2193,"IQ_DILUT_EPS_EXCL",IQ_FY-10), _xll.ciqfunctions.udf.CIQ(A2193, "IQ_DILUT_EPS_EXCL",IQ_FY-9))</f>
        <v>-3.9</v>
      </c>
      <c r="G2193" s="15">
        <f>IF(A2201=A2202,_xll.ciqfunctions.udf.CIQ(A2193,"IQ_EBITDA_MARGIN",IQ_FY-10), _xll.ciqfunctions.udf.CIQ(A2193, "IQ_EBITDA_MARGIN",IQ_FY-9))</f>
        <v>8.8877000000000006</v>
      </c>
      <c r="H2193" s="15">
        <f>IF(A2201=A2202,_xll.ciqfunctions.udf.CIQ(A2193,"IQ_TOTAL_DIV_PAID_CF",IQ_FY-10)/-I2193, _xll.ciqfunctions.udf.CIQ(A2193, "IQ_TOTAL_DIV_PAID_CF",IQ_FY-9)/-I2193)</f>
        <v>0</v>
      </c>
      <c r="I2193" s="17">
        <f>IF(A2201=A2202,_xll.ciqfunctions.udf.CIQ(A2193,"IQ_TOTAL_OUTSTANDING_FILING_DATE",IQ_FY-10), _xll.ciqfunctions.udf.CIQ(A2193, "IQ_TOTAL_OUTSTANDING_FILING_DATE",IQ_FY-9))</f>
        <v>39.161619999999999</v>
      </c>
      <c r="J2193" s="17">
        <f>IF(A2201=A2202,_xll.ciqfunctions.udf.CIQ(A2193,"IQ_CASH_OPER",IQ_FY-10), _xll.ciqfunctions.udf.CIQ(A2193, "IQ_CASH_OPER",IQ_FY-9))</f>
        <v>105.42100000000001</v>
      </c>
      <c r="K2193" s="17">
        <f>IF(A2201=A2202,_xll.ciqfunctions.udf.CIQ(A2193,"IQ_CAPEX",IQ_FY-10), _xll.ciqfunctions.udf.CIQ(A2193, "IQ_CAPEX",IQ_FY-9))</f>
        <v>-60.02</v>
      </c>
      <c r="L2193" s="15">
        <f t="shared" ref="L2193:L2203" si="584">(J2193+K2193)/I2193</f>
        <v>1.1593238481962698</v>
      </c>
      <c r="M2193" s="17">
        <f>IF(A2201=A2202,_xll.ciqfunctions.udf.CIQ(A2193,"IQ_TOTAL_DEBT_ISSUED",IQ_FY-10), _xll.ciqfunctions.udf.CIQ(A2193, "IQ_TOTAL_DEBT_ISSUED",IQ_FY-9))</f>
        <v>35</v>
      </c>
      <c r="N2193" s="17">
        <f>IF(A2201=A2202,_xll.ciqfunctions.udf.CIQ(A2193,"IQ_TOTAL_DEBT_REPAID",IQ_FY-10), _xll.ciqfunctions.udf.CIQ(A2193, "IQ_TOTAL_DEBT_REPAID",IQ_FY-9))</f>
        <v>-73.75</v>
      </c>
      <c r="O2193" s="15">
        <f t="shared" ref="O2193:O2203" si="585">(M2193+N2193)/I2193</f>
        <v>-0.98948919886358122</v>
      </c>
      <c r="P2193" s="15">
        <f t="shared" ref="P2193:P2203" si="586">L2193+O2193</f>
        <v>0.16983464933268855</v>
      </c>
      <c r="W2193" s="43"/>
      <c r="AA2193" s="43"/>
    </row>
    <row r="2194" spans="1:27">
      <c r="A2194" s="18" t="str">
        <f>_xll.ciqfunctions.udf.CIQ(A2193,"IQ_COMPANY_NAME")</f>
        <v>Itron, Inc.</v>
      </c>
      <c r="B2194" s="13">
        <v>2</v>
      </c>
      <c r="C2194" s="14" t="s">
        <v>17</v>
      </c>
      <c r="D2194" s="15">
        <f>IF(A2201=A2202,_xll.ciqfunctions.udf.CIQ(A2193,"IQ_TOTAL_REV",IQ_FY-9)/I2194, _xll.ciqfunctions.udf.CIQ(A2193, "IQ_TOTAL_REV",IQ_FY-8)/I2194)</f>
        <v>50.885711359470264</v>
      </c>
      <c r="E2194" s="16">
        <f t="shared" ref="E2194:E2203" si="587">(D2194-D2193)/D2193</f>
        <v>2.8246225765538539E-2</v>
      </c>
      <c r="F2194" s="15">
        <f>IF(A2201=A2202,_xll.ciqfunctions.udf.CIQ(A2193,"IQ_DILUT_EPS_EXCL",IQ_FY-9), _xll.ciqfunctions.udf.CIQ(A2193, "IQ_DILUT_EPS_EXCL",IQ_FY-8))</f>
        <v>-0.60407</v>
      </c>
      <c r="G2194" s="15">
        <f>IF(A2201=A2202,_xll.ciqfunctions.udf.CIQ(A2193,"IQ_EBITDA_MARGIN",IQ_FY-9), _xll.ciqfunctions.udf.CIQ(A2193, "IQ_EBITDA_MARGIN",IQ_FY-8))</f>
        <v>8.3589000000000002</v>
      </c>
      <c r="H2194" s="15">
        <f>IF(A2201=A2202,_xll.ciqfunctions.udf.CIQ(A2193,"IQ_TOTAL_DIV_PAID_CF",IQ_FY-9)/-I2194, _xll.ciqfunctions.udf.CIQ(A2193, "IQ_TOTAL_DIV_PAID_CF",IQ_FY-8)/-I2194)</f>
        <v>0</v>
      </c>
      <c r="I2194" s="17">
        <f>IF(A2201=A2202,_xll.ciqfunctions.udf.CIQ(A2193,"IQ_TOTAL_OUTSTANDING_FILING_DATE",IQ_FY-9), _xll.ciqfunctions.udf.CIQ(A2193, "IQ_TOTAL_OUTSTANDING_FILING_DATE",IQ_FY-8))</f>
        <v>38.274320000000003</v>
      </c>
      <c r="J2194" s="17">
        <f>IF(A2201=A2202,_xll.ciqfunctions.udf.CIQ(A2193,"IQ_CASH_OPER",IQ_FY-9), _xll.ciqfunctions.udf.CIQ(A2193, "IQ_CASH_OPER",IQ_FY-8))</f>
        <v>132.97300000000001</v>
      </c>
      <c r="K2194" s="17">
        <f>IF(A2201=A2202,_xll.ciqfunctions.udf.CIQ(A2193,"IQ_CAPEX",IQ_FY-9), _xll.ciqfunctions.udf.CIQ(A2193, "IQ_CAPEX",IQ_FY-8))</f>
        <v>-44.494999999999997</v>
      </c>
      <c r="L2194" s="15">
        <f t="shared" si="584"/>
        <v>2.3116805210386495</v>
      </c>
      <c r="M2194" s="17">
        <f>IF(A2201=A2202,_xll.ciqfunctions.udf.CIQ(A2193,"IQ_TOTAL_DEBT_ISSUED",IQ_FY-9), _xll.ciqfunctions.udf.CIQ(A2193, "IQ_TOTAL_DEBT_ISSUED",IQ_FY-8))</f>
        <v>47.656999999999996</v>
      </c>
      <c r="N2194" s="17">
        <f>IF(A2201=A2202,_xll.ciqfunctions.udf.CIQ(A2193,"IQ_TOTAL_DEBT_REPAID",IQ_FY-9), _xll.ciqfunctions.udf.CIQ(A2193, "IQ_TOTAL_DEBT_REPAID",IQ_FY-8))</f>
        <v>-102.438</v>
      </c>
      <c r="O2194" s="15">
        <f t="shared" si="585"/>
        <v>-1.4312729788537066</v>
      </c>
      <c r="P2194" s="15">
        <f t="shared" si="586"/>
        <v>0.88040754218494288</v>
      </c>
      <c r="Q2194" s="25" t="s">
        <v>18</v>
      </c>
      <c r="R2194" s="39" t="s">
        <v>19</v>
      </c>
      <c r="S2194" s="1">
        <f>R2192/((AVERAGE(P2198:P2203))*(1+E2204)^3)</f>
        <v>72.879293661296501</v>
      </c>
      <c r="U2194" s="25" t="s">
        <v>48</v>
      </c>
      <c r="V2194" s="39" t="s">
        <v>19</v>
      </c>
      <c r="W2194" s="1">
        <f>V2192/((AVERAGE(P2198:P2203))*(1+E2204)^3)</f>
        <v>72.879293661296501</v>
      </c>
      <c r="Y2194" s="25" t="s">
        <v>39</v>
      </c>
      <c r="Z2194" s="39" t="s">
        <v>19</v>
      </c>
      <c r="AA2194" s="1">
        <f>Z2192/((AVERAGE(P2198:P2203))*(1+E2204)^3)</f>
        <v>72.879293661296501</v>
      </c>
    </row>
    <row r="2195" spans="1:27">
      <c r="B2195" s="13">
        <v>3</v>
      </c>
      <c r="C2195" s="14" t="s">
        <v>20</v>
      </c>
      <c r="D2195" s="15" cm="1">
        <f t="array" ref="D2195">_xlfn.SINGLE(IF(A2201=A2202,_xll.ciqfunctions.udf.CIQ(A2193,"IQ_TOTAL_REV",IQ_FY-8)/I2195, _xll.ciqfunctions.udf.CIQ(A2193, "IQ_TOTAL_REV",IQ_FY-7)/I2195))</f>
        <v>49.252401649893855</v>
      </c>
      <c r="E2195" s="16">
        <f t="shared" si="587"/>
        <v>-3.2097609838610146E-2</v>
      </c>
      <c r="F2195" s="15">
        <f>IF(A2201=A2202,_xll.ciqfunctions.udf.CIQ(A2193,"IQ_DILUT_EPS_EXCL",IQ_FY-8), _xll.ciqfunctions.udf.CIQ(A2193, "IQ_DILUT_EPS_EXCL",IQ_FY-7))</f>
        <v>0.33</v>
      </c>
      <c r="G2195" s="15">
        <f>IF(A2201=A2202,_xll.ciqfunctions.udf.CIQ(A2193,"IQ_EBITDA_MARGIN",IQ_FY-8), _xll.ciqfunctions.udf.CIQ(A2193, "IQ_EBITDA_MARGIN",IQ_FY-7))</f>
        <v>6.0193000000000003</v>
      </c>
      <c r="H2195" s="15">
        <f>IF(A2201=A2202,_xll.ciqfunctions.udf.CIQ(A2193,"IQ_TOTAL_DIV_PAID_CF",IQ_FY-8)/-I2195, _xll.ciqfunctions.udf.CIQ(A2193, "IQ_TOTAL_DIV_PAID_CF",IQ_FY-7)/-I2195)</f>
        <v>0</v>
      </c>
      <c r="I2195" s="17">
        <f>IF(A2201=A2202,_xll.ciqfunctions.udf.CIQ(A2193,"IQ_TOTAL_OUTSTANDING_FILING_DATE",IQ_FY-8), _xll.ciqfunctions.udf.CIQ(A2193, "IQ_TOTAL_OUTSTANDING_FILING_DATE",IQ_FY-7))</f>
        <v>38.242460000000001</v>
      </c>
      <c r="J2195" s="17">
        <f>IF(A2201=A2202,_xll.ciqfunctions.udf.CIQ(A2193,"IQ_CASH_OPER",IQ_FY-8), _xll.ciqfunctions.udf.CIQ(A2193, "IQ_CASH_OPER",IQ_FY-7))</f>
        <v>73.349999999999994</v>
      </c>
      <c r="K2195" s="17">
        <f>IF(A2201=A2202,_xll.ciqfunctions.udf.CIQ(A2193,"IQ_CAPEX",IQ_FY-8), _xll.ciqfunctions.udf.CIQ(A2193, "IQ_CAPEX",IQ_FY-7))</f>
        <v>-43.917999999999999</v>
      </c>
      <c r="L2195" s="15">
        <f t="shared" si="584"/>
        <v>0.76961576216592742</v>
      </c>
      <c r="M2195" s="17">
        <f>IF(A2201=A2202,_xll.ciqfunctions.udf.CIQ(A2193,"IQ_TOTAL_DEBT_ISSUED",IQ_FY-8), _xll.ciqfunctions.udf.CIQ(A2193, "IQ_TOTAL_DEBT_ISSUED",IQ_FY-7))</f>
        <v>113.467</v>
      </c>
      <c r="N2195" s="17">
        <f>IF(A2201=A2202,_xll.ciqfunctions.udf.CIQ(A2193,"IQ_TOTAL_DEBT_REPAID",IQ_FY-8), _xll.ciqfunctions.udf.CIQ(A2193, "IQ_TOTAL_DEBT_REPAID",IQ_FY-7))</f>
        <v>-62.997999999999998</v>
      </c>
      <c r="O2195" s="15">
        <f t="shared" si="585"/>
        <v>1.3197111273699442</v>
      </c>
      <c r="P2195" s="15">
        <f t="shared" si="586"/>
        <v>2.0893268895358714</v>
      </c>
      <c r="Q2195" s="25" t="s">
        <v>21</v>
      </c>
      <c r="R2195" s="38" t="s">
        <v>49</v>
      </c>
      <c r="S2195" s="2">
        <f>(R2192*I2203)/1000</f>
        <v>3.0211748557</v>
      </c>
      <c r="U2195" s="25" t="s">
        <v>59</v>
      </c>
      <c r="V2195" s="38" t="s">
        <v>49</v>
      </c>
      <c r="W2195" s="2">
        <f>(V2192*I2203)/1000</f>
        <v>3.0211748557</v>
      </c>
      <c r="Y2195" s="25" t="s">
        <v>46</v>
      </c>
      <c r="Z2195" s="38" t="s">
        <v>49</v>
      </c>
      <c r="AA2195" s="2">
        <f>(Z2192*I2203)/1000</f>
        <v>3.0211748557</v>
      </c>
    </row>
    <row r="2196" spans="1:27">
      <c r="A2196" s="18"/>
      <c r="B2196" s="13">
        <v>4</v>
      </c>
      <c r="C2196" s="14" t="s">
        <v>22</v>
      </c>
      <c r="D2196" s="15" cm="1">
        <f t="array" ref="D2196">_xlfn.SINGLE(IF(A2201=A2202,_xll.ciqfunctions.udf.CIQ(A2193,"IQ_TOTAL_REV",IQ_FY-7)/I2196, _xll.ciqfunctions.udf.CIQ(A2193, "IQ_TOTAL_REV",IQ_FY-6)/I2196))</f>
        <v>52.525587225120617</v>
      </c>
      <c r="E2196" s="16">
        <f t="shared" si="587"/>
        <v>6.6457380058213181E-2</v>
      </c>
      <c r="F2196" s="15">
        <f>IF(A2201=A2202,_xll.ciqfunctions.udf.CIQ(A2193,"IQ_DILUT_EPS_EXCL",IQ_FY-7), _xll.ciqfunctions.udf.CIQ(A2193, "IQ_DILUT_EPS_EXCL",IQ_FY-6))</f>
        <v>0.82</v>
      </c>
      <c r="G2196" s="15">
        <f>IF(A2201=A2202,_xll.ciqfunctions.udf.CIQ(A2193,"IQ_EBITDA_MARGIN",IQ_FY-7), _xll.ciqfunctions.udf.CIQ(A2193, "IQ_EBITDA_MARGIN",IQ_FY-6))</f>
        <v>10.601000000000001</v>
      </c>
      <c r="H2196" s="15">
        <f>IF(A2201=A2202,_xll.ciqfunctions.udf.CIQ(A2193,"IQ_TOTAL_DIV_PAID_CF",IQ_FY-7)/-I2196, _xll.ciqfunctions.udf.CIQ(A2193, "IQ_TOTAL_DIV_PAID_CF",IQ_FY-6)/-I2196)</f>
        <v>0</v>
      </c>
      <c r="I2196" s="17">
        <f>IF(A2201=A2202,_xll.ciqfunctions.udf.CIQ(A2193,"IQ_TOTAL_OUTSTANDING_FILING_DATE",IQ_FY-7), _xll.ciqfunctions.udf.CIQ(A2193, "IQ_TOTAL_OUTSTANDING_FILING_DATE",IQ_FY-6))</f>
        <v>38.327719999999999</v>
      </c>
      <c r="J2196" s="17">
        <f>IF(A2201=A2202,_xll.ciqfunctions.udf.CIQ(A2193,"IQ_CASH_OPER",IQ_FY-7), _xll.ciqfunctions.udf.CIQ(A2193, "IQ_CASH_OPER",IQ_FY-6))</f>
        <v>115.842</v>
      </c>
      <c r="K2196" s="17">
        <f>IF(A2201=A2202,_xll.ciqfunctions.udf.CIQ(A2193,"IQ_CAPEX",IQ_FY-7), _xll.ciqfunctions.udf.CIQ(A2193, "IQ_CAPEX",IQ_FY-6))</f>
        <v>-43.542999999999999</v>
      </c>
      <c r="L2196" s="15">
        <f t="shared" si="584"/>
        <v>1.8863370949276401</v>
      </c>
      <c r="M2196" s="17">
        <f>IF(A2201=A2202,_xll.ciqfunctions.udf.CIQ(A2193,"IQ_TOTAL_DEBT_ISSUED",IQ_FY-7), _xll.ciqfunctions.udf.CIQ(A2193, "IQ_TOTAL_DEBT_ISSUED",IQ_FY-6))</f>
        <v>15.877000000000001</v>
      </c>
      <c r="N2196" s="17">
        <f>IF(A2201=A2202,_xll.ciqfunctions.udf.CIQ(A2193,"IQ_TOTAL_DEBT_REPAID",IQ_FY-7), _xll.ciqfunctions.udf.CIQ(A2193, "IQ_TOTAL_DEBT_REPAID",IQ_FY-6))</f>
        <v>-79.119</v>
      </c>
      <c r="O2196" s="15">
        <f t="shared" si="585"/>
        <v>-1.6500329265607241</v>
      </c>
      <c r="P2196" s="15">
        <f t="shared" si="586"/>
        <v>0.23630416836691603</v>
      </c>
      <c r="Q2196" s="25" t="s">
        <v>23</v>
      </c>
      <c r="R2196" s="38" t="s">
        <v>24</v>
      </c>
      <c r="S2196" s="1" t="e">
        <f>R2192/(AVERAGE(H2198:H2203)*(1+H2204)/(0.5-H2204))</f>
        <v>#DIV/0!</v>
      </c>
      <c r="U2196" s="25" t="s">
        <v>40</v>
      </c>
      <c r="V2196" s="38" t="s">
        <v>24</v>
      </c>
      <c r="W2196" s="1" t="e">
        <f>V2192/(AVERAGE(H2198:H2203)*(1+H2204)/(0.5-H2204))</f>
        <v>#DIV/0!</v>
      </c>
      <c r="Y2196" s="25" t="s">
        <v>47</v>
      </c>
      <c r="Z2196" s="38" t="s">
        <v>24</v>
      </c>
      <c r="AA2196" s="1" t="e">
        <f>Z2192/(AVERAGE(H2198:H2203)*(1+H2204)/(0.5-H2204))</f>
        <v>#DIV/0!</v>
      </c>
    </row>
    <row r="2197" spans="1:27">
      <c r="B2197" s="13">
        <v>5</v>
      </c>
      <c r="C2197" s="14" t="s">
        <v>25</v>
      </c>
      <c r="D2197" s="15" cm="1">
        <f t="array" ref="D2197">_xlfn.SINGLE(IF(A2201=A2202,_xll.ciqfunctions.udf.CIQ(A2193,"IQ_TOTAL_REV",IQ_FY-6)/I2197, _xll.ciqfunctions.udf.CIQ(A2193, "IQ_TOTAL_REV",IQ_FY-5)/I2197))</f>
        <v>52.036764588338613</v>
      </c>
      <c r="E2197" s="16">
        <f t="shared" si="587"/>
        <v>-9.3063716677159215E-3</v>
      </c>
      <c r="F2197" s="15">
        <f>IF(A2201=A2202,_xll.ciqfunctions.udf.CIQ(A2193,"IQ_DILUT_EPS_EXCL",IQ_FY-6), _xll.ciqfunctions.udf.CIQ(A2193, "IQ_DILUT_EPS_EXCL",IQ_FY-5))</f>
        <v>1.45</v>
      </c>
      <c r="G2197" s="15">
        <f>IF(A2201=A2202,_xll.ciqfunctions.udf.CIQ(A2193,"IQ_EBITDA_MARGIN",IQ_FY-6), _xll.ciqfunctions.udf.CIQ(A2193, "IQ_EBITDA_MARGIN",IQ_FY-5))</f>
        <v>10.953200000000001</v>
      </c>
      <c r="H2197" s="15">
        <f>IF(A2201=A2202,_xll.ciqfunctions.udf.CIQ(A2193,"IQ_TOTAL_DIV_PAID_CF",IQ_FY-6)/-I2197, _xll.ciqfunctions.udf.CIQ(A2193, "IQ_TOTAL_DIV_PAID_CF",IQ_FY-5)/-I2197)</f>
        <v>0</v>
      </c>
      <c r="I2197" s="17">
        <f>IF(A2201=A2202,_xll.ciqfunctions.udf.CIQ(A2193,"IQ_TOTAL_OUTSTANDING_FILING_DATE",IQ_FY-6), _xll.ciqfunctions.udf.CIQ(A2193, "IQ_TOTAL_OUTSTANDING_FILING_DATE",IQ_FY-5))</f>
        <v>38.784059999999997</v>
      </c>
      <c r="J2197" s="17">
        <f>IF(A2201=A2202,_xll.ciqfunctions.udf.CIQ(A2193,"IQ_CASH_OPER",IQ_FY-6), _xll.ciqfunctions.udf.CIQ(A2193, "IQ_CASH_OPER",IQ_FY-5))</f>
        <v>191.35400000000001</v>
      </c>
      <c r="K2197" s="17">
        <f>IF(A2201=A2202,_xll.ciqfunctions.udf.CIQ(A2193,"IQ_CAPEX",IQ_FY-6), _xll.ciqfunctions.udf.CIQ(A2193, "IQ_CAPEX",IQ_FY-5))</f>
        <v>-49.494999999999997</v>
      </c>
      <c r="L2197" s="15">
        <f t="shared" si="584"/>
        <v>3.6576624520486001</v>
      </c>
      <c r="M2197" s="17">
        <f>IF(A2201=A2202,_xll.ciqfunctions.udf.CIQ(A2193,"IQ_TOTAL_DEBT_ISSUED",IQ_FY-6), _xll.ciqfunctions.udf.CIQ(A2193, "IQ_TOTAL_DEBT_ISSUED",IQ_FY-5))</f>
        <v>335</v>
      </c>
      <c r="N2197" s="17">
        <f>IF(A2201=A2202,_xll.ciqfunctions.udf.CIQ(A2193,"IQ_TOTAL_DEBT_REPAID",IQ_FY-6), _xll.ciqfunctions.udf.CIQ(A2193, "IQ_TOTAL_DEBT_REPAID",IQ_FY-5))</f>
        <v>-29.062999999999999</v>
      </c>
      <c r="O2197" s="15">
        <f t="shared" si="585"/>
        <v>7.8882149006576423</v>
      </c>
      <c r="P2197" s="15">
        <f t="shared" si="586"/>
        <v>11.545877352706242</v>
      </c>
      <c r="Q2197" s="18"/>
      <c r="R2197" s="38" t="s">
        <v>50</v>
      </c>
      <c r="S2197" s="3">
        <f>I2204</f>
        <v>2.8469466171470392E-2</v>
      </c>
      <c r="U2197" s="18"/>
      <c r="V2197" s="38" t="s">
        <v>50</v>
      </c>
      <c r="W2197" s="3">
        <f>I2204</f>
        <v>2.8469466171470392E-2</v>
      </c>
      <c r="Y2197" s="18"/>
      <c r="Z2197" s="38" t="s">
        <v>50</v>
      </c>
      <c r="AA2197" s="3">
        <f>I2204</f>
        <v>2.8469466171470392E-2</v>
      </c>
    </row>
    <row r="2198" spans="1:27">
      <c r="B2198" s="13">
        <v>6</v>
      </c>
      <c r="C2198" s="14" t="s">
        <v>26</v>
      </c>
      <c r="D2198" s="15" cm="1">
        <f t="array" ref="D2198">_xlfn.SINGLE(IF(A2201=A2202,_xll.ciqfunctions.udf.CIQ(A2193,"IQ_TOTAL_REV",IQ_FY-5)/I2198, _xll.ciqfunctions.udf.CIQ(A2193, "IQ_TOTAL_REV",IQ_FY-4)/I2198))</f>
        <v>60.101104505767374</v>
      </c>
      <c r="E2198" s="16">
        <f t="shared" si="587"/>
        <v>0.15497389165574624</v>
      </c>
      <c r="F2198" s="15">
        <f>IF(A2201=A2202,_xll.ciqfunctions.udf.CIQ(A2193,"IQ_DILUT_EPS_EXCL",IQ_FY-5), _xll.ciqfunctions.udf.CIQ(A2193, "IQ_DILUT_EPS_EXCL",IQ_FY-4))</f>
        <v>-2.5299999999999998</v>
      </c>
      <c r="G2198" s="15">
        <f>IF(A2201=A2202,_xll.ciqfunctions.udf.CIQ(A2193,"IQ_EBITDA_MARGIN",IQ_FY-5), _xll.ciqfunctions.udf.CIQ(A2193, "IQ_EBITDA_MARGIN",IQ_FY-4))</f>
        <v>10.043799999999999</v>
      </c>
      <c r="H2198" s="15">
        <f>IF(A2201=A2202,_xll.ciqfunctions.udf.CIQ(A2193,"IQ_TOTAL_DIV_PAID_CF",IQ_FY-5)/-I2198, _xll.ciqfunctions.udf.CIQ(A2193, "IQ_TOTAL_DIV_PAID_CF",IQ_FY-4)/-I2198)</f>
        <v>0</v>
      </c>
      <c r="I2198" s="17">
        <f>IF(A2201=A2202,_xll.ciqfunctions.udf.CIQ(A2193,"IQ_TOTAL_OUTSTANDING_FILING_DATE",IQ_FY-5), _xll.ciqfunctions.udf.CIQ(A2193, "IQ_TOTAL_OUTSTANDING_FILING_DATE",IQ_FY-4))</f>
        <v>39.535330000000002</v>
      </c>
      <c r="J2198" s="17">
        <f>IF(A2201=A2202,_xll.ciqfunctions.udf.CIQ(A2193,"IQ_CASH_OPER",IQ_FY-5), _xll.ciqfunctions.udf.CIQ(A2193, "IQ_CASH_OPER",IQ_FY-4))</f>
        <v>109.755</v>
      </c>
      <c r="K2198" s="17">
        <f>IF(A2201=A2202,_xll.ciqfunctions.udf.CIQ(A2193,"IQ_CAPEX",IQ_FY-5), _xll.ciqfunctions.udf.CIQ(A2193, "IQ_CAPEX",IQ_FY-4))</f>
        <v>-59.951999999999998</v>
      </c>
      <c r="L2198" s="15">
        <f t="shared" si="584"/>
        <v>1.2597087212880225</v>
      </c>
      <c r="M2198" s="17">
        <f>IF(A2201=A2202,_xll.ciqfunctions.udf.CIQ(A2193,"IQ_TOTAL_DEBT_ISSUED",IQ_FY-5), _xll.ciqfunctions.udf.CIQ(A2193, "IQ_TOTAL_DEBT_ISSUED",IQ_FY-4))</f>
        <v>778.93799999999999</v>
      </c>
      <c r="N2198" s="17">
        <f>IF(A2201=A2202,_xll.ciqfunctions.udf.CIQ(A2193,"IQ_TOTAL_DEBT_REPAID",IQ_FY-5), _xll.ciqfunctions.udf.CIQ(A2193, "IQ_TOTAL_DEBT_REPAID",IQ_FY-4))</f>
        <v>-363.35899999999998</v>
      </c>
      <c r="O2198" s="15">
        <f t="shared" si="585"/>
        <v>10.511585460397068</v>
      </c>
      <c r="P2198" s="15">
        <f t="shared" si="586"/>
        <v>11.771294181685091</v>
      </c>
      <c r="Q2198" s="25" t="s">
        <v>27</v>
      </c>
      <c r="R2198" s="38" t="s">
        <v>51</v>
      </c>
      <c r="S2198" s="4">
        <f>AVERAGE(F2198:F2203)/AVERAGE(D2198:D2203)</f>
        <v>-1.0332357316459609E-2</v>
      </c>
      <c r="U2198" s="25" t="s">
        <v>58</v>
      </c>
      <c r="V2198" s="38" t="s">
        <v>51</v>
      </c>
      <c r="W2198" s="4">
        <f>AVERAGE(F2198:F2203)/AVERAGE(D2198:D2203)</f>
        <v>-1.0332357316459609E-2</v>
      </c>
      <c r="Y2198" s="25" t="s">
        <v>56</v>
      </c>
      <c r="Z2198" s="38" t="s">
        <v>51</v>
      </c>
      <c r="AA2198" s="4">
        <f>AVERAGE(F2198:F2203)/AVERAGE(D2198:D2203)</f>
        <v>-1.0332357316459609E-2</v>
      </c>
    </row>
    <row r="2199" spans="1:27">
      <c r="A2199" s="18"/>
      <c r="B2199" s="13">
        <v>7</v>
      </c>
      <c r="C2199" s="14" t="s">
        <v>28</v>
      </c>
      <c r="D2199" s="15" cm="1">
        <f t="array" ref="D2199">_xlfn.SINGLE(IF(A2201=A2202,_xll.ciqfunctions.udf.CIQ(A2193,"IQ_TOTAL_REV",IQ_FY-4)/I2199, _xll.ciqfunctions.udf.CIQ(A2193, "IQ_TOTAL_REV",IQ_FY-3)/I2199))</f>
        <v>62.630533983947871</v>
      </c>
      <c r="E2199" s="16">
        <f t="shared" si="587"/>
        <v>4.2086239495611424E-2</v>
      </c>
      <c r="F2199" s="15">
        <f>IF(A2201=A2202,_xll.ciqfunctions.udf.CIQ(A2193,"IQ_DILUT_EPS_EXCL",IQ_FY-4), _xll.ciqfunctions.udf.CIQ(A2193, "IQ_DILUT_EPS_EXCL",IQ_FY-3))</f>
        <v>1.23</v>
      </c>
      <c r="G2199" s="15">
        <f>IF(A2201=A2202,_xll.ciqfunctions.udf.CIQ(A2193,"IQ_EBITDA_MARGIN",IQ_FY-4), _xll.ciqfunctions.udf.CIQ(A2193, "IQ_EBITDA_MARGIN",IQ_FY-3))</f>
        <v>9.9791000000000007</v>
      </c>
      <c r="H2199" s="15">
        <f>IF(A2201=A2202,_xll.ciqfunctions.udf.CIQ(A2193,"IQ_TOTAL_DIV_PAID_CF",IQ_FY-4)/-I2199, _xll.ciqfunctions.udf.CIQ(A2193, "IQ_TOTAL_DIV_PAID_CF",IQ_FY-3)/-I2199)</f>
        <v>0</v>
      </c>
      <c r="I2199" s="17">
        <f>IF(A2201=A2202,_xll.ciqfunctions.udf.CIQ(A2193,"IQ_TOTAL_OUTSTANDING_FILING_DATE",IQ_FY-4), _xll.ciqfunctions.udf.CIQ(A2193, "IQ_TOTAL_OUTSTANDING_FILING_DATE",IQ_FY-3))</f>
        <v>39.956069999999997</v>
      </c>
      <c r="J2199" s="17">
        <f>IF(A2201=A2202,_xll.ciqfunctions.udf.CIQ(A2193,"IQ_CASH_OPER",IQ_FY-4), _xll.ciqfunctions.udf.CIQ(A2193, "IQ_CASH_OPER",IQ_FY-3))</f>
        <v>172.84</v>
      </c>
      <c r="K2199" s="17">
        <f>IF(A2201=A2202,_xll.ciqfunctions.udf.CIQ(A2193,"IQ_CAPEX",IQ_FY-4), _xll.ciqfunctions.udf.CIQ(A2193, "IQ_CAPEX",IQ_FY-3))</f>
        <v>-60.749000000000002</v>
      </c>
      <c r="L2199" s="15">
        <f t="shared" si="584"/>
        <v>2.8053559822074599</v>
      </c>
      <c r="M2199" s="17">
        <f>IF(A2201=A2202,_xll.ciqfunctions.udf.CIQ(A2193,"IQ_TOTAL_DEBT_ISSUED",IQ_FY-4), _xll.ciqfunctions.udf.CIQ(A2193, "IQ_TOTAL_DEBT_ISSUED",IQ_FY-3))</f>
        <v>50</v>
      </c>
      <c r="N2199" s="17">
        <f>IF(A2201=A2202,_xll.ciqfunctions.udf.CIQ(A2193,"IQ_TOTAL_DEBT_REPAID",IQ_FY-4), _xll.ciqfunctions.udf.CIQ(A2193, "IQ_TOTAL_DEBT_REPAID",IQ_FY-3))</f>
        <v>-137.65700000000001</v>
      </c>
      <c r="O2199" s="15">
        <f t="shared" si="585"/>
        <v>-2.1938343786063048</v>
      </c>
      <c r="P2199" s="15">
        <f t="shared" si="586"/>
        <v>0.61152160360115504</v>
      </c>
      <c r="Q2199" s="18"/>
      <c r="R2199" s="38" t="s">
        <v>29</v>
      </c>
      <c r="S2199" s="4">
        <f>(AVERAGE(P2198:P2203)/_xlfn.STDEV.P(P2198:P2203))/(IF(A2201=A2202,(_xlfn.SINGLE(_xll.ciqfunctions.udf.CIQ(A2193,"IQ_total_assets",IQ_FY)) - _xlfn.SINGLE(_xll.ciqfunctions.udf.CIQ(A2193,"iq_gw_intan", IQ_FY)))/I2203, (_xlfn.SINGLE(_xll.ciqfunctions.udf.CIQ(A2193, "IQ_total_assets",IQ_LTM))-_xlfn.SINGLE(_xll.ciqfunctions.udf.CIQ(A2193,"iq_gw_intan",IQ_LTM)))/I2203))</f>
        <v>5.9581674359367696E-3</v>
      </c>
      <c r="U2199" s="18"/>
      <c r="V2199" s="38" t="s">
        <v>29</v>
      </c>
      <c r="W2199" s="4">
        <f>(AVERAGE(P2198:P2203)/_xlfn.STDEV.P(P2198:P2203))/(IF(A2201=A2202,(_xlfn.SINGLE(_xll.ciqfunctions.udf.CIQ(A2193,"IQ_total_assets",IQ_FY)) - _xlfn.SINGLE(_xll.ciqfunctions.udf.CIQ(A2193,"iq_gw_intan", IQ_FY)))/I2203, (_xlfn.SINGLE(_xll.ciqfunctions.udf.CIQ(A2193, "IQ_total_assets",IQ_LTM))-_xlfn.SINGLE(_xll.ciqfunctions.udf.CIQ(A2193,"iq_gw_intan",IQ_LTM)))/I2203))</f>
        <v>5.9581674359367696E-3</v>
      </c>
      <c r="Y2199" s="18"/>
      <c r="Z2199" s="38" t="s">
        <v>29</v>
      </c>
      <c r="AA2199" s="4">
        <f>(AVERAGE(P2198:P2203)/_xlfn.STDEV.P(P2198:P2203))/(IF(A2201=A2202,(_xlfn.SINGLE(_xll.ciqfunctions.udf.CIQ(A2193,"IQ_total_assets",IQ_FY)) - _xlfn.SINGLE(_xll.ciqfunctions.udf.CIQ(A2193,"iq_gw_intan", IQ_FY)))/I2203, (_xlfn.SINGLE(_xll.ciqfunctions.udf.CIQ(A2193, "IQ_total_assets",IQ_LTM))-_xlfn.SINGLE(_xll.ciqfunctions.udf.CIQ(A2193,"iq_gw_intan",IQ_LTM)))/I2203))</f>
        <v>5.9581674359367696E-3</v>
      </c>
    </row>
    <row r="2200" spans="1:27">
      <c r="A2200" s="18"/>
      <c r="B2200" s="13">
        <v>8</v>
      </c>
      <c r="C2200" s="14" t="s">
        <v>30</v>
      </c>
      <c r="D2200" s="15" cm="1">
        <f t="array" ref="D2200">_xlfn.SINGLE(IF(A2201=A2202,_xll.ciqfunctions.udf.CIQ(A2193,"IQ_TOTAL_REV",IQ_FY-3)/I2200, _xll.ciqfunctions.udf.CIQ(A2193, "IQ_TOTAL_REV",IQ_FY-2)/I2200))</f>
        <v>53.722482167280148</v>
      </c>
      <c r="E2200" s="16">
        <f t="shared" si="587"/>
        <v>-0.14223177178963292</v>
      </c>
      <c r="F2200" s="15">
        <f>IF(A2201=A2202,_xll.ciqfunctions.udf.CIQ(A2193,"IQ_DILUT_EPS_EXCL",IQ_FY-3), _xll.ciqfunctions.udf.CIQ(A2193, "IQ_DILUT_EPS_EXCL",IQ_FY-2))</f>
        <v>-1.44</v>
      </c>
      <c r="G2200" s="15">
        <f>IF(A2201=A2202,_xll.ciqfunctions.udf.CIQ(A2193,"IQ_EBITDA_MARGIN",IQ_FY-3), _xll.ciqfunctions.udf.CIQ(A2193, "IQ_EBITDA_MARGIN",IQ_FY-2))</f>
        <v>8.2706999999999997</v>
      </c>
      <c r="H2200" s="15">
        <f>IF(A2201=A2202,_xll.ciqfunctions.udf.CIQ(A2193,"IQ_TOTAL_DIV_PAID_CF",IQ_FY-3)/-I2200, _xll.ciqfunctions.udf.CIQ(A2193, "IQ_TOTAL_DIV_PAID_CF",IQ_FY-2)/-I2200)</f>
        <v>0</v>
      </c>
      <c r="I2200" s="17">
        <f>IF(A2201=A2202,_xll.ciqfunctions.udf.CIQ(A2193,"IQ_TOTAL_OUTSTANDING_FILING_DATE",IQ_FY-3), _xll.ciqfunctions.udf.CIQ(A2193, "IQ_TOTAL_OUTSTANDING_FILING_DATE",IQ_FY-2))</f>
        <v>40.455129999999997</v>
      </c>
      <c r="J2200" s="17">
        <f>IF(A2201=A2202,_xll.ciqfunctions.udf.CIQ(A2193,"IQ_CASH_OPER",IQ_FY-3), _xll.ciqfunctions.udf.CIQ(A2193, "IQ_CASH_OPER",IQ_FY-2))</f>
        <v>109.514</v>
      </c>
      <c r="K2200" s="17">
        <f>IF(A2201=A2202,_xll.ciqfunctions.udf.CIQ(A2193,"IQ_CAPEX",IQ_FY-3), _xll.ciqfunctions.udf.CIQ(A2193, "IQ_CAPEX",IQ_FY-2))</f>
        <v>-46.207999999999998</v>
      </c>
      <c r="L2200" s="15">
        <f t="shared" si="584"/>
        <v>1.5648448046020369</v>
      </c>
      <c r="M2200" s="17">
        <f>IF(A2201=A2202,_xll.ciqfunctions.udf.CIQ(A2193,"IQ_TOTAL_DEBT_ISSUED",IQ_FY-3), _xll.ciqfunctions.udf.CIQ(A2193, "IQ_TOTAL_DEBT_ISSUED",IQ_FY-2))</f>
        <v>400</v>
      </c>
      <c r="N2200" s="17">
        <f>IF(A2201=A2202,_xll.ciqfunctions.udf.CIQ(A2193,"IQ_TOTAL_DEBT_REPAID",IQ_FY-3), _xll.ciqfunctions.udf.CIQ(A2193, "IQ_TOTAL_DEBT_REPAID",IQ_FY-2))</f>
        <v>-414.06299999999999</v>
      </c>
      <c r="O2200" s="15">
        <f t="shared" si="585"/>
        <v>-0.34761969619180533</v>
      </c>
      <c r="P2200" s="15">
        <f t="shared" si="586"/>
        <v>1.2172251084102315</v>
      </c>
      <c r="Q2200" s="18"/>
      <c r="R2200" s="39" t="s">
        <v>31</v>
      </c>
      <c r="S2200" s="5">
        <f>IF(NOT(D2193&gt;0),FALSE,SLOPE(G2193:G2203,B2193:B2203))</f>
        <v>-0.18338454545454549</v>
      </c>
      <c r="U2200" s="18"/>
      <c r="V2200" s="39" t="s">
        <v>31</v>
      </c>
      <c r="W2200" s="5">
        <f>IF(NOT(D2193&gt;0),FALSE,SLOPE(G2193:G2203,B2193:B2203))</f>
        <v>-0.18338454545454549</v>
      </c>
      <c r="Y2200" s="18"/>
      <c r="Z2200" s="39" t="s">
        <v>31</v>
      </c>
      <c r="AA2200" s="5">
        <f>IF(NOT(L2193&gt;0),FALSE,SLOPE(O2193:O2203,J2193:J2203))</f>
        <v>-3.2839288355808838E-3</v>
      </c>
    </row>
    <row r="2201" spans="1:27">
      <c r="A2201" s="19">
        <f>_xll.ciqfunctions.udf.CIQ(A2193,"IQ_TOTAL_REV",IQ_FY)</f>
        <v>1795.5640000000001</v>
      </c>
      <c r="B2201" s="13">
        <v>9</v>
      </c>
      <c r="C2201" s="14" t="s">
        <v>32</v>
      </c>
      <c r="D2201" s="15" cm="1">
        <f t="array" ref="D2201">_xlfn.SINGLE(IF(A2201=A2202,_xll.ciqfunctions.udf.CIQ(A2193,"IQ_TOTAL_REV",IQ_FY-2)/I2201, _xll.ciqfunctions.udf.CIQ(A2193, "IQ_TOTAL_REV",IQ_FY-1)/I2201))</f>
        <v>44.026323741135066</v>
      </c>
      <c r="E2201" s="16">
        <f t="shared" si="587"/>
        <v>-0.18048604671603502</v>
      </c>
      <c r="F2201" s="15">
        <f>IF(A2201=A2202,_xll.ciqfunctions.udf.CIQ(A2193,"IQ_DILUT_EPS_EXCL",IQ_FY-2), _xll.ciqfunctions.udf.CIQ(A2193, "IQ_DILUT_EPS_EXCL",IQ_FY-1))</f>
        <v>-1.83416</v>
      </c>
      <c r="G2201" s="15">
        <f>IF(A2201=A2202,_xll.ciqfunctions.udf.CIQ(A2193,"IQ_EBITDA_MARGIN",IQ_FY-2), _xll.ciqfunctions.udf.CIQ(A2193, "IQ_EBITDA_MARGIN",IQ_FY-1))</f>
        <v>6.1078999999999999</v>
      </c>
      <c r="H2201" s="15">
        <f>IF(A2201=A2202,_xll.ciqfunctions.udf.CIQ(A2193,"IQ_TOTAL_DIV_PAID_CF",IQ_FY-2)/-I2201, _xll.ciqfunctions.udf.CIQ(A2193, "IQ_TOTAL_DIV_PAID_CF",IQ_FY-1)/-I2201)</f>
        <v>0</v>
      </c>
      <c r="I2201" s="17">
        <f>IF(A2201=A2202,_xll.ciqfunctions.udf.CIQ(A2193,"IQ_TOTAL_OUTSTANDING_FILING_DATE",IQ_FY-2), _xll.ciqfunctions.udf.CIQ(A2193, "IQ_TOTAL_OUTSTANDING_FILING_DATE",IQ_FY-1))</f>
        <v>45.008800000000001</v>
      </c>
      <c r="J2201" s="17">
        <f>IF(A2201=A2202,_xll.ciqfunctions.udf.CIQ(A2193,"IQ_CASH_OPER",IQ_FY-2), _xll.ciqfunctions.udf.CIQ(A2193, "IQ_CASH_OPER",IQ_FY-1))</f>
        <v>154.79400000000001</v>
      </c>
      <c r="K2201" s="17">
        <f>IF(A2201=A2202,_xll.ciqfunctions.udf.CIQ(A2193,"IQ_CAPEX",IQ_FY-2), _xll.ciqfunctions.udf.CIQ(A2193, "IQ_CAPEX",IQ_FY-1))</f>
        <v>-34.682000000000002</v>
      </c>
      <c r="L2201" s="15">
        <f t="shared" si="584"/>
        <v>2.6686336894118483</v>
      </c>
      <c r="M2201" s="17">
        <f>IF(A2201=A2202,_xll.ciqfunctions.udf.CIQ(A2193,"IQ_TOTAL_DEBT_ISSUED",IQ_FY-2), _xll.ciqfunctions.udf.CIQ(A2193, "IQ_TOTAL_DEBT_ISSUED",IQ_FY-1))</f>
        <v>460</v>
      </c>
      <c r="N2201" s="17">
        <f>IF(A2201=A2202,_xll.ciqfunctions.udf.CIQ(A2193,"IQ_TOTAL_DEBT_REPAID",IQ_FY-2), _xll.ciqfunctions.udf.CIQ(A2193, "IQ_TOTAL_DEBT_REPAID",IQ_FY-1))</f>
        <v>-946.09400000000005</v>
      </c>
      <c r="O2201" s="15">
        <f t="shared" si="585"/>
        <v>-10.799976893407512</v>
      </c>
      <c r="P2201" s="15">
        <f t="shared" si="586"/>
        <v>-8.1313432039956641</v>
      </c>
      <c r="Q2201" s="25" t="s">
        <v>33</v>
      </c>
      <c r="R2201" s="38" t="s">
        <v>52</v>
      </c>
      <c r="S2201" s="4">
        <f>(AVERAGE(O2198:O2203)/AVERAGE(P2198:P2203))</f>
        <v>-0.43722690569940381</v>
      </c>
      <c r="U2201" s="25" t="s">
        <v>54</v>
      </c>
      <c r="V2201" s="38" t="s">
        <v>52</v>
      </c>
      <c r="W2201" s="4">
        <f>(AVERAGE(O2198:O2203)/AVERAGE(P2198:P2203))</f>
        <v>-0.43722690569940381</v>
      </c>
      <c r="Y2201" s="25" t="s">
        <v>60</v>
      </c>
      <c r="Z2201" s="38" t="s">
        <v>52</v>
      </c>
      <c r="AA2201" s="4">
        <f>(AVERAGE(O2198:O2203)/AVERAGE(P2198:P2203))</f>
        <v>-0.43722690569940381</v>
      </c>
    </row>
    <row r="2202" spans="1:27">
      <c r="A2202" s="19">
        <f>_xll.ciqfunctions.udf.CIQ(A2193,"IQ_TOTAL_REV",IQ_LTM)</f>
        <v>2063.951</v>
      </c>
      <c r="B2202" s="13">
        <v>10</v>
      </c>
      <c r="C2202" s="14" t="s">
        <v>34</v>
      </c>
      <c r="D2202" s="15" cm="1">
        <f t="array" ref="D2202">_xlfn.SINGLE(IF(A2201=A2202,_xll.ciqfunctions.udf.CIQ(A2193,"IQ_TOTAL_REV",IQ_FY-1)/I2202, _xll.ciqfunctions.udf.CIQ(A2193, "IQ_TOTAL_REV",IQ_FY)/I2202))</f>
        <v>39.641576095535555</v>
      </c>
      <c r="E2202" s="16">
        <f t="shared" si="587"/>
        <v>-9.9593771930194447E-2</v>
      </c>
      <c r="F2202" s="15">
        <f>IF(A2201=A2202,_xll.ciqfunctions.udf.CIQ(A2193,"IQ_DILUT_EPS_EXCL",IQ_FY-1), _xll.ciqfunctions.udf.CIQ(A2193, "IQ_DILUT_EPS_EXCL",IQ_FY))</f>
        <v>-0.22</v>
      </c>
      <c r="G2202" s="15">
        <f>IF(A2201=A2202,_xll.ciqfunctions.udf.CIQ(A2193,"IQ_EBITDA_MARGIN",IQ_FY-1), _xll.ciqfunctions.udf.CIQ(A2193, "IQ_EBITDA_MARGIN",IQ_FY))</f>
        <v>4.7122999999999999</v>
      </c>
      <c r="H2202" s="15">
        <f>IF(A2201=A2202,_xll.ciqfunctions.udf.CIQ(A2193,"IQ_TOTAL_DIV_PAID_CF",IQ_FY-1)/-I2202, _xll.ciqfunctions.udf.CIQ(A2193, "IQ_TOTAL_DIV_PAID_CF",IQ_FY)/-I2202)</f>
        <v>0</v>
      </c>
      <c r="I2202" s="17">
        <f>IF(A2201=A2202,_xll.ciqfunctions.udf.CIQ(A2193,"IQ_TOTAL_OUTSTANDING_FILING_DATE",IQ_FY-1), _xll.ciqfunctions.udf.CIQ(A2193, "IQ_TOTAL_OUTSTANDING_FILING_DATE",IQ_FY))</f>
        <v>45.294969999999999</v>
      </c>
      <c r="J2202" s="17">
        <f>IF(A2201=A2202,_xll.ciqfunctions.udf.CIQ(A2193,"IQ_CASH_OPER",IQ_FY-1), _xll.ciqfunctions.udf.CIQ(A2193, "IQ_CASH_OPER",IQ_FY))</f>
        <v>24.5</v>
      </c>
      <c r="K2202" s="17">
        <f>IF(A2201=A2202,_xll.ciqfunctions.udf.CIQ(A2193,"IQ_CAPEX",IQ_FY-1), _xll.ciqfunctions.udf.CIQ(A2193, "IQ_CAPEX",IQ_FY))</f>
        <v>-19.747</v>
      </c>
      <c r="L2202" s="15">
        <f t="shared" si="584"/>
        <v>0.10493438896195317</v>
      </c>
      <c r="M2202" s="17">
        <f>IF(A2201=A2202,_xll.ciqfunctions.udf.CIQ(A2193,"IQ_TOTAL_DEBT_ISSUED",IQ_FY-1), _xll.ciqfunctions.udf.CIQ(A2193, "IQ_TOTAL_DEBT_ISSUED",IQ_FY))</f>
        <v>0</v>
      </c>
      <c r="N2202" s="17">
        <f>IF(A2201=A2202,_xll.ciqfunctions.udf.CIQ(A2193,"IQ_TOTAL_DEBT_REPAID",IQ_FY-1), _xll.ciqfunctions.udf.CIQ(A2193, "IQ_TOTAL_DEBT_REPAID",IQ_FY))</f>
        <v>0</v>
      </c>
      <c r="O2202" s="15">
        <f t="shared" si="585"/>
        <v>0</v>
      </c>
      <c r="P2202" s="15">
        <f t="shared" si="586"/>
        <v>0.10493438896195317</v>
      </c>
      <c r="Q2202" s="25" t="s">
        <v>44</v>
      </c>
      <c r="R2202" s="38" t="s">
        <v>35</v>
      </c>
      <c r="S2202" s="1">
        <f>_xll.ciqfunctions.udf.CIQ(A2193,"IQ_TEV_EBITDA")</f>
        <v>15.94483</v>
      </c>
      <c r="U2202" s="25" t="s">
        <v>55</v>
      </c>
      <c r="V2202" s="38" t="s">
        <v>53</v>
      </c>
      <c r="W2202" s="1">
        <f>V2192/(AVERAGE(D2198:D2203)/_xlfn.STDEV.P(E2198:E2203))</f>
        <v>0.17523476537124402</v>
      </c>
      <c r="Y2202" s="25" t="s">
        <v>57</v>
      </c>
      <c r="Z2202" s="38" t="s">
        <v>53</v>
      </c>
      <c r="AA2202" s="1">
        <f>Z2192/(AVERAGE(D2198:D2203)/_xlfn.STDEV.P(E2198:E2203))</f>
        <v>0.17523476537124402</v>
      </c>
    </row>
    <row r="2203" spans="1:27">
      <c r="B2203" s="13">
        <v>11</v>
      </c>
      <c r="C2203" s="20" t="s">
        <v>36</v>
      </c>
      <c r="D2203" s="21" cm="1">
        <f t="array" ref="D2203">_xlfn.SINGLE(IF(A2201=A2202,_xll.ciqfunctions.udf.CIQ(A2193,"IQ_TOTAL_REV",IQ_FY)/I2203, _xll.ciqfunctions.udf.CIQ(A2193, "IQ_TOTAL_REV",IQ_LTM)/I2203))</f>
        <v>45.368769586903589</v>
      </c>
      <c r="E2203" s="22">
        <f t="shared" si="587"/>
        <v>0.14447441437660274</v>
      </c>
      <c r="F2203" s="21">
        <f>IF(A2201=A2202,_xll.ciqfunctions.udf.CIQ(A2193,"IQ_DILUT_EPS_EXCL",IQ_FY), _xll.ciqfunctions.udf.CIQ(A2193, "IQ_DILUT_EPS_EXCL",IQ_LTM))</f>
        <v>1.6377200000000001</v>
      </c>
      <c r="G2203" s="21">
        <f>IF(A2201=A2202,_xll.ciqfunctions.udf.CIQ(A2193,"IQ_EBITDA_MARGIN",IQ_FY), _xll.ciqfunctions.udf.CIQ(A2193, "IQ_EBITDA_MARGIN",IQ_LTM))</f>
        <v>8.8443000000000005</v>
      </c>
      <c r="H2203" s="21">
        <f>IF(A2201=A2202,_xll.ciqfunctions.udf.CIQ(A2193,"IQ_TOTAL_DIV_PAID_CF",IQ_FY)/-I2203, _xll.ciqfunctions.udf.CIQ(A2193, "IQ_TOTAL_DIV_PAID_CF",IQ_LTM)/-I2203)</f>
        <v>0</v>
      </c>
      <c r="I2203" s="23">
        <f>IF(A2201=A2202,_xll.ciqfunctions.udf.CIQ(A2193,"IQ_TOTAL_OUTSTANDING_FILING_DATE",IQ_FY),_xll.ciqfunctions.udf.CIQ(A2193,"IQ_sharesoutstanding"))</f>
        <v>45.49277</v>
      </c>
      <c r="J2203" s="23">
        <f>IF(A2201=A2202,_xll.ciqfunctions.udf.CIQ(A2193,"IQ_CASH_OPER",IQ_FY), _xll.ciqfunctions.udf.CIQ(A2193, "IQ_CASH_OPER",IQ_LTM))</f>
        <v>64.046000000000006</v>
      </c>
      <c r="K2203" s="23">
        <f>IF(A2201=A2202,_xll.ciqfunctions.udf.CIQ(A2193,"IQ_CAPEX",IQ_FY), _xll.ciqfunctions.udf.CIQ(A2193, "IQ_CAPEX",IQ_LTM))</f>
        <v>-23.164999999999999</v>
      </c>
      <c r="L2203" s="21">
        <f t="shared" si="584"/>
        <v>0.89862630919154862</v>
      </c>
      <c r="M2203" s="23">
        <f>IF(A2201=A2202,_xll.ciqfunctions.udf.CIQ(A2193,"IQ_TOTAL_DEBT_ISSUED",IQ_FY), _xll.ciqfunctions.udf.CIQ(A2193, "IQ_TOTAL_DEBT_ISSUED",IQ_LTM))</f>
        <v>0</v>
      </c>
      <c r="N2203" s="23">
        <f>IF(A2201=A2202,_xll.ciqfunctions.udf.CIQ(A2193,"IQ_TOTAL_DEBT_REPAID",IQ_FY), _xll.ciqfunctions.udf.CIQ(A2193, "IQ_TOTAL_DEBT_REPAID",IQ_LTM))</f>
        <v>0</v>
      </c>
      <c r="O2203" s="21">
        <f t="shared" si="585"/>
        <v>0</v>
      </c>
      <c r="P2203" s="21">
        <f t="shared" si="586"/>
        <v>0.89862630919154862</v>
      </c>
      <c r="Q2203" s="25" t="s">
        <v>45</v>
      </c>
      <c r="S2203" s="45"/>
      <c r="U2203" s="25"/>
      <c r="W2203" s="45"/>
      <c r="Y2203" s="25"/>
      <c r="AA2203" s="45"/>
    </row>
    <row r="2204" spans="1:27">
      <c r="B2204" s="24"/>
      <c r="C2204" s="25" t="s">
        <v>37</v>
      </c>
      <c r="E2204" s="26">
        <f>((D2203/D2198)^(1/5))-1</f>
        <v>-5.4688568917180325E-2</v>
      </c>
      <c r="F2204" s="27">
        <f>((F2203/F2198)^(1/5))-1</f>
        <v>-1.9166928127299403</v>
      </c>
      <c r="G2204" s="28"/>
      <c r="H2204" s="27" t="e">
        <f>((H2203/H2198)^(1/5))-1</f>
        <v>#DIV/0!</v>
      </c>
      <c r="I2204" s="27">
        <f>((I2203/I2198)^(1/5))-1</f>
        <v>2.8469466171470392E-2</v>
      </c>
      <c r="J2204" s="27"/>
      <c r="K2204" s="27"/>
      <c r="L2204" s="26">
        <f>((L2203/L2198)^(1/5))-1</f>
        <v>-6.5322477673082746E-2</v>
      </c>
      <c r="M2204" s="26"/>
      <c r="N2204" s="26"/>
      <c r="O2204" s="26"/>
      <c r="P2204" s="26">
        <f>((P2203/P2198)^(1/5))-1</f>
        <v>-0.40220678263919263</v>
      </c>
      <c r="Q2204" s="18"/>
      <c r="R2204" s="36"/>
      <c r="S2204" s="45"/>
      <c r="U2204" s="18"/>
      <c r="V2204" s="36"/>
      <c r="W2204" s="45"/>
      <c r="Y2204" s="18"/>
      <c r="Z2204" s="36"/>
      <c r="AA2204" s="45"/>
    </row>
    <row r="2205" spans="1:27">
      <c r="A2205" s="29"/>
      <c r="B2205" s="30"/>
      <c r="C2205" s="31" t="s">
        <v>38</v>
      </c>
      <c r="D2205" s="29"/>
      <c r="E2205" s="32">
        <f>((D2203/D2193)^(1/10))-1</f>
        <v>-8.6527013220393245E-3</v>
      </c>
      <c r="F2205" s="33" t="e">
        <f>((F2203/F2193)^(1/10))-1</f>
        <v>#NUM!</v>
      </c>
      <c r="G2205" s="34"/>
      <c r="H2205" s="33" t="e">
        <f>((H2203/H2193)^(1/10))-1</f>
        <v>#DIV/0!</v>
      </c>
      <c r="I2205" s="33">
        <f>((I2203/I2193)^(1/10))-1</f>
        <v>1.5098470103251715E-2</v>
      </c>
      <c r="J2205" s="33"/>
      <c r="K2205" s="33"/>
      <c r="L2205" s="32">
        <f>((L2203/L2193)^(1/10))-1</f>
        <v>-2.5150808222997645E-2</v>
      </c>
      <c r="M2205" s="32"/>
      <c r="N2205" s="32"/>
      <c r="O2205" s="32"/>
      <c r="P2205" s="32">
        <f>((P2203/P2193)^(1/10))-1</f>
        <v>0.1812866149697212</v>
      </c>
      <c r="Q2205" s="40"/>
      <c r="R2205" s="41"/>
      <c r="S2205" s="46"/>
      <c r="U2205" s="40"/>
      <c r="V2205" s="41"/>
      <c r="W2205" s="46"/>
      <c r="Y2205" s="40"/>
      <c r="Z2205" s="41"/>
      <c r="AA2205" s="46"/>
    </row>
    <row r="2206" spans="1:27">
      <c r="B2206" s="24"/>
      <c r="C2206" s="25"/>
      <c r="E2206" s="26"/>
      <c r="F2206" s="27"/>
      <c r="G2206" s="28"/>
      <c r="H2206" s="27"/>
      <c r="I2206" s="27"/>
      <c r="J2206" s="27"/>
      <c r="K2206" s="27"/>
      <c r="L2206" s="26"/>
      <c r="M2206" s="17"/>
      <c r="N2206" s="17"/>
      <c r="O2206" s="17"/>
      <c r="P2206" s="35"/>
      <c r="Q2206" s="18"/>
      <c r="R2206" s="36"/>
    </row>
    <row r="2207" spans="1:27">
      <c r="A2207" s="9" t="s">
        <v>0</v>
      </c>
      <c r="B2207" s="10"/>
      <c r="C2207" s="9" t="s">
        <v>1</v>
      </c>
      <c r="D2207" s="9" t="s">
        <v>2</v>
      </c>
      <c r="E2207" s="9" t="s">
        <v>3</v>
      </c>
      <c r="F2207" s="11" t="s">
        <v>4</v>
      </c>
      <c r="G2207" s="11" t="s">
        <v>5</v>
      </c>
      <c r="H2207" s="9" t="s">
        <v>6</v>
      </c>
      <c r="I2207" s="11" t="s">
        <v>7</v>
      </c>
      <c r="J2207" s="11" t="s">
        <v>8</v>
      </c>
      <c r="K2207" s="11" t="s">
        <v>9</v>
      </c>
      <c r="L2207" s="11" t="s">
        <v>10</v>
      </c>
      <c r="M2207" s="11" t="s">
        <v>11</v>
      </c>
      <c r="N2207" s="11" t="s">
        <v>12</v>
      </c>
      <c r="O2207" s="11" t="s">
        <v>13</v>
      </c>
      <c r="P2207" s="11" t="s">
        <v>14</v>
      </c>
      <c r="Q2207" s="37" t="s">
        <v>15</v>
      </c>
      <c r="R2207" s="42">
        <f>_xll.ciqfunctions.udf.CIQ(A2208,("IQ_LASTSALEPRICE"))</f>
        <v>96.52</v>
      </c>
      <c r="S2207" s="44"/>
      <c r="U2207" s="37" t="s">
        <v>15</v>
      </c>
      <c r="V2207" s="42">
        <f>_xll.ciqfunctions.udf.CIQ(A2208,("IQ_LASTSALEPRICE"))</f>
        <v>96.52</v>
      </c>
      <c r="W2207" s="44"/>
      <c r="Y2207" s="37" t="s">
        <v>15</v>
      </c>
      <c r="Z2207" s="42">
        <f>_xll.ciqfunctions.udf.CIQ(A2208,("IQ_LASTSALEPRICE"))</f>
        <v>96.52</v>
      </c>
      <c r="AA2207" s="44"/>
    </row>
    <row r="2208" spans="1:27">
      <c r="A2208" s="12" t="str">
        <f>Analysis!B149</f>
        <v>NasdaqGS:AEIS</v>
      </c>
      <c r="B2208" s="13">
        <v>1</v>
      </c>
      <c r="C2208" s="14" t="s">
        <v>16</v>
      </c>
      <c r="D2208" s="15">
        <f>IF(A2216=A2217,_xll.ciqfunctions.udf.CIQ(A2208,"IQ_TOTAL_REV",IQ_FY-10)/I2208,_xll.ciqfunctions.udf.CIQ(A2208, "IQ_TOTAL_REV",IQ_FY-9)/I2208)</f>
        <v>7.2981147290616253</v>
      </c>
      <c r="E2208" s="16"/>
      <c r="F2208" s="15">
        <f>IF(A2216=A2217,_xll.ciqfunctions.udf.CIQ(A2208,"IQ_DILUT_EPS_EXCL",IQ_FY-10), _xll.ciqfunctions.udf.CIQ(A2208, "IQ_DILUT_EPS_EXCL",IQ_FY-9))</f>
        <v>1.47</v>
      </c>
      <c r="G2208" s="15">
        <f>IF(A2216=A2217,_xll.ciqfunctions.udf.CIQ(A2208,"IQ_EBITDA_MARGIN",IQ_FY-10), _xll.ciqfunctions.udf.CIQ(A2208, "IQ_EBITDA_MARGIN",IQ_FY-9))</f>
        <v>19.712</v>
      </c>
      <c r="H2208" s="15">
        <f>IF(A2216=A2217,_xll.ciqfunctions.udf.CIQ(A2208,"IQ_TOTAL_DIV_PAID_CF",IQ_FY-10)/-I2208, _xll.ciqfunctions.udf.CIQ(A2208, "IQ_TOTAL_DIV_PAID_CF",IQ_FY-9)/-I2208)</f>
        <v>0</v>
      </c>
      <c r="I2208" s="17">
        <f>IF(A2216=A2217,_xll.ciqfunctions.udf.CIQ(A2208,"IQ_TOTAL_OUTSTANDING_FILING_DATE",IQ_FY-10), _xll.ciqfunctions.udf.CIQ(A2208, "IQ_TOTAL_OUTSTANDING_FILING_DATE",IQ_FY-9))</f>
        <v>41.02169</v>
      </c>
      <c r="J2208" s="17">
        <f>IF(A2216=A2217,_xll.ciqfunctions.udf.CIQ(A2208,"IQ_CASH_OPER",IQ_FY-10), _xll.ciqfunctions.udf.CIQ(A2208, "IQ_CASH_OPER",IQ_FY-9))</f>
        <v>35.316000000000003</v>
      </c>
      <c r="K2208" s="17">
        <f>IF(A2216=A2217,_xll.ciqfunctions.udf.CIQ(A2208,"IQ_CAPEX",IQ_FY-10), _xll.ciqfunctions.udf.CIQ(A2208, "IQ_CAPEX",IQ_FY-9))</f>
        <v>-2.5880000000000001</v>
      </c>
      <c r="L2208" s="15">
        <f t="shared" ref="L2208:L2218" si="588">(J2208+K2208)/I2208</f>
        <v>0.79782183522911909</v>
      </c>
      <c r="M2208" s="17">
        <f>IF(A2216=A2217,_xll.ciqfunctions.udf.CIQ(A2208,"IQ_TOTAL_DEBT_ISSUED",IQ_FY-10), _xll.ciqfunctions.udf.CIQ(A2208, "IQ_TOTAL_DEBT_ISSUED",IQ_FY-9))</f>
        <v>0</v>
      </c>
      <c r="N2208" s="17">
        <f>IF(A2216=A2217,_xll.ciqfunctions.udf.CIQ(A2208,"IQ_TOTAL_DEBT_REPAID",IQ_FY-10), _xll.ciqfunctions.udf.CIQ(A2208, "IQ_TOTAL_DEBT_REPAID",IQ_FY-9))</f>
        <v>0</v>
      </c>
      <c r="O2208" s="15">
        <f t="shared" ref="O2208:O2218" si="589">(M2208+N2208)/I2208</f>
        <v>0</v>
      </c>
      <c r="P2208" s="15">
        <f t="shared" ref="P2208:P2218" si="590">L2208+O2208</f>
        <v>0.79782183522911909</v>
      </c>
      <c r="W2208" s="43"/>
      <c r="AA2208" s="43"/>
    </row>
    <row r="2209" spans="1:27">
      <c r="A2209" s="18" t="str">
        <f>_xll.ciqfunctions.udf.CIQ(A2208,"IQ_COMPANY_NAME")</f>
        <v>Advanced Energy Industries, Inc.</v>
      </c>
      <c r="B2209" s="13">
        <v>2</v>
      </c>
      <c r="C2209" s="14" t="s">
        <v>17</v>
      </c>
      <c r="D2209" s="15">
        <f>IF(A2216=A2217,_xll.ciqfunctions.udf.CIQ(A2208,"IQ_TOTAL_REV",IQ_FY-9)/I2209, _xll.ciqfunctions.udf.CIQ(A2208, "IQ_TOTAL_REV",IQ_FY-8)/I2209)</f>
        <v>9.0280692923789605</v>
      </c>
      <c r="E2209" s="16">
        <f t="shared" ref="E2209:E2218" si="591">(D2209-D2208)/D2208</f>
        <v>0.23704129457276549</v>
      </c>
      <c r="F2209" s="15">
        <f>IF(A2216=A2217,_xll.ciqfunctions.udf.CIQ(A2208,"IQ_DILUT_EPS_EXCL",IQ_FY-9), _xll.ciqfunctions.udf.CIQ(A2208, "IQ_DILUT_EPS_EXCL",IQ_FY-8))</f>
        <v>1.69</v>
      </c>
      <c r="G2209" s="15">
        <f>IF(A2216=A2217,_xll.ciqfunctions.udf.CIQ(A2208,"IQ_EBITDA_MARGIN",IQ_FY-9), _xll.ciqfunctions.udf.CIQ(A2208, "IQ_EBITDA_MARGIN",IQ_FY-8))</f>
        <v>26.694800000000001</v>
      </c>
      <c r="H2209" s="15">
        <f>IF(A2216=A2217,_xll.ciqfunctions.udf.CIQ(A2208,"IQ_TOTAL_DIV_PAID_CF",IQ_FY-9)/-I2209, _xll.ciqfunctions.udf.CIQ(A2208, "IQ_TOTAL_DIV_PAID_CF",IQ_FY-8)/-I2209)</f>
        <v>0</v>
      </c>
      <c r="I2209" s="17">
        <f>IF(A2216=A2217,_xll.ciqfunctions.udf.CIQ(A2208,"IQ_TOTAL_OUTSTANDING_FILING_DATE",IQ_FY-9), _xll.ciqfunctions.udf.CIQ(A2208, "IQ_TOTAL_OUTSTANDING_FILING_DATE",IQ_FY-8))</f>
        <v>40.68788</v>
      </c>
      <c r="J2209" s="17">
        <f>IF(A2216=A2217,_xll.ciqfunctions.udf.CIQ(A2208,"IQ_CASH_OPER",IQ_FY-9), _xll.ciqfunctions.udf.CIQ(A2208, "IQ_CASH_OPER",IQ_FY-8))</f>
        <v>77.162000000000006</v>
      </c>
      <c r="K2209" s="17">
        <f>IF(A2216=A2217,_xll.ciqfunctions.udf.CIQ(A2208,"IQ_CAPEX",IQ_FY-9), _xll.ciqfunctions.udf.CIQ(A2208, "IQ_CAPEX",IQ_FY-8))</f>
        <v>-3.605</v>
      </c>
      <c r="L2209" s="15">
        <f t="shared" si="588"/>
        <v>1.8078356503214226</v>
      </c>
      <c r="M2209" s="17">
        <f>IF(A2216=A2217,_xll.ciqfunctions.udf.CIQ(A2208,"IQ_TOTAL_DEBT_ISSUED",IQ_FY-9), _xll.ciqfunctions.udf.CIQ(A2208, "IQ_TOTAL_DEBT_ISSUED",IQ_FY-8))</f>
        <v>0</v>
      </c>
      <c r="N2209" s="17">
        <f>IF(A2216=A2217,_xll.ciqfunctions.udf.CIQ(A2208,"IQ_TOTAL_DEBT_REPAID",IQ_FY-9), _xll.ciqfunctions.udf.CIQ(A2208, "IQ_TOTAL_DEBT_REPAID",IQ_FY-8))</f>
        <v>0</v>
      </c>
      <c r="O2209" s="15">
        <f t="shared" si="589"/>
        <v>0</v>
      </c>
      <c r="P2209" s="15">
        <f t="shared" si="590"/>
        <v>1.8078356503214226</v>
      </c>
      <c r="Q2209" s="25" t="s">
        <v>18</v>
      </c>
      <c r="R2209" s="39" t="s">
        <v>19</v>
      </c>
      <c r="S2209" s="1">
        <f>R2207/((AVERAGE(P2213:P2218))*(1+E2219)^3)</f>
        <v>7.9218683924405484</v>
      </c>
      <c r="U2209" s="25" t="s">
        <v>48</v>
      </c>
      <c r="V2209" s="39" t="s">
        <v>19</v>
      </c>
      <c r="W2209" s="1">
        <f>V2207/((AVERAGE(P2213:P2218))*(1+E2219)^3)</f>
        <v>7.9218683924405484</v>
      </c>
      <c r="Y2209" s="25" t="s">
        <v>39</v>
      </c>
      <c r="Z2209" s="39" t="s">
        <v>19</v>
      </c>
      <c r="AA2209" s="1">
        <f>Z2207/((AVERAGE(P2213:P2218))*(1+E2219)^3)</f>
        <v>7.9218683924405484</v>
      </c>
    </row>
    <row r="2210" spans="1:27">
      <c r="B2210" s="13">
        <v>3</v>
      </c>
      <c r="C2210" s="14" t="s">
        <v>20</v>
      </c>
      <c r="D2210" s="15" cm="1">
        <f t="array" ref="D2210">_xlfn.SINGLE(IF(A2216=A2217,_xll.ciqfunctions.udf.CIQ(A2208,"IQ_TOTAL_REV",IQ_FY-8)/I2210, _xll.ciqfunctions.udf.CIQ(A2208, "IQ_TOTAL_REV",IQ_FY-7)/I2210))</f>
        <v>10.409066990406497</v>
      </c>
      <c r="E2210" s="16">
        <f t="shared" si="591"/>
        <v>0.15296711326676518</v>
      </c>
      <c r="F2210" s="15">
        <f>IF(A2216=A2217,_xll.ciqfunctions.udf.CIQ(A2208,"IQ_DILUT_EPS_EXCL",IQ_FY-8), _xll.ciqfunctions.udf.CIQ(A2208, "IQ_DILUT_EPS_EXCL",IQ_FY-7))</f>
        <v>2.0299999999999998</v>
      </c>
      <c r="G2210" s="15">
        <f>IF(A2216=A2217,_xll.ciqfunctions.udf.CIQ(A2208,"IQ_EBITDA_MARGIN",IQ_FY-8), _xll.ciqfunctions.udf.CIQ(A2208, "IQ_EBITDA_MARGIN",IQ_FY-7))</f>
        <v>27.8888</v>
      </c>
      <c r="H2210" s="15">
        <f>IF(A2216=A2217,_xll.ciqfunctions.udf.CIQ(A2208,"IQ_TOTAL_DIV_PAID_CF",IQ_FY-8)/-I2210, _xll.ciqfunctions.udf.CIQ(A2208, "IQ_TOTAL_DIV_PAID_CF",IQ_FY-7)/-I2210)</f>
        <v>0</v>
      </c>
      <c r="I2210" s="17">
        <f>IF(A2216=A2217,_xll.ciqfunctions.udf.CIQ(A2208,"IQ_TOTAL_OUTSTANDING_FILING_DATE",IQ_FY-8), _xll.ciqfunctions.udf.CIQ(A2208, "IQ_TOTAL_OUTSTANDING_FILING_DATE",IQ_FY-7))</f>
        <v>39.850929999999998</v>
      </c>
      <c r="J2210" s="17">
        <f>IF(A2216=A2217,_xll.ciqfunctions.udf.CIQ(A2208,"IQ_CASH_OPER",IQ_FY-8), _xll.ciqfunctions.udf.CIQ(A2208, "IQ_CASH_OPER",IQ_FY-7))</f>
        <v>104.709</v>
      </c>
      <c r="K2210" s="17">
        <f>IF(A2216=A2217,_xll.ciqfunctions.udf.CIQ(A2208,"IQ_CAPEX",IQ_FY-8), _xll.ciqfunctions.udf.CIQ(A2208, "IQ_CAPEX",IQ_FY-7))</f>
        <v>-4.0140000000000002</v>
      </c>
      <c r="L2210" s="15">
        <f t="shared" si="588"/>
        <v>2.5267917210464099</v>
      </c>
      <c r="M2210" s="17">
        <f>IF(A2216=A2217,_xll.ciqfunctions.udf.CIQ(A2208,"IQ_TOTAL_DEBT_ISSUED",IQ_FY-8), _xll.ciqfunctions.udf.CIQ(A2208, "IQ_TOTAL_DEBT_ISSUED",IQ_FY-7))</f>
        <v>0</v>
      </c>
      <c r="N2210" s="17">
        <f>IF(A2216=A2217,_xll.ciqfunctions.udf.CIQ(A2208,"IQ_TOTAL_DEBT_REPAID",IQ_FY-8), _xll.ciqfunctions.udf.CIQ(A2208, "IQ_TOTAL_DEBT_REPAID",IQ_FY-7))</f>
        <v>0</v>
      </c>
      <c r="O2210" s="15">
        <f t="shared" si="589"/>
        <v>0</v>
      </c>
      <c r="P2210" s="15">
        <f t="shared" si="590"/>
        <v>2.5267917210464099</v>
      </c>
      <c r="Q2210" s="25" t="s">
        <v>21</v>
      </c>
      <c r="R2210" s="38" t="s">
        <v>49</v>
      </c>
      <c r="S2210" s="2">
        <f>(R2207*I2218)/1000</f>
        <v>3.5983293031999999</v>
      </c>
      <c r="U2210" s="25" t="s">
        <v>59</v>
      </c>
      <c r="V2210" s="38" t="s">
        <v>49</v>
      </c>
      <c r="W2210" s="2">
        <f>(V2207*I2218)/1000</f>
        <v>3.5983293031999999</v>
      </c>
      <c r="Y2210" s="25" t="s">
        <v>46</v>
      </c>
      <c r="Z2210" s="38" t="s">
        <v>49</v>
      </c>
      <c r="AA2210" s="2">
        <f>(Z2207*I2218)/1000</f>
        <v>3.5983293031999999</v>
      </c>
    </row>
    <row r="2211" spans="1:27">
      <c r="A2211" s="18"/>
      <c r="B2211" s="13">
        <v>4</v>
      </c>
      <c r="C2211" s="14" t="s">
        <v>22</v>
      </c>
      <c r="D2211" s="15" cm="1">
        <f t="array" ref="D2211">_xlfn.SINGLE(IF(A2216=A2217,_xll.ciqfunctions.udf.CIQ(A2208,"IQ_TOTAL_REV",IQ_FY-7)/I2211, _xll.ciqfunctions.udf.CIQ(A2208, "IQ_TOTAL_REV",IQ_FY-6)/I2211))</f>
        <v>12.174182238727273</v>
      </c>
      <c r="E2211" s="16">
        <f t="shared" si="591"/>
        <v>0.16957478032830334</v>
      </c>
      <c r="F2211" s="15">
        <f>IF(A2216=A2217,_xll.ciqfunctions.udf.CIQ(A2208,"IQ_DILUT_EPS_EXCL",IQ_FY-7), _xll.ciqfunctions.udf.CIQ(A2208, "IQ_DILUT_EPS_EXCL",IQ_FY-6))</f>
        <v>2.92</v>
      </c>
      <c r="G2211" s="15">
        <f>IF(A2216=A2217,_xll.ciqfunctions.udf.CIQ(A2208,"IQ_EBITDA_MARGIN",IQ_FY-7), _xll.ciqfunctions.udf.CIQ(A2208, "IQ_EBITDA_MARGIN",IQ_FY-6))</f>
        <v>27.8414</v>
      </c>
      <c r="H2211" s="15">
        <f>IF(A2216=A2217,_xll.ciqfunctions.udf.CIQ(A2208,"IQ_TOTAL_DIV_PAID_CF",IQ_FY-7)/-I2211, _xll.ciqfunctions.udf.CIQ(A2208, "IQ_TOTAL_DIV_PAID_CF",IQ_FY-6)/-I2211)</f>
        <v>0</v>
      </c>
      <c r="I2211" s="17">
        <f>IF(A2216=A2217,_xll.ciqfunctions.udf.CIQ(A2208,"IQ_TOTAL_OUTSTANDING_FILING_DATE",IQ_FY-7), _xll.ciqfunctions.udf.CIQ(A2208, "IQ_TOTAL_OUTSTANDING_FILING_DATE",IQ_FY-6))</f>
        <v>39.731949999999998</v>
      </c>
      <c r="J2211" s="17">
        <f>IF(A2216=A2217,_xll.ciqfunctions.udf.CIQ(A2208,"IQ_CASH_OPER",IQ_FY-7), _xll.ciqfunctions.udf.CIQ(A2208, "IQ_CASH_OPER",IQ_FY-6))</f>
        <v>119.28700000000001</v>
      </c>
      <c r="K2211" s="17">
        <f>IF(A2216=A2217,_xll.ciqfunctions.udf.CIQ(A2208,"IQ_CAPEX",IQ_FY-7), _xll.ciqfunctions.udf.CIQ(A2208, "IQ_CAPEX",IQ_FY-6))</f>
        <v>-6.8209999999999997</v>
      </c>
      <c r="L2211" s="15">
        <f t="shared" si="588"/>
        <v>2.8306186834524865</v>
      </c>
      <c r="M2211" s="17">
        <f>IF(A2216=A2217,_xll.ciqfunctions.udf.CIQ(A2208,"IQ_TOTAL_DEBT_ISSUED",IQ_FY-7), _xll.ciqfunctions.udf.CIQ(A2208, "IQ_TOTAL_DEBT_ISSUED",IQ_FY-6))</f>
        <v>0</v>
      </c>
      <c r="N2211" s="17">
        <f>IF(A2216=A2217,_xll.ciqfunctions.udf.CIQ(A2208,"IQ_TOTAL_DEBT_REPAID",IQ_FY-7), _xll.ciqfunctions.udf.CIQ(A2208, "IQ_TOTAL_DEBT_REPAID",IQ_FY-6))</f>
        <v>0</v>
      </c>
      <c r="O2211" s="15">
        <f t="shared" si="589"/>
        <v>0</v>
      </c>
      <c r="P2211" s="15">
        <f t="shared" si="590"/>
        <v>2.8306186834524865</v>
      </c>
      <c r="Q2211" s="25" t="s">
        <v>23</v>
      </c>
      <c r="R2211" s="38" t="s">
        <v>24</v>
      </c>
      <c r="S2211" s="1" t="e">
        <f>R2207/(AVERAGE(H2213:H2218)*(1+H2219)/(0.5-H2219))</f>
        <v>#DIV/0!</v>
      </c>
      <c r="U2211" s="25" t="s">
        <v>40</v>
      </c>
      <c r="V2211" s="38" t="s">
        <v>24</v>
      </c>
      <c r="W2211" s="1" t="e">
        <f>V2207/(AVERAGE(H2213:H2218)*(1+H2219)/(0.5-H2219))</f>
        <v>#DIV/0!</v>
      </c>
      <c r="Y2211" s="25" t="s">
        <v>47</v>
      </c>
      <c r="Z2211" s="38" t="s">
        <v>24</v>
      </c>
      <c r="AA2211" s="1" t="e">
        <f>Z2207/(AVERAGE(H2213:H2218)*(1+H2219)/(0.5-H2219))</f>
        <v>#DIV/0!</v>
      </c>
    </row>
    <row r="2212" spans="1:27">
      <c r="B2212" s="13">
        <v>5</v>
      </c>
      <c r="C2212" s="14" t="s">
        <v>25</v>
      </c>
      <c r="D2212" s="15" cm="1">
        <f t="array" ref="D2212">_xlfn.SINGLE(IF(A2216=A2217,_xll.ciqfunctions.udf.CIQ(A2208,"IQ_TOTAL_REV",IQ_FY-6)/I2212, _xll.ciqfunctions.udf.CIQ(A2208, "IQ_TOTAL_REV",IQ_FY-5)/I2212))</f>
        <v>16.932296250837766</v>
      </c>
      <c r="E2212" s="16">
        <f t="shared" si="591"/>
        <v>0.39083643720844458</v>
      </c>
      <c r="F2212" s="15">
        <f>IF(A2216=A2217,_xll.ciqfunctions.udf.CIQ(A2208,"IQ_DILUT_EPS_EXCL",IQ_FY-6), _xll.ciqfunctions.udf.CIQ(A2208, "IQ_DILUT_EPS_EXCL",IQ_FY-5))</f>
        <v>3.39</v>
      </c>
      <c r="G2212" s="15">
        <f>IF(A2216=A2217,_xll.ciqfunctions.udf.CIQ(A2208,"IQ_EBITDA_MARGIN",IQ_FY-6), _xll.ciqfunctions.udf.CIQ(A2208, "IQ_EBITDA_MARGIN",IQ_FY-5))</f>
        <v>31.3249</v>
      </c>
      <c r="H2212" s="15">
        <f>IF(A2216=A2217,_xll.ciqfunctions.udf.CIQ(A2208,"IQ_TOTAL_DIV_PAID_CF",IQ_FY-6)/-I2212, _xll.ciqfunctions.udf.CIQ(A2208, "IQ_TOTAL_DIV_PAID_CF",IQ_FY-5)/-I2212)</f>
        <v>0</v>
      </c>
      <c r="I2212" s="17">
        <f>IF(A2216=A2217,_xll.ciqfunctions.udf.CIQ(A2208,"IQ_TOTAL_OUTSTANDING_FILING_DATE",IQ_FY-6), _xll.ciqfunctions.udf.CIQ(A2208, "IQ_TOTAL_OUTSTANDING_FILING_DATE",IQ_FY-5))</f>
        <v>39.62912</v>
      </c>
      <c r="J2212" s="17">
        <f>IF(A2216=A2217,_xll.ciqfunctions.udf.CIQ(A2208,"IQ_CASH_OPER",IQ_FY-6), _xll.ciqfunctions.udf.CIQ(A2208, "IQ_CASH_OPER",IQ_FY-5))</f>
        <v>182.70099999999999</v>
      </c>
      <c r="K2212" s="17">
        <f>IF(A2216=A2217,_xll.ciqfunctions.udf.CIQ(A2208,"IQ_CAPEX",IQ_FY-6), _xll.ciqfunctions.udf.CIQ(A2208, "IQ_CAPEX",IQ_FY-5))</f>
        <v>-9.0419999999999998</v>
      </c>
      <c r="L2212" s="15">
        <f t="shared" si="588"/>
        <v>4.3821058857728863</v>
      </c>
      <c r="M2212" s="17">
        <f>IF(A2216=A2217,_xll.ciqfunctions.udf.CIQ(A2208,"IQ_TOTAL_DEBT_ISSUED",IQ_FY-6), _xll.ciqfunctions.udf.CIQ(A2208, "IQ_TOTAL_DEBT_ISSUED",IQ_FY-5))</f>
        <v>0</v>
      </c>
      <c r="N2212" s="17">
        <f>IF(A2216=A2217,_xll.ciqfunctions.udf.CIQ(A2208,"IQ_TOTAL_DEBT_REPAID",IQ_FY-6), _xll.ciqfunctions.udf.CIQ(A2208, "IQ_TOTAL_DEBT_REPAID",IQ_FY-5))</f>
        <v>0</v>
      </c>
      <c r="O2212" s="15">
        <f t="shared" si="589"/>
        <v>0</v>
      </c>
      <c r="P2212" s="15">
        <f t="shared" si="590"/>
        <v>4.3821058857728863</v>
      </c>
      <c r="Q2212" s="18"/>
      <c r="R2212" s="38" t="s">
        <v>50</v>
      </c>
      <c r="S2212" s="3">
        <f>I2219</f>
        <v>-4.8809456094806025E-3</v>
      </c>
      <c r="U2212" s="18"/>
      <c r="V2212" s="38" t="s">
        <v>50</v>
      </c>
      <c r="W2212" s="3">
        <f>I2219</f>
        <v>-4.8809456094806025E-3</v>
      </c>
      <c r="Y2212" s="18"/>
      <c r="Z2212" s="38" t="s">
        <v>50</v>
      </c>
      <c r="AA2212" s="3">
        <f>I2219</f>
        <v>-4.8809456094806025E-3</v>
      </c>
    </row>
    <row r="2213" spans="1:27">
      <c r="B2213" s="13">
        <v>6</v>
      </c>
      <c r="C2213" s="14" t="s">
        <v>26</v>
      </c>
      <c r="D2213" s="15" cm="1">
        <f t="array" ref="D2213">_xlfn.SINGLE(IF(A2216=A2217,_xll.ciqfunctions.udf.CIQ(A2208,"IQ_TOTAL_REV",IQ_FY-5)/I2213, _xll.ciqfunctions.udf.CIQ(A2208, "IQ_TOTAL_REV",IQ_FY-4)/I2213))</f>
        <v>18.817211618900242</v>
      </c>
      <c r="E2213" s="16">
        <f t="shared" si="591"/>
        <v>0.11132071752933187</v>
      </c>
      <c r="F2213" s="15">
        <f>IF(A2216=A2217,_xll.ciqfunctions.udf.CIQ(A2208,"IQ_DILUT_EPS_EXCL",IQ_FY-5), _xll.ciqfunctions.udf.CIQ(A2208, "IQ_DILUT_EPS_EXCL",IQ_FY-4))</f>
        <v>3.74</v>
      </c>
      <c r="G2213" s="15">
        <f>IF(A2216=A2217,_xll.ciqfunctions.udf.CIQ(A2208,"IQ_EBITDA_MARGIN",IQ_FY-5), _xll.ciqfunctions.udf.CIQ(A2208, "IQ_EBITDA_MARGIN",IQ_FY-4))</f>
        <v>26.343800000000002</v>
      </c>
      <c r="H2213" s="15">
        <f>IF(A2216=A2217,_xll.ciqfunctions.udf.CIQ(A2208,"IQ_TOTAL_DIV_PAID_CF",IQ_FY-5)/-I2213, _xll.ciqfunctions.udf.CIQ(A2208, "IQ_TOTAL_DIV_PAID_CF",IQ_FY-4)/-I2213)</f>
        <v>0</v>
      </c>
      <c r="I2213" s="17">
        <f>IF(A2216=A2217,_xll.ciqfunctions.udf.CIQ(A2208,"IQ_TOTAL_OUTSTANDING_FILING_DATE",IQ_FY-5), _xll.ciqfunctions.udf.CIQ(A2208, "IQ_TOTAL_OUTSTANDING_FILING_DATE",IQ_FY-4))</f>
        <v>38.203960000000002</v>
      </c>
      <c r="J2213" s="17">
        <f>IF(A2216=A2217,_xll.ciqfunctions.udf.CIQ(A2208,"IQ_CASH_OPER",IQ_FY-5), _xll.ciqfunctions.udf.CIQ(A2208, "IQ_CASH_OPER",IQ_FY-4))</f>
        <v>151.27099999999999</v>
      </c>
      <c r="K2213" s="17">
        <f>IF(A2216=A2217,_xll.ciqfunctions.udf.CIQ(A2208,"IQ_CAPEX",IQ_FY-5), _xll.ciqfunctions.udf.CIQ(A2208, "IQ_CAPEX",IQ_FY-4))</f>
        <v>-20.329999999999998</v>
      </c>
      <c r="L2213" s="15">
        <f t="shared" si="588"/>
        <v>3.4274195659298137</v>
      </c>
      <c r="M2213" s="17">
        <f>IF(A2216=A2217,_xll.ciqfunctions.udf.CIQ(A2208,"IQ_TOTAL_DEBT_ISSUED",IQ_FY-5), _xll.ciqfunctions.udf.CIQ(A2208, "IQ_TOTAL_DEBT_ISSUED",IQ_FY-4))</f>
        <v>0</v>
      </c>
      <c r="N2213" s="17">
        <f>IF(A2216=A2217,_xll.ciqfunctions.udf.CIQ(A2208,"IQ_TOTAL_DEBT_REPAID",IQ_FY-5), _xll.ciqfunctions.udf.CIQ(A2208, "IQ_TOTAL_DEBT_REPAID",IQ_FY-4))</f>
        <v>0</v>
      </c>
      <c r="O2213" s="15">
        <f t="shared" si="589"/>
        <v>0</v>
      </c>
      <c r="P2213" s="15">
        <f t="shared" si="590"/>
        <v>3.4274195659298137</v>
      </c>
      <c r="Q2213" s="25" t="s">
        <v>27</v>
      </c>
      <c r="R2213" s="38" t="s">
        <v>51</v>
      </c>
      <c r="S2213" s="4">
        <f>AVERAGE(F2213:F2218)/AVERAGE(D2213:D2218)</f>
        <v>0.10058710785741332</v>
      </c>
      <c r="U2213" s="25" t="s">
        <v>58</v>
      </c>
      <c r="V2213" s="38" t="s">
        <v>51</v>
      </c>
      <c r="W2213" s="4">
        <f>AVERAGE(F2213:F2218)/AVERAGE(D2213:D2218)</f>
        <v>0.10058710785741332</v>
      </c>
      <c r="Y2213" s="25" t="s">
        <v>56</v>
      </c>
      <c r="Z2213" s="38" t="s">
        <v>51</v>
      </c>
      <c r="AA2213" s="4">
        <f>AVERAGE(F2213:F2218)/AVERAGE(D2213:D2218)</f>
        <v>0.10058710785741332</v>
      </c>
    </row>
    <row r="2214" spans="1:27">
      <c r="A2214" s="18"/>
      <c r="B2214" s="13">
        <v>7</v>
      </c>
      <c r="C2214" s="14" t="s">
        <v>28</v>
      </c>
      <c r="D2214" s="15" cm="1">
        <f t="array" ref="D2214">_xlfn.SINGLE(IF(A2216=A2217,_xll.ciqfunctions.udf.CIQ(A2208,"IQ_TOTAL_REV",IQ_FY-4)/I2214, _xll.ciqfunctions.udf.CIQ(A2208, "IQ_TOTAL_REV",IQ_FY-3)/I2214))</f>
        <v>20.54165322518703</v>
      </c>
      <c r="E2214" s="16">
        <f t="shared" si="591"/>
        <v>9.1641718295538424E-2</v>
      </c>
      <c r="F2214" s="15">
        <f>IF(A2216=A2217,_xll.ciqfunctions.udf.CIQ(A2208,"IQ_DILUT_EPS_EXCL",IQ_FY-4), _xll.ciqfunctions.udf.CIQ(A2208, "IQ_DILUT_EPS_EXCL",IQ_FY-3))</f>
        <v>1.47</v>
      </c>
      <c r="G2214" s="15">
        <f>IF(A2216=A2217,_xll.ciqfunctions.udf.CIQ(A2208,"IQ_EBITDA_MARGIN",IQ_FY-4), _xll.ciqfunctions.udf.CIQ(A2208, "IQ_EBITDA_MARGIN",IQ_FY-3))</f>
        <v>10.846399999999999</v>
      </c>
      <c r="H2214" s="15">
        <f>IF(A2216=A2217,_xll.ciqfunctions.udf.CIQ(A2208,"IQ_TOTAL_DIV_PAID_CF",IQ_FY-4)/-I2214, _xll.ciqfunctions.udf.CIQ(A2208, "IQ_TOTAL_DIV_PAID_CF",IQ_FY-3)/-I2214)</f>
        <v>0</v>
      </c>
      <c r="I2214" s="17">
        <f>IF(A2216=A2217,_xll.ciqfunctions.udf.CIQ(A2208,"IQ_TOTAL_OUTSTANDING_FILING_DATE",IQ_FY-4), _xll.ciqfunctions.udf.CIQ(A2208, "IQ_TOTAL_OUTSTANDING_FILING_DATE",IQ_FY-3))</f>
        <v>38.407229999999998</v>
      </c>
      <c r="J2214" s="17">
        <f>IF(A2216=A2217,_xll.ciqfunctions.udf.CIQ(A2208,"IQ_CASH_OPER",IQ_FY-4), _xll.ciqfunctions.udf.CIQ(A2208, "IQ_CASH_OPER",IQ_FY-3))</f>
        <v>48.392000000000003</v>
      </c>
      <c r="K2214" s="17">
        <f>IF(A2216=A2217,_xll.ciqfunctions.udf.CIQ(A2208,"IQ_CAPEX",IQ_FY-4), _xll.ciqfunctions.udf.CIQ(A2208, "IQ_CAPEX",IQ_FY-3))</f>
        <v>-25.187999999999999</v>
      </c>
      <c r="L2214" s="15">
        <f t="shared" si="588"/>
        <v>0.60415708188276018</v>
      </c>
      <c r="M2214" s="17">
        <f>IF(A2216=A2217,_xll.ciqfunctions.udf.CIQ(A2208,"IQ_TOTAL_DEBT_ISSUED",IQ_FY-4), _xll.ciqfunctions.udf.CIQ(A2208, "IQ_TOTAL_DEBT_ISSUED",IQ_FY-3))</f>
        <v>347.48599999999999</v>
      </c>
      <c r="N2214" s="17">
        <f>IF(A2216=A2217,_xll.ciqfunctions.udf.CIQ(A2208,"IQ_TOTAL_DEBT_REPAID",IQ_FY-4), _xll.ciqfunctions.udf.CIQ(A2208, "IQ_TOTAL_DEBT_REPAID",IQ_FY-3))</f>
        <v>-8.75</v>
      </c>
      <c r="O2214" s="15">
        <f t="shared" si="589"/>
        <v>8.8195894366763756</v>
      </c>
      <c r="P2214" s="15">
        <f t="shared" si="590"/>
        <v>9.4237465185591365</v>
      </c>
      <c r="Q2214" s="18"/>
      <c r="R2214" s="38" t="s">
        <v>29</v>
      </c>
      <c r="S2214" s="4">
        <f>(AVERAGE(P2213:P2218)/_xlfn.STDEV.P(P2213:P2218))/(IF(A2216=A2217,(_xlfn.SINGLE(_xll.ciqfunctions.udf.CIQ(A2208,"IQ_total_assets",IQ_FY)) - _xlfn.SINGLE(_xll.ciqfunctions.udf.CIQ(A2208,"iq_gw_intan", IQ_FY)))/I2218, (_xlfn.SINGLE(_xll.ciqfunctions.udf.CIQ(A2208, "IQ_total_assets",IQ_LTM))-_xlfn.SINGLE(_xll.ciqfunctions.udf.CIQ(A2208,"iq_gw_intan",IQ_LTM)))/I2218))</f>
        <v>2.4054268880791832E-2</v>
      </c>
      <c r="U2214" s="18"/>
      <c r="V2214" s="38" t="s">
        <v>29</v>
      </c>
      <c r="W2214" s="4">
        <f>(AVERAGE(P2213:P2218)/_xlfn.STDEV.P(P2213:P2218))/(IF(A2216=A2217,(_xlfn.SINGLE(_xll.ciqfunctions.udf.CIQ(A2208,"IQ_total_assets",IQ_FY)) - _xlfn.SINGLE(_xll.ciqfunctions.udf.CIQ(A2208,"iq_gw_intan", IQ_FY)))/I2218, (_xlfn.SINGLE(_xll.ciqfunctions.udf.CIQ(A2208, "IQ_total_assets",IQ_LTM))-_xlfn.SINGLE(_xll.ciqfunctions.udf.CIQ(A2208,"iq_gw_intan",IQ_LTM)))/I2218))</f>
        <v>2.4054268880791832E-2</v>
      </c>
      <c r="Y2214" s="18"/>
      <c r="Z2214" s="38" t="s">
        <v>29</v>
      </c>
      <c r="AA2214" s="4">
        <f>(AVERAGE(P2213:P2218)/_xlfn.STDEV.P(P2213:P2218))/(IF(A2216=A2217,(_xlfn.SINGLE(_xll.ciqfunctions.udf.CIQ(A2208,"IQ_total_assets",IQ_FY)) - _xlfn.SINGLE(_xll.ciqfunctions.udf.CIQ(A2208,"iq_gw_intan", IQ_FY)))/I2218, (_xlfn.SINGLE(_xll.ciqfunctions.udf.CIQ(A2208, "IQ_total_assets",IQ_LTM))-_xlfn.SINGLE(_xll.ciqfunctions.udf.CIQ(A2208,"iq_gw_intan",IQ_LTM)))/I2218))</f>
        <v>2.4054268880791832E-2</v>
      </c>
    </row>
    <row r="2215" spans="1:27">
      <c r="A2215" s="18"/>
      <c r="B2215" s="13">
        <v>8</v>
      </c>
      <c r="C2215" s="14" t="s">
        <v>30</v>
      </c>
      <c r="D2215" s="15" cm="1">
        <f t="array" ref="D2215">_xlfn.SINGLE(IF(A2216=A2217,_xll.ciqfunctions.udf.CIQ(A2208,"IQ_TOTAL_REV",IQ_FY-3)/I2215, _xll.ciqfunctions.udf.CIQ(A2208, "IQ_TOTAL_REV",IQ_FY-2)/I2215))</f>
        <v>36.96665907747451</v>
      </c>
      <c r="E2215" s="16">
        <f t="shared" si="591"/>
        <v>0.79959512860182325</v>
      </c>
      <c r="F2215" s="15">
        <f>IF(A2216=A2217,_xll.ciqfunctions.udf.CIQ(A2208,"IQ_DILUT_EPS_EXCL",IQ_FY-3), _xll.ciqfunctions.udf.CIQ(A2208, "IQ_DILUT_EPS_EXCL",IQ_FY-2))</f>
        <v>3.51</v>
      </c>
      <c r="G2215" s="15">
        <f>IF(A2216=A2217,_xll.ciqfunctions.udf.CIQ(A2208,"IQ_EBITDA_MARGIN",IQ_FY-3), _xll.ciqfunctions.udf.CIQ(A2208, "IQ_EBITDA_MARGIN",IQ_FY-2))</f>
        <v>16.7364</v>
      </c>
      <c r="H2215" s="15">
        <f>IF(A2216=A2217,_xll.ciqfunctions.udf.CIQ(A2208,"IQ_TOTAL_DIV_PAID_CF",IQ_FY-3)/-I2215, _xll.ciqfunctions.udf.CIQ(A2208, "IQ_TOTAL_DIV_PAID_CF",IQ_FY-2)/-I2215)</f>
        <v>0</v>
      </c>
      <c r="I2215" s="17">
        <f>IF(A2216=A2217,_xll.ciqfunctions.udf.CIQ(A2208,"IQ_TOTAL_OUTSTANDING_FILING_DATE",IQ_FY-3), _xll.ciqfunctions.udf.CIQ(A2208, "IQ_TOTAL_OUTSTANDING_FILING_DATE",IQ_FY-2))</f>
        <v>38.300080000000001</v>
      </c>
      <c r="J2215" s="17">
        <f>IF(A2216=A2217,_xll.ciqfunctions.udf.CIQ(A2208,"IQ_CASH_OPER",IQ_FY-3), _xll.ciqfunctions.udf.CIQ(A2208, "IQ_CASH_OPER",IQ_FY-2))</f>
        <v>201.23599999999999</v>
      </c>
      <c r="K2215" s="17">
        <f>IF(A2216=A2217,_xll.ciqfunctions.udf.CIQ(A2208,"IQ_CAPEX",IQ_FY-3), _xll.ciqfunctions.udf.CIQ(A2208, "IQ_CAPEX",IQ_FY-2))</f>
        <v>-36.363999999999997</v>
      </c>
      <c r="L2215" s="15">
        <f t="shared" si="588"/>
        <v>4.3047429665943255</v>
      </c>
      <c r="M2215" s="17">
        <f>IF(A2216=A2217,_xll.ciqfunctions.udf.CIQ(A2208,"IQ_TOTAL_DEBT_ISSUED",IQ_FY-3), _xll.ciqfunctions.udf.CIQ(A2208, "IQ_TOTAL_DEBT_ISSUED",IQ_FY-2))</f>
        <v>0</v>
      </c>
      <c r="N2215" s="17">
        <f>IF(A2216=A2217,_xll.ciqfunctions.udf.CIQ(A2208,"IQ_TOTAL_DEBT_REPAID",IQ_FY-3), _xll.ciqfunctions.udf.CIQ(A2208, "IQ_TOTAL_DEBT_REPAID",IQ_FY-2))</f>
        <v>-17.5</v>
      </c>
      <c r="O2215" s="15">
        <f t="shared" si="589"/>
        <v>-0.45691810565408741</v>
      </c>
      <c r="P2215" s="15">
        <f t="shared" si="590"/>
        <v>3.8478248609402383</v>
      </c>
      <c r="Q2215" s="18"/>
      <c r="R2215" s="39" t="s">
        <v>31</v>
      </c>
      <c r="S2215" s="5">
        <f>IF(NOT(D2208&gt;0),FALSE,SLOPE(G2208:G2218,B2208:B2218))</f>
        <v>-1.3749845454545455</v>
      </c>
      <c r="U2215" s="18"/>
      <c r="V2215" s="39" t="s">
        <v>31</v>
      </c>
      <c r="W2215" s="5">
        <f>IF(NOT(D2208&gt;0),FALSE,SLOPE(G2208:G2218,B2208:B2218))</f>
        <v>-1.3749845454545455</v>
      </c>
      <c r="Y2215" s="18"/>
      <c r="Z2215" s="39" t="s">
        <v>31</v>
      </c>
      <c r="AA2215" s="5">
        <f>IF(NOT(L2208&gt;0),FALSE,SLOPE(O2208:O2218,J2208:J2218))</f>
        <v>4.9364951917230194E-3</v>
      </c>
    </row>
    <row r="2216" spans="1:27">
      <c r="A2216" s="19">
        <f>_xll.ciqfunctions.udf.CIQ(A2208,"IQ_TOTAL_REV",IQ_FY)</f>
        <v>1845.422</v>
      </c>
      <c r="B2216" s="13">
        <v>9</v>
      </c>
      <c r="C2216" s="14" t="s">
        <v>32</v>
      </c>
      <c r="D2216" s="15" cm="1">
        <f t="array" ref="D2216">_xlfn.SINGLE(IF(A2216=A2217,_xll.ciqfunctions.udf.CIQ(A2208,"IQ_TOTAL_REV",IQ_FY-2)/I2216, _xll.ciqfunctions.udf.CIQ(A2208, "IQ_TOTAL_REV",IQ_FY-1)/I2216))</f>
        <v>38.764770549771569</v>
      </c>
      <c r="E2216" s="16">
        <f t="shared" si="591"/>
        <v>4.8641438452108617E-2</v>
      </c>
      <c r="F2216" s="15">
        <f>IF(A2216=A2217,_xll.ciqfunctions.udf.CIQ(A2208,"IQ_DILUT_EPS_EXCL",IQ_FY-2), _xll.ciqfunctions.udf.CIQ(A2208, "IQ_DILUT_EPS_EXCL",IQ_FY-1))</f>
        <v>3.51</v>
      </c>
      <c r="G2216" s="15">
        <f>IF(A2216=A2217,_xll.ciqfunctions.udf.CIQ(A2208,"IQ_EBITDA_MARGIN",IQ_FY-2), _xll.ciqfunctions.udf.CIQ(A2208, "IQ_EBITDA_MARGIN",IQ_FY-1))</f>
        <v>15.048500000000001</v>
      </c>
      <c r="H2216" s="15">
        <f>IF(A2216=A2217,_xll.ciqfunctions.udf.CIQ(A2208,"IQ_TOTAL_DIV_PAID_CF",IQ_FY-2)/-I2216, _xll.ciqfunctions.udf.CIQ(A2208, "IQ_TOTAL_DIV_PAID_CF",IQ_FY-1)/-I2216)</f>
        <v>0.40962557533289901</v>
      </c>
      <c r="I2216" s="17">
        <f>IF(A2216=A2217,_xll.ciqfunctions.udf.CIQ(A2208,"IQ_TOTAL_OUTSTANDING_FILING_DATE",IQ_FY-2), _xll.ciqfunctions.udf.CIQ(A2208, "IQ_TOTAL_OUTSTANDING_FILING_DATE",IQ_FY-1))</f>
        <v>37.558689999999999</v>
      </c>
      <c r="J2216" s="17">
        <f>IF(A2216=A2217,_xll.ciqfunctions.udf.CIQ(A2208,"IQ_CASH_OPER",IQ_FY-2), _xll.ciqfunctions.udf.CIQ(A2208, "IQ_CASH_OPER",IQ_FY-1))</f>
        <v>140.245</v>
      </c>
      <c r="K2216" s="17">
        <f>IF(A2216=A2217,_xll.ciqfunctions.udf.CIQ(A2208,"IQ_CAPEX",IQ_FY-2), _xll.ciqfunctions.udf.CIQ(A2208, "IQ_CAPEX",IQ_FY-1))</f>
        <v>-28.817</v>
      </c>
      <c r="L2216" s="15">
        <f t="shared" si="588"/>
        <v>2.9667701402791207</v>
      </c>
      <c r="M2216" s="17">
        <f>IF(A2216=A2217,_xll.ciqfunctions.udf.CIQ(A2208,"IQ_TOTAL_DEBT_ISSUED",IQ_FY-2), _xll.ciqfunctions.udf.CIQ(A2208, "IQ_TOTAL_DEBT_ISSUED",IQ_FY-1))</f>
        <v>85</v>
      </c>
      <c r="N2216" s="17">
        <f>IF(A2216=A2217,_xll.ciqfunctions.udf.CIQ(A2208,"IQ_TOTAL_DEBT_REPAID",IQ_FY-2), _xll.ciqfunctions.udf.CIQ(A2208, "IQ_TOTAL_DEBT_REPAID",IQ_FY-1))</f>
        <v>-13.75</v>
      </c>
      <c r="O2216" s="15">
        <f t="shared" si="589"/>
        <v>1.8970310199849889</v>
      </c>
      <c r="P2216" s="15">
        <f t="shared" si="590"/>
        <v>4.86380116026411</v>
      </c>
      <c r="Q2216" s="25" t="s">
        <v>33</v>
      </c>
      <c r="R2216" s="38" t="s">
        <v>52</v>
      </c>
      <c r="S2216" s="4">
        <f>(AVERAGE(O2213:O2218)/AVERAGE(P2213:P2218))</f>
        <v>0.57270575812798641</v>
      </c>
      <c r="U2216" s="25" t="s">
        <v>54</v>
      </c>
      <c r="V2216" s="38" t="s">
        <v>52</v>
      </c>
      <c r="W2216" s="4">
        <f>(AVERAGE(O2213:O2218)/AVERAGE(P2213:P2218))</f>
        <v>0.57270575812798641</v>
      </c>
      <c r="Y2216" s="25" t="s">
        <v>60</v>
      </c>
      <c r="Z2216" s="38" t="s">
        <v>52</v>
      </c>
      <c r="AA2216" s="4">
        <f>(AVERAGE(O2213:O2218)/AVERAGE(P2213:P2218))</f>
        <v>0.57270575812798641</v>
      </c>
    </row>
    <row r="2217" spans="1:27">
      <c r="A2217" s="19">
        <f>_xll.ciqfunctions.udf.CIQ(A2208,"IQ_TOTAL_REV",IQ_LTM)</f>
        <v>1741.279</v>
      </c>
      <c r="B2217" s="13">
        <v>10</v>
      </c>
      <c r="C2217" s="14" t="s">
        <v>34</v>
      </c>
      <c r="D2217" s="15" cm="1">
        <f t="array" ref="D2217">_xlfn.SINGLE(IF(A2216=A2217,_xll.ciqfunctions.udf.CIQ(A2208,"IQ_TOTAL_REV",IQ_FY-1)/I2217, _xll.ciqfunctions.udf.CIQ(A2208, "IQ_TOTAL_REV",IQ_FY)/I2217))</f>
        <v>49.252612393714081</v>
      </c>
      <c r="E2217" s="16">
        <f t="shared" si="591"/>
        <v>0.27055085571773918</v>
      </c>
      <c r="F2217" s="15">
        <f>IF(A2216=A2217,_xll.ciqfunctions.udf.CIQ(A2208,"IQ_DILUT_EPS_EXCL",IQ_FY-1), _xll.ciqfunctions.udf.CIQ(A2208, "IQ_DILUT_EPS_EXCL",IQ_FY))</f>
        <v>5.35</v>
      </c>
      <c r="G2217" s="15">
        <f>IF(A2216=A2217,_xll.ciqfunctions.udf.CIQ(A2208,"IQ_EBITDA_MARGIN",IQ_FY-1), _xll.ciqfunctions.udf.CIQ(A2208, "IQ_EBITDA_MARGIN",IQ_FY))</f>
        <v>16.5382</v>
      </c>
      <c r="H2217" s="15">
        <f>IF(A2216=A2217,_xll.ciqfunctions.udf.CIQ(A2208,"IQ_TOTAL_DIV_PAID_CF",IQ_FY-1)/-I2217, _xll.ciqfunctions.udf.CIQ(A2208, "IQ_TOTAL_DIV_PAID_CF",IQ_FY)/-I2217)</f>
        <v>0.40578074761980126</v>
      </c>
      <c r="I2217" s="17">
        <f>IF(A2216=A2217,_xll.ciqfunctions.udf.CIQ(A2208,"IQ_TOTAL_OUTSTANDING_FILING_DATE",IQ_FY-1), _xll.ciqfunctions.udf.CIQ(A2208, "IQ_TOTAL_OUTSTANDING_FILING_DATE",IQ_FY))</f>
        <v>37.468510000000002</v>
      </c>
      <c r="J2217" s="17">
        <f>IF(A2216=A2217,_xll.ciqfunctions.udf.CIQ(A2208,"IQ_CASH_OPER",IQ_FY-1), _xll.ciqfunctions.udf.CIQ(A2208, "IQ_CASH_OPER",IQ_FY))</f>
        <v>183.58699999999999</v>
      </c>
      <c r="K2217" s="17">
        <f>IF(A2216=A2217,_xll.ciqfunctions.udf.CIQ(A2208,"IQ_CAPEX",IQ_FY-1), _xll.ciqfunctions.udf.CIQ(A2208, "IQ_CAPEX",IQ_FY))</f>
        <v>-58.884999999999998</v>
      </c>
      <c r="L2217" s="15">
        <f t="shared" si="588"/>
        <v>3.3281814515709325</v>
      </c>
      <c r="M2217" s="17">
        <f>IF(A2216=A2217,_xll.ciqfunctions.udf.CIQ(A2208,"IQ_TOTAL_DEBT_ISSUED",IQ_FY-1), _xll.ciqfunctions.udf.CIQ(A2208, "IQ_TOTAL_DEBT_ISSUED",IQ_FY))</f>
        <v>0</v>
      </c>
      <c r="N2217" s="17">
        <f>IF(A2216=A2217,_xll.ciqfunctions.udf.CIQ(A2208,"IQ_TOTAL_DEBT_REPAID",IQ_FY-1), _xll.ciqfunctions.udf.CIQ(A2208, "IQ_TOTAL_DEBT_REPAID",IQ_FY))</f>
        <v>-20</v>
      </c>
      <c r="O2217" s="15">
        <f t="shared" si="589"/>
        <v>-0.53378156750828898</v>
      </c>
      <c r="P2217" s="15">
        <f t="shared" si="590"/>
        <v>2.7943998840626434</v>
      </c>
      <c r="Q2217" s="25" t="s">
        <v>44</v>
      </c>
      <c r="R2217" s="38" t="s">
        <v>35</v>
      </c>
      <c r="S2217" s="1">
        <f>_xll.ciqfunctions.udf.CIQ(A2208,"IQ_TEV_EBITDA")</f>
        <v>13.57424</v>
      </c>
      <c r="U2217" s="25" t="s">
        <v>55</v>
      </c>
      <c r="V2217" s="38" t="s">
        <v>53</v>
      </c>
      <c r="W2217" s="1">
        <f>V2207/(AVERAGE(D2213:D2218)/_xlfn.STDEV.P(E2213:E2218))</f>
        <v>0.76760726261450474</v>
      </c>
      <c r="Y2217" s="25" t="s">
        <v>57</v>
      </c>
      <c r="Z2217" s="38" t="s">
        <v>53</v>
      </c>
      <c r="AA2217" s="1">
        <f>Z2207/(AVERAGE(D2213:D2218)/_xlfn.STDEV.P(E2213:E2218))</f>
        <v>0.76760726261450474</v>
      </c>
    </row>
    <row r="2218" spans="1:27">
      <c r="B2218" s="13">
        <v>11</v>
      </c>
      <c r="C2218" s="20" t="s">
        <v>36</v>
      </c>
      <c r="D2218" s="21" cm="1">
        <f t="array" ref="D2218">_xlfn.SINGLE(IF(A2216=A2217,_xll.ciqfunctions.udf.CIQ(A2208,"IQ_TOTAL_REV",IQ_FY)/I2218, _xll.ciqfunctions.udf.CIQ(A2208, "IQ_TOTAL_REV",IQ_LTM)/I2218))</f>
        <v>46.707300782765117</v>
      </c>
      <c r="E2218" s="22">
        <f t="shared" si="591"/>
        <v>-5.167871280821263E-2</v>
      </c>
      <c r="F2218" s="21">
        <f>IF(A2216=A2217,_xll.ciqfunctions.udf.CIQ(A2208,"IQ_DILUT_EPS_EXCL",IQ_FY), _xll.ciqfunctions.udf.CIQ(A2208, "IQ_DILUT_EPS_EXCL",IQ_LTM))</f>
        <v>3.64893</v>
      </c>
      <c r="G2218" s="21">
        <f>IF(A2216=A2217,_xll.ciqfunctions.udf.CIQ(A2208,"IQ_EBITDA_MARGIN",IQ_FY), _xll.ciqfunctions.udf.CIQ(A2208, "IQ_EBITDA_MARGIN",IQ_LTM))</f>
        <v>13.829499999999999</v>
      </c>
      <c r="H2218" s="21">
        <f>IF(A2216=A2217,_xll.ciqfunctions.udf.CIQ(A2208,"IQ_TOTAL_DIV_PAID_CF",IQ_FY)/-I2218, _xll.ciqfunctions.udf.CIQ(A2208, "IQ_TOTAL_DIV_PAID_CF",IQ_LTM)/-I2218)</f>
        <v>0.40822775133272854</v>
      </c>
      <c r="I2218" s="23">
        <f>IF(A2216=A2217,_xll.ciqfunctions.udf.CIQ(A2208,"IQ_TOTAL_OUTSTANDING_FILING_DATE",IQ_FY),_xll.ciqfunctions.udf.CIQ(A2208,"IQ_sharesoutstanding"))</f>
        <v>37.280659999999997</v>
      </c>
      <c r="J2218" s="23">
        <f>IF(A2216=A2217,_xll.ciqfunctions.udf.CIQ(A2208,"IQ_CASH_OPER",IQ_FY), _xll.ciqfunctions.udf.CIQ(A2208, "IQ_CASH_OPER",IQ_LTM))</f>
        <v>195.619</v>
      </c>
      <c r="K2218" s="23">
        <f>IF(A2216=A2217,_xll.ciqfunctions.udf.CIQ(A2208,"IQ_CAPEX",IQ_FY), _xll.ciqfunctions.udf.CIQ(A2208, "IQ_CAPEX",IQ_LTM))</f>
        <v>-66.16</v>
      </c>
      <c r="L2218" s="21">
        <f t="shared" si="588"/>
        <v>3.4725511833749727</v>
      </c>
      <c r="M2218" s="23">
        <f>IF(A2216=A2217,_xll.ciqfunctions.udf.CIQ(A2208,"IQ_TOTAL_DEBT_ISSUED",IQ_FY), _xll.ciqfunctions.udf.CIQ(A2208, "IQ_TOTAL_DEBT_ISSUED",IQ_LTM))</f>
        <v>575</v>
      </c>
      <c r="N2218" s="23">
        <f>IF(A2216=A2217,_xll.ciqfunctions.udf.CIQ(A2208,"IQ_TOTAL_DEBT_REPAID",IQ_FY), _xll.ciqfunctions.udf.CIQ(A2208, "IQ_TOTAL_DEBT_REPAID",IQ_LTM))</f>
        <v>-32.984999999999999</v>
      </c>
      <c r="O2218" s="21">
        <f t="shared" si="589"/>
        <v>14.538771577541814</v>
      </c>
      <c r="P2218" s="21">
        <f t="shared" si="590"/>
        <v>18.011322760916787</v>
      </c>
      <c r="Q2218" s="25" t="s">
        <v>45</v>
      </c>
      <c r="S2218" s="45"/>
      <c r="U2218" s="25"/>
      <c r="W2218" s="45"/>
      <c r="Y2218" s="25"/>
      <c r="AA2218" s="45"/>
    </row>
    <row r="2219" spans="1:27">
      <c r="B2219" s="24"/>
      <c r="C2219" s="25" t="s">
        <v>37</v>
      </c>
      <c r="E2219" s="26">
        <f>((D2218/D2213)^(1/5))-1</f>
        <v>0.19940512497958784</v>
      </c>
      <c r="F2219" s="27">
        <f>((F2218/F2213)^(1/5))-1</f>
        <v>-4.9181933840942715E-3</v>
      </c>
      <c r="G2219" s="28"/>
      <c r="H2219" s="27" t="e">
        <f>((H2218/H2213)^(1/5))-1</f>
        <v>#DIV/0!</v>
      </c>
      <c r="I2219" s="27">
        <f>((I2218/I2213)^(1/5))-1</f>
        <v>-4.8809456094806025E-3</v>
      </c>
      <c r="J2219" s="27"/>
      <c r="K2219" s="27"/>
      <c r="L2219" s="26">
        <f>((L2218/L2213)^(1/5))-1</f>
        <v>2.6197997460204459E-3</v>
      </c>
      <c r="M2219" s="26"/>
      <c r="N2219" s="26"/>
      <c r="O2219" s="26"/>
      <c r="P2219" s="26">
        <f>((P2218/P2213)^(1/5))-1</f>
        <v>0.39352789753541551</v>
      </c>
      <c r="Q2219" s="18"/>
      <c r="R2219" s="36"/>
      <c r="S2219" s="45"/>
      <c r="U2219" s="18"/>
      <c r="V2219" s="36"/>
      <c r="W2219" s="45"/>
      <c r="Y2219" s="18"/>
      <c r="Z2219" s="36"/>
      <c r="AA2219" s="45"/>
    </row>
    <row r="2220" spans="1:27">
      <c r="A2220" s="29"/>
      <c r="B2220" s="30"/>
      <c r="C2220" s="31" t="s">
        <v>38</v>
      </c>
      <c r="D2220" s="29"/>
      <c r="E2220" s="32">
        <f>((D2218/D2208)^(1/10))-1</f>
        <v>0.20397483169779673</v>
      </c>
      <c r="F2220" s="33">
        <f>((F2218/F2208)^(1/10))-1</f>
        <v>9.5178273990633055E-2</v>
      </c>
      <c r="G2220" s="34"/>
      <c r="H2220" s="33" t="e">
        <f>((H2218/H2208)^(1/10))-1</f>
        <v>#DIV/0!</v>
      </c>
      <c r="I2220" s="33">
        <f>((I2218/I2208)^(1/10))-1</f>
        <v>-9.5170492556593267E-3</v>
      </c>
      <c r="J2220" s="33"/>
      <c r="K2220" s="33"/>
      <c r="L2220" s="32">
        <f>((L2218/L2208)^(1/10))-1</f>
        <v>0.15844194402091838</v>
      </c>
      <c r="M2220" s="32"/>
      <c r="N2220" s="32"/>
      <c r="O2220" s="32"/>
      <c r="P2220" s="32">
        <f>((P2218/P2208)^(1/10))-1</f>
        <v>0.36572723177858824</v>
      </c>
      <c r="Q2220" s="40"/>
      <c r="R2220" s="41"/>
      <c r="S2220" s="46"/>
      <c r="U2220" s="40"/>
      <c r="V2220" s="41"/>
      <c r="W2220" s="46"/>
      <c r="Y2220" s="40"/>
      <c r="Z2220" s="41"/>
      <c r="AA2220" s="46"/>
    </row>
    <row r="2221" spans="1:27">
      <c r="B2221" s="24"/>
      <c r="C2221" s="25"/>
      <c r="E2221" s="26"/>
      <c r="F2221" s="27"/>
      <c r="G2221" s="28"/>
      <c r="H2221" s="27"/>
      <c r="I2221" s="27"/>
      <c r="J2221" s="27"/>
      <c r="K2221" s="27"/>
      <c r="L2221" s="26"/>
      <c r="M2221" s="17"/>
      <c r="N2221" s="17"/>
      <c r="O2221" s="17"/>
      <c r="P2221" s="35"/>
      <c r="Q2221" s="18"/>
      <c r="R2221" s="36"/>
    </row>
    <row r="2222" spans="1:27">
      <c r="A2222" s="9" t="s">
        <v>0</v>
      </c>
      <c r="B2222" s="10"/>
      <c r="C2222" s="9" t="s">
        <v>1</v>
      </c>
      <c r="D2222" s="9" t="s">
        <v>2</v>
      </c>
      <c r="E2222" s="9" t="s">
        <v>3</v>
      </c>
      <c r="F2222" s="11" t="s">
        <v>4</v>
      </c>
      <c r="G2222" s="11" t="s">
        <v>5</v>
      </c>
      <c r="H2222" s="9" t="s">
        <v>6</v>
      </c>
      <c r="I2222" s="11" t="s">
        <v>7</v>
      </c>
      <c r="J2222" s="11" t="s">
        <v>8</v>
      </c>
      <c r="K2222" s="11" t="s">
        <v>9</v>
      </c>
      <c r="L2222" s="11" t="s">
        <v>10</v>
      </c>
      <c r="M2222" s="11" t="s">
        <v>11</v>
      </c>
      <c r="N2222" s="11" t="s">
        <v>12</v>
      </c>
      <c r="O2222" s="11" t="s">
        <v>13</v>
      </c>
      <c r="P2222" s="11" t="s">
        <v>14</v>
      </c>
      <c r="Q2222" s="37" t="s">
        <v>15</v>
      </c>
      <c r="R2222" s="42">
        <f>_xll.ciqfunctions.udf.CIQ(A2223,("IQ_LASTSALEPRICE"))</f>
        <v>9.2550000000000008</v>
      </c>
      <c r="S2222" s="44"/>
      <c r="U2222" s="37" t="s">
        <v>15</v>
      </c>
      <c r="V2222" s="42">
        <f>_xll.ciqfunctions.udf.CIQ(A2223,("IQ_LASTSALEPRICE"))</f>
        <v>9.2550000000000008</v>
      </c>
      <c r="W2222" s="44"/>
      <c r="Y2222" s="37" t="s">
        <v>15</v>
      </c>
      <c r="Z2222" s="42">
        <f>_xll.ciqfunctions.udf.CIQ(A2223,("IQ_LASTSALEPRICE"))</f>
        <v>9.2550000000000008</v>
      </c>
      <c r="AA2222" s="44"/>
    </row>
    <row r="2223" spans="1:27">
      <c r="A2223" s="12" t="str">
        <f>Analysis!B150</f>
        <v>NYSE:ARLO</v>
      </c>
      <c r="B2223" s="13">
        <v>1</v>
      </c>
      <c r="C2223" s="14" t="s">
        <v>16</v>
      </c>
      <c r="D2223" s="15" t="e">
        <f>IF(A2231=A2232,_xll.ciqfunctions.udf.CIQ(A2223,"IQ_TOTAL_REV",IQ_FY-10)/I2223,_xll.ciqfunctions.udf.CIQ(A2223, "IQ_TOTAL_REV",IQ_FY-9)/I2223)</f>
        <v>#DIV/0!</v>
      </c>
      <c r="E2223" s="16"/>
      <c r="F2223" s="15">
        <f>IF(A2231=A2232,_xll.ciqfunctions.udf.CIQ(A2223,"IQ_DILUT_EPS_EXCL",IQ_FY-10), _xll.ciqfunctions.udf.CIQ(A2223, "IQ_DILUT_EPS_EXCL",IQ_FY-9))</f>
        <v>0</v>
      </c>
      <c r="G2223" s="15">
        <f>IF(A2231=A2232,_xll.ciqfunctions.udf.CIQ(A2223,"IQ_EBITDA_MARGIN",IQ_FY-10), _xll.ciqfunctions.udf.CIQ(A2223, "IQ_EBITDA_MARGIN",IQ_FY-9))</f>
        <v>0</v>
      </c>
      <c r="H2223" s="15" t="e">
        <f>IF(A2231=A2232,_xll.ciqfunctions.udf.CIQ(A2223,"IQ_TOTAL_DIV_PAID_CF",IQ_FY-10)/-I2223, _xll.ciqfunctions.udf.CIQ(A2223, "IQ_TOTAL_DIV_PAID_CF",IQ_FY-9)/-I2223)</f>
        <v>#DIV/0!</v>
      </c>
      <c r="I2223" s="17">
        <f>IF(A2231=A2232,_xll.ciqfunctions.udf.CIQ(A2223,"IQ_TOTAL_OUTSTANDING_FILING_DATE",IQ_FY-10), _xll.ciqfunctions.udf.CIQ(A2223, "IQ_TOTAL_OUTSTANDING_FILING_DATE",IQ_FY-9))</f>
        <v>0</v>
      </c>
      <c r="J2223" s="17">
        <f>IF(A2231=A2232,_xll.ciqfunctions.udf.CIQ(A2223,"IQ_CASH_OPER",IQ_FY-10), _xll.ciqfunctions.udf.CIQ(A2223, "IQ_CASH_OPER",IQ_FY-9))</f>
        <v>0</v>
      </c>
      <c r="K2223" s="17">
        <f>IF(A2231=A2232,_xll.ciqfunctions.udf.CIQ(A2223,"IQ_CAPEX",IQ_FY-10), _xll.ciqfunctions.udf.CIQ(A2223, "IQ_CAPEX",IQ_FY-9))</f>
        <v>0</v>
      </c>
      <c r="L2223" s="15" t="e">
        <f t="shared" ref="L2223:L2233" si="592">(J2223+K2223)/I2223</f>
        <v>#DIV/0!</v>
      </c>
      <c r="M2223" s="17">
        <f>IF(A2231=A2232,_xll.ciqfunctions.udf.CIQ(A2223,"IQ_TOTAL_DEBT_ISSUED",IQ_FY-10), _xll.ciqfunctions.udf.CIQ(A2223, "IQ_TOTAL_DEBT_ISSUED",IQ_FY-9))</f>
        <v>0</v>
      </c>
      <c r="N2223" s="17">
        <f>IF(A2231=A2232,_xll.ciqfunctions.udf.CIQ(A2223,"IQ_TOTAL_DEBT_REPAID",IQ_FY-10), _xll.ciqfunctions.udf.CIQ(A2223, "IQ_TOTAL_DEBT_REPAID",IQ_FY-9))</f>
        <v>0</v>
      </c>
      <c r="O2223" s="15" t="e">
        <f t="shared" ref="O2223:O2233" si="593">(M2223+N2223)/I2223</f>
        <v>#DIV/0!</v>
      </c>
      <c r="P2223" s="15" t="e">
        <f t="shared" ref="P2223:P2233" si="594">L2223+O2223</f>
        <v>#DIV/0!</v>
      </c>
      <c r="W2223" s="43"/>
      <c r="AA2223" s="43"/>
    </row>
    <row r="2224" spans="1:27">
      <c r="A2224" s="18" t="str">
        <f>_xll.ciqfunctions.udf.CIQ(A2223,"IQ_COMPANY_NAME")</f>
        <v>Arlo Technologies, Inc.</v>
      </c>
      <c r="B2224" s="13">
        <v>2</v>
      </c>
      <c r="C2224" s="14" t="s">
        <v>17</v>
      </c>
      <c r="D2224" s="15" t="e">
        <f>IF(A2231=A2232,_xll.ciqfunctions.udf.CIQ(A2223,"IQ_TOTAL_REV",IQ_FY-9)/I2224, _xll.ciqfunctions.udf.CIQ(A2223, "IQ_TOTAL_REV",IQ_FY-8)/I2224)</f>
        <v>#DIV/0!</v>
      </c>
      <c r="E2224" s="16" t="e">
        <f t="shared" ref="E2224:E2233" si="595">(D2224-D2223)/D2223</f>
        <v>#DIV/0!</v>
      </c>
      <c r="F2224" s="15">
        <f>IF(A2231=A2232,_xll.ciqfunctions.udf.CIQ(A2223,"IQ_DILUT_EPS_EXCL",IQ_FY-9), _xll.ciqfunctions.udf.CIQ(A2223, "IQ_DILUT_EPS_EXCL",IQ_FY-8))</f>
        <v>0</v>
      </c>
      <c r="G2224" s="15">
        <f>IF(A2231=A2232,_xll.ciqfunctions.udf.CIQ(A2223,"IQ_EBITDA_MARGIN",IQ_FY-9), _xll.ciqfunctions.udf.CIQ(A2223, "IQ_EBITDA_MARGIN",IQ_FY-8))</f>
        <v>0</v>
      </c>
      <c r="H2224" s="15" t="e">
        <f>IF(A2231=A2232,_xll.ciqfunctions.udf.CIQ(A2223,"IQ_TOTAL_DIV_PAID_CF",IQ_FY-9)/-I2224, _xll.ciqfunctions.udf.CIQ(A2223, "IQ_TOTAL_DIV_PAID_CF",IQ_FY-8)/-I2224)</f>
        <v>#DIV/0!</v>
      </c>
      <c r="I2224" s="17">
        <f>IF(A2231=A2232,_xll.ciqfunctions.udf.CIQ(A2223,"IQ_TOTAL_OUTSTANDING_FILING_DATE",IQ_FY-9), _xll.ciqfunctions.udf.CIQ(A2223, "IQ_TOTAL_OUTSTANDING_FILING_DATE",IQ_FY-8))</f>
        <v>0</v>
      </c>
      <c r="J2224" s="17">
        <f>IF(A2231=A2232,_xll.ciqfunctions.udf.CIQ(A2223,"IQ_CASH_OPER",IQ_FY-9), _xll.ciqfunctions.udf.CIQ(A2223, "IQ_CASH_OPER",IQ_FY-8))</f>
        <v>0</v>
      </c>
      <c r="K2224" s="17">
        <f>IF(A2231=A2232,_xll.ciqfunctions.udf.CIQ(A2223,"IQ_CAPEX",IQ_FY-9), _xll.ciqfunctions.udf.CIQ(A2223, "IQ_CAPEX",IQ_FY-8))</f>
        <v>0</v>
      </c>
      <c r="L2224" s="15" t="e">
        <f t="shared" si="592"/>
        <v>#DIV/0!</v>
      </c>
      <c r="M2224" s="17">
        <f>IF(A2231=A2232,_xll.ciqfunctions.udf.CIQ(A2223,"IQ_TOTAL_DEBT_ISSUED",IQ_FY-9), _xll.ciqfunctions.udf.CIQ(A2223, "IQ_TOTAL_DEBT_ISSUED",IQ_FY-8))</f>
        <v>0</v>
      </c>
      <c r="N2224" s="17">
        <f>IF(A2231=A2232,_xll.ciqfunctions.udf.CIQ(A2223,"IQ_TOTAL_DEBT_REPAID",IQ_FY-9), _xll.ciqfunctions.udf.CIQ(A2223, "IQ_TOTAL_DEBT_REPAID",IQ_FY-8))</f>
        <v>0</v>
      </c>
      <c r="O2224" s="15" t="e">
        <f t="shared" si="593"/>
        <v>#DIV/0!</v>
      </c>
      <c r="P2224" s="15" t="e">
        <f t="shared" si="594"/>
        <v>#DIV/0!</v>
      </c>
      <c r="Q2224" s="25" t="s">
        <v>18</v>
      </c>
      <c r="R2224" s="39" t="s">
        <v>19</v>
      </c>
      <c r="S2224" s="1">
        <f>R2222/((AVERAGE(P2228:P2233))*(1+E2234)^3)</f>
        <v>-35.339362707828101</v>
      </c>
      <c r="U2224" s="25" t="s">
        <v>48</v>
      </c>
      <c r="V2224" s="39" t="s">
        <v>19</v>
      </c>
      <c r="W2224" s="1">
        <f>V2222/((AVERAGE(P2228:P2233))*(1+E2234)^3)</f>
        <v>-35.339362707828101</v>
      </c>
      <c r="Y2224" s="25" t="s">
        <v>39</v>
      </c>
      <c r="Z2224" s="39" t="s">
        <v>19</v>
      </c>
      <c r="AA2224" s="1">
        <f>Z2222/((AVERAGE(P2228:P2233))*(1+E2234)^3)</f>
        <v>-35.339362707828101</v>
      </c>
    </row>
    <row r="2225" spans="1:27">
      <c r="B2225" s="13">
        <v>3</v>
      </c>
      <c r="C2225" s="14" t="s">
        <v>20</v>
      </c>
      <c r="D2225" s="15" t="e" cm="1">
        <f t="array" ref="D2225">_xlfn.SINGLE(IF(A2231=A2232,_xll.ciqfunctions.udf.CIQ(A2223,"IQ_TOTAL_REV",IQ_FY-8)/I2225, _xll.ciqfunctions.udf.CIQ(A2223, "IQ_TOTAL_REV",IQ_FY-7)/I2225))</f>
        <v>#DIV/0!</v>
      </c>
      <c r="E2225" s="16" t="e">
        <f t="shared" si="595"/>
        <v>#DIV/0!</v>
      </c>
      <c r="F2225" s="15">
        <f>IF(A2231=A2232,_xll.ciqfunctions.udf.CIQ(A2223,"IQ_DILUT_EPS_EXCL",IQ_FY-8), _xll.ciqfunctions.udf.CIQ(A2223, "IQ_DILUT_EPS_EXCL",IQ_FY-7))</f>
        <v>0</v>
      </c>
      <c r="G2225" s="15">
        <f>IF(A2231=A2232,_xll.ciqfunctions.udf.CIQ(A2223,"IQ_EBITDA_MARGIN",IQ_FY-8), _xll.ciqfunctions.udf.CIQ(A2223, "IQ_EBITDA_MARGIN",IQ_FY-7))</f>
        <v>0</v>
      </c>
      <c r="H2225" s="15" t="e">
        <f>IF(A2231=A2232,_xll.ciqfunctions.udf.CIQ(A2223,"IQ_TOTAL_DIV_PAID_CF",IQ_FY-8)/-I2225, _xll.ciqfunctions.udf.CIQ(A2223, "IQ_TOTAL_DIV_PAID_CF",IQ_FY-7)/-I2225)</f>
        <v>#DIV/0!</v>
      </c>
      <c r="I2225" s="17">
        <f>IF(A2231=A2232,_xll.ciqfunctions.udf.CIQ(A2223,"IQ_TOTAL_OUTSTANDING_FILING_DATE",IQ_FY-8), _xll.ciqfunctions.udf.CIQ(A2223, "IQ_TOTAL_OUTSTANDING_FILING_DATE",IQ_FY-7))</f>
        <v>0</v>
      </c>
      <c r="J2225" s="17">
        <f>IF(A2231=A2232,_xll.ciqfunctions.udf.CIQ(A2223,"IQ_CASH_OPER",IQ_FY-8), _xll.ciqfunctions.udf.CIQ(A2223, "IQ_CASH_OPER",IQ_FY-7))</f>
        <v>0</v>
      </c>
      <c r="K2225" s="17">
        <f>IF(A2231=A2232,_xll.ciqfunctions.udf.CIQ(A2223,"IQ_CAPEX",IQ_FY-8), _xll.ciqfunctions.udf.CIQ(A2223, "IQ_CAPEX",IQ_FY-7))</f>
        <v>0</v>
      </c>
      <c r="L2225" s="15" t="e">
        <f t="shared" si="592"/>
        <v>#DIV/0!</v>
      </c>
      <c r="M2225" s="17">
        <f>IF(A2231=A2232,_xll.ciqfunctions.udf.CIQ(A2223,"IQ_TOTAL_DEBT_ISSUED",IQ_FY-8), _xll.ciqfunctions.udf.CIQ(A2223, "IQ_TOTAL_DEBT_ISSUED",IQ_FY-7))</f>
        <v>0</v>
      </c>
      <c r="N2225" s="17">
        <f>IF(A2231=A2232,_xll.ciqfunctions.udf.CIQ(A2223,"IQ_TOTAL_DEBT_REPAID",IQ_FY-8), _xll.ciqfunctions.udf.CIQ(A2223, "IQ_TOTAL_DEBT_REPAID",IQ_FY-7))</f>
        <v>0</v>
      </c>
      <c r="O2225" s="15" t="e">
        <f t="shared" si="593"/>
        <v>#DIV/0!</v>
      </c>
      <c r="P2225" s="15" t="e">
        <f t="shared" si="594"/>
        <v>#DIV/0!</v>
      </c>
      <c r="Q2225" s="25" t="s">
        <v>21</v>
      </c>
      <c r="R2225" s="38" t="s">
        <v>49</v>
      </c>
      <c r="S2225" s="2">
        <f>(R2222*I2233)/1000</f>
        <v>0.87578778555000003</v>
      </c>
      <c r="U2225" s="25" t="s">
        <v>59</v>
      </c>
      <c r="V2225" s="38" t="s">
        <v>49</v>
      </c>
      <c r="W2225" s="2">
        <f>(V2222*I2233)/1000</f>
        <v>0.87578778555000003</v>
      </c>
      <c r="Y2225" s="25" t="s">
        <v>46</v>
      </c>
      <c r="Z2225" s="38" t="s">
        <v>49</v>
      </c>
      <c r="AA2225" s="2">
        <f>(Z2222*I2233)/1000</f>
        <v>0.87578778555000003</v>
      </c>
    </row>
    <row r="2226" spans="1:27">
      <c r="A2226" s="18"/>
      <c r="B2226" s="13">
        <v>4</v>
      </c>
      <c r="C2226" s="14" t="s">
        <v>22</v>
      </c>
      <c r="D2226" s="15" cm="1">
        <f t="array" ref="D2226">_xlfn.SINGLE(IF(A2231=A2232,_xll.ciqfunctions.udf.CIQ(A2223,"IQ_TOTAL_REV",IQ_FY-7)/I2226, _xll.ciqfunctions.udf.CIQ(A2223, "IQ_TOTAL_REV",IQ_FY-6)/I2226))</f>
        <v>2.9655261044176711</v>
      </c>
      <c r="E2226" s="16" t="e">
        <f t="shared" si="595"/>
        <v>#DIV/0!</v>
      </c>
      <c r="F2226" s="15">
        <f>IF(A2231=A2232,_xll.ciqfunctions.udf.CIQ(A2223,"IQ_DILUT_EPS_EXCL",IQ_FY-7), _xll.ciqfunctions.udf.CIQ(A2223, "IQ_DILUT_EPS_EXCL",IQ_FY-6))</f>
        <v>-0.22076999999999999</v>
      </c>
      <c r="G2226" s="15">
        <f>IF(A2231=A2232,_xll.ciqfunctions.udf.CIQ(A2223,"IQ_EBITDA_MARGIN",IQ_FY-7), _xll.ciqfunctions.udf.CIQ(A2223, "IQ_EBITDA_MARGIN",IQ_FY-6))</f>
        <v>-5.9695</v>
      </c>
      <c r="H2226" s="15">
        <f>IF(A2231=A2232,_xll.ciqfunctions.udf.CIQ(A2223,"IQ_TOTAL_DIV_PAID_CF",IQ_FY-7)/-I2226, _xll.ciqfunctions.udf.CIQ(A2223, "IQ_TOTAL_DIV_PAID_CF",IQ_FY-6)/-I2226)</f>
        <v>0</v>
      </c>
      <c r="I2226" s="17">
        <f>IF(A2231=A2232,_xll.ciqfunctions.udf.CIQ(A2223,"IQ_TOTAL_OUTSTANDING_FILING_DATE",IQ_FY-7), _xll.ciqfunctions.udf.CIQ(A2223, "IQ_TOTAL_OUTSTANDING_FILING_DATE",IQ_FY-6))</f>
        <v>62.25</v>
      </c>
      <c r="J2226" s="17">
        <f>IF(A2231=A2232,_xll.ciqfunctions.udf.CIQ(A2223,"IQ_CASH_OPER",IQ_FY-7), _xll.ciqfunctions.udf.CIQ(A2223, "IQ_CASH_OPER",IQ_FY-6))</f>
        <v>-33.07</v>
      </c>
      <c r="K2226" s="17">
        <f>IF(A2231=A2232,_xll.ciqfunctions.udf.CIQ(A2223,"IQ_CAPEX",IQ_FY-7), _xll.ciqfunctions.udf.CIQ(A2223, "IQ_CAPEX",IQ_FY-6))</f>
        <v>-1.482</v>
      </c>
      <c r="L2226" s="15">
        <f t="shared" si="592"/>
        <v>-0.55505220883534134</v>
      </c>
      <c r="M2226" s="17">
        <f>IF(A2231=A2232,_xll.ciqfunctions.udf.CIQ(A2223,"IQ_TOTAL_DEBT_ISSUED",IQ_FY-7), _xll.ciqfunctions.udf.CIQ(A2223, "IQ_TOTAL_DEBT_ISSUED",IQ_FY-6))</f>
        <v>0</v>
      </c>
      <c r="N2226" s="17">
        <f>IF(A2231=A2232,_xll.ciqfunctions.udf.CIQ(A2223,"IQ_TOTAL_DEBT_REPAID",IQ_FY-7), _xll.ciqfunctions.udf.CIQ(A2223, "IQ_TOTAL_DEBT_REPAID",IQ_FY-6))</f>
        <v>0</v>
      </c>
      <c r="O2226" s="15">
        <f t="shared" si="593"/>
        <v>0</v>
      </c>
      <c r="P2226" s="15">
        <f t="shared" si="594"/>
        <v>-0.55505220883534134</v>
      </c>
      <c r="Q2226" s="25" t="s">
        <v>23</v>
      </c>
      <c r="R2226" s="38" t="s">
        <v>24</v>
      </c>
      <c r="S2226" s="1" t="e">
        <f>R2222/(AVERAGE(H2228:H2233)*(1+H2234)/(0.5-H2234))</f>
        <v>#DIV/0!</v>
      </c>
      <c r="U2226" s="25" t="s">
        <v>40</v>
      </c>
      <c r="V2226" s="38" t="s">
        <v>24</v>
      </c>
      <c r="W2226" s="1" t="e">
        <f>V2222/(AVERAGE(H2228:H2233)*(1+H2234)/(0.5-H2234))</f>
        <v>#DIV/0!</v>
      </c>
      <c r="Y2226" s="25" t="s">
        <v>47</v>
      </c>
      <c r="Z2226" s="38" t="s">
        <v>24</v>
      </c>
      <c r="AA2226" s="1" t="e">
        <f>Z2222/(AVERAGE(H2228:H2233)*(1+H2234)/(0.5-H2234))</f>
        <v>#DIV/0!</v>
      </c>
    </row>
    <row r="2227" spans="1:27">
      <c r="B2227" s="13">
        <v>5</v>
      </c>
      <c r="C2227" s="14" t="s">
        <v>25</v>
      </c>
      <c r="D2227" s="15" cm="1">
        <f t="array" ref="D2227">_xlfn.SINGLE(IF(A2231=A2232,_xll.ciqfunctions.udf.CIQ(A2223,"IQ_TOTAL_REV",IQ_FY-6)/I2227, _xll.ciqfunctions.udf.CIQ(A2223, "IQ_TOTAL_REV",IQ_FY-5)/I2227))</f>
        <v>5.9543453815261049</v>
      </c>
      <c r="E2227" s="16">
        <f t="shared" si="595"/>
        <v>1.0078546510368138</v>
      </c>
      <c r="F2227" s="15">
        <f>IF(A2231=A2232,_xll.ciqfunctions.udf.CIQ(A2223,"IQ_DILUT_EPS_EXCL",IQ_FY-6), _xll.ciqfunctions.udf.CIQ(A2223, "IQ_DILUT_EPS_EXCL",IQ_FY-5))</f>
        <v>0.1052</v>
      </c>
      <c r="G2227" s="15">
        <f>IF(A2231=A2232,_xll.ciqfunctions.udf.CIQ(A2223,"IQ_EBITDA_MARGIN",IQ_FY-6), _xll.ciqfunctions.udf.CIQ(A2223, "IQ_EBITDA_MARGIN",IQ_FY-5))</f>
        <v>2.9285000000000001</v>
      </c>
      <c r="H2227" s="15">
        <f>IF(A2231=A2232,_xll.ciqfunctions.udf.CIQ(A2223,"IQ_TOTAL_DIV_PAID_CF",IQ_FY-6)/-I2227, _xll.ciqfunctions.udf.CIQ(A2223, "IQ_TOTAL_DIV_PAID_CF",IQ_FY-5)/-I2227)</f>
        <v>0</v>
      </c>
      <c r="I2227" s="17">
        <f>IF(A2231=A2232,_xll.ciqfunctions.udf.CIQ(A2223,"IQ_TOTAL_OUTSTANDING_FILING_DATE",IQ_FY-6), _xll.ciqfunctions.udf.CIQ(A2223, "IQ_TOTAL_OUTSTANDING_FILING_DATE",IQ_FY-5))</f>
        <v>62.25</v>
      </c>
      <c r="J2227" s="17">
        <f>IF(A2231=A2232,_xll.ciqfunctions.udf.CIQ(A2223,"IQ_CASH_OPER",IQ_FY-6), _xll.ciqfunctions.udf.CIQ(A2223, "IQ_CASH_OPER",IQ_FY-5))</f>
        <v>-38.984999999999999</v>
      </c>
      <c r="K2227" s="17">
        <f>IF(A2231=A2232,_xll.ciqfunctions.udf.CIQ(A2223,"IQ_CAPEX",IQ_FY-6), _xll.ciqfunctions.udf.CIQ(A2223, "IQ_CAPEX",IQ_FY-5))</f>
        <v>-3.5779999999999998</v>
      </c>
      <c r="L2227" s="15">
        <f t="shared" si="592"/>
        <v>-0.68374297188755029</v>
      </c>
      <c r="M2227" s="17">
        <f>IF(A2231=A2232,_xll.ciqfunctions.udf.CIQ(A2223,"IQ_TOTAL_DEBT_ISSUED",IQ_FY-6), _xll.ciqfunctions.udf.CIQ(A2223, "IQ_TOTAL_DEBT_ISSUED",IQ_FY-5))</f>
        <v>0</v>
      </c>
      <c r="N2227" s="17">
        <f>IF(A2231=A2232,_xll.ciqfunctions.udf.CIQ(A2223,"IQ_TOTAL_DEBT_REPAID",IQ_FY-6), _xll.ciqfunctions.udf.CIQ(A2223, "IQ_TOTAL_DEBT_REPAID",IQ_FY-5))</f>
        <v>0</v>
      </c>
      <c r="O2227" s="15">
        <f t="shared" si="593"/>
        <v>0</v>
      </c>
      <c r="P2227" s="15">
        <f t="shared" si="594"/>
        <v>-0.68374297188755029</v>
      </c>
      <c r="Q2227" s="18"/>
      <c r="R2227" s="38" t="s">
        <v>50</v>
      </c>
      <c r="S2227" s="3">
        <f>I2234</f>
        <v>4.9685334134168313E-2</v>
      </c>
      <c r="U2227" s="18"/>
      <c r="V2227" s="38" t="s">
        <v>50</v>
      </c>
      <c r="W2227" s="3">
        <f>I2234</f>
        <v>4.9685334134168313E-2</v>
      </c>
      <c r="Y2227" s="18"/>
      <c r="Z2227" s="38" t="s">
        <v>50</v>
      </c>
      <c r="AA2227" s="3">
        <f>I2234</f>
        <v>4.9685334134168313E-2</v>
      </c>
    </row>
    <row r="2228" spans="1:27">
      <c r="B2228" s="13">
        <v>6</v>
      </c>
      <c r="C2228" s="14" t="s">
        <v>26</v>
      </c>
      <c r="D2228" s="15" cm="1">
        <f t="array" ref="D2228">_xlfn.SINGLE(IF(A2231=A2232,_xll.ciqfunctions.udf.CIQ(A2223,"IQ_TOTAL_REV",IQ_FY-5)/I2228, _xll.ciqfunctions.udf.CIQ(A2223, "IQ_TOTAL_REV",IQ_FY-4)/I2228))</f>
        <v>6.2610842420576933</v>
      </c>
      <c r="E2228" s="16">
        <f t="shared" si="595"/>
        <v>5.151512733595761E-2</v>
      </c>
      <c r="F2228" s="15">
        <f>IF(A2231=A2232,_xll.ciqfunctions.udf.CIQ(A2223,"IQ_DILUT_EPS_EXCL",IQ_FY-5), _xll.ciqfunctions.udf.CIQ(A2223, "IQ_DILUT_EPS_EXCL",IQ_FY-4))</f>
        <v>-1.1227400000000001</v>
      </c>
      <c r="G2228" s="15">
        <f>IF(A2231=A2232,_xll.ciqfunctions.udf.CIQ(A2223,"IQ_EBITDA_MARGIN",IQ_FY-5), _xll.ciqfunctions.udf.CIQ(A2223, "IQ_EBITDA_MARGIN",IQ_FY-4))</f>
        <v>-9.0798000000000005</v>
      </c>
      <c r="H2228" s="15">
        <f>IF(A2231=A2232,_xll.ciqfunctions.udf.CIQ(A2223,"IQ_TOTAL_DIV_PAID_CF",IQ_FY-5)/-I2228, _xll.ciqfunctions.udf.CIQ(A2223, "IQ_TOTAL_DIV_PAID_CF",IQ_FY-4)/-I2228)</f>
        <v>0</v>
      </c>
      <c r="I2228" s="17">
        <f>IF(A2231=A2232,_xll.ciqfunctions.udf.CIQ(A2223,"IQ_TOTAL_OUTSTANDING_FILING_DATE",IQ_FY-5), _xll.ciqfunctions.udf.CIQ(A2223, "IQ_TOTAL_OUTSTANDING_FILING_DATE",IQ_FY-4))</f>
        <v>74.255189999999999</v>
      </c>
      <c r="J2228" s="17">
        <f>IF(A2231=A2232,_xll.ciqfunctions.udf.CIQ(A2223,"IQ_CASH_OPER",IQ_FY-5), _xll.ciqfunctions.udf.CIQ(A2223, "IQ_CASH_OPER",IQ_FY-4))</f>
        <v>-17.686</v>
      </c>
      <c r="K2228" s="17">
        <f>IF(A2231=A2232,_xll.ciqfunctions.udf.CIQ(A2223,"IQ_CAPEX",IQ_FY-5), _xll.ciqfunctions.udf.CIQ(A2223, "IQ_CAPEX",IQ_FY-4))</f>
        <v>-21.666</v>
      </c>
      <c r="L2228" s="15">
        <f t="shared" si="592"/>
        <v>-0.52995622258861641</v>
      </c>
      <c r="M2228" s="17">
        <f>IF(A2231=A2232,_xll.ciqfunctions.udf.CIQ(A2223,"IQ_TOTAL_DEBT_ISSUED",IQ_FY-5), _xll.ciqfunctions.udf.CIQ(A2223, "IQ_TOTAL_DEBT_ISSUED",IQ_FY-4))</f>
        <v>0</v>
      </c>
      <c r="N2228" s="17">
        <f>IF(A2231=A2232,_xll.ciqfunctions.udf.CIQ(A2223,"IQ_TOTAL_DEBT_REPAID",IQ_FY-5), _xll.ciqfunctions.udf.CIQ(A2223, "IQ_TOTAL_DEBT_REPAID",IQ_FY-4))</f>
        <v>0</v>
      </c>
      <c r="O2228" s="15">
        <f t="shared" si="593"/>
        <v>0</v>
      </c>
      <c r="P2228" s="15">
        <f t="shared" si="594"/>
        <v>-0.52995622258861641</v>
      </c>
      <c r="Q2228" s="25" t="s">
        <v>27</v>
      </c>
      <c r="R2228" s="38" t="s">
        <v>51</v>
      </c>
      <c r="S2228" s="4">
        <f>AVERAGE(F2228:F2233)/AVERAGE(D2228:D2233)</f>
        <v>-0.17307608826729076</v>
      </c>
      <c r="U2228" s="25" t="s">
        <v>58</v>
      </c>
      <c r="V2228" s="38" t="s">
        <v>51</v>
      </c>
      <c r="W2228" s="4">
        <f>AVERAGE(F2228:F2233)/AVERAGE(D2228:D2233)</f>
        <v>-0.17307608826729076</v>
      </c>
      <c r="Y2228" s="25" t="s">
        <v>56</v>
      </c>
      <c r="Z2228" s="38" t="s">
        <v>51</v>
      </c>
      <c r="AA2228" s="4">
        <f>AVERAGE(F2228:F2233)/AVERAGE(D2228:D2233)</f>
        <v>-0.17307608826729076</v>
      </c>
    </row>
    <row r="2229" spans="1:27">
      <c r="A2229" s="18"/>
      <c r="B2229" s="13">
        <v>7</v>
      </c>
      <c r="C2229" s="14" t="s">
        <v>28</v>
      </c>
      <c r="D2229" s="15" cm="1">
        <f t="array" ref="D2229">_xlfn.SINGLE(IF(A2231=A2232,_xll.ciqfunctions.udf.CIQ(A2223,"IQ_TOTAL_REV",IQ_FY-4)/I2229, _xll.ciqfunctions.udf.CIQ(A2223, "IQ_TOTAL_REV",IQ_FY-3)/I2229))</f>
        <v>4.8248501684166847</v>
      </c>
      <c r="E2229" s="16">
        <f t="shared" si="595"/>
        <v>-0.22939063237535884</v>
      </c>
      <c r="F2229" s="15">
        <f>IF(A2231=A2232,_xll.ciqfunctions.udf.CIQ(A2223,"IQ_DILUT_EPS_EXCL",IQ_FY-4), _xll.ciqfunctions.udf.CIQ(A2223, "IQ_DILUT_EPS_EXCL",IQ_FY-3))</f>
        <v>-1.1448799999999999</v>
      </c>
      <c r="G2229" s="15">
        <f>IF(A2231=A2232,_xll.ciqfunctions.udf.CIQ(A2223,"IQ_EBITDA_MARGIN",IQ_FY-4), _xll.ciqfunctions.udf.CIQ(A2223, "IQ_EBITDA_MARGIN",IQ_FY-3))</f>
        <v>-34.460900000000002</v>
      </c>
      <c r="H2229" s="15">
        <f>IF(A2231=A2232,_xll.ciqfunctions.udf.CIQ(A2223,"IQ_TOTAL_DIV_PAID_CF",IQ_FY-4)/-I2229, _xll.ciqfunctions.udf.CIQ(A2223, "IQ_TOTAL_DIV_PAID_CF",IQ_FY-3)/-I2229)</f>
        <v>0</v>
      </c>
      <c r="I2229" s="17">
        <f>IF(A2231=A2232,_xll.ciqfunctions.udf.CIQ(A2223,"IQ_TOTAL_OUTSTANDING_FILING_DATE",IQ_FY-4), _xll.ciqfunctions.udf.CIQ(A2223, "IQ_TOTAL_OUTSTANDING_FILING_DATE",IQ_FY-3))</f>
        <v>76.68777</v>
      </c>
      <c r="J2229" s="17">
        <f>IF(A2231=A2232,_xll.ciqfunctions.udf.CIQ(A2223,"IQ_CASH_OPER",IQ_FY-4), _xll.ciqfunctions.udf.CIQ(A2223, "IQ_CASH_OPER",IQ_FY-3))</f>
        <v>9.1709999999999994</v>
      </c>
      <c r="K2229" s="17">
        <f>IF(A2231=A2232,_xll.ciqfunctions.udf.CIQ(A2223,"IQ_CAPEX",IQ_FY-4), _xll.ciqfunctions.udf.CIQ(A2223, "IQ_CAPEX",IQ_FY-3))</f>
        <v>-6.6639999999999997</v>
      </c>
      <c r="L2229" s="15">
        <f t="shared" si="592"/>
        <v>3.2691001446514871E-2</v>
      </c>
      <c r="M2229" s="17">
        <f>IF(A2231=A2232,_xll.ciqfunctions.udf.CIQ(A2223,"IQ_TOTAL_DEBT_ISSUED",IQ_FY-4), _xll.ciqfunctions.udf.CIQ(A2223, "IQ_TOTAL_DEBT_ISSUED",IQ_FY-3))</f>
        <v>0</v>
      </c>
      <c r="N2229" s="17">
        <f>IF(A2231=A2232,_xll.ciqfunctions.udf.CIQ(A2223,"IQ_TOTAL_DEBT_REPAID",IQ_FY-4), _xll.ciqfunctions.udf.CIQ(A2223, "IQ_TOTAL_DEBT_REPAID",IQ_FY-3))</f>
        <v>0</v>
      </c>
      <c r="O2229" s="15">
        <f t="shared" si="593"/>
        <v>0</v>
      </c>
      <c r="P2229" s="15">
        <f t="shared" si="594"/>
        <v>3.2691001446514871E-2</v>
      </c>
      <c r="Q2229" s="18"/>
      <c r="R2229" s="38" t="s">
        <v>29</v>
      </c>
      <c r="S2229" s="4">
        <f>(AVERAGE(P2228:P2233)/_xlfn.STDEV.P(P2228:P2233))/(IF(A2231=A2232,(_xlfn.SINGLE(_xll.ciqfunctions.udf.CIQ(A2223,"IQ_total_assets",IQ_FY)) - _xlfn.SINGLE(_xll.ciqfunctions.udf.CIQ(A2223,"iq_gw_intan", IQ_FY)))/I2233, (_xlfn.SINGLE(_xll.ciqfunctions.udf.CIQ(A2223, "IQ_total_assets",IQ_LTM))-_xlfn.SINGLE(_xll.ciqfunctions.udf.CIQ(A2223,"iq_gw_intan",IQ_LTM)))/I2233))</f>
        <v>-0.32895740131509199</v>
      </c>
      <c r="U2229" s="18"/>
      <c r="V2229" s="38" t="s">
        <v>29</v>
      </c>
      <c r="W2229" s="4">
        <f>(AVERAGE(P2228:P2233)/_xlfn.STDEV.P(P2228:P2233))/(IF(A2231=A2232,(_xlfn.SINGLE(_xll.ciqfunctions.udf.CIQ(A2223,"IQ_total_assets",IQ_FY)) - _xlfn.SINGLE(_xll.ciqfunctions.udf.CIQ(A2223,"iq_gw_intan", IQ_FY)))/I2233, (_xlfn.SINGLE(_xll.ciqfunctions.udf.CIQ(A2223, "IQ_total_assets",IQ_LTM))-_xlfn.SINGLE(_xll.ciqfunctions.udf.CIQ(A2223,"iq_gw_intan",IQ_LTM)))/I2233))</f>
        <v>-0.32895740131509199</v>
      </c>
      <c r="Y2229" s="18"/>
      <c r="Z2229" s="38" t="s">
        <v>29</v>
      </c>
      <c r="AA2229" s="4">
        <f>(AVERAGE(P2228:P2233)/_xlfn.STDEV.P(P2228:P2233))/(IF(A2231=A2232,(_xlfn.SINGLE(_xll.ciqfunctions.udf.CIQ(A2223,"IQ_total_assets",IQ_FY)) - _xlfn.SINGLE(_xll.ciqfunctions.udf.CIQ(A2223,"iq_gw_intan", IQ_FY)))/I2233, (_xlfn.SINGLE(_xll.ciqfunctions.udf.CIQ(A2223, "IQ_total_assets",IQ_LTM))-_xlfn.SINGLE(_xll.ciqfunctions.udf.CIQ(A2223,"iq_gw_intan",IQ_LTM)))/I2233))</f>
        <v>-0.32895740131509199</v>
      </c>
    </row>
    <row r="2230" spans="1:27">
      <c r="A2230" s="18"/>
      <c r="B2230" s="13">
        <v>8</v>
      </c>
      <c r="C2230" s="14" t="s">
        <v>30</v>
      </c>
      <c r="D2230" s="15" cm="1">
        <f t="array" ref="D2230">_xlfn.SINGLE(IF(A2231=A2232,_xll.ciqfunctions.udf.CIQ(A2223,"IQ_TOTAL_REV",IQ_FY-3)/I2230, _xll.ciqfunctions.udf.CIQ(A2223, "IQ_TOTAL_REV",IQ_FY-2)/I2230))</f>
        <v>4.4364900856146665</v>
      </c>
      <c r="E2230" s="16">
        <f t="shared" si="595"/>
        <v>-8.0491635853111226E-2</v>
      </c>
      <c r="F2230" s="15">
        <f>IF(A2231=A2232,_xll.ciqfunctions.udf.CIQ(A2223,"IQ_DILUT_EPS_EXCL",IQ_FY-3), _xll.ciqfunctions.udf.CIQ(A2223, "IQ_DILUT_EPS_EXCL",IQ_FY-2))</f>
        <v>-1.3</v>
      </c>
      <c r="G2230" s="15">
        <f>IF(A2231=A2232,_xll.ciqfunctions.udf.CIQ(A2223,"IQ_EBITDA_MARGIN",IQ_FY-3), _xll.ciqfunctions.udf.CIQ(A2223, "IQ_EBITDA_MARGIN",IQ_FY-2))</f>
        <v>-26.503399999999999</v>
      </c>
      <c r="H2230" s="15">
        <f>IF(A2231=A2232,_xll.ciqfunctions.udf.CIQ(A2223,"IQ_TOTAL_DIV_PAID_CF",IQ_FY-3)/-I2230, _xll.ciqfunctions.udf.CIQ(A2223, "IQ_TOTAL_DIV_PAID_CF",IQ_FY-2)/-I2230)</f>
        <v>0</v>
      </c>
      <c r="I2230" s="17">
        <f>IF(A2231=A2232,_xll.ciqfunctions.udf.CIQ(A2223,"IQ_TOTAL_OUTSTANDING_FILING_DATE",IQ_FY-3), _xll.ciqfunctions.udf.CIQ(A2223, "IQ_TOTAL_OUTSTANDING_FILING_DATE",IQ_FY-2))</f>
        <v>80.503730000000004</v>
      </c>
      <c r="J2230" s="17">
        <f>IF(A2231=A2232,_xll.ciqfunctions.udf.CIQ(A2223,"IQ_CASH_OPER",IQ_FY-3), _xll.ciqfunctions.udf.CIQ(A2223, "IQ_CASH_OPER",IQ_FY-2))</f>
        <v>-46.53</v>
      </c>
      <c r="K2230" s="17">
        <f>IF(A2231=A2232,_xll.ciqfunctions.udf.CIQ(A2223,"IQ_CAPEX",IQ_FY-3), _xll.ciqfunctions.udf.CIQ(A2223, "IQ_CAPEX",IQ_FY-2))</f>
        <v>-3.8919999999999999</v>
      </c>
      <c r="L2230" s="15">
        <f t="shared" si="592"/>
        <v>-0.6263312271369289</v>
      </c>
      <c r="M2230" s="17">
        <f>IF(A2231=A2232,_xll.ciqfunctions.udf.CIQ(A2223,"IQ_TOTAL_DEBT_ISSUED",IQ_FY-3), _xll.ciqfunctions.udf.CIQ(A2223, "IQ_TOTAL_DEBT_ISSUED",IQ_FY-2))</f>
        <v>0</v>
      </c>
      <c r="N2230" s="17">
        <f>IF(A2231=A2232,_xll.ciqfunctions.udf.CIQ(A2223,"IQ_TOTAL_DEBT_REPAID",IQ_FY-3), _xll.ciqfunctions.udf.CIQ(A2223, "IQ_TOTAL_DEBT_REPAID",IQ_FY-2))</f>
        <v>0</v>
      </c>
      <c r="O2230" s="15">
        <f t="shared" si="593"/>
        <v>0</v>
      </c>
      <c r="P2230" s="15">
        <f t="shared" si="594"/>
        <v>-0.6263312271369289</v>
      </c>
      <c r="Q2230" s="18"/>
      <c r="R2230" s="39" t="s">
        <v>31</v>
      </c>
      <c r="S2230" s="5" t="e">
        <f>IF(NOT(D2223&gt;0),FALSE,SLOPE(G2223:G2233,B2223:B2233))</f>
        <v>#DIV/0!</v>
      </c>
      <c r="U2230" s="18"/>
      <c r="V2230" s="39" t="s">
        <v>31</v>
      </c>
      <c r="W2230" s="5" t="e">
        <f>IF(NOT(D2223&gt;0),FALSE,SLOPE(G2223:G2233,B2223:B2233))</f>
        <v>#DIV/0!</v>
      </c>
      <c r="Y2230" s="18"/>
      <c r="Z2230" s="39" t="s">
        <v>31</v>
      </c>
      <c r="AA2230" s="5" t="e">
        <f>IF(NOT(L2223&gt;0),FALSE,SLOPE(O2223:O2233,J2223:J2233))</f>
        <v>#DIV/0!</v>
      </c>
    </row>
    <row r="2231" spans="1:27">
      <c r="A2231" s="19">
        <f>_xll.ciqfunctions.udf.CIQ(A2223,"IQ_TOTAL_REV",IQ_FY)</f>
        <v>490.41399999999999</v>
      </c>
      <c r="B2231" s="13">
        <v>9</v>
      </c>
      <c r="C2231" s="14" t="s">
        <v>32</v>
      </c>
      <c r="D2231" s="15" cm="1">
        <f t="array" ref="D2231">_xlfn.SINGLE(IF(A2231=A2232,_xll.ciqfunctions.udf.CIQ(A2223,"IQ_TOTAL_REV",IQ_FY-2)/I2231, _xll.ciqfunctions.udf.CIQ(A2223, "IQ_TOTAL_REV",IQ_FY-1)/I2231))</f>
        <v>5.1316018352378157</v>
      </c>
      <c r="E2231" s="16">
        <f t="shared" si="595"/>
        <v>0.15668055967870892</v>
      </c>
      <c r="F2231" s="15">
        <f>IF(A2231=A2232,_xll.ciqfunctions.udf.CIQ(A2223,"IQ_DILUT_EPS_EXCL",IQ_FY-2), _xll.ciqfunctions.udf.CIQ(A2223, "IQ_DILUT_EPS_EXCL",IQ_FY-1))</f>
        <v>-0.68</v>
      </c>
      <c r="G2231" s="15">
        <f>IF(A2231=A2232,_xll.ciqfunctions.udf.CIQ(A2223,"IQ_EBITDA_MARGIN",IQ_FY-2), _xll.ciqfunctions.udf.CIQ(A2223, "IQ_EBITDA_MARGIN",IQ_FY-1))</f>
        <v>-10.3523</v>
      </c>
      <c r="H2231" s="15">
        <f>IF(A2231=A2232,_xll.ciqfunctions.udf.CIQ(A2223,"IQ_TOTAL_DIV_PAID_CF",IQ_FY-2)/-I2231, _xll.ciqfunctions.udf.CIQ(A2223, "IQ_TOTAL_DIV_PAID_CF",IQ_FY-1)/-I2231)</f>
        <v>0</v>
      </c>
      <c r="I2231" s="17">
        <f>IF(A2231=A2232,_xll.ciqfunctions.udf.CIQ(A2223,"IQ_TOTAL_OUTSTANDING_FILING_DATE",IQ_FY-2), _xll.ciqfunctions.udf.CIQ(A2223, "IQ_TOTAL_OUTSTANDING_FILING_DATE",IQ_FY-1))</f>
        <v>84.795550000000006</v>
      </c>
      <c r="J2231" s="17">
        <f>IF(A2231=A2232,_xll.ciqfunctions.udf.CIQ(A2223,"IQ_CASH_OPER",IQ_FY-2), _xll.ciqfunctions.udf.CIQ(A2223, "IQ_CASH_OPER",IQ_FY-1))</f>
        <v>-23.196999999999999</v>
      </c>
      <c r="K2231" s="17">
        <f>IF(A2231=A2232,_xll.ciqfunctions.udf.CIQ(A2223,"IQ_CAPEX",IQ_FY-2), _xll.ciqfunctions.udf.CIQ(A2223, "IQ_CAPEX",IQ_FY-1))</f>
        <v>-2.2679999999999998</v>
      </c>
      <c r="L2231" s="15">
        <f t="shared" si="592"/>
        <v>-0.30031057054291171</v>
      </c>
      <c r="M2231" s="17">
        <f>IF(A2231=A2232,_xll.ciqfunctions.udf.CIQ(A2223,"IQ_TOTAL_DEBT_ISSUED",IQ_FY-2), _xll.ciqfunctions.udf.CIQ(A2223, "IQ_TOTAL_DEBT_ISSUED",IQ_FY-1))</f>
        <v>0</v>
      </c>
      <c r="N2231" s="17">
        <f>IF(A2231=A2232,_xll.ciqfunctions.udf.CIQ(A2223,"IQ_TOTAL_DEBT_REPAID",IQ_FY-2), _xll.ciqfunctions.udf.CIQ(A2223, "IQ_TOTAL_DEBT_REPAID",IQ_FY-1))</f>
        <v>0</v>
      </c>
      <c r="O2231" s="15">
        <f t="shared" si="593"/>
        <v>0</v>
      </c>
      <c r="P2231" s="15">
        <f t="shared" si="594"/>
        <v>-0.30031057054291171</v>
      </c>
      <c r="Q2231" s="25" t="s">
        <v>33</v>
      </c>
      <c r="R2231" s="38" t="s">
        <v>52</v>
      </c>
      <c r="S2231" s="4">
        <f>(AVERAGE(O2228:O2233)/AVERAGE(P2228:P2233))</f>
        <v>0</v>
      </c>
      <c r="U2231" s="25" t="s">
        <v>54</v>
      </c>
      <c r="V2231" s="38" t="s">
        <v>52</v>
      </c>
      <c r="W2231" s="4">
        <f>(AVERAGE(O2228:O2233)/AVERAGE(P2228:P2233))</f>
        <v>0</v>
      </c>
      <c r="Y2231" s="25" t="s">
        <v>60</v>
      </c>
      <c r="Z2231" s="38" t="s">
        <v>52</v>
      </c>
      <c r="AA2231" s="4">
        <f>(AVERAGE(O2228:O2233)/AVERAGE(P2228:P2233))</f>
        <v>0</v>
      </c>
    </row>
    <row r="2232" spans="1:27">
      <c r="A2232" s="19">
        <f>_xll.ciqfunctions.udf.CIQ(A2223,"IQ_TOTAL_REV",IQ_LTM)</f>
        <v>474.61</v>
      </c>
      <c r="B2232" s="13">
        <v>10</v>
      </c>
      <c r="C2232" s="14" t="s">
        <v>34</v>
      </c>
      <c r="D2232" s="15" cm="1">
        <f t="array" ref="D2232">_xlfn.SINGLE(IF(A2231=A2232,_xll.ciqfunctions.udf.CIQ(A2223,"IQ_TOTAL_REV",IQ_FY-1)/I2232, _xll.ciqfunctions.udf.CIQ(A2223, "IQ_TOTAL_REV",IQ_FY)/I2232))</f>
        <v>5.4732483649918526</v>
      </c>
      <c r="E2232" s="16">
        <f t="shared" si="595"/>
        <v>6.6576975518250425E-2</v>
      </c>
      <c r="F2232" s="15">
        <f>IF(A2231=A2232,_xll.ciqfunctions.udf.CIQ(A2223,"IQ_DILUT_EPS_EXCL",IQ_FY-1), _xll.ciqfunctions.udf.CIQ(A2223, "IQ_DILUT_EPS_EXCL",IQ_FY))</f>
        <v>-0.65</v>
      </c>
      <c r="G2232" s="15">
        <f>IF(A2231=A2232,_xll.ciqfunctions.udf.CIQ(A2223,"IQ_EBITDA_MARGIN",IQ_FY-1), _xll.ciqfunctions.udf.CIQ(A2223, "IQ_EBITDA_MARGIN",IQ_FY))</f>
        <v>-10.2578</v>
      </c>
      <c r="H2232" s="15">
        <f>IF(A2231=A2232,_xll.ciqfunctions.udf.CIQ(A2223,"IQ_TOTAL_DIV_PAID_CF",IQ_FY-1)/-I2232, _xll.ciqfunctions.udf.CIQ(A2223, "IQ_TOTAL_DIV_PAID_CF",IQ_FY)/-I2232)</f>
        <v>0</v>
      </c>
      <c r="I2232" s="17">
        <f>IF(A2231=A2232,_xll.ciqfunctions.udf.CIQ(A2223,"IQ_TOTAL_OUTSTANDING_FILING_DATE",IQ_FY-1), _xll.ciqfunctions.udf.CIQ(A2223, "IQ_TOTAL_OUTSTANDING_FILING_DATE",IQ_FY))</f>
        <v>89.602000000000004</v>
      </c>
      <c r="J2232" s="17">
        <f>IF(A2231=A2232,_xll.ciqfunctions.udf.CIQ(A2223,"IQ_CASH_OPER",IQ_FY-1), _xll.ciqfunctions.udf.CIQ(A2223, "IQ_CASH_OPER",IQ_FY))</f>
        <v>-45.962000000000003</v>
      </c>
      <c r="K2232" s="17">
        <f>IF(A2231=A2232,_xll.ciqfunctions.udf.CIQ(A2223,"IQ_CAPEX",IQ_FY-1), _xll.ciqfunctions.udf.CIQ(A2223, "IQ_CAPEX",IQ_FY))</f>
        <v>-2.0099999999999998</v>
      </c>
      <c r="L2232" s="15">
        <f t="shared" si="592"/>
        <v>-0.53538983504832482</v>
      </c>
      <c r="M2232" s="17">
        <f>IF(A2231=A2232,_xll.ciqfunctions.udf.CIQ(A2223,"IQ_TOTAL_DEBT_ISSUED",IQ_FY-1), _xll.ciqfunctions.udf.CIQ(A2223, "IQ_TOTAL_DEBT_ISSUED",IQ_FY))</f>
        <v>0</v>
      </c>
      <c r="N2232" s="17">
        <f>IF(A2231=A2232,_xll.ciqfunctions.udf.CIQ(A2223,"IQ_TOTAL_DEBT_REPAID",IQ_FY-1), _xll.ciqfunctions.udf.CIQ(A2223, "IQ_TOTAL_DEBT_REPAID",IQ_FY))</f>
        <v>0</v>
      </c>
      <c r="O2232" s="15">
        <f t="shared" si="593"/>
        <v>0</v>
      </c>
      <c r="P2232" s="15">
        <f t="shared" si="594"/>
        <v>-0.53538983504832482</v>
      </c>
      <c r="Q2232" s="25" t="s">
        <v>44</v>
      </c>
      <c r="R2232" s="38" t="s">
        <v>35</v>
      </c>
      <c r="S2232" s="1" t="str">
        <f>_xll.ciqfunctions.udf.CIQ(A2223,"IQ_TEV_EBITDA")</f>
        <v>NM</v>
      </c>
      <c r="U2232" s="25" t="s">
        <v>55</v>
      </c>
      <c r="V2232" s="38" t="s">
        <v>53</v>
      </c>
      <c r="W2232" s="1">
        <f>V2222/(AVERAGE(D2228:D2233)/_xlfn.STDEV.P(E2228:E2233))</f>
        <v>0.22481238775213319</v>
      </c>
      <c r="Y2232" s="25" t="s">
        <v>57</v>
      </c>
      <c r="Z2232" s="38" t="s">
        <v>53</v>
      </c>
      <c r="AA2232" s="1">
        <f>Z2222/(AVERAGE(D2228:D2233)/_xlfn.STDEV.P(E2228:E2233))</f>
        <v>0.22481238775213319</v>
      </c>
    </row>
    <row r="2233" spans="1:27">
      <c r="B2233" s="13">
        <v>11</v>
      </c>
      <c r="C2233" s="20" t="s">
        <v>36</v>
      </c>
      <c r="D2233" s="21" cm="1">
        <f t="array" ref="D2233">_xlfn.SINGLE(IF(A2231=A2232,_xll.ciqfunctions.udf.CIQ(A2223,"IQ_TOTAL_REV",IQ_FY)/I2233, _xll.ciqfunctions.udf.CIQ(A2223, "IQ_TOTAL_REV",IQ_LTM)/I2233))</f>
        <v>5.0155021826908381</v>
      </c>
      <c r="E2233" s="22">
        <f t="shared" si="595"/>
        <v>-8.3633365741058577E-2</v>
      </c>
      <c r="F2233" s="21">
        <f>IF(A2231=A2232,_xll.ciqfunctions.udf.CIQ(A2223,"IQ_DILUT_EPS_EXCL",IQ_FY), _xll.ciqfunctions.udf.CIQ(A2223, "IQ_DILUT_EPS_EXCL",IQ_LTM))</f>
        <v>-0.49245</v>
      </c>
      <c r="G2233" s="21">
        <f>IF(A2231=A2232,_xll.ciqfunctions.udf.CIQ(A2223,"IQ_EBITDA_MARGIN",IQ_FY), _xll.ciqfunctions.udf.CIQ(A2223, "IQ_EBITDA_MARGIN",IQ_LTM))</f>
        <v>-8.4575999999999993</v>
      </c>
      <c r="H2233" s="21">
        <f>IF(A2231=A2232,_xll.ciqfunctions.udf.CIQ(A2223,"IQ_TOTAL_DIV_PAID_CF",IQ_FY)/-I2233, _xll.ciqfunctions.udf.CIQ(A2223, "IQ_TOTAL_DIV_PAID_CF",IQ_LTM)/-I2233)</f>
        <v>0</v>
      </c>
      <c r="I2233" s="23">
        <f>IF(A2231=A2232,_xll.ciqfunctions.udf.CIQ(A2223,"IQ_TOTAL_OUTSTANDING_FILING_DATE",IQ_FY),_xll.ciqfunctions.udf.CIQ(A2223,"IQ_sharesoutstanding"))</f>
        <v>94.628609999999995</v>
      </c>
      <c r="J2233" s="23">
        <f>IF(A2231=A2232,_xll.ciqfunctions.udf.CIQ(A2223,"IQ_CASH_OPER",IQ_FY), _xll.ciqfunctions.udf.CIQ(A2223, "IQ_CASH_OPER",IQ_LTM))</f>
        <v>19.187999999999999</v>
      </c>
      <c r="K2233" s="23">
        <f>IF(A2231=A2232,_xll.ciqfunctions.udf.CIQ(A2223,"IQ_CAPEX",IQ_FY), _xll.ciqfunctions.udf.CIQ(A2223, "IQ_CAPEX",IQ_LTM))</f>
        <v>-3.6429999999999998</v>
      </c>
      <c r="L2233" s="21">
        <f t="shared" si="592"/>
        <v>0.1642737856975813</v>
      </c>
      <c r="M2233" s="23">
        <f>IF(A2231=A2232,_xll.ciqfunctions.udf.CIQ(A2223,"IQ_TOTAL_DEBT_ISSUED",IQ_FY), _xll.ciqfunctions.udf.CIQ(A2223, "IQ_TOTAL_DEBT_ISSUED",IQ_LTM))</f>
        <v>0</v>
      </c>
      <c r="N2233" s="23">
        <f>IF(A2231=A2232,_xll.ciqfunctions.udf.CIQ(A2223,"IQ_TOTAL_DEBT_REPAID",IQ_FY), _xll.ciqfunctions.udf.CIQ(A2223, "IQ_TOTAL_DEBT_REPAID",IQ_LTM))</f>
        <v>0</v>
      </c>
      <c r="O2233" s="21">
        <f t="shared" si="593"/>
        <v>0</v>
      </c>
      <c r="P2233" s="21">
        <f t="shared" si="594"/>
        <v>0.1642737856975813</v>
      </c>
      <c r="Q2233" s="25" t="s">
        <v>45</v>
      </c>
      <c r="S2233" s="45"/>
      <c r="U2233" s="25"/>
      <c r="W2233" s="45"/>
      <c r="Y2233" s="25"/>
      <c r="AA2233" s="45"/>
    </row>
    <row r="2234" spans="1:27">
      <c r="B2234" s="24"/>
      <c r="C2234" s="25" t="s">
        <v>37</v>
      </c>
      <c r="E2234" s="26">
        <f>((D2233/D2228)^(1/5))-1</f>
        <v>-4.339427578622046E-2</v>
      </c>
      <c r="F2234" s="27">
        <f>((F2233/F2228)^(1/5))-1</f>
        <v>-0.1519595081626598</v>
      </c>
      <c r="G2234" s="28"/>
      <c r="H2234" s="27" t="e">
        <f>((H2233/H2228)^(1/5))-1</f>
        <v>#DIV/0!</v>
      </c>
      <c r="I2234" s="27">
        <f>((I2233/I2228)^(1/5))-1</f>
        <v>4.9685334134168313E-2</v>
      </c>
      <c r="J2234" s="27"/>
      <c r="K2234" s="27"/>
      <c r="L2234" s="26">
        <f>((L2233/L2228)^(1/5))-1</f>
        <v>-1.7911624268028201</v>
      </c>
      <c r="M2234" s="26"/>
      <c r="N2234" s="26"/>
      <c r="O2234" s="26"/>
      <c r="P2234" s="26">
        <f>((P2233/P2228)^(1/5))-1</f>
        <v>-1.7911624268028201</v>
      </c>
      <c r="Q2234" s="18"/>
      <c r="R2234" s="36"/>
      <c r="S2234" s="45"/>
      <c r="U2234" s="18"/>
      <c r="V2234" s="36"/>
      <c r="W2234" s="45"/>
      <c r="Y2234" s="18"/>
      <c r="Z2234" s="36"/>
      <c r="AA2234" s="45"/>
    </row>
    <row r="2235" spans="1:27">
      <c r="A2235" s="29"/>
      <c r="B2235" s="30"/>
      <c r="C2235" s="31" t="s">
        <v>38</v>
      </c>
      <c r="D2235" s="29"/>
      <c r="E2235" s="32" t="e">
        <f>((D2233/D2223)^(1/10))-1</f>
        <v>#DIV/0!</v>
      </c>
      <c r="F2235" s="33" t="e">
        <f>((F2233/F2223)^(1/10))-1</f>
        <v>#DIV/0!</v>
      </c>
      <c r="G2235" s="34"/>
      <c r="H2235" s="33" t="e">
        <f>((H2233/H2223)^(1/10))-1</f>
        <v>#DIV/0!</v>
      </c>
      <c r="I2235" s="33" t="e">
        <f>((I2233/I2223)^(1/10))-1</f>
        <v>#DIV/0!</v>
      </c>
      <c r="J2235" s="33"/>
      <c r="K2235" s="33"/>
      <c r="L2235" s="32" t="e">
        <f>((L2233/L2223)^(1/10))-1</f>
        <v>#DIV/0!</v>
      </c>
      <c r="M2235" s="32"/>
      <c r="N2235" s="32"/>
      <c r="O2235" s="32"/>
      <c r="P2235" s="32" t="e">
        <f>((P2233/P2223)^(1/10))-1</f>
        <v>#DIV/0!</v>
      </c>
      <c r="Q2235" s="40"/>
      <c r="R2235" s="41"/>
      <c r="S2235" s="46"/>
      <c r="U2235" s="40"/>
      <c r="V2235" s="41"/>
      <c r="W2235" s="46"/>
      <c r="Y2235" s="40"/>
      <c r="Z2235" s="41"/>
      <c r="AA2235" s="46"/>
    </row>
    <row r="2236" spans="1:27">
      <c r="B2236" s="24"/>
      <c r="C2236" s="25"/>
      <c r="E2236" s="26"/>
      <c r="F2236" s="27"/>
      <c r="G2236" s="28"/>
      <c r="H2236" s="27"/>
      <c r="I2236" s="27"/>
      <c r="J2236" s="27"/>
      <c r="K2236" s="27"/>
      <c r="L2236" s="26"/>
      <c r="M2236" s="17"/>
      <c r="N2236" s="17"/>
      <c r="O2236" s="17"/>
      <c r="P2236" s="35"/>
      <c r="Q2236" s="18"/>
      <c r="R2236" s="36"/>
    </row>
    <row r="2237" spans="1:27">
      <c r="A2237" s="9" t="s">
        <v>0</v>
      </c>
      <c r="B2237" s="10"/>
      <c r="C2237" s="9" t="s">
        <v>1</v>
      </c>
      <c r="D2237" s="9" t="s">
        <v>2</v>
      </c>
      <c r="E2237" s="9" t="s">
        <v>3</v>
      </c>
      <c r="F2237" s="11" t="s">
        <v>4</v>
      </c>
      <c r="G2237" s="11" t="s">
        <v>5</v>
      </c>
      <c r="H2237" s="9" t="s">
        <v>6</v>
      </c>
      <c r="I2237" s="11" t="s">
        <v>7</v>
      </c>
      <c r="J2237" s="11" t="s">
        <v>8</v>
      </c>
      <c r="K2237" s="11" t="s">
        <v>9</v>
      </c>
      <c r="L2237" s="11" t="s">
        <v>10</v>
      </c>
      <c r="M2237" s="11" t="s">
        <v>11</v>
      </c>
      <c r="N2237" s="11" t="s">
        <v>12</v>
      </c>
      <c r="O2237" s="11" t="s">
        <v>13</v>
      </c>
      <c r="P2237" s="11" t="s">
        <v>14</v>
      </c>
      <c r="Q2237" s="37" t="s">
        <v>15</v>
      </c>
      <c r="R2237" s="42">
        <f>_xll.ciqfunctions.udf.CIQ(A2238,("IQ_LASTSALEPRICE"))</f>
        <v>145.42500000000001</v>
      </c>
      <c r="S2237" s="44"/>
      <c r="U2237" s="37" t="s">
        <v>15</v>
      </c>
      <c r="V2237" s="42">
        <f>_xll.ciqfunctions.udf.CIQ(A2238,("IQ_LASTSALEPRICE"))</f>
        <v>145.42500000000001</v>
      </c>
      <c r="W2237" s="44"/>
      <c r="Y2237" s="37" t="s">
        <v>15</v>
      </c>
      <c r="Z2237" s="42">
        <f>_xll.ciqfunctions.udf.CIQ(A2238,("IQ_LASTSALEPRICE"))</f>
        <v>145.42500000000001</v>
      </c>
      <c r="AA2237" s="44"/>
    </row>
    <row r="2238" spans="1:27">
      <c r="A2238" s="12" t="str">
        <f>Analysis!B151</f>
        <v>NasdaqGS:NOVT</v>
      </c>
      <c r="B2238" s="13">
        <v>1</v>
      </c>
      <c r="C2238" s="14" t="s">
        <v>16</v>
      </c>
      <c r="D2238" s="15">
        <f>IF(A2246=A2247,_xll.ciqfunctions.udf.CIQ(A2238,"IQ_TOTAL_REV",IQ_FY-10)/I2238,_xll.ciqfunctions.udf.CIQ(A2238, "IQ_TOTAL_REV",IQ_FY-9)/I2238)</f>
        <v>9.3160078888134716</v>
      </c>
      <c r="E2238" s="16"/>
      <c r="F2238" s="15">
        <f>IF(A2246=A2247,_xll.ciqfunctions.udf.CIQ(A2238,"IQ_DILUT_EPS_EXCL",IQ_FY-10), _xll.ciqfunctions.udf.CIQ(A2238, "IQ_DILUT_EPS_EXCL",IQ_FY-9))</f>
        <v>0.28999999999999998</v>
      </c>
      <c r="G2238" s="15">
        <f>IF(A2246=A2247,_xll.ciqfunctions.udf.CIQ(A2238,"IQ_EBITDA_MARGIN",IQ_FY-10), _xll.ciqfunctions.udf.CIQ(A2238, "IQ_EBITDA_MARGIN",IQ_FY-9))</f>
        <v>14.011200000000001</v>
      </c>
      <c r="H2238" s="15">
        <f>IF(A2246=A2247,_xll.ciqfunctions.udf.CIQ(A2238,"IQ_TOTAL_DIV_PAID_CF",IQ_FY-10)/-I2238, _xll.ciqfunctions.udf.CIQ(A2238, "IQ_TOTAL_DIV_PAID_CF",IQ_FY-9)/-I2238)</f>
        <v>0</v>
      </c>
      <c r="I2238" s="17">
        <f>IF(A2246=A2247,_xll.ciqfunctions.udf.CIQ(A2238,"IQ_TOTAL_OUTSTANDING_FILING_DATE",IQ_FY-10), _xll.ciqfunctions.udf.CIQ(A2238, "IQ_TOTAL_OUTSTANDING_FILING_DATE",IQ_FY-9))</f>
        <v>34.017789999999998</v>
      </c>
      <c r="J2238" s="17">
        <f>IF(A2246=A2247,_xll.ciqfunctions.udf.CIQ(A2238,"IQ_CASH_OPER",IQ_FY-10), _xll.ciqfunctions.udf.CIQ(A2238, "IQ_CASH_OPER",IQ_FY-9))</f>
        <v>49.2</v>
      </c>
      <c r="K2238" s="17">
        <f>IF(A2246=A2247,_xll.ciqfunctions.udf.CIQ(A2238,"IQ_CAPEX",IQ_FY-10), _xll.ciqfunctions.udf.CIQ(A2238, "IQ_CAPEX",IQ_FY-9))</f>
        <v>-4.7770000000000001</v>
      </c>
      <c r="L2238" s="15">
        <f t="shared" ref="L2238:L2248" si="596">(J2238+K2238)/I2238</f>
        <v>1.3058755433554032</v>
      </c>
      <c r="M2238" s="17">
        <f>IF(A2246=A2247,_xll.ciqfunctions.udf.CIQ(A2238,"IQ_TOTAL_DEBT_ISSUED",IQ_FY-10), _xll.ciqfunctions.udf.CIQ(A2238, "IQ_TOTAL_DEBT_ISSUED",IQ_FY-9))</f>
        <v>60</v>
      </c>
      <c r="N2238" s="17">
        <f>IF(A2246=A2247,_xll.ciqfunctions.udf.CIQ(A2238,"IQ_TOTAL_DEBT_REPAID",IQ_FY-10), _xll.ciqfunctions.udf.CIQ(A2238, "IQ_TOTAL_DEBT_REPAID",IQ_FY-9))</f>
        <v>-38.5</v>
      </c>
      <c r="O2238" s="15">
        <f t="shared" ref="O2238:O2248" si="597">(M2238+N2238)/I2238</f>
        <v>0.63202224483130742</v>
      </c>
      <c r="P2238" s="15">
        <f t="shared" ref="P2238:P2248" si="598">L2238+O2238</f>
        <v>1.9378977881867105</v>
      </c>
      <c r="W2238" s="43"/>
      <c r="AA2238" s="43"/>
    </row>
    <row r="2239" spans="1:27">
      <c r="A2239" s="18" t="str">
        <f>_xll.ciqfunctions.udf.CIQ(A2238,"IQ_COMPANY_NAME")</f>
        <v>Novanta Inc.</v>
      </c>
      <c r="B2239" s="13">
        <v>2</v>
      </c>
      <c r="C2239" s="14" t="s">
        <v>17</v>
      </c>
      <c r="D2239" s="15">
        <f>IF(A2246=A2247,_xll.ciqfunctions.udf.CIQ(A2238,"IQ_TOTAL_REV",IQ_FY-9)/I2239, _xll.ciqfunctions.udf.CIQ(A2238, "IQ_TOTAL_REV",IQ_FY-8)/I2239)</f>
        <v>10.657997019199859</v>
      </c>
      <c r="E2239" s="16">
        <f t="shared" ref="E2239:E2248" si="599">(D2239-D2238)/D2238</f>
        <v>0.14405195298276088</v>
      </c>
      <c r="F2239" s="15">
        <f>IF(A2246=A2247,_xll.ciqfunctions.udf.CIQ(A2238,"IQ_DILUT_EPS_EXCL",IQ_FY-9), _xll.ciqfunctions.udf.CIQ(A2238, "IQ_DILUT_EPS_EXCL",IQ_FY-8))</f>
        <v>-0.49252000000000001</v>
      </c>
      <c r="G2239" s="15">
        <f>IF(A2246=A2247,_xll.ciqfunctions.udf.CIQ(A2238,"IQ_EBITDA_MARGIN",IQ_FY-9), _xll.ciqfunctions.udf.CIQ(A2238, "IQ_EBITDA_MARGIN",IQ_FY-8))</f>
        <v>13.810499999999999</v>
      </c>
      <c r="H2239" s="15">
        <f>IF(A2246=A2247,_xll.ciqfunctions.udf.CIQ(A2238,"IQ_TOTAL_DIV_PAID_CF",IQ_FY-9)/-I2239, _xll.ciqfunctions.udf.CIQ(A2238, "IQ_TOTAL_DIV_PAID_CF",IQ_FY-8)/-I2239)</f>
        <v>0</v>
      </c>
      <c r="I2239" s="17">
        <f>IF(A2246=A2247,_xll.ciqfunctions.udf.CIQ(A2238,"IQ_TOTAL_OUTSTANDING_FILING_DATE",IQ_FY-9), _xll.ciqfunctions.udf.CIQ(A2238, "IQ_TOTAL_OUTSTANDING_FILING_DATE",IQ_FY-8))</f>
        <v>34.219000000000001</v>
      </c>
      <c r="J2239" s="17">
        <f>IF(A2246=A2247,_xll.ciqfunctions.udf.CIQ(A2238,"IQ_CASH_OPER",IQ_FY-9), _xll.ciqfunctions.udf.CIQ(A2238, "IQ_CASH_OPER",IQ_FY-8))</f>
        <v>42.289000000000001</v>
      </c>
      <c r="K2239" s="17">
        <f>IF(A2246=A2247,_xll.ciqfunctions.udf.CIQ(A2238,"IQ_CAPEX",IQ_FY-9), _xll.ciqfunctions.udf.CIQ(A2238, "IQ_CAPEX",IQ_FY-8))</f>
        <v>-5.415</v>
      </c>
      <c r="L2239" s="15">
        <f t="shared" si="596"/>
        <v>1.0775884742394577</v>
      </c>
      <c r="M2239" s="17">
        <f>IF(A2246=A2247,_xll.ciqfunctions.udf.CIQ(A2238,"IQ_TOTAL_DEBT_ISSUED",IQ_FY-9), _xll.ciqfunctions.udf.CIQ(A2238, "IQ_TOTAL_DEBT_ISSUED",IQ_FY-8))</f>
        <v>77</v>
      </c>
      <c r="N2239" s="17">
        <f>IF(A2246=A2247,_xll.ciqfunctions.udf.CIQ(A2238,"IQ_TOTAL_DEBT_REPAID",IQ_FY-9), _xll.ciqfunctions.udf.CIQ(A2238, "IQ_TOTAL_DEBT_REPAID",IQ_FY-8))</f>
        <v>-33.5</v>
      </c>
      <c r="O2239" s="15">
        <f t="shared" si="597"/>
        <v>1.2712235892340513</v>
      </c>
      <c r="P2239" s="15">
        <f t="shared" si="598"/>
        <v>2.3488120634735088</v>
      </c>
      <c r="Q2239" s="25" t="s">
        <v>18</v>
      </c>
      <c r="R2239" s="39" t="s">
        <v>19</v>
      </c>
      <c r="S2239" s="1">
        <f>R2237/((AVERAGE(P2243:P2248))*(1+E2249)^3)</f>
        <v>41.096499416547474</v>
      </c>
      <c r="U2239" s="25" t="s">
        <v>48</v>
      </c>
      <c r="V2239" s="39" t="s">
        <v>19</v>
      </c>
      <c r="W2239" s="1">
        <f>V2237/((AVERAGE(P2243:P2248))*(1+E2249)^3)</f>
        <v>41.096499416547474</v>
      </c>
      <c r="Y2239" s="25" t="s">
        <v>39</v>
      </c>
      <c r="Z2239" s="39" t="s">
        <v>19</v>
      </c>
      <c r="AA2239" s="1">
        <f>Z2237/((AVERAGE(P2243:P2248))*(1+E2249)^3)</f>
        <v>41.096499416547474</v>
      </c>
    </row>
    <row r="2240" spans="1:27">
      <c r="B2240" s="13">
        <v>3</v>
      </c>
      <c r="C2240" s="14" t="s">
        <v>20</v>
      </c>
      <c r="D2240" s="15" cm="1">
        <f t="array" ref="D2240">_xlfn.SINGLE(IF(A2246=A2247,_xll.ciqfunctions.udf.CIQ(A2238,"IQ_TOTAL_REV",IQ_FY-8)/I2240, _xll.ciqfunctions.udf.CIQ(A2238, "IQ_TOTAL_REV",IQ_FY-7)/I2240))</f>
        <v>10.877295242409801</v>
      </c>
      <c r="E2240" s="16">
        <f t="shared" si="599"/>
        <v>2.0575932120724599E-2</v>
      </c>
      <c r="F2240" s="15">
        <f>IF(A2246=A2247,_xll.ciqfunctions.udf.CIQ(A2238,"IQ_DILUT_EPS_EXCL",IQ_FY-8), _xll.ciqfunctions.udf.CIQ(A2238, "IQ_DILUT_EPS_EXCL",IQ_FY-7))</f>
        <v>1.02</v>
      </c>
      <c r="G2240" s="15">
        <f>IF(A2246=A2247,_xll.ciqfunctions.udf.CIQ(A2238,"IQ_EBITDA_MARGIN",IQ_FY-8), _xll.ciqfunctions.udf.CIQ(A2238, "IQ_EBITDA_MARGIN",IQ_FY-7))</f>
        <v>15.1274</v>
      </c>
      <c r="H2240" s="15">
        <f>IF(A2246=A2247,_xll.ciqfunctions.udf.CIQ(A2238,"IQ_TOTAL_DIV_PAID_CF",IQ_FY-8)/-I2240, _xll.ciqfunctions.udf.CIQ(A2238, "IQ_TOTAL_DIV_PAID_CF",IQ_FY-7)/-I2240)</f>
        <v>0</v>
      </c>
      <c r="I2240" s="17">
        <f>IF(A2246=A2247,_xll.ciqfunctions.udf.CIQ(A2238,"IQ_TOTAL_OUTSTANDING_FILING_DATE",IQ_FY-8), _xll.ciqfunctions.udf.CIQ(A2238, "IQ_TOTAL_OUTSTANDING_FILING_DATE",IQ_FY-7))</f>
        <v>34.346589999999999</v>
      </c>
      <c r="J2240" s="17">
        <f>IF(A2246=A2247,_xll.ciqfunctions.udf.CIQ(A2238,"IQ_CASH_OPER",IQ_FY-8), _xll.ciqfunctions.udf.CIQ(A2238, "IQ_CASH_OPER",IQ_FY-7))</f>
        <v>33.415999999999997</v>
      </c>
      <c r="K2240" s="17">
        <f>IF(A2246=A2247,_xll.ciqfunctions.udf.CIQ(A2238,"IQ_CAPEX",IQ_FY-8), _xll.ciqfunctions.udf.CIQ(A2238, "IQ_CAPEX",IQ_FY-7))</f>
        <v>-5.5519999999999996</v>
      </c>
      <c r="L2240" s="15">
        <f t="shared" si="596"/>
        <v>0.8112595748224205</v>
      </c>
      <c r="M2240" s="17">
        <f>IF(A2246=A2247,_xll.ciqfunctions.udf.CIQ(A2238,"IQ_TOTAL_DEBT_ISSUED",IQ_FY-8), _xll.ciqfunctions.udf.CIQ(A2238, "IQ_TOTAL_DEBT_ISSUED",IQ_FY-7))</f>
        <v>13</v>
      </c>
      <c r="N2240" s="17">
        <f>IF(A2246=A2247,_xll.ciqfunctions.udf.CIQ(A2238,"IQ_TOTAL_DEBT_REPAID",IQ_FY-8), _xll.ciqfunctions.udf.CIQ(A2238, "IQ_TOTAL_DEBT_REPAID",IQ_FY-7))</f>
        <v>-30.5</v>
      </c>
      <c r="O2240" s="15">
        <f t="shared" si="597"/>
        <v>-0.50951200686880416</v>
      </c>
      <c r="P2240" s="15">
        <f t="shared" si="598"/>
        <v>0.30174756795361635</v>
      </c>
      <c r="Q2240" s="25" t="s">
        <v>21</v>
      </c>
      <c r="R2240" s="38" t="s">
        <v>49</v>
      </c>
      <c r="S2240" s="2">
        <f>(R2237*I2248)/1000</f>
        <v>5.20772305725</v>
      </c>
      <c r="U2240" s="25" t="s">
        <v>59</v>
      </c>
      <c r="V2240" s="38" t="s">
        <v>49</v>
      </c>
      <c r="W2240" s="2">
        <f>(V2237*I2248)/1000</f>
        <v>5.20772305725</v>
      </c>
      <c r="Y2240" s="25" t="s">
        <v>46</v>
      </c>
      <c r="Z2240" s="38" t="s">
        <v>49</v>
      </c>
      <c r="AA2240" s="2">
        <f>(Z2237*I2248)/1000</f>
        <v>5.20772305725</v>
      </c>
    </row>
    <row r="2241" spans="1:27">
      <c r="A2241" s="18"/>
      <c r="B2241" s="13">
        <v>4</v>
      </c>
      <c r="C2241" s="14" t="s">
        <v>22</v>
      </c>
      <c r="D2241" s="15" cm="1">
        <f t="array" ref="D2241">_xlfn.SINGLE(IF(A2246=A2247,_xll.ciqfunctions.udf.CIQ(A2238,"IQ_TOTAL_REV",IQ_FY-7)/I2241, _xll.ciqfunctions.udf.CIQ(A2238, "IQ_TOTAL_REV",IQ_FY-6)/I2241))</f>
        <v>11.165548780753229</v>
      </c>
      <c r="E2241" s="16">
        <f t="shared" si="599"/>
        <v>2.6500479385679232E-2</v>
      </c>
      <c r="F2241" s="15">
        <f>IF(A2246=A2247,_xll.ciqfunctions.udf.CIQ(A2238,"IQ_DILUT_EPS_EXCL",IQ_FY-7), _xll.ciqfunctions.udf.CIQ(A2238, "IQ_DILUT_EPS_EXCL",IQ_FY-6))</f>
        <v>0.63</v>
      </c>
      <c r="G2241" s="15">
        <f>IF(A2246=A2247,_xll.ciqfunctions.udf.CIQ(A2238,"IQ_EBITDA_MARGIN",IQ_FY-7), _xll.ciqfunctions.udf.CIQ(A2238, "IQ_EBITDA_MARGIN",IQ_FY-6))</f>
        <v>15.9658</v>
      </c>
      <c r="H2241" s="15">
        <f>IF(A2246=A2247,_xll.ciqfunctions.udf.CIQ(A2238,"IQ_TOTAL_DIV_PAID_CF",IQ_FY-7)/-I2241, _xll.ciqfunctions.udf.CIQ(A2238, "IQ_TOTAL_DIV_PAID_CF",IQ_FY-6)/-I2241)</f>
        <v>0</v>
      </c>
      <c r="I2241" s="17">
        <f>IF(A2246=A2247,_xll.ciqfunctions.udf.CIQ(A2238,"IQ_TOTAL_OUTSTANDING_FILING_DATE",IQ_FY-7), _xll.ciqfunctions.udf.CIQ(A2238, "IQ_TOTAL_OUTSTANDING_FILING_DATE",IQ_FY-6))</f>
        <v>34.459389999999999</v>
      </c>
      <c r="J2241" s="17">
        <f>IF(A2246=A2247,_xll.ciqfunctions.udf.CIQ(A2238,"IQ_CASH_OPER",IQ_FY-7), _xll.ciqfunctions.udf.CIQ(A2238, "IQ_CASH_OPER",IQ_FY-6))</f>
        <v>47.787999999999997</v>
      </c>
      <c r="K2241" s="17">
        <f>IF(A2246=A2247,_xll.ciqfunctions.udf.CIQ(A2238,"IQ_CAPEX",IQ_FY-7), _xll.ciqfunctions.udf.CIQ(A2238, "IQ_CAPEX",IQ_FY-6))</f>
        <v>-8.4619999999999997</v>
      </c>
      <c r="L2241" s="15">
        <f t="shared" si="596"/>
        <v>1.1412273983956185</v>
      </c>
      <c r="M2241" s="17">
        <f>IF(A2246=A2247,_xll.ciqfunctions.udf.CIQ(A2238,"IQ_TOTAL_DEBT_ISSUED",IQ_FY-7), _xll.ciqfunctions.udf.CIQ(A2238, "IQ_TOTAL_DEBT_ISSUED",IQ_FY-6))</f>
        <v>0</v>
      </c>
      <c r="N2241" s="17">
        <f>IF(A2246=A2247,_xll.ciqfunctions.udf.CIQ(A2238,"IQ_TOTAL_DEBT_REPAID",IQ_FY-7), _xll.ciqfunctions.udf.CIQ(A2238, "IQ_TOTAL_DEBT_REPAID",IQ_FY-6))</f>
        <v>-16.25</v>
      </c>
      <c r="O2241" s="15">
        <f t="shared" si="597"/>
        <v>-0.47156957798730625</v>
      </c>
      <c r="P2241" s="15">
        <f t="shared" si="598"/>
        <v>0.66965782040831223</v>
      </c>
      <c r="Q2241" s="25" t="s">
        <v>23</v>
      </c>
      <c r="R2241" s="38" t="s">
        <v>24</v>
      </c>
      <c r="S2241" s="1" t="e">
        <f>R2237/(AVERAGE(H2243:H2248)*(1+H2249)/(0.5-H2249))</f>
        <v>#DIV/0!</v>
      </c>
      <c r="U2241" s="25" t="s">
        <v>40</v>
      </c>
      <c r="V2241" s="38" t="s">
        <v>24</v>
      </c>
      <c r="W2241" s="1" t="e">
        <f>V2237/(AVERAGE(H2243:H2248)*(1+H2249)/(0.5-H2249))</f>
        <v>#DIV/0!</v>
      </c>
      <c r="Y2241" s="25" t="s">
        <v>47</v>
      </c>
      <c r="Z2241" s="38" t="s">
        <v>24</v>
      </c>
      <c r="AA2241" s="1" t="e">
        <f>Z2237/(AVERAGE(H2243:H2248)*(1+H2249)/(0.5-H2249))</f>
        <v>#DIV/0!</v>
      </c>
    </row>
    <row r="2242" spans="1:27">
      <c r="B2242" s="13">
        <v>5</v>
      </c>
      <c r="C2242" s="14" t="s">
        <v>25</v>
      </c>
      <c r="D2242" s="15" cm="1">
        <f t="array" ref="D2242">_xlfn.SINGLE(IF(A2246=A2247,_xll.ciqfunctions.udf.CIQ(A2238,"IQ_TOTAL_REV",IQ_FY-6)/I2242, _xll.ciqfunctions.udf.CIQ(A2238, "IQ_TOTAL_REV",IQ_FY-5)/I2242))</f>
        <v>15.067504466431597</v>
      </c>
      <c r="E2242" s="16">
        <f t="shared" si="599"/>
        <v>0.34946385191603113</v>
      </c>
      <c r="F2242" s="15">
        <f>IF(A2246=A2247,_xll.ciqfunctions.udf.CIQ(A2238,"IQ_DILUT_EPS_EXCL",IQ_FY-6), _xll.ciqfunctions.udf.CIQ(A2238, "IQ_DILUT_EPS_EXCL",IQ_FY-5))</f>
        <v>1.1299999999999999</v>
      </c>
      <c r="G2242" s="15">
        <f>IF(A2246=A2247,_xll.ciqfunctions.udf.CIQ(A2238,"IQ_EBITDA_MARGIN",IQ_FY-6), _xll.ciqfunctions.udf.CIQ(A2238, "IQ_EBITDA_MARGIN",IQ_FY-5))</f>
        <v>19.230899999999998</v>
      </c>
      <c r="H2242" s="15">
        <f>IF(A2246=A2247,_xll.ciqfunctions.udf.CIQ(A2238,"IQ_TOTAL_DIV_PAID_CF",IQ_FY-6)/-I2242, _xll.ciqfunctions.udf.CIQ(A2238, "IQ_TOTAL_DIV_PAID_CF",IQ_FY-5)/-I2242)</f>
        <v>0</v>
      </c>
      <c r="I2242" s="17">
        <f>IF(A2246=A2247,_xll.ciqfunctions.udf.CIQ(A2238,"IQ_TOTAL_OUTSTANDING_FILING_DATE",IQ_FY-6), _xll.ciqfunctions.udf.CIQ(A2238, "IQ_TOTAL_OUTSTANDING_FILING_DATE",IQ_FY-5))</f>
        <v>34.596969999999999</v>
      </c>
      <c r="J2242" s="17">
        <f>IF(A2246=A2247,_xll.ciqfunctions.udf.CIQ(A2238,"IQ_CASH_OPER",IQ_FY-6), _xll.ciqfunctions.udf.CIQ(A2238, "IQ_CASH_OPER",IQ_FY-5))</f>
        <v>63.378</v>
      </c>
      <c r="K2242" s="17">
        <f>IF(A2246=A2247,_xll.ciqfunctions.udf.CIQ(A2238,"IQ_CAPEX",IQ_FY-6), _xll.ciqfunctions.udf.CIQ(A2238, "IQ_CAPEX",IQ_FY-5))</f>
        <v>-9.0939999999999994</v>
      </c>
      <c r="L2242" s="15">
        <f t="shared" si="596"/>
        <v>1.569039138398536</v>
      </c>
      <c r="M2242" s="17">
        <f>IF(A2246=A2247,_xll.ciqfunctions.udf.CIQ(A2238,"IQ_TOTAL_DEBT_ISSUED",IQ_FY-6), _xll.ciqfunctions.udf.CIQ(A2238, "IQ_TOTAL_DEBT_ISSUED",IQ_FY-5))</f>
        <v>176.76900000000001</v>
      </c>
      <c r="N2242" s="17">
        <f>IF(A2246=A2247,_xll.ciqfunctions.udf.CIQ(A2238,"IQ_TOTAL_DEBT_REPAID",IQ_FY-6), _xll.ciqfunctions.udf.CIQ(A2238, "IQ_TOTAL_DEBT_REPAID",IQ_FY-5))</f>
        <v>-26.925000000000001</v>
      </c>
      <c r="O2242" s="15">
        <f t="shared" si="597"/>
        <v>4.3311307319687247</v>
      </c>
      <c r="P2242" s="15">
        <f t="shared" si="598"/>
        <v>5.9001698703672609</v>
      </c>
      <c r="Q2242" s="18"/>
      <c r="R2242" s="38" t="s">
        <v>50</v>
      </c>
      <c r="S2242" s="3">
        <f>I2249</f>
        <v>5.1599660519372481E-3</v>
      </c>
      <c r="U2242" s="18"/>
      <c r="V2242" s="38" t="s">
        <v>50</v>
      </c>
      <c r="W2242" s="3">
        <f>I2249</f>
        <v>5.1599660519372481E-3</v>
      </c>
      <c r="Y2242" s="18"/>
      <c r="Z2242" s="38" t="s">
        <v>50</v>
      </c>
      <c r="AA2242" s="3">
        <f>I2249</f>
        <v>5.1599660519372481E-3</v>
      </c>
    </row>
    <row r="2243" spans="1:27">
      <c r="B2243" s="13">
        <v>6</v>
      </c>
      <c r="C2243" s="14" t="s">
        <v>26</v>
      </c>
      <c r="D2243" s="15" cm="1">
        <f t="array" ref="D2243">_xlfn.SINGLE(IF(A2246=A2247,_xll.ciqfunctions.udf.CIQ(A2238,"IQ_TOTAL_REV",IQ_FY-5)/I2243, _xll.ciqfunctions.udf.CIQ(A2238, "IQ_TOTAL_REV",IQ_FY-4)/I2243))</f>
        <v>17.602476748250748</v>
      </c>
      <c r="E2243" s="16">
        <f t="shared" si="599"/>
        <v>0.16824101744696562</v>
      </c>
      <c r="F2243" s="15">
        <f>IF(A2246=A2247,_xll.ciqfunctions.udf.CIQ(A2238,"IQ_DILUT_EPS_EXCL",IQ_FY-5), _xll.ciqfunctions.udf.CIQ(A2238, "IQ_DILUT_EPS_EXCL",IQ_FY-4))</f>
        <v>1.43</v>
      </c>
      <c r="G2243" s="15">
        <f>IF(A2246=A2247,_xll.ciqfunctions.udf.CIQ(A2238,"IQ_EBITDA_MARGIN",IQ_FY-5), _xll.ciqfunctions.udf.CIQ(A2238, "IQ_EBITDA_MARGIN",IQ_FY-4))</f>
        <v>18.891500000000001</v>
      </c>
      <c r="H2243" s="15">
        <f>IF(A2246=A2247,_xll.ciqfunctions.udf.CIQ(A2238,"IQ_TOTAL_DIV_PAID_CF",IQ_FY-5)/-I2243, _xll.ciqfunctions.udf.CIQ(A2238, "IQ_TOTAL_DIV_PAID_CF",IQ_FY-4)/-I2243)</f>
        <v>0</v>
      </c>
      <c r="I2243" s="17">
        <f>IF(A2246=A2247,_xll.ciqfunctions.udf.CIQ(A2238,"IQ_TOTAL_OUTSTANDING_FILING_DATE",IQ_FY-5), _xll.ciqfunctions.udf.CIQ(A2238, "IQ_TOTAL_OUTSTANDING_FILING_DATE",IQ_FY-4))</f>
        <v>34.900599999999997</v>
      </c>
      <c r="J2243" s="17">
        <f>IF(A2246=A2247,_xll.ciqfunctions.udf.CIQ(A2238,"IQ_CASH_OPER",IQ_FY-5), _xll.ciqfunctions.udf.CIQ(A2238, "IQ_CASH_OPER",IQ_FY-4))</f>
        <v>89.647000000000006</v>
      </c>
      <c r="K2243" s="17">
        <f>IF(A2246=A2247,_xll.ciqfunctions.udf.CIQ(A2238,"IQ_CAPEX",IQ_FY-5), _xll.ciqfunctions.udf.CIQ(A2238, "IQ_CAPEX",IQ_FY-4))</f>
        <v>-16.257000000000001</v>
      </c>
      <c r="L2243" s="15">
        <f t="shared" si="596"/>
        <v>2.1028291777218731</v>
      </c>
      <c r="M2243" s="17">
        <f>IF(A2246=A2247,_xll.ciqfunctions.udf.CIQ(A2238,"IQ_TOTAL_DEBT_ISSUED",IQ_FY-5), _xll.ciqfunctions.udf.CIQ(A2238, "IQ_TOTAL_DEBT_ISSUED",IQ_FY-4))</f>
        <v>55.253</v>
      </c>
      <c r="N2243" s="17">
        <f>IF(A2246=A2247,_xll.ciqfunctions.udf.CIQ(A2238,"IQ_TOTAL_DEBT_REPAID",IQ_FY-5), _xll.ciqfunctions.udf.CIQ(A2238, "IQ_TOTAL_DEBT_REPAID",IQ_FY-4))</f>
        <v>-74.647999999999996</v>
      </c>
      <c r="O2243" s="15">
        <f t="shared" si="597"/>
        <v>-0.55572110508128791</v>
      </c>
      <c r="P2243" s="15">
        <f t="shared" si="598"/>
        <v>1.5471080726405853</v>
      </c>
      <c r="Q2243" s="25" t="s">
        <v>27</v>
      </c>
      <c r="R2243" s="38" t="s">
        <v>51</v>
      </c>
      <c r="S2243" s="4">
        <f>AVERAGE(F2243:F2248)/AVERAGE(D2243:D2248)</f>
        <v>7.7749323762819775E-2</v>
      </c>
      <c r="U2243" s="25" t="s">
        <v>58</v>
      </c>
      <c r="V2243" s="38" t="s">
        <v>51</v>
      </c>
      <c r="W2243" s="4">
        <f>AVERAGE(F2243:F2248)/AVERAGE(D2243:D2248)</f>
        <v>7.7749323762819775E-2</v>
      </c>
      <c r="Y2243" s="25" t="s">
        <v>56</v>
      </c>
      <c r="Z2243" s="38" t="s">
        <v>51</v>
      </c>
      <c r="AA2243" s="4">
        <f>AVERAGE(F2243:F2248)/AVERAGE(D2243:D2248)</f>
        <v>7.7749323762819775E-2</v>
      </c>
    </row>
    <row r="2244" spans="1:27">
      <c r="A2244" s="18"/>
      <c r="B2244" s="13">
        <v>7</v>
      </c>
      <c r="C2244" s="14" t="s">
        <v>28</v>
      </c>
      <c r="D2244" s="15" cm="1">
        <f t="array" ref="D2244">_xlfn.SINGLE(IF(A2246=A2247,_xll.ciqfunctions.udf.CIQ(A2238,"IQ_TOTAL_REV",IQ_FY-4)/I2244, _xll.ciqfunctions.udf.CIQ(A2238, "IQ_TOTAL_REV",IQ_FY-3)/I2244))</f>
        <v>17.842051568484408</v>
      </c>
      <c r="E2244" s="16">
        <f t="shared" si="599"/>
        <v>1.3610290396064159E-2</v>
      </c>
      <c r="F2244" s="15">
        <f>IF(A2246=A2247,_xll.ciqfunctions.udf.CIQ(A2238,"IQ_DILUT_EPS_EXCL",IQ_FY-4), _xll.ciqfunctions.udf.CIQ(A2238, "IQ_DILUT_EPS_EXCL",IQ_FY-3))</f>
        <v>1.1499999999999999</v>
      </c>
      <c r="G2244" s="15">
        <f>IF(A2246=A2247,_xll.ciqfunctions.udf.CIQ(A2238,"IQ_EBITDA_MARGIN",IQ_FY-4), _xll.ciqfunctions.udf.CIQ(A2238, "IQ_EBITDA_MARGIN",IQ_FY-3))</f>
        <v>17.747900000000001</v>
      </c>
      <c r="H2244" s="15">
        <f>IF(A2246=A2247,_xll.ciqfunctions.udf.CIQ(A2238,"IQ_TOTAL_DIV_PAID_CF",IQ_FY-4)/-I2244, _xll.ciqfunctions.udf.CIQ(A2238, "IQ_TOTAL_DIV_PAID_CF",IQ_FY-3)/-I2244)</f>
        <v>0</v>
      </c>
      <c r="I2244" s="17">
        <f>IF(A2246=A2247,_xll.ciqfunctions.udf.CIQ(A2238,"IQ_TOTAL_OUTSTANDING_FILING_DATE",IQ_FY-4), _xll.ciqfunctions.udf.CIQ(A2238, "IQ_TOTAL_OUTSTANDING_FILING_DATE",IQ_FY-3))</f>
        <v>35.091200000000001</v>
      </c>
      <c r="J2244" s="17">
        <f>IF(A2246=A2247,_xll.ciqfunctions.udf.CIQ(A2238,"IQ_CASH_OPER",IQ_FY-4), _xll.ciqfunctions.udf.CIQ(A2238, "IQ_CASH_OPER",IQ_FY-3))</f>
        <v>63.247999999999998</v>
      </c>
      <c r="K2244" s="17">
        <f>IF(A2246=A2247,_xll.ciqfunctions.udf.CIQ(A2238,"IQ_CAPEX",IQ_FY-4), _xll.ciqfunctions.udf.CIQ(A2238, "IQ_CAPEX",IQ_FY-3))</f>
        <v>-10.743</v>
      </c>
      <c r="L2244" s="15">
        <f t="shared" si="596"/>
        <v>1.4962440725879991</v>
      </c>
      <c r="M2244" s="17">
        <f>IF(A2246=A2247,_xll.ciqfunctions.udf.CIQ(A2238,"IQ_TOTAL_DEBT_ISSUED",IQ_FY-4), _xll.ciqfunctions.udf.CIQ(A2238, "IQ_TOTAL_DEBT_ISSUED",IQ_FY-3))</f>
        <v>66.792000000000002</v>
      </c>
      <c r="N2244" s="17">
        <f>IF(A2246=A2247,_xll.ciqfunctions.udf.CIQ(A2238,"IQ_TOTAL_DEBT_REPAID",IQ_FY-4), _xll.ciqfunctions.udf.CIQ(A2238, "IQ_TOTAL_DEBT_REPAID",IQ_FY-3))</f>
        <v>-50.694000000000003</v>
      </c>
      <c r="O2244" s="15">
        <f t="shared" si="597"/>
        <v>0.45874749224876887</v>
      </c>
      <c r="P2244" s="15">
        <f t="shared" si="598"/>
        <v>1.9549915648367679</v>
      </c>
      <c r="Q2244" s="18"/>
      <c r="R2244" s="38" t="s">
        <v>29</v>
      </c>
      <c r="S2244" s="4">
        <f>(AVERAGE(P2243:P2248)/_xlfn.STDEV.P(P2243:P2248))/(IF(A2246=A2247,(_xlfn.SINGLE(_xll.ciqfunctions.udf.CIQ(A2238,"IQ_total_assets",IQ_FY)) - _xlfn.SINGLE(_xll.ciqfunctions.udf.CIQ(A2238,"iq_gw_intan", IQ_FY)))/I2248, (_xlfn.SINGLE(_xll.ciqfunctions.udf.CIQ(A2238, "IQ_total_assets",IQ_LTM))-_xlfn.SINGLE(_xll.ciqfunctions.udf.CIQ(A2238,"iq_gw_intan",IQ_LTM)))/I2248))</f>
        <v>6.5656690582496291E-2</v>
      </c>
      <c r="U2244" s="18"/>
      <c r="V2244" s="38" t="s">
        <v>29</v>
      </c>
      <c r="W2244" s="4">
        <f>(AVERAGE(P2243:P2248)/_xlfn.STDEV.P(P2243:P2248))/(IF(A2246=A2247,(_xlfn.SINGLE(_xll.ciqfunctions.udf.CIQ(A2238,"IQ_total_assets",IQ_FY)) - _xlfn.SINGLE(_xll.ciqfunctions.udf.CIQ(A2238,"iq_gw_intan", IQ_FY)))/I2248, (_xlfn.SINGLE(_xll.ciqfunctions.udf.CIQ(A2238, "IQ_total_assets",IQ_LTM))-_xlfn.SINGLE(_xll.ciqfunctions.udf.CIQ(A2238,"iq_gw_intan",IQ_LTM)))/I2248))</f>
        <v>6.5656690582496291E-2</v>
      </c>
      <c r="Y2244" s="18"/>
      <c r="Z2244" s="38" t="s">
        <v>29</v>
      </c>
      <c r="AA2244" s="4">
        <f>(AVERAGE(P2243:P2248)/_xlfn.STDEV.P(P2243:P2248))/(IF(A2246=A2247,(_xlfn.SINGLE(_xll.ciqfunctions.udf.CIQ(A2238,"IQ_total_assets",IQ_FY)) - _xlfn.SINGLE(_xll.ciqfunctions.udf.CIQ(A2238,"iq_gw_intan", IQ_FY)))/I2248, (_xlfn.SINGLE(_xll.ciqfunctions.udf.CIQ(A2238, "IQ_total_assets",IQ_LTM))-_xlfn.SINGLE(_xll.ciqfunctions.udf.CIQ(A2238,"iq_gw_intan",IQ_LTM)))/I2248))</f>
        <v>6.5656690582496291E-2</v>
      </c>
    </row>
    <row r="2245" spans="1:27">
      <c r="A2245" s="18"/>
      <c r="B2245" s="13">
        <v>8</v>
      </c>
      <c r="C2245" s="14" t="s">
        <v>30</v>
      </c>
      <c r="D2245" s="15" cm="1">
        <f t="array" ref="D2245">_xlfn.SINGLE(IF(A2246=A2247,_xll.ciqfunctions.udf.CIQ(A2238,"IQ_TOTAL_REV",IQ_FY-3)/I2245, _xll.ciqfunctions.udf.CIQ(A2238, "IQ_TOTAL_REV",IQ_FY-2)/I2245))</f>
        <v>16.72656863530845</v>
      </c>
      <c r="E2245" s="16">
        <f t="shared" si="599"/>
        <v>-6.2519880569469319E-2</v>
      </c>
      <c r="F2245" s="15">
        <f>IF(A2246=A2247,_xll.ciqfunctions.udf.CIQ(A2238,"IQ_DILUT_EPS_EXCL",IQ_FY-3), _xll.ciqfunctions.udf.CIQ(A2238, "IQ_DILUT_EPS_EXCL",IQ_FY-2))</f>
        <v>1.25</v>
      </c>
      <c r="G2245" s="15">
        <f>IF(A2246=A2247,_xll.ciqfunctions.udf.CIQ(A2238,"IQ_EBITDA_MARGIN",IQ_FY-3), _xll.ciqfunctions.udf.CIQ(A2238, "IQ_EBITDA_MARGIN",IQ_FY-2))</f>
        <v>16.604099999999999</v>
      </c>
      <c r="H2245" s="15">
        <f>IF(A2246=A2247,_xll.ciqfunctions.udf.CIQ(A2238,"IQ_TOTAL_DIV_PAID_CF",IQ_FY-3)/-I2245, _xll.ciqfunctions.udf.CIQ(A2238, "IQ_TOTAL_DIV_PAID_CF",IQ_FY-2)/-I2245)</f>
        <v>0</v>
      </c>
      <c r="I2245" s="17">
        <f>IF(A2246=A2247,_xll.ciqfunctions.udf.CIQ(A2238,"IQ_TOTAL_OUTSTANDING_FILING_DATE",IQ_FY-3), _xll.ciqfunctions.udf.CIQ(A2238, "IQ_TOTAL_OUTSTANDING_FILING_DATE",IQ_FY-2))</f>
        <v>35.310470000000002</v>
      </c>
      <c r="J2245" s="17">
        <f>IF(A2246=A2247,_xll.ciqfunctions.udf.CIQ(A2238,"IQ_CASH_OPER",IQ_FY-3), _xll.ciqfunctions.udf.CIQ(A2238, "IQ_CASH_OPER",IQ_FY-2))</f>
        <v>140.239</v>
      </c>
      <c r="K2245" s="17">
        <f>IF(A2246=A2247,_xll.ciqfunctions.udf.CIQ(A2238,"IQ_CAPEX",IQ_FY-3), _xll.ciqfunctions.udf.CIQ(A2238, "IQ_CAPEX",IQ_FY-2))</f>
        <v>-10.523999999999999</v>
      </c>
      <c r="L2245" s="15">
        <f t="shared" si="596"/>
        <v>3.673556313467365</v>
      </c>
      <c r="M2245" s="17">
        <f>IF(A2246=A2247,_xll.ciqfunctions.udf.CIQ(A2238,"IQ_TOTAL_DEBT_ISSUED",IQ_FY-3), _xll.ciqfunctions.udf.CIQ(A2238, "IQ_TOTAL_DEBT_ISSUED",IQ_FY-2))</f>
        <v>0</v>
      </c>
      <c r="N2245" s="17">
        <f>IF(A2246=A2247,_xll.ciqfunctions.udf.CIQ(A2238,"IQ_TOTAL_DEBT_REPAID",IQ_FY-3), _xll.ciqfunctions.udf.CIQ(A2238, "IQ_TOTAL_DEBT_REPAID",IQ_FY-2))</f>
        <v>-35.390999999999998</v>
      </c>
      <c r="O2245" s="15">
        <f t="shared" si="597"/>
        <v>-1.0022806266809814</v>
      </c>
      <c r="P2245" s="15">
        <f t="shared" si="598"/>
        <v>2.6712756867863838</v>
      </c>
      <c r="Q2245" s="18"/>
      <c r="R2245" s="39" t="s">
        <v>31</v>
      </c>
      <c r="S2245" s="5">
        <f>IF(NOT(D2238&gt;0),FALSE,SLOPE(G2238:G2248,B2238:B2248))</f>
        <v>0.50051727272727264</v>
      </c>
      <c r="U2245" s="18"/>
      <c r="V2245" s="39" t="s">
        <v>31</v>
      </c>
      <c r="W2245" s="5">
        <f>IF(NOT(D2238&gt;0),FALSE,SLOPE(G2238:G2248,B2238:B2248))</f>
        <v>0.50051727272727264</v>
      </c>
      <c r="Y2245" s="18"/>
      <c r="Z2245" s="39" t="s">
        <v>31</v>
      </c>
      <c r="AA2245" s="5">
        <f>IF(NOT(L2238&gt;0),FALSE,SLOPE(O2238:O2248,J2238:J2248))</f>
        <v>-1.3607422093485101E-2</v>
      </c>
    </row>
    <row r="2246" spans="1:27">
      <c r="A2246" s="19">
        <f>_xll.ciqfunctions.udf.CIQ(A2238,"IQ_TOTAL_REV",IQ_FY)</f>
        <v>860.90300000000002</v>
      </c>
      <c r="B2246" s="13">
        <v>9</v>
      </c>
      <c r="C2246" s="14" t="s">
        <v>32</v>
      </c>
      <c r="D2246" s="15" cm="1">
        <f t="array" ref="D2246">_xlfn.SINGLE(IF(A2246=A2247,_xll.ciqfunctions.udf.CIQ(A2238,"IQ_TOTAL_REV",IQ_FY-2)/I2246, _xll.ciqfunctions.udf.CIQ(A2238, "IQ_TOTAL_REV",IQ_FY-1)/I2246))</f>
        <v>19.837759871474294</v>
      </c>
      <c r="E2246" s="16">
        <f t="shared" si="599"/>
        <v>0.18600295757005222</v>
      </c>
      <c r="F2246" s="15">
        <f>IF(A2246=A2247,_xll.ciqfunctions.udf.CIQ(A2238,"IQ_DILUT_EPS_EXCL",IQ_FY-2), _xll.ciqfunctions.udf.CIQ(A2238, "IQ_DILUT_EPS_EXCL",IQ_FY-1))</f>
        <v>1.41</v>
      </c>
      <c r="G2246" s="15">
        <f>IF(A2246=A2247,_xll.ciqfunctions.udf.CIQ(A2238,"IQ_EBITDA_MARGIN",IQ_FY-2), _xll.ciqfunctions.udf.CIQ(A2238, "IQ_EBITDA_MARGIN",IQ_FY-1))</f>
        <v>17.895700000000001</v>
      </c>
      <c r="H2246" s="15">
        <f>IF(A2246=A2247,_xll.ciqfunctions.udf.CIQ(A2238,"IQ_TOTAL_DIV_PAID_CF",IQ_FY-2)/-I2246, _xll.ciqfunctions.udf.CIQ(A2238, "IQ_TOTAL_DIV_PAID_CF",IQ_FY-1)/-I2246)</f>
        <v>0</v>
      </c>
      <c r="I2246" s="17">
        <f>IF(A2246=A2247,_xll.ciqfunctions.udf.CIQ(A2238,"IQ_TOTAL_OUTSTANDING_FILING_DATE",IQ_FY-2), _xll.ciqfunctions.udf.CIQ(A2238, "IQ_TOTAL_OUTSTANDING_FILING_DATE",IQ_FY-1))</f>
        <v>35.62867</v>
      </c>
      <c r="J2246" s="17">
        <f>IF(A2246=A2247,_xll.ciqfunctions.udf.CIQ(A2238,"IQ_CASH_OPER",IQ_FY-2), _xll.ciqfunctions.udf.CIQ(A2238, "IQ_CASH_OPER",IQ_FY-1))</f>
        <v>94.625</v>
      </c>
      <c r="K2246" s="17">
        <f>IF(A2246=A2247,_xll.ciqfunctions.udf.CIQ(A2238,"IQ_CAPEX",IQ_FY-2), _xll.ciqfunctions.udf.CIQ(A2238, "IQ_CAPEX",IQ_FY-1))</f>
        <v>-19.975999999999999</v>
      </c>
      <c r="L2246" s="15">
        <f t="shared" si="596"/>
        <v>2.0951946845054841</v>
      </c>
      <c r="M2246" s="17">
        <f>IF(A2246=A2247,_xll.ciqfunctions.udf.CIQ(A2238,"IQ_TOTAL_DEBT_ISSUED",IQ_FY-2), _xll.ciqfunctions.udf.CIQ(A2238, "IQ_TOTAL_DEBT_ISSUED",IQ_FY-1))</f>
        <v>280</v>
      </c>
      <c r="N2246" s="17">
        <f>IF(A2246=A2247,_xll.ciqfunctions.udf.CIQ(A2238,"IQ_TOTAL_DEBT_REPAID",IQ_FY-2), _xll.ciqfunctions.udf.CIQ(A2238, "IQ_TOTAL_DEBT_REPAID",IQ_FY-1))</f>
        <v>-41.124000000000002</v>
      </c>
      <c r="O2246" s="15">
        <f t="shared" si="597"/>
        <v>6.7046005365903358</v>
      </c>
      <c r="P2246" s="15">
        <f t="shared" si="598"/>
        <v>8.7997952210958204</v>
      </c>
      <c r="Q2246" s="25" t="s">
        <v>33</v>
      </c>
      <c r="R2246" s="38" t="s">
        <v>52</v>
      </c>
      <c r="S2246" s="4">
        <f>(AVERAGE(O2243:O2248)/AVERAGE(P2243:P2248))</f>
        <v>0.17513805389615661</v>
      </c>
      <c r="U2246" s="25" t="s">
        <v>54</v>
      </c>
      <c r="V2246" s="38" t="s">
        <v>52</v>
      </c>
      <c r="W2246" s="4">
        <f>(AVERAGE(O2243:O2248)/AVERAGE(P2243:P2248))</f>
        <v>0.17513805389615661</v>
      </c>
      <c r="Y2246" s="25" t="s">
        <v>60</v>
      </c>
      <c r="Z2246" s="38" t="s">
        <v>52</v>
      </c>
      <c r="AA2246" s="4">
        <f>(AVERAGE(O2243:O2248)/AVERAGE(P2243:P2248))</f>
        <v>0.17513805389615661</v>
      </c>
    </row>
    <row r="2247" spans="1:27">
      <c r="A2247" s="19">
        <f>_xll.ciqfunctions.udf.CIQ(A2238,"IQ_TOTAL_REV",IQ_LTM)</f>
        <v>888.46600000000001</v>
      </c>
      <c r="B2247" s="13">
        <v>10</v>
      </c>
      <c r="C2247" s="14" t="s">
        <v>34</v>
      </c>
      <c r="D2247" s="15" cm="1">
        <f t="array" ref="D2247">_xlfn.SINGLE(IF(A2246=A2247,_xll.ciqfunctions.udf.CIQ(A2238,"IQ_TOTAL_REV",IQ_FY-1)/I2247, _xll.ciqfunctions.udf.CIQ(A2238, "IQ_TOTAL_REV",IQ_FY)/I2247))</f>
        <v>24.087233027569141</v>
      </c>
      <c r="E2247" s="16">
        <f t="shared" si="599"/>
        <v>0.21421134158425706</v>
      </c>
      <c r="F2247" s="15">
        <f>IF(A2246=A2247,_xll.ciqfunctions.udf.CIQ(A2238,"IQ_DILUT_EPS_EXCL",IQ_FY-1), _xll.ciqfunctions.udf.CIQ(A2238, "IQ_DILUT_EPS_EXCL",IQ_FY))</f>
        <v>2.06</v>
      </c>
      <c r="G2247" s="15">
        <f>IF(A2246=A2247,_xll.ciqfunctions.udf.CIQ(A2238,"IQ_EBITDA_MARGIN",IQ_FY-1), _xll.ciqfunctions.udf.CIQ(A2238, "IQ_EBITDA_MARGIN",IQ_FY))</f>
        <v>18.6996</v>
      </c>
      <c r="H2247" s="15">
        <f>IF(A2246=A2247,_xll.ciqfunctions.udf.CIQ(A2238,"IQ_TOTAL_DIV_PAID_CF",IQ_FY-1)/-I2247, _xll.ciqfunctions.udf.CIQ(A2238, "IQ_TOTAL_DIV_PAID_CF",IQ_FY)/-I2247)</f>
        <v>0</v>
      </c>
      <c r="I2247" s="17">
        <f>IF(A2246=A2247,_xll.ciqfunctions.udf.CIQ(A2238,"IQ_TOTAL_OUTSTANDING_FILING_DATE",IQ_FY-1), _xll.ciqfunctions.udf.CIQ(A2238, "IQ_TOTAL_OUTSTANDING_FILING_DATE",IQ_FY))</f>
        <v>35.741050000000001</v>
      </c>
      <c r="J2247" s="17">
        <f>IF(A2246=A2247,_xll.ciqfunctions.udf.CIQ(A2238,"IQ_CASH_OPER",IQ_FY-1), _xll.ciqfunctions.udf.CIQ(A2238, "IQ_CASH_OPER",IQ_FY))</f>
        <v>90.778999999999996</v>
      </c>
      <c r="K2247" s="17">
        <f>IF(A2246=A2247,_xll.ciqfunctions.udf.CIQ(A2238,"IQ_CAPEX",IQ_FY-1), _xll.ciqfunctions.udf.CIQ(A2238, "IQ_CAPEX",IQ_FY))</f>
        <v>-19.643000000000001</v>
      </c>
      <c r="L2247" s="15">
        <f t="shared" si="596"/>
        <v>1.9903164568472385</v>
      </c>
      <c r="M2247" s="17">
        <f>IF(A2246=A2247,_xll.ciqfunctions.udf.CIQ(A2238,"IQ_TOTAL_DEBT_ISSUED",IQ_FY-1), _xll.ciqfunctions.udf.CIQ(A2238, "IQ_TOTAL_DEBT_ISSUED",IQ_FY))</f>
        <v>69.941000000000003</v>
      </c>
      <c r="N2247" s="17">
        <f>IF(A2246=A2247,_xll.ciqfunctions.udf.CIQ(A2238,"IQ_TOTAL_DEBT_REPAID",IQ_FY-1), _xll.ciqfunctions.udf.CIQ(A2238, "IQ_TOTAL_DEBT_REPAID",IQ_FY))</f>
        <v>-59.029000000000003</v>
      </c>
      <c r="O2247" s="15">
        <f t="shared" si="597"/>
        <v>0.30530720278223494</v>
      </c>
      <c r="P2247" s="15">
        <f t="shared" si="598"/>
        <v>2.2956236596294732</v>
      </c>
      <c r="Q2247" s="25" t="s">
        <v>44</v>
      </c>
      <c r="R2247" s="38" t="s">
        <v>35</v>
      </c>
      <c r="S2247" s="1">
        <f>_xll.ciqfunctions.udf.CIQ(A2238,"IQ_TEV_EBITDA")</f>
        <v>29.793399999999998</v>
      </c>
      <c r="U2247" s="25" t="s">
        <v>55</v>
      </c>
      <c r="V2247" s="38" t="s">
        <v>53</v>
      </c>
      <c r="W2247" s="1">
        <f>V2237/(AVERAGE(D2243:D2248)/_xlfn.STDEV.P(E2243:E2248))</f>
        <v>0.74211403900136685</v>
      </c>
      <c r="Y2247" s="25" t="s">
        <v>57</v>
      </c>
      <c r="Z2247" s="38" t="s">
        <v>53</v>
      </c>
      <c r="AA2247" s="1">
        <f>Z2237/(AVERAGE(D2243:D2248)/_xlfn.STDEV.P(E2243:E2248))</f>
        <v>0.74211403900136685</v>
      </c>
    </row>
    <row r="2248" spans="1:27">
      <c r="B2248" s="13">
        <v>11</v>
      </c>
      <c r="C2248" s="20" t="s">
        <v>36</v>
      </c>
      <c r="D2248" s="21" cm="1">
        <f t="array" ref="D2248">_xlfn.SINGLE(IF(A2246=A2247,_xll.ciqfunctions.udf.CIQ(A2238,"IQ_TOTAL_REV",IQ_FY)/I2248, _xll.ciqfunctions.udf.CIQ(A2238, "IQ_TOTAL_REV",IQ_LTM)/I2248))</f>
        <v>24.810299363005743</v>
      </c>
      <c r="E2248" s="22">
        <f t="shared" si="599"/>
        <v>3.0018654886969115E-2</v>
      </c>
      <c r="F2248" s="21">
        <f>IF(A2246=A2247,_xll.ciqfunctions.udf.CIQ(A2238,"IQ_DILUT_EPS_EXCL",IQ_FY), _xll.ciqfunctions.udf.CIQ(A2238, "IQ_DILUT_EPS_EXCL",IQ_LTM))</f>
        <v>2.10039</v>
      </c>
      <c r="G2248" s="21">
        <f>IF(A2246=A2247,_xll.ciqfunctions.udf.CIQ(A2238,"IQ_EBITDA_MARGIN",IQ_FY), _xll.ciqfunctions.udf.CIQ(A2238, "IQ_EBITDA_MARGIN",IQ_LTM))</f>
        <v>19.491599999999998</v>
      </c>
      <c r="H2248" s="21">
        <f>IF(A2246=A2247,_xll.ciqfunctions.udf.CIQ(A2238,"IQ_TOTAL_DIV_PAID_CF",IQ_FY)/-I2248, _xll.ciqfunctions.udf.CIQ(A2238, "IQ_TOTAL_DIV_PAID_CF",IQ_LTM)/-I2248)</f>
        <v>0</v>
      </c>
      <c r="I2248" s="23">
        <f>IF(A2246=A2247,_xll.ciqfunctions.udf.CIQ(A2238,"IQ_TOTAL_OUTSTANDING_FILING_DATE",IQ_FY),_xll.ciqfunctions.udf.CIQ(A2238,"IQ_sharesoutstanding"))</f>
        <v>35.810369999999999</v>
      </c>
      <c r="J2248" s="23">
        <f>IF(A2246=A2247,_xll.ciqfunctions.udf.CIQ(A2238,"IQ_CASH_OPER",IQ_FY), _xll.ciqfunctions.udf.CIQ(A2238, "IQ_CASH_OPER",IQ_LTM))</f>
        <v>121.69499999999999</v>
      </c>
      <c r="K2248" s="23">
        <f>IF(A2246=A2247,_xll.ciqfunctions.udf.CIQ(A2238,"IQ_CAPEX",IQ_FY), _xll.ciqfunctions.udf.CIQ(A2238, "IQ_CAPEX",IQ_LTM))</f>
        <v>-17.998999999999999</v>
      </c>
      <c r="L2248" s="21">
        <f t="shared" si="596"/>
        <v>2.8956975311899877</v>
      </c>
      <c r="M2248" s="23">
        <f>IF(A2246=A2247,_xll.ciqfunctions.udf.CIQ(A2238,"IQ_TOTAL_DEBT_ISSUED",IQ_FY), _xll.ciqfunctions.udf.CIQ(A2238, "IQ_TOTAL_DEBT_ISSUED",IQ_LTM))</f>
        <v>0</v>
      </c>
      <c r="N2248" s="23">
        <f>IF(A2246=A2247,_xll.ciqfunctions.udf.CIQ(A2238,"IQ_TOTAL_DEBT_REPAID",IQ_FY), _xll.ciqfunctions.udf.CIQ(A2238, "IQ_TOTAL_DEBT_REPAID",IQ_LTM))</f>
        <v>-103.285</v>
      </c>
      <c r="O2248" s="21">
        <f t="shared" si="597"/>
        <v>-2.8842204087810317</v>
      </c>
      <c r="P2248" s="21">
        <f t="shared" si="598"/>
        <v>1.1477122408956042E-2</v>
      </c>
      <c r="Q2248" s="25" t="s">
        <v>45</v>
      </c>
      <c r="S2248" s="45"/>
      <c r="U2248" s="25"/>
      <c r="W2248" s="45"/>
      <c r="Y2248" s="25"/>
      <c r="AA2248" s="45"/>
    </row>
    <row r="2249" spans="1:27">
      <c r="B2249" s="24"/>
      <c r="C2249" s="25" t="s">
        <v>37</v>
      </c>
      <c r="E2249" s="26">
        <f>((D2248/D2243)^(1/5))-1</f>
        <v>7.105468452486563E-2</v>
      </c>
      <c r="F2249" s="27">
        <f>((F2248/F2243)^(1/5))-1</f>
        <v>7.9922975379885797E-2</v>
      </c>
      <c r="G2249" s="28"/>
      <c r="H2249" s="27" t="e">
        <f>((H2248/H2243)^(1/5))-1</f>
        <v>#DIV/0!</v>
      </c>
      <c r="I2249" s="27">
        <f>((I2248/I2243)^(1/5))-1</f>
        <v>5.1599660519372481E-3</v>
      </c>
      <c r="J2249" s="27"/>
      <c r="K2249" s="27"/>
      <c r="L2249" s="26">
        <f>((L2248/L2243)^(1/5))-1</f>
        <v>6.608010889778404E-2</v>
      </c>
      <c r="M2249" s="26"/>
      <c r="N2249" s="26"/>
      <c r="O2249" s="26"/>
      <c r="P2249" s="26">
        <f>((P2248/P2243)^(1/5))-1</f>
        <v>-0.62497305485754251</v>
      </c>
      <c r="Q2249" s="18"/>
      <c r="R2249" s="36"/>
      <c r="S2249" s="45"/>
      <c r="U2249" s="18"/>
      <c r="V2249" s="36"/>
      <c r="W2249" s="45"/>
      <c r="Y2249" s="18"/>
      <c r="Z2249" s="36"/>
      <c r="AA2249" s="45"/>
    </row>
    <row r="2250" spans="1:27">
      <c r="A2250" s="29"/>
      <c r="B2250" s="30"/>
      <c r="C2250" s="31" t="s">
        <v>38</v>
      </c>
      <c r="D2250" s="29"/>
      <c r="E2250" s="32">
        <f>((D2248/D2238)^(1/10))-1</f>
        <v>0.10291035867629272</v>
      </c>
      <c r="F2250" s="33">
        <f>((F2248/F2238)^(1/10))-1</f>
        <v>0.21896207662011391</v>
      </c>
      <c r="G2250" s="34"/>
      <c r="H2250" s="33" t="e">
        <f>((H2248/H2238)^(1/10))-1</f>
        <v>#DIV/0!</v>
      </c>
      <c r="I2250" s="33">
        <f>((I2248/I2238)^(1/10))-1</f>
        <v>5.1485980322747427E-3</v>
      </c>
      <c r="J2250" s="33"/>
      <c r="K2250" s="33"/>
      <c r="L2250" s="32">
        <f>((L2248/L2238)^(1/10))-1</f>
        <v>8.2891988587755483E-2</v>
      </c>
      <c r="M2250" s="32"/>
      <c r="N2250" s="32"/>
      <c r="O2250" s="32"/>
      <c r="P2250" s="32">
        <f>((P2248/P2238)^(1/10))-1</f>
        <v>-0.40124353642210753</v>
      </c>
      <c r="Q2250" s="40"/>
      <c r="R2250" s="41"/>
      <c r="S2250" s="46"/>
      <c r="U2250" s="40"/>
      <c r="V2250" s="41"/>
      <c r="W2250" s="46"/>
      <c r="Y2250" s="40"/>
      <c r="Z2250" s="41"/>
      <c r="AA2250" s="46"/>
    </row>
    <row r="2251" spans="1:27">
      <c r="B2251" s="24"/>
      <c r="C2251" s="25"/>
      <c r="E2251" s="26"/>
      <c r="F2251" s="27"/>
      <c r="G2251" s="28"/>
      <c r="H2251" s="27"/>
      <c r="I2251" s="27"/>
      <c r="J2251" s="27"/>
      <c r="K2251" s="27"/>
      <c r="L2251" s="26"/>
      <c r="M2251" s="17"/>
      <c r="N2251" s="17"/>
      <c r="O2251" s="17"/>
      <c r="P2251" s="35"/>
      <c r="Q2251" s="18"/>
      <c r="R2251" s="36"/>
    </row>
    <row r="2252" spans="1:27">
      <c r="A2252" s="9" t="s">
        <v>0</v>
      </c>
      <c r="B2252" s="10"/>
      <c r="C2252" s="9" t="s">
        <v>1</v>
      </c>
      <c r="D2252" s="9" t="s">
        <v>2</v>
      </c>
      <c r="E2252" s="9" t="s">
        <v>3</v>
      </c>
      <c r="F2252" s="11" t="s">
        <v>4</v>
      </c>
      <c r="G2252" s="11" t="s">
        <v>5</v>
      </c>
      <c r="H2252" s="9" t="s">
        <v>6</v>
      </c>
      <c r="I2252" s="11" t="s">
        <v>7</v>
      </c>
      <c r="J2252" s="11" t="s">
        <v>8</v>
      </c>
      <c r="K2252" s="11" t="s">
        <v>9</v>
      </c>
      <c r="L2252" s="11" t="s">
        <v>10</v>
      </c>
      <c r="M2252" s="11" t="s">
        <v>11</v>
      </c>
      <c r="N2252" s="11" t="s">
        <v>12</v>
      </c>
      <c r="O2252" s="11" t="s">
        <v>13</v>
      </c>
      <c r="P2252" s="11" t="s">
        <v>14</v>
      </c>
      <c r="Q2252" s="37" t="s">
        <v>15</v>
      </c>
      <c r="R2252" s="42">
        <f>_xll.ciqfunctions.udf.CIQ(A2253,("IQ_LASTSALEPRICE"))</f>
        <v>36.36</v>
      </c>
      <c r="S2252" s="44"/>
      <c r="U2252" s="37" t="s">
        <v>15</v>
      </c>
      <c r="V2252" s="42">
        <f>_xll.ciqfunctions.udf.CIQ(A2253,("IQ_LASTSALEPRICE"))</f>
        <v>36.36</v>
      </c>
      <c r="W2252" s="44"/>
      <c r="Y2252" s="37" t="s">
        <v>15</v>
      </c>
      <c r="Z2252" s="42">
        <f>_xll.ciqfunctions.udf.CIQ(A2253,("IQ_LASTSALEPRICE"))</f>
        <v>36.36</v>
      </c>
      <c r="AA2252" s="44"/>
    </row>
    <row r="2253" spans="1:27">
      <c r="A2253" s="12" t="str">
        <f>Analysis!B152</f>
        <v>NYSE:COHR</v>
      </c>
      <c r="B2253" s="13">
        <v>1</v>
      </c>
      <c r="C2253" s="14" t="s">
        <v>16</v>
      </c>
      <c r="D2253" s="15">
        <f>IF(A2261=A2262,_xll.ciqfunctions.udf.CIQ(A2253,"IQ_TOTAL_REV",IQ_FY-10)/I2253,_xll.ciqfunctions.udf.CIQ(A2253, "IQ_TOTAL_REV",IQ_FY-9)/I2253)</f>
        <v>11.123429578550498</v>
      </c>
      <c r="E2253" s="16"/>
      <c r="F2253" s="15">
        <f>IF(A2261=A2262,_xll.ciqfunctions.udf.CIQ(A2253,"IQ_DILUT_EPS_EXCL",IQ_FY-10), _xll.ciqfunctions.udf.CIQ(A2253, "IQ_DILUT_EPS_EXCL",IQ_FY-9))</f>
        <v>0.6</v>
      </c>
      <c r="G2253" s="15">
        <f>IF(A2261=A2262,_xll.ciqfunctions.udf.CIQ(A2253,"IQ_EBITDA_MARGIN",IQ_FY-10), _xll.ciqfunctions.udf.CIQ(A2253, "IQ_EBITDA_MARGIN",IQ_FY-9))</f>
        <v>15.174799999999999</v>
      </c>
      <c r="H2253" s="15">
        <f>IF(A2261=A2262,_xll.ciqfunctions.udf.CIQ(A2253,"IQ_TOTAL_DIV_PAID_CF",IQ_FY-10)/-I2253, _xll.ciqfunctions.udf.CIQ(A2253, "IQ_TOTAL_DIV_PAID_CF",IQ_FY-9)/-I2253)</f>
        <v>0</v>
      </c>
      <c r="I2253" s="17">
        <f>IF(A2261=A2262,_xll.ciqfunctions.udf.CIQ(A2253,"IQ_TOTAL_OUTSTANDING_FILING_DATE",IQ_FY-10), _xll.ciqfunctions.udf.CIQ(A2253, "IQ_TOTAL_OUTSTANDING_FILING_DATE",IQ_FY-9))</f>
        <v>61.42539</v>
      </c>
      <c r="J2253" s="17">
        <f>IF(A2261=A2262,_xll.ciqfunctions.udf.CIQ(A2253,"IQ_CASH_OPER",IQ_FY-10), _xll.ciqfunctions.udf.CIQ(A2253, "IQ_CASH_OPER",IQ_FY-9))</f>
        <v>95.462000000000003</v>
      </c>
      <c r="K2253" s="17">
        <f>IF(A2261=A2262,_xll.ciqfunctions.udf.CIQ(A2253,"IQ_CAPEX",IQ_FY-10), _xll.ciqfunctions.udf.CIQ(A2253, "IQ_CAPEX",IQ_FY-9))</f>
        <v>-29.22</v>
      </c>
      <c r="L2253" s="15">
        <f t="shared" ref="L2253:L2263" si="600">(J2253+K2253)/I2253</f>
        <v>1.0784139913478776</v>
      </c>
      <c r="M2253" s="17">
        <f>IF(A2261=A2262,_xll.ciqfunctions.udf.CIQ(A2253,"IQ_TOTAL_DEBT_ISSUED",IQ_FY-10), _xll.ciqfunctions.udf.CIQ(A2253, "IQ_TOTAL_DEBT_ISSUED",IQ_FY-9))</f>
        <v>183</v>
      </c>
      <c r="N2253" s="17">
        <f>IF(A2261=A2262,_xll.ciqfunctions.udf.CIQ(A2253,"IQ_TOTAL_DEBT_REPAID",IQ_FY-10), _xll.ciqfunctions.udf.CIQ(A2253, "IQ_TOTAL_DEBT_REPAID",IQ_FY-9))</f>
        <v>-55</v>
      </c>
      <c r="O2253" s="15">
        <f t="shared" ref="O2253:O2263" si="601">(M2253+N2253)/I2253</f>
        <v>2.0838288531826987</v>
      </c>
      <c r="P2253" s="15">
        <f t="shared" ref="P2253:P2263" si="602">L2253+O2253</f>
        <v>3.1622428445305761</v>
      </c>
      <c r="W2253" s="43"/>
      <c r="AA2253" s="43"/>
    </row>
    <row r="2254" spans="1:27">
      <c r="A2254" s="18" t="str">
        <f>_xll.ciqfunctions.udf.CIQ(A2253,"IQ_COMPANY_NAME")</f>
        <v>Coherent Corp.</v>
      </c>
      <c r="B2254" s="13">
        <v>2</v>
      </c>
      <c r="C2254" s="14" t="s">
        <v>17</v>
      </c>
      <c r="D2254" s="15">
        <f>IF(A2261=A2262,_xll.ciqfunctions.udf.CIQ(A2253,"IQ_TOTAL_REV",IQ_FY-9)/I2254, _xll.ciqfunctions.udf.CIQ(A2253, "IQ_TOTAL_REV",IQ_FY-8)/I2254)</f>
        <v>12.119094162797719</v>
      </c>
      <c r="E2254" s="16">
        <f t="shared" ref="E2254:E2263" si="603">(D2254-D2253)/D2253</f>
        <v>8.9510575602256531E-2</v>
      </c>
      <c r="F2254" s="15">
        <f>IF(A2261=A2262,_xll.ciqfunctions.udf.CIQ(A2253,"IQ_DILUT_EPS_EXCL",IQ_FY-9), _xll.ciqfunctions.udf.CIQ(A2253, "IQ_DILUT_EPS_EXCL",IQ_FY-8))</f>
        <v>1.05</v>
      </c>
      <c r="G2254" s="15">
        <f>IF(A2261=A2262,_xll.ciqfunctions.udf.CIQ(A2253,"IQ_EBITDA_MARGIN",IQ_FY-9), _xll.ciqfunctions.udf.CIQ(A2253, "IQ_EBITDA_MARGIN",IQ_FY-8))</f>
        <v>17.505199999999999</v>
      </c>
      <c r="H2254" s="15">
        <f>IF(A2261=A2262,_xll.ciqfunctions.udf.CIQ(A2253,"IQ_TOTAL_DIV_PAID_CF",IQ_FY-9)/-I2254, _xll.ciqfunctions.udf.CIQ(A2253, "IQ_TOTAL_DIV_PAID_CF",IQ_FY-8)/-I2254)</f>
        <v>0</v>
      </c>
      <c r="I2254" s="17">
        <f>IF(A2261=A2262,_xll.ciqfunctions.udf.CIQ(A2253,"IQ_TOTAL_OUTSTANDING_FILING_DATE",IQ_FY-9), _xll.ciqfunctions.udf.CIQ(A2253, "IQ_TOTAL_OUTSTANDING_FILING_DATE",IQ_FY-8))</f>
        <v>61.222479999999997</v>
      </c>
      <c r="J2254" s="17">
        <f>IF(A2261=A2262,_xll.ciqfunctions.udf.CIQ(A2253,"IQ_CASH_OPER",IQ_FY-9), _xll.ciqfunctions.udf.CIQ(A2253, "IQ_CASH_OPER",IQ_FY-8))</f>
        <v>129.36600000000001</v>
      </c>
      <c r="K2254" s="17">
        <f>IF(A2261=A2262,_xll.ciqfunctions.udf.CIQ(A2253,"IQ_CAPEX",IQ_FY-9), _xll.ciqfunctions.udf.CIQ(A2253, "IQ_CAPEX",IQ_FY-8))</f>
        <v>-52.313000000000002</v>
      </c>
      <c r="L2254" s="15">
        <f t="shared" si="600"/>
        <v>1.2585736481109555</v>
      </c>
      <c r="M2254" s="17">
        <f>IF(A2261=A2262,_xll.ciqfunctions.udf.CIQ(A2253,"IQ_TOTAL_DEBT_ISSUED",IQ_FY-9), _xll.ciqfunctions.udf.CIQ(A2253, "IQ_TOTAL_DEBT_ISSUED",IQ_FY-8))</f>
        <v>3</v>
      </c>
      <c r="N2254" s="17">
        <f>IF(A2261=A2262,_xll.ciqfunctions.udf.CIQ(A2253,"IQ_TOTAL_DEBT_REPAID",IQ_FY-9), _xll.ciqfunctions.udf.CIQ(A2253, "IQ_TOTAL_DEBT_REPAID",IQ_FY-8))</f>
        <v>-68.5</v>
      </c>
      <c r="O2254" s="15">
        <f t="shared" si="601"/>
        <v>-1.0698684535484353</v>
      </c>
      <c r="P2254" s="15">
        <f t="shared" si="602"/>
        <v>0.18870519456252022</v>
      </c>
      <c r="Q2254" s="25" t="s">
        <v>18</v>
      </c>
      <c r="R2254" s="39" t="s">
        <v>19</v>
      </c>
      <c r="S2254" s="1">
        <f>R2252/((AVERAGE(P2258:P2263))*(1+E2264)^3)</f>
        <v>4.8858753559796675</v>
      </c>
      <c r="U2254" s="25" t="s">
        <v>48</v>
      </c>
      <c r="V2254" s="39" t="s">
        <v>19</v>
      </c>
      <c r="W2254" s="1">
        <f>V2252/((AVERAGE(P2258:P2263))*(1+E2264)^3)</f>
        <v>4.8858753559796675</v>
      </c>
      <c r="Y2254" s="25" t="s">
        <v>39</v>
      </c>
      <c r="Z2254" s="39" t="s">
        <v>19</v>
      </c>
      <c r="AA2254" s="1">
        <f>Z2252/((AVERAGE(P2258:P2263))*(1+E2264)^3)</f>
        <v>4.8858753559796675</v>
      </c>
    </row>
    <row r="2255" spans="1:27">
      <c r="B2255" s="13">
        <v>3</v>
      </c>
      <c r="C2255" s="14" t="s">
        <v>20</v>
      </c>
      <c r="D2255" s="15" cm="1">
        <f t="array" ref="D2255">_xlfn.SINGLE(IF(A2261=A2262,_xll.ciqfunctions.udf.CIQ(A2253,"IQ_TOTAL_REV",IQ_FY-8)/I2255, _xll.ciqfunctions.udf.CIQ(A2253, "IQ_TOTAL_REV",IQ_FY-7)/I2255))</f>
        <v>13.206465167663945</v>
      </c>
      <c r="E2255" s="16">
        <f t="shared" si="603"/>
        <v>8.9723785479293924E-2</v>
      </c>
      <c r="F2255" s="15">
        <f>IF(A2261=A2262,_xll.ciqfunctions.udf.CIQ(A2253,"IQ_DILUT_EPS_EXCL",IQ_FY-8), _xll.ciqfunctions.udf.CIQ(A2253, "IQ_DILUT_EPS_EXCL",IQ_FY-7))</f>
        <v>1.04</v>
      </c>
      <c r="G2255" s="15">
        <f>IF(A2261=A2262,_xll.ciqfunctions.udf.CIQ(A2253,"IQ_EBITDA_MARGIN",IQ_FY-8), _xll.ciqfunctions.udf.CIQ(A2253, "IQ_EBITDA_MARGIN",IQ_FY-7))</f>
        <v>17.948799999999999</v>
      </c>
      <c r="H2255" s="15">
        <f>IF(A2261=A2262,_xll.ciqfunctions.udf.CIQ(A2253,"IQ_TOTAL_DIV_PAID_CF",IQ_FY-8)/-I2255, _xll.ciqfunctions.udf.CIQ(A2253, "IQ_TOTAL_DIV_PAID_CF",IQ_FY-7)/-I2255)</f>
        <v>0</v>
      </c>
      <c r="I2255" s="17">
        <f>IF(A2261=A2262,_xll.ciqfunctions.udf.CIQ(A2253,"IQ_TOTAL_OUTSTANDING_FILING_DATE",IQ_FY-8), _xll.ciqfunctions.udf.CIQ(A2253, "IQ_TOTAL_OUTSTANDING_FILING_DATE",IQ_FY-7))</f>
        <v>62.6372</v>
      </c>
      <c r="J2255" s="17">
        <f>IF(A2261=A2262,_xll.ciqfunctions.udf.CIQ(A2253,"IQ_CASH_OPER",IQ_FY-8), _xll.ciqfunctions.udf.CIQ(A2253, "IQ_CASH_OPER",IQ_FY-7))</f>
        <v>122.97</v>
      </c>
      <c r="K2255" s="17">
        <f>IF(A2261=A2262,_xll.ciqfunctions.udf.CIQ(A2253,"IQ_CAPEX",IQ_FY-8), _xll.ciqfunctions.udf.CIQ(A2253, "IQ_CAPEX",IQ_FY-7))</f>
        <v>-58.17</v>
      </c>
      <c r="L2255" s="15">
        <f t="shared" si="600"/>
        <v>1.0345290019349525</v>
      </c>
      <c r="M2255" s="17">
        <f>IF(A2261=A2262,_xll.ciqfunctions.udf.CIQ(A2253,"IQ_TOTAL_DEBT_ISSUED",IQ_FY-8), _xll.ciqfunctions.udf.CIQ(A2253, "IQ_TOTAL_DEBT_ISSUED",IQ_FY-7))</f>
        <v>125.2</v>
      </c>
      <c r="N2255" s="17">
        <f>IF(A2261=A2262,_xll.ciqfunctions.udf.CIQ(A2253,"IQ_TOTAL_DEBT_REPAID",IQ_FY-8), _xll.ciqfunctions.udf.CIQ(A2253, "IQ_TOTAL_DEBT_REPAID",IQ_FY-7))</f>
        <v>-65.7</v>
      </c>
      <c r="O2255" s="15">
        <f t="shared" si="601"/>
        <v>0.94991474714706281</v>
      </c>
      <c r="P2255" s="15">
        <f t="shared" si="602"/>
        <v>1.9844437490820153</v>
      </c>
      <c r="Q2255" s="25" t="s">
        <v>21</v>
      </c>
      <c r="R2255" s="38" t="s">
        <v>49</v>
      </c>
      <c r="S2255" s="2">
        <f>(R2252*I2263)/1000</f>
        <v>5.5078971551999993</v>
      </c>
      <c r="U2255" s="25" t="s">
        <v>59</v>
      </c>
      <c r="V2255" s="38" t="s">
        <v>49</v>
      </c>
      <c r="W2255" s="2">
        <f>(V2252*I2263)/1000</f>
        <v>5.5078971551999993</v>
      </c>
      <c r="Y2255" s="25" t="s">
        <v>46</v>
      </c>
      <c r="Z2255" s="38" t="s">
        <v>49</v>
      </c>
      <c r="AA2255" s="2">
        <f>(Z2252*I2263)/1000</f>
        <v>5.5078971551999993</v>
      </c>
    </row>
    <row r="2256" spans="1:27">
      <c r="A2256" s="18"/>
      <c r="B2256" s="13">
        <v>4</v>
      </c>
      <c r="C2256" s="14" t="s">
        <v>22</v>
      </c>
      <c r="D2256" s="15" cm="1">
        <f t="array" ref="D2256">_xlfn.SINGLE(IF(A2261=A2262,_xll.ciqfunctions.udf.CIQ(A2253,"IQ_TOTAL_REV",IQ_FY-7)/I2256, _xll.ciqfunctions.udf.CIQ(A2253, "IQ_TOTAL_REV",IQ_FY-6)/I2256))</f>
        <v>15.361146860785292</v>
      </c>
      <c r="E2256" s="16">
        <f t="shared" si="603"/>
        <v>0.16315355136793827</v>
      </c>
      <c r="F2256" s="15">
        <f>IF(A2261=A2262,_xll.ciqfunctions.udf.CIQ(A2253,"IQ_DILUT_EPS_EXCL",IQ_FY-7), _xll.ciqfunctions.udf.CIQ(A2253, "IQ_DILUT_EPS_EXCL",IQ_FY-6))</f>
        <v>1.48</v>
      </c>
      <c r="G2256" s="15">
        <f>IF(A2261=A2262,_xll.ciqfunctions.udf.CIQ(A2253,"IQ_EBITDA_MARGIN",IQ_FY-7), _xll.ciqfunctions.udf.CIQ(A2253, "IQ_EBITDA_MARGIN",IQ_FY-6))</f>
        <v>18.691800000000001</v>
      </c>
      <c r="H2256" s="15">
        <f>IF(A2261=A2262,_xll.ciqfunctions.udf.CIQ(A2253,"IQ_TOTAL_DIV_PAID_CF",IQ_FY-7)/-I2256, _xll.ciqfunctions.udf.CIQ(A2253, "IQ_TOTAL_DIV_PAID_CF",IQ_FY-6)/-I2256)</f>
        <v>0</v>
      </c>
      <c r="I2256" s="17">
        <f>IF(A2261=A2262,_xll.ciqfunctions.udf.CIQ(A2253,"IQ_TOTAL_OUTSTANDING_FILING_DATE",IQ_FY-7), _xll.ciqfunctions.udf.CIQ(A2253, "IQ_TOTAL_OUTSTANDING_FILING_DATE",IQ_FY-6))</f>
        <v>63.279519999999998</v>
      </c>
      <c r="J2256" s="17">
        <f>IF(A2261=A2262,_xll.ciqfunctions.udf.CIQ(A2253,"IQ_CASH_OPER",IQ_FY-7), _xll.ciqfunctions.udf.CIQ(A2253, "IQ_CASH_OPER",IQ_FY-6))</f>
        <v>118.616</v>
      </c>
      <c r="K2256" s="17">
        <f>IF(A2261=A2262,_xll.ciqfunctions.udf.CIQ(A2253,"IQ_CAPEX",IQ_FY-7), _xll.ciqfunctions.udf.CIQ(A2253, "IQ_CAPEX",IQ_FY-6))</f>
        <v>-138.517</v>
      </c>
      <c r="L2256" s="15">
        <f t="shared" si="600"/>
        <v>-0.31449353598130952</v>
      </c>
      <c r="M2256" s="17">
        <f>IF(A2261=A2262,_xll.ciqfunctions.udf.CIQ(A2253,"IQ_TOTAL_DEBT_ISSUED",IQ_FY-7), _xll.ciqfunctions.udf.CIQ(A2253, "IQ_TOTAL_DEBT_ISSUED",IQ_FY-6))</f>
        <v>129</v>
      </c>
      <c r="N2256" s="17">
        <f>IF(A2261=A2262,_xll.ciqfunctions.udf.CIQ(A2253,"IQ_TOTAL_DEBT_REPAID",IQ_FY-7), _xll.ciqfunctions.udf.CIQ(A2253, "IQ_TOTAL_DEBT_REPAID",IQ_FY-6))</f>
        <v>-25</v>
      </c>
      <c r="O2256" s="15">
        <f t="shared" si="601"/>
        <v>1.6435017206198783</v>
      </c>
      <c r="P2256" s="15">
        <f t="shared" si="602"/>
        <v>1.3290081846385688</v>
      </c>
      <c r="Q2256" s="25" t="s">
        <v>23</v>
      </c>
      <c r="R2256" s="38" t="s">
        <v>24</v>
      </c>
      <c r="S2256" s="1" t="e">
        <f>R2252/(AVERAGE(H2258:H2263)*(1+H2264)/(0.5-H2264))</f>
        <v>#DIV/0!</v>
      </c>
      <c r="U2256" s="25" t="s">
        <v>40</v>
      </c>
      <c r="V2256" s="38" t="s">
        <v>24</v>
      </c>
      <c r="W2256" s="1" t="e">
        <f>V2252/(AVERAGE(H2258:H2263)*(1+H2264)/(0.5-H2264))</f>
        <v>#DIV/0!</v>
      </c>
      <c r="Y2256" s="25" t="s">
        <v>47</v>
      </c>
      <c r="Z2256" s="38" t="s">
        <v>24</v>
      </c>
      <c r="AA2256" s="1" t="e">
        <f>Z2252/(AVERAGE(H2258:H2263)*(1+H2264)/(0.5-H2264))</f>
        <v>#DIV/0!</v>
      </c>
    </row>
    <row r="2257" spans="1:27">
      <c r="B2257" s="13">
        <v>5</v>
      </c>
      <c r="C2257" s="14" t="s">
        <v>25</v>
      </c>
      <c r="D2257" s="15" cm="1">
        <f t="array" ref="D2257">_xlfn.SINGLE(IF(A2261=A2262,_xll.ciqfunctions.udf.CIQ(A2253,"IQ_TOTAL_REV",IQ_FY-6)/I2257, _xll.ciqfunctions.udf.CIQ(A2253, "IQ_TOTAL_REV",IQ_FY-5)/I2257))</f>
        <v>18.221214679506705</v>
      </c>
      <c r="E2257" s="16">
        <f t="shared" si="603"/>
        <v>0.18618843011147418</v>
      </c>
      <c r="F2257" s="15">
        <f>IF(A2261=A2262,_xll.ciqfunctions.udf.CIQ(A2253,"IQ_DILUT_EPS_EXCL",IQ_FY-6), _xll.ciqfunctions.udf.CIQ(A2253, "IQ_DILUT_EPS_EXCL",IQ_FY-5))</f>
        <v>1.35</v>
      </c>
      <c r="G2257" s="15">
        <f>IF(A2261=A2262,_xll.ciqfunctions.udf.CIQ(A2253,"IQ_EBITDA_MARGIN",IQ_FY-6), _xll.ciqfunctions.udf.CIQ(A2253, "IQ_EBITDA_MARGIN",IQ_FY-5))</f>
        <v>18.772300000000001</v>
      </c>
      <c r="H2257" s="15">
        <f>IF(A2261=A2262,_xll.ciqfunctions.udf.CIQ(A2253,"IQ_TOTAL_DIV_PAID_CF",IQ_FY-6)/-I2257, _xll.ciqfunctions.udf.CIQ(A2253, "IQ_TOTAL_DIV_PAID_CF",IQ_FY-5)/-I2257)</f>
        <v>0</v>
      </c>
      <c r="I2257" s="17">
        <f>IF(A2261=A2262,_xll.ciqfunctions.udf.CIQ(A2253,"IQ_TOTAL_OUTSTANDING_FILING_DATE",IQ_FY-6), _xll.ciqfunctions.udf.CIQ(A2253, "IQ_TOTAL_OUTSTANDING_FILING_DATE",IQ_FY-5))</f>
        <v>63.595869999999998</v>
      </c>
      <c r="J2257" s="17">
        <f>IF(A2261=A2262,_xll.ciqfunctions.udf.CIQ(A2253,"IQ_CASH_OPER",IQ_FY-6), _xll.ciqfunctions.udf.CIQ(A2253, "IQ_CASH_OPER",IQ_FY-5))</f>
        <v>161.01400000000001</v>
      </c>
      <c r="K2257" s="17">
        <f>IF(A2261=A2262,_xll.ciqfunctions.udf.CIQ(A2253,"IQ_CAPEX",IQ_FY-6), _xll.ciqfunctions.udf.CIQ(A2253, "IQ_CAPEX",IQ_FY-5))</f>
        <v>-153.43799999999999</v>
      </c>
      <c r="L2257" s="15">
        <f t="shared" si="600"/>
        <v>0.11912723263318864</v>
      </c>
      <c r="M2257" s="17">
        <f>IF(A2261=A2262,_xll.ciqfunctions.udf.CIQ(A2253,"IQ_TOTAL_DEBT_ISSUED",IQ_FY-6), _xll.ciqfunctions.udf.CIQ(A2253, "IQ_TOTAL_DEBT_ISSUED",IQ_FY-5))</f>
        <v>445</v>
      </c>
      <c r="N2257" s="17">
        <f>IF(A2261=A2262,_xll.ciqfunctions.udf.CIQ(A2253,"IQ_TOTAL_DEBT_REPAID",IQ_FY-6), _xll.ciqfunctions.udf.CIQ(A2253, "IQ_TOTAL_DEBT_REPAID",IQ_FY-5))</f>
        <v>-292</v>
      </c>
      <c r="O2257" s="15">
        <f t="shared" si="601"/>
        <v>2.4058166041285385</v>
      </c>
      <c r="P2257" s="15">
        <f t="shared" si="602"/>
        <v>2.524943836761727</v>
      </c>
      <c r="Q2257" s="18"/>
      <c r="R2257" s="38" t="s">
        <v>50</v>
      </c>
      <c r="S2257" s="3">
        <f>I2264</f>
        <v>0.18950477775592667</v>
      </c>
      <c r="U2257" s="18"/>
      <c r="V2257" s="38" t="s">
        <v>50</v>
      </c>
      <c r="W2257" s="3">
        <f>I2264</f>
        <v>0.18950477775592667</v>
      </c>
      <c r="Y2257" s="18"/>
      <c r="Z2257" s="38" t="s">
        <v>50</v>
      </c>
      <c r="AA2257" s="3">
        <f>I2264</f>
        <v>0.18950477775592667</v>
      </c>
    </row>
    <row r="2258" spans="1:27">
      <c r="B2258" s="13">
        <v>6</v>
      </c>
      <c r="C2258" s="14" t="s">
        <v>26</v>
      </c>
      <c r="D2258" s="15" cm="1">
        <f t="array" ref="D2258">_xlfn.SINGLE(IF(A2261=A2262,_xll.ciqfunctions.udf.CIQ(A2253,"IQ_TOTAL_REV",IQ_FY-5)/I2258, _xll.ciqfunctions.udf.CIQ(A2253, "IQ_TOTAL_REV",IQ_FY-4)/I2258))</f>
        <v>21.419249115166259</v>
      </c>
      <c r="E2258" s="16">
        <f t="shared" si="603"/>
        <v>0.17551159414505804</v>
      </c>
      <c r="F2258" s="15">
        <f>IF(A2261=A2262,_xll.ciqfunctions.udf.CIQ(A2253,"IQ_DILUT_EPS_EXCL",IQ_FY-5), _xll.ciqfunctions.udf.CIQ(A2253, "IQ_DILUT_EPS_EXCL",IQ_FY-4))</f>
        <v>1.63</v>
      </c>
      <c r="G2258" s="15">
        <f>IF(A2261=A2262,_xll.ciqfunctions.udf.CIQ(A2253,"IQ_EBITDA_MARGIN",IQ_FY-5), _xll.ciqfunctions.udf.CIQ(A2253, "IQ_EBITDA_MARGIN",IQ_FY-4))</f>
        <v>17.6905</v>
      </c>
      <c r="H2258" s="15">
        <f>IF(A2261=A2262,_xll.ciqfunctions.udf.CIQ(A2253,"IQ_TOTAL_DIV_PAID_CF",IQ_FY-5)/-I2258, _xll.ciqfunctions.udf.CIQ(A2253, "IQ_TOTAL_DIV_PAID_CF",IQ_FY-4)/-I2258)</f>
        <v>0</v>
      </c>
      <c r="I2258" s="17">
        <f>IF(A2261=A2262,_xll.ciqfunctions.udf.CIQ(A2253,"IQ_TOTAL_OUTSTANDING_FILING_DATE",IQ_FY-5), _xll.ciqfunctions.udf.CIQ(A2253, "IQ_TOTAL_OUTSTANDING_FILING_DATE",IQ_FY-4))</f>
        <v>63.610819999999997</v>
      </c>
      <c r="J2258" s="17">
        <f>IF(A2261=A2262,_xll.ciqfunctions.udf.CIQ(A2253,"IQ_CASH_OPER",IQ_FY-5), _xll.ciqfunctions.udf.CIQ(A2253, "IQ_CASH_OPER",IQ_FY-4))</f>
        <v>178.47499999999999</v>
      </c>
      <c r="K2258" s="17">
        <f>IF(A2261=A2262,_xll.ciqfunctions.udf.CIQ(A2253,"IQ_CAPEX",IQ_FY-5), _xll.ciqfunctions.udf.CIQ(A2253, "IQ_CAPEX",IQ_FY-4))</f>
        <v>-137.12200000000001</v>
      </c>
      <c r="L2258" s="15">
        <f t="shared" si="600"/>
        <v>0.65009380479610201</v>
      </c>
      <c r="M2258" s="17">
        <f>IF(A2261=A2262,_xll.ciqfunctions.udf.CIQ(A2253,"IQ_TOTAL_DEBT_ISSUED",IQ_FY-5), _xll.ciqfunctions.udf.CIQ(A2253, "IQ_TOTAL_DEBT_ISSUED",IQ_FY-4))</f>
        <v>150</v>
      </c>
      <c r="N2258" s="17">
        <f>IF(A2261=A2262,_xll.ciqfunctions.udf.CIQ(A2253,"IQ_TOTAL_DEBT_REPAID",IQ_FY-5), _xll.ciqfunctions.udf.CIQ(A2253, "IQ_TOTAL_DEBT_REPAID",IQ_FY-4))</f>
        <v>-135</v>
      </c>
      <c r="O2258" s="15">
        <f t="shared" si="601"/>
        <v>0.23580893942256995</v>
      </c>
      <c r="P2258" s="15">
        <f t="shared" si="602"/>
        <v>0.88590274421867199</v>
      </c>
      <c r="Q2258" s="25" t="s">
        <v>27</v>
      </c>
      <c r="R2258" s="38" t="s">
        <v>51</v>
      </c>
      <c r="S2258" s="4">
        <f>AVERAGE(F2258:F2263)/AVERAGE(D2258:D2263)</f>
        <v>-7.7765847691817526E-3</v>
      </c>
      <c r="U2258" s="25" t="s">
        <v>58</v>
      </c>
      <c r="V2258" s="38" t="s">
        <v>51</v>
      </c>
      <c r="W2258" s="4">
        <f>AVERAGE(F2258:F2263)/AVERAGE(D2258:D2263)</f>
        <v>-7.7765847691817526E-3</v>
      </c>
      <c r="Y2258" s="25" t="s">
        <v>56</v>
      </c>
      <c r="Z2258" s="38" t="s">
        <v>51</v>
      </c>
      <c r="AA2258" s="4">
        <f>AVERAGE(F2258:F2263)/AVERAGE(D2258:D2263)</f>
        <v>-7.7765847691817526E-3</v>
      </c>
    </row>
    <row r="2259" spans="1:27">
      <c r="A2259" s="18"/>
      <c r="B2259" s="13">
        <v>7</v>
      </c>
      <c r="C2259" s="14" t="s">
        <v>28</v>
      </c>
      <c r="D2259" s="15" cm="1">
        <f t="array" ref="D2259">_xlfn.SINGLE(IF(A2261=A2262,_xll.ciqfunctions.udf.CIQ(A2253,"IQ_TOTAL_REV",IQ_FY-4)/I2259, _xll.ciqfunctions.udf.CIQ(A2253, "IQ_TOTAL_REV",IQ_FY-3)/I2259))</f>
        <v>22.958509230781694</v>
      </c>
      <c r="E2259" s="16">
        <f t="shared" si="603"/>
        <v>7.1863402276111307E-2</v>
      </c>
      <c r="F2259" s="15">
        <f>IF(A2261=A2262,_xll.ciqfunctions.udf.CIQ(A2253,"IQ_DILUT_EPS_EXCL",IQ_FY-4), _xll.ciqfunctions.udf.CIQ(A2253, "IQ_DILUT_EPS_EXCL",IQ_FY-3))</f>
        <v>-0.79017999999999999</v>
      </c>
      <c r="G2259" s="15">
        <f>IF(A2261=A2262,_xll.ciqfunctions.udf.CIQ(A2253,"IQ_EBITDA_MARGIN",IQ_FY-4), _xll.ciqfunctions.udf.CIQ(A2253, "IQ_EBITDA_MARGIN",IQ_FY-3))</f>
        <v>14.623900000000001</v>
      </c>
      <c r="H2259" s="15">
        <f>IF(A2261=A2262,_xll.ciqfunctions.udf.CIQ(A2253,"IQ_TOTAL_DIV_PAID_CF",IQ_FY-4)/-I2259, _xll.ciqfunctions.udf.CIQ(A2253, "IQ_TOTAL_DIV_PAID_CF",IQ_FY-3)/-I2259)</f>
        <v>0</v>
      </c>
      <c r="I2259" s="17">
        <f>IF(A2261=A2262,_xll.ciqfunctions.udf.CIQ(A2253,"IQ_TOTAL_OUTSTANDING_FILING_DATE",IQ_FY-4), _xll.ciqfunctions.udf.CIQ(A2253, "IQ_TOTAL_OUTSTANDING_FILING_DATE",IQ_FY-3))</f>
        <v>103.66836000000001</v>
      </c>
      <c r="J2259" s="17">
        <f>IF(A2261=A2262,_xll.ciqfunctions.udf.CIQ(A2253,"IQ_CASH_OPER",IQ_FY-4), _xll.ciqfunctions.udf.CIQ(A2253, "IQ_CASH_OPER",IQ_FY-3))</f>
        <v>297.29199999999997</v>
      </c>
      <c r="K2259" s="17">
        <f>IF(A2261=A2262,_xll.ciqfunctions.udf.CIQ(A2253,"IQ_CAPEX",IQ_FY-4), _xll.ciqfunctions.udf.CIQ(A2253, "IQ_CAPEX",IQ_FY-3))</f>
        <v>-136.87700000000001</v>
      </c>
      <c r="L2259" s="15">
        <f t="shared" si="600"/>
        <v>1.5473862999279622</v>
      </c>
      <c r="M2259" s="17">
        <f>IF(A2261=A2262,_xll.ciqfunctions.udf.CIQ(A2253,"IQ_TOTAL_DEBT_ISSUED",IQ_FY-4), _xll.ciqfunctions.udf.CIQ(A2253, "IQ_TOTAL_DEBT_ISSUED",IQ_FY-3))</f>
        <v>2131</v>
      </c>
      <c r="N2259" s="17">
        <f>IF(A2261=A2262,_xll.ciqfunctions.udf.CIQ(A2253,"IQ_TOTAL_DEBT_REPAID",IQ_FY-4), _xll.ciqfunctions.udf.CIQ(A2253, "IQ_TOTAL_DEBT_REPAID",IQ_FY-3))</f>
        <v>-874.66800000000001</v>
      </c>
      <c r="O2259" s="15">
        <f t="shared" si="601"/>
        <v>12.118760246617192</v>
      </c>
      <c r="P2259" s="15">
        <f t="shared" si="602"/>
        <v>13.666146546545155</v>
      </c>
      <c r="Q2259" s="18"/>
      <c r="R2259" s="38" t="s">
        <v>29</v>
      </c>
      <c r="S2259" s="4">
        <f>(AVERAGE(P2258:P2263)/_xlfn.STDEV.P(P2258:P2263))/(IF(A2261=A2262,(_xlfn.SINGLE(_xll.ciqfunctions.udf.CIQ(A2253,"IQ_total_assets",IQ_FY)) - _xlfn.SINGLE(_xll.ciqfunctions.udf.CIQ(A2253,"iq_gw_intan", IQ_FY)))/I2263, (_xlfn.SINGLE(_xll.ciqfunctions.udf.CIQ(A2253, "IQ_total_assets",IQ_LTM))-_xlfn.SINGLE(_xll.ciqfunctions.udf.CIQ(A2253,"iq_gw_intan",IQ_LTM)))/I2263))</f>
        <v>2.1277032609700802E-2</v>
      </c>
      <c r="U2259" s="18"/>
      <c r="V2259" s="38" t="s">
        <v>29</v>
      </c>
      <c r="W2259" s="4">
        <f>(AVERAGE(P2258:P2263)/_xlfn.STDEV.P(P2258:P2263))/(IF(A2261=A2262,(_xlfn.SINGLE(_xll.ciqfunctions.udf.CIQ(A2253,"IQ_total_assets",IQ_FY)) - _xlfn.SINGLE(_xll.ciqfunctions.udf.CIQ(A2253,"iq_gw_intan", IQ_FY)))/I2263, (_xlfn.SINGLE(_xll.ciqfunctions.udf.CIQ(A2253, "IQ_total_assets",IQ_LTM))-_xlfn.SINGLE(_xll.ciqfunctions.udf.CIQ(A2253,"iq_gw_intan",IQ_LTM)))/I2263))</f>
        <v>2.1277032609700802E-2</v>
      </c>
      <c r="Y2259" s="18"/>
      <c r="Z2259" s="38" t="s">
        <v>29</v>
      </c>
      <c r="AA2259" s="4">
        <f>(AVERAGE(P2258:P2263)/_xlfn.STDEV.P(P2258:P2263))/(IF(A2261=A2262,(_xlfn.SINGLE(_xll.ciqfunctions.udf.CIQ(A2253,"IQ_total_assets",IQ_FY)) - _xlfn.SINGLE(_xll.ciqfunctions.udf.CIQ(A2253,"iq_gw_intan", IQ_FY)))/I2263, (_xlfn.SINGLE(_xll.ciqfunctions.udf.CIQ(A2253, "IQ_total_assets",IQ_LTM))-_xlfn.SINGLE(_xll.ciqfunctions.udf.CIQ(A2253,"iq_gw_intan",IQ_LTM)))/I2263))</f>
        <v>2.1277032609700802E-2</v>
      </c>
    </row>
    <row r="2260" spans="1:27">
      <c r="A2260" s="18"/>
      <c r="B2260" s="13">
        <v>8</v>
      </c>
      <c r="C2260" s="14" t="s">
        <v>30</v>
      </c>
      <c r="D2260" s="15" cm="1">
        <f t="array" ref="D2260">_xlfn.SINGLE(IF(A2261=A2262,_xll.ciqfunctions.udf.CIQ(A2253,"IQ_TOTAL_REV",IQ_FY-3)/I2260, _xll.ciqfunctions.udf.CIQ(A2253, "IQ_TOTAL_REV",IQ_FY-2)/I2260))</f>
        <v>29.378926057572041</v>
      </c>
      <c r="E2260" s="16">
        <f t="shared" si="603"/>
        <v>0.27965303680006165</v>
      </c>
      <c r="F2260" s="15">
        <f>IF(A2261=A2262,_xll.ciqfunctions.udf.CIQ(A2253,"IQ_DILUT_EPS_EXCL",IQ_FY-3), _xll.ciqfunctions.udf.CIQ(A2253, "IQ_DILUT_EPS_EXCL",IQ_FY-2))</f>
        <v>2.3696000000000002</v>
      </c>
      <c r="G2260" s="15">
        <f>IF(A2261=A2262,_xll.ciqfunctions.udf.CIQ(A2253,"IQ_EBITDA_MARGIN",IQ_FY-3), _xll.ciqfunctions.udf.CIQ(A2253, "IQ_EBITDA_MARGIN",IQ_FY-2))</f>
        <v>21.642299999999999</v>
      </c>
      <c r="H2260" s="15">
        <f>IF(A2261=A2262,_xll.ciqfunctions.udf.CIQ(A2253,"IQ_TOTAL_DIV_PAID_CF",IQ_FY-3)/-I2260, _xll.ciqfunctions.udf.CIQ(A2253, "IQ_TOTAL_DIV_PAID_CF",IQ_FY-2)/-I2260)</f>
        <v>0.1921994038309156</v>
      </c>
      <c r="I2260" s="17">
        <f>IF(A2261=A2262,_xll.ciqfunctions.udf.CIQ(A2253,"IQ_TOTAL_OUTSTANDING_FILING_DATE",IQ_FY-3), _xll.ciqfunctions.udf.CIQ(A2253, "IQ_TOTAL_OUTSTANDING_FILING_DATE",IQ_FY-2))</f>
        <v>105.71832999999999</v>
      </c>
      <c r="J2260" s="17">
        <f>IF(A2261=A2262,_xll.ciqfunctions.udf.CIQ(A2253,"IQ_CASH_OPER",IQ_FY-3), _xll.ciqfunctions.udf.CIQ(A2253, "IQ_CASH_OPER",IQ_FY-2))</f>
        <v>574.35299999999995</v>
      </c>
      <c r="K2260" s="17">
        <f>IF(A2261=A2262,_xll.ciqfunctions.udf.CIQ(A2253,"IQ_CAPEX",IQ_FY-3), _xll.ciqfunctions.udf.CIQ(A2253, "IQ_CAPEX",IQ_FY-2))</f>
        <v>-146.33699999999999</v>
      </c>
      <c r="L2260" s="15">
        <f t="shared" si="600"/>
        <v>4.0486451119687565</v>
      </c>
      <c r="M2260" s="17">
        <f>IF(A2261=A2262,_xll.ciqfunctions.udf.CIQ(A2253,"IQ_TOTAL_DEBT_ISSUED",IQ_FY-3), _xll.ciqfunctions.udf.CIQ(A2253, "IQ_TOTAL_DEBT_ISSUED",IQ_FY-2))</f>
        <v>0</v>
      </c>
      <c r="N2260" s="17">
        <f>IF(A2261=A2262,_xll.ciqfunctions.udf.CIQ(A2253,"IQ_TOTAL_DEBT_REPAID",IQ_FY-3), _xll.ciqfunctions.udf.CIQ(A2253, "IQ_TOTAL_DEBT_REPAID",IQ_FY-2))</f>
        <v>-925.65</v>
      </c>
      <c r="O2260" s="15">
        <f t="shared" si="601"/>
        <v>-8.7558136796144996</v>
      </c>
      <c r="P2260" s="15">
        <f t="shared" si="602"/>
        <v>-4.7071685676457431</v>
      </c>
      <c r="Q2260" s="18"/>
      <c r="R2260" s="39" t="s">
        <v>31</v>
      </c>
      <c r="S2260" s="5">
        <f>IF(NOT(D2253&gt;0),FALSE,SLOPE(G2253:G2263,B2253:B2263))</f>
        <v>0.44853000000000015</v>
      </c>
      <c r="U2260" s="18"/>
      <c r="V2260" s="39" t="s">
        <v>31</v>
      </c>
      <c r="W2260" s="5">
        <f>IF(NOT(D2253&gt;0),FALSE,SLOPE(G2253:G2263,B2253:B2263))</f>
        <v>0.44853000000000015</v>
      </c>
      <c r="Y2260" s="18"/>
      <c r="Z2260" s="39" t="s">
        <v>31</v>
      </c>
      <c r="AA2260" s="5">
        <f>IF(NOT(L2253&gt;0),FALSE,SLOPE(O2253:O2263,J2253:J2263))</f>
        <v>1.8012443475653717E-3</v>
      </c>
    </row>
    <row r="2261" spans="1:27">
      <c r="A2261" s="19">
        <f>_xll.ciqfunctions.udf.CIQ(A2253,"IQ_TOTAL_REV",IQ_FY)</f>
        <v>5160.1000000000004</v>
      </c>
      <c r="B2261" s="13">
        <v>9</v>
      </c>
      <c r="C2261" s="14" t="s">
        <v>32</v>
      </c>
      <c r="D2261" s="15" cm="1">
        <f t="array" ref="D2261">_xlfn.SINGLE(IF(A2261=A2262,_xll.ciqfunctions.udf.CIQ(A2253,"IQ_TOTAL_REV",IQ_FY-2)/I2261, _xll.ciqfunctions.udf.CIQ(A2253, "IQ_TOTAL_REV",IQ_FY-1)/I2261))</f>
        <v>25.341970925871465</v>
      </c>
      <c r="E2261" s="16">
        <f t="shared" si="603"/>
        <v>-0.13740989455467528</v>
      </c>
      <c r="F2261" s="15">
        <f>IF(A2261=A2262,_xll.ciqfunctions.udf.CIQ(A2253,"IQ_DILUT_EPS_EXCL",IQ_FY-2), _xll.ciqfunctions.udf.CIQ(A2253, "IQ_DILUT_EPS_EXCL",IQ_FY-1))</f>
        <v>1.44845</v>
      </c>
      <c r="G2261" s="15">
        <f>IF(A2261=A2262,_xll.ciqfunctions.udf.CIQ(A2253,"IQ_EBITDA_MARGIN",IQ_FY-2), _xll.ciqfunctions.udf.CIQ(A2253, "IQ_EBITDA_MARGIN",IQ_FY-1))</f>
        <v>21.138200000000001</v>
      </c>
      <c r="H2261" s="15">
        <f>IF(A2261=A2262,_xll.ciqfunctions.udf.CIQ(A2253,"IQ_TOTAL_DIV_PAID_CF",IQ_FY-2)/-I2261, _xll.ciqfunctions.udf.CIQ(A2253, "IQ_TOTAL_DIV_PAID_CF",IQ_FY-1)/-I2261)</f>
        <v>0.2636725905893153</v>
      </c>
      <c r="I2261" s="17">
        <f>IF(A2261=A2262,_xll.ciqfunctions.udf.CIQ(A2253,"IQ_TOTAL_OUTSTANDING_FILING_DATE",IQ_FY-2), _xll.ciqfunctions.udf.CIQ(A2253, "IQ_TOTAL_OUTSTANDING_FILING_DATE",IQ_FY-1))</f>
        <v>130.87442999999999</v>
      </c>
      <c r="J2261" s="17">
        <f>IF(A2261=A2262,_xll.ciqfunctions.udf.CIQ(A2253,"IQ_CASH_OPER",IQ_FY-2), _xll.ciqfunctions.udf.CIQ(A2253, "IQ_CASH_OPER",IQ_FY-1))</f>
        <v>413.33199999999999</v>
      </c>
      <c r="K2261" s="17">
        <f>IF(A2261=A2262,_xll.ciqfunctions.udf.CIQ(A2253,"IQ_CAPEX",IQ_FY-2), _xll.ciqfunctions.udf.CIQ(A2253, "IQ_CAPEX",IQ_FY-1))</f>
        <v>-314.33199999999999</v>
      </c>
      <c r="L2261" s="15">
        <f t="shared" si="600"/>
        <v>0.75645028597259223</v>
      </c>
      <c r="M2261" s="17">
        <f>IF(A2261=A2262,_xll.ciqfunctions.udf.CIQ(A2253,"IQ_TOTAL_DEBT_ISSUED",IQ_FY-2), _xll.ciqfunctions.udf.CIQ(A2253, "IQ_TOTAL_DEBT_ISSUED",IQ_FY-1))</f>
        <v>990</v>
      </c>
      <c r="N2261" s="17">
        <f>IF(A2261=A2262,_xll.ciqfunctions.udf.CIQ(A2253,"IQ_TOTAL_DEBT_REPAID",IQ_FY-2), _xll.ciqfunctions.udf.CIQ(A2253, "IQ_TOTAL_DEBT_REPAID",IQ_FY-1))</f>
        <v>-76.938000000000002</v>
      </c>
      <c r="O2261" s="15">
        <f t="shared" si="601"/>
        <v>6.9766263738455256</v>
      </c>
      <c r="P2261" s="15">
        <f t="shared" si="602"/>
        <v>7.733076659818118</v>
      </c>
      <c r="Q2261" s="25" t="s">
        <v>33</v>
      </c>
      <c r="R2261" s="38" t="s">
        <v>52</v>
      </c>
      <c r="S2261" s="4">
        <f>(AVERAGE(O2258:O2263)/AVERAGE(P2258:P2263))</f>
        <v>0.68802345725710867</v>
      </c>
      <c r="U2261" s="25" t="s">
        <v>54</v>
      </c>
      <c r="V2261" s="38" t="s">
        <v>52</v>
      </c>
      <c r="W2261" s="4">
        <f>(AVERAGE(O2258:O2263)/AVERAGE(P2258:P2263))</f>
        <v>0.68802345725710867</v>
      </c>
      <c r="Y2261" s="25" t="s">
        <v>60</v>
      </c>
      <c r="Z2261" s="38" t="s">
        <v>52</v>
      </c>
      <c r="AA2261" s="4">
        <f>(AVERAGE(O2258:O2263)/AVERAGE(P2258:P2263))</f>
        <v>0.68802345725710867</v>
      </c>
    </row>
    <row r="2262" spans="1:27">
      <c r="A2262" s="19">
        <f>_xll.ciqfunctions.udf.CIQ(A2253,"IQ_TOTAL_REV",IQ_LTM)</f>
        <v>4868.6130000000003</v>
      </c>
      <c r="B2262" s="13">
        <v>10</v>
      </c>
      <c r="C2262" s="14" t="s">
        <v>34</v>
      </c>
      <c r="D2262" s="15" cm="1">
        <f t="array" ref="D2262">_xlfn.SINGLE(IF(A2261=A2262,_xll.ciqfunctions.udf.CIQ(A2253,"IQ_TOTAL_REV",IQ_FY-1)/I2262, _xll.ciqfunctions.udf.CIQ(A2253, "IQ_TOTAL_REV",IQ_FY)/I2262))</f>
        <v>34.309784621841359</v>
      </c>
      <c r="E2262" s="16">
        <f t="shared" si="603"/>
        <v>0.35387199054887669</v>
      </c>
      <c r="F2262" s="15">
        <f>IF(A2261=A2262,_xll.ciqfunctions.udf.CIQ(A2253,"IQ_DILUT_EPS_EXCL",IQ_FY-1), _xll.ciqfunctions.udf.CIQ(A2253, "IQ_DILUT_EPS_EXCL",IQ_FY))</f>
        <v>-2.9341200000000001</v>
      </c>
      <c r="G2262" s="15">
        <f>IF(A2261=A2262,_xll.ciqfunctions.udf.CIQ(A2253,"IQ_EBITDA_MARGIN",IQ_FY-1), _xll.ciqfunctions.udf.CIQ(A2253, "IQ_EBITDA_MARGIN",IQ_FY))</f>
        <v>20.458200000000001</v>
      </c>
      <c r="H2262" s="15">
        <f>IF(A2261=A2262,_xll.ciqfunctions.udf.CIQ(A2253,"IQ_TOTAL_DIV_PAID_CF",IQ_FY-1)/-I2262, _xll.ciqfunctions.udf.CIQ(A2253, "IQ_TOTAL_DIV_PAID_CF",IQ_FY)/-I2262)</f>
        <v>0.183513896157598</v>
      </c>
      <c r="I2262" s="17">
        <f>IF(A2261=A2262,_xll.ciqfunctions.udf.CIQ(A2253,"IQ_TOTAL_OUTSTANDING_FILING_DATE",IQ_FY-1), _xll.ciqfunctions.udf.CIQ(A2253, "IQ_TOTAL_OUTSTANDING_FILING_DATE",IQ_FY))</f>
        <v>150.39733000000001</v>
      </c>
      <c r="J2262" s="17">
        <f>IF(A2261=A2262,_xll.ciqfunctions.udf.CIQ(A2253,"IQ_CASH_OPER",IQ_FY-1), _xll.ciqfunctions.udf.CIQ(A2253, "IQ_CASH_OPER",IQ_FY))</f>
        <v>634.02499999999998</v>
      </c>
      <c r="K2262" s="17">
        <f>IF(A2261=A2262,_xll.ciqfunctions.udf.CIQ(A2253,"IQ_CAPEX",IQ_FY-1), _xll.ciqfunctions.udf.CIQ(A2253, "IQ_CAPEX",IQ_FY))</f>
        <v>-436.06</v>
      </c>
      <c r="L2262" s="15">
        <f t="shared" si="600"/>
        <v>1.3162800164072059</v>
      </c>
      <c r="M2262" s="17">
        <f>IF(A2261=A2262,_xll.ciqfunctions.udf.CIQ(A2253,"IQ_TOTAL_DEBT_ISSUED",IQ_FY-1), _xll.ciqfunctions.udf.CIQ(A2253, "IQ_TOTAL_DEBT_ISSUED",IQ_FY))</f>
        <v>3715</v>
      </c>
      <c r="N2262" s="17">
        <f>IF(A2261=A2262,_xll.ciqfunctions.udf.CIQ(A2253,"IQ_TOTAL_DEBT_REPAID",IQ_FY-1), _xll.ciqfunctions.udf.CIQ(A2253, "IQ_TOTAL_DEBT_REPAID",IQ_FY))</f>
        <v>-1333.7360000000001</v>
      </c>
      <c r="O2262" s="15">
        <f t="shared" si="601"/>
        <v>15.833153421008205</v>
      </c>
      <c r="P2262" s="15">
        <f t="shared" si="602"/>
        <v>17.149433437415411</v>
      </c>
      <c r="Q2262" s="25" t="s">
        <v>44</v>
      </c>
      <c r="R2262" s="38" t="s">
        <v>35</v>
      </c>
      <c r="S2262" s="1">
        <f>_xll.ciqfunctions.udf.CIQ(A2253,"IQ_TEV_EBITDA")</f>
        <v>10.76493</v>
      </c>
      <c r="U2262" s="25" t="s">
        <v>55</v>
      </c>
      <c r="V2262" s="38" t="s">
        <v>53</v>
      </c>
      <c r="W2262" s="1">
        <f>V2252/(AVERAGE(D2258:D2263)/_xlfn.STDEV.P(E2258:E2263))</f>
        <v>0.23149840400768382</v>
      </c>
      <c r="Y2262" s="25" t="s">
        <v>57</v>
      </c>
      <c r="Z2262" s="38" t="s">
        <v>53</v>
      </c>
      <c r="AA2262" s="1">
        <f>Z2252/(AVERAGE(D2258:D2263)/_xlfn.STDEV.P(E2258:E2263))</f>
        <v>0.23149840400768382</v>
      </c>
    </row>
    <row r="2263" spans="1:27">
      <c r="B2263" s="13">
        <v>11</v>
      </c>
      <c r="C2263" s="20" t="s">
        <v>36</v>
      </c>
      <c r="D2263" s="21" cm="1">
        <f t="array" ref="D2263">_xlfn.SINGLE(IF(A2261=A2262,_xll.ciqfunctions.udf.CIQ(A2253,"IQ_TOTAL_REV",IQ_FY)/I2263, _xll.ciqfunctions.udf.CIQ(A2253, "IQ_TOTAL_REV",IQ_LTM)/I2263))</f>
        <v>32.139810111173375</v>
      </c>
      <c r="E2263" s="22">
        <f t="shared" si="603"/>
        <v>-6.3246520914811991E-2</v>
      </c>
      <c r="F2263" s="21">
        <f>IF(A2261=A2262,_xll.ciqfunctions.udf.CIQ(A2253,"IQ_DILUT_EPS_EXCL",IQ_FY), _xll.ciqfunctions.udf.CIQ(A2253, "IQ_DILUT_EPS_EXCL",IQ_LTM))</f>
        <v>-3.0111500000000002</v>
      </c>
      <c r="G2263" s="21">
        <f>IF(A2261=A2262,_xll.ciqfunctions.udf.CIQ(A2253,"IQ_EBITDA_MARGIN",IQ_FY), _xll.ciqfunctions.udf.CIQ(A2253, "IQ_EBITDA_MARGIN",IQ_LTM))</f>
        <v>20.415900000000001</v>
      </c>
      <c r="H2263" s="21">
        <f>IF(A2261=A2262,_xll.ciqfunctions.udf.CIQ(A2253,"IQ_TOTAL_DIV_PAID_CF",IQ_FY)/-I2263, _xll.ciqfunctions.udf.CIQ(A2253, "IQ_TOTAL_DIV_PAID_CF",IQ_LTM)/-I2263)</f>
        <v>0.18219948044101783</v>
      </c>
      <c r="I2263" s="23">
        <f>IF(A2261=A2262,_xll.ciqfunctions.udf.CIQ(A2253,"IQ_TOTAL_OUTSTANDING_FILING_DATE",IQ_FY),_xll.ciqfunctions.udf.CIQ(A2253,"IQ_sharesoutstanding"))</f>
        <v>151.48231999999999</v>
      </c>
      <c r="J2263" s="23">
        <f>IF(A2261=A2262,_xll.ciqfunctions.udf.CIQ(A2253,"IQ_CASH_OPER",IQ_FY), _xll.ciqfunctions.udf.CIQ(A2253, "IQ_CASH_OPER",IQ_LTM))</f>
        <v>753.25099999999998</v>
      </c>
      <c r="K2263" s="23">
        <f>IF(A2261=A2262,_xll.ciqfunctions.udf.CIQ(A2253,"IQ_CAPEX",IQ_FY), _xll.ciqfunctions.udf.CIQ(A2253, "IQ_CAPEX",IQ_LTM))</f>
        <v>-359.267</v>
      </c>
      <c r="L2263" s="21">
        <f t="shared" si="600"/>
        <v>2.6008579747128246</v>
      </c>
      <c r="M2263" s="23">
        <f>IF(A2261=A2262,_xll.ciqfunctions.udf.CIQ(A2253,"IQ_TOTAL_DEBT_ISSUED",IQ_FY), _xll.ciqfunctions.udf.CIQ(A2253, "IQ_TOTAL_DEBT_ISSUED",IQ_LTM))</f>
        <v>0</v>
      </c>
      <c r="N2263" s="23">
        <f>IF(A2261=A2262,_xll.ciqfunctions.udf.CIQ(A2253,"IQ_TOTAL_DEBT_REPAID",IQ_FY), _xll.ciqfunctions.udf.CIQ(A2253, "IQ_TOTAL_DEBT_REPAID",IQ_LTM))</f>
        <v>-352.42899999999997</v>
      </c>
      <c r="O2263" s="21">
        <f t="shared" si="601"/>
        <v>-2.3265355323314298</v>
      </c>
      <c r="P2263" s="21">
        <f t="shared" si="602"/>
        <v>0.2743224423813948</v>
      </c>
      <c r="Q2263" s="25" t="s">
        <v>45</v>
      </c>
      <c r="S2263" s="45"/>
      <c r="U2263" s="25"/>
      <c r="W2263" s="45"/>
      <c r="Y2263" s="25"/>
      <c r="AA2263" s="45"/>
    </row>
    <row r="2264" spans="1:27">
      <c r="B2264" s="24"/>
      <c r="C2264" s="25" t="s">
        <v>37</v>
      </c>
      <c r="E2264" s="26">
        <f>((D2263/D2258)^(1/5))-1</f>
        <v>8.4545590431699402E-2</v>
      </c>
      <c r="F2264" s="27">
        <f>((F2263/F2258)^(1/5))-1</f>
        <v>-2.130599937699702</v>
      </c>
      <c r="G2264" s="28"/>
      <c r="H2264" s="27" t="e">
        <f>((H2263/H2258)^(1/5))-1</f>
        <v>#DIV/0!</v>
      </c>
      <c r="I2264" s="27">
        <f>((I2263/I2258)^(1/5))-1</f>
        <v>0.18950477775592667</v>
      </c>
      <c r="J2264" s="27"/>
      <c r="K2264" s="27"/>
      <c r="L2264" s="26">
        <f>((L2263/L2258)^(1/5))-1</f>
        <v>0.31955690004460324</v>
      </c>
      <c r="M2264" s="26"/>
      <c r="N2264" s="26"/>
      <c r="O2264" s="26"/>
      <c r="P2264" s="26">
        <f>((P2263/P2258)^(1/5))-1</f>
        <v>-0.20900259565987778</v>
      </c>
      <c r="Q2264" s="18"/>
      <c r="R2264" s="36"/>
      <c r="S2264" s="45"/>
      <c r="U2264" s="18"/>
      <c r="V2264" s="36"/>
      <c r="W2264" s="45"/>
      <c r="Y2264" s="18"/>
      <c r="Z2264" s="36"/>
      <c r="AA2264" s="45"/>
    </row>
    <row r="2265" spans="1:27">
      <c r="A2265" s="29"/>
      <c r="B2265" s="30"/>
      <c r="C2265" s="31" t="s">
        <v>38</v>
      </c>
      <c r="D2265" s="29"/>
      <c r="E2265" s="32">
        <f>((D2263/D2253)^(1/10))-1</f>
        <v>0.11193771164356958</v>
      </c>
      <c r="F2265" s="33" t="e">
        <f>((F2263/F2253)^(1/10))-1</f>
        <v>#NUM!</v>
      </c>
      <c r="G2265" s="34"/>
      <c r="H2265" s="33" t="e">
        <f>((H2263/H2253)^(1/10))-1</f>
        <v>#DIV/0!</v>
      </c>
      <c r="I2265" s="33">
        <f>((I2263/I2253)^(1/10))-1</f>
        <v>9.4463802317007461E-2</v>
      </c>
      <c r="J2265" s="33"/>
      <c r="K2265" s="33"/>
      <c r="L2265" s="32">
        <f>((L2263/L2253)^(1/10))-1</f>
        <v>9.2026336340947701E-2</v>
      </c>
      <c r="M2265" s="32"/>
      <c r="N2265" s="32"/>
      <c r="O2265" s="32"/>
      <c r="P2265" s="32">
        <f>((P2263/P2253)^(1/10))-1</f>
        <v>-0.21688307169916188</v>
      </c>
      <c r="Q2265" s="40"/>
      <c r="R2265" s="41"/>
      <c r="S2265" s="46"/>
      <c r="U2265" s="40"/>
      <c r="V2265" s="41"/>
      <c r="W2265" s="46"/>
      <c r="Y2265" s="40"/>
      <c r="Z2265" s="41"/>
      <c r="AA2265" s="46"/>
    </row>
    <row r="2266" spans="1:27">
      <c r="B2266" s="24"/>
      <c r="C2266" s="25"/>
      <c r="E2266" s="26"/>
      <c r="F2266" s="27"/>
      <c r="G2266" s="28"/>
      <c r="H2266" s="27"/>
      <c r="I2266" s="27"/>
      <c r="J2266" s="27"/>
      <c r="K2266" s="27"/>
      <c r="L2266" s="26"/>
      <c r="M2266" s="17"/>
      <c r="N2266" s="17"/>
      <c r="O2266" s="17"/>
      <c r="P2266" s="35"/>
      <c r="Q2266" s="18"/>
      <c r="R2266" s="36"/>
    </row>
    <row r="2267" spans="1:27">
      <c r="A2267" s="9" t="s">
        <v>0</v>
      </c>
      <c r="B2267" s="10"/>
      <c r="C2267" s="9" t="s">
        <v>1</v>
      </c>
      <c r="D2267" s="9" t="s">
        <v>2</v>
      </c>
      <c r="E2267" s="9" t="s">
        <v>3</v>
      </c>
      <c r="F2267" s="11" t="s">
        <v>4</v>
      </c>
      <c r="G2267" s="11" t="s">
        <v>5</v>
      </c>
      <c r="H2267" s="9" t="s">
        <v>6</v>
      </c>
      <c r="I2267" s="11" t="s">
        <v>7</v>
      </c>
      <c r="J2267" s="11" t="s">
        <v>8</v>
      </c>
      <c r="K2267" s="11" t="s">
        <v>9</v>
      </c>
      <c r="L2267" s="11" t="s">
        <v>10</v>
      </c>
      <c r="M2267" s="11" t="s">
        <v>11</v>
      </c>
      <c r="N2267" s="11" t="s">
        <v>12</v>
      </c>
      <c r="O2267" s="11" t="s">
        <v>13</v>
      </c>
      <c r="P2267" s="11" t="s">
        <v>14</v>
      </c>
      <c r="Q2267" s="37" t="s">
        <v>15</v>
      </c>
      <c r="R2267" s="42">
        <f>_xll.ciqfunctions.udf.CIQ(A2268,("IQ_LASTSALEPRICE"))</f>
        <v>104.3</v>
      </c>
      <c r="S2267" s="44"/>
      <c r="U2267" s="37" t="s">
        <v>15</v>
      </c>
      <c r="V2267" s="42">
        <f>_xll.ciqfunctions.udf.CIQ(A2268,("IQ_LASTSALEPRICE"))</f>
        <v>104.3</v>
      </c>
      <c r="W2267" s="44"/>
      <c r="Y2267" s="37" t="s">
        <v>15</v>
      </c>
      <c r="Z2267" s="42">
        <f>_xll.ciqfunctions.udf.CIQ(A2268,("IQ_LASTSALEPRICE"))</f>
        <v>104.3</v>
      </c>
      <c r="AA2267" s="44"/>
    </row>
    <row r="2268" spans="1:27">
      <c r="A2268" s="12" t="str">
        <f>Analysis!B153</f>
        <v>NasdaqGS:PLXS</v>
      </c>
      <c r="B2268" s="13">
        <v>1</v>
      </c>
      <c r="C2268" s="14" t="s">
        <v>16</v>
      </c>
      <c r="D2268" s="15">
        <f>IF(A2276=A2277,_xll.ciqfunctions.udf.CIQ(A2268,"IQ_TOTAL_REV",IQ_FY-10)/I2268,_xll.ciqfunctions.udf.CIQ(A2268, "IQ_TOTAL_REV",IQ_FY-9)/I2268)</f>
        <v>65.924786427967817</v>
      </c>
      <c r="E2268" s="16"/>
      <c r="F2268" s="15">
        <f>IF(A2276=A2277,_xll.ciqfunctions.udf.CIQ(A2268,"IQ_DILUT_EPS_EXCL",IQ_FY-10), _xll.ciqfunctions.udf.CIQ(A2268, "IQ_DILUT_EPS_EXCL",IQ_FY-9))</f>
        <v>2.36</v>
      </c>
      <c r="G2268" s="15">
        <f>IF(A2276=A2277,_xll.ciqfunctions.udf.CIQ(A2268,"IQ_EBITDA_MARGIN",IQ_FY-10), _xll.ciqfunctions.udf.CIQ(A2268, "IQ_EBITDA_MARGIN",IQ_FY-9))</f>
        <v>6.5541</v>
      </c>
      <c r="H2268" s="15">
        <f>IF(A2276=A2277,_xll.ciqfunctions.udf.CIQ(A2268,"IQ_TOTAL_DIV_PAID_CF",IQ_FY-10)/-I2268, _xll.ciqfunctions.udf.CIQ(A2268, "IQ_TOTAL_DIV_PAID_CF",IQ_FY-9)/-I2268)</f>
        <v>0</v>
      </c>
      <c r="I2268" s="17">
        <f>IF(A2276=A2277,_xll.ciqfunctions.udf.CIQ(A2268,"IQ_TOTAL_OUTSTANDING_FILING_DATE",IQ_FY-10), _xll.ciqfunctions.udf.CIQ(A2268, "IQ_TOTAL_OUTSTANDING_FILING_DATE",IQ_FY-9))</f>
        <v>33.796559999999999</v>
      </c>
      <c r="J2268" s="17">
        <f>IF(A2276=A2277,_xll.ciqfunctions.udf.CIQ(A2268,"IQ_CASH_OPER",IQ_FY-10), _xll.ciqfunctions.udf.CIQ(A2268, "IQ_CASH_OPER",IQ_FY-9))</f>
        <v>207.64699999999999</v>
      </c>
      <c r="K2268" s="17">
        <f>IF(A2276=A2277,_xll.ciqfunctions.udf.CIQ(A2268,"IQ_CAPEX",IQ_FY-10), _xll.ciqfunctions.udf.CIQ(A2268, "IQ_CAPEX",IQ_FY-9))</f>
        <v>-108.122</v>
      </c>
      <c r="L2268" s="15">
        <f t="shared" ref="L2268:L2278" si="604">(J2268+K2268)/I2268</f>
        <v>2.9448263373550443</v>
      </c>
      <c r="M2268" s="17">
        <f>IF(A2276=A2277,_xll.ciqfunctions.udf.CIQ(A2268,"IQ_TOTAL_DEBT_ISSUED",IQ_FY-10), _xll.ciqfunctions.udf.CIQ(A2268, "IQ_TOTAL_DEBT_ISSUED",IQ_FY-9))</f>
        <v>30</v>
      </c>
      <c r="N2268" s="17">
        <f>IF(A2276=A2277,_xll.ciqfunctions.udf.CIQ(A2268,"IQ_TOTAL_DEBT_REPAID",IQ_FY-10), _xll.ciqfunctions.udf.CIQ(A2268, "IQ_TOTAL_DEBT_REPAID",IQ_FY-9))</f>
        <v>-41.018000000000001</v>
      </c>
      <c r="O2268" s="15">
        <f t="shared" ref="O2268:O2278" si="605">(M2268+N2268)/I2268</f>
        <v>-0.32600951102715781</v>
      </c>
      <c r="P2268" s="15">
        <f t="shared" ref="P2268:P2278" si="606">L2268+O2268</f>
        <v>2.6188168263278864</v>
      </c>
      <c r="W2268" s="43"/>
      <c r="AA2268" s="43"/>
    </row>
    <row r="2269" spans="1:27">
      <c r="A2269" s="18" t="str">
        <f>_xll.ciqfunctions.udf.CIQ(A2268,"IQ_COMPANY_NAME")</f>
        <v>Plexus Corp.</v>
      </c>
      <c r="B2269" s="13">
        <v>2</v>
      </c>
      <c r="C2269" s="14" t="s">
        <v>17</v>
      </c>
      <c r="D2269" s="15">
        <f>IF(A2276=A2277,_xll.ciqfunctions.udf.CIQ(A2268,"IQ_TOTAL_REV",IQ_FY-9)/I2269, _xll.ciqfunctions.udf.CIQ(A2268, "IQ_TOTAL_REV",IQ_FY-8)/I2269)</f>
        <v>70.711119422976793</v>
      </c>
      <c r="E2269" s="16">
        <f t="shared" ref="E2269:E2278" si="607">(D2269-D2268)/D2268</f>
        <v>7.2602935168227273E-2</v>
      </c>
      <c r="F2269" s="15">
        <f>IF(A2276=A2277,_xll.ciqfunctions.udf.CIQ(A2268,"IQ_DILUT_EPS_EXCL",IQ_FY-9), _xll.ciqfunctions.udf.CIQ(A2268, "IQ_DILUT_EPS_EXCL",IQ_FY-8))</f>
        <v>2.52</v>
      </c>
      <c r="G2269" s="15">
        <f>IF(A2276=A2277,_xll.ciqfunctions.udf.CIQ(A2268,"IQ_EBITDA_MARGIN",IQ_FY-9), _xll.ciqfunctions.udf.CIQ(A2268, "IQ_EBITDA_MARGIN",IQ_FY-8))</f>
        <v>6.7171000000000003</v>
      </c>
      <c r="H2269" s="15">
        <f>IF(A2276=A2277,_xll.ciqfunctions.udf.CIQ(A2268,"IQ_TOTAL_DIV_PAID_CF",IQ_FY-9)/-I2269, _xll.ciqfunctions.udf.CIQ(A2268, "IQ_TOTAL_DIV_PAID_CF",IQ_FY-8)/-I2269)</f>
        <v>0</v>
      </c>
      <c r="I2269" s="17">
        <f>IF(A2276=A2277,_xll.ciqfunctions.udf.CIQ(A2268,"IQ_TOTAL_OUTSTANDING_FILING_DATE",IQ_FY-9), _xll.ciqfunctions.udf.CIQ(A2268, "IQ_TOTAL_OUTSTANDING_FILING_DATE",IQ_FY-8))</f>
        <v>33.633310000000002</v>
      </c>
      <c r="J2269" s="17">
        <f>IF(A2276=A2277,_xll.ciqfunctions.udf.CIQ(A2268,"IQ_CASH_OPER",IQ_FY-9), _xll.ciqfunctions.udf.CIQ(A2268, "IQ_CASH_OPER",IQ_FY-8))</f>
        <v>88.432000000000002</v>
      </c>
      <c r="K2269" s="17">
        <f>IF(A2276=A2277,_xll.ciqfunctions.udf.CIQ(A2268,"IQ_CAPEX",IQ_FY-9), _xll.ciqfunctions.udf.CIQ(A2268, "IQ_CAPEX",IQ_FY-8))</f>
        <v>-65.284000000000006</v>
      </c>
      <c r="L2269" s="15">
        <f t="shared" si="604"/>
        <v>0.6882462653839303</v>
      </c>
      <c r="M2269" s="17">
        <f>IF(A2276=A2277,_xll.ciqfunctions.udf.CIQ(A2268,"IQ_TOTAL_DEBT_ISSUED",IQ_FY-9), _xll.ciqfunctions.udf.CIQ(A2268, "IQ_TOTAL_DEBT_ISSUED",IQ_FY-8))</f>
        <v>281</v>
      </c>
      <c r="N2269" s="17">
        <f>IF(A2276=A2277,_xll.ciqfunctions.udf.CIQ(A2268,"IQ_TOTAL_DEBT_REPAID",IQ_FY-9), _xll.ciqfunctions.udf.CIQ(A2268, "IQ_TOTAL_DEBT_REPAID",IQ_FY-8))</f>
        <v>-285.26299999999998</v>
      </c>
      <c r="O2269" s="15">
        <f t="shared" si="605"/>
        <v>-0.12674934462293413</v>
      </c>
      <c r="P2269" s="15">
        <f t="shared" si="606"/>
        <v>0.56149692076099611</v>
      </c>
      <c r="Q2269" s="25" t="s">
        <v>18</v>
      </c>
      <c r="R2269" s="39" t="s">
        <v>19</v>
      </c>
      <c r="S2269" s="1">
        <f>R2267/((AVERAGE(P2273:P2278))*(1+E2279)^3)</f>
        <v>45.477860119961875</v>
      </c>
      <c r="U2269" s="25" t="s">
        <v>48</v>
      </c>
      <c r="V2269" s="39" t="s">
        <v>19</v>
      </c>
      <c r="W2269" s="1">
        <f>V2267/((AVERAGE(P2273:P2278))*(1+E2279)^3)</f>
        <v>45.477860119961875</v>
      </c>
      <c r="Y2269" s="25" t="s">
        <v>39</v>
      </c>
      <c r="Z2269" s="39" t="s">
        <v>19</v>
      </c>
      <c r="AA2269" s="1">
        <f>Z2267/((AVERAGE(P2273:P2278))*(1+E2279)^3)</f>
        <v>45.477860119961875</v>
      </c>
    </row>
    <row r="2270" spans="1:27">
      <c r="B2270" s="13">
        <v>3</v>
      </c>
      <c r="C2270" s="14" t="s">
        <v>20</v>
      </c>
      <c r="D2270" s="15" cm="1">
        <f t="array" ref="D2270">_xlfn.SINGLE(IF(A2276=A2277,_xll.ciqfunctions.udf.CIQ(A2268,"IQ_TOTAL_REV",IQ_FY-8)/I2270, _xll.ciqfunctions.udf.CIQ(A2268, "IQ_TOTAL_REV",IQ_FY-7)/I2270))</f>
        <v>79.422202274087368</v>
      </c>
      <c r="E2270" s="16">
        <f t="shared" si="607"/>
        <v>0.12319254626705861</v>
      </c>
      <c r="F2270" s="15">
        <f>IF(A2276=A2277,_xll.ciqfunctions.udf.CIQ(A2268,"IQ_DILUT_EPS_EXCL",IQ_FY-8), _xll.ciqfunctions.udf.CIQ(A2268, "IQ_DILUT_EPS_EXCL",IQ_FY-7))</f>
        <v>2.74</v>
      </c>
      <c r="G2270" s="15">
        <f>IF(A2276=A2277,_xll.ciqfunctions.udf.CIQ(A2268,"IQ_EBITDA_MARGIN",IQ_FY-8), _xll.ciqfunctions.udf.CIQ(A2268, "IQ_EBITDA_MARGIN",IQ_FY-7))</f>
        <v>6.2577999999999996</v>
      </c>
      <c r="H2270" s="15">
        <f>IF(A2276=A2277,_xll.ciqfunctions.udf.CIQ(A2268,"IQ_TOTAL_DIV_PAID_CF",IQ_FY-8)/-I2270, _xll.ciqfunctions.udf.CIQ(A2268, "IQ_TOTAL_DIV_PAID_CF",IQ_FY-7)/-I2270)</f>
        <v>0</v>
      </c>
      <c r="I2270" s="17">
        <f>IF(A2276=A2277,_xll.ciqfunctions.udf.CIQ(A2268,"IQ_TOTAL_OUTSTANDING_FILING_DATE",IQ_FY-8), _xll.ciqfunctions.udf.CIQ(A2268, "IQ_TOTAL_OUTSTANDING_FILING_DATE",IQ_FY-7))</f>
        <v>33.42</v>
      </c>
      <c r="J2270" s="17">
        <f>IF(A2276=A2277,_xll.ciqfunctions.udf.CIQ(A2268,"IQ_CASH_OPER",IQ_FY-8), _xll.ciqfunctions.udf.CIQ(A2268, "IQ_CASH_OPER",IQ_FY-7))</f>
        <v>76.572000000000003</v>
      </c>
      <c r="K2270" s="17">
        <f>IF(A2276=A2277,_xll.ciqfunctions.udf.CIQ(A2268,"IQ_CAPEX",IQ_FY-8), _xll.ciqfunctions.udf.CIQ(A2268, "IQ_CAPEX",IQ_FY-7))</f>
        <v>-35.076000000000001</v>
      </c>
      <c r="L2270" s="15">
        <f t="shared" si="604"/>
        <v>1.2416517055655296</v>
      </c>
      <c r="M2270" s="17">
        <f>IF(A2276=A2277,_xll.ciqfunctions.udf.CIQ(A2268,"IQ_TOTAL_DEBT_ISSUED",IQ_FY-8), _xll.ciqfunctions.udf.CIQ(A2268, "IQ_TOTAL_DEBT_ISSUED",IQ_FY-7))</f>
        <v>483</v>
      </c>
      <c r="N2270" s="17">
        <f>IF(A2276=A2277,_xll.ciqfunctions.udf.CIQ(A2268,"IQ_TOTAL_DEBT_REPAID",IQ_FY-8), _xll.ciqfunctions.udf.CIQ(A2268, "IQ_TOTAL_DEBT_REPAID",IQ_FY-7))</f>
        <v>-487.81099999999998</v>
      </c>
      <c r="O2270" s="15">
        <f t="shared" si="605"/>
        <v>-0.14395571514063371</v>
      </c>
      <c r="P2270" s="15">
        <f t="shared" si="606"/>
        <v>1.097695990424896</v>
      </c>
      <c r="Q2270" s="25" t="s">
        <v>21</v>
      </c>
      <c r="R2270" s="38" t="s">
        <v>49</v>
      </c>
      <c r="S2270" s="2">
        <f>(R2267*I2278)/1000</f>
        <v>2.8647590789999997</v>
      </c>
      <c r="U2270" s="25" t="s">
        <v>59</v>
      </c>
      <c r="V2270" s="38" t="s">
        <v>49</v>
      </c>
      <c r="W2270" s="2">
        <f>(V2267*I2278)/1000</f>
        <v>2.8647590789999997</v>
      </c>
      <c r="Y2270" s="25" t="s">
        <v>46</v>
      </c>
      <c r="Z2270" s="38" t="s">
        <v>49</v>
      </c>
      <c r="AA2270" s="2">
        <f>(Z2267*I2278)/1000</f>
        <v>2.8647590789999997</v>
      </c>
    </row>
    <row r="2271" spans="1:27">
      <c r="A2271" s="18"/>
      <c r="B2271" s="13">
        <v>4</v>
      </c>
      <c r="C2271" s="14" t="s">
        <v>22</v>
      </c>
      <c r="D2271" s="15" cm="1">
        <f t="array" ref="D2271">_xlfn.SINGLE(IF(A2276=A2277,_xll.ciqfunctions.udf.CIQ(A2268,"IQ_TOTAL_REV",IQ_FY-7)/I2271, _xll.ciqfunctions.udf.CIQ(A2268, "IQ_TOTAL_REV",IQ_FY-6)/I2271))</f>
        <v>76.265138501869771</v>
      </c>
      <c r="E2271" s="16">
        <f t="shared" si="607"/>
        <v>-3.9750393237932599E-2</v>
      </c>
      <c r="F2271" s="15">
        <f>IF(A2276=A2277,_xll.ciqfunctions.udf.CIQ(A2268,"IQ_DILUT_EPS_EXCL",IQ_FY-7), _xll.ciqfunctions.udf.CIQ(A2268, "IQ_DILUT_EPS_EXCL",IQ_FY-6))</f>
        <v>2.2400000000000002</v>
      </c>
      <c r="G2271" s="15">
        <f>IF(A2276=A2277,_xll.ciqfunctions.udf.CIQ(A2268,"IQ_EBITDA_MARGIN",IQ_FY-7), _xll.ciqfunctions.udf.CIQ(A2268, "IQ_EBITDA_MARGIN",IQ_FY-6))</f>
        <v>6.3503999999999996</v>
      </c>
      <c r="H2271" s="15">
        <f>IF(A2276=A2277,_xll.ciqfunctions.udf.CIQ(A2268,"IQ_TOTAL_DIV_PAID_CF",IQ_FY-7)/-I2271, _xll.ciqfunctions.udf.CIQ(A2268, "IQ_TOTAL_DIV_PAID_CF",IQ_FY-6)/-I2271)</f>
        <v>0</v>
      </c>
      <c r="I2271" s="17">
        <f>IF(A2276=A2277,_xll.ciqfunctions.udf.CIQ(A2268,"IQ_TOTAL_OUTSTANDING_FILING_DATE",IQ_FY-7), _xll.ciqfunctions.udf.CIQ(A2268, "IQ_TOTAL_OUTSTANDING_FILING_DATE",IQ_FY-6))</f>
        <v>33.514710000000001</v>
      </c>
      <c r="J2271" s="17">
        <f>IF(A2276=A2277,_xll.ciqfunctions.udf.CIQ(A2268,"IQ_CASH_OPER",IQ_FY-7), _xll.ciqfunctions.udf.CIQ(A2268, "IQ_CASH_OPER",IQ_FY-6))</f>
        <v>127.738</v>
      </c>
      <c r="K2271" s="17">
        <f>IF(A2276=A2277,_xll.ciqfunctions.udf.CIQ(A2268,"IQ_CAPEX",IQ_FY-7), _xll.ciqfunctions.udf.CIQ(A2268, "IQ_CAPEX",IQ_FY-6))</f>
        <v>-31.123000000000001</v>
      </c>
      <c r="L2271" s="15">
        <f t="shared" si="604"/>
        <v>2.8827640161588746</v>
      </c>
      <c r="M2271" s="17">
        <f>IF(A2276=A2277,_xll.ciqfunctions.udf.CIQ(A2268,"IQ_TOTAL_DEBT_ISSUED",IQ_FY-7), _xll.ciqfunctions.udf.CIQ(A2268, "IQ_TOTAL_DEBT_ISSUED",IQ_FY-6))</f>
        <v>625</v>
      </c>
      <c r="N2271" s="17">
        <f>IF(A2276=A2277,_xll.ciqfunctions.udf.CIQ(A2268,"IQ_TOTAL_DEBT_REPAID",IQ_FY-7), _xll.ciqfunctions.udf.CIQ(A2268, "IQ_TOTAL_DEBT_REPAID",IQ_FY-6))</f>
        <v>-629.57100000000003</v>
      </c>
      <c r="O2271" s="15">
        <f t="shared" si="605"/>
        <v>-0.13638787266844996</v>
      </c>
      <c r="P2271" s="15">
        <f t="shared" si="606"/>
        <v>2.7463761434904246</v>
      </c>
      <c r="Q2271" s="25" t="s">
        <v>23</v>
      </c>
      <c r="R2271" s="38" t="s">
        <v>24</v>
      </c>
      <c r="S2271" s="1" t="e">
        <f>R2267/(AVERAGE(H2273:H2278)*(1+H2279)/(0.5-H2279))</f>
        <v>#DIV/0!</v>
      </c>
      <c r="U2271" s="25" t="s">
        <v>40</v>
      </c>
      <c r="V2271" s="38" t="s">
        <v>24</v>
      </c>
      <c r="W2271" s="1" t="e">
        <f>V2267/(AVERAGE(H2273:H2278)*(1+H2279)/(0.5-H2279))</f>
        <v>#DIV/0!</v>
      </c>
      <c r="Y2271" s="25" t="s">
        <v>47</v>
      </c>
      <c r="Z2271" s="38" t="s">
        <v>24</v>
      </c>
      <c r="AA2271" s="1" t="e">
        <f>Z2267/(AVERAGE(H2273:H2278)*(1+H2279)/(0.5-H2279))</f>
        <v>#DIV/0!</v>
      </c>
    </row>
    <row r="2272" spans="1:27">
      <c r="B2272" s="13">
        <v>5</v>
      </c>
      <c r="C2272" s="14" t="s">
        <v>25</v>
      </c>
      <c r="D2272" s="15" cm="1">
        <f t="array" ref="D2272">_xlfn.SINGLE(IF(A2276=A2277,_xll.ciqfunctions.udf.CIQ(A2268,"IQ_TOTAL_REV",IQ_FY-6)/I2272, _xll.ciqfunctions.udf.CIQ(A2268, "IQ_TOTAL_REV",IQ_FY-5)/I2272))</f>
        <v>75.273112508954881</v>
      </c>
      <c r="E2272" s="16">
        <f t="shared" si="607"/>
        <v>-1.3007594457991689E-2</v>
      </c>
      <c r="F2272" s="15">
        <f>IF(A2276=A2277,_xll.ciqfunctions.udf.CIQ(A2268,"IQ_DILUT_EPS_EXCL",IQ_FY-6), _xll.ciqfunctions.udf.CIQ(A2268, "IQ_DILUT_EPS_EXCL",IQ_FY-5))</f>
        <v>3.24</v>
      </c>
      <c r="G2272" s="15">
        <f>IF(A2276=A2277,_xll.ciqfunctions.udf.CIQ(A2268,"IQ_EBITDA_MARGIN",IQ_FY-6), _xll.ciqfunctions.udf.CIQ(A2268, "IQ_EBITDA_MARGIN",IQ_FY-5))</f>
        <v>6.9317000000000002</v>
      </c>
      <c r="H2272" s="15">
        <f>IF(A2276=A2277,_xll.ciqfunctions.udf.CIQ(A2268,"IQ_TOTAL_DIV_PAID_CF",IQ_FY-6)/-I2272, _xll.ciqfunctions.udf.CIQ(A2268, "IQ_TOTAL_DIV_PAID_CF",IQ_FY-5)/-I2272)</f>
        <v>0</v>
      </c>
      <c r="I2272" s="17">
        <f>IF(A2276=A2277,_xll.ciqfunctions.udf.CIQ(A2268,"IQ_TOTAL_OUTSTANDING_FILING_DATE",IQ_FY-6), _xll.ciqfunctions.udf.CIQ(A2268, "IQ_TOTAL_OUTSTANDING_FILING_DATE",IQ_FY-5))</f>
        <v>33.585059999999999</v>
      </c>
      <c r="J2272" s="17">
        <f>IF(A2276=A2277,_xll.ciqfunctions.udf.CIQ(A2268,"IQ_CASH_OPER",IQ_FY-6), _xll.ciqfunctions.udf.CIQ(A2268, "IQ_CASH_OPER",IQ_FY-5))</f>
        <v>171.73400000000001</v>
      </c>
      <c r="K2272" s="17">
        <f>IF(A2276=A2277,_xll.ciqfunctions.udf.CIQ(A2268,"IQ_CAPEX",IQ_FY-6), _xll.ciqfunctions.udf.CIQ(A2268, "IQ_CAPEX",IQ_FY-5))</f>
        <v>-38.537999999999997</v>
      </c>
      <c r="L2272" s="15">
        <f t="shared" si="604"/>
        <v>3.9659300891527374</v>
      </c>
      <c r="M2272" s="17">
        <f>IF(A2276=A2277,_xll.ciqfunctions.udf.CIQ(A2268,"IQ_TOTAL_DEBT_ISSUED",IQ_FY-6), _xll.ciqfunctions.udf.CIQ(A2268, "IQ_TOTAL_DEBT_ISSUED",IQ_FY-5))</f>
        <v>331.07600000000002</v>
      </c>
      <c r="N2272" s="17">
        <f>IF(A2276=A2277,_xll.ciqfunctions.udf.CIQ(A2268,"IQ_TOTAL_DEBT_REPAID",IQ_FY-6), _xll.ciqfunctions.udf.CIQ(A2268, "IQ_TOTAL_DEBT_REPAID",IQ_FY-5))</f>
        <v>-302.88</v>
      </c>
      <c r="O2272" s="15">
        <f t="shared" si="605"/>
        <v>0.83953996211410753</v>
      </c>
      <c r="P2272" s="15">
        <f t="shared" si="606"/>
        <v>4.8054700512668447</v>
      </c>
      <c r="Q2272" s="18"/>
      <c r="R2272" s="38" t="s">
        <v>50</v>
      </c>
      <c r="S2272" s="3">
        <f>I2279</f>
        <v>-2.6824590388531577E-2</v>
      </c>
      <c r="U2272" s="18"/>
      <c r="V2272" s="38" t="s">
        <v>50</v>
      </c>
      <c r="W2272" s="3">
        <f>I2279</f>
        <v>-2.6824590388531577E-2</v>
      </c>
      <c r="Y2272" s="18"/>
      <c r="Z2272" s="38" t="s">
        <v>50</v>
      </c>
      <c r="AA2272" s="3">
        <f>I2279</f>
        <v>-2.6824590388531577E-2</v>
      </c>
    </row>
    <row r="2273" spans="1:27">
      <c r="B2273" s="13">
        <v>6</v>
      </c>
      <c r="C2273" s="14" t="s">
        <v>26</v>
      </c>
      <c r="D2273" s="15" cm="1">
        <f t="array" ref="D2273">_xlfn.SINGLE(IF(A2276=A2277,_xll.ciqfunctions.udf.CIQ(A2268,"IQ_TOTAL_REV",IQ_FY-5)/I2273, _xll.ciqfunctions.udf.CIQ(A2268, "IQ_TOTAL_REV",IQ_FY-4)/I2273))</f>
        <v>91.31965189624006</v>
      </c>
      <c r="E2273" s="16">
        <f t="shared" si="607"/>
        <v>0.21317757234199927</v>
      </c>
      <c r="F2273" s="15">
        <f>IF(A2276=A2277,_xll.ciqfunctions.udf.CIQ(A2268,"IQ_DILUT_EPS_EXCL",IQ_FY-5), _xll.ciqfunctions.udf.CIQ(A2268, "IQ_DILUT_EPS_EXCL",IQ_FY-4))</f>
        <v>0.38</v>
      </c>
      <c r="G2273" s="15">
        <f>IF(A2276=A2277,_xll.ciqfunctions.udf.CIQ(A2268,"IQ_EBITDA_MARGIN",IQ_FY-5), _xll.ciqfunctions.udf.CIQ(A2268, "IQ_EBITDA_MARGIN",IQ_FY-4))</f>
        <v>5.7755000000000001</v>
      </c>
      <c r="H2273" s="15">
        <f>IF(A2276=A2277,_xll.ciqfunctions.udf.CIQ(A2268,"IQ_TOTAL_DIV_PAID_CF",IQ_FY-5)/-I2273, _xll.ciqfunctions.udf.CIQ(A2268, "IQ_TOTAL_DIV_PAID_CF",IQ_FY-4)/-I2273)</f>
        <v>0</v>
      </c>
      <c r="I2273" s="17">
        <f>IF(A2276=A2277,_xll.ciqfunctions.udf.CIQ(A2268,"IQ_TOTAL_OUTSTANDING_FILING_DATE",IQ_FY-5), _xll.ciqfunctions.udf.CIQ(A2268, "IQ_TOTAL_OUTSTANDING_FILING_DATE",IQ_FY-4))</f>
        <v>31.466480000000001</v>
      </c>
      <c r="J2273" s="17">
        <f>IF(A2276=A2277,_xll.ciqfunctions.udf.CIQ(A2268,"IQ_CASH_OPER",IQ_FY-5), _xll.ciqfunctions.udf.CIQ(A2268, "IQ_CASH_OPER",IQ_FY-4))</f>
        <v>66.831000000000003</v>
      </c>
      <c r="K2273" s="17">
        <f>IF(A2276=A2277,_xll.ciqfunctions.udf.CIQ(A2268,"IQ_CAPEX",IQ_FY-5), _xll.ciqfunctions.udf.CIQ(A2268, "IQ_CAPEX",IQ_FY-4))</f>
        <v>-62.78</v>
      </c>
      <c r="L2273" s="15">
        <f t="shared" si="604"/>
        <v>0.12874017049253689</v>
      </c>
      <c r="M2273" s="17">
        <f>IF(A2276=A2277,_xll.ciqfunctions.udf.CIQ(A2268,"IQ_TOTAL_DEBT_ISSUED",IQ_FY-5), _xll.ciqfunctions.udf.CIQ(A2268, "IQ_TOTAL_DEBT_ISSUED",IQ_FY-4))</f>
        <v>834.34100000000001</v>
      </c>
      <c r="N2273" s="17">
        <f>IF(A2276=A2277,_xll.ciqfunctions.udf.CIQ(A2268,"IQ_TOTAL_DEBT_REPAID",IQ_FY-5), _xll.ciqfunctions.udf.CIQ(A2268, "IQ_TOTAL_DEBT_REPAID",IQ_FY-4))</f>
        <v>-970.25800000000004</v>
      </c>
      <c r="O2273" s="15">
        <f t="shared" si="605"/>
        <v>-4.3194218101293833</v>
      </c>
      <c r="P2273" s="15">
        <f t="shared" si="606"/>
        <v>-4.1906816396368463</v>
      </c>
      <c r="Q2273" s="25" t="s">
        <v>27</v>
      </c>
      <c r="R2273" s="38" t="s">
        <v>51</v>
      </c>
      <c r="S2273" s="4">
        <f>AVERAGE(F2273:F2278)/AVERAGE(D2273:D2278)</f>
        <v>3.070116622145147E-2</v>
      </c>
      <c r="U2273" s="25" t="s">
        <v>58</v>
      </c>
      <c r="V2273" s="38" t="s">
        <v>51</v>
      </c>
      <c r="W2273" s="4">
        <f>AVERAGE(F2273:F2278)/AVERAGE(D2273:D2278)</f>
        <v>3.070116622145147E-2</v>
      </c>
      <c r="Y2273" s="25" t="s">
        <v>56</v>
      </c>
      <c r="Z2273" s="38" t="s">
        <v>51</v>
      </c>
      <c r="AA2273" s="4">
        <f>AVERAGE(F2273:F2278)/AVERAGE(D2273:D2278)</f>
        <v>3.070116622145147E-2</v>
      </c>
    </row>
    <row r="2274" spans="1:27">
      <c r="A2274" s="18"/>
      <c r="B2274" s="13">
        <v>7</v>
      </c>
      <c r="C2274" s="14" t="s">
        <v>28</v>
      </c>
      <c r="D2274" s="15" cm="1">
        <f t="array" ref="D2274">_xlfn.SINGLE(IF(A2276=A2277,_xll.ciqfunctions.udf.CIQ(A2268,"IQ_TOTAL_REV",IQ_FY-4)/I2274, _xll.ciqfunctions.udf.CIQ(A2268, "IQ_TOTAL_REV",IQ_FY-3)/I2274))</f>
        <v>108.44995073469563</v>
      </c>
      <c r="E2274" s="16">
        <f t="shared" si="607"/>
        <v>0.18758611627122163</v>
      </c>
      <c r="F2274" s="15">
        <f>IF(A2276=A2277,_xll.ciqfunctions.udf.CIQ(A2268,"IQ_DILUT_EPS_EXCL",IQ_FY-4), _xll.ciqfunctions.udf.CIQ(A2268, "IQ_DILUT_EPS_EXCL",IQ_FY-3))</f>
        <v>3.5</v>
      </c>
      <c r="G2274" s="15">
        <f>IF(A2276=A2277,_xll.ciqfunctions.udf.CIQ(A2268,"IQ_EBITDA_MARGIN",IQ_FY-4), _xll.ciqfunctions.udf.CIQ(A2268, "IQ_EBITDA_MARGIN",IQ_FY-3))</f>
        <v>6.1973000000000003</v>
      </c>
      <c r="H2274" s="15">
        <f>IF(A2276=A2277,_xll.ciqfunctions.udf.CIQ(A2268,"IQ_TOTAL_DIV_PAID_CF",IQ_FY-4)/-I2274, _xll.ciqfunctions.udf.CIQ(A2268, "IQ_TOTAL_DIV_PAID_CF",IQ_FY-3)/-I2274)</f>
        <v>0</v>
      </c>
      <c r="I2274" s="17">
        <f>IF(A2276=A2277,_xll.ciqfunctions.udf.CIQ(A2268,"IQ_TOTAL_OUTSTANDING_FILING_DATE",IQ_FY-4), _xll.ciqfunctions.udf.CIQ(A2268, "IQ_TOTAL_OUTSTANDING_FILING_DATE",IQ_FY-3))</f>
        <v>29.178750000000001</v>
      </c>
      <c r="J2274" s="17">
        <f>IF(A2276=A2277,_xll.ciqfunctions.udf.CIQ(A2268,"IQ_CASH_OPER",IQ_FY-4), _xll.ciqfunctions.udf.CIQ(A2268, "IQ_CASH_OPER",IQ_FY-3))</f>
        <v>115.3</v>
      </c>
      <c r="K2274" s="17">
        <f>IF(A2276=A2277,_xll.ciqfunctions.udf.CIQ(A2268,"IQ_CAPEX",IQ_FY-4), _xll.ciqfunctions.udf.CIQ(A2268, "IQ_CAPEX",IQ_FY-3))</f>
        <v>-90.6</v>
      </c>
      <c r="L2274" s="15">
        <f t="shared" si="604"/>
        <v>0.84650644732896374</v>
      </c>
      <c r="M2274" s="17">
        <f>IF(A2276=A2277,_xll.ciqfunctions.udf.CIQ(A2268,"IQ_TOTAL_DEBT_ISSUED",IQ_FY-4), _xll.ciqfunctions.udf.CIQ(A2268, "IQ_TOTAL_DEBT_ISSUED",IQ_FY-3))</f>
        <v>1084.5</v>
      </c>
      <c r="N2274" s="17">
        <f>IF(A2276=A2277,_xll.ciqfunctions.udf.CIQ(A2268,"IQ_TOTAL_DEBT_REPAID",IQ_FY-4), _xll.ciqfunctions.udf.CIQ(A2268, "IQ_TOTAL_DEBT_REPAID",IQ_FY-3))</f>
        <v>-993.58799999999997</v>
      </c>
      <c r="O2274" s="15">
        <f t="shared" si="605"/>
        <v>3.1156920704279667</v>
      </c>
      <c r="P2274" s="15">
        <f t="shared" si="606"/>
        <v>3.9621985177569305</v>
      </c>
      <c r="Q2274" s="18"/>
      <c r="R2274" s="38" t="s">
        <v>29</v>
      </c>
      <c r="S2274" s="4">
        <f>(AVERAGE(P2273:P2278)/_xlfn.STDEV.P(P2273:P2278))/(IF(A2276=A2277,(_xlfn.SINGLE(_xll.ciqfunctions.udf.CIQ(A2268,"IQ_total_assets",IQ_FY)) - _xlfn.SINGLE(_xll.ciqfunctions.udf.CIQ(A2268,"iq_gw_intan", IQ_FY)))/I2278, (_xlfn.SINGLE(_xll.ciqfunctions.udf.CIQ(A2268, "IQ_total_assets",IQ_LTM))-_xlfn.SINGLE(_xll.ciqfunctions.udf.CIQ(A2268,"iq_gw_intan",IQ_LTM)))/I2278))</f>
        <v>3.9932559957628023E-3</v>
      </c>
      <c r="U2274" s="18"/>
      <c r="V2274" s="38" t="s">
        <v>29</v>
      </c>
      <c r="W2274" s="4">
        <f>(AVERAGE(P2273:P2278)/_xlfn.STDEV.P(P2273:P2278))/(IF(A2276=A2277,(_xlfn.SINGLE(_xll.ciqfunctions.udf.CIQ(A2268,"IQ_total_assets",IQ_FY)) - _xlfn.SINGLE(_xll.ciqfunctions.udf.CIQ(A2268,"iq_gw_intan", IQ_FY)))/I2278, (_xlfn.SINGLE(_xll.ciqfunctions.udf.CIQ(A2268, "IQ_total_assets",IQ_LTM))-_xlfn.SINGLE(_xll.ciqfunctions.udf.CIQ(A2268,"iq_gw_intan",IQ_LTM)))/I2278))</f>
        <v>3.9932559957628023E-3</v>
      </c>
      <c r="Y2274" s="18"/>
      <c r="Z2274" s="38" t="s">
        <v>29</v>
      </c>
      <c r="AA2274" s="4">
        <f>(AVERAGE(P2273:P2278)/_xlfn.STDEV.P(P2273:P2278))/(IF(A2276=A2277,(_xlfn.SINGLE(_xll.ciqfunctions.udf.CIQ(A2268,"IQ_total_assets",IQ_FY)) - _xlfn.SINGLE(_xll.ciqfunctions.udf.CIQ(A2268,"iq_gw_intan", IQ_FY)))/I2278, (_xlfn.SINGLE(_xll.ciqfunctions.udf.CIQ(A2268, "IQ_total_assets",IQ_LTM))-_xlfn.SINGLE(_xll.ciqfunctions.udf.CIQ(A2268,"iq_gw_intan",IQ_LTM)))/I2278))</f>
        <v>3.9932559957628023E-3</v>
      </c>
    </row>
    <row r="2275" spans="1:27">
      <c r="A2275" s="18"/>
      <c r="B2275" s="13">
        <v>8</v>
      </c>
      <c r="C2275" s="14" t="s">
        <v>30</v>
      </c>
      <c r="D2275" s="15" cm="1">
        <f t="array" ref="D2275">_xlfn.SINGLE(IF(A2276=A2277,_xll.ciqfunctions.udf.CIQ(A2268,"IQ_TOTAL_REV",IQ_FY-3)/I2275, _xll.ciqfunctions.udf.CIQ(A2268, "IQ_TOTAL_REV",IQ_FY-2)/I2275))</f>
        <v>117.62648321380655</v>
      </c>
      <c r="E2275" s="16">
        <f t="shared" si="607"/>
        <v>8.4615367890389773E-2</v>
      </c>
      <c r="F2275" s="15">
        <f>IF(A2276=A2277,_xll.ciqfunctions.udf.CIQ(A2268,"IQ_DILUT_EPS_EXCL",IQ_FY-3), _xll.ciqfunctions.udf.CIQ(A2268, "IQ_DILUT_EPS_EXCL",IQ_FY-2))</f>
        <v>3.93</v>
      </c>
      <c r="G2275" s="15">
        <f>IF(A2276=A2277,_xll.ciqfunctions.udf.CIQ(A2268,"IQ_EBITDA_MARGIN",IQ_FY-3), _xll.ciqfunctions.udf.CIQ(A2268, "IQ_EBITDA_MARGIN",IQ_FY-2))</f>
        <v>6.3760000000000003</v>
      </c>
      <c r="H2275" s="15">
        <f>IF(A2276=A2277,_xll.ciqfunctions.udf.CIQ(A2268,"IQ_TOTAL_DIV_PAID_CF",IQ_FY-3)/-I2275, _xll.ciqfunctions.udf.CIQ(A2268, "IQ_TOTAL_DIV_PAID_CF",IQ_FY-2)/-I2275)</f>
        <v>0</v>
      </c>
      <c r="I2275" s="17">
        <f>IF(A2276=A2277,_xll.ciqfunctions.udf.CIQ(A2268,"IQ_TOTAL_OUTSTANDING_FILING_DATE",IQ_FY-3), _xll.ciqfunctions.udf.CIQ(A2268, "IQ_TOTAL_OUTSTANDING_FILING_DATE",IQ_FY-2))</f>
        <v>28.82339</v>
      </c>
      <c r="J2275" s="17">
        <f>IF(A2276=A2277,_xll.ciqfunctions.udf.CIQ(A2268,"IQ_CASH_OPER",IQ_FY-3), _xll.ciqfunctions.udf.CIQ(A2268, "IQ_CASH_OPER",IQ_FY-2))</f>
        <v>210.36799999999999</v>
      </c>
      <c r="K2275" s="17">
        <f>IF(A2276=A2277,_xll.ciqfunctions.udf.CIQ(A2268,"IQ_CAPEX",IQ_FY-3), _xll.ciqfunctions.udf.CIQ(A2268, "IQ_CAPEX",IQ_FY-2))</f>
        <v>-50.088000000000001</v>
      </c>
      <c r="L2275" s="15">
        <f t="shared" si="604"/>
        <v>5.5607615898060567</v>
      </c>
      <c r="M2275" s="17">
        <f>IF(A2276=A2277,_xll.ciqfunctions.udf.CIQ(A2268,"IQ_TOTAL_DEBT_ISSUED",IQ_FY-3), _xll.ciqfunctions.udf.CIQ(A2268, "IQ_TOTAL_DEBT_ISSUED",IQ_FY-2))</f>
        <v>679.04200000000003</v>
      </c>
      <c r="N2275" s="17">
        <f>IF(A2276=A2277,_xll.ciqfunctions.udf.CIQ(A2268,"IQ_TOTAL_DEBT_REPAID",IQ_FY-3), _xll.ciqfunctions.udf.CIQ(A2268, "IQ_TOTAL_DEBT_REPAID",IQ_FY-2))</f>
        <v>-638.298</v>
      </c>
      <c r="O2275" s="15">
        <f t="shared" si="605"/>
        <v>1.4135741840220748</v>
      </c>
      <c r="P2275" s="15">
        <f t="shared" si="606"/>
        <v>6.9743357738281313</v>
      </c>
      <c r="Q2275" s="18"/>
      <c r="R2275" s="39" t="s">
        <v>31</v>
      </c>
      <c r="S2275" s="5">
        <f>IF(NOT(D2268&gt;0),FALSE,SLOPE(G2268:G2278,B2268:B2278))</f>
        <v>1.8903636363636352E-2</v>
      </c>
      <c r="U2275" s="18"/>
      <c r="V2275" s="39" t="s">
        <v>31</v>
      </c>
      <c r="W2275" s="5">
        <f>IF(NOT(D2268&gt;0),FALSE,SLOPE(G2268:G2278,B2268:B2278))</f>
        <v>1.8903636363636352E-2</v>
      </c>
      <c r="Y2275" s="18"/>
      <c r="Z2275" s="39" t="s">
        <v>31</v>
      </c>
      <c r="AA2275" s="5">
        <f>IF(NOT(L2268&gt;0),FALSE,SLOPE(O2268:O2278,J2268:J2278))</f>
        <v>-1.7481382510643038E-2</v>
      </c>
    </row>
    <row r="2276" spans="1:27">
      <c r="A2276" s="19">
        <f>_xll.ciqfunctions.udf.CIQ(A2268,"IQ_TOTAL_REV",IQ_FY)</f>
        <v>4210.3050000000003</v>
      </c>
      <c r="B2276" s="13">
        <v>9</v>
      </c>
      <c r="C2276" s="14" t="s">
        <v>32</v>
      </c>
      <c r="D2276" s="15" cm="1">
        <f t="array" ref="D2276">_xlfn.SINGLE(IF(A2276=A2277,_xll.ciqfunctions.udf.CIQ(A2268,"IQ_TOTAL_REV",IQ_FY-2)/I2276, _xll.ciqfunctions.udf.CIQ(A2268, "IQ_TOTAL_REV",IQ_FY-1)/I2276))</f>
        <v>120.32124810528406</v>
      </c>
      <c r="E2276" s="16">
        <f t="shared" si="607"/>
        <v>2.290950828292045E-2</v>
      </c>
      <c r="F2276" s="15">
        <f>IF(A2276=A2277,_xll.ciqfunctions.udf.CIQ(A2268,"IQ_DILUT_EPS_EXCL",IQ_FY-2), _xll.ciqfunctions.udf.CIQ(A2268, "IQ_DILUT_EPS_EXCL",IQ_FY-1))</f>
        <v>4.76</v>
      </c>
      <c r="G2276" s="15">
        <f>IF(A2276=A2277,_xll.ciqfunctions.udf.CIQ(A2268,"IQ_EBITDA_MARGIN",IQ_FY-2), _xll.ciqfunctions.udf.CIQ(A2268, "IQ_EBITDA_MARGIN",IQ_FY-1))</f>
        <v>7.1323999999999996</v>
      </c>
      <c r="H2276" s="15">
        <f>IF(A2276=A2277,_xll.ciqfunctions.udf.CIQ(A2268,"IQ_TOTAL_DIV_PAID_CF",IQ_FY-2)/-I2276, _xll.ciqfunctions.udf.CIQ(A2268, "IQ_TOTAL_DIV_PAID_CF",IQ_FY-1)/-I2276)</f>
        <v>0</v>
      </c>
      <c r="I2276" s="17">
        <f>IF(A2276=A2277,_xll.ciqfunctions.udf.CIQ(A2268,"IQ_TOTAL_OUTSTANDING_FILING_DATE",IQ_FY-2), _xll.ciqfunctions.udf.CIQ(A2268, "IQ_TOTAL_OUTSTANDING_FILING_DATE",IQ_FY-1))</f>
        <v>27.998919999999998</v>
      </c>
      <c r="J2276" s="17">
        <f>IF(A2276=A2277,_xll.ciqfunctions.udf.CIQ(A2268,"IQ_CASH_OPER",IQ_FY-2), _xll.ciqfunctions.udf.CIQ(A2268, "IQ_CASH_OPER",IQ_FY-1))</f>
        <v>142.577</v>
      </c>
      <c r="K2276" s="17">
        <f>IF(A2276=A2277,_xll.ciqfunctions.udf.CIQ(A2268,"IQ_CAPEX",IQ_FY-2), _xll.ciqfunctions.udf.CIQ(A2268, "IQ_CAPEX",IQ_FY-1))</f>
        <v>-57.098999999999997</v>
      </c>
      <c r="L2276" s="15">
        <f t="shared" si="604"/>
        <v>3.0529034691338102</v>
      </c>
      <c r="M2276" s="17">
        <f>IF(A2276=A2277,_xll.ciqfunctions.udf.CIQ(A2268,"IQ_TOTAL_DEBT_ISSUED",IQ_FY-2), _xll.ciqfunctions.udf.CIQ(A2268, "IQ_TOTAL_DEBT_ISSUED",IQ_FY-1))</f>
        <v>376.73899999999998</v>
      </c>
      <c r="N2276" s="17">
        <f>IF(A2276=A2277,_xll.ciqfunctions.udf.CIQ(A2268,"IQ_TOTAL_DEBT_REPAID",IQ_FY-2), _xll.ciqfunctions.udf.CIQ(A2268, "IQ_TOTAL_DEBT_REPAID",IQ_FY-1))</f>
        <v>-466.06299999999999</v>
      </c>
      <c r="O2276" s="15">
        <f t="shared" si="605"/>
        <v>-3.1902659102565392</v>
      </c>
      <c r="P2276" s="15">
        <f t="shared" si="606"/>
        <v>-0.137362441122729</v>
      </c>
      <c r="Q2276" s="25" t="s">
        <v>33</v>
      </c>
      <c r="R2276" s="38" t="s">
        <v>52</v>
      </c>
      <c r="S2276" s="4">
        <f>(AVERAGE(O2273:O2278)/AVERAGE(P2273:P2278))</f>
        <v>0.2850447013616742</v>
      </c>
      <c r="U2276" s="25" t="s">
        <v>54</v>
      </c>
      <c r="V2276" s="38" t="s">
        <v>52</v>
      </c>
      <c r="W2276" s="4">
        <f>(AVERAGE(O2273:O2278)/AVERAGE(P2273:P2278))</f>
        <v>0.2850447013616742</v>
      </c>
      <c r="Y2276" s="25" t="s">
        <v>60</v>
      </c>
      <c r="Z2276" s="38" t="s">
        <v>52</v>
      </c>
      <c r="AA2276" s="4">
        <f>(AVERAGE(O2273:O2278)/AVERAGE(P2273:P2278))</f>
        <v>0.2850447013616742</v>
      </c>
    </row>
    <row r="2277" spans="1:27">
      <c r="A2277" s="19">
        <f>_xll.ciqfunctions.udf.CIQ(A2268,"IQ_TOTAL_REV",IQ_LTM)</f>
        <v>4210.3050000000003</v>
      </c>
      <c r="B2277" s="13">
        <v>10</v>
      </c>
      <c r="C2277" s="14" t="s">
        <v>34</v>
      </c>
      <c r="D2277" s="15" cm="1">
        <f t="array" ref="D2277">_xlfn.SINGLE(IF(A2276=A2277,_xll.ciqfunctions.udf.CIQ(A2268,"IQ_TOTAL_REV",IQ_FY-1)/I2277, _xll.ciqfunctions.udf.CIQ(A2268, "IQ_TOTAL_REV",IQ_FY)/I2277))</f>
        <v>137.95663635485059</v>
      </c>
      <c r="E2277" s="16">
        <f t="shared" si="607"/>
        <v>0.14656919311654026</v>
      </c>
      <c r="F2277" s="15">
        <f>IF(A2276=A2277,_xll.ciqfunctions.udf.CIQ(A2268,"IQ_DILUT_EPS_EXCL",IQ_FY-1), _xll.ciqfunctions.udf.CIQ(A2268, "IQ_DILUT_EPS_EXCL",IQ_FY))</f>
        <v>4.8600000000000003</v>
      </c>
      <c r="G2277" s="15">
        <f>IF(A2276=A2277,_xll.ciqfunctions.udf.CIQ(A2268,"IQ_EBITDA_MARGIN",IQ_FY-1), _xll.ciqfunctions.udf.CIQ(A2268, "IQ_EBITDA_MARGIN",IQ_FY))</f>
        <v>6.3777999999999997</v>
      </c>
      <c r="H2277" s="15">
        <f>IF(A2276=A2277,_xll.ciqfunctions.udf.CIQ(A2268,"IQ_TOTAL_DIV_PAID_CF",IQ_FY-1)/-I2277, _xll.ciqfunctions.udf.CIQ(A2268, "IQ_TOTAL_DIV_PAID_CF",IQ_FY)/-I2277)</f>
        <v>0</v>
      </c>
      <c r="I2277" s="17">
        <f>IF(A2276=A2277,_xll.ciqfunctions.udf.CIQ(A2268,"IQ_TOTAL_OUTSTANDING_FILING_DATE",IQ_FY-1), _xll.ciqfunctions.udf.CIQ(A2268, "IQ_TOTAL_OUTSTANDING_FILING_DATE",IQ_FY))</f>
        <v>27.627289999999999</v>
      </c>
      <c r="J2277" s="17">
        <f>IF(A2276=A2277,_xll.ciqfunctions.udf.CIQ(A2268,"IQ_CASH_OPER",IQ_FY-1), _xll.ciqfunctions.udf.CIQ(A2268, "IQ_CASH_OPER",IQ_FY))</f>
        <v>-26.24</v>
      </c>
      <c r="K2277" s="17">
        <f>IF(A2276=A2277,_xll.ciqfunctions.udf.CIQ(A2268,"IQ_CAPEX",IQ_FY-1), _xll.ciqfunctions.udf.CIQ(A2268, "IQ_CAPEX",IQ_FY))</f>
        <v>-101.61199999999999</v>
      </c>
      <c r="L2277" s="15">
        <f t="shared" si="604"/>
        <v>-4.6277430757776097</v>
      </c>
      <c r="M2277" s="17">
        <f>IF(A2276=A2277,_xll.ciqfunctions.udf.CIQ(A2268,"IQ_TOTAL_DEBT_ISSUED",IQ_FY-1), _xll.ciqfunctions.udf.CIQ(A2268, "IQ_TOTAL_DEBT_ISSUED",IQ_FY))</f>
        <v>758</v>
      </c>
      <c r="N2277" s="17">
        <f>IF(A2276=A2277,_xll.ciqfunctions.udf.CIQ(A2268,"IQ_TOTAL_DEBT_REPAID",IQ_FY-1), _xll.ciqfunctions.udf.CIQ(A2268, "IQ_TOTAL_DEBT_REPAID",IQ_FY))</f>
        <v>-556.726</v>
      </c>
      <c r="O2277" s="15">
        <f t="shared" si="605"/>
        <v>7.2853327271694042</v>
      </c>
      <c r="P2277" s="15">
        <f t="shared" si="606"/>
        <v>2.6575896513917945</v>
      </c>
      <c r="Q2277" s="25" t="s">
        <v>44</v>
      </c>
      <c r="R2277" s="38" t="s">
        <v>35</v>
      </c>
      <c r="S2277" s="1">
        <f>_xll.ciqfunctions.udf.CIQ(A2268,"IQ_TEV_EBITDA")</f>
        <v>10.06691</v>
      </c>
      <c r="U2277" s="25" t="s">
        <v>55</v>
      </c>
      <c r="V2277" s="38" t="s">
        <v>53</v>
      </c>
      <c r="W2277" s="1">
        <f>V2267/(AVERAGE(D2273:D2278)/_xlfn.STDEV.P(E2273:E2278))</f>
        <v>5.4701327723571544E-2</v>
      </c>
      <c r="Y2277" s="25" t="s">
        <v>57</v>
      </c>
      <c r="Z2277" s="38" t="s">
        <v>53</v>
      </c>
      <c r="AA2277" s="1">
        <f>Z2267/(AVERAGE(D2273:D2278)/_xlfn.STDEV.P(E2273:E2278))</f>
        <v>5.4701327723571544E-2</v>
      </c>
    </row>
    <row r="2278" spans="1:27">
      <c r="B2278" s="13">
        <v>11</v>
      </c>
      <c r="C2278" s="20" t="s">
        <v>36</v>
      </c>
      <c r="D2278" s="21" cm="1">
        <f t="array" ref="D2278">_xlfn.SINGLE(IF(A2276=A2277,_xll.ciqfunctions.udf.CIQ(A2268,"IQ_TOTAL_REV",IQ_FY)/I2278, _xll.ciqfunctions.udf.CIQ(A2268, "IQ_TOTAL_REV",IQ_LTM)/I2278))</f>
        <v>153.28856612029261</v>
      </c>
      <c r="E2278" s="22">
        <f t="shared" si="607"/>
        <v>0.11113586247496932</v>
      </c>
      <c r="F2278" s="21">
        <f>IF(A2276=A2277,_xll.ciqfunctions.udf.CIQ(A2268,"IQ_DILUT_EPS_EXCL",IQ_FY), _xll.ciqfunctions.udf.CIQ(A2268, "IQ_DILUT_EPS_EXCL",IQ_LTM))</f>
        <v>4.95</v>
      </c>
      <c r="G2278" s="21">
        <f>IF(A2276=A2277,_xll.ciqfunctions.udf.CIQ(A2268,"IQ_EBITDA_MARGIN",IQ_FY), _xll.ciqfunctions.udf.CIQ(A2268, "IQ_EBITDA_MARGIN",IQ_LTM))</f>
        <v>6.8532999999999999</v>
      </c>
      <c r="H2278" s="21">
        <f>IF(A2276=A2277,_xll.ciqfunctions.udf.CIQ(A2268,"IQ_TOTAL_DIV_PAID_CF",IQ_FY)/-I2278, _xll.ciqfunctions.udf.CIQ(A2268, "IQ_TOTAL_DIV_PAID_CF",IQ_LTM)/-I2278)</f>
        <v>0</v>
      </c>
      <c r="I2278" s="23">
        <f>IF(A2276=A2277,_xll.ciqfunctions.udf.CIQ(A2268,"IQ_TOTAL_OUTSTANDING_FILING_DATE",IQ_FY),_xll.ciqfunctions.udf.CIQ(A2268,"IQ_sharesoutstanding"))</f>
        <v>27.466529999999999</v>
      </c>
      <c r="J2278" s="23">
        <f>IF(A2276=A2277,_xll.ciqfunctions.udf.CIQ(A2268,"IQ_CASH_OPER",IQ_FY), _xll.ciqfunctions.udf.CIQ(A2268, "IQ_CASH_OPER",IQ_LTM))</f>
        <v>165.822</v>
      </c>
      <c r="K2278" s="23">
        <f>IF(A2276=A2277,_xll.ciqfunctions.udf.CIQ(A2268,"IQ_CAPEX",IQ_FY), _xll.ciqfunctions.udf.CIQ(A2268, "IQ_CAPEX",IQ_LTM))</f>
        <v>-104.04900000000001</v>
      </c>
      <c r="L2278" s="21">
        <f t="shared" si="604"/>
        <v>2.2490281808441037</v>
      </c>
      <c r="M2278" s="23">
        <f>IF(A2276=A2277,_xll.ciqfunctions.udf.CIQ(A2268,"IQ_TOTAL_DEBT_ISSUED",IQ_FY), _xll.ciqfunctions.udf.CIQ(A2268, "IQ_TOTAL_DEBT_ISSUED",IQ_LTM))</f>
        <v>748.5</v>
      </c>
      <c r="N2278" s="23">
        <f>IF(A2276=A2277,_xll.ciqfunctions.udf.CIQ(A2268,"IQ_TOTAL_DEBT_REPAID",IQ_FY), _xll.ciqfunctions.udf.CIQ(A2268, "IQ_TOTAL_DEBT_REPAID",IQ_LTM))</f>
        <v>-787.78499999999997</v>
      </c>
      <c r="O2278" s="21">
        <f t="shared" si="605"/>
        <v>-1.4302862429291203</v>
      </c>
      <c r="P2278" s="21">
        <f t="shared" si="606"/>
        <v>0.8187419379149834</v>
      </c>
      <c r="Q2278" s="25" t="s">
        <v>45</v>
      </c>
      <c r="S2278" s="45"/>
      <c r="U2278" s="25"/>
      <c r="W2278" s="45"/>
      <c r="Y2278" s="25"/>
      <c r="AA2278" s="45"/>
    </row>
    <row r="2279" spans="1:27">
      <c r="B2279" s="24"/>
      <c r="C2279" s="25" t="s">
        <v>37</v>
      </c>
      <c r="E2279" s="26">
        <f>((D2278/D2273)^(1/5))-1</f>
        <v>0.10914698473723217</v>
      </c>
      <c r="F2279" s="27">
        <f>((F2278/F2273)^(1/5))-1</f>
        <v>0.67095333121785661</v>
      </c>
      <c r="G2279" s="28"/>
      <c r="H2279" s="27" t="e">
        <f>((H2278/H2273)^(1/5))-1</f>
        <v>#DIV/0!</v>
      </c>
      <c r="I2279" s="27">
        <f>((I2278/I2273)^(1/5))-1</f>
        <v>-2.6824590388531577E-2</v>
      </c>
      <c r="J2279" s="27"/>
      <c r="K2279" s="27"/>
      <c r="L2279" s="26">
        <f>((L2278/L2273)^(1/5))-1</f>
        <v>0.77196917824702505</v>
      </c>
      <c r="M2279" s="26"/>
      <c r="N2279" s="26"/>
      <c r="O2279" s="26"/>
      <c r="P2279" s="26">
        <f>((P2278/P2273)^(1/5))-1</f>
        <v>-1.7213939129199123</v>
      </c>
      <c r="Q2279" s="18"/>
      <c r="R2279" s="36"/>
      <c r="S2279" s="45"/>
      <c r="U2279" s="18"/>
      <c r="V2279" s="36"/>
      <c r="W2279" s="45"/>
      <c r="Y2279" s="18"/>
      <c r="Z2279" s="36"/>
      <c r="AA2279" s="45"/>
    </row>
    <row r="2280" spans="1:27">
      <c r="A2280" s="29"/>
      <c r="B2280" s="30"/>
      <c r="C2280" s="31" t="s">
        <v>38</v>
      </c>
      <c r="D2280" s="29"/>
      <c r="E2280" s="32">
        <f>((D2278/D2268)^(1/10))-1</f>
        <v>8.804310971527185E-2</v>
      </c>
      <c r="F2280" s="33">
        <f>((F2278/F2268)^(1/10))-1</f>
        <v>7.6884979936040709E-2</v>
      </c>
      <c r="G2280" s="34"/>
      <c r="H2280" s="33" t="e">
        <f>((H2278/H2268)^(1/10))-1</f>
        <v>#DIV/0!</v>
      </c>
      <c r="I2280" s="33">
        <f>((I2278/I2268)^(1/10))-1</f>
        <v>-2.052550914672413E-2</v>
      </c>
      <c r="J2280" s="33"/>
      <c r="K2280" s="33"/>
      <c r="L2280" s="32">
        <f>((L2278/L2268)^(1/10))-1</f>
        <v>-2.6595116207267844E-2</v>
      </c>
      <c r="M2280" s="32"/>
      <c r="N2280" s="32"/>
      <c r="O2280" s="32"/>
      <c r="P2280" s="32">
        <f>((P2278/P2268)^(1/10))-1</f>
        <v>-0.10976597035682112</v>
      </c>
      <c r="Q2280" s="40"/>
      <c r="R2280" s="41"/>
      <c r="S2280" s="46"/>
      <c r="U2280" s="40"/>
      <c r="V2280" s="41"/>
      <c r="W2280" s="46"/>
      <c r="Y2280" s="40"/>
      <c r="Z2280" s="41"/>
      <c r="AA2280" s="46"/>
    </row>
    <row r="2281" spans="1:27">
      <c r="B2281" s="24"/>
      <c r="C2281" s="25"/>
      <c r="E2281" s="26"/>
      <c r="F2281" s="27"/>
      <c r="G2281" s="28"/>
      <c r="H2281" s="27"/>
      <c r="I2281" s="27"/>
      <c r="J2281" s="27"/>
      <c r="K2281" s="27"/>
      <c r="L2281" s="26"/>
      <c r="M2281" s="17"/>
      <c r="N2281" s="17"/>
      <c r="O2281" s="17"/>
      <c r="P2281" s="35"/>
      <c r="Q2281" s="18"/>
      <c r="R2281" s="36"/>
    </row>
    <row r="2282" spans="1:27">
      <c r="A2282" s="9" t="s">
        <v>0</v>
      </c>
      <c r="B2282" s="10"/>
      <c r="C2282" s="9" t="s">
        <v>1</v>
      </c>
      <c r="D2282" s="9" t="s">
        <v>2</v>
      </c>
      <c r="E2282" s="9" t="s">
        <v>3</v>
      </c>
      <c r="F2282" s="11" t="s">
        <v>4</v>
      </c>
      <c r="G2282" s="11" t="s">
        <v>5</v>
      </c>
      <c r="H2282" s="9" t="s">
        <v>6</v>
      </c>
      <c r="I2282" s="11" t="s">
        <v>7</v>
      </c>
      <c r="J2282" s="11" t="s">
        <v>8</v>
      </c>
      <c r="K2282" s="11" t="s">
        <v>9</v>
      </c>
      <c r="L2282" s="11" t="s">
        <v>10</v>
      </c>
      <c r="M2282" s="11" t="s">
        <v>11</v>
      </c>
      <c r="N2282" s="11" t="s">
        <v>12</v>
      </c>
      <c r="O2282" s="11" t="s">
        <v>13</v>
      </c>
      <c r="P2282" s="11" t="s">
        <v>14</v>
      </c>
      <c r="Q2282" s="37" t="s">
        <v>15</v>
      </c>
      <c r="R2282" s="42">
        <f>_xll.ciqfunctions.udf.CIQ(A2283,("IQ_LASTSALEPRICE"))</f>
        <v>46.865000000000002</v>
      </c>
      <c r="S2282" s="44"/>
      <c r="U2282" s="37" t="s">
        <v>15</v>
      </c>
      <c r="V2282" s="42">
        <f>_xll.ciqfunctions.udf.CIQ(A2283,("IQ_LASTSALEPRICE"))</f>
        <v>46.865000000000002</v>
      </c>
      <c r="W2282" s="44"/>
      <c r="Y2282" s="37" t="s">
        <v>15</v>
      </c>
      <c r="Z2282" s="42">
        <f>_xll.ciqfunctions.udf.CIQ(A2283,("IQ_LASTSALEPRICE"))</f>
        <v>46.865000000000002</v>
      </c>
      <c r="AA2282" s="44"/>
    </row>
    <row r="2283" spans="1:27">
      <c r="A2283" s="12" t="str">
        <f>Analysis!B154</f>
        <v>NasdaqGS:AVT</v>
      </c>
      <c r="B2283" s="13">
        <v>1</v>
      </c>
      <c r="C2283" s="14" t="s">
        <v>16</v>
      </c>
      <c r="D2283" s="15">
        <f>IF(A2291=A2292,_xll.ciqfunctions.udf.CIQ(A2283,"IQ_TOTAL_REV",IQ_FY-10)/I2283,_xll.ciqfunctions.udf.CIQ(A2283, "IQ_TOTAL_REV",IQ_FY-9)/I2283)</f>
        <v>198.89955807578531</v>
      </c>
      <c r="E2283" s="16"/>
      <c r="F2283" s="15">
        <f>IF(A2291=A2292,_xll.ciqfunctions.udf.CIQ(A2283,"IQ_DILUT_EPS_EXCL",IQ_FY-10), _xll.ciqfunctions.udf.CIQ(A2283, "IQ_DILUT_EPS_EXCL",IQ_FY-9))</f>
        <v>3.89</v>
      </c>
      <c r="G2283" s="15">
        <f>IF(A2291=A2292,_xll.ciqfunctions.udf.CIQ(A2283,"IQ_EBITDA_MARGIN",IQ_FY-10), _xll.ciqfunctions.udf.CIQ(A2283, "IQ_EBITDA_MARGIN",IQ_FY-9))</f>
        <v>3.6836000000000002</v>
      </c>
      <c r="H2283" s="15">
        <f>IF(A2291=A2292,_xll.ciqfunctions.udf.CIQ(A2283,"IQ_TOTAL_DIV_PAID_CF",IQ_FY-10)/-I2283, _xll.ciqfunctions.udf.CIQ(A2283, "IQ_TOTAL_DIV_PAID_CF",IQ_FY-9)/-I2283)</f>
        <v>0.5985505464382066</v>
      </c>
      <c r="I2283" s="17">
        <f>IF(A2291=A2292,_xll.ciqfunctions.udf.CIQ(A2283,"IQ_TOTAL_OUTSTANDING_FILING_DATE",IQ_FY-10), _xll.ciqfunctions.udf.CIQ(A2283, "IQ_TOTAL_OUTSTANDING_FILING_DATE",IQ_FY-9))</f>
        <v>138.25899999999999</v>
      </c>
      <c r="J2283" s="17">
        <f>IF(A2291=A2292,_xll.ciqfunctions.udf.CIQ(A2283,"IQ_CASH_OPER",IQ_FY-10), _xll.ciqfunctions.udf.CIQ(A2283, "IQ_CASH_OPER",IQ_FY-9))</f>
        <v>237.41800000000001</v>
      </c>
      <c r="K2283" s="17">
        <f>IF(A2291=A2292,_xll.ciqfunctions.udf.CIQ(A2283,"IQ_CAPEX",IQ_FY-10), _xll.ciqfunctions.udf.CIQ(A2283, "IQ_CAPEX",IQ_FY-9))</f>
        <v>-123.242</v>
      </c>
      <c r="L2283" s="15">
        <f t="shared" ref="L2283:L2293" si="608">(J2283+K2283)/I2283</f>
        <v>0.82581242450762704</v>
      </c>
      <c r="M2283" s="17">
        <f>IF(A2291=A2292,_xll.ciqfunctions.udf.CIQ(A2283,"IQ_TOTAL_DEBT_ISSUED",IQ_FY-10), _xll.ciqfunctions.udf.CIQ(A2283, "IQ_TOTAL_DEBT_ISSUED",IQ_FY-9))</f>
        <v>293.76499999999999</v>
      </c>
      <c r="N2283" s="17">
        <f>IF(A2291=A2292,_xll.ciqfunctions.udf.CIQ(A2283,"IQ_TOTAL_DEBT_REPAID",IQ_FY-10), _xll.ciqfunctions.udf.CIQ(A2283, "IQ_TOTAL_DEBT_REPAID",IQ_FY-9))</f>
        <v>-300</v>
      </c>
      <c r="O2283" s="15">
        <f t="shared" ref="O2283:O2293" si="609">(M2283+N2283)/I2283</f>
        <v>-4.5096521745419935E-2</v>
      </c>
      <c r="P2283" s="15">
        <f t="shared" ref="P2283:P2293" si="610">L2283+O2283</f>
        <v>0.78071590276220715</v>
      </c>
      <c r="W2283" s="43"/>
      <c r="AA2283" s="43"/>
    </row>
    <row r="2284" spans="1:27">
      <c r="A2284" s="18" t="str">
        <f>_xll.ciqfunctions.udf.CIQ(A2283,"IQ_COMPANY_NAME")</f>
        <v>Avnet, Inc.</v>
      </c>
      <c r="B2284" s="13">
        <v>2</v>
      </c>
      <c r="C2284" s="14" t="s">
        <v>17</v>
      </c>
      <c r="D2284" s="15">
        <f>IF(A2291=A2292,_xll.ciqfunctions.udf.CIQ(A2283,"IQ_TOTAL_REV",IQ_FY-9)/I2284, _xll.ciqfunctions.udf.CIQ(A2283, "IQ_TOTAL_REV",IQ_FY-8)/I2284)</f>
        <v>131.30746178077368</v>
      </c>
      <c r="E2284" s="16">
        <f t="shared" ref="E2284:E2293" si="611">(D2284-D2283)/D2283</f>
        <v>-0.33983029901583534</v>
      </c>
      <c r="F2284" s="15">
        <f>IF(A2291=A2292,_xll.ciqfunctions.udf.CIQ(A2283,"IQ_DILUT_EPS_EXCL",IQ_FY-9), _xll.ciqfunctions.udf.CIQ(A2283, "IQ_DILUT_EPS_EXCL",IQ_FY-8))</f>
        <v>3.5</v>
      </c>
      <c r="G2284" s="15">
        <f>IF(A2291=A2292,_xll.ciqfunctions.udf.CIQ(A2283,"IQ_EBITDA_MARGIN",IQ_FY-9), _xll.ciqfunctions.udf.CIQ(A2283, "IQ_EBITDA_MARGIN",IQ_FY-8))</f>
        <v>4.3857999999999997</v>
      </c>
      <c r="H2284" s="15">
        <f>IF(A2291=A2292,_xll.ciqfunctions.udf.CIQ(A2283,"IQ_TOTAL_DIV_PAID_CF",IQ_FY-9)/-I2284, _xll.ciqfunctions.udf.CIQ(A2283, "IQ_TOTAL_DIV_PAID_CF",IQ_FY-8)/-I2284)</f>
        <v>0.64949722162000945</v>
      </c>
      <c r="I2284" s="17">
        <f>IF(A2291=A2292,_xll.ciqfunctions.udf.CIQ(A2283,"IQ_TOTAL_OUTSTANDING_FILING_DATE",IQ_FY-9), _xll.ciqfunctions.udf.CIQ(A2283, "IQ_TOTAL_OUTSTANDING_FILING_DATE",IQ_FY-8))</f>
        <v>134.45785000000001</v>
      </c>
      <c r="J2284" s="17">
        <f>IF(A2291=A2292,_xll.ciqfunctions.udf.CIQ(A2283,"IQ_CASH_OPER",IQ_FY-9), _xll.ciqfunctions.udf.CIQ(A2283, "IQ_CASH_OPER",IQ_FY-8))</f>
        <v>583.88300000000004</v>
      </c>
      <c r="K2284" s="17">
        <f>IF(A2291=A2292,_xll.ciqfunctions.udf.CIQ(A2283,"IQ_CAPEX",IQ_FY-9), _xll.ciqfunctions.udf.CIQ(A2283, "IQ_CAPEX",IQ_FY-8))</f>
        <v>-133.35599999999999</v>
      </c>
      <c r="L2284" s="15">
        <f t="shared" si="608"/>
        <v>3.3506931726187799</v>
      </c>
      <c r="M2284" s="17">
        <f>IF(A2291=A2292,_xll.ciqfunctions.udf.CIQ(A2283,"IQ_TOTAL_DEBT_ISSUED",IQ_FY-9), _xll.ciqfunctions.udf.CIQ(A2283, "IQ_TOTAL_DEBT_ISSUED",IQ_FY-8))</f>
        <v>72.361999999999995</v>
      </c>
      <c r="N2284" s="17">
        <f>IF(A2291=A2292,_xll.ciqfunctions.udf.CIQ(A2283,"IQ_TOTAL_DEBT_REPAID",IQ_FY-9), _xll.ciqfunctions.udf.CIQ(A2283, "IQ_TOTAL_DEBT_REPAID",IQ_FY-8))</f>
        <v>-108.486</v>
      </c>
      <c r="O2284" s="15">
        <f t="shared" si="609"/>
        <v>-0.26866412039163207</v>
      </c>
      <c r="P2284" s="15">
        <f t="shared" si="610"/>
        <v>3.0820290522271478</v>
      </c>
      <c r="Q2284" s="25" t="s">
        <v>18</v>
      </c>
      <c r="R2284" s="39" t="s">
        <v>19</v>
      </c>
      <c r="S2284" s="1">
        <f>R2282/((AVERAGE(P2288:P2293))*(1+E2294)^3)</f>
        <v>12.472820237138791</v>
      </c>
      <c r="U2284" s="25" t="s">
        <v>48</v>
      </c>
      <c r="V2284" s="39" t="s">
        <v>19</v>
      </c>
      <c r="W2284" s="1">
        <f>V2282/((AVERAGE(P2288:P2293))*(1+E2294)^3)</f>
        <v>12.472820237138791</v>
      </c>
      <c r="Y2284" s="25" t="s">
        <v>39</v>
      </c>
      <c r="Z2284" s="39" t="s">
        <v>19</v>
      </c>
      <c r="AA2284" s="1">
        <f>Z2282/((AVERAGE(P2288:P2293))*(1+E2294)^3)</f>
        <v>12.472820237138791</v>
      </c>
    </row>
    <row r="2285" spans="1:27">
      <c r="B2285" s="13">
        <v>3</v>
      </c>
      <c r="C2285" s="14" t="s">
        <v>20</v>
      </c>
      <c r="D2285" s="15" cm="1">
        <f t="array" ref="D2285">_xlfn.SINGLE(IF(A2291=A2292,_xll.ciqfunctions.udf.CIQ(A2283,"IQ_TOTAL_REV",IQ_FY-8)/I2285, _xll.ciqfunctions.udf.CIQ(A2283, "IQ_TOTAL_REV",IQ_FY-7)/I2285))</f>
        <v>131.43722659440863</v>
      </c>
      <c r="E2285" s="16">
        <f t="shared" si="611"/>
        <v>9.8825163379976213E-4</v>
      </c>
      <c r="F2285" s="15">
        <f>IF(A2291=A2292,_xll.ciqfunctions.udf.CIQ(A2283,"IQ_DILUT_EPS_EXCL",IQ_FY-8), _xll.ciqfunctions.udf.CIQ(A2283, "IQ_DILUT_EPS_EXCL",IQ_FY-7))</f>
        <v>2.93</v>
      </c>
      <c r="G2285" s="15">
        <f>IF(A2291=A2292,_xll.ciqfunctions.udf.CIQ(A2283,"IQ_EBITDA_MARGIN",IQ_FY-8), _xll.ciqfunctions.udf.CIQ(A2283, "IQ_EBITDA_MARGIN",IQ_FY-7))</f>
        <v>4.1181000000000001</v>
      </c>
      <c r="H2285" s="15">
        <f>IF(A2291=A2292,_xll.ciqfunctions.udf.CIQ(A2283,"IQ_TOTAL_DIV_PAID_CF",IQ_FY-8)/-I2285, _xll.ciqfunctions.udf.CIQ(A2283, "IQ_TOTAL_DIV_PAID_CF",IQ_FY-7)/-I2285)</f>
        <v>0.69558747832619328</v>
      </c>
      <c r="I2285" s="17">
        <f>IF(A2291=A2292,_xll.ciqfunctions.udf.CIQ(A2283,"IQ_TOTAL_OUTSTANDING_FILING_DATE",IQ_FY-8), _xll.ciqfunctions.udf.CIQ(A2283, "IQ_TOTAL_OUTSTANDING_FILING_DATE",IQ_FY-7))</f>
        <v>127.36572</v>
      </c>
      <c r="J2285" s="17">
        <f>IF(A2291=A2292,_xll.ciqfunctions.udf.CIQ(A2283,"IQ_CASH_OPER",IQ_FY-8), _xll.ciqfunctions.udf.CIQ(A2283, "IQ_CASH_OPER",IQ_FY-7))</f>
        <v>224.315</v>
      </c>
      <c r="K2285" s="17">
        <f>IF(A2291=A2292,_xll.ciqfunctions.udf.CIQ(A2283,"IQ_CAPEX",IQ_FY-8), _xll.ciqfunctions.udf.CIQ(A2283, "IQ_CAPEX",IQ_FY-7))</f>
        <v>-137.375</v>
      </c>
      <c r="L2285" s="15">
        <f t="shared" si="608"/>
        <v>0.68260125251912362</v>
      </c>
      <c r="M2285" s="17">
        <f>IF(A2291=A2292,_xll.ciqfunctions.udf.CIQ(A2283,"IQ_TOTAL_DEBT_ISSUED",IQ_FY-8), _xll.ciqfunctions.udf.CIQ(A2283, "IQ_TOTAL_DEBT_ISSUED",IQ_FY-7))</f>
        <v>741.39099999999996</v>
      </c>
      <c r="N2285" s="17">
        <f>IF(A2291=A2292,_xll.ciqfunctions.udf.CIQ(A2283,"IQ_TOTAL_DEBT_REPAID",IQ_FY-8), _xll.ciqfunctions.udf.CIQ(A2283, "IQ_TOTAL_DEBT_REPAID",IQ_FY-7))</f>
        <v>-250</v>
      </c>
      <c r="O2285" s="15">
        <f t="shared" si="609"/>
        <v>3.8581103298438544</v>
      </c>
      <c r="P2285" s="15">
        <f t="shared" si="610"/>
        <v>4.5407115823629782</v>
      </c>
      <c r="Q2285" s="25" t="s">
        <v>21</v>
      </c>
      <c r="R2285" s="38" t="s">
        <v>49</v>
      </c>
      <c r="S2285" s="2">
        <f>(R2282*I2293)/1000</f>
        <v>4.2405963964</v>
      </c>
      <c r="U2285" s="25" t="s">
        <v>59</v>
      </c>
      <c r="V2285" s="38" t="s">
        <v>49</v>
      </c>
      <c r="W2285" s="2">
        <f>(V2282*I2293)/1000</f>
        <v>4.2405963964</v>
      </c>
      <c r="Y2285" s="25" t="s">
        <v>46</v>
      </c>
      <c r="Z2285" s="38" t="s">
        <v>49</v>
      </c>
      <c r="AA2285" s="2">
        <f>(Z2282*I2293)/1000</f>
        <v>4.2405963964</v>
      </c>
    </row>
    <row r="2286" spans="1:27">
      <c r="A2286" s="18"/>
      <c r="B2286" s="13">
        <v>4</v>
      </c>
      <c r="C2286" s="14" t="s">
        <v>22</v>
      </c>
      <c r="D2286" s="15" cm="1">
        <f t="array" ref="D2286">_xlfn.SINGLE(IF(A2291=A2292,_xll.ciqfunctions.udf.CIQ(A2283,"IQ_TOTAL_REV",IQ_FY-7)/I2286, _xll.ciqfunctions.udf.CIQ(A2283, "IQ_TOTAL_REV",IQ_FY-6)/I2286))</f>
        <v>141.71505154367753</v>
      </c>
      <c r="E2286" s="16">
        <f t="shared" si="611"/>
        <v>7.8195692465304389E-2</v>
      </c>
      <c r="F2286" s="15">
        <f>IF(A2291=A2292,_xll.ciqfunctions.udf.CIQ(A2283,"IQ_DILUT_EPS_EXCL",IQ_FY-7), _xll.ciqfunctions.udf.CIQ(A2283, "IQ_DILUT_EPS_EXCL",IQ_FY-6))</f>
        <v>2.0499999999999998</v>
      </c>
      <c r="G2286" s="15">
        <f>IF(A2291=A2292,_xll.ciqfunctions.udf.CIQ(A2283,"IQ_EBITDA_MARGIN",IQ_FY-7), _xll.ciqfunctions.udf.CIQ(A2283, "IQ_EBITDA_MARGIN",IQ_FY-6))</f>
        <v>4.2324999999999999</v>
      </c>
      <c r="H2286" s="15">
        <f>IF(A2291=A2292,_xll.ciqfunctions.udf.CIQ(A2283,"IQ_TOTAL_DIV_PAID_CF",IQ_FY-7)/-I2286, _xll.ciqfunctions.udf.CIQ(A2283, "IQ_TOTAL_DIV_PAID_CF",IQ_FY-6)/-I2286)</f>
        <v>0.72041616858406288</v>
      </c>
      <c r="I2286" s="17">
        <f>IF(A2291=A2292,_xll.ciqfunctions.udf.CIQ(A2283,"IQ_TOTAL_OUTSTANDING_FILING_DATE",IQ_FY-7), _xll.ciqfunctions.udf.CIQ(A2283, "IQ_TOTAL_OUTSTANDING_FILING_DATE",IQ_FY-6))</f>
        <v>123.06359</v>
      </c>
      <c r="J2286" s="17">
        <f>IF(A2291=A2292,_xll.ciqfunctions.udf.CIQ(A2283,"IQ_CASH_OPER",IQ_FY-7), _xll.ciqfunctions.udf.CIQ(A2283, "IQ_CASH_OPER",IQ_FY-6))</f>
        <v>-368.69099999999997</v>
      </c>
      <c r="K2286" s="17">
        <f>IF(A2291=A2292,_xll.ciqfunctions.udf.CIQ(A2283,"IQ_CAPEX",IQ_FY-7), _xll.ciqfunctions.udf.CIQ(A2283, "IQ_CAPEX",IQ_FY-6))</f>
        <v>-120.39700000000001</v>
      </c>
      <c r="L2286" s="15">
        <f t="shared" si="608"/>
        <v>-3.9742705376951863</v>
      </c>
      <c r="M2286" s="17">
        <f>IF(A2291=A2292,_xll.ciqfunctions.udf.CIQ(A2283,"IQ_TOTAL_DEBT_ISSUED",IQ_FY-7), _xll.ciqfunctions.udf.CIQ(A2283, "IQ_TOTAL_DEBT_ISSUED",IQ_FY-6))</f>
        <v>855.00699999999995</v>
      </c>
      <c r="N2286" s="17">
        <f>IF(A2291=A2292,_xll.ciqfunctions.udf.CIQ(A2283,"IQ_TOTAL_DEBT_REPAID",IQ_FY-7), _xll.ciqfunctions.udf.CIQ(A2283, "IQ_TOTAL_DEBT_REPAID",IQ_FY-6))</f>
        <v>-1680.1869999999999</v>
      </c>
      <c r="O2286" s="15">
        <f t="shared" si="609"/>
        <v>-6.705313895035891</v>
      </c>
      <c r="P2286" s="15">
        <f t="shared" si="610"/>
        <v>-10.679584432731078</v>
      </c>
      <c r="Q2286" s="25" t="s">
        <v>23</v>
      </c>
      <c r="R2286" s="38" t="s">
        <v>24</v>
      </c>
      <c r="S2286" s="1">
        <f>R2282/(AVERAGE(H2288:H2293)*(1+H2294)/(0.5-H2294))</f>
        <v>18.942204456363051</v>
      </c>
      <c r="U2286" s="25" t="s">
        <v>40</v>
      </c>
      <c r="V2286" s="38" t="s">
        <v>24</v>
      </c>
      <c r="W2286" s="1">
        <f>V2282/(AVERAGE(H2288:H2293)*(1+H2294)/(0.5-H2294))</f>
        <v>18.942204456363051</v>
      </c>
      <c r="Y2286" s="25" t="s">
        <v>47</v>
      </c>
      <c r="Z2286" s="38" t="s">
        <v>24</v>
      </c>
      <c r="AA2286" s="1">
        <f>Z2282/(AVERAGE(H2288:H2293)*(1+H2294)/(0.5-H2294))</f>
        <v>18.942204456363051</v>
      </c>
    </row>
    <row r="2287" spans="1:27">
      <c r="B2287" s="13">
        <v>5</v>
      </c>
      <c r="C2287" s="14" t="s">
        <v>25</v>
      </c>
      <c r="D2287" s="15" cm="1">
        <f t="array" ref="D2287">_xlfn.SINGLE(IF(A2291=A2292,_xll.ciqfunctions.udf.CIQ(A2283,"IQ_TOTAL_REV",IQ_FY-6)/I2287, _xll.ciqfunctions.udf.CIQ(A2283, "IQ_TOTAL_REV",IQ_FY-5)/I2287))</f>
        <v>164.44945014467694</v>
      </c>
      <c r="E2287" s="16">
        <f t="shared" si="611"/>
        <v>0.16042331674269983</v>
      </c>
      <c r="F2287" s="15">
        <f>IF(A2291=A2292,_xll.ciqfunctions.udf.CIQ(A2283,"IQ_DILUT_EPS_EXCL",IQ_FY-6), _xll.ciqfunctions.udf.CIQ(A2283, "IQ_DILUT_EPS_EXCL",IQ_FY-5))</f>
        <v>-1.1916500000000001</v>
      </c>
      <c r="G2287" s="15">
        <f>IF(A2291=A2292,_xll.ciqfunctions.udf.CIQ(A2283,"IQ_EBITDA_MARGIN",IQ_FY-6), _xll.ciqfunctions.udf.CIQ(A2283, "IQ_EBITDA_MARGIN",IQ_FY-5))</f>
        <v>3.3809999999999998</v>
      </c>
      <c r="H2287" s="15">
        <f>IF(A2291=A2292,_xll.ciqfunctions.udf.CIQ(A2283,"IQ_TOTAL_DIV_PAID_CF",IQ_FY-6)/-I2287, _xll.ciqfunctions.udf.CIQ(A2283, "IQ_TOTAL_DIV_PAID_CF",IQ_FY-5)/-I2287)</f>
        <v>0.76238738038322973</v>
      </c>
      <c r="I2287" s="17">
        <f>IF(A2291=A2292,_xll.ciqfunctions.udf.CIQ(A2283,"IQ_TOTAL_OUTSTANDING_FILING_DATE",IQ_FY-6), _xll.ciqfunctions.udf.CIQ(A2283, "IQ_TOTAL_OUTSTANDING_FILING_DATE",IQ_FY-5))</f>
        <v>115.76136</v>
      </c>
      <c r="J2287" s="17">
        <f>IF(A2291=A2292,_xll.ciqfunctions.udf.CIQ(A2283,"IQ_CASH_OPER",IQ_FY-6), _xll.ciqfunctions.udf.CIQ(A2283, "IQ_CASH_OPER",IQ_FY-5))</f>
        <v>253.48500000000001</v>
      </c>
      <c r="K2287" s="17">
        <f>IF(A2291=A2292,_xll.ciqfunctions.udf.CIQ(A2283,"IQ_CAPEX",IQ_FY-6), _xll.ciqfunctions.udf.CIQ(A2283, "IQ_CAPEX",IQ_FY-5))</f>
        <v>-155.87299999999999</v>
      </c>
      <c r="L2287" s="15">
        <f t="shared" si="608"/>
        <v>0.84321746047213009</v>
      </c>
      <c r="M2287" s="17">
        <f>IF(A2291=A2292,_xll.ciqfunctions.udf.CIQ(A2283,"IQ_TOTAL_DEBT_ISSUED",IQ_FY-6), _xll.ciqfunctions.udf.CIQ(A2283, "IQ_TOTAL_DEBT_ISSUED",IQ_FY-5))</f>
        <v>8.85</v>
      </c>
      <c r="N2287" s="17">
        <f>IF(A2291=A2292,_xll.ciqfunctions.udf.CIQ(A2283,"IQ_TOTAL_DEBT_REPAID",IQ_FY-6), _xll.ciqfunctions.udf.CIQ(A2283, "IQ_TOTAL_DEBT_REPAID",IQ_FY-5))</f>
        <v>-134.95400000000001</v>
      </c>
      <c r="O2287" s="15">
        <f t="shared" si="609"/>
        <v>-1.0893444928428624</v>
      </c>
      <c r="P2287" s="15">
        <f t="shared" si="610"/>
        <v>-0.2461270323707323</v>
      </c>
      <c r="Q2287" s="18"/>
      <c r="R2287" s="38" t="s">
        <v>50</v>
      </c>
      <c r="S2287" s="3">
        <f>I2294</f>
        <v>-2.6744077693386048E-2</v>
      </c>
      <c r="U2287" s="18"/>
      <c r="V2287" s="38" t="s">
        <v>50</v>
      </c>
      <c r="W2287" s="3">
        <f>I2294</f>
        <v>-2.6744077693386048E-2</v>
      </c>
      <c r="Y2287" s="18"/>
      <c r="Z2287" s="38" t="s">
        <v>50</v>
      </c>
      <c r="AA2287" s="3">
        <f>I2294</f>
        <v>-2.6744077693386048E-2</v>
      </c>
    </row>
    <row r="2288" spans="1:27">
      <c r="B2288" s="13">
        <v>6</v>
      </c>
      <c r="C2288" s="14" t="s">
        <v>26</v>
      </c>
      <c r="D2288" s="15" cm="1">
        <f t="array" ref="D2288">_xlfn.SINGLE(IF(A2291=A2292,_xll.ciqfunctions.udf.CIQ(A2283,"IQ_TOTAL_REV",IQ_FY-5)/I2288, _xll.ciqfunctions.udf.CIQ(A2283, "IQ_TOTAL_REV",IQ_FY-4)/I2288))</f>
        <v>188.36726971381069</v>
      </c>
      <c r="E2288" s="16">
        <f t="shared" si="611"/>
        <v>0.14544177282497248</v>
      </c>
      <c r="F2288" s="15">
        <f>IF(A2291=A2292,_xll.ciqfunctions.udf.CIQ(A2283,"IQ_DILUT_EPS_EXCL",IQ_FY-5), _xll.ciqfunctions.udf.CIQ(A2283, "IQ_DILUT_EPS_EXCL",IQ_FY-4))</f>
        <v>1.59</v>
      </c>
      <c r="G2288" s="15">
        <f>IF(A2291=A2292,_xll.ciqfunctions.udf.CIQ(A2283,"IQ_EBITDA_MARGIN",IQ_FY-5), _xll.ciqfunctions.udf.CIQ(A2283, "IQ_EBITDA_MARGIN",IQ_FY-4))</f>
        <v>4.1589</v>
      </c>
      <c r="H2288" s="15">
        <f>IF(A2291=A2292,_xll.ciqfunctions.udf.CIQ(A2283,"IQ_TOTAL_DIV_PAID_CF",IQ_FY-5)/-I2288, _xll.ciqfunctions.udf.CIQ(A2283, "IQ_TOTAL_DIV_PAID_CF",IQ_FY-4)/-I2288)</f>
        <v>0.84113211105167374</v>
      </c>
      <c r="I2288" s="17">
        <f>IF(A2291=A2292,_xll.ciqfunctions.udf.CIQ(A2283,"IQ_TOTAL_OUTSTANDING_FILING_DATE",IQ_FY-5), _xll.ciqfunctions.udf.CIQ(A2283, "IQ_TOTAL_OUTSTANDING_FILING_DATE",IQ_FY-4))</f>
        <v>103.61987000000001</v>
      </c>
      <c r="J2288" s="17">
        <f>IF(A2291=A2292,_xll.ciqfunctions.udf.CIQ(A2283,"IQ_CASH_OPER",IQ_FY-5), _xll.ciqfunctions.udf.CIQ(A2283, "IQ_CASH_OPER",IQ_FY-4))</f>
        <v>534.77</v>
      </c>
      <c r="K2288" s="17">
        <f>IF(A2291=A2292,_xll.ciqfunctions.udf.CIQ(A2283,"IQ_CAPEX",IQ_FY-5), _xll.ciqfunctions.udf.CIQ(A2283, "IQ_CAPEX",IQ_FY-4))</f>
        <v>-122.69</v>
      </c>
      <c r="L2288" s="15">
        <f t="shared" si="608"/>
        <v>3.9768434374604018</v>
      </c>
      <c r="M2288" s="17">
        <f>IF(A2291=A2292,_xll.ciqfunctions.udf.CIQ(A2283,"IQ_TOTAL_DEBT_ISSUED",IQ_FY-5), _xll.ciqfunctions.udf.CIQ(A2283, "IQ_TOTAL_DEBT_ISSUED",IQ_FY-4))</f>
        <v>122.80500000000001</v>
      </c>
      <c r="N2288" s="17">
        <f>IF(A2291=A2292,_xll.ciqfunctions.udf.CIQ(A2283,"IQ_TOTAL_DEBT_REPAID",IQ_FY-5), _xll.ciqfunctions.udf.CIQ(A2283, "IQ_TOTAL_DEBT_REPAID",IQ_FY-4))</f>
        <v>-61.738</v>
      </c>
      <c r="O2288" s="15">
        <f t="shared" si="609"/>
        <v>0.5893367748869015</v>
      </c>
      <c r="P2288" s="15">
        <f t="shared" si="610"/>
        <v>4.5661802123473034</v>
      </c>
      <c r="Q2288" s="25" t="s">
        <v>27</v>
      </c>
      <c r="R2288" s="38" t="s">
        <v>51</v>
      </c>
      <c r="S2288" s="4">
        <f>AVERAGE(F2288:F2293)/AVERAGE(D2288:D2293)</f>
        <v>1.9299340441295085E-2</v>
      </c>
      <c r="U2288" s="25" t="s">
        <v>58</v>
      </c>
      <c r="V2288" s="38" t="s">
        <v>51</v>
      </c>
      <c r="W2288" s="4">
        <f>AVERAGE(F2288:F2293)/AVERAGE(D2288:D2293)</f>
        <v>1.9299340441295085E-2</v>
      </c>
      <c r="Y2288" s="25" t="s">
        <v>56</v>
      </c>
      <c r="Z2288" s="38" t="s">
        <v>51</v>
      </c>
      <c r="AA2288" s="4">
        <f>AVERAGE(F2288:F2293)/AVERAGE(D2288:D2293)</f>
        <v>1.9299340441295085E-2</v>
      </c>
    </row>
    <row r="2289" spans="1:27">
      <c r="A2289" s="18"/>
      <c r="B2289" s="13">
        <v>7</v>
      </c>
      <c r="C2289" s="14" t="s">
        <v>28</v>
      </c>
      <c r="D2289" s="15" cm="1">
        <f t="array" ref="D2289">_xlfn.SINGLE(IF(A2291=A2292,_xll.ciqfunctions.udf.CIQ(A2283,"IQ_TOTAL_REV",IQ_FY-4)/I2289, _xll.ciqfunctions.udf.CIQ(A2283, "IQ_TOTAL_REV",IQ_FY-3)/I2289))</f>
        <v>178.52495855098053</v>
      </c>
      <c r="E2289" s="16">
        <f t="shared" si="611"/>
        <v>-5.2250644062441065E-2</v>
      </c>
      <c r="F2289" s="15">
        <f>IF(A2291=A2292,_xll.ciqfunctions.udf.CIQ(A2283,"IQ_DILUT_EPS_EXCL",IQ_FY-4), _xll.ciqfunctions.udf.CIQ(A2283, "IQ_DILUT_EPS_EXCL",IQ_FY-3))</f>
        <v>-0.31</v>
      </c>
      <c r="G2289" s="15">
        <f>IF(A2291=A2292,_xll.ciqfunctions.udf.CIQ(A2283,"IQ_EBITDA_MARGIN",IQ_FY-4), _xll.ciqfunctions.udf.CIQ(A2283, "IQ_EBITDA_MARGIN",IQ_FY-3))</f>
        <v>2.3529</v>
      </c>
      <c r="H2289" s="15">
        <f>IF(A2291=A2292,_xll.ciqfunctions.udf.CIQ(A2283,"IQ_TOTAL_DIV_PAID_CF",IQ_FY-4)/-I2289, _xll.ciqfunctions.udf.CIQ(A2283, "IQ_TOTAL_DIV_PAID_CF",IQ_FY-3)/-I2289)</f>
        <v>0.85013895304793163</v>
      </c>
      <c r="I2289" s="17">
        <f>IF(A2291=A2292,_xll.ciqfunctions.udf.CIQ(A2283,"IQ_TOTAL_OUTSTANDING_FILING_DATE",IQ_FY-4), _xll.ciqfunctions.udf.CIQ(A2283, "IQ_TOTAL_OUTSTANDING_FILING_DATE",IQ_FY-3))</f>
        <v>98.777969999999996</v>
      </c>
      <c r="J2289" s="17">
        <f>IF(A2291=A2292,_xll.ciqfunctions.udf.CIQ(A2283,"IQ_CASH_OPER",IQ_FY-4), _xll.ciqfunctions.udf.CIQ(A2283, "IQ_CASH_OPER",IQ_FY-3))</f>
        <v>730.18200000000002</v>
      </c>
      <c r="K2289" s="17">
        <f>IF(A2291=A2292,_xll.ciqfunctions.udf.CIQ(A2283,"IQ_CAPEX",IQ_FY-4), _xll.ciqfunctions.udf.CIQ(A2283, "IQ_CAPEX",IQ_FY-3))</f>
        <v>-125.02500000000001</v>
      </c>
      <c r="L2289" s="15">
        <f t="shared" si="608"/>
        <v>6.1264368968100893</v>
      </c>
      <c r="M2289" s="17">
        <f>IF(A2291=A2292,_xll.ciqfunctions.udf.CIQ(A2283,"IQ_TOTAL_DEBT_ISSUED",IQ_FY-4), _xll.ciqfunctions.udf.CIQ(A2283, "IQ_TOTAL_DEBT_ISSUED",IQ_FY-3))</f>
        <v>223.05799999999999</v>
      </c>
      <c r="N2289" s="17">
        <f>IF(A2291=A2292,_xll.ciqfunctions.udf.CIQ(A2283,"IQ_TOTAL_DEBT_REPAID",IQ_FY-4), _xll.ciqfunctions.udf.CIQ(A2283, "IQ_TOTAL_DEBT_REPAID",IQ_FY-3))</f>
        <v>-531.46100000000001</v>
      </c>
      <c r="O2289" s="15">
        <f t="shared" si="609"/>
        <v>-3.1221840254461601</v>
      </c>
      <c r="P2289" s="15">
        <f t="shared" si="610"/>
        <v>3.0042528713639292</v>
      </c>
      <c r="Q2289" s="18"/>
      <c r="R2289" s="38" t="s">
        <v>29</v>
      </c>
      <c r="S2289" s="4">
        <f>(AVERAGE(P2288:P2293)/_xlfn.STDEV.P(P2288:P2293))/(IF(A2291=A2292,(_xlfn.SINGLE(_xll.ciqfunctions.udf.CIQ(A2283,"IQ_total_assets",IQ_FY)) - _xlfn.SINGLE(_xll.ciqfunctions.udf.CIQ(A2283,"iq_gw_intan", IQ_FY)))/I2293, (_xlfn.SINGLE(_xll.ciqfunctions.udf.CIQ(A2283, "IQ_total_assets",IQ_LTM))-_xlfn.SINGLE(_xll.ciqfunctions.udf.CIQ(A2283,"iq_gw_intan",IQ_LTM)))/I2293))</f>
        <v>9.0468102654974372E-3</v>
      </c>
      <c r="U2289" s="18"/>
      <c r="V2289" s="38" t="s">
        <v>29</v>
      </c>
      <c r="W2289" s="4">
        <f>(AVERAGE(P2288:P2293)/_xlfn.STDEV.P(P2288:P2293))/(IF(A2291=A2292,(_xlfn.SINGLE(_xll.ciqfunctions.udf.CIQ(A2283,"IQ_total_assets",IQ_FY)) - _xlfn.SINGLE(_xll.ciqfunctions.udf.CIQ(A2283,"iq_gw_intan", IQ_FY)))/I2293, (_xlfn.SINGLE(_xll.ciqfunctions.udf.CIQ(A2283, "IQ_total_assets",IQ_LTM))-_xlfn.SINGLE(_xll.ciqfunctions.udf.CIQ(A2283,"iq_gw_intan",IQ_LTM)))/I2293))</f>
        <v>9.0468102654974372E-3</v>
      </c>
      <c r="Y2289" s="18"/>
      <c r="Z2289" s="38" t="s">
        <v>29</v>
      </c>
      <c r="AA2289" s="4">
        <f>(AVERAGE(P2288:P2293)/_xlfn.STDEV.P(P2288:P2293))/(IF(A2291=A2292,(_xlfn.SINGLE(_xll.ciqfunctions.udf.CIQ(A2283,"IQ_total_assets",IQ_FY)) - _xlfn.SINGLE(_xll.ciqfunctions.udf.CIQ(A2283,"iq_gw_intan", IQ_FY)))/I2293, (_xlfn.SINGLE(_xll.ciqfunctions.udf.CIQ(A2283, "IQ_total_assets",IQ_LTM))-_xlfn.SINGLE(_xll.ciqfunctions.udf.CIQ(A2283,"iq_gw_intan",IQ_LTM)))/I2293))</f>
        <v>9.0468102654974372E-3</v>
      </c>
    </row>
    <row r="2290" spans="1:27">
      <c r="A2290" s="18"/>
      <c r="B2290" s="13">
        <v>8</v>
      </c>
      <c r="C2290" s="14" t="s">
        <v>30</v>
      </c>
      <c r="D2290" s="15" cm="1">
        <f t="array" ref="D2290">_xlfn.SINGLE(IF(A2291=A2292,_xll.ciqfunctions.udf.CIQ(A2283,"IQ_TOTAL_REV",IQ_FY-3)/I2290, _xll.ciqfunctions.udf.CIQ(A2283, "IQ_TOTAL_REV",IQ_FY-2)/I2290))</f>
        <v>196.32125015728067</v>
      </c>
      <c r="E2290" s="16">
        <f t="shared" si="611"/>
        <v>9.9685174278968627E-2</v>
      </c>
      <c r="F2290" s="15">
        <f>IF(A2291=A2292,_xll.ciqfunctions.udf.CIQ(A2283,"IQ_DILUT_EPS_EXCL",IQ_FY-3), _xll.ciqfunctions.udf.CIQ(A2283, "IQ_DILUT_EPS_EXCL",IQ_FY-2))</f>
        <v>1.93</v>
      </c>
      <c r="G2290" s="15">
        <f>IF(A2291=A2292,_xll.ciqfunctions.udf.CIQ(A2283,"IQ_EBITDA_MARGIN",IQ_FY-3), _xll.ciqfunctions.udf.CIQ(A2283, "IQ_EBITDA_MARGIN",IQ_FY-2))</f>
        <v>2.6137000000000001</v>
      </c>
      <c r="H2290" s="15">
        <f>IF(A2291=A2292,_xll.ciqfunctions.udf.CIQ(A2283,"IQ_TOTAL_DIV_PAID_CF",IQ_FY-3)/-I2290, _xll.ciqfunctions.udf.CIQ(A2283, "IQ_TOTAL_DIV_PAID_CF",IQ_FY-2)/-I2290)</f>
        <v>0.84729563662193663</v>
      </c>
      <c r="I2290" s="17">
        <f>IF(A2291=A2292,_xll.ciqfunctions.udf.CIQ(A2283,"IQ_TOTAL_OUTSTANDING_FILING_DATE",IQ_FY-3), _xll.ciqfunctions.udf.CIQ(A2283, "IQ_TOTAL_OUTSTANDING_FILING_DATE",IQ_FY-2))</f>
        <v>99.503640000000004</v>
      </c>
      <c r="J2290" s="17">
        <f>IF(A2291=A2292,_xll.ciqfunctions.udf.CIQ(A2283,"IQ_CASH_OPER",IQ_FY-3), _xll.ciqfunctions.udf.CIQ(A2283, "IQ_CASH_OPER",IQ_FY-2))</f>
        <v>90.948999999999998</v>
      </c>
      <c r="K2290" s="17">
        <f>IF(A2291=A2292,_xll.ciqfunctions.udf.CIQ(A2283,"IQ_CAPEX",IQ_FY-3), _xll.ciqfunctions.udf.CIQ(A2283, "IQ_CAPEX",IQ_FY-2))</f>
        <v>-68.744</v>
      </c>
      <c r="L2290" s="15">
        <f t="shared" si="608"/>
        <v>0.22315766538791945</v>
      </c>
      <c r="M2290" s="17">
        <f>IF(A2291=A2292,_xll.ciqfunctions.udf.CIQ(A2283,"IQ_TOTAL_DEBT_ISSUED",IQ_FY-3), _xll.ciqfunctions.udf.CIQ(A2283, "IQ_TOTAL_DEBT_ISSUED",IQ_FY-2))</f>
        <v>320.56</v>
      </c>
      <c r="N2290" s="17">
        <f>IF(A2291=A2292,_xll.ciqfunctions.udf.CIQ(A2283,"IQ_TOTAL_DEBT_REPAID",IQ_FY-3), _xll.ciqfunctions.udf.CIQ(A2283, "IQ_TOTAL_DEBT_REPAID",IQ_FY-2))</f>
        <v>-539.54600000000005</v>
      </c>
      <c r="O2290" s="15">
        <f t="shared" si="609"/>
        <v>-2.2007838105219069</v>
      </c>
      <c r="P2290" s="15">
        <f t="shared" si="610"/>
        <v>-1.9776261451339874</v>
      </c>
      <c r="Q2290" s="18"/>
      <c r="R2290" s="39" t="s">
        <v>31</v>
      </c>
      <c r="S2290" s="5">
        <f>IF(NOT(D2283&gt;0),FALSE,SLOPE(G2283:G2293,B2283:B2293))</f>
        <v>3.4904545454545473E-2</v>
      </c>
      <c r="U2290" s="18"/>
      <c r="V2290" s="39" t="s">
        <v>31</v>
      </c>
      <c r="W2290" s="5">
        <f>IF(NOT(D2283&gt;0),FALSE,SLOPE(G2283:G2293,B2283:B2293))</f>
        <v>3.4904545454545473E-2</v>
      </c>
      <c r="Y2290" s="18"/>
      <c r="Z2290" s="39" t="s">
        <v>31</v>
      </c>
      <c r="AA2290" s="5">
        <f>IF(NOT(L2283&gt;0),FALSE,SLOPE(O2283:O2293,J2283:J2293))</f>
        <v>-7.5109112691849412E-3</v>
      </c>
    </row>
    <row r="2291" spans="1:27">
      <c r="A2291" s="19">
        <f>_xll.ciqfunctions.udf.CIQ(A2283,"IQ_TOTAL_REV",IQ_FY)</f>
        <v>26536.881000000001</v>
      </c>
      <c r="B2291" s="13">
        <v>9</v>
      </c>
      <c r="C2291" s="14" t="s">
        <v>32</v>
      </c>
      <c r="D2291" s="15" cm="1">
        <f t="array" ref="D2291">_xlfn.SINGLE(IF(A2291=A2292,_xll.ciqfunctions.udf.CIQ(A2283,"IQ_TOTAL_REV",IQ_FY-2)/I2291, _xll.ciqfunctions.udf.CIQ(A2283, "IQ_TOTAL_REV",IQ_FY-1)/I2291))</f>
        <v>256.80061317679406</v>
      </c>
      <c r="E2291" s="16">
        <f t="shared" si="611"/>
        <v>0.30806325332107953</v>
      </c>
      <c r="F2291" s="15">
        <f>IF(A2291=A2292,_xll.ciqfunctions.udf.CIQ(A2283,"IQ_DILUT_EPS_EXCL",IQ_FY-2), _xll.ciqfunctions.udf.CIQ(A2283, "IQ_DILUT_EPS_EXCL",IQ_FY-1))</f>
        <v>6.94</v>
      </c>
      <c r="G2291" s="15">
        <f>IF(A2291=A2292,_xll.ciqfunctions.udf.CIQ(A2283,"IQ_EBITDA_MARGIN",IQ_FY-2), _xll.ciqfunctions.udf.CIQ(A2283, "IQ_EBITDA_MARGIN",IQ_FY-1))</f>
        <v>4.4829999999999997</v>
      </c>
      <c r="H2291" s="15">
        <f>IF(A2291=A2292,_xll.ciqfunctions.udf.CIQ(A2283,"IQ_TOTAL_DIV_PAID_CF",IQ_FY-2)/-I2291, _xll.ciqfunctions.udf.CIQ(A2283, "IQ_TOTAL_DIV_PAID_CF",IQ_FY-1)/-I2291)</f>
        <v>1.0403766271135522</v>
      </c>
      <c r="I2291" s="17">
        <f>IF(A2291=A2292,_xll.ciqfunctions.udf.CIQ(A2283,"IQ_TOTAL_OUTSTANDING_FILING_DATE",IQ_FY-2), _xll.ciqfunctions.udf.CIQ(A2283, "IQ_TOTAL_OUTSTANDING_FILING_DATE",IQ_FY-1))</f>
        <v>94.667640000000006</v>
      </c>
      <c r="J2291" s="17">
        <f>IF(A2291=A2292,_xll.ciqfunctions.udf.CIQ(A2283,"IQ_CASH_OPER",IQ_FY-2), _xll.ciqfunctions.udf.CIQ(A2283, "IQ_CASH_OPER",IQ_FY-1))</f>
        <v>-219.31</v>
      </c>
      <c r="K2291" s="17">
        <f>IF(A2291=A2292,_xll.ciqfunctions.udf.CIQ(A2283,"IQ_CAPEX",IQ_FY-2), _xll.ciqfunctions.udf.CIQ(A2283, "IQ_CAPEX",IQ_FY-1))</f>
        <v>-48.9</v>
      </c>
      <c r="L2291" s="15">
        <f t="shared" si="608"/>
        <v>-2.8331750955236652</v>
      </c>
      <c r="M2291" s="17">
        <f>IF(A2291=A2292,_xll.ciqfunctions.udf.CIQ(A2283,"IQ_TOTAL_DEBT_ISSUED",IQ_FY-2), _xll.ciqfunctions.udf.CIQ(A2283, "IQ_TOTAL_DEBT_ISSUED",IQ_FY-1))</f>
        <v>809.92</v>
      </c>
      <c r="N2291" s="17">
        <f>IF(A2291=A2292,_xll.ciqfunctions.udf.CIQ(A2283,"IQ_TOTAL_DEBT_REPAID",IQ_FY-2), _xll.ciqfunctions.udf.CIQ(A2283, "IQ_TOTAL_DEBT_REPAID",IQ_FY-1))</f>
        <v>-354.33600000000001</v>
      </c>
      <c r="O2291" s="15">
        <f t="shared" si="609"/>
        <v>4.8124575620560508</v>
      </c>
      <c r="P2291" s="15">
        <f t="shared" si="610"/>
        <v>1.9792824665323856</v>
      </c>
      <c r="Q2291" s="25" t="s">
        <v>33</v>
      </c>
      <c r="R2291" s="38" t="s">
        <v>52</v>
      </c>
      <c r="S2291" s="4">
        <f>(AVERAGE(O2288:O2293)/AVERAGE(P2288:P2293))</f>
        <v>1.3627596210861248</v>
      </c>
      <c r="U2291" s="25" t="s">
        <v>54</v>
      </c>
      <c r="V2291" s="38" t="s">
        <v>52</v>
      </c>
      <c r="W2291" s="4">
        <f>(AVERAGE(O2288:O2293)/AVERAGE(P2288:P2293))</f>
        <v>1.3627596210861248</v>
      </c>
      <c r="Y2291" s="25" t="s">
        <v>60</v>
      </c>
      <c r="Z2291" s="38" t="s">
        <v>52</v>
      </c>
      <c r="AA2291" s="4">
        <f>(AVERAGE(O2288:O2293)/AVERAGE(P2288:P2293))</f>
        <v>1.3627596210861248</v>
      </c>
    </row>
    <row r="2292" spans="1:27">
      <c r="A2292" s="19">
        <f>_xll.ciqfunctions.udf.CIQ(A2283,"IQ_TOTAL_REV",IQ_LTM)</f>
        <v>26122.396000000001</v>
      </c>
      <c r="B2292" s="13">
        <v>10</v>
      </c>
      <c r="C2292" s="14" t="s">
        <v>34</v>
      </c>
      <c r="D2292" s="15" cm="1">
        <f t="array" ref="D2292">_xlfn.SINGLE(IF(A2291=A2292,_xll.ciqfunctions.udf.CIQ(A2283,"IQ_TOTAL_REV",IQ_FY-1)/I2292, _xll.ciqfunctions.udf.CIQ(A2283, "IQ_TOTAL_REV",IQ_FY)/I2292))</f>
        <v>290.04848444970492</v>
      </c>
      <c r="E2292" s="16">
        <f t="shared" si="611"/>
        <v>0.12946959456837978</v>
      </c>
      <c r="F2292" s="15">
        <f>IF(A2291=A2292,_xll.ciqfunctions.udf.CIQ(A2283,"IQ_DILUT_EPS_EXCL",IQ_FY-1), _xll.ciqfunctions.udf.CIQ(A2283, "IQ_DILUT_EPS_EXCL",IQ_FY))</f>
        <v>8.26</v>
      </c>
      <c r="G2292" s="15">
        <f>IF(A2291=A2292,_xll.ciqfunctions.udf.CIQ(A2283,"IQ_EBITDA_MARGIN",IQ_FY-1), _xll.ciqfunctions.udf.CIQ(A2283, "IQ_EBITDA_MARGIN",IQ_FY))</f>
        <v>4.7998000000000003</v>
      </c>
      <c r="H2292" s="15">
        <f>IF(A2291=A2292,_xll.ciqfunctions.udf.CIQ(A2283,"IQ_TOTAL_DIV_PAID_CF",IQ_FY-1)/-I2292, _xll.ciqfunctions.udf.CIQ(A2283, "IQ_TOTAL_DIV_PAID_CF",IQ_FY)/-I2292)</f>
        <v>1.1621337529875828</v>
      </c>
      <c r="I2292" s="17">
        <f>IF(A2291=A2292,_xll.ciqfunctions.udf.CIQ(A2283,"IQ_TOTAL_OUTSTANDING_FILING_DATE",IQ_FY-1), _xll.ciqfunctions.udf.CIQ(A2283, "IQ_TOTAL_OUTSTANDING_FILING_DATE",IQ_FY))</f>
        <v>91.491190000000003</v>
      </c>
      <c r="J2292" s="17">
        <f>IF(A2291=A2292,_xll.ciqfunctions.udf.CIQ(A2283,"IQ_CASH_OPER",IQ_FY-1), _xll.ciqfunctions.udf.CIQ(A2283, "IQ_CASH_OPER",IQ_FY))</f>
        <v>-713.70299999999997</v>
      </c>
      <c r="K2292" s="17">
        <f>IF(A2291=A2292,_xll.ciqfunctions.udf.CIQ(A2283,"IQ_CAPEX",IQ_FY-1), _xll.ciqfunctions.udf.CIQ(A2283, "IQ_CAPEX",IQ_FY))</f>
        <v>-194.67400000000001</v>
      </c>
      <c r="L2292" s="15">
        <f t="shared" si="608"/>
        <v>-9.9285734506240431</v>
      </c>
      <c r="M2292" s="17">
        <f>IF(A2291=A2292,_xll.ciqfunctions.udf.CIQ(A2283,"IQ_TOTAL_DEBT_ISSUED",IQ_FY-1), _xll.ciqfunctions.udf.CIQ(A2283, "IQ_TOTAL_DEBT_ISSUED",IQ_FY))</f>
        <v>1484.797</v>
      </c>
      <c r="N2292" s="17">
        <f>IF(A2291=A2292,_xll.ciqfunctions.udf.CIQ(A2283,"IQ_TOTAL_DEBT_REPAID",IQ_FY-1), _xll.ciqfunctions.udf.CIQ(A2283, "IQ_TOTAL_DEBT_REPAID",IQ_FY))</f>
        <v>-96.209000000000003</v>
      </c>
      <c r="O2292" s="15">
        <f t="shared" si="609"/>
        <v>15.177286468784589</v>
      </c>
      <c r="P2292" s="15">
        <f t="shared" si="610"/>
        <v>5.2487130181605455</v>
      </c>
      <c r="Q2292" s="25" t="s">
        <v>44</v>
      </c>
      <c r="R2292" s="38" t="s">
        <v>35</v>
      </c>
      <c r="S2292" s="1">
        <f>_xll.ciqfunctions.udf.CIQ(A2283,"IQ_TEV_EBITDA")</f>
        <v>5.5638899999999998</v>
      </c>
      <c r="U2292" s="25" t="s">
        <v>55</v>
      </c>
      <c r="V2292" s="38" t="s">
        <v>53</v>
      </c>
      <c r="W2292" s="1">
        <f>V2282/(AVERAGE(D2288:D2293)/_xlfn.STDEV.P(E2288:E2293))</f>
        <v>2.3249194356383122E-2</v>
      </c>
      <c r="Y2292" s="25" t="s">
        <v>57</v>
      </c>
      <c r="Z2292" s="38" t="s">
        <v>53</v>
      </c>
      <c r="AA2292" s="1">
        <f>Z2282/(AVERAGE(D2288:D2293)/_xlfn.STDEV.P(E2288:E2293))</f>
        <v>2.3249194356383122E-2</v>
      </c>
    </row>
    <row r="2293" spans="1:27">
      <c r="B2293" s="13">
        <v>11</v>
      </c>
      <c r="C2293" s="20" t="s">
        <v>36</v>
      </c>
      <c r="D2293" s="21" cm="1">
        <f t="array" ref="D2293">_xlfn.SINGLE(IF(A2291=A2292,_xll.ciqfunctions.udf.CIQ(A2283,"IQ_TOTAL_REV",IQ_FY)/I2293, _xll.ciqfunctions.udf.CIQ(A2283, "IQ_TOTAL_REV",IQ_LTM)/I2293))</f>
        <v>288.69196077685939</v>
      </c>
      <c r="E2293" s="22">
        <f t="shared" si="611"/>
        <v>-4.6768859193289476E-3</v>
      </c>
      <c r="F2293" s="21">
        <f>IF(A2291=A2292,_xll.ciqfunctions.udf.CIQ(A2283,"IQ_DILUT_EPS_EXCL",IQ_FY), _xll.ciqfunctions.udf.CIQ(A2283, "IQ_DILUT_EPS_EXCL",IQ_LTM))</f>
        <v>8.5850399999999993</v>
      </c>
      <c r="G2293" s="21">
        <f>IF(A2291=A2292,_xll.ciqfunctions.udf.CIQ(A2283,"IQ_EBITDA_MARGIN",IQ_FY), _xll.ciqfunctions.udf.CIQ(A2283, "IQ_EBITDA_MARGIN",IQ_LTM))</f>
        <v>4.7545000000000002</v>
      </c>
      <c r="H2293" s="21">
        <f>IF(A2291=A2292,_xll.ciqfunctions.udf.CIQ(A2283,"IQ_TOTAL_DIV_PAID_CF",IQ_FY)/-I2293, _xll.ciqfunctions.udf.CIQ(A2283, "IQ_TOTAL_DIV_PAID_CF",IQ_LTM)/-I2293)</f>
        <v>1.1896620624596068</v>
      </c>
      <c r="I2293" s="23">
        <f>IF(A2291=A2292,_xll.ciqfunctions.udf.CIQ(A2283,"IQ_TOTAL_OUTSTANDING_FILING_DATE",IQ_FY),_xll.ciqfunctions.udf.CIQ(A2283,"IQ_sharesoutstanding"))</f>
        <v>90.48536</v>
      </c>
      <c r="J2293" s="23">
        <f>IF(A2291=A2292,_xll.ciqfunctions.udf.CIQ(A2283,"IQ_CASH_OPER",IQ_FY), _xll.ciqfunctions.udf.CIQ(A2283, "IQ_CASH_OPER",IQ_LTM))</f>
        <v>-109.848</v>
      </c>
      <c r="K2293" s="23">
        <f>IF(A2291=A2292,_xll.ciqfunctions.udf.CIQ(A2283,"IQ_CAPEX",IQ_FY), _xll.ciqfunctions.udf.CIQ(A2283, "IQ_CAPEX",IQ_LTM))</f>
        <v>-242.55500000000001</v>
      </c>
      <c r="L2293" s="21">
        <f t="shared" si="608"/>
        <v>-3.8945858202918133</v>
      </c>
      <c r="M2293" s="23">
        <f>IF(A2291=A2292,_xll.ciqfunctions.udf.CIQ(A2283,"IQ_TOTAL_DEBT_ISSUED",IQ_FY), _xll.ciqfunctions.udf.CIQ(A2283, "IQ_TOTAL_DEBT_ISSUED",IQ_LTM))</f>
        <v>874.22299999999996</v>
      </c>
      <c r="N2293" s="23">
        <f>IF(A2291=A2292,_xll.ciqfunctions.udf.CIQ(A2283,"IQ_TOTAL_DEBT_REPAID",IQ_FY), _xll.ciqfunctions.udf.CIQ(A2283, "IQ_TOTAL_DEBT_REPAID",IQ_LTM))</f>
        <v>-103.01</v>
      </c>
      <c r="O2293" s="21">
        <f t="shared" si="609"/>
        <v>8.5230693672434956</v>
      </c>
      <c r="P2293" s="21">
        <f t="shared" si="610"/>
        <v>4.6284835469516823</v>
      </c>
      <c r="Q2293" s="25" t="s">
        <v>45</v>
      </c>
      <c r="S2293" s="45"/>
      <c r="U2293" s="25"/>
      <c r="W2293" s="45"/>
      <c r="Y2293" s="25"/>
      <c r="AA2293" s="45"/>
    </row>
    <row r="2294" spans="1:27">
      <c r="B2294" s="24"/>
      <c r="C2294" s="25" t="s">
        <v>37</v>
      </c>
      <c r="E2294" s="26">
        <f>((D2293/D2288)^(1/5))-1</f>
        <v>8.9145369601143276E-2</v>
      </c>
      <c r="F2294" s="27">
        <f>((F2293/F2288)^(1/5))-1</f>
        <v>0.40109969888140951</v>
      </c>
      <c r="G2294" s="28"/>
      <c r="H2294" s="27">
        <f>((H2293/H2288)^(1/5))-1</f>
        <v>7.1795378101404461E-2</v>
      </c>
      <c r="I2294" s="27">
        <f>((I2293/I2288)^(1/5))-1</f>
        <v>-2.6744077693386048E-2</v>
      </c>
      <c r="J2294" s="27"/>
      <c r="K2294" s="27"/>
      <c r="L2294" s="26">
        <f>((L2293/L2288)^(1/5))-1</f>
        <v>-1.9958285127173467</v>
      </c>
      <c r="M2294" s="26"/>
      <c r="N2294" s="26"/>
      <c r="O2294" s="26"/>
      <c r="P2294" s="26">
        <f>((P2293/P2288)^(1/5))-1</f>
        <v>2.714130831000805E-3</v>
      </c>
      <c r="Q2294" s="18"/>
      <c r="R2294" s="36"/>
      <c r="S2294" s="45"/>
      <c r="U2294" s="18"/>
      <c r="V2294" s="36"/>
      <c r="W2294" s="45"/>
      <c r="Y2294" s="18"/>
      <c r="Z2294" s="36"/>
      <c r="AA2294" s="45"/>
    </row>
    <row r="2295" spans="1:27">
      <c r="A2295" s="29"/>
      <c r="B2295" s="30"/>
      <c r="C2295" s="31" t="s">
        <v>38</v>
      </c>
      <c r="D2295" s="29"/>
      <c r="E2295" s="32">
        <f>((D2293/D2283)^(1/10))-1</f>
        <v>3.7958732902856562E-2</v>
      </c>
      <c r="F2295" s="33">
        <f>((F2293/F2283)^(1/10))-1</f>
        <v>8.2378787035364054E-2</v>
      </c>
      <c r="G2295" s="34"/>
      <c r="H2295" s="33">
        <f>((H2293/H2283)^(1/10))-1</f>
        <v>7.1105570819605557E-2</v>
      </c>
      <c r="I2295" s="33">
        <f>((I2293/I2283)^(1/10))-1</f>
        <v>-4.1508003739912369E-2</v>
      </c>
      <c r="J2295" s="33"/>
      <c r="K2295" s="33"/>
      <c r="L2295" s="32" t="e">
        <f>((L2293/L2283)^(1/10))-1</f>
        <v>#NUM!</v>
      </c>
      <c r="M2295" s="32"/>
      <c r="N2295" s="32"/>
      <c r="O2295" s="32"/>
      <c r="P2295" s="32">
        <f>((P2293/P2283)^(1/10))-1</f>
        <v>0.19479822803909697</v>
      </c>
      <c r="Q2295" s="40"/>
      <c r="R2295" s="41"/>
      <c r="S2295" s="46"/>
      <c r="U2295" s="40"/>
      <c r="V2295" s="41"/>
      <c r="W2295" s="46"/>
      <c r="Y2295" s="40"/>
      <c r="Z2295" s="41"/>
      <c r="AA2295" s="46"/>
    </row>
    <row r="2296" spans="1:27">
      <c r="B2296" s="24"/>
      <c r="C2296" s="25"/>
      <c r="E2296" s="26"/>
      <c r="F2296" s="27"/>
      <c r="G2296" s="28"/>
      <c r="H2296" s="27"/>
      <c r="I2296" s="27"/>
      <c r="J2296" s="27"/>
      <c r="K2296" s="27"/>
      <c r="L2296" s="26"/>
      <c r="M2296" s="17"/>
      <c r="N2296" s="17"/>
      <c r="O2296" s="17"/>
      <c r="P2296" s="35"/>
      <c r="Q2296" s="18"/>
      <c r="R2296" s="36"/>
    </row>
    <row r="2297" spans="1:27">
      <c r="A2297" s="9" t="s">
        <v>0</v>
      </c>
      <c r="B2297" s="10"/>
      <c r="C2297" s="9" t="s">
        <v>1</v>
      </c>
      <c r="D2297" s="9" t="s">
        <v>2</v>
      </c>
      <c r="E2297" s="9" t="s">
        <v>3</v>
      </c>
      <c r="F2297" s="11" t="s">
        <v>4</v>
      </c>
      <c r="G2297" s="11" t="s">
        <v>5</v>
      </c>
      <c r="H2297" s="9" t="s">
        <v>6</v>
      </c>
      <c r="I2297" s="11" t="s">
        <v>7</v>
      </c>
      <c r="J2297" s="11" t="s">
        <v>8</v>
      </c>
      <c r="K2297" s="11" t="s">
        <v>9</v>
      </c>
      <c r="L2297" s="11" t="s">
        <v>10</v>
      </c>
      <c r="M2297" s="11" t="s">
        <v>11</v>
      </c>
      <c r="N2297" s="11" t="s">
        <v>12</v>
      </c>
      <c r="O2297" s="11" t="s">
        <v>13</v>
      </c>
      <c r="P2297" s="11" t="s">
        <v>14</v>
      </c>
      <c r="Q2297" s="37" t="s">
        <v>15</v>
      </c>
      <c r="R2297" s="42">
        <f>_xll.ciqfunctions.udf.CIQ(A2298,("IQ_LASTSALEPRICE"))</f>
        <v>62.82</v>
      </c>
      <c r="S2297" s="44"/>
      <c r="U2297" s="37" t="s">
        <v>15</v>
      </c>
      <c r="V2297" s="42">
        <f>_xll.ciqfunctions.udf.CIQ(A2298,("IQ_LASTSALEPRICE"))</f>
        <v>62.82</v>
      </c>
      <c r="W2297" s="44"/>
      <c r="Y2297" s="37" t="s">
        <v>15</v>
      </c>
      <c r="Z2297" s="42">
        <f>_xll.ciqfunctions.udf.CIQ(A2298,("IQ_LASTSALEPRICE"))</f>
        <v>62.82</v>
      </c>
      <c r="AA2297" s="44"/>
    </row>
    <row r="2298" spans="1:27">
      <c r="A2298" s="12" t="str">
        <f>Analysis!B155</f>
        <v>NasdaqGS:PLUS</v>
      </c>
      <c r="B2298" s="13">
        <v>1</v>
      </c>
      <c r="C2298" s="14" t="s">
        <v>16</v>
      </c>
      <c r="D2298" s="15">
        <f>IF(A2306=A2307,_xll.ciqfunctions.udf.CIQ(A2298,"IQ_TOTAL_REV",IQ_FY-10)/I2298,_xll.ciqfunctions.udf.CIQ(A2298, "IQ_TOTAL_REV",IQ_FY-9)/I2298)</f>
        <v>35.216758010665572</v>
      </c>
      <c r="E2298" s="16"/>
      <c r="F2298" s="15">
        <f>IF(A2306=A2307,_xll.ciqfunctions.udf.CIQ(A2298,"IQ_DILUT_EPS_EXCL",IQ_FY-10), _xll.ciqfunctions.udf.CIQ(A2298, "IQ_DILUT_EPS_EXCL",IQ_FY-9))</f>
        <v>1.0929199999999999</v>
      </c>
      <c r="G2298" s="15">
        <f>IF(A2306=A2307,_xll.ciqfunctions.udf.CIQ(A2298,"IQ_EBITDA_MARGIN",IQ_FY-10), _xll.ciqfunctions.udf.CIQ(A2298, "IQ_EBITDA_MARGIN",IQ_FY-9))</f>
        <v>7.2870999999999997</v>
      </c>
      <c r="H2298" s="15">
        <f>IF(A2306=A2307,_xll.ciqfunctions.udf.CIQ(A2298,"IQ_TOTAL_DIV_PAID_CF",IQ_FY-10)/-I2298, _xll.ciqfunctions.udf.CIQ(A2298, "IQ_TOTAL_DIV_PAID_CF",IQ_FY-9)/-I2298)</f>
        <v>0</v>
      </c>
      <c r="I2298" s="17">
        <f>IF(A2306=A2307,_xll.ciqfunctions.udf.CIQ(A2298,"IQ_TOTAL_OUTSTANDING_FILING_DATE",IQ_FY-10), _xll.ciqfunctions.udf.CIQ(A2298, "IQ_TOTAL_OUTSTANDING_FILING_DATE",IQ_FY-9))</f>
        <v>30.029340000000001</v>
      </c>
      <c r="J2298" s="17">
        <f>IF(A2306=A2307,_xll.ciqfunctions.udf.CIQ(A2298,"IQ_CASH_OPER",IQ_FY-10), _xll.ciqfunctions.udf.CIQ(A2298, "IQ_CASH_OPER",IQ_FY-9))</f>
        <v>-8.2230000000000008</v>
      </c>
      <c r="K2298" s="17">
        <f>IF(A2306=A2307,_xll.ciqfunctions.udf.CIQ(A2298,"IQ_CAPEX",IQ_FY-10), _xll.ciqfunctions.udf.CIQ(A2298, "IQ_CAPEX",IQ_FY-9))</f>
        <v>-15.397</v>
      </c>
      <c r="L2298" s="15">
        <f t="shared" ref="L2298:L2308" si="612">(J2298+K2298)/I2298</f>
        <v>-0.78656407366928482</v>
      </c>
      <c r="M2298" s="17">
        <f>IF(A2306=A2307,_xll.ciqfunctions.udf.CIQ(A2298,"IQ_TOTAL_DEBT_ISSUED",IQ_FY-10), _xll.ciqfunctions.udf.CIQ(A2298, "IQ_TOTAL_DEBT_ISSUED",IQ_FY-9))</f>
        <v>78.712000000000003</v>
      </c>
      <c r="N2298" s="17">
        <f>IF(A2306=A2307,_xll.ciqfunctions.udf.CIQ(A2298,"IQ_TOTAL_DEBT_REPAID",IQ_FY-10), _xll.ciqfunctions.udf.CIQ(A2298, "IQ_TOTAL_DEBT_REPAID",IQ_FY-9))</f>
        <v>-2.2519999999999998</v>
      </c>
      <c r="O2298" s="15">
        <f t="shared" ref="O2298:O2308" si="613">(M2298+N2298)/I2298</f>
        <v>2.5461765060437562</v>
      </c>
      <c r="P2298" s="15">
        <f t="shared" ref="P2298:P2308" si="614">L2298+O2298</f>
        <v>1.7596124323744715</v>
      </c>
      <c r="W2298" s="43"/>
      <c r="AA2298" s="43"/>
    </row>
    <row r="2299" spans="1:27">
      <c r="A2299" s="18" t="str">
        <f>_xll.ciqfunctions.udf.CIQ(A2298,"IQ_COMPANY_NAME")</f>
        <v>ePlus inc.</v>
      </c>
      <c r="B2299" s="13">
        <v>2</v>
      </c>
      <c r="C2299" s="14" t="s">
        <v>17</v>
      </c>
      <c r="D2299" s="15">
        <f>IF(A2306=A2307,_xll.ciqfunctions.udf.CIQ(A2298,"IQ_TOTAL_REV",IQ_FY-9)/I2299, _xll.ciqfunctions.udf.CIQ(A2298, "IQ_TOTAL_REV",IQ_FY-8)/I2299)</f>
        <v>38.678594192131399</v>
      </c>
      <c r="E2299" s="16">
        <f t="shared" ref="E2299:E2308" si="615">(D2299-D2298)/D2298</f>
        <v>9.830081975227227E-2</v>
      </c>
      <c r="F2299" s="15">
        <f>IF(A2306=A2307,_xll.ciqfunctions.udf.CIQ(A2298,"IQ_DILUT_EPS_EXCL",IQ_FY-9), _xll.ciqfunctions.udf.CIQ(A2298, "IQ_DILUT_EPS_EXCL",IQ_FY-8))</f>
        <v>1.5481499999999999</v>
      </c>
      <c r="G2299" s="15">
        <f>IF(A2306=A2307,_xll.ciqfunctions.udf.CIQ(A2298,"IQ_EBITDA_MARGIN",IQ_FY-9), _xll.ciqfunctions.udf.CIQ(A2298, "IQ_EBITDA_MARGIN",IQ_FY-8))</f>
        <v>7.5738000000000003</v>
      </c>
      <c r="H2299" s="15">
        <f>IF(A2306=A2307,_xll.ciqfunctions.udf.CIQ(A2298,"IQ_TOTAL_DIV_PAID_CF",IQ_FY-9)/-I2299, _xll.ciqfunctions.udf.CIQ(A2298, "IQ_TOTAL_DIV_PAID_CF",IQ_FY-8)/-I2299)</f>
        <v>0</v>
      </c>
      <c r="I2299" s="17">
        <f>IF(A2306=A2307,_xll.ciqfunctions.udf.CIQ(A2298,"IQ_TOTAL_OUTSTANDING_FILING_DATE",IQ_FY-9), _xll.ciqfunctions.udf.CIQ(A2298, "IQ_TOTAL_OUTSTANDING_FILING_DATE",IQ_FY-8))</f>
        <v>29.558520000000001</v>
      </c>
      <c r="J2299" s="17">
        <f>IF(A2306=A2307,_xll.ciqfunctions.udf.CIQ(A2298,"IQ_CASH_OPER",IQ_FY-9), _xll.ciqfunctions.udf.CIQ(A2298, "IQ_CASH_OPER",IQ_FY-8))</f>
        <v>14.411</v>
      </c>
      <c r="K2299" s="17">
        <f>IF(A2306=A2307,_xll.ciqfunctions.udf.CIQ(A2298,"IQ_CAPEX",IQ_FY-9), _xll.ciqfunctions.udf.CIQ(A2298, "IQ_CAPEX",IQ_FY-8))</f>
        <v>-11.916</v>
      </c>
      <c r="L2299" s="15">
        <f t="shared" si="612"/>
        <v>8.4408826964272876E-2</v>
      </c>
      <c r="M2299" s="17">
        <f>IF(A2306=A2307,_xll.ciqfunctions.udf.CIQ(A2298,"IQ_TOTAL_DEBT_ISSUED",IQ_FY-9), _xll.ciqfunctions.udf.CIQ(A2298, "IQ_TOTAL_DEBT_ISSUED",IQ_FY-8))</f>
        <v>52.237000000000002</v>
      </c>
      <c r="N2299" s="17">
        <f>IF(A2306=A2307,_xll.ciqfunctions.udf.CIQ(A2298,"IQ_TOTAL_DEBT_REPAID",IQ_FY-9), _xll.ciqfunctions.udf.CIQ(A2298, "IQ_TOTAL_DEBT_REPAID",IQ_FY-8))</f>
        <v>-2.206</v>
      </c>
      <c r="O2299" s="15">
        <f t="shared" si="613"/>
        <v>1.692608425590997</v>
      </c>
      <c r="P2299" s="15">
        <f t="shared" si="614"/>
        <v>1.7770172525552699</v>
      </c>
      <c r="Q2299" s="25" t="s">
        <v>18</v>
      </c>
      <c r="R2299" s="39" t="s">
        <v>19</v>
      </c>
      <c r="S2299" s="1">
        <f>R2297/((AVERAGE(P2303:P2308))*(1+E2309)^3)</f>
        <v>37.950029426061313</v>
      </c>
      <c r="U2299" s="25" t="s">
        <v>48</v>
      </c>
      <c r="V2299" s="39" t="s">
        <v>19</v>
      </c>
      <c r="W2299" s="1">
        <f>V2297/((AVERAGE(P2303:P2308))*(1+E2309)^3)</f>
        <v>37.950029426061313</v>
      </c>
      <c r="Y2299" s="25" t="s">
        <v>39</v>
      </c>
      <c r="Z2299" s="39" t="s">
        <v>19</v>
      </c>
      <c r="AA2299" s="1">
        <f>Z2297/((AVERAGE(P2303:P2308))*(1+E2309)^3)</f>
        <v>37.950029426061313</v>
      </c>
    </row>
    <row r="2300" spans="1:27">
      <c r="B2300" s="13">
        <v>3</v>
      </c>
      <c r="C2300" s="14" t="s">
        <v>20</v>
      </c>
      <c r="D2300" s="15" cm="1">
        <f t="array" ref="D2300">_xlfn.SINGLE(IF(A2306=A2307,_xll.ciqfunctions.udf.CIQ(A2298,"IQ_TOTAL_REV",IQ_FY-8)/I2300, _xll.ciqfunctions.udf.CIQ(A2298, "IQ_TOTAL_REV",IQ_FY-7)/I2300))</f>
        <v>41.945321257120646</v>
      </c>
      <c r="E2300" s="16">
        <f t="shared" si="615"/>
        <v>8.4458267763356701E-2</v>
      </c>
      <c r="F2300" s="15">
        <f>IF(A2306=A2307,_xll.ciqfunctions.udf.CIQ(A2298,"IQ_DILUT_EPS_EXCL",IQ_FY-8), _xll.ciqfunctions.udf.CIQ(A2298, "IQ_DILUT_EPS_EXCL",IQ_FY-7))</f>
        <v>1.5249999999999999</v>
      </c>
      <c r="G2300" s="15">
        <f>IF(A2306=A2307,_xll.ciqfunctions.udf.CIQ(A2298,"IQ_EBITDA_MARGIN",IQ_FY-8), _xll.ciqfunctions.udf.CIQ(A2298, "IQ_EBITDA_MARGIN",IQ_FY-7))</f>
        <v>7.6234000000000002</v>
      </c>
      <c r="H2300" s="15">
        <f>IF(A2306=A2307,_xll.ciqfunctions.udf.CIQ(A2298,"IQ_TOTAL_DIV_PAID_CF",IQ_FY-8)/-I2300, _xll.ciqfunctions.udf.CIQ(A2298, "IQ_TOTAL_DIV_PAID_CF",IQ_FY-7)/-I2300)</f>
        <v>0</v>
      </c>
      <c r="I2300" s="17">
        <f>IF(A2306=A2307,_xll.ciqfunctions.udf.CIQ(A2298,"IQ_TOTAL_OUTSTANDING_FILING_DATE",IQ_FY-8), _xll.ciqfunctions.udf.CIQ(A2298, "IQ_TOTAL_OUTSTANDING_FILING_DATE",IQ_FY-7))</f>
        <v>28.708780000000001</v>
      </c>
      <c r="J2300" s="17">
        <f>IF(A2306=A2307,_xll.ciqfunctions.udf.CIQ(A2298,"IQ_CASH_OPER",IQ_FY-8), _xll.ciqfunctions.udf.CIQ(A2298, "IQ_CASH_OPER",IQ_FY-7))</f>
        <v>14.11</v>
      </c>
      <c r="K2300" s="17">
        <f>IF(A2306=A2307,_xll.ciqfunctions.udf.CIQ(A2298,"IQ_CAPEX",IQ_FY-8), _xll.ciqfunctions.udf.CIQ(A2298, "IQ_CAPEX",IQ_FY-7))</f>
        <v>-25.870999999999999</v>
      </c>
      <c r="L2300" s="15">
        <f t="shared" si="612"/>
        <v>-0.40966561449145517</v>
      </c>
      <c r="M2300" s="17">
        <f>IF(A2306=A2307,_xll.ciqfunctions.udf.CIQ(A2298,"IQ_TOTAL_DEBT_ISSUED",IQ_FY-8), _xll.ciqfunctions.udf.CIQ(A2298, "IQ_TOTAL_DEBT_ISSUED",IQ_FY-7))</f>
        <v>67.281999999999996</v>
      </c>
      <c r="N2300" s="17">
        <f>IF(A2306=A2307,_xll.ciqfunctions.udf.CIQ(A2298,"IQ_TOTAL_DEBT_REPAID",IQ_FY-8), _xll.ciqfunctions.udf.CIQ(A2298, "IQ_TOTAL_DEBT_REPAID",IQ_FY-7))</f>
        <v>-0.25700000000000001</v>
      </c>
      <c r="O2300" s="15">
        <f t="shared" si="613"/>
        <v>2.3346516292228365</v>
      </c>
      <c r="P2300" s="15">
        <f t="shared" si="614"/>
        <v>1.9249860147313813</v>
      </c>
      <c r="Q2300" s="25" t="s">
        <v>21</v>
      </c>
      <c r="R2300" s="38" t="s">
        <v>49</v>
      </c>
      <c r="S2300" s="2">
        <f>(R2297*I2308)/1000</f>
        <v>1.6722853613999999</v>
      </c>
      <c r="U2300" s="25" t="s">
        <v>59</v>
      </c>
      <c r="V2300" s="38" t="s">
        <v>49</v>
      </c>
      <c r="W2300" s="2">
        <f>(V2297*I2308)/1000</f>
        <v>1.6722853613999999</v>
      </c>
      <c r="Y2300" s="25" t="s">
        <v>46</v>
      </c>
      <c r="Z2300" s="38" t="s">
        <v>49</v>
      </c>
      <c r="AA2300" s="2">
        <f>(Z2297*I2308)/1000</f>
        <v>1.6722853613999999</v>
      </c>
    </row>
    <row r="2301" spans="1:27">
      <c r="A2301" s="18"/>
      <c r="B2301" s="13">
        <v>4</v>
      </c>
      <c r="C2301" s="14" t="s">
        <v>22</v>
      </c>
      <c r="D2301" s="15" cm="1">
        <f t="array" ref="D2301">_xlfn.SINGLE(IF(A2306=A2307,_xll.ciqfunctions.udf.CIQ(A2298,"IQ_TOTAL_REV",IQ_FY-7)/I2301, _xll.ciqfunctions.udf.CIQ(A2298, "IQ_TOTAL_REV",IQ_FY-6)/I2301))</f>
        <v>47.032270504649979</v>
      </c>
      <c r="E2301" s="16">
        <f t="shared" si="615"/>
        <v>0.12127572504086546</v>
      </c>
      <c r="F2301" s="15">
        <f>IF(A2306=A2307,_xll.ciqfunctions.udf.CIQ(A2298,"IQ_DILUT_EPS_EXCL",IQ_FY-7), _xll.ciqfunctions.udf.CIQ(A2298, "IQ_DILUT_EPS_EXCL",IQ_FY-6))</f>
        <v>1.8</v>
      </c>
      <c r="G2301" s="15">
        <f>IF(A2306=A2307,_xll.ciqfunctions.udf.CIQ(A2298,"IQ_EBITDA_MARGIN",IQ_FY-7), _xll.ciqfunctions.udf.CIQ(A2298, "IQ_EBITDA_MARGIN",IQ_FY-6))</f>
        <v>7.3182</v>
      </c>
      <c r="H2301" s="15">
        <f>IF(A2306=A2307,_xll.ciqfunctions.udf.CIQ(A2298,"IQ_TOTAL_DIV_PAID_CF",IQ_FY-7)/-I2301, _xll.ciqfunctions.udf.CIQ(A2298, "IQ_TOTAL_DIV_PAID_CF",IQ_FY-6)/-I2301)</f>
        <v>0</v>
      </c>
      <c r="I2301" s="17">
        <f>IF(A2306=A2307,_xll.ciqfunctions.udf.CIQ(A2298,"IQ_TOTAL_OUTSTANDING_FILING_DATE",IQ_FY-7), _xll.ciqfunctions.udf.CIQ(A2298, "IQ_TOTAL_OUTSTANDING_FILING_DATE",IQ_FY-6))</f>
        <v>28.31626</v>
      </c>
      <c r="J2301" s="17">
        <f>IF(A2306=A2307,_xll.ciqfunctions.udf.CIQ(A2298,"IQ_CASH_OPER",IQ_FY-7), _xll.ciqfunctions.udf.CIQ(A2298, "IQ_CASH_OPER",IQ_FY-6))</f>
        <v>33.015999999999998</v>
      </c>
      <c r="K2301" s="17">
        <f>IF(A2306=A2307,_xll.ciqfunctions.udf.CIQ(A2298,"IQ_CAPEX",IQ_FY-7), _xll.ciqfunctions.udf.CIQ(A2298, "IQ_CAPEX",IQ_FY-6))</f>
        <v>-19.419</v>
      </c>
      <c r="L2301" s="15">
        <f t="shared" si="612"/>
        <v>0.48018347055719923</v>
      </c>
      <c r="M2301" s="17">
        <f>IF(A2306=A2307,_xll.ciqfunctions.udf.CIQ(A2298,"IQ_TOTAL_DEBT_ISSUED",IQ_FY-7), _xll.ciqfunctions.udf.CIQ(A2298, "IQ_TOTAL_DEBT_ISSUED",IQ_FY-6))</f>
        <v>79.863</v>
      </c>
      <c r="N2301" s="17">
        <f>IF(A2306=A2307,_xll.ciqfunctions.udf.CIQ(A2298,"IQ_TOTAL_DEBT_REPAID",IQ_FY-7), _xll.ciqfunctions.udf.CIQ(A2298, "IQ_TOTAL_DEBT_REPAID",IQ_FY-6))</f>
        <v>-40.414000000000001</v>
      </c>
      <c r="O2301" s="15">
        <f t="shared" si="613"/>
        <v>1.3931571471656214</v>
      </c>
      <c r="P2301" s="15">
        <f t="shared" si="614"/>
        <v>1.8733406177228207</v>
      </c>
      <c r="Q2301" s="25" t="s">
        <v>23</v>
      </c>
      <c r="R2301" s="38" t="s">
        <v>24</v>
      </c>
      <c r="S2301" s="1" t="e">
        <f>R2297/(AVERAGE(H2303:H2308)*(1+H2309)/(0.5-H2309))</f>
        <v>#DIV/0!</v>
      </c>
      <c r="U2301" s="25" t="s">
        <v>40</v>
      </c>
      <c r="V2301" s="38" t="s">
        <v>24</v>
      </c>
      <c r="W2301" s="1" t="e">
        <f>V2297/(AVERAGE(H2303:H2308)*(1+H2309)/(0.5-H2309))</f>
        <v>#DIV/0!</v>
      </c>
      <c r="Y2301" s="25" t="s">
        <v>47</v>
      </c>
      <c r="Z2301" s="38" t="s">
        <v>24</v>
      </c>
      <c r="AA2301" s="1" t="e">
        <f>Z2297/(AVERAGE(H2303:H2308)*(1+H2309)/(0.5-H2309))</f>
        <v>#DIV/0!</v>
      </c>
    </row>
    <row r="2302" spans="1:27">
      <c r="B2302" s="13">
        <v>5</v>
      </c>
      <c r="C2302" s="14" t="s">
        <v>25</v>
      </c>
      <c r="D2302" s="15" cm="1">
        <f t="array" ref="D2302">_xlfn.SINGLE(IF(A2306=A2307,_xll.ciqfunctions.udf.CIQ(A2298,"IQ_TOTAL_REV",IQ_FY-6)/I2302, _xll.ciqfunctions.udf.CIQ(A2298, "IQ_TOTAL_REV",IQ_FY-5)/I2302))</f>
        <v>51.783003680062656</v>
      </c>
      <c r="E2302" s="16">
        <f t="shared" si="615"/>
        <v>0.10101007509180281</v>
      </c>
      <c r="F2302" s="15">
        <f>IF(A2306=A2307,_xll.ciqfunctions.udf.CIQ(A2298,"IQ_DILUT_EPS_EXCL",IQ_FY-6), _xll.ciqfunctions.udf.CIQ(A2298, "IQ_DILUT_EPS_EXCL",IQ_FY-5))</f>
        <v>1.9750000000000001</v>
      </c>
      <c r="G2302" s="15">
        <f>IF(A2306=A2307,_xll.ciqfunctions.udf.CIQ(A2298,"IQ_EBITDA_MARGIN",IQ_FY-6), _xll.ciqfunctions.udf.CIQ(A2298, "IQ_EBITDA_MARGIN",IQ_FY-5))</f>
        <v>7.1637000000000004</v>
      </c>
      <c r="H2302" s="15">
        <f>IF(A2306=A2307,_xll.ciqfunctions.udf.CIQ(A2298,"IQ_TOTAL_DIV_PAID_CF",IQ_FY-6)/-I2302, _xll.ciqfunctions.udf.CIQ(A2298, "IQ_TOTAL_DIV_PAID_CF",IQ_FY-5)/-I2302)</f>
        <v>0</v>
      </c>
      <c r="I2302" s="17">
        <f>IF(A2306=A2307,_xll.ciqfunctions.udf.CIQ(A2298,"IQ_TOTAL_OUTSTANDING_FILING_DATE",IQ_FY-6), _xll.ciqfunctions.udf.CIQ(A2298, "IQ_TOTAL_OUTSTANDING_FILING_DATE",IQ_FY-5))</f>
        <v>27.398990000000001</v>
      </c>
      <c r="J2302" s="17">
        <f>IF(A2306=A2307,_xll.ciqfunctions.udf.CIQ(A2298,"IQ_CASH_OPER",IQ_FY-6), _xll.ciqfunctions.udf.CIQ(A2298, "IQ_CASH_OPER",IQ_FY-5))</f>
        <v>82.766000000000005</v>
      </c>
      <c r="K2302" s="17">
        <f>IF(A2306=A2307,_xll.ciqfunctions.udf.CIQ(A2298,"IQ_CAPEX",IQ_FY-6), _xll.ciqfunctions.udf.CIQ(A2298, "IQ_CAPEX",IQ_FY-5))</f>
        <v>-13.968</v>
      </c>
      <c r="L2302" s="15">
        <f t="shared" si="612"/>
        <v>2.510968470005646</v>
      </c>
      <c r="M2302" s="17">
        <f>IF(A2306=A2307,_xll.ciqfunctions.udf.CIQ(A2298,"IQ_TOTAL_DEBT_ISSUED",IQ_FY-6), _xll.ciqfunctions.udf.CIQ(A2298, "IQ_TOTAL_DEBT_ISSUED",IQ_FY-5))</f>
        <v>72.388999999999996</v>
      </c>
      <c r="N2302" s="17">
        <f>IF(A2306=A2307,_xll.ciqfunctions.udf.CIQ(A2298,"IQ_TOTAL_DEBT_REPAID",IQ_FY-6), _xll.ciqfunctions.udf.CIQ(A2298, "IQ_TOTAL_DEBT_REPAID",IQ_FY-5))</f>
        <v>-51.805</v>
      </c>
      <c r="O2302" s="15">
        <f t="shared" si="613"/>
        <v>0.75126856865891756</v>
      </c>
      <c r="P2302" s="15">
        <f t="shared" si="614"/>
        <v>3.2622370386645638</v>
      </c>
      <c r="Q2302" s="18"/>
      <c r="R2302" s="38" t="s">
        <v>50</v>
      </c>
      <c r="S2302" s="3">
        <f>I2309</f>
        <v>-4.4502847910344867E-3</v>
      </c>
      <c r="U2302" s="18"/>
      <c r="V2302" s="38" t="s">
        <v>50</v>
      </c>
      <c r="W2302" s="3">
        <f>I2309</f>
        <v>-4.4502847910344867E-3</v>
      </c>
      <c r="Y2302" s="18"/>
      <c r="Z2302" s="38" t="s">
        <v>50</v>
      </c>
      <c r="AA2302" s="3">
        <f>I2309</f>
        <v>-4.4502847910344867E-3</v>
      </c>
    </row>
    <row r="2303" spans="1:27">
      <c r="B2303" s="13">
        <v>6</v>
      </c>
      <c r="C2303" s="14" t="s">
        <v>26</v>
      </c>
      <c r="D2303" s="15" cm="1">
        <f t="array" ref="D2303">_xlfn.SINGLE(IF(A2306=A2307,_xll.ciqfunctions.udf.CIQ(A2298,"IQ_TOTAL_REV",IQ_FY-5)/I2303, _xll.ciqfunctions.udf.CIQ(A2298, "IQ_TOTAL_REV",IQ_FY-4)/I2303))</f>
        <v>50.427727529885452</v>
      </c>
      <c r="E2303" s="16">
        <f t="shared" si="615"/>
        <v>-2.6172219721951134E-2</v>
      </c>
      <c r="F2303" s="15">
        <f>IF(A2306=A2307,_xll.ciqfunctions.udf.CIQ(A2298,"IQ_DILUT_EPS_EXCL",IQ_FY-5), _xll.ciqfunctions.udf.CIQ(A2298, "IQ_DILUT_EPS_EXCL",IQ_FY-4))</f>
        <v>2.3250000000000002</v>
      </c>
      <c r="G2303" s="15">
        <f>IF(A2306=A2307,_xll.ciqfunctions.udf.CIQ(A2298,"IQ_EBITDA_MARGIN",IQ_FY-5), _xll.ciqfunctions.udf.CIQ(A2298, "IQ_EBITDA_MARGIN",IQ_FY-4))</f>
        <v>7.3022</v>
      </c>
      <c r="H2303" s="15">
        <f>IF(A2306=A2307,_xll.ciqfunctions.udf.CIQ(A2298,"IQ_TOTAL_DIV_PAID_CF",IQ_FY-5)/-I2303, _xll.ciqfunctions.udf.CIQ(A2298, "IQ_TOTAL_DIV_PAID_CF",IQ_FY-4)/-I2303)</f>
        <v>0</v>
      </c>
      <c r="I2303" s="17">
        <f>IF(A2306=A2307,_xll.ciqfunctions.udf.CIQ(A2298,"IQ_TOTAL_OUTSTANDING_FILING_DATE",IQ_FY-5), _xll.ciqfunctions.udf.CIQ(A2298, "IQ_TOTAL_OUTSTANDING_FILING_DATE",IQ_FY-4))</f>
        <v>27.220600000000001</v>
      </c>
      <c r="J2303" s="17">
        <f>IF(A2306=A2307,_xll.ciqfunctions.udf.CIQ(A2298,"IQ_CASH_OPER",IQ_FY-5), _xll.ciqfunctions.udf.CIQ(A2298, "IQ_CASH_OPER",IQ_FY-4))</f>
        <v>39.411000000000001</v>
      </c>
      <c r="K2303" s="17">
        <f>IF(A2306=A2307,_xll.ciqfunctions.udf.CIQ(A2298,"IQ_CAPEX",IQ_FY-5), _xll.ciqfunctions.udf.CIQ(A2298, "IQ_CAPEX",IQ_FY-4))</f>
        <v>-21.997</v>
      </c>
      <c r="L2303" s="15">
        <f t="shared" si="612"/>
        <v>0.6397360822318392</v>
      </c>
      <c r="M2303" s="17">
        <f>IF(A2306=A2307,_xll.ciqfunctions.udf.CIQ(A2298,"IQ_TOTAL_DEBT_ISSUED",IQ_FY-5), _xll.ciqfunctions.udf.CIQ(A2298, "IQ_TOTAL_DEBT_ISSUED",IQ_FY-4))</f>
        <v>87.897999999999996</v>
      </c>
      <c r="N2303" s="17">
        <f>IF(A2306=A2307,_xll.ciqfunctions.udf.CIQ(A2298,"IQ_TOTAL_DEBT_REPAID",IQ_FY-5), _xll.ciqfunctions.udf.CIQ(A2298, "IQ_TOTAL_DEBT_REPAID",IQ_FY-4))</f>
        <v>-43.054000000000002</v>
      </c>
      <c r="O2303" s="15">
        <f t="shared" si="613"/>
        <v>1.6474287855521184</v>
      </c>
      <c r="P2303" s="15">
        <f t="shared" si="614"/>
        <v>2.2871648677839573</v>
      </c>
      <c r="Q2303" s="25" t="s">
        <v>27</v>
      </c>
      <c r="R2303" s="38" t="s">
        <v>51</v>
      </c>
      <c r="S2303" s="4">
        <f>AVERAGE(F2303:F2308)/AVERAGE(D2303:D2308)</f>
        <v>5.3122376381289665E-2</v>
      </c>
      <c r="U2303" s="25" t="s">
        <v>58</v>
      </c>
      <c r="V2303" s="38" t="s">
        <v>51</v>
      </c>
      <c r="W2303" s="4">
        <f>AVERAGE(F2303:F2308)/AVERAGE(D2303:D2308)</f>
        <v>5.3122376381289665E-2</v>
      </c>
      <c r="Y2303" s="25" t="s">
        <v>56</v>
      </c>
      <c r="Z2303" s="38" t="s">
        <v>51</v>
      </c>
      <c r="AA2303" s="4">
        <f>AVERAGE(F2303:F2308)/AVERAGE(D2303:D2308)</f>
        <v>5.3122376381289665E-2</v>
      </c>
    </row>
    <row r="2304" spans="1:27">
      <c r="A2304" s="18"/>
      <c r="B2304" s="13">
        <v>7</v>
      </c>
      <c r="C2304" s="14" t="s">
        <v>28</v>
      </c>
      <c r="D2304" s="15" cm="1">
        <f t="array" ref="D2304">_xlfn.SINGLE(IF(A2306=A2307,_xll.ciqfunctions.udf.CIQ(A2298,"IQ_TOTAL_REV",IQ_FY-4)/I2304, _xll.ciqfunctions.udf.CIQ(A2298, "IQ_TOTAL_REV",IQ_FY-3)/I2304))</f>
        <v>58.831499143863837</v>
      </c>
      <c r="E2304" s="16">
        <f t="shared" si="615"/>
        <v>0.16664981797956255</v>
      </c>
      <c r="F2304" s="15">
        <f>IF(A2306=A2307,_xll.ciqfunctions.udf.CIQ(A2298,"IQ_DILUT_EPS_EXCL",IQ_FY-4), _xll.ciqfunctions.udf.CIQ(A2298, "IQ_DILUT_EPS_EXCL",IQ_FY-3))</f>
        <v>2.57</v>
      </c>
      <c r="G2304" s="15">
        <f>IF(A2306=A2307,_xll.ciqfunctions.udf.CIQ(A2298,"IQ_EBITDA_MARGIN",IQ_FY-4), _xll.ciqfunctions.udf.CIQ(A2298, "IQ_EBITDA_MARGIN",IQ_FY-3))</f>
        <v>7.2412999999999998</v>
      </c>
      <c r="H2304" s="15">
        <f>IF(A2306=A2307,_xll.ciqfunctions.udf.CIQ(A2298,"IQ_TOTAL_DIV_PAID_CF",IQ_FY-4)/-I2304, _xll.ciqfunctions.udf.CIQ(A2298, "IQ_TOTAL_DIV_PAID_CF",IQ_FY-3)/-I2304)</f>
        <v>0</v>
      </c>
      <c r="I2304" s="17">
        <f>IF(A2306=A2307,_xll.ciqfunctions.udf.CIQ(A2298,"IQ_TOTAL_OUTSTANDING_FILING_DATE",IQ_FY-4), _xll.ciqfunctions.udf.CIQ(A2298, "IQ_TOTAL_OUTSTANDING_FILING_DATE",IQ_FY-3))</f>
        <v>26.999210000000001</v>
      </c>
      <c r="J2304" s="17">
        <f>IF(A2306=A2307,_xll.ciqfunctions.udf.CIQ(A2298,"IQ_CASH_OPER",IQ_FY-4), _xll.ciqfunctions.udf.CIQ(A2298, "IQ_CASH_OPER",IQ_FY-3))</f>
        <v>-74.174000000000007</v>
      </c>
      <c r="K2304" s="17">
        <f>IF(A2306=A2307,_xll.ciqfunctions.udf.CIQ(A2298,"IQ_CAPEX",IQ_FY-4), _xll.ciqfunctions.udf.CIQ(A2298, "IQ_CAPEX",IQ_FY-3))</f>
        <v>-7.0090000000000003</v>
      </c>
      <c r="L2304" s="15">
        <f t="shared" si="612"/>
        <v>-3.0068657564425032</v>
      </c>
      <c r="M2304" s="17">
        <f>IF(A2306=A2307,_xll.ciqfunctions.udf.CIQ(A2298,"IQ_TOTAL_DEBT_ISSUED",IQ_FY-4), _xll.ciqfunctions.udf.CIQ(A2298, "IQ_TOTAL_DEBT_ISSUED",IQ_FY-3))</f>
        <v>152.702</v>
      </c>
      <c r="N2304" s="17">
        <f>IF(A2306=A2307,_xll.ciqfunctions.udf.CIQ(A2298,"IQ_TOTAL_DEBT_REPAID",IQ_FY-4), _xll.ciqfunctions.udf.CIQ(A2298, "IQ_TOTAL_DEBT_REPAID",IQ_FY-3))</f>
        <v>-31.88</v>
      </c>
      <c r="O2304" s="15">
        <f t="shared" si="613"/>
        <v>4.4750198246541286</v>
      </c>
      <c r="P2304" s="15">
        <f t="shared" si="614"/>
        <v>1.4681540682116254</v>
      </c>
      <c r="Q2304" s="18"/>
      <c r="R2304" s="38" t="s">
        <v>29</v>
      </c>
      <c r="S2304" s="4">
        <f>(AVERAGE(P2303:P2308)/_xlfn.STDEV.P(P2303:P2308))/(IF(A2306=A2307,(_xlfn.SINGLE(_xll.ciqfunctions.udf.CIQ(A2298,"IQ_total_assets",IQ_FY)) - _xlfn.SINGLE(_xll.ciqfunctions.udf.CIQ(A2298,"iq_gw_intan", IQ_FY)))/I2308, (_xlfn.SINGLE(_xll.ciqfunctions.udf.CIQ(A2298, "IQ_total_assets",IQ_LTM))-_xlfn.SINGLE(_xll.ciqfunctions.udf.CIQ(A2298,"iq_gw_intan",IQ_LTM)))/I2308))</f>
        <v>1.6638116747552771E-2</v>
      </c>
      <c r="U2304" s="18"/>
      <c r="V2304" s="38" t="s">
        <v>29</v>
      </c>
      <c r="W2304" s="4">
        <f>(AVERAGE(P2303:P2308)/_xlfn.STDEV.P(P2303:P2308))/(IF(A2306=A2307,(_xlfn.SINGLE(_xll.ciqfunctions.udf.CIQ(A2298,"IQ_total_assets",IQ_FY)) - _xlfn.SINGLE(_xll.ciqfunctions.udf.CIQ(A2298,"iq_gw_intan", IQ_FY)))/I2308, (_xlfn.SINGLE(_xll.ciqfunctions.udf.CIQ(A2298, "IQ_total_assets",IQ_LTM))-_xlfn.SINGLE(_xll.ciqfunctions.udf.CIQ(A2298,"iq_gw_intan",IQ_LTM)))/I2308))</f>
        <v>1.6638116747552771E-2</v>
      </c>
      <c r="Y2304" s="18"/>
      <c r="Z2304" s="38" t="s">
        <v>29</v>
      </c>
      <c r="AA2304" s="4">
        <f>(AVERAGE(P2303:P2308)/_xlfn.STDEV.P(P2303:P2308))/(IF(A2306=A2307,(_xlfn.SINGLE(_xll.ciqfunctions.udf.CIQ(A2298,"IQ_total_assets",IQ_FY)) - _xlfn.SINGLE(_xll.ciqfunctions.udf.CIQ(A2298,"iq_gw_intan", IQ_FY)))/I2308, (_xlfn.SINGLE(_xll.ciqfunctions.udf.CIQ(A2298, "IQ_total_assets",IQ_LTM))-_xlfn.SINGLE(_xll.ciqfunctions.udf.CIQ(A2298,"iq_gw_intan",IQ_LTM)))/I2308))</f>
        <v>1.6638116747552771E-2</v>
      </c>
    </row>
    <row r="2305" spans="1:27">
      <c r="A2305" s="18"/>
      <c r="B2305" s="13">
        <v>8</v>
      </c>
      <c r="C2305" s="14" t="s">
        <v>30</v>
      </c>
      <c r="D2305" s="15" cm="1">
        <f t="array" ref="D2305">_xlfn.SINGLE(IF(A2306=A2307,_xll.ciqfunctions.udf.CIQ(A2298,"IQ_TOTAL_REV",IQ_FY-3)/I2305, _xll.ciqfunctions.udf.CIQ(A2298, "IQ_TOTAL_REV",IQ_FY-2)/I2305))</f>
        <v>58.074142592276473</v>
      </c>
      <c r="E2305" s="16">
        <f t="shared" si="615"/>
        <v>-1.2873317229862851E-2</v>
      </c>
      <c r="F2305" s="15">
        <f>IF(A2306=A2307,_xll.ciqfunctions.udf.CIQ(A2298,"IQ_DILUT_EPS_EXCL",IQ_FY-3), _xll.ciqfunctions.udf.CIQ(A2298, "IQ_DILUT_EPS_EXCL",IQ_FY-2))</f>
        <v>2.77</v>
      </c>
      <c r="G2305" s="15">
        <f>IF(A2306=A2307,_xll.ciqfunctions.udf.CIQ(A2298,"IQ_EBITDA_MARGIN",IQ_FY-3), _xll.ciqfunctions.udf.CIQ(A2298, "IQ_EBITDA_MARGIN",IQ_FY-2))</f>
        <v>8.2147000000000006</v>
      </c>
      <c r="H2305" s="15">
        <f>IF(A2306=A2307,_xll.ciqfunctions.udf.CIQ(A2298,"IQ_TOTAL_DIV_PAID_CF",IQ_FY-3)/-I2305, _xll.ciqfunctions.udf.CIQ(A2298, "IQ_TOTAL_DIV_PAID_CF",IQ_FY-2)/-I2305)</f>
        <v>0</v>
      </c>
      <c r="I2305" s="17">
        <f>IF(A2306=A2307,_xll.ciqfunctions.udf.CIQ(A2298,"IQ_TOTAL_OUTSTANDING_FILING_DATE",IQ_FY-3), _xll.ciqfunctions.udf.CIQ(A2298, "IQ_TOTAL_OUTSTANDING_FILING_DATE",IQ_FY-2))</f>
        <v>27.00553</v>
      </c>
      <c r="J2305" s="17">
        <f>IF(A2306=A2307,_xll.ciqfunctions.udf.CIQ(A2298,"IQ_CASH_OPER",IQ_FY-3), _xll.ciqfunctions.udf.CIQ(A2298, "IQ_CASH_OPER",IQ_FY-2))</f>
        <v>129.50700000000001</v>
      </c>
      <c r="K2305" s="17">
        <f>IF(A2306=A2307,_xll.ciqfunctions.udf.CIQ(A2298,"IQ_CAPEX",IQ_FY-3), _xll.ciqfunctions.udf.CIQ(A2298, "IQ_CAPEX",IQ_FY-2))</f>
        <v>-11.513</v>
      </c>
      <c r="L2305" s="15">
        <f t="shared" si="612"/>
        <v>4.3692532603507503</v>
      </c>
      <c r="M2305" s="17">
        <f>IF(A2306=A2307,_xll.ciqfunctions.udf.CIQ(A2298,"IQ_TOTAL_DEBT_ISSUED",IQ_FY-3), _xll.ciqfunctions.udf.CIQ(A2298, "IQ_TOTAL_DEBT_ISSUED",IQ_FY-2))</f>
        <v>66.403000000000006</v>
      </c>
      <c r="N2305" s="17">
        <f>IF(A2306=A2307,_xll.ciqfunctions.udf.CIQ(A2298,"IQ_TOTAL_DEBT_REPAID",IQ_FY-3), _xll.ciqfunctions.udf.CIQ(A2298, "IQ_TOTAL_DEBT_REPAID",IQ_FY-2))</f>
        <v>-108.70099999999999</v>
      </c>
      <c r="O2305" s="15">
        <f t="shared" si="613"/>
        <v>-1.5662717969245554</v>
      </c>
      <c r="P2305" s="15">
        <f t="shared" si="614"/>
        <v>2.8029814634261951</v>
      </c>
      <c r="Q2305" s="18"/>
      <c r="R2305" s="39" t="s">
        <v>31</v>
      </c>
      <c r="S2305" s="5">
        <f>IF(NOT(D2298&gt;0),FALSE,SLOPE(G2298:G2308,B2298:B2308))</f>
        <v>0.20531636363636357</v>
      </c>
      <c r="U2305" s="18"/>
      <c r="V2305" s="39" t="s">
        <v>31</v>
      </c>
      <c r="W2305" s="5">
        <f>IF(NOT(D2298&gt;0),FALSE,SLOPE(G2298:G2308,B2298:B2308))</f>
        <v>0.20531636363636357</v>
      </c>
      <c r="Y2305" s="18"/>
      <c r="Z2305" s="39" t="s">
        <v>31</v>
      </c>
      <c r="AA2305" s="5" t="b">
        <f>IF(NOT(L2298&gt;0),FALSE,SLOPE(O2298:O2308,J2298:J2308))</f>
        <v>0</v>
      </c>
    </row>
    <row r="2306" spans="1:27">
      <c r="A2306" s="19">
        <f>_xll.ciqfunctions.udf.CIQ(A2298,"IQ_TOTAL_REV",IQ_FY)</f>
        <v>2067.7179999999998</v>
      </c>
      <c r="B2306" s="13">
        <v>9</v>
      </c>
      <c r="C2306" s="14" t="s">
        <v>32</v>
      </c>
      <c r="D2306" s="15" cm="1">
        <f t="array" ref="D2306">_xlfn.SINGLE(IF(A2306=A2307,_xll.ciqfunctions.udf.CIQ(A2298,"IQ_TOTAL_REV",IQ_FY-2)/I2306, _xll.ciqfunctions.udf.CIQ(A2298, "IQ_TOTAL_REV",IQ_FY-1)/I2306))</f>
        <v>67.901445864356617</v>
      </c>
      <c r="E2306" s="16">
        <f t="shared" si="615"/>
        <v>0.16921994597621695</v>
      </c>
      <c r="F2306" s="15">
        <f>IF(A2306=A2307,_xll.ciqfunctions.udf.CIQ(A2298,"IQ_DILUT_EPS_EXCL",IQ_FY-2), _xll.ciqfunctions.udf.CIQ(A2298, "IQ_DILUT_EPS_EXCL",IQ_FY-1))</f>
        <v>3.93</v>
      </c>
      <c r="G2306" s="15">
        <f>IF(A2306=A2307,_xll.ciqfunctions.udf.CIQ(A2298,"IQ_EBITDA_MARGIN",IQ_FY-2), _xll.ciqfunctions.udf.CIQ(A2298, "IQ_EBITDA_MARGIN",IQ_FY-1))</f>
        <v>9.5117999999999991</v>
      </c>
      <c r="H2306" s="15">
        <f>IF(A2306=A2307,_xll.ciqfunctions.udf.CIQ(A2298,"IQ_TOTAL_DIV_PAID_CF",IQ_FY-2)/-I2306, _xll.ciqfunctions.udf.CIQ(A2298, "IQ_TOTAL_DIV_PAID_CF",IQ_FY-1)/-I2306)</f>
        <v>0</v>
      </c>
      <c r="I2306" s="17">
        <f>IF(A2306=A2307,_xll.ciqfunctions.udf.CIQ(A2298,"IQ_TOTAL_OUTSTANDING_FILING_DATE",IQ_FY-2), _xll.ciqfunctions.udf.CIQ(A2298, "IQ_TOTAL_OUTSTANDING_FILING_DATE",IQ_FY-1))</f>
        <v>26.818560000000002</v>
      </c>
      <c r="J2306" s="17">
        <f>IF(A2306=A2307,_xll.ciqfunctions.udf.CIQ(A2298,"IQ_CASH_OPER",IQ_FY-2), _xll.ciqfunctions.udf.CIQ(A2298, "IQ_CASH_OPER",IQ_FY-1))</f>
        <v>-20.571000000000002</v>
      </c>
      <c r="K2306" s="17">
        <f>IF(A2306=A2307,_xll.ciqfunctions.udf.CIQ(A2298,"IQ_CAPEX",IQ_FY-2), _xll.ciqfunctions.udf.CIQ(A2298, "IQ_CAPEX",IQ_FY-1))</f>
        <v>-23.181999999999999</v>
      </c>
      <c r="L2306" s="15">
        <f t="shared" si="612"/>
        <v>-1.631444790473463</v>
      </c>
      <c r="M2306" s="17">
        <f>IF(A2306=A2307,_xll.ciqfunctions.udf.CIQ(A2298,"IQ_TOTAL_DEBT_ISSUED",IQ_FY-2), _xll.ciqfunctions.udf.CIQ(A2298, "IQ_TOTAL_DEBT_ISSUED",IQ_FY-1))</f>
        <v>160.77500000000001</v>
      </c>
      <c r="N2306" s="17">
        <f>IF(A2306=A2307,_xll.ciqfunctions.udf.CIQ(A2298,"IQ_TOTAL_DEBT_REPAID",IQ_FY-2), _xll.ciqfunctions.udf.CIQ(A2298, "IQ_TOTAL_DEBT_REPAID",IQ_FY-1))</f>
        <v>-99.991</v>
      </c>
      <c r="O2306" s="15">
        <f t="shared" si="613"/>
        <v>2.2664900725467736</v>
      </c>
      <c r="P2306" s="15">
        <f t="shared" si="614"/>
        <v>0.63504528207331057</v>
      </c>
      <c r="Q2306" s="25" t="s">
        <v>33</v>
      </c>
      <c r="R2306" s="38" t="s">
        <v>52</v>
      </c>
      <c r="S2306" s="4">
        <f>(AVERAGE(O2303:O2308)/AVERAGE(P2303:P2308))</f>
        <v>0.54679424553440525</v>
      </c>
      <c r="U2306" s="25" t="s">
        <v>54</v>
      </c>
      <c r="V2306" s="38" t="s">
        <v>52</v>
      </c>
      <c r="W2306" s="4">
        <f>(AVERAGE(O2303:O2308)/AVERAGE(P2303:P2308))</f>
        <v>0.54679424553440525</v>
      </c>
      <c r="Y2306" s="25" t="s">
        <v>60</v>
      </c>
      <c r="Z2306" s="38" t="s">
        <v>52</v>
      </c>
      <c r="AA2306" s="4">
        <f>(AVERAGE(O2303:O2308)/AVERAGE(P2303:P2308))</f>
        <v>0.54679424553440525</v>
      </c>
    </row>
    <row r="2307" spans="1:27">
      <c r="A2307" s="19">
        <f>_xll.ciqfunctions.udf.CIQ(A2298,"IQ_TOTAL_REV",IQ_LTM)</f>
        <v>2277.4389999999999</v>
      </c>
      <c r="B2307" s="13">
        <v>10</v>
      </c>
      <c r="C2307" s="14" t="s">
        <v>34</v>
      </c>
      <c r="D2307" s="15" cm="1">
        <f t="array" ref="D2307">_xlfn.SINGLE(IF(A2306=A2307,_xll.ciqfunctions.udf.CIQ(A2298,"IQ_TOTAL_REV",IQ_FY-1)/I2307, _xll.ciqfunctions.udf.CIQ(A2298, "IQ_TOTAL_REV",IQ_FY)/I2307))</f>
        <v>77.074655194843189</v>
      </c>
      <c r="E2307" s="16">
        <f t="shared" si="615"/>
        <v>0.13509593520013463</v>
      </c>
      <c r="F2307" s="15">
        <f>IF(A2306=A2307,_xll.ciqfunctions.udf.CIQ(A2298,"IQ_DILUT_EPS_EXCL",IQ_FY-1), _xll.ciqfunctions.udf.CIQ(A2298, "IQ_DILUT_EPS_EXCL",IQ_FY))</f>
        <v>4.4800000000000004</v>
      </c>
      <c r="G2307" s="15">
        <f>IF(A2306=A2307,_xll.ciqfunctions.udf.CIQ(A2298,"IQ_EBITDA_MARGIN",IQ_FY-1), _xll.ciqfunctions.udf.CIQ(A2298, "IQ_EBITDA_MARGIN",IQ_FY))</f>
        <v>9.1393000000000004</v>
      </c>
      <c r="H2307" s="15">
        <f>IF(A2306=A2307,_xll.ciqfunctions.udf.CIQ(A2298,"IQ_TOTAL_DIV_PAID_CF",IQ_FY-1)/-I2307, _xll.ciqfunctions.udf.CIQ(A2298, "IQ_TOTAL_DIV_PAID_CF",IQ_FY)/-I2307)</f>
        <v>0</v>
      </c>
      <c r="I2307" s="17">
        <f>IF(A2306=A2307,_xll.ciqfunctions.udf.CIQ(A2298,"IQ_TOTAL_OUTSTANDING_FILING_DATE",IQ_FY-1), _xll.ciqfunctions.udf.CIQ(A2298, "IQ_TOTAL_OUTSTANDING_FILING_DATE",IQ_FY))</f>
        <v>26.827470000000002</v>
      </c>
      <c r="J2307" s="17">
        <f>IF(A2306=A2307,_xll.ciqfunctions.udf.CIQ(A2298,"IQ_CASH_OPER",IQ_FY-1), _xll.ciqfunctions.udf.CIQ(A2298, "IQ_CASH_OPER",IQ_FY))</f>
        <v>-15.425000000000001</v>
      </c>
      <c r="K2307" s="17">
        <f>IF(A2306=A2307,_xll.ciqfunctions.udf.CIQ(A2298,"IQ_CAPEX",IQ_FY-1), _xll.ciqfunctions.udf.CIQ(A2298, "IQ_CAPEX",IQ_FY))</f>
        <v>-9.3800000000000008</v>
      </c>
      <c r="L2307" s="15">
        <f t="shared" si="612"/>
        <v>-0.9246119742189628</v>
      </c>
      <c r="M2307" s="17">
        <f>IF(A2306=A2307,_xll.ciqfunctions.udf.CIQ(A2298,"IQ_TOTAL_DEBT_ISSUED",IQ_FY-1), _xll.ciqfunctions.udf.CIQ(A2298, "IQ_TOTAL_DEBT_ISSUED",IQ_FY))</f>
        <v>193.05099999999999</v>
      </c>
      <c r="N2307" s="17">
        <f>IF(A2306=A2307,_xll.ciqfunctions.udf.CIQ(A2298,"IQ_TOTAL_DEBT_REPAID",IQ_FY-1), _xll.ciqfunctions.udf.CIQ(A2298, "IQ_TOTAL_DEBT_REPAID",IQ_FY))</f>
        <v>-206.77699999999999</v>
      </c>
      <c r="O2307" s="15">
        <f t="shared" si="613"/>
        <v>-0.51163974836240611</v>
      </c>
      <c r="P2307" s="15">
        <f t="shared" si="614"/>
        <v>-1.4362517225813689</v>
      </c>
      <c r="Q2307" s="25" t="s">
        <v>44</v>
      </c>
      <c r="R2307" s="38" t="s">
        <v>35</v>
      </c>
      <c r="S2307" s="1">
        <f>_xll.ciqfunctions.udf.CIQ(A2298,"IQ_TEV_EBITDA")</f>
        <v>8.5698899999999991</v>
      </c>
      <c r="U2307" s="25" t="s">
        <v>55</v>
      </c>
      <c r="V2307" s="38" t="s">
        <v>53</v>
      </c>
      <c r="W2307" s="1">
        <f>V2297/(AVERAGE(D2303:D2308)/_xlfn.STDEV.P(E2303:E2308))</f>
        <v>7.6048035340565215E-2</v>
      </c>
      <c r="Y2307" s="25" t="s">
        <v>57</v>
      </c>
      <c r="Z2307" s="38" t="s">
        <v>53</v>
      </c>
      <c r="AA2307" s="1">
        <f>Z2297/(AVERAGE(D2303:D2308)/_xlfn.STDEV.P(E2303:E2308))</f>
        <v>7.6048035340565215E-2</v>
      </c>
    </row>
    <row r="2308" spans="1:27">
      <c r="B2308" s="13">
        <v>11</v>
      </c>
      <c r="C2308" s="20" t="s">
        <v>36</v>
      </c>
      <c r="D2308" s="21" cm="1">
        <f t="array" ref="D2308">_xlfn.SINGLE(IF(A2306=A2307,_xll.ciqfunctions.udf.CIQ(A2298,"IQ_TOTAL_REV",IQ_FY)/I2308, _xll.ciqfunctions.udf.CIQ(A2298, "IQ_TOTAL_REV",IQ_LTM)/I2308))</f>
        <v>85.552813701739296</v>
      </c>
      <c r="E2308" s="22">
        <f t="shared" si="615"/>
        <v>0.10999930503047328</v>
      </c>
      <c r="F2308" s="21">
        <f>IF(A2306=A2307,_xll.ciqfunctions.udf.CIQ(A2298,"IQ_DILUT_EPS_EXCL",IQ_FY), _xll.ciqfunctions.udf.CIQ(A2298, "IQ_DILUT_EPS_EXCL",IQ_LTM))</f>
        <v>5.0603899999999999</v>
      </c>
      <c r="G2308" s="21">
        <f>IF(A2306=A2307,_xll.ciqfunctions.udf.CIQ(A2298,"IQ_EBITDA_MARGIN",IQ_FY), _xll.ciqfunctions.udf.CIQ(A2298, "IQ_EBITDA_MARGIN",IQ_LTM))</f>
        <v>9.0444999999999993</v>
      </c>
      <c r="H2308" s="21">
        <f>IF(A2306=A2307,_xll.ciqfunctions.udf.CIQ(A2298,"IQ_TOTAL_DIV_PAID_CF",IQ_FY)/-I2308, _xll.ciqfunctions.udf.CIQ(A2298, "IQ_TOTAL_DIV_PAID_CF",IQ_LTM)/-I2308)</f>
        <v>0</v>
      </c>
      <c r="I2308" s="23">
        <f>IF(A2306=A2307,_xll.ciqfunctions.udf.CIQ(A2298,"IQ_TOTAL_OUTSTANDING_FILING_DATE",IQ_FY),_xll.ciqfunctions.udf.CIQ(A2298,"IQ_sharesoutstanding"))</f>
        <v>26.620270000000001</v>
      </c>
      <c r="J2308" s="23">
        <f>IF(A2306=A2307,_xll.ciqfunctions.udf.CIQ(A2298,"IQ_CASH_OPER",IQ_FY), _xll.ciqfunctions.udf.CIQ(A2298, "IQ_CASH_OPER",IQ_LTM))</f>
        <v>114.58199999999999</v>
      </c>
      <c r="K2308" s="23">
        <f>IF(A2306=A2307,_xll.ciqfunctions.udf.CIQ(A2298,"IQ_CAPEX",IQ_FY), _xll.ciqfunctions.udf.CIQ(A2298, "IQ_CAPEX",IQ_LTM))</f>
        <v>-12.577999999999999</v>
      </c>
      <c r="L2308" s="21">
        <f t="shared" si="612"/>
        <v>3.8318168823982619</v>
      </c>
      <c r="M2308" s="23">
        <f>IF(A2306=A2307,_xll.ciqfunctions.udf.CIQ(A2298,"IQ_TOTAL_DEBT_ISSUED",IQ_FY), _xll.ciqfunctions.udf.CIQ(A2298, "IQ_TOTAL_DEBT_ISSUED",IQ_LTM))</f>
        <v>260.45100000000002</v>
      </c>
      <c r="N2308" s="23">
        <f>IF(A2306=A2307,_xll.ciqfunctions.udf.CIQ(A2298,"IQ_TOTAL_DEBT_REPAID",IQ_FY), _xll.ciqfunctions.udf.CIQ(A2298, "IQ_TOTAL_DEBT_REPAID",IQ_LTM))</f>
        <v>-323.17500000000001</v>
      </c>
      <c r="O2308" s="21">
        <f t="shared" si="613"/>
        <v>-2.3562495797375456</v>
      </c>
      <c r="P2308" s="21">
        <f t="shared" si="614"/>
        <v>1.4755673026607163</v>
      </c>
      <c r="Q2308" s="25" t="s">
        <v>45</v>
      </c>
      <c r="S2308" s="45"/>
      <c r="U2308" s="25"/>
      <c r="W2308" s="45"/>
      <c r="Y2308" s="25"/>
      <c r="AA2308" s="45"/>
    </row>
    <row r="2309" spans="1:27">
      <c r="B2309" s="24"/>
      <c r="C2309" s="25" t="s">
        <v>37</v>
      </c>
      <c r="E2309" s="26">
        <f>((D2308/D2303)^(1/5))-1</f>
        <v>0.11150899074696197</v>
      </c>
      <c r="F2309" s="27">
        <f>((F2308/F2303)^(1/5))-1</f>
        <v>0.16829416147831089</v>
      </c>
      <c r="G2309" s="28"/>
      <c r="H2309" s="27" t="e">
        <f>((H2308/H2303)^(1/5))-1</f>
        <v>#DIV/0!</v>
      </c>
      <c r="I2309" s="27">
        <f>((I2308/I2303)^(1/5))-1</f>
        <v>-4.4502847910344867E-3</v>
      </c>
      <c r="J2309" s="27"/>
      <c r="K2309" s="27"/>
      <c r="L2309" s="26">
        <f>((L2308/L2303)^(1/5))-1</f>
        <v>0.43047667279376833</v>
      </c>
      <c r="M2309" s="26"/>
      <c r="N2309" s="26"/>
      <c r="O2309" s="26"/>
      <c r="P2309" s="26">
        <f>((P2308/P2303)^(1/5))-1</f>
        <v>-8.3922301985503545E-2</v>
      </c>
      <c r="Q2309" s="18"/>
      <c r="R2309" s="36"/>
      <c r="S2309" s="45"/>
      <c r="U2309" s="18"/>
      <c r="V2309" s="36"/>
      <c r="W2309" s="45"/>
      <c r="Y2309" s="18"/>
      <c r="Z2309" s="36"/>
      <c r="AA2309" s="45"/>
    </row>
    <row r="2310" spans="1:27">
      <c r="A2310" s="29"/>
      <c r="B2310" s="30"/>
      <c r="C2310" s="31" t="s">
        <v>38</v>
      </c>
      <c r="D2310" s="29"/>
      <c r="E2310" s="32">
        <f>((D2308/D2298)^(1/10))-1</f>
        <v>9.2819642365854937E-2</v>
      </c>
      <c r="F2310" s="33">
        <f>((F2308/F2298)^(1/10))-1</f>
        <v>0.16562690037344496</v>
      </c>
      <c r="G2310" s="34"/>
      <c r="H2310" s="33" t="e">
        <f>((H2308/H2298)^(1/10))-1</f>
        <v>#DIV/0!</v>
      </c>
      <c r="I2310" s="33">
        <f>((I2308/I2298)^(1/10))-1</f>
        <v>-1.197788196193128E-2</v>
      </c>
      <c r="J2310" s="33"/>
      <c r="K2310" s="33"/>
      <c r="L2310" s="32" t="e">
        <f>((L2308/L2298)^(1/10))-1</f>
        <v>#NUM!</v>
      </c>
      <c r="M2310" s="32"/>
      <c r="N2310" s="32"/>
      <c r="O2310" s="32"/>
      <c r="P2310" s="32">
        <f>((P2308/P2298)^(1/10))-1</f>
        <v>-1.7451040384096062E-2</v>
      </c>
      <c r="Q2310" s="40"/>
      <c r="R2310" s="41"/>
      <c r="S2310" s="46"/>
      <c r="U2310" s="40"/>
      <c r="V2310" s="41"/>
      <c r="W2310" s="46"/>
      <c r="Y2310" s="40"/>
      <c r="Z2310" s="41"/>
      <c r="AA2310" s="46"/>
    </row>
    <row r="2311" spans="1:27">
      <c r="B2311" s="24"/>
      <c r="C2311" s="25"/>
      <c r="E2311" s="26"/>
      <c r="F2311" s="27"/>
      <c r="G2311" s="28"/>
      <c r="H2311" s="27"/>
      <c r="I2311" s="27"/>
      <c r="J2311" s="27"/>
      <c r="K2311" s="27"/>
      <c r="L2311" s="26"/>
      <c r="M2311" s="17"/>
      <c r="N2311" s="17"/>
      <c r="O2311" s="17"/>
      <c r="P2311" s="35"/>
      <c r="Q2311" s="18"/>
      <c r="R2311" s="36"/>
    </row>
    <row r="2312" spans="1:27">
      <c r="A2312" s="9" t="s">
        <v>0</v>
      </c>
      <c r="B2312" s="10"/>
      <c r="C2312" s="9" t="s">
        <v>1</v>
      </c>
      <c r="D2312" s="9" t="s">
        <v>2</v>
      </c>
      <c r="E2312" s="9" t="s">
        <v>3</v>
      </c>
      <c r="F2312" s="11" t="s">
        <v>4</v>
      </c>
      <c r="G2312" s="11" t="s">
        <v>5</v>
      </c>
      <c r="H2312" s="9" t="s">
        <v>6</v>
      </c>
      <c r="I2312" s="11" t="s">
        <v>7</v>
      </c>
      <c r="J2312" s="11" t="s">
        <v>8</v>
      </c>
      <c r="K2312" s="11" t="s">
        <v>9</v>
      </c>
      <c r="L2312" s="11" t="s">
        <v>10</v>
      </c>
      <c r="M2312" s="11" t="s">
        <v>11</v>
      </c>
      <c r="N2312" s="11" t="s">
        <v>12</v>
      </c>
      <c r="O2312" s="11" t="s">
        <v>13</v>
      </c>
      <c r="P2312" s="11" t="s">
        <v>14</v>
      </c>
      <c r="Q2312" s="37" t="s">
        <v>15</v>
      </c>
      <c r="R2312" s="42">
        <f>_xll.ciqfunctions.udf.CIQ(A2313,("IQ_LASTSALEPRICE"))</f>
        <v>33.700000000000003</v>
      </c>
      <c r="S2312" s="44"/>
      <c r="U2312" s="37" t="s">
        <v>15</v>
      </c>
      <c r="V2312" s="42">
        <f>_xll.ciqfunctions.udf.CIQ(A2313,("IQ_LASTSALEPRICE"))</f>
        <v>33.700000000000003</v>
      </c>
      <c r="W2312" s="44"/>
      <c r="Y2312" s="37" t="s">
        <v>15</v>
      </c>
      <c r="Z2312" s="42">
        <f>_xll.ciqfunctions.udf.CIQ(A2313,("IQ_LASTSALEPRICE"))</f>
        <v>33.700000000000003</v>
      </c>
      <c r="AA2312" s="44"/>
    </row>
    <row r="2313" spans="1:27">
      <c r="A2313" s="12" t="str">
        <f>Analysis!B156</f>
        <v>NYSE:VNT</v>
      </c>
      <c r="B2313" s="13">
        <v>1</v>
      </c>
      <c r="C2313" s="14" t="s">
        <v>16</v>
      </c>
      <c r="D2313" s="15" t="e">
        <f>IF(A2321=A2322,_xll.ciqfunctions.udf.CIQ(A2313,"IQ_TOTAL_REV",IQ_FY-10)/I2313,_xll.ciqfunctions.udf.CIQ(A2313, "IQ_TOTAL_REV",IQ_FY-9)/I2313)</f>
        <v>#DIV/0!</v>
      </c>
      <c r="E2313" s="16"/>
      <c r="F2313" s="15">
        <f>IF(A2321=A2322,_xll.ciqfunctions.udf.CIQ(A2313,"IQ_DILUT_EPS_EXCL",IQ_FY-10), _xll.ciqfunctions.udf.CIQ(A2313, "IQ_DILUT_EPS_EXCL",IQ_FY-9))</f>
        <v>0</v>
      </c>
      <c r="G2313" s="15">
        <f>IF(A2321=A2322,_xll.ciqfunctions.udf.CIQ(A2313,"IQ_EBITDA_MARGIN",IQ_FY-10), _xll.ciqfunctions.udf.CIQ(A2313, "IQ_EBITDA_MARGIN",IQ_FY-9))</f>
        <v>0</v>
      </c>
      <c r="H2313" s="15" t="e">
        <f>IF(A2321=A2322,_xll.ciqfunctions.udf.CIQ(A2313,"IQ_TOTAL_DIV_PAID_CF",IQ_FY-10)/-I2313, _xll.ciqfunctions.udf.CIQ(A2313, "IQ_TOTAL_DIV_PAID_CF",IQ_FY-9)/-I2313)</f>
        <v>#DIV/0!</v>
      </c>
      <c r="I2313" s="17">
        <f>IF(A2321=A2322,_xll.ciqfunctions.udf.CIQ(A2313,"IQ_TOTAL_OUTSTANDING_FILING_DATE",IQ_FY-10), _xll.ciqfunctions.udf.CIQ(A2313, "IQ_TOTAL_OUTSTANDING_FILING_DATE",IQ_FY-9))</f>
        <v>0</v>
      </c>
      <c r="J2313" s="17">
        <f>IF(A2321=A2322,_xll.ciqfunctions.udf.CIQ(A2313,"IQ_CASH_OPER",IQ_FY-10), _xll.ciqfunctions.udf.CIQ(A2313, "IQ_CASH_OPER",IQ_FY-9))</f>
        <v>0</v>
      </c>
      <c r="K2313" s="17">
        <f>IF(A2321=A2322,_xll.ciqfunctions.udf.CIQ(A2313,"IQ_CAPEX",IQ_FY-10), _xll.ciqfunctions.udf.CIQ(A2313, "IQ_CAPEX",IQ_FY-9))</f>
        <v>0</v>
      </c>
      <c r="L2313" s="15" t="e">
        <f t="shared" ref="L2313:L2323" si="616">(J2313+K2313)/I2313</f>
        <v>#DIV/0!</v>
      </c>
      <c r="M2313" s="17">
        <f>IF(A2321=A2322,_xll.ciqfunctions.udf.CIQ(A2313,"IQ_TOTAL_DEBT_ISSUED",IQ_FY-10), _xll.ciqfunctions.udf.CIQ(A2313, "IQ_TOTAL_DEBT_ISSUED",IQ_FY-9))</f>
        <v>0</v>
      </c>
      <c r="N2313" s="17">
        <f>IF(A2321=A2322,_xll.ciqfunctions.udf.CIQ(A2313,"IQ_TOTAL_DEBT_REPAID",IQ_FY-10), _xll.ciqfunctions.udf.CIQ(A2313, "IQ_TOTAL_DEBT_REPAID",IQ_FY-9))</f>
        <v>0</v>
      </c>
      <c r="O2313" s="15" t="e">
        <f t="shared" ref="O2313:O2323" si="617">(M2313+N2313)/I2313</f>
        <v>#DIV/0!</v>
      </c>
      <c r="P2313" s="15" t="e">
        <f t="shared" ref="P2313:P2323" si="618">L2313+O2313</f>
        <v>#DIV/0!</v>
      </c>
      <c r="W2313" s="43"/>
      <c r="AA2313" s="43"/>
    </row>
    <row r="2314" spans="1:27">
      <c r="A2314" s="18" t="str">
        <f>_xll.ciqfunctions.udf.CIQ(A2313,"IQ_COMPANY_NAME")</f>
        <v>Vontier Corporation</v>
      </c>
      <c r="B2314" s="13">
        <v>2</v>
      </c>
      <c r="C2314" s="14" t="s">
        <v>17</v>
      </c>
      <c r="D2314" s="15" t="e">
        <f>IF(A2321=A2322,_xll.ciqfunctions.udf.CIQ(A2313,"IQ_TOTAL_REV",IQ_FY-9)/I2314, _xll.ciqfunctions.udf.CIQ(A2313, "IQ_TOTAL_REV",IQ_FY-8)/I2314)</f>
        <v>#DIV/0!</v>
      </c>
      <c r="E2314" s="16" t="e">
        <f t="shared" ref="E2314:E2323" si="619">(D2314-D2313)/D2313</f>
        <v>#DIV/0!</v>
      </c>
      <c r="F2314" s="15">
        <f>IF(A2321=A2322,_xll.ciqfunctions.udf.CIQ(A2313,"IQ_DILUT_EPS_EXCL",IQ_FY-9), _xll.ciqfunctions.udf.CIQ(A2313, "IQ_DILUT_EPS_EXCL",IQ_FY-8))</f>
        <v>0</v>
      </c>
      <c r="G2314" s="15">
        <f>IF(A2321=A2322,_xll.ciqfunctions.udf.CIQ(A2313,"IQ_EBITDA_MARGIN",IQ_FY-9), _xll.ciqfunctions.udf.CIQ(A2313, "IQ_EBITDA_MARGIN",IQ_FY-8))</f>
        <v>0</v>
      </c>
      <c r="H2314" s="15" t="e">
        <f>IF(A2321=A2322,_xll.ciqfunctions.udf.CIQ(A2313,"IQ_TOTAL_DIV_PAID_CF",IQ_FY-9)/-I2314, _xll.ciqfunctions.udf.CIQ(A2313, "IQ_TOTAL_DIV_PAID_CF",IQ_FY-8)/-I2314)</f>
        <v>#DIV/0!</v>
      </c>
      <c r="I2314" s="17">
        <f>IF(A2321=A2322,_xll.ciqfunctions.udf.CIQ(A2313,"IQ_TOTAL_OUTSTANDING_FILING_DATE",IQ_FY-9), _xll.ciqfunctions.udf.CIQ(A2313, "IQ_TOTAL_OUTSTANDING_FILING_DATE",IQ_FY-8))</f>
        <v>0</v>
      </c>
      <c r="J2314" s="17">
        <f>IF(A2321=A2322,_xll.ciqfunctions.udf.CIQ(A2313,"IQ_CASH_OPER",IQ_FY-9), _xll.ciqfunctions.udf.CIQ(A2313, "IQ_CASH_OPER",IQ_FY-8))</f>
        <v>0</v>
      </c>
      <c r="K2314" s="17">
        <f>IF(A2321=A2322,_xll.ciqfunctions.udf.CIQ(A2313,"IQ_CAPEX",IQ_FY-9), _xll.ciqfunctions.udf.CIQ(A2313, "IQ_CAPEX",IQ_FY-8))</f>
        <v>0</v>
      </c>
      <c r="L2314" s="15" t="e">
        <f t="shared" si="616"/>
        <v>#DIV/0!</v>
      </c>
      <c r="M2314" s="17">
        <f>IF(A2321=A2322,_xll.ciqfunctions.udf.CIQ(A2313,"IQ_TOTAL_DEBT_ISSUED",IQ_FY-9), _xll.ciqfunctions.udf.CIQ(A2313, "IQ_TOTAL_DEBT_ISSUED",IQ_FY-8))</f>
        <v>0</v>
      </c>
      <c r="N2314" s="17">
        <f>IF(A2321=A2322,_xll.ciqfunctions.udf.CIQ(A2313,"IQ_TOTAL_DEBT_REPAID",IQ_FY-9), _xll.ciqfunctions.udf.CIQ(A2313, "IQ_TOTAL_DEBT_REPAID",IQ_FY-8))</f>
        <v>0</v>
      </c>
      <c r="O2314" s="15" t="e">
        <f t="shared" si="617"/>
        <v>#DIV/0!</v>
      </c>
      <c r="P2314" s="15" t="e">
        <f t="shared" si="618"/>
        <v>#DIV/0!</v>
      </c>
      <c r="Q2314" s="25" t="s">
        <v>18</v>
      </c>
      <c r="R2314" s="39" t="s">
        <v>19</v>
      </c>
      <c r="S2314" s="1">
        <f>R2312/((AVERAGE(P2318:P2323))*(1+E2324)^3)</f>
        <v>6.0289619544086337</v>
      </c>
      <c r="U2314" s="25" t="s">
        <v>48</v>
      </c>
      <c r="V2314" s="39" t="s">
        <v>19</v>
      </c>
      <c r="W2314" s="1">
        <f>V2312/((AVERAGE(P2318:P2323))*(1+E2324)^3)</f>
        <v>6.0289619544086337</v>
      </c>
      <c r="Y2314" s="25" t="s">
        <v>39</v>
      </c>
      <c r="Z2314" s="39" t="s">
        <v>19</v>
      </c>
      <c r="AA2314" s="1">
        <f>Z2312/((AVERAGE(P2318:P2323))*(1+E2324)^3)</f>
        <v>6.0289619544086337</v>
      </c>
    </row>
    <row r="2315" spans="1:27">
      <c r="B2315" s="13">
        <v>3</v>
      </c>
      <c r="C2315" s="14" t="s">
        <v>20</v>
      </c>
      <c r="D2315" s="15" t="e" cm="1">
        <f t="array" ref="D2315">_xlfn.SINGLE(IF(A2321=A2322,_xll.ciqfunctions.udf.CIQ(A2313,"IQ_TOTAL_REV",IQ_FY-8)/I2315, _xll.ciqfunctions.udf.CIQ(A2313, "IQ_TOTAL_REV",IQ_FY-7)/I2315))</f>
        <v>#DIV/0!</v>
      </c>
      <c r="E2315" s="16" t="e">
        <f t="shared" si="619"/>
        <v>#DIV/0!</v>
      </c>
      <c r="F2315" s="15">
        <f>IF(A2321=A2322,_xll.ciqfunctions.udf.CIQ(A2313,"IQ_DILUT_EPS_EXCL",IQ_FY-8), _xll.ciqfunctions.udf.CIQ(A2313, "IQ_DILUT_EPS_EXCL",IQ_FY-7))</f>
        <v>0</v>
      </c>
      <c r="G2315" s="15">
        <f>IF(A2321=A2322,_xll.ciqfunctions.udf.CIQ(A2313,"IQ_EBITDA_MARGIN",IQ_FY-8), _xll.ciqfunctions.udf.CIQ(A2313, "IQ_EBITDA_MARGIN",IQ_FY-7))</f>
        <v>0</v>
      </c>
      <c r="H2315" s="15" t="e">
        <f>IF(A2321=A2322,_xll.ciqfunctions.udf.CIQ(A2313,"IQ_TOTAL_DIV_PAID_CF",IQ_FY-8)/-I2315, _xll.ciqfunctions.udf.CIQ(A2313, "IQ_TOTAL_DIV_PAID_CF",IQ_FY-7)/-I2315)</f>
        <v>#DIV/0!</v>
      </c>
      <c r="I2315" s="17">
        <f>IF(A2321=A2322,_xll.ciqfunctions.udf.CIQ(A2313,"IQ_TOTAL_OUTSTANDING_FILING_DATE",IQ_FY-8), _xll.ciqfunctions.udf.CIQ(A2313, "IQ_TOTAL_OUTSTANDING_FILING_DATE",IQ_FY-7))</f>
        <v>0</v>
      </c>
      <c r="J2315" s="17">
        <f>IF(A2321=A2322,_xll.ciqfunctions.udf.CIQ(A2313,"IQ_CASH_OPER",IQ_FY-8), _xll.ciqfunctions.udf.CIQ(A2313, "IQ_CASH_OPER",IQ_FY-7))</f>
        <v>0</v>
      </c>
      <c r="K2315" s="17">
        <f>IF(A2321=A2322,_xll.ciqfunctions.udf.CIQ(A2313,"IQ_CAPEX",IQ_FY-8), _xll.ciqfunctions.udf.CIQ(A2313, "IQ_CAPEX",IQ_FY-7))</f>
        <v>0</v>
      </c>
      <c r="L2315" s="15" t="e">
        <f t="shared" si="616"/>
        <v>#DIV/0!</v>
      </c>
      <c r="M2315" s="17">
        <f>IF(A2321=A2322,_xll.ciqfunctions.udf.CIQ(A2313,"IQ_TOTAL_DEBT_ISSUED",IQ_FY-8), _xll.ciqfunctions.udf.CIQ(A2313, "IQ_TOTAL_DEBT_ISSUED",IQ_FY-7))</f>
        <v>0</v>
      </c>
      <c r="N2315" s="17">
        <f>IF(A2321=A2322,_xll.ciqfunctions.udf.CIQ(A2313,"IQ_TOTAL_DEBT_REPAID",IQ_FY-8), _xll.ciqfunctions.udf.CIQ(A2313, "IQ_TOTAL_DEBT_REPAID",IQ_FY-7))</f>
        <v>0</v>
      </c>
      <c r="O2315" s="15" t="e">
        <f t="shared" si="617"/>
        <v>#DIV/0!</v>
      </c>
      <c r="P2315" s="15" t="e">
        <f t="shared" si="618"/>
        <v>#DIV/0!</v>
      </c>
      <c r="Q2315" s="25" t="s">
        <v>21</v>
      </c>
      <c r="R2315" s="38" t="s">
        <v>49</v>
      </c>
      <c r="S2315" s="2">
        <f>(R2312*I2323)/1000</f>
        <v>5.2008434900000005</v>
      </c>
      <c r="U2315" s="25" t="s">
        <v>59</v>
      </c>
      <c r="V2315" s="38" t="s">
        <v>49</v>
      </c>
      <c r="W2315" s="2">
        <f>(V2312*I2323)/1000</f>
        <v>5.2008434900000005</v>
      </c>
      <c r="Y2315" s="25" t="s">
        <v>46</v>
      </c>
      <c r="Z2315" s="38" t="s">
        <v>49</v>
      </c>
      <c r="AA2315" s="2">
        <f>(Z2312*I2323)/1000</f>
        <v>5.2008434900000005</v>
      </c>
    </row>
    <row r="2316" spans="1:27">
      <c r="A2316" s="18"/>
      <c r="B2316" s="13">
        <v>4</v>
      </c>
      <c r="C2316" s="14" t="s">
        <v>22</v>
      </c>
      <c r="D2316" s="15" t="e" cm="1">
        <f t="array" ref="D2316">_xlfn.SINGLE(IF(A2321=A2322,_xll.ciqfunctions.udf.CIQ(A2313,"IQ_TOTAL_REV",IQ_FY-7)/I2316, _xll.ciqfunctions.udf.CIQ(A2313, "IQ_TOTAL_REV",IQ_FY-6)/I2316))</f>
        <v>#DIV/0!</v>
      </c>
      <c r="E2316" s="16" t="e">
        <f t="shared" si="619"/>
        <v>#DIV/0!</v>
      </c>
      <c r="F2316" s="15">
        <f>IF(A2321=A2322,_xll.ciqfunctions.udf.CIQ(A2313,"IQ_DILUT_EPS_EXCL",IQ_FY-7), _xll.ciqfunctions.udf.CIQ(A2313, "IQ_DILUT_EPS_EXCL",IQ_FY-6))</f>
        <v>0</v>
      </c>
      <c r="G2316" s="15">
        <f>IF(A2321=A2322,_xll.ciqfunctions.udf.CIQ(A2313,"IQ_EBITDA_MARGIN",IQ_FY-7), _xll.ciqfunctions.udf.CIQ(A2313, "IQ_EBITDA_MARGIN",IQ_FY-6))</f>
        <v>22.813099999999999</v>
      </c>
      <c r="H2316" s="15" t="e">
        <f>IF(A2321=A2322,_xll.ciqfunctions.udf.CIQ(A2313,"IQ_TOTAL_DIV_PAID_CF",IQ_FY-7)/-I2316, _xll.ciqfunctions.udf.CIQ(A2313, "IQ_TOTAL_DIV_PAID_CF",IQ_FY-6)/-I2316)</f>
        <v>#DIV/0!</v>
      </c>
      <c r="I2316" s="17">
        <f>IF(A2321=A2322,_xll.ciqfunctions.udf.CIQ(A2313,"IQ_TOTAL_OUTSTANDING_FILING_DATE",IQ_FY-7), _xll.ciqfunctions.udf.CIQ(A2313, "IQ_TOTAL_OUTSTANDING_FILING_DATE",IQ_FY-6))</f>
        <v>0</v>
      </c>
      <c r="J2316" s="17">
        <f>IF(A2321=A2322,_xll.ciqfunctions.udf.CIQ(A2313,"IQ_CASH_OPER",IQ_FY-7), _xll.ciqfunctions.udf.CIQ(A2313, "IQ_CASH_OPER",IQ_FY-6))</f>
        <v>419.3</v>
      </c>
      <c r="K2316" s="17">
        <f>IF(A2321=A2322,_xll.ciqfunctions.udf.CIQ(A2313,"IQ_CAPEX",IQ_FY-7), _xll.ciqfunctions.udf.CIQ(A2313, "IQ_CAPEX",IQ_FY-6))</f>
        <v>-63</v>
      </c>
      <c r="L2316" s="15" t="e">
        <f t="shared" si="616"/>
        <v>#DIV/0!</v>
      </c>
      <c r="M2316" s="17">
        <f>IF(A2321=A2322,_xll.ciqfunctions.udf.CIQ(A2313,"IQ_TOTAL_DEBT_ISSUED",IQ_FY-7), _xll.ciqfunctions.udf.CIQ(A2313, "IQ_TOTAL_DEBT_ISSUED",IQ_FY-6))</f>
        <v>12</v>
      </c>
      <c r="N2316" s="17">
        <f>IF(A2321=A2322,_xll.ciqfunctions.udf.CIQ(A2313,"IQ_TOTAL_DEBT_REPAID",IQ_FY-7), _xll.ciqfunctions.udf.CIQ(A2313, "IQ_TOTAL_DEBT_REPAID",IQ_FY-6))</f>
        <v>0</v>
      </c>
      <c r="O2316" s="15" t="e">
        <f t="shared" si="617"/>
        <v>#DIV/0!</v>
      </c>
      <c r="P2316" s="15" t="e">
        <f t="shared" si="618"/>
        <v>#DIV/0!</v>
      </c>
      <c r="Q2316" s="25" t="s">
        <v>23</v>
      </c>
      <c r="R2316" s="38" t="s">
        <v>24</v>
      </c>
      <c r="S2316" s="1" t="e">
        <f>R2312/(AVERAGE(H2318:H2323)*(1+H2324)/(0.5-H2324))</f>
        <v>#DIV/0!</v>
      </c>
      <c r="U2316" s="25" t="s">
        <v>40</v>
      </c>
      <c r="V2316" s="38" t="s">
        <v>24</v>
      </c>
      <c r="W2316" s="1" t="e">
        <f>V2312/(AVERAGE(H2318:H2323)*(1+H2324)/(0.5-H2324))</f>
        <v>#DIV/0!</v>
      </c>
      <c r="Y2316" s="25" t="s">
        <v>47</v>
      </c>
      <c r="Z2316" s="38" t="s">
        <v>24</v>
      </c>
      <c r="AA2316" s="1" t="e">
        <f>Z2312/(AVERAGE(H2318:H2323)*(1+H2324)/(0.5-H2324))</f>
        <v>#DIV/0!</v>
      </c>
    </row>
    <row r="2317" spans="1:27">
      <c r="B2317" s="13">
        <v>5</v>
      </c>
      <c r="C2317" s="14" t="s">
        <v>25</v>
      </c>
      <c r="D2317" s="15" t="e" cm="1">
        <f t="array" ref="D2317">_xlfn.SINGLE(IF(A2321=A2322,_xll.ciqfunctions.udf.CIQ(A2313,"IQ_TOTAL_REV",IQ_FY-6)/I2317, _xll.ciqfunctions.udf.CIQ(A2313, "IQ_TOTAL_REV",IQ_FY-5)/I2317))</f>
        <v>#DIV/0!</v>
      </c>
      <c r="E2317" s="16" t="e">
        <f t="shared" si="619"/>
        <v>#DIV/0!</v>
      </c>
      <c r="F2317" s="15">
        <f>IF(A2321=A2322,_xll.ciqfunctions.udf.CIQ(A2313,"IQ_DILUT_EPS_EXCL",IQ_FY-6), _xll.ciqfunctions.udf.CIQ(A2313, "IQ_DILUT_EPS_EXCL",IQ_FY-5))</f>
        <v>0</v>
      </c>
      <c r="G2317" s="15">
        <f>IF(A2321=A2322,_xll.ciqfunctions.udf.CIQ(A2313,"IQ_EBITDA_MARGIN",IQ_FY-6), _xll.ciqfunctions.udf.CIQ(A2313, "IQ_EBITDA_MARGIN",IQ_FY-5))</f>
        <v>22.924499999999998</v>
      </c>
      <c r="H2317" s="15" t="e">
        <f>IF(A2321=A2322,_xll.ciqfunctions.udf.CIQ(A2313,"IQ_TOTAL_DIV_PAID_CF",IQ_FY-6)/-I2317, _xll.ciqfunctions.udf.CIQ(A2313, "IQ_TOTAL_DIV_PAID_CF",IQ_FY-5)/-I2317)</f>
        <v>#DIV/0!</v>
      </c>
      <c r="I2317" s="17">
        <f>IF(A2321=A2322,_xll.ciqfunctions.udf.CIQ(A2313,"IQ_TOTAL_OUTSTANDING_FILING_DATE",IQ_FY-6), _xll.ciqfunctions.udf.CIQ(A2313, "IQ_TOTAL_OUTSTANDING_FILING_DATE",IQ_FY-5))</f>
        <v>0</v>
      </c>
      <c r="J2317" s="17">
        <f>IF(A2321=A2322,_xll.ciqfunctions.udf.CIQ(A2313,"IQ_CASH_OPER",IQ_FY-6), _xll.ciqfunctions.udf.CIQ(A2313, "IQ_CASH_OPER",IQ_FY-5))</f>
        <v>363.8</v>
      </c>
      <c r="K2317" s="17">
        <f>IF(A2321=A2322,_xll.ciqfunctions.udf.CIQ(A2313,"IQ_CAPEX",IQ_FY-6), _xll.ciqfunctions.udf.CIQ(A2313, "IQ_CAPEX",IQ_FY-5))</f>
        <v>-68.400000000000006</v>
      </c>
      <c r="L2317" s="15" t="e">
        <f t="shared" si="616"/>
        <v>#DIV/0!</v>
      </c>
      <c r="M2317" s="17">
        <f>IF(A2321=A2322,_xll.ciqfunctions.udf.CIQ(A2313,"IQ_TOTAL_DEBT_ISSUED",IQ_FY-6), _xll.ciqfunctions.udf.CIQ(A2313, "IQ_TOTAL_DEBT_ISSUED",IQ_FY-5))</f>
        <v>8.6999999999999993</v>
      </c>
      <c r="N2317" s="17">
        <f>IF(A2321=A2322,_xll.ciqfunctions.udf.CIQ(A2313,"IQ_TOTAL_DEBT_REPAID",IQ_FY-6), _xll.ciqfunctions.udf.CIQ(A2313, "IQ_TOTAL_DEBT_REPAID",IQ_FY-5))</f>
        <v>-5.3</v>
      </c>
      <c r="O2317" s="15" t="e">
        <f t="shared" si="617"/>
        <v>#DIV/0!</v>
      </c>
      <c r="P2317" s="15" t="e">
        <f t="shared" si="618"/>
        <v>#DIV/0!</v>
      </c>
      <c r="Q2317" s="18"/>
      <c r="R2317" s="38" t="s">
        <v>50</v>
      </c>
      <c r="S2317" s="3">
        <f>I2324</f>
        <v>-1.7301350242122537E-2</v>
      </c>
      <c r="U2317" s="18"/>
      <c r="V2317" s="38" t="s">
        <v>50</v>
      </c>
      <c r="W2317" s="3">
        <f>I2324</f>
        <v>-1.7301350242122537E-2</v>
      </c>
      <c r="Y2317" s="18"/>
      <c r="Z2317" s="38" t="s">
        <v>50</v>
      </c>
      <c r="AA2317" s="3">
        <f>I2324</f>
        <v>-1.7301350242122537E-2</v>
      </c>
    </row>
    <row r="2318" spans="1:27">
      <c r="B2318" s="13">
        <v>6</v>
      </c>
      <c r="C2318" s="14" t="s">
        <v>26</v>
      </c>
      <c r="D2318" s="15" cm="1">
        <f t="array" ref="D2318">_xlfn.SINGLE(IF(A2321=A2322,_xll.ciqfunctions.udf.CIQ(A2313,"IQ_TOTAL_REV",IQ_FY-5)/I2318, _xll.ciqfunctions.udf.CIQ(A2313, "IQ_TOTAL_REV",IQ_FY-4)/I2318))</f>
        <v>15.830760095011877</v>
      </c>
      <c r="E2318" s="16" t="e">
        <f t="shared" si="619"/>
        <v>#DIV/0!</v>
      </c>
      <c r="F2318" s="15">
        <f>IF(A2321=A2322,_xll.ciqfunctions.udf.CIQ(A2313,"IQ_DILUT_EPS_EXCL",IQ_FY-5), _xll.ciqfunctions.udf.CIQ(A2313, "IQ_DILUT_EPS_EXCL",IQ_FY-4))</f>
        <v>2.2891900000000001</v>
      </c>
      <c r="G2318" s="15">
        <f>IF(A2321=A2322,_xll.ciqfunctions.udf.CIQ(A2313,"IQ_EBITDA_MARGIN",IQ_FY-5), _xll.ciqfunctions.udf.CIQ(A2313, "IQ_EBITDA_MARGIN",IQ_FY-4))</f>
        <v>22.074999999999999</v>
      </c>
      <c r="H2318" s="15">
        <f>IF(A2321=A2322,_xll.ciqfunctions.udf.CIQ(A2313,"IQ_TOTAL_DIV_PAID_CF",IQ_FY-5)/-I2318, _xll.ciqfunctions.udf.CIQ(A2313, "IQ_TOTAL_DIV_PAID_CF",IQ_FY-4)/-I2318)</f>
        <v>0</v>
      </c>
      <c r="I2318" s="17">
        <f>IF(A2321=A2322,_xll.ciqfunctions.udf.CIQ(A2313,"IQ_TOTAL_OUTSTANDING_FILING_DATE",IQ_FY-5), _xll.ciqfunctions.udf.CIQ(A2313, "IQ_TOTAL_OUTSTANDING_FILING_DATE",IQ_FY-4))</f>
        <v>168.4</v>
      </c>
      <c r="J2318" s="17">
        <f>IF(A2321=A2322,_xll.ciqfunctions.udf.CIQ(A2313,"IQ_CASH_OPER",IQ_FY-5), _xll.ciqfunctions.udf.CIQ(A2313, "IQ_CASH_OPER",IQ_FY-4))</f>
        <v>421</v>
      </c>
      <c r="K2318" s="17">
        <f>IF(A2321=A2322,_xll.ciqfunctions.udf.CIQ(A2313,"IQ_CAPEX",IQ_FY-5), _xll.ciqfunctions.udf.CIQ(A2313, "IQ_CAPEX",IQ_FY-4))</f>
        <v>-42.4</v>
      </c>
      <c r="L2318" s="15">
        <f t="shared" si="616"/>
        <v>2.2482185273159145</v>
      </c>
      <c r="M2318" s="17">
        <f>IF(A2321=A2322,_xll.ciqfunctions.udf.CIQ(A2313,"IQ_TOTAL_DEBT_ISSUED",IQ_FY-5), _xll.ciqfunctions.udf.CIQ(A2313, "IQ_TOTAL_DEBT_ISSUED",IQ_FY-4))</f>
        <v>25.1</v>
      </c>
      <c r="N2318" s="17">
        <f>IF(A2321=A2322,_xll.ciqfunctions.udf.CIQ(A2313,"IQ_TOTAL_DEBT_REPAID",IQ_FY-5), _xll.ciqfunctions.udf.CIQ(A2313, "IQ_TOTAL_DEBT_REPAID",IQ_FY-4))</f>
        <v>0</v>
      </c>
      <c r="O2318" s="15">
        <f t="shared" si="617"/>
        <v>0.14904988123515439</v>
      </c>
      <c r="P2318" s="15">
        <f t="shared" si="618"/>
        <v>2.3972684085510689</v>
      </c>
      <c r="Q2318" s="25" t="s">
        <v>27</v>
      </c>
      <c r="R2318" s="38" t="s">
        <v>51</v>
      </c>
      <c r="S2318" s="4">
        <f>AVERAGE(F2318:F2323)/AVERAGE(D2318:D2323)</f>
        <v>0.12938849954360801</v>
      </c>
      <c r="U2318" s="25" t="s">
        <v>58</v>
      </c>
      <c r="V2318" s="38" t="s">
        <v>51</v>
      </c>
      <c r="W2318" s="4">
        <f>AVERAGE(F2318:F2323)/AVERAGE(D2318:D2323)</f>
        <v>0.12938849954360801</v>
      </c>
      <c r="Y2318" s="25" t="s">
        <v>56</v>
      </c>
      <c r="Z2318" s="38" t="s">
        <v>51</v>
      </c>
      <c r="AA2318" s="4">
        <f>AVERAGE(F2318:F2323)/AVERAGE(D2318:D2323)</f>
        <v>0.12938849954360801</v>
      </c>
    </row>
    <row r="2319" spans="1:27">
      <c r="A2319" s="18"/>
      <c r="B2319" s="13">
        <v>7</v>
      </c>
      <c r="C2319" s="14" t="s">
        <v>28</v>
      </c>
      <c r="D2319" s="15" cm="1">
        <f t="array" ref="D2319">_xlfn.SINGLE(IF(A2321=A2322,_xll.ciqfunctions.udf.CIQ(A2313,"IQ_TOTAL_REV",IQ_FY-4)/I2319, _xll.ciqfunctions.udf.CIQ(A2313, "IQ_TOTAL_REV",IQ_FY-3)/I2319))</f>
        <v>16.451915196166581</v>
      </c>
      <c r="E2319" s="16">
        <f t="shared" si="619"/>
        <v>3.9237225340204872E-2</v>
      </c>
      <c r="F2319" s="15">
        <f>IF(A2321=A2322,_xll.ciqfunctions.udf.CIQ(A2313,"IQ_DILUT_EPS_EXCL",IQ_FY-4), _xll.ciqfunctions.udf.CIQ(A2313, "IQ_DILUT_EPS_EXCL",IQ_FY-3))</f>
        <v>2.59</v>
      </c>
      <c r="G2319" s="15">
        <f>IF(A2321=A2322,_xll.ciqfunctions.udf.CIQ(A2313,"IQ_EBITDA_MARGIN",IQ_FY-4), _xll.ciqfunctions.udf.CIQ(A2313, "IQ_EBITDA_MARGIN",IQ_FY-3))</f>
        <v>23.585000000000001</v>
      </c>
      <c r="H2319" s="15">
        <f>IF(A2321=A2322,_xll.ciqfunctions.udf.CIQ(A2313,"IQ_TOTAL_DIV_PAID_CF",IQ_FY-4)/-I2319, _xll.ciqfunctions.udf.CIQ(A2313, "IQ_TOTAL_DIV_PAID_CF",IQ_FY-3)/-I2319)</f>
        <v>0</v>
      </c>
      <c r="I2319" s="17">
        <f>IF(A2321=A2322,_xll.ciqfunctions.udf.CIQ(A2313,"IQ_TOTAL_OUTSTANDING_FILING_DATE",IQ_FY-4), _xll.ciqfunctions.udf.CIQ(A2313, "IQ_TOTAL_OUTSTANDING_FILING_DATE",IQ_FY-3))</f>
        <v>168.49709999999999</v>
      </c>
      <c r="J2319" s="17">
        <f>IF(A2321=A2322,_xll.ciqfunctions.udf.CIQ(A2313,"IQ_CASH_OPER",IQ_FY-4), _xll.ciqfunctions.udf.CIQ(A2313, "IQ_CASH_OPER",IQ_FY-3))</f>
        <v>545.20000000000005</v>
      </c>
      <c r="K2319" s="17">
        <f>IF(A2321=A2322,_xll.ciqfunctions.udf.CIQ(A2313,"IQ_CAPEX",IQ_FY-4), _xll.ciqfunctions.udf.CIQ(A2313, "IQ_CAPEX",IQ_FY-3))</f>
        <v>-38</v>
      </c>
      <c r="L2319" s="15">
        <f t="shared" si="616"/>
        <v>3.0101408273495514</v>
      </c>
      <c r="M2319" s="17">
        <f>IF(A2321=A2322,_xll.ciqfunctions.udf.CIQ(A2313,"IQ_TOTAL_DEBT_ISSUED",IQ_FY-4), _xll.ciqfunctions.udf.CIQ(A2313, "IQ_TOTAL_DEBT_ISSUED",IQ_FY-3))</f>
        <v>0</v>
      </c>
      <c r="N2319" s="17">
        <f>IF(A2321=A2322,_xll.ciqfunctions.udf.CIQ(A2313,"IQ_TOTAL_DEBT_REPAID",IQ_FY-4), _xll.ciqfunctions.udf.CIQ(A2313, "IQ_TOTAL_DEBT_REPAID",IQ_FY-3))</f>
        <v>-193</v>
      </c>
      <c r="O2319" s="15">
        <f t="shared" si="617"/>
        <v>-1.1454203069370335</v>
      </c>
      <c r="P2319" s="15">
        <f t="shared" si="618"/>
        <v>1.8647205204125179</v>
      </c>
      <c r="Q2319" s="18"/>
      <c r="R2319" s="38" t="s">
        <v>29</v>
      </c>
      <c r="S2319" s="4">
        <f>(AVERAGE(P2318:P2323)/_xlfn.STDEV.P(P2318:P2323))/(IF(A2321=A2322,(_xlfn.SINGLE(_xll.ciqfunctions.udf.CIQ(A2313,"IQ_total_assets",IQ_FY)) - _xlfn.SINGLE(_xll.ciqfunctions.udf.CIQ(A2313,"iq_gw_intan", IQ_FY)))/I2323, (_xlfn.SINGLE(_xll.ciqfunctions.udf.CIQ(A2313, "IQ_total_assets",IQ_LTM))-_xlfn.SINGLE(_xll.ciqfunctions.udf.CIQ(A2313,"iq_gw_intan",IQ_LTM)))/I2323))</f>
        <v>7.9670955489971954E-2</v>
      </c>
      <c r="U2319" s="18"/>
      <c r="V2319" s="38" t="s">
        <v>29</v>
      </c>
      <c r="W2319" s="4">
        <f>(AVERAGE(P2318:P2323)/_xlfn.STDEV.P(P2318:P2323))/(IF(A2321=A2322,(_xlfn.SINGLE(_xll.ciqfunctions.udf.CIQ(A2313,"IQ_total_assets",IQ_FY)) - _xlfn.SINGLE(_xll.ciqfunctions.udf.CIQ(A2313,"iq_gw_intan", IQ_FY)))/I2323, (_xlfn.SINGLE(_xll.ciqfunctions.udf.CIQ(A2313, "IQ_total_assets",IQ_LTM))-_xlfn.SINGLE(_xll.ciqfunctions.udf.CIQ(A2313,"iq_gw_intan",IQ_LTM)))/I2323))</f>
        <v>7.9670955489971954E-2</v>
      </c>
      <c r="Y2319" s="18"/>
      <c r="Z2319" s="38" t="s">
        <v>29</v>
      </c>
      <c r="AA2319" s="4">
        <f>(AVERAGE(P2318:P2323)/_xlfn.STDEV.P(P2318:P2323))/(IF(A2321=A2322,(_xlfn.SINGLE(_xll.ciqfunctions.udf.CIQ(A2313,"IQ_total_assets",IQ_FY)) - _xlfn.SINGLE(_xll.ciqfunctions.udf.CIQ(A2313,"iq_gw_intan", IQ_FY)))/I2323, (_xlfn.SINGLE(_xll.ciqfunctions.udf.CIQ(A2313, "IQ_total_assets",IQ_LTM))-_xlfn.SINGLE(_xll.ciqfunctions.udf.CIQ(A2313,"iq_gw_intan",IQ_LTM)))/I2323))</f>
        <v>7.9670955489971954E-2</v>
      </c>
    </row>
    <row r="2320" spans="1:27">
      <c r="A2320" s="18"/>
      <c r="B2320" s="13">
        <v>8</v>
      </c>
      <c r="C2320" s="14" t="s">
        <v>30</v>
      </c>
      <c r="D2320" s="15" cm="1">
        <f t="array" ref="D2320">_xlfn.SINGLE(IF(A2321=A2322,_xll.ciqfunctions.udf.CIQ(A2313,"IQ_TOTAL_REV",IQ_FY-3)/I2320, _xll.ciqfunctions.udf.CIQ(A2313, "IQ_TOTAL_REV",IQ_FY-2)/I2320))</f>
        <v>16.04660266615911</v>
      </c>
      <c r="E2320" s="16">
        <f t="shared" si="619"/>
        <v>-2.4636191298987E-2</v>
      </c>
      <c r="F2320" s="15">
        <f>IF(A2321=A2322,_xll.ciqfunctions.udf.CIQ(A2313,"IQ_DILUT_EPS_EXCL",IQ_FY-3), _xll.ciqfunctions.udf.CIQ(A2313, "IQ_DILUT_EPS_EXCL",IQ_FY-2))</f>
        <v>2.02</v>
      </c>
      <c r="G2320" s="15">
        <f>IF(A2321=A2322,_xll.ciqfunctions.udf.CIQ(A2313,"IQ_EBITDA_MARGIN",IQ_FY-3), _xll.ciqfunctions.udf.CIQ(A2313, "IQ_EBITDA_MARGIN",IQ_FY-2))</f>
        <v>23.5413</v>
      </c>
      <c r="H2320" s="15">
        <f>IF(A2321=A2322,_xll.ciqfunctions.udf.CIQ(A2313,"IQ_TOTAL_DIV_PAID_CF",IQ_FY-3)/-I2320, _xll.ciqfunctions.udf.CIQ(A2313, "IQ_TOTAL_DIV_PAID_CF",IQ_FY-2)/-I2320)</f>
        <v>0</v>
      </c>
      <c r="I2320" s="17">
        <f>IF(A2321=A2322,_xll.ciqfunctions.udf.CIQ(A2313,"IQ_TOTAL_OUTSTANDING_FILING_DATE",IQ_FY-3), _xll.ciqfunctions.udf.CIQ(A2313, "IQ_TOTAL_OUTSTANDING_FILING_DATE",IQ_FY-2))</f>
        <v>168.54658000000001</v>
      </c>
      <c r="J2320" s="17">
        <f>IF(A2321=A2322,_xll.ciqfunctions.udf.CIQ(A2313,"IQ_CASH_OPER",IQ_FY-3), _xll.ciqfunctions.udf.CIQ(A2313, "IQ_CASH_OPER",IQ_FY-2))</f>
        <v>691.3</v>
      </c>
      <c r="K2320" s="17">
        <f>IF(A2321=A2322,_xll.ciqfunctions.udf.CIQ(A2313,"IQ_CAPEX",IQ_FY-3), _xll.ciqfunctions.udf.CIQ(A2313, "IQ_CAPEX",IQ_FY-2))</f>
        <v>-35.700000000000003</v>
      </c>
      <c r="L2320" s="15">
        <f t="shared" si="616"/>
        <v>3.889725914343678</v>
      </c>
      <c r="M2320" s="17">
        <f>IF(A2321=A2322,_xll.ciqfunctions.udf.CIQ(A2313,"IQ_TOTAL_DEBT_ISSUED",IQ_FY-3), _xll.ciqfunctions.udf.CIQ(A2313, "IQ_TOTAL_DEBT_ISSUED",IQ_FY-2))</f>
        <v>1800</v>
      </c>
      <c r="N2320" s="17">
        <f>IF(A2321=A2322,_xll.ciqfunctions.udf.CIQ(A2313,"IQ_TOTAL_DEBT_REPAID",IQ_FY-3), _xll.ciqfunctions.udf.CIQ(A2313, "IQ_TOTAL_DEBT_REPAID",IQ_FY-2))</f>
        <v>-28.7</v>
      </c>
      <c r="O2320" s="15">
        <f t="shared" si="617"/>
        <v>10.509261000727513</v>
      </c>
      <c r="P2320" s="15">
        <f t="shared" si="618"/>
        <v>14.398986915071191</v>
      </c>
      <c r="Q2320" s="18"/>
      <c r="R2320" s="39" t="s">
        <v>31</v>
      </c>
      <c r="S2320" s="5" t="e">
        <f>IF(NOT(D2313&gt;0),FALSE,SLOPE(G2313:G2323,B2313:B2323))</f>
        <v>#DIV/0!</v>
      </c>
      <c r="U2320" s="18"/>
      <c r="V2320" s="39" t="s">
        <v>31</v>
      </c>
      <c r="W2320" s="5" t="e">
        <f>IF(NOT(D2313&gt;0),FALSE,SLOPE(G2313:G2323,B2313:B2323))</f>
        <v>#DIV/0!</v>
      </c>
      <c r="Y2320" s="18"/>
      <c r="Z2320" s="39" t="s">
        <v>31</v>
      </c>
      <c r="AA2320" s="5" t="e">
        <f>IF(NOT(L2313&gt;0),FALSE,SLOPE(O2313:O2323,J2313:J2323))</f>
        <v>#DIV/0!</v>
      </c>
    </row>
    <row r="2321" spans="1:27">
      <c r="A2321" s="19">
        <f>_xll.ciqfunctions.udf.CIQ(A2313,"IQ_TOTAL_REV",IQ_FY)</f>
        <v>3184.4</v>
      </c>
      <c r="B2321" s="13">
        <v>9</v>
      </c>
      <c r="C2321" s="14" t="s">
        <v>32</v>
      </c>
      <c r="D2321" s="15" cm="1">
        <f t="array" ref="D2321">_xlfn.SINGLE(IF(A2321=A2322,_xll.ciqfunctions.udf.CIQ(A2313,"IQ_TOTAL_REV",IQ_FY-2)/I2321, _xll.ciqfunctions.udf.CIQ(A2313, "IQ_TOTAL_REV",IQ_FY-1)/I2321))</f>
        <v>18.553021865232861</v>
      </c>
      <c r="E2321" s="16">
        <f t="shared" si="619"/>
        <v>0.15619625232944609</v>
      </c>
      <c r="F2321" s="15">
        <f>IF(A2321=A2322,_xll.ciqfunctions.udf.CIQ(A2313,"IQ_DILUT_EPS_EXCL",IQ_FY-2), _xll.ciqfunctions.udf.CIQ(A2313, "IQ_DILUT_EPS_EXCL",IQ_FY-1))</f>
        <v>2.4300000000000002</v>
      </c>
      <c r="G2321" s="15">
        <f>IF(A2321=A2322,_xll.ciqfunctions.udf.CIQ(A2313,"IQ_EBITDA_MARGIN",IQ_FY-2), _xll.ciqfunctions.udf.CIQ(A2313, "IQ_EBITDA_MARGIN",IQ_FY-1))</f>
        <v>22.857500000000002</v>
      </c>
      <c r="H2321" s="15">
        <f>IF(A2321=A2322,_xll.ciqfunctions.udf.CIQ(A2313,"IQ_TOTAL_DIV_PAID_CF",IQ_FY-2)/-I2321, _xll.ciqfunctions.udf.CIQ(A2313, "IQ_TOTAL_DIV_PAID_CF",IQ_FY-1)/-I2321)</f>
        <v>7.8785360513745059E-2</v>
      </c>
      <c r="I2321" s="17">
        <f>IF(A2321=A2322,_xll.ciqfunctions.udf.CIQ(A2313,"IQ_TOTAL_OUTSTANDING_FILING_DATE",IQ_FY-2), _xll.ciqfunctions.udf.CIQ(A2313, "IQ_TOTAL_OUTSTANDING_FILING_DATE",IQ_FY-1))</f>
        <v>161.19746000000001</v>
      </c>
      <c r="J2321" s="17">
        <f>IF(A2321=A2322,_xll.ciqfunctions.udf.CIQ(A2313,"IQ_CASH_OPER",IQ_FY-2), _xll.ciqfunctions.udf.CIQ(A2313, "IQ_CASH_OPER",IQ_FY-1))</f>
        <v>481.1</v>
      </c>
      <c r="K2321" s="17">
        <f>IF(A2321=A2322,_xll.ciqfunctions.udf.CIQ(A2313,"IQ_CAPEX",IQ_FY-2), _xll.ciqfunctions.udf.CIQ(A2313, "IQ_CAPEX",IQ_FY-1))</f>
        <v>-47.8</v>
      </c>
      <c r="L2321" s="15">
        <f t="shared" si="616"/>
        <v>2.6880076150083259</v>
      </c>
      <c r="M2321" s="17">
        <f>IF(A2321=A2322,_xll.ciqfunctions.udf.CIQ(A2313,"IQ_TOTAL_DEBT_ISSUED",IQ_FY-2), _xll.ciqfunctions.udf.CIQ(A2313, "IQ_TOTAL_DEBT_ISSUED",IQ_FY-1))</f>
        <v>2186.5</v>
      </c>
      <c r="N2321" s="17">
        <f>IF(A2321=A2322,_xll.ciqfunctions.udf.CIQ(A2313,"IQ_TOTAL_DEBT_REPAID",IQ_FY-2), _xll.ciqfunctions.udf.CIQ(A2313, "IQ_TOTAL_DEBT_REPAID",IQ_FY-1))</f>
        <v>-1407</v>
      </c>
      <c r="O2321" s="15">
        <f t="shared" si="617"/>
        <v>4.8356841354696281</v>
      </c>
      <c r="P2321" s="15">
        <f t="shared" si="618"/>
        <v>7.5236917504779539</v>
      </c>
      <c r="Q2321" s="25" t="s">
        <v>33</v>
      </c>
      <c r="R2321" s="38" t="s">
        <v>52</v>
      </c>
      <c r="S2321" s="4">
        <f>(AVERAGE(O2318:O2323)/AVERAGE(P2318:P2323))</f>
        <v>0.43503626215979591</v>
      </c>
      <c r="U2321" s="25" t="s">
        <v>54</v>
      </c>
      <c r="V2321" s="38" t="s">
        <v>52</v>
      </c>
      <c r="W2321" s="4">
        <f>(AVERAGE(O2318:O2323)/AVERAGE(P2318:P2323))</f>
        <v>0.43503626215979591</v>
      </c>
      <c r="Y2321" s="25" t="s">
        <v>60</v>
      </c>
      <c r="Z2321" s="38" t="s">
        <v>52</v>
      </c>
      <c r="AA2321" s="4">
        <f>(AVERAGE(O2318:O2323)/AVERAGE(P2318:P2323))</f>
        <v>0.43503626215979591</v>
      </c>
    </row>
    <row r="2322" spans="1:27">
      <c r="A2322" s="19">
        <f>_xll.ciqfunctions.udf.CIQ(A2313,"IQ_TOTAL_REV",IQ_LTM)</f>
        <v>3178.1</v>
      </c>
      <c r="B2322" s="13">
        <v>10</v>
      </c>
      <c r="C2322" s="14" t="s">
        <v>34</v>
      </c>
      <c r="D2322" s="15" cm="1">
        <f t="array" ref="D2322">_xlfn.SINGLE(IF(A2321=A2322,_xll.ciqfunctions.udf.CIQ(A2313,"IQ_TOTAL_REV",IQ_FY-1)/I2322, _xll.ciqfunctions.udf.CIQ(A2313, "IQ_TOTAL_REV",IQ_FY)/I2322))</f>
        <v>20.512235164363592</v>
      </c>
      <c r="E2322" s="16">
        <f t="shared" si="619"/>
        <v>0.10560076484371354</v>
      </c>
      <c r="F2322" s="15">
        <f>IF(A2321=A2322,_xll.ciqfunctions.udf.CIQ(A2313,"IQ_DILUT_EPS_EXCL",IQ_FY-1), _xll.ciqfunctions.udf.CIQ(A2313, "IQ_DILUT_EPS_EXCL",IQ_FY))</f>
        <v>2.4900000000000002</v>
      </c>
      <c r="G2322" s="15">
        <f>IF(A2321=A2322,_xll.ciqfunctions.udf.CIQ(A2313,"IQ_EBITDA_MARGIN",IQ_FY-1), _xll.ciqfunctions.udf.CIQ(A2313, "IQ_EBITDA_MARGIN",IQ_FY))</f>
        <v>22.321300000000001</v>
      </c>
      <c r="H2322" s="15">
        <f>IF(A2321=A2322,_xll.ciqfunctions.udf.CIQ(A2313,"IQ_TOTAL_DIV_PAID_CF",IQ_FY-1)/-I2322, _xll.ciqfunctions.udf.CIQ(A2313, "IQ_TOTAL_DIV_PAID_CF",IQ_FY)/-I2322)</f>
        <v>0.10241946335679598</v>
      </c>
      <c r="I2322" s="17">
        <f>IF(A2321=A2322,_xll.ciqfunctions.udf.CIQ(A2313,"IQ_TOTAL_OUTSTANDING_FILING_DATE",IQ_FY-1), _xll.ciqfunctions.udf.CIQ(A2313, "IQ_TOTAL_OUTSTANDING_FILING_DATE",IQ_FY))</f>
        <v>155.24393000000001</v>
      </c>
      <c r="J2322" s="17">
        <f>IF(A2321=A2322,_xll.ciqfunctions.udf.CIQ(A2313,"IQ_CASH_OPER",IQ_FY-1), _xll.ciqfunctions.udf.CIQ(A2313, "IQ_CASH_OPER",IQ_FY))</f>
        <v>321.2</v>
      </c>
      <c r="K2322" s="17">
        <f>IF(A2321=A2322,_xll.ciqfunctions.udf.CIQ(A2313,"IQ_CAPEX",IQ_FY-1), _xll.ciqfunctions.udf.CIQ(A2313, "IQ_CAPEX",IQ_FY))</f>
        <v>-60</v>
      </c>
      <c r="L2322" s="15">
        <f t="shared" si="616"/>
        <v>1.6825134483518935</v>
      </c>
      <c r="M2322" s="17">
        <f>IF(A2321=A2322,_xll.ciqfunctions.udf.CIQ(A2313,"IQ_TOTAL_DEBT_ISSUED",IQ_FY-1), _xll.ciqfunctions.udf.CIQ(A2313, "IQ_TOTAL_DEBT_ISSUED",IQ_FY))</f>
        <v>1167.4000000000001</v>
      </c>
      <c r="N2322" s="17">
        <f>IF(A2321=A2322,_xll.ciqfunctions.udf.CIQ(A2313,"IQ_TOTAL_DEBT_REPAID",IQ_FY-1), _xll.ciqfunctions.udf.CIQ(A2313, "IQ_TOTAL_DEBT_REPAID",IQ_FY))</f>
        <v>-1167</v>
      </c>
      <c r="O2322" s="15">
        <f t="shared" si="617"/>
        <v>2.5765902731275285E-3</v>
      </c>
      <c r="P2322" s="15">
        <f t="shared" si="618"/>
        <v>1.6850900386250212</v>
      </c>
      <c r="Q2322" s="25" t="s">
        <v>44</v>
      </c>
      <c r="R2322" s="38" t="s">
        <v>35</v>
      </c>
      <c r="S2322" s="1">
        <f>_xll.ciqfunctions.udf.CIQ(A2313,"IQ_TEV_EBITDA")</f>
        <v>10.168710000000001</v>
      </c>
      <c r="U2322" s="25" t="s">
        <v>55</v>
      </c>
      <c r="V2322" s="38" t="s">
        <v>53</v>
      </c>
      <c r="W2322" s="1" t="e">
        <f>V2312/(AVERAGE(D2318:D2323)/_xlfn.STDEV.P(E2318:E2323))</f>
        <v>#DIV/0!</v>
      </c>
      <c r="Y2322" s="25" t="s">
        <v>57</v>
      </c>
      <c r="Z2322" s="38" t="s">
        <v>53</v>
      </c>
      <c r="AA2322" s="1" t="e">
        <f>Z2312/(AVERAGE(D2318:D2323)/_xlfn.STDEV.P(E2318:E2323))</f>
        <v>#DIV/0!</v>
      </c>
    </row>
    <row r="2323" spans="1:27">
      <c r="B2323" s="13">
        <v>11</v>
      </c>
      <c r="C2323" s="20" t="s">
        <v>36</v>
      </c>
      <c r="D2323" s="21" cm="1">
        <f t="array" ref="D2323">_xlfn.SINGLE(IF(A2321=A2322,_xll.ciqfunctions.udf.CIQ(A2313,"IQ_TOTAL_REV",IQ_FY)/I2323, _xll.ciqfunctions.udf.CIQ(A2313, "IQ_TOTAL_REV",IQ_LTM)/I2323))</f>
        <v>20.593192278508653</v>
      </c>
      <c r="E2323" s="22">
        <f t="shared" si="619"/>
        <v>3.9467719386188545E-3</v>
      </c>
      <c r="F2323" s="21">
        <f>IF(A2321=A2322,_xll.ciqfunctions.udf.CIQ(A2313,"IQ_DILUT_EPS_EXCL",IQ_FY), _xll.ciqfunctions.udf.CIQ(A2313, "IQ_DILUT_EPS_EXCL",IQ_LTM))</f>
        <v>2.1531799999999999</v>
      </c>
      <c r="G2323" s="21">
        <f>IF(A2321=A2322,_xll.ciqfunctions.udf.CIQ(A2313,"IQ_EBITDA_MARGIN",IQ_FY), _xll.ciqfunctions.udf.CIQ(A2313, "IQ_EBITDA_MARGIN",IQ_LTM))</f>
        <v>21.814900000000002</v>
      </c>
      <c r="H2323" s="21">
        <f>IF(A2321=A2322,_xll.ciqfunctions.udf.CIQ(A2313,"IQ_TOTAL_DIV_PAID_CF",IQ_FY)/-I2323, _xll.ciqfunctions.udf.CIQ(A2313, "IQ_TOTAL_DIV_PAID_CF",IQ_LTM)/-I2323)</f>
        <v>0.10108360326759228</v>
      </c>
      <c r="I2323" s="23">
        <f>IF(A2321=A2322,_xll.ciqfunctions.udf.CIQ(A2313,"IQ_TOTAL_OUTSTANDING_FILING_DATE",IQ_FY),_xll.ciqfunctions.udf.CIQ(A2313,"IQ_sharesoutstanding"))</f>
        <v>154.32769999999999</v>
      </c>
      <c r="J2323" s="23">
        <f>IF(A2321=A2322,_xll.ciqfunctions.udf.CIQ(A2313,"IQ_CASH_OPER",IQ_FY), _xll.ciqfunctions.udf.CIQ(A2313, "IQ_CASH_OPER",IQ_LTM))</f>
        <v>471.5</v>
      </c>
      <c r="K2323" s="23">
        <f>IF(A2321=A2322,_xll.ciqfunctions.udf.CIQ(A2313,"IQ_CAPEX",IQ_FY), _xll.ciqfunctions.udf.CIQ(A2313, "IQ_CAPEX",IQ_LTM))</f>
        <v>-60.5</v>
      </c>
      <c r="L2323" s="21">
        <f t="shared" si="616"/>
        <v>2.6631641630115657</v>
      </c>
      <c r="M2323" s="23">
        <f>IF(A2321=A2322,_xll.ciqfunctions.udf.CIQ(A2313,"IQ_TOTAL_DEBT_ISSUED",IQ_FY), _xll.ciqfunctions.udf.CIQ(A2313, "IQ_TOTAL_DEBT_ISSUED",IQ_LTM))</f>
        <v>930.2</v>
      </c>
      <c r="N2323" s="23">
        <f>IF(A2321=A2322,_xll.ciqfunctions.udf.CIQ(A2313,"IQ_TOTAL_DEBT_REPAID",IQ_FY), _xll.ciqfunctions.udf.CIQ(A2313, "IQ_TOTAL_DEBT_REPAID",IQ_LTM))</f>
        <v>-1222</v>
      </c>
      <c r="O2323" s="21">
        <f t="shared" si="617"/>
        <v>-1.8907817585566296</v>
      </c>
      <c r="P2323" s="21">
        <f t="shared" si="618"/>
        <v>0.77238240445493611</v>
      </c>
      <c r="Q2323" s="25" t="s">
        <v>45</v>
      </c>
      <c r="S2323" s="45"/>
      <c r="U2323" s="25"/>
      <c r="W2323" s="45"/>
      <c r="Y2323" s="25"/>
      <c r="AA2323" s="45"/>
    </row>
    <row r="2324" spans="1:27">
      <c r="B2324" s="24"/>
      <c r="C2324" s="25" t="s">
        <v>37</v>
      </c>
      <c r="E2324" s="26">
        <f>((D2323/D2318)^(1/5))-1</f>
        <v>5.4009150828759234E-2</v>
      </c>
      <c r="F2324" s="27">
        <f>((F2323/F2318)^(1/5))-1</f>
        <v>-1.2175713584708148E-2</v>
      </c>
      <c r="G2324" s="28"/>
      <c r="H2324" s="27" t="e">
        <f>((H2323/H2318)^(1/5))-1</f>
        <v>#DIV/0!</v>
      </c>
      <c r="I2324" s="27">
        <f>((I2323/I2318)^(1/5))-1</f>
        <v>-1.7301350242122537E-2</v>
      </c>
      <c r="J2324" s="27"/>
      <c r="K2324" s="27"/>
      <c r="L2324" s="26">
        <f>((L2323/L2318)^(1/5))-1</f>
        <v>3.4455667005538038E-2</v>
      </c>
      <c r="M2324" s="26"/>
      <c r="N2324" s="26"/>
      <c r="O2324" s="26"/>
      <c r="P2324" s="26">
        <f>((P2323/P2318)^(1/5))-1</f>
        <v>-0.20269747059729937</v>
      </c>
      <c r="Q2324" s="18"/>
      <c r="R2324" s="36"/>
      <c r="S2324" s="45"/>
      <c r="U2324" s="18"/>
      <c r="V2324" s="36"/>
      <c r="W2324" s="45"/>
      <c r="Y2324" s="18"/>
      <c r="Z2324" s="36"/>
      <c r="AA2324" s="45"/>
    </row>
    <row r="2325" spans="1:27">
      <c r="A2325" s="29"/>
      <c r="B2325" s="30"/>
      <c r="C2325" s="31" t="s">
        <v>38</v>
      </c>
      <c r="D2325" s="29"/>
      <c r="E2325" s="32" t="e">
        <f>((D2323/D2313)^(1/10))-1</f>
        <v>#DIV/0!</v>
      </c>
      <c r="F2325" s="33" t="e">
        <f>((F2323/F2313)^(1/10))-1</f>
        <v>#DIV/0!</v>
      </c>
      <c r="G2325" s="34"/>
      <c r="H2325" s="33" t="e">
        <f>((H2323/H2313)^(1/10))-1</f>
        <v>#DIV/0!</v>
      </c>
      <c r="I2325" s="33" t="e">
        <f>((I2323/I2313)^(1/10))-1</f>
        <v>#DIV/0!</v>
      </c>
      <c r="J2325" s="33"/>
      <c r="K2325" s="33"/>
      <c r="L2325" s="32" t="e">
        <f>((L2323/L2313)^(1/10))-1</f>
        <v>#DIV/0!</v>
      </c>
      <c r="M2325" s="32"/>
      <c r="N2325" s="32"/>
      <c r="O2325" s="32"/>
      <c r="P2325" s="32" t="e">
        <f>((P2323/P2313)^(1/10))-1</f>
        <v>#DIV/0!</v>
      </c>
      <c r="Q2325" s="40"/>
      <c r="R2325" s="41"/>
      <c r="S2325" s="46"/>
      <c r="U2325" s="40"/>
      <c r="V2325" s="41"/>
      <c r="W2325" s="46"/>
      <c r="Y2325" s="40"/>
      <c r="Z2325" s="41"/>
      <c r="AA2325" s="46"/>
    </row>
    <row r="2326" spans="1:27">
      <c r="B2326" s="24"/>
      <c r="C2326" s="25"/>
      <c r="E2326" s="26"/>
      <c r="F2326" s="27"/>
      <c r="G2326" s="28"/>
      <c r="H2326" s="27"/>
      <c r="I2326" s="27"/>
      <c r="J2326" s="27"/>
      <c r="K2326" s="27"/>
      <c r="L2326" s="26"/>
      <c r="M2326" s="17"/>
      <c r="N2326" s="17"/>
      <c r="O2326" s="17"/>
      <c r="P2326" s="35"/>
      <c r="Q2326" s="18"/>
      <c r="R2326" s="36"/>
    </row>
    <row r="2327" spans="1:27">
      <c r="A2327" s="9" t="s">
        <v>0</v>
      </c>
      <c r="B2327" s="10"/>
      <c r="C2327" s="9" t="s">
        <v>1</v>
      </c>
      <c r="D2327" s="9" t="s">
        <v>2</v>
      </c>
      <c r="E2327" s="9" t="s">
        <v>3</v>
      </c>
      <c r="F2327" s="11" t="s">
        <v>4</v>
      </c>
      <c r="G2327" s="11" t="s">
        <v>5</v>
      </c>
      <c r="H2327" s="9" t="s">
        <v>6</v>
      </c>
      <c r="I2327" s="11" t="s">
        <v>7</v>
      </c>
      <c r="J2327" s="11" t="s">
        <v>8</v>
      </c>
      <c r="K2327" s="11" t="s">
        <v>9</v>
      </c>
      <c r="L2327" s="11" t="s">
        <v>10</v>
      </c>
      <c r="M2327" s="11" t="s">
        <v>11</v>
      </c>
      <c r="N2327" s="11" t="s">
        <v>12</v>
      </c>
      <c r="O2327" s="11" t="s">
        <v>13</v>
      </c>
      <c r="P2327" s="11" t="s">
        <v>14</v>
      </c>
      <c r="Q2327" s="37" t="s">
        <v>15</v>
      </c>
      <c r="R2327" s="42">
        <f>_xll.ciqfunctions.udf.CIQ(A2328,("IQ_LASTSALEPRICE"))</f>
        <v>25.39</v>
      </c>
      <c r="S2327" s="44"/>
      <c r="U2327" s="37" t="s">
        <v>15</v>
      </c>
      <c r="V2327" s="42">
        <f>_xll.ciqfunctions.udf.CIQ(A2328,("IQ_LASTSALEPRICE"))</f>
        <v>25.39</v>
      </c>
      <c r="W2327" s="44"/>
      <c r="Y2327" s="37" t="s">
        <v>15</v>
      </c>
      <c r="Z2327" s="42">
        <f>_xll.ciqfunctions.udf.CIQ(A2328,("IQ_LASTSALEPRICE"))</f>
        <v>25.39</v>
      </c>
      <c r="AA2327" s="44"/>
    </row>
    <row r="2328" spans="1:27">
      <c r="A2328" s="12" t="str">
        <f>Analysis!B157</f>
        <v>NYSE:BHE</v>
      </c>
      <c r="B2328" s="13">
        <v>1</v>
      </c>
      <c r="C2328" s="14" t="s">
        <v>16</v>
      </c>
      <c r="D2328" s="15">
        <f>IF(A2336=A2337,_xll.ciqfunctions.udf.CIQ(A2328,"IQ_TOTAL_REV",IQ_FY-10)/I2328,_xll.ciqfunctions.udf.CIQ(A2328, "IQ_TOTAL_REV",IQ_FY-9)/I2328)</f>
        <v>46.675267518073987</v>
      </c>
      <c r="E2328" s="16"/>
      <c r="F2328" s="15">
        <f>IF(A2336=A2337,_xll.ciqfunctions.udf.CIQ(A2328,"IQ_DILUT_EPS_EXCL",IQ_FY-10), _xll.ciqfunctions.udf.CIQ(A2328, "IQ_DILUT_EPS_EXCL",IQ_FY-9))</f>
        <v>2.0299999999999998</v>
      </c>
      <c r="G2328" s="15">
        <f>IF(A2336=A2337,_xll.ciqfunctions.udf.CIQ(A2328,"IQ_EBITDA_MARGIN",IQ_FY-10), _xll.ciqfunctions.udf.CIQ(A2328, "IQ_EBITDA_MARGIN",IQ_FY-9))</f>
        <v>5.1102999999999996</v>
      </c>
      <c r="H2328" s="15">
        <f>IF(A2336=A2337,_xll.ciqfunctions.udf.CIQ(A2328,"IQ_TOTAL_DIV_PAID_CF",IQ_FY-10)/-I2328, _xll.ciqfunctions.udf.CIQ(A2328, "IQ_TOTAL_DIV_PAID_CF",IQ_FY-9)/-I2328)</f>
        <v>0</v>
      </c>
      <c r="I2328" s="17">
        <f>IF(A2336=A2337,_xll.ciqfunctions.udf.CIQ(A2328,"IQ_TOTAL_OUTSTANDING_FILING_DATE",IQ_FY-10), _xll.ciqfunctions.udf.CIQ(A2328, "IQ_TOTAL_OUTSTANDING_FILING_DATE",IQ_FY-9))</f>
        <v>53.700110000000002</v>
      </c>
      <c r="J2328" s="17">
        <f>IF(A2336=A2337,_xll.ciqfunctions.udf.CIQ(A2328,"IQ_CASH_OPER",IQ_FY-10), _xll.ciqfunctions.udf.CIQ(A2328, "IQ_CASH_OPER",IQ_FY-9))</f>
        <v>98.863</v>
      </c>
      <c r="K2328" s="17">
        <f>IF(A2336=A2337,_xll.ciqfunctions.udf.CIQ(A2328,"IQ_CAPEX",IQ_FY-10), _xll.ciqfunctions.udf.CIQ(A2328, "IQ_CAPEX",IQ_FY-9))</f>
        <v>-26.829000000000001</v>
      </c>
      <c r="L2328" s="15">
        <f t="shared" ref="L2328:L2338" si="620">(J2328+K2328)/I2328</f>
        <v>1.3414125222462299</v>
      </c>
      <c r="M2328" s="17">
        <f>IF(A2336=A2337,_xll.ciqfunctions.udf.CIQ(A2328,"IQ_TOTAL_DEBT_ISSUED",IQ_FY-10), _xll.ciqfunctions.udf.CIQ(A2328, "IQ_TOTAL_DEBT_ISSUED",IQ_FY-9))</f>
        <v>0</v>
      </c>
      <c r="N2328" s="17">
        <f>IF(A2336=A2337,_xll.ciqfunctions.udf.CIQ(A2328,"IQ_TOTAL_DEBT_REPAID",IQ_FY-10), _xll.ciqfunctions.udf.CIQ(A2328, "IQ_TOTAL_DEBT_REPAID",IQ_FY-9))</f>
        <v>-0.497</v>
      </c>
      <c r="O2328" s="15">
        <f t="shared" ref="O2328:O2338" si="621">(M2328+N2328)/I2328</f>
        <v>-9.2551020845208689E-3</v>
      </c>
      <c r="P2328" s="15">
        <f t="shared" ref="P2328:P2338" si="622">L2328+O2328</f>
        <v>1.332157420161709</v>
      </c>
      <c r="W2328" s="43"/>
      <c r="AA2328" s="43"/>
    </row>
    <row r="2329" spans="1:27">
      <c r="A2329" s="18" t="str">
        <f>_xll.ciqfunctions.udf.CIQ(A2328,"IQ_COMPANY_NAME")</f>
        <v>Benchmark Electronics, Inc.</v>
      </c>
      <c r="B2329" s="13">
        <v>2</v>
      </c>
      <c r="C2329" s="14" t="s">
        <v>17</v>
      </c>
      <c r="D2329" s="15">
        <f>IF(A2336=A2337,_xll.ciqfunctions.udf.CIQ(A2328,"IQ_TOTAL_REV",IQ_FY-9)/I2329, _xll.ciqfunctions.udf.CIQ(A2328, "IQ_TOTAL_REV",IQ_FY-8)/I2329)</f>
        <v>53.117423407276419</v>
      </c>
      <c r="E2329" s="16">
        <f t="shared" ref="E2329:E2338" si="623">(D2329-D2328)/D2328</f>
        <v>0.13802075985333875</v>
      </c>
      <c r="F2329" s="15">
        <f>IF(A2336=A2337,_xll.ciqfunctions.udf.CIQ(A2328,"IQ_DILUT_EPS_EXCL",IQ_FY-9), _xll.ciqfunctions.udf.CIQ(A2328, "IQ_DILUT_EPS_EXCL",IQ_FY-8))</f>
        <v>1.5</v>
      </c>
      <c r="G2329" s="15">
        <f>IF(A2336=A2337,_xll.ciqfunctions.udf.CIQ(A2328,"IQ_EBITDA_MARGIN",IQ_FY-9), _xll.ciqfunctions.udf.CIQ(A2328, "IQ_EBITDA_MARGIN",IQ_FY-8))</f>
        <v>5.4305000000000003</v>
      </c>
      <c r="H2329" s="15">
        <f>IF(A2336=A2337,_xll.ciqfunctions.udf.CIQ(A2328,"IQ_TOTAL_DIV_PAID_CF",IQ_FY-9)/-I2329, _xll.ciqfunctions.udf.CIQ(A2328, "IQ_TOTAL_DIV_PAID_CF",IQ_FY-8)/-I2329)</f>
        <v>0</v>
      </c>
      <c r="I2329" s="17">
        <f>IF(A2336=A2337,_xll.ciqfunctions.udf.CIQ(A2328,"IQ_TOTAL_OUTSTANDING_FILING_DATE",IQ_FY-9), _xll.ciqfunctions.udf.CIQ(A2328, "IQ_TOTAL_OUTSTANDING_FILING_DATE",IQ_FY-8))</f>
        <v>52.658070000000002</v>
      </c>
      <c r="J2329" s="17">
        <f>IF(A2336=A2337,_xll.ciqfunctions.udf.CIQ(A2328,"IQ_CASH_OPER",IQ_FY-9), _xll.ciqfunctions.udf.CIQ(A2328, "IQ_CASH_OPER",IQ_FY-8))</f>
        <v>135.44</v>
      </c>
      <c r="K2329" s="17">
        <f>IF(A2336=A2337,_xll.ciqfunctions.udf.CIQ(A2328,"IQ_CAPEX",IQ_FY-9), _xll.ciqfunctions.udf.CIQ(A2328, "IQ_CAPEX",IQ_FY-8))</f>
        <v>-44.210999999999999</v>
      </c>
      <c r="L2329" s="15">
        <f t="shared" si="620"/>
        <v>1.7324789913492842</v>
      </c>
      <c r="M2329" s="17">
        <f>IF(A2336=A2337,_xll.ciqfunctions.udf.CIQ(A2328,"IQ_TOTAL_DEBT_ISSUED",IQ_FY-9), _xll.ciqfunctions.udf.CIQ(A2328, "IQ_TOTAL_DEBT_ISSUED",IQ_FY-8))</f>
        <v>0</v>
      </c>
      <c r="N2329" s="17">
        <f>IF(A2336=A2337,_xll.ciqfunctions.udf.CIQ(A2328,"IQ_TOTAL_DEBT_REPAID",IQ_FY-9), _xll.ciqfunctions.udf.CIQ(A2328, "IQ_TOTAL_DEBT_REPAID",IQ_FY-8))</f>
        <v>-0.58199999999999996</v>
      </c>
      <c r="O2329" s="15">
        <f t="shared" si="621"/>
        <v>-1.1052436976896417E-2</v>
      </c>
      <c r="P2329" s="15">
        <f t="shared" si="622"/>
        <v>1.7214265543723877</v>
      </c>
      <c r="Q2329" s="25" t="s">
        <v>18</v>
      </c>
      <c r="R2329" s="39" t="s">
        <v>19</v>
      </c>
      <c r="S2329" s="1">
        <f>R2327/((AVERAGE(P2333:P2338))*(1+E2339)^3)</f>
        <v>85.501434884573115</v>
      </c>
      <c r="U2329" s="25" t="s">
        <v>48</v>
      </c>
      <c r="V2329" s="39" t="s">
        <v>19</v>
      </c>
      <c r="W2329" s="1">
        <f>V2327/((AVERAGE(P2333:P2338))*(1+E2339)^3)</f>
        <v>85.501434884573115</v>
      </c>
      <c r="Y2329" s="25" t="s">
        <v>39</v>
      </c>
      <c r="Z2329" s="39" t="s">
        <v>19</v>
      </c>
      <c r="AA2329" s="1">
        <f>Z2327/((AVERAGE(P2333:P2338))*(1+E2339)^3)</f>
        <v>85.501434884573115</v>
      </c>
    </row>
    <row r="2330" spans="1:27">
      <c r="B2330" s="13">
        <v>3</v>
      </c>
      <c r="C2330" s="14" t="s">
        <v>20</v>
      </c>
      <c r="D2330" s="15" cm="1">
        <f t="array" ref="D2330">_xlfn.SINGLE(IF(A2336=A2337,_xll.ciqfunctions.udf.CIQ(A2328,"IQ_TOTAL_REV",IQ_FY-8)/I2330, _xll.ciqfunctions.udf.CIQ(A2328, "IQ_TOTAL_REV",IQ_FY-7)/I2330))</f>
        <v>51.001852096068127</v>
      </c>
      <c r="E2330" s="16">
        <f t="shared" si="623"/>
        <v>-3.9828199025905411E-2</v>
      </c>
      <c r="F2330" s="15">
        <f>IF(A2336=A2337,_xll.ciqfunctions.udf.CIQ(A2328,"IQ_DILUT_EPS_EXCL",IQ_FY-8), _xll.ciqfunctions.udf.CIQ(A2328, "IQ_DILUT_EPS_EXCL",IQ_FY-7))</f>
        <v>1.83</v>
      </c>
      <c r="G2330" s="15">
        <f>IF(A2336=A2337,_xll.ciqfunctions.udf.CIQ(A2328,"IQ_EBITDA_MARGIN",IQ_FY-8), _xll.ciqfunctions.udf.CIQ(A2328, "IQ_EBITDA_MARGIN",IQ_FY-7))</f>
        <v>6.085</v>
      </c>
      <c r="H2330" s="15">
        <f>IF(A2336=A2337,_xll.ciqfunctions.udf.CIQ(A2328,"IQ_TOTAL_DIV_PAID_CF",IQ_FY-8)/-I2330, _xll.ciqfunctions.udf.CIQ(A2328, "IQ_TOTAL_DIV_PAID_CF",IQ_FY-7)/-I2330)</f>
        <v>0</v>
      </c>
      <c r="I2330" s="17">
        <f>IF(A2336=A2337,_xll.ciqfunctions.udf.CIQ(A2328,"IQ_TOTAL_OUTSTANDING_FILING_DATE",IQ_FY-8), _xll.ciqfunctions.udf.CIQ(A2328, "IQ_TOTAL_OUTSTANDING_FILING_DATE",IQ_FY-7))</f>
        <v>49.819229999999997</v>
      </c>
      <c r="J2330" s="17">
        <f>IF(A2336=A2337,_xll.ciqfunctions.udf.CIQ(A2328,"IQ_CASH_OPER",IQ_FY-8), _xll.ciqfunctions.udf.CIQ(A2328, "IQ_CASH_OPER",IQ_FY-7))</f>
        <v>147.375</v>
      </c>
      <c r="K2330" s="17">
        <f>IF(A2336=A2337,_xll.ciqfunctions.udf.CIQ(A2328,"IQ_CAPEX",IQ_FY-8), _xll.ciqfunctions.udf.CIQ(A2328, "IQ_CAPEX",IQ_FY-7))</f>
        <v>-37.128</v>
      </c>
      <c r="L2330" s="15">
        <f t="shared" si="620"/>
        <v>2.2129406656827095</v>
      </c>
      <c r="M2330" s="17">
        <f>IF(A2336=A2337,_xll.ciqfunctions.udf.CIQ(A2328,"IQ_TOTAL_DEBT_ISSUED",IQ_FY-8), _xll.ciqfunctions.udf.CIQ(A2328, "IQ_TOTAL_DEBT_ISSUED",IQ_FY-7))</f>
        <v>250</v>
      </c>
      <c r="N2330" s="17">
        <f>IF(A2336=A2337,_xll.ciqfunctions.udf.CIQ(A2328,"IQ_TOTAL_DEBT_REPAID",IQ_FY-8), _xll.ciqfunctions.udf.CIQ(A2328, "IQ_TOTAL_DEBT_REPAID",IQ_FY-7))</f>
        <v>-20.675999999999998</v>
      </c>
      <c r="O2330" s="15">
        <f t="shared" si="621"/>
        <v>4.603122127740634</v>
      </c>
      <c r="P2330" s="15">
        <f t="shared" si="622"/>
        <v>6.8160627934233435</v>
      </c>
      <c r="Q2330" s="25" t="s">
        <v>21</v>
      </c>
      <c r="R2330" s="38" t="s">
        <v>49</v>
      </c>
      <c r="S2330" s="2">
        <f>(R2327*I2338)/1000</f>
        <v>0.90596217149999991</v>
      </c>
      <c r="U2330" s="25" t="s">
        <v>59</v>
      </c>
      <c r="V2330" s="38" t="s">
        <v>49</v>
      </c>
      <c r="W2330" s="2">
        <f>(V2327*I2338)/1000</f>
        <v>0.90596217149999991</v>
      </c>
      <c r="Y2330" s="25" t="s">
        <v>46</v>
      </c>
      <c r="Z2330" s="38" t="s">
        <v>49</v>
      </c>
      <c r="AA2330" s="2">
        <f>(Z2327*I2338)/1000</f>
        <v>0.90596217149999991</v>
      </c>
    </row>
    <row r="2331" spans="1:27">
      <c r="A2331" s="18"/>
      <c r="B2331" s="13">
        <v>4</v>
      </c>
      <c r="C2331" s="14" t="s">
        <v>22</v>
      </c>
      <c r="D2331" s="15" cm="1">
        <f t="array" ref="D2331">_xlfn.SINGLE(IF(A2336=A2337,_xll.ciqfunctions.udf.CIQ(A2328,"IQ_TOTAL_REV",IQ_FY-7)/I2331, _xll.ciqfunctions.udf.CIQ(A2328, "IQ_TOTAL_REV",IQ_FY-6)/I2331))</f>
        <v>46.792677058927353</v>
      </c>
      <c r="E2331" s="16">
        <f t="shared" si="623"/>
        <v>-8.252984674384542E-2</v>
      </c>
      <c r="F2331" s="15">
        <f>IF(A2336=A2337,_xll.ciqfunctions.udf.CIQ(A2328,"IQ_DILUT_EPS_EXCL",IQ_FY-7), _xll.ciqfunctions.udf.CIQ(A2328, "IQ_DILUT_EPS_EXCL",IQ_FY-6))</f>
        <v>1.28</v>
      </c>
      <c r="G2331" s="15">
        <f>IF(A2336=A2337,_xll.ciqfunctions.udf.CIQ(A2328,"IQ_EBITDA_MARGIN",IQ_FY-7), _xll.ciqfunctions.udf.CIQ(A2328, "IQ_EBITDA_MARGIN",IQ_FY-6))</f>
        <v>5.9396000000000004</v>
      </c>
      <c r="H2331" s="15">
        <f>IF(A2336=A2337,_xll.ciqfunctions.udf.CIQ(A2328,"IQ_TOTAL_DIV_PAID_CF",IQ_FY-7)/-I2331, _xll.ciqfunctions.udf.CIQ(A2328, "IQ_TOTAL_DIV_PAID_CF",IQ_FY-6)/-I2331)</f>
        <v>0</v>
      </c>
      <c r="I2331" s="17">
        <f>IF(A2336=A2337,_xll.ciqfunctions.udf.CIQ(A2328,"IQ_TOTAL_OUTSTANDING_FILING_DATE",IQ_FY-7), _xll.ciqfunctions.udf.CIQ(A2328, "IQ_TOTAL_OUTSTANDING_FILING_DATE",IQ_FY-6))</f>
        <v>49.629240000000003</v>
      </c>
      <c r="J2331" s="17">
        <f>IF(A2336=A2337,_xll.ciqfunctions.udf.CIQ(A2328,"IQ_CASH_OPER",IQ_FY-7), _xll.ciqfunctions.udf.CIQ(A2328, "IQ_CASH_OPER",IQ_FY-6))</f>
        <v>273.08800000000002</v>
      </c>
      <c r="K2331" s="17">
        <f>IF(A2336=A2337,_xll.ciqfunctions.udf.CIQ(A2328,"IQ_CAPEX",IQ_FY-7), _xll.ciqfunctions.udf.CIQ(A2328, "IQ_CAPEX",IQ_FY-6))</f>
        <v>-30.478000000000002</v>
      </c>
      <c r="L2331" s="15">
        <f t="shared" si="620"/>
        <v>4.8884488257325724</v>
      </c>
      <c r="M2331" s="17">
        <f>IF(A2336=A2337,_xll.ciqfunctions.udf.CIQ(A2328,"IQ_TOTAL_DEBT_ISSUED",IQ_FY-7), _xll.ciqfunctions.udf.CIQ(A2328, "IQ_TOTAL_DEBT_ISSUED",IQ_FY-6))</f>
        <v>25</v>
      </c>
      <c r="N2331" s="17">
        <f>IF(A2336=A2337,_xll.ciqfunctions.udf.CIQ(A2328,"IQ_TOTAL_DEBT_REPAID",IQ_FY-7), _xll.ciqfunctions.udf.CIQ(A2328, "IQ_TOTAL_DEBT_REPAID",IQ_FY-6))</f>
        <v>-37.301000000000002</v>
      </c>
      <c r="O2331" s="15">
        <f t="shared" si="621"/>
        <v>-0.24785791601886309</v>
      </c>
      <c r="P2331" s="15">
        <f t="shared" si="622"/>
        <v>4.6405909097137092</v>
      </c>
      <c r="Q2331" s="25" t="s">
        <v>23</v>
      </c>
      <c r="R2331" s="38" t="s">
        <v>24</v>
      </c>
      <c r="S2331" s="1">
        <f>R2327/(AVERAGE(H2333:H2338)*(1+H2339)/(0.5-H2339))</f>
        <v>17.486798518921791</v>
      </c>
      <c r="U2331" s="25" t="s">
        <v>40</v>
      </c>
      <c r="V2331" s="38" t="s">
        <v>24</v>
      </c>
      <c r="W2331" s="1">
        <f>V2327/(AVERAGE(H2333:H2338)*(1+H2339)/(0.5-H2339))</f>
        <v>17.486798518921791</v>
      </c>
      <c r="Y2331" s="25" t="s">
        <v>47</v>
      </c>
      <c r="Z2331" s="38" t="s">
        <v>24</v>
      </c>
      <c r="AA2331" s="1">
        <f>Z2327/(AVERAGE(H2333:H2338)*(1+H2339)/(0.5-H2339))</f>
        <v>17.486798518921791</v>
      </c>
    </row>
    <row r="2332" spans="1:27">
      <c r="B2332" s="13">
        <v>5</v>
      </c>
      <c r="C2332" s="14" t="s">
        <v>25</v>
      </c>
      <c r="D2332" s="15" cm="1">
        <f t="array" ref="D2332">_xlfn.SINGLE(IF(A2336=A2337,_xll.ciqfunctions.udf.CIQ(A2328,"IQ_TOTAL_REV",IQ_FY-6)/I2332, _xll.ciqfunctions.udf.CIQ(A2328, "IQ_TOTAL_REV",IQ_FY-5)/I2332))</f>
        <v>50.370098723775563</v>
      </c>
      <c r="E2332" s="16">
        <f t="shared" si="623"/>
        <v>7.6452596639065132E-2</v>
      </c>
      <c r="F2332" s="15">
        <f>IF(A2336=A2337,_xll.ciqfunctions.udf.CIQ(A2328,"IQ_DILUT_EPS_EXCL",IQ_FY-6), _xll.ciqfunctions.udf.CIQ(A2328, "IQ_DILUT_EPS_EXCL",IQ_FY-5))</f>
        <v>-0.64212999999999998</v>
      </c>
      <c r="G2332" s="15">
        <f>IF(A2336=A2337,_xll.ciqfunctions.udf.CIQ(A2328,"IQ_EBITDA_MARGIN",IQ_FY-6), _xll.ciqfunctions.udf.CIQ(A2328, "IQ_EBITDA_MARGIN",IQ_FY-5))</f>
        <v>5.3855000000000004</v>
      </c>
      <c r="H2332" s="15">
        <f>IF(A2336=A2337,_xll.ciqfunctions.udf.CIQ(A2328,"IQ_TOTAL_DIV_PAID_CF",IQ_FY-6)/-I2332, _xll.ciqfunctions.udf.CIQ(A2328, "IQ_TOTAL_DIV_PAID_CF",IQ_FY-5)/-I2332)</f>
        <v>0</v>
      </c>
      <c r="I2332" s="17">
        <f>IF(A2336=A2337,_xll.ciqfunctions.udf.CIQ(A2328,"IQ_TOTAL_OUTSTANDING_FILING_DATE",IQ_FY-6), _xll.ciqfunctions.udf.CIQ(A2328, "IQ_TOTAL_OUTSTANDING_FILING_DATE",IQ_FY-5))</f>
        <v>48.72889</v>
      </c>
      <c r="J2332" s="17">
        <f>IF(A2336=A2337,_xll.ciqfunctions.udf.CIQ(A2328,"IQ_CASH_OPER",IQ_FY-6), _xll.ciqfunctions.udf.CIQ(A2328, "IQ_CASH_OPER",IQ_FY-5))</f>
        <v>145.84200000000001</v>
      </c>
      <c r="K2332" s="17">
        <f>IF(A2336=A2337,_xll.ciqfunctions.udf.CIQ(A2328,"IQ_CAPEX",IQ_FY-6), _xll.ciqfunctions.udf.CIQ(A2328, "IQ_CAPEX",IQ_FY-5))</f>
        <v>-50.786000000000001</v>
      </c>
      <c r="L2332" s="15">
        <f t="shared" si="620"/>
        <v>1.9507113747101568</v>
      </c>
      <c r="M2332" s="17">
        <f>IF(A2336=A2337,_xll.ciqfunctions.udf.CIQ(A2328,"IQ_TOTAL_DEBT_ISSUED",IQ_FY-6), _xll.ciqfunctions.udf.CIQ(A2328, "IQ_TOTAL_DEBT_ISSUED",IQ_FY-5))</f>
        <v>100</v>
      </c>
      <c r="N2332" s="17">
        <f>IF(A2336=A2337,_xll.ciqfunctions.udf.CIQ(A2328,"IQ_TOTAL_DEBT_REPAID",IQ_FY-6), _xll.ciqfunctions.udf.CIQ(A2328, "IQ_TOTAL_DEBT_REPAID",IQ_FY-5))</f>
        <v>-112.396</v>
      </c>
      <c r="O2332" s="15">
        <f t="shared" si="621"/>
        <v>-0.25438707920496445</v>
      </c>
      <c r="P2332" s="15">
        <f t="shared" si="622"/>
        <v>1.6963242955051923</v>
      </c>
      <c r="Q2332" s="18"/>
      <c r="R2332" s="38" t="s">
        <v>50</v>
      </c>
      <c r="S2332" s="3">
        <f>I2339</f>
        <v>-2.5758234673593061E-2</v>
      </c>
      <c r="U2332" s="18"/>
      <c r="V2332" s="38" t="s">
        <v>50</v>
      </c>
      <c r="W2332" s="3">
        <f>I2339</f>
        <v>-2.5758234673593061E-2</v>
      </c>
      <c r="Y2332" s="18"/>
      <c r="Z2332" s="38" t="s">
        <v>50</v>
      </c>
      <c r="AA2332" s="3">
        <f>I2339</f>
        <v>-2.5758234673593061E-2</v>
      </c>
    </row>
    <row r="2333" spans="1:27">
      <c r="B2333" s="13">
        <v>6</v>
      </c>
      <c r="C2333" s="14" t="s">
        <v>26</v>
      </c>
      <c r="D2333" s="15" cm="1">
        <f t="array" ref="D2333">_xlfn.SINGLE(IF(A2336=A2337,_xll.ciqfunctions.udf.CIQ(A2328,"IQ_TOTAL_REV",IQ_FY-5)/I2333, _xll.ciqfunctions.udf.CIQ(A2328, "IQ_TOTAL_REV",IQ_FY-4)/I2333))</f>
        <v>63.127952129838008</v>
      </c>
      <c r="E2333" s="16">
        <f t="shared" si="623"/>
        <v>0.25328227915583806</v>
      </c>
      <c r="F2333" s="15">
        <f>IF(A2336=A2337,_xll.ciqfunctions.udf.CIQ(A2328,"IQ_DILUT_EPS_EXCL",IQ_FY-5), _xll.ciqfunctions.udf.CIQ(A2328, "IQ_DILUT_EPS_EXCL",IQ_FY-4))</f>
        <v>0.49</v>
      </c>
      <c r="G2333" s="15">
        <f>IF(A2336=A2337,_xll.ciqfunctions.udf.CIQ(A2328,"IQ_EBITDA_MARGIN",IQ_FY-5), _xll.ciqfunctions.udf.CIQ(A2328, "IQ_EBITDA_MARGIN",IQ_FY-4))</f>
        <v>4.5129999999999999</v>
      </c>
      <c r="H2333" s="15">
        <f>IF(A2336=A2337,_xll.ciqfunctions.udf.CIQ(A2328,"IQ_TOTAL_DIV_PAID_CF",IQ_FY-5)/-I2333, _xll.ciqfunctions.udf.CIQ(A2328, "IQ_TOTAL_DIV_PAID_CF",IQ_FY-4)/-I2333)</f>
        <v>0.51666499815397726</v>
      </c>
      <c r="I2333" s="17">
        <f>IF(A2336=A2337,_xll.ciqfunctions.udf.CIQ(A2328,"IQ_TOTAL_OUTSTANDING_FILING_DATE",IQ_FY-5), _xll.ciqfunctions.udf.CIQ(A2328, "IQ_TOTAL_OUTSTANDING_FILING_DATE",IQ_FY-4))</f>
        <v>40.654969999999999</v>
      </c>
      <c r="J2333" s="17">
        <f>IF(A2336=A2337,_xll.ciqfunctions.udf.CIQ(A2328,"IQ_CASH_OPER",IQ_FY-5), _xll.ciqfunctions.udf.CIQ(A2328, "IQ_CASH_OPER",IQ_FY-4))</f>
        <v>76.686999999999998</v>
      </c>
      <c r="K2333" s="17">
        <f>IF(A2336=A2337,_xll.ciqfunctions.udf.CIQ(A2328,"IQ_CAPEX",IQ_FY-5), _xll.ciqfunctions.udf.CIQ(A2328, "IQ_CAPEX",IQ_FY-4))</f>
        <v>-62.808</v>
      </c>
      <c r="L2333" s="15">
        <f t="shared" si="620"/>
        <v>0.3413850754286622</v>
      </c>
      <c r="M2333" s="17">
        <f>IF(A2336=A2337,_xll.ciqfunctions.udf.CIQ(A2328,"IQ_TOTAL_DEBT_ISSUED",IQ_FY-5), _xll.ciqfunctions.udf.CIQ(A2328, "IQ_TOTAL_DEBT_ISSUED",IQ_FY-4))</f>
        <v>50</v>
      </c>
      <c r="N2333" s="17">
        <f>IF(A2336=A2337,_xll.ciqfunctions.udf.CIQ(A2328,"IQ_TOTAL_DEBT_REPAID",IQ_FY-5), _xll.ciqfunctions.udf.CIQ(A2328, "IQ_TOTAL_DEBT_REPAID",IQ_FY-4))</f>
        <v>-108.024</v>
      </c>
      <c r="O2333" s="15">
        <f t="shared" si="621"/>
        <v>-1.4272301762859498</v>
      </c>
      <c r="P2333" s="15">
        <f t="shared" si="622"/>
        <v>-1.0858451008572876</v>
      </c>
      <c r="Q2333" s="25" t="s">
        <v>27</v>
      </c>
      <c r="R2333" s="38" t="s">
        <v>51</v>
      </c>
      <c r="S2333" s="4">
        <f>AVERAGE(F2333:F2338)/AVERAGE(D2333:D2338)</f>
        <v>1.5315798847793523E-2</v>
      </c>
      <c r="U2333" s="25" t="s">
        <v>58</v>
      </c>
      <c r="V2333" s="38" t="s">
        <v>51</v>
      </c>
      <c r="W2333" s="4">
        <f>AVERAGE(F2333:F2338)/AVERAGE(D2333:D2338)</f>
        <v>1.5315798847793523E-2</v>
      </c>
      <c r="Y2333" s="25" t="s">
        <v>56</v>
      </c>
      <c r="Z2333" s="38" t="s">
        <v>51</v>
      </c>
      <c r="AA2333" s="4">
        <f>AVERAGE(F2333:F2338)/AVERAGE(D2333:D2338)</f>
        <v>1.5315798847793523E-2</v>
      </c>
    </row>
    <row r="2334" spans="1:27">
      <c r="A2334" s="18"/>
      <c r="B2334" s="13">
        <v>7</v>
      </c>
      <c r="C2334" s="14" t="s">
        <v>28</v>
      </c>
      <c r="D2334" s="15" cm="1">
        <f t="array" ref="D2334">_xlfn.SINGLE(IF(A2336=A2337,_xll.ciqfunctions.udf.CIQ(A2328,"IQ_TOTAL_REV",IQ_FY-4)/I2334, _xll.ciqfunctions.udf.CIQ(A2328, "IQ_TOTAL_REV",IQ_FY-3)/I2334))</f>
        <v>61.708239990379575</v>
      </c>
      <c r="E2334" s="16">
        <f t="shared" si="623"/>
        <v>-2.2489437587622819E-2</v>
      </c>
      <c r="F2334" s="15">
        <f>IF(A2336=A2337,_xll.ciqfunctions.udf.CIQ(A2328,"IQ_DILUT_EPS_EXCL",IQ_FY-4), _xll.ciqfunctions.udf.CIQ(A2328, "IQ_DILUT_EPS_EXCL",IQ_FY-3))</f>
        <v>0.6</v>
      </c>
      <c r="G2334" s="15">
        <f>IF(A2336=A2337,_xll.ciqfunctions.udf.CIQ(A2328,"IQ_EBITDA_MARGIN",IQ_FY-4), _xll.ciqfunctions.udf.CIQ(A2328, "IQ_EBITDA_MARGIN",IQ_FY-3))</f>
        <v>4.2282000000000002</v>
      </c>
      <c r="H2334" s="15">
        <f>IF(A2336=A2337,_xll.ciqfunctions.udf.CIQ(A2328,"IQ_TOTAL_DIV_PAID_CF",IQ_FY-4)/-I2334, _xll.ciqfunctions.udf.CIQ(A2328, "IQ_TOTAL_DIV_PAID_CF",IQ_FY-3)/-I2334)</f>
        <v>0.63357125017072446</v>
      </c>
      <c r="I2334" s="17">
        <f>IF(A2336=A2337,_xll.ciqfunctions.udf.CIQ(A2328,"IQ_TOTAL_OUTSTANDING_FILING_DATE",IQ_FY-4), _xll.ciqfunctions.udf.CIQ(A2328, "IQ_TOTAL_OUTSTANDING_FILING_DATE",IQ_FY-3))</f>
        <v>36.755139999999997</v>
      </c>
      <c r="J2334" s="17">
        <f>IF(A2336=A2337,_xll.ciqfunctions.udf.CIQ(A2328,"IQ_CASH_OPER",IQ_FY-4), _xll.ciqfunctions.udf.CIQ(A2328, "IQ_CASH_OPER",IQ_FY-3))</f>
        <v>93.135999999999996</v>
      </c>
      <c r="K2334" s="17">
        <f>IF(A2336=A2337,_xll.ciqfunctions.udf.CIQ(A2328,"IQ_CAPEX",IQ_FY-4), _xll.ciqfunctions.udf.CIQ(A2328, "IQ_CAPEX",IQ_FY-3))</f>
        <v>-32.576000000000001</v>
      </c>
      <c r="L2334" s="15">
        <f t="shared" si="620"/>
        <v>1.647660708134971</v>
      </c>
      <c r="M2334" s="17">
        <f>IF(A2336=A2337,_xll.ciqfunctions.udf.CIQ(A2328,"IQ_TOTAL_DEBT_ISSUED",IQ_FY-4), _xll.ciqfunctions.udf.CIQ(A2328, "IQ_TOTAL_DEBT_ISSUED",IQ_FY-3))</f>
        <v>0</v>
      </c>
      <c r="N2334" s="17">
        <f>IF(A2336=A2337,_xll.ciqfunctions.udf.CIQ(A2328,"IQ_TOTAL_DEBT_REPAID",IQ_FY-4), _xll.ciqfunctions.udf.CIQ(A2328, "IQ_TOTAL_DEBT_REPAID",IQ_FY-3))</f>
        <v>-6.7939999999999996</v>
      </c>
      <c r="O2334" s="15">
        <f t="shared" si="621"/>
        <v>-0.18484489516296224</v>
      </c>
      <c r="P2334" s="15">
        <f t="shared" si="622"/>
        <v>1.4628158129720088</v>
      </c>
      <c r="Q2334" s="18"/>
      <c r="R2334" s="38" t="s">
        <v>29</v>
      </c>
      <c r="S2334" s="4">
        <f>(AVERAGE(P2333:P2338)/_xlfn.STDEV.P(P2333:P2338))/(IF(A2336=A2337,(_xlfn.SINGLE(_xll.ciqfunctions.udf.CIQ(A2328,"IQ_total_assets",IQ_FY)) - _xlfn.SINGLE(_xll.ciqfunctions.udf.CIQ(A2328,"iq_gw_intan", IQ_FY)))/I2338, (_xlfn.SINGLE(_xll.ciqfunctions.udf.CIQ(A2328, "IQ_total_assets",IQ_LTM))-_xlfn.SINGLE(_xll.ciqfunctions.udf.CIQ(A2328,"iq_gw_intan",IQ_LTM)))/I2338))</f>
        <v>3.1980148724260159E-3</v>
      </c>
      <c r="U2334" s="18"/>
      <c r="V2334" s="38" t="s">
        <v>29</v>
      </c>
      <c r="W2334" s="4">
        <f>(AVERAGE(P2333:P2338)/_xlfn.STDEV.P(P2333:P2338))/(IF(A2336=A2337,(_xlfn.SINGLE(_xll.ciqfunctions.udf.CIQ(A2328,"IQ_total_assets",IQ_FY)) - _xlfn.SINGLE(_xll.ciqfunctions.udf.CIQ(A2328,"iq_gw_intan", IQ_FY)))/I2338, (_xlfn.SINGLE(_xll.ciqfunctions.udf.CIQ(A2328, "IQ_total_assets",IQ_LTM))-_xlfn.SINGLE(_xll.ciqfunctions.udf.CIQ(A2328,"iq_gw_intan",IQ_LTM)))/I2338))</f>
        <v>3.1980148724260159E-3</v>
      </c>
      <c r="Y2334" s="18"/>
      <c r="Z2334" s="38" t="s">
        <v>29</v>
      </c>
      <c r="AA2334" s="4">
        <f>(AVERAGE(P2333:P2338)/_xlfn.STDEV.P(P2333:P2338))/(IF(A2336=A2337,(_xlfn.SINGLE(_xll.ciqfunctions.udf.CIQ(A2328,"IQ_total_assets",IQ_FY)) - _xlfn.SINGLE(_xll.ciqfunctions.udf.CIQ(A2328,"iq_gw_intan", IQ_FY)))/I2338, (_xlfn.SINGLE(_xll.ciqfunctions.udf.CIQ(A2328, "IQ_total_assets",IQ_LTM))-_xlfn.SINGLE(_xll.ciqfunctions.udf.CIQ(A2328,"iq_gw_intan",IQ_LTM)))/I2338))</f>
        <v>3.1980148724260159E-3</v>
      </c>
    </row>
    <row r="2335" spans="1:27">
      <c r="A2335" s="18"/>
      <c r="B2335" s="13">
        <v>8</v>
      </c>
      <c r="C2335" s="14" t="s">
        <v>30</v>
      </c>
      <c r="D2335" s="15" cm="1">
        <f t="array" ref="D2335">_xlfn.SINGLE(IF(A2336=A2337,_xll.ciqfunctions.udf.CIQ(A2328,"IQ_TOTAL_REV",IQ_FY-3)/I2335, _xll.ciqfunctions.udf.CIQ(A2328, "IQ_TOTAL_REV",IQ_FY-2)/I2335))</f>
        <v>56.518480060957877</v>
      </c>
      <c r="E2335" s="16">
        <f t="shared" si="623"/>
        <v>-8.4101571041902842E-2</v>
      </c>
      <c r="F2335" s="15">
        <f>IF(A2336=A2337,_xll.ciqfunctions.udf.CIQ(A2328,"IQ_DILUT_EPS_EXCL",IQ_FY-3), _xll.ciqfunctions.udf.CIQ(A2328, "IQ_DILUT_EPS_EXCL",IQ_FY-2))</f>
        <v>0.38</v>
      </c>
      <c r="G2335" s="15">
        <f>IF(A2336=A2337,_xll.ciqfunctions.udf.CIQ(A2328,"IQ_EBITDA_MARGIN",IQ_FY-3), _xll.ciqfunctions.udf.CIQ(A2328, "IQ_EBITDA_MARGIN",IQ_FY-2))</f>
        <v>4.4123000000000001</v>
      </c>
      <c r="H2335" s="15">
        <f>IF(A2336=A2337,_xll.ciqfunctions.udf.CIQ(A2328,"IQ_TOTAL_DIV_PAID_CF",IQ_FY-3)/-I2335, _xll.ciqfunctions.udf.CIQ(A2328, "IQ_TOTAL_DIV_PAID_CF",IQ_FY-2)/-I2335)</f>
        <v>0.63427141233780537</v>
      </c>
      <c r="I2335" s="17">
        <f>IF(A2336=A2337,_xll.ciqfunctions.udf.CIQ(A2328,"IQ_TOTAL_OUTSTANDING_FILING_DATE",IQ_FY-3), _xll.ciqfunctions.udf.CIQ(A2328, "IQ_TOTAL_OUTSTANDING_FILING_DATE",IQ_FY-2))</f>
        <v>36.326720000000002</v>
      </c>
      <c r="J2335" s="17">
        <f>IF(A2336=A2337,_xll.ciqfunctions.udf.CIQ(A2328,"IQ_CASH_OPER",IQ_FY-3), _xll.ciqfunctions.udf.CIQ(A2328, "IQ_CASH_OPER",IQ_FY-2))</f>
        <v>120.438</v>
      </c>
      <c r="K2335" s="17">
        <f>IF(A2336=A2337,_xll.ciqfunctions.udf.CIQ(A2328,"IQ_CAPEX",IQ_FY-3), _xll.ciqfunctions.udf.CIQ(A2328, "IQ_CAPEX",IQ_FY-2))</f>
        <v>-34.584000000000003</v>
      </c>
      <c r="L2335" s="15">
        <f t="shared" si="620"/>
        <v>2.3633843077492269</v>
      </c>
      <c r="M2335" s="17">
        <f>IF(A2336=A2337,_xll.ciqfunctions.udf.CIQ(A2328,"IQ_TOTAL_DEBT_ISSUED",IQ_FY-3), _xll.ciqfunctions.udf.CIQ(A2328, "IQ_TOTAL_DEBT_ISSUED",IQ_FY-2))</f>
        <v>110.864</v>
      </c>
      <c r="N2335" s="17">
        <f>IF(A2336=A2337,_xll.ciqfunctions.udf.CIQ(A2328,"IQ_TOTAL_DEBT_REPAID",IQ_FY-3), _xll.ciqfunctions.udf.CIQ(A2328, "IQ_TOTAL_DEBT_REPAID",IQ_FY-2))</f>
        <v>-118.851</v>
      </c>
      <c r="O2335" s="15">
        <f t="shared" si="621"/>
        <v>-0.2198657076664228</v>
      </c>
      <c r="P2335" s="15">
        <f t="shared" si="622"/>
        <v>2.1435186000828041</v>
      </c>
      <c r="Q2335" s="18"/>
      <c r="R2335" s="39" t="s">
        <v>31</v>
      </c>
      <c r="S2335" s="5">
        <f>IF(NOT(D2328&gt;0),FALSE,SLOPE(G2328:G2338,B2328:B2338))</f>
        <v>-9.0309090909090908E-2</v>
      </c>
      <c r="U2335" s="18"/>
      <c r="V2335" s="39" t="s">
        <v>31</v>
      </c>
      <c r="W2335" s="5">
        <f>IF(NOT(D2328&gt;0),FALSE,SLOPE(G2328:G2338,B2328:B2338))</f>
        <v>-9.0309090909090908E-2</v>
      </c>
      <c r="Y2335" s="18"/>
      <c r="Z2335" s="39" t="s">
        <v>31</v>
      </c>
      <c r="AA2335" s="5">
        <f>IF(NOT(L2328&gt;0),FALSE,SLOPE(O2328:O2338,J2328:J2338))</f>
        <v>-1.1540625211101132E-2</v>
      </c>
    </row>
    <row r="2336" spans="1:27">
      <c r="A2336" s="19">
        <f>_xll.ciqfunctions.udf.CIQ(A2328,"IQ_TOTAL_REV",IQ_FY)</f>
        <v>2886.3310000000001</v>
      </c>
      <c r="B2336" s="13">
        <v>9</v>
      </c>
      <c r="C2336" s="14" t="s">
        <v>32</v>
      </c>
      <c r="D2336" s="15" cm="1">
        <f t="array" ref="D2336">_xlfn.SINGLE(IF(A2336=A2337,_xll.ciqfunctions.udf.CIQ(A2328,"IQ_TOTAL_REV",IQ_FY-2)/I2336, _xll.ciqfunctions.udf.CIQ(A2328, "IQ_TOTAL_REV",IQ_FY-1)/I2336))</f>
        <v>64.074620606892594</v>
      </c>
      <c r="E2336" s="16">
        <f t="shared" si="623"/>
        <v>0.13369327232057654</v>
      </c>
      <c r="F2336" s="15">
        <f>IF(A2336=A2337,_xll.ciqfunctions.udf.CIQ(A2328,"IQ_DILUT_EPS_EXCL",IQ_FY-2), _xll.ciqfunctions.udf.CIQ(A2328, "IQ_DILUT_EPS_EXCL",IQ_FY-1))</f>
        <v>0.99</v>
      </c>
      <c r="G2336" s="15">
        <f>IF(A2336=A2337,_xll.ciqfunctions.udf.CIQ(A2328,"IQ_EBITDA_MARGIN",IQ_FY-2), _xll.ciqfunctions.udf.CIQ(A2328, "IQ_EBITDA_MARGIN",IQ_FY-1))</f>
        <v>4.6203000000000003</v>
      </c>
      <c r="H2336" s="15">
        <f>IF(A2336=A2337,_xll.ciqfunctions.udf.CIQ(A2328,"IQ_TOTAL_DIV_PAID_CF",IQ_FY-2)/-I2336, _xll.ciqfunctions.udf.CIQ(A2328, "IQ_TOTAL_DIV_PAID_CF",IQ_FY-1)/-I2336)</f>
        <v>0.6608269940156235</v>
      </c>
      <c r="I2336" s="17">
        <f>IF(A2336=A2337,_xll.ciqfunctions.udf.CIQ(A2328,"IQ_TOTAL_OUTSTANDING_FILING_DATE",IQ_FY-2), _xll.ciqfunctions.udf.CIQ(A2328, "IQ_TOTAL_OUTSTANDING_FILING_DATE",IQ_FY-1))</f>
        <v>35.198320000000002</v>
      </c>
      <c r="J2336" s="17">
        <f>IF(A2336=A2337,_xll.ciqfunctions.udf.CIQ(A2328,"IQ_CASH_OPER",IQ_FY-2), _xll.ciqfunctions.udf.CIQ(A2328, "IQ_CASH_OPER",IQ_FY-1))</f>
        <v>-2.6219999999999999</v>
      </c>
      <c r="K2336" s="17">
        <f>IF(A2336=A2337,_xll.ciqfunctions.udf.CIQ(A2328,"IQ_CAPEX",IQ_FY-2), _xll.ciqfunctions.udf.CIQ(A2328, "IQ_CAPEX",IQ_FY-1))</f>
        <v>-38.793999999999997</v>
      </c>
      <c r="L2336" s="15">
        <f t="shared" si="620"/>
        <v>-1.1766470672463911</v>
      </c>
      <c r="M2336" s="17">
        <f>IF(A2336=A2337,_xll.ciqfunctions.udf.CIQ(A2328,"IQ_TOTAL_DEBT_ISSUED",IQ_FY-2), _xll.ciqfunctions.udf.CIQ(A2328, "IQ_TOTAL_DEBT_ISSUED",IQ_FY-1))</f>
        <v>150</v>
      </c>
      <c r="N2336" s="17">
        <f>IF(A2336=A2337,_xll.ciqfunctions.udf.CIQ(A2328,"IQ_TOTAL_DEBT_REPAID",IQ_FY-2), _xll.ciqfunctions.udf.CIQ(A2328, "IQ_TOTAL_DEBT_REPAID",IQ_FY-1))</f>
        <v>-156.49799999999999</v>
      </c>
      <c r="O2336" s="15">
        <f t="shared" si="621"/>
        <v>-0.1846110837108132</v>
      </c>
      <c r="P2336" s="15">
        <f t="shared" si="622"/>
        <v>-1.3612581509572044</v>
      </c>
      <c r="Q2336" s="25" t="s">
        <v>33</v>
      </c>
      <c r="R2336" s="38" t="s">
        <v>52</v>
      </c>
      <c r="S2336" s="4">
        <f>(AVERAGE(O2333:O2338)/AVERAGE(P2333:P2338))</f>
        <v>4.7201540818933507</v>
      </c>
      <c r="U2336" s="25" t="s">
        <v>54</v>
      </c>
      <c r="V2336" s="38" t="s">
        <v>52</v>
      </c>
      <c r="W2336" s="4">
        <f>(AVERAGE(O2333:O2338)/AVERAGE(P2333:P2338))</f>
        <v>4.7201540818933507</v>
      </c>
      <c r="Y2336" s="25" t="s">
        <v>60</v>
      </c>
      <c r="Z2336" s="38" t="s">
        <v>52</v>
      </c>
      <c r="AA2336" s="4">
        <f>(AVERAGE(O2333:O2338)/AVERAGE(P2333:P2338))</f>
        <v>4.7201540818933507</v>
      </c>
    </row>
    <row r="2337" spans="1:27">
      <c r="A2337" s="19">
        <f>_xll.ciqfunctions.udf.CIQ(A2328,"IQ_TOTAL_REV",IQ_LTM)</f>
        <v>2898.2660000000001</v>
      </c>
      <c r="B2337" s="13">
        <v>10</v>
      </c>
      <c r="C2337" s="14" t="s">
        <v>34</v>
      </c>
      <c r="D2337" s="15" cm="1">
        <f t="array" ref="D2337">_xlfn.SINGLE(IF(A2336=A2337,_xll.ciqfunctions.udf.CIQ(A2328,"IQ_TOTAL_REV",IQ_FY-1)/I2337, _xll.ciqfunctions.udf.CIQ(A2328, "IQ_TOTAL_REV",IQ_FY)/I2337))</f>
        <v>82.018917315316628</v>
      </c>
      <c r="E2337" s="16">
        <f t="shared" si="623"/>
        <v>0.28005310899170177</v>
      </c>
      <c r="F2337" s="15">
        <f>IF(A2336=A2337,_xll.ciqfunctions.udf.CIQ(A2328,"IQ_DILUT_EPS_EXCL",IQ_FY-1), _xll.ciqfunctions.udf.CIQ(A2328, "IQ_DILUT_EPS_EXCL",IQ_FY))</f>
        <v>1.91</v>
      </c>
      <c r="G2337" s="15">
        <f>IF(A2336=A2337,_xll.ciqfunctions.udf.CIQ(A2328,"IQ_EBITDA_MARGIN",IQ_FY-1), _xll.ciqfunctions.udf.CIQ(A2328, "IQ_EBITDA_MARGIN",IQ_FY))</f>
        <v>4.7934999999999999</v>
      </c>
      <c r="H2337" s="15">
        <f>IF(A2336=A2337,_xll.ciqfunctions.udf.CIQ(A2328,"IQ_TOTAL_DIV_PAID_CF",IQ_FY-1)/-I2337, _xll.ciqfunctions.udf.CIQ(A2328, "IQ_TOTAL_DIV_PAID_CF",IQ_FY)/-I2337)</f>
        <v>0.65800840213872613</v>
      </c>
      <c r="I2337" s="17">
        <f>IF(A2336=A2337,_xll.ciqfunctions.udf.CIQ(A2328,"IQ_TOTAL_OUTSTANDING_FILING_DATE",IQ_FY-1), _xll.ciqfunctions.udf.CIQ(A2328, "IQ_TOTAL_OUTSTANDING_FILING_DATE",IQ_FY))</f>
        <v>35.191040000000001</v>
      </c>
      <c r="J2337" s="17">
        <f>IF(A2336=A2337,_xll.ciqfunctions.udf.CIQ(A2328,"IQ_CASH_OPER",IQ_FY-1), _xll.ciqfunctions.udf.CIQ(A2328, "IQ_CASH_OPER",IQ_FY))</f>
        <v>-177.46700000000001</v>
      </c>
      <c r="K2337" s="17">
        <f>IF(A2336=A2337,_xll.ciqfunctions.udf.CIQ(A2328,"IQ_CAPEX",IQ_FY-1), _xll.ciqfunctions.udf.CIQ(A2328, "IQ_CAPEX",IQ_FY))</f>
        <v>-43.356999999999999</v>
      </c>
      <c r="L2337" s="15">
        <f t="shared" si="620"/>
        <v>-6.275006365256611</v>
      </c>
      <c r="M2337" s="17">
        <f>IF(A2336=A2337,_xll.ciqfunctions.udf.CIQ(A2328,"IQ_TOTAL_DEBT_ISSUED",IQ_FY-1), _xll.ciqfunctions.udf.CIQ(A2328, "IQ_TOTAL_DEBT_ISSUED",IQ_FY))</f>
        <v>828</v>
      </c>
      <c r="N2337" s="17">
        <f>IF(A2336=A2337,_xll.ciqfunctions.udf.CIQ(A2328,"IQ_TOTAL_DEBT_REPAID",IQ_FY-1), _xll.ciqfunctions.udf.CIQ(A2328, "IQ_TOTAL_DEBT_REPAID",IQ_FY))</f>
        <v>-633.16499999999996</v>
      </c>
      <c r="O2337" s="15">
        <f t="shared" si="621"/>
        <v>5.5364945167860915</v>
      </c>
      <c r="P2337" s="15">
        <f t="shared" si="622"/>
        <v>-0.73851184847051954</v>
      </c>
      <c r="Q2337" s="25" t="s">
        <v>44</v>
      </c>
      <c r="R2337" s="38" t="s">
        <v>35</v>
      </c>
      <c r="S2337" s="1">
        <f>_xll.ciqfunctions.udf.CIQ(A2328,"IQ_TEV_EBITDA")</f>
        <v>6.8716400000000002</v>
      </c>
      <c r="U2337" s="25" t="s">
        <v>55</v>
      </c>
      <c r="V2337" s="38" t="s">
        <v>53</v>
      </c>
      <c r="W2337" s="1">
        <f>V2327/(AVERAGE(D2333:D2338)/_xlfn.STDEV.P(E2333:E2338))</f>
        <v>5.2181141206054535E-2</v>
      </c>
      <c r="Y2337" s="25" t="s">
        <v>57</v>
      </c>
      <c r="Z2337" s="38" t="s">
        <v>53</v>
      </c>
      <c r="AA2337" s="1">
        <f>Z2327/(AVERAGE(D2333:D2338)/_xlfn.STDEV.P(E2333:E2338))</f>
        <v>5.2181141206054535E-2</v>
      </c>
    </row>
    <row r="2338" spans="1:27">
      <c r="B2338" s="13">
        <v>11</v>
      </c>
      <c r="C2338" s="20" t="s">
        <v>36</v>
      </c>
      <c r="D2338" s="21" cm="1">
        <f t="array" ref="D2338">_xlfn.SINGLE(IF(A2336=A2337,_xll.ciqfunctions.udf.CIQ(A2328,"IQ_TOTAL_REV",IQ_FY)/I2338, _xll.ciqfunctions.udf.CIQ(A2328, "IQ_TOTAL_REV",IQ_LTM)/I2338))</f>
        <v>81.225216741844946</v>
      </c>
      <c r="E2338" s="22">
        <f t="shared" si="623"/>
        <v>-9.6770428024592122E-3</v>
      </c>
      <c r="F2338" s="21">
        <f>IF(A2336=A2337,_xll.ciqfunctions.udf.CIQ(A2328,"IQ_DILUT_EPS_EXCL",IQ_FY), _xll.ciqfunctions.udf.CIQ(A2328, "IQ_DILUT_EPS_EXCL",IQ_LTM))</f>
        <v>1.88916</v>
      </c>
      <c r="G2338" s="21">
        <f>IF(A2336=A2337,_xll.ciqfunctions.udf.CIQ(A2328,"IQ_EBITDA_MARGIN",IQ_FY), _xll.ciqfunctions.udf.CIQ(A2328, "IQ_EBITDA_MARGIN",IQ_LTM))</f>
        <v>5.3543000000000003</v>
      </c>
      <c r="H2338" s="21">
        <f>IF(A2336=A2337,_xll.ciqfunctions.udf.CIQ(A2328,"IQ_TOTAL_DIV_PAID_CF",IQ_FY)/-I2338, _xll.ciqfunctions.udf.CIQ(A2328, "IQ_TOTAL_DIV_PAID_CF",IQ_LTM)/-I2338)</f>
        <v>0.65332935371904777</v>
      </c>
      <c r="I2338" s="23">
        <f>IF(A2336=A2337,_xll.ciqfunctions.udf.CIQ(A2328,"IQ_TOTAL_OUTSTANDING_FILING_DATE",IQ_FY),_xll.ciqfunctions.udf.CIQ(A2328,"IQ_sharesoutstanding"))</f>
        <v>35.681849999999997</v>
      </c>
      <c r="J2338" s="23">
        <f>IF(A2336=A2337,_xll.ciqfunctions.udf.CIQ(A2328,"IQ_CASH_OPER",IQ_FY), _xll.ciqfunctions.udf.CIQ(A2328, "IQ_CASH_OPER",IQ_LTM))</f>
        <v>-15.536</v>
      </c>
      <c r="K2338" s="23">
        <f>IF(A2336=A2337,_xll.ciqfunctions.udf.CIQ(A2328,"IQ_CAPEX",IQ_FY), _xll.ciqfunctions.udf.CIQ(A2328, "IQ_CAPEX",IQ_LTM))</f>
        <v>-77.191999999999993</v>
      </c>
      <c r="L2338" s="21">
        <f t="shared" si="620"/>
        <v>-2.5987441794637891</v>
      </c>
      <c r="M2338" s="23">
        <f>IF(A2336=A2337,_xll.ciqfunctions.udf.CIQ(A2328,"IQ_TOTAL_DEBT_ISSUED",IQ_FY), _xll.ciqfunctions.udf.CIQ(A2328, "IQ_TOTAL_DEBT_ISSUED",IQ_LTM))</f>
        <v>849.5</v>
      </c>
      <c r="N2338" s="23">
        <f>IF(A2336=A2337,_xll.ciqfunctions.udf.CIQ(A2328,"IQ_TOTAL_DEBT_REPAID",IQ_FY), _xll.ciqfunctions.udf.CIQ(A2328, "IQ_TOTAL_DEBT_REPAID",IQ_LTM))</f>
        <v>-717.13199999999995</v>
      </c>
      <c r="O2338" s="21">
        <f t="shared" si="621"/>
        <v>3.7096731251322468</v>
      </c>
      <c r="P2338" s="21">
        <f t="shared" si="622"/>
        <v>1.1109289456684577</v>
      </c>
      <c r="Q2338" s="25" t="s">
        <v>45</v>
      </c>
      <c r="S2338" s="45"/>
      <c r="U2338" s="25"/>
      <c r="W2338" s="45"/>
      <c r="Y2338" s="25"/>
      <c r="AA2338" s="45"/>
    </row>
    <row r="2339" spans="1:27">
      <c r="B2339" s="24"/>
      <c r="C2339" s="25" t="s">
        <v>37</v>
      </c>
      <c r="E2339" s="26">
        <f>((D2338/D2333)^(1/5))-1</f>
        <v>5.1704750398717136E-2</v>
      </c>
      <c r="F2339" s="27">
        <f>((F2338/F2333)^(1/5))-1</f>
        <v>0.30982879095184268</v>
      </c>
      <c r="G2339" s="28"/>
      <c r="H2339" s="27">
        <f>((H2338/H2333)^(1/5))-1</f>
        <v>4.8056331710244038E-2</v>
      </c>
      <c r="I2339" s="27">
        <f>((I2338/I2333)^(1/5))-1</f>
        <v>-2.5758234673593061E-2</v>
      </c>
      <c r="J2339" s="27"/>
      <c r="K2339" s="27"/>
      <c r="L2339" s="26">
        <f>((L2338/L2333)^(1/5))-1</f>
        <v>-2.5007342692398957</v>
      </c>
      <c r="M2339" s="26"/>
      <c r="N2339" s="26"/>
      <c r="O2339" s="26"/>
      <c r="P2339" s="26">
        <f>((P2338/P2333)^(1/5))-1</f>
        <v>-2.0045780423037014</v>
      </c>
      <c r="Q2339" s="18"/>
      <c r="R2339" s="36"/>
      <c r="S2339" s="45"/>
      <c r="U2339" s="18"/>
      <c r="V2339" s="36"/>
      <c r="W2339" s="45"/>
      <c r="Y2339" s="18"/>
      <c r="Z2339" s="36"/>
      <c r="AA2339" s="45"/>
    </row>
    <row r="2340" spans="1:27">
      <c r="A2340" s="29"/>
      <c r="B2340" s="30"/>
      <c r="C2340" s="31" t="s">
        <v>38</v>
      </c>
      <c r="D2340" s="29"/>
      <c r="E2340" s="32">
        <f>((D2338/D2328)^(1/10))-1</f>
        <v>5.6964512895223862E-2</v>
      </c>
      <c r="F2340" s="33">
        <f>((F2338/F2328)^(1/10))-1</f>
        <v>-7.1645619973862429E-3</v>
      </c>
      <c r="G2340" s="34"/>
      <c r="H2340" s="33" t="e">
        <f>((H2338/H2328)^(1/10))-1</f>
        <v>#DIV/0!</v>
      </c>
      <c r="I2340" s="33">
        <f>((I2338/I2328)^(1/10))-1</f>
        <v>-4.0053081596467588E-2</v>
      </c>
      <c r="J2340" s="33"/>
      <c r="K2340" s="33"/>
      <c r="L2340" s="32" t="e">
        <f>((L2338/L2328)^(1/10))-1</f>
        <v>#NUM!</v>
      </c>
      <c r="M2340" s="32"/>
      <c r="N2340" s="32"/>
      <c r="O2340" s="32"/>
      <c r="P2340" s="32">
        <f>((P2338/P2328)^(1/10))-1</f>
        <v>-1.7996414597997057E-2</v>
      </c>
      <c r="Q2340" s="40"/>
      <c r="R2340" s="41"/>
      <c r="S2340" s="46"/>
      <c r="U2340" s="40"/>
      <c r="V2340" s="41"/>
      <c r="W2340" s="46"/>
      <c r="Y2340" s="40"/>
      <c r="Z2340" s="41"/>
      <c r="AA2340" s="46"/>
    </row>
    <row r="2341" spans="1:27">
      <c r="B2341" s="24"/>
      <c r="C2341" s="25"/>
      <c r="E2341" s="26"/>
      <c r="F2341" s="27"/>
      <c r="G2341" s="28"/>
      <c r="H2341" s="27"/>
      <c r="I2341" s="27"/>
      <c r="J2341" s="27"/>
      <c r="K2341" s="27"/>
      <c r="L2341" s="26"/>
      <c r="M2341" s="17"/>
      <c r="N2341" s="17"/>
      <c r="O2341" s="17"/>
      <c r="P2341" s="35"/>
      <c r="Q2341" s="18"/>
      <c r="R2341" s="36"/>
    </row>
    <row r="2342" spans="1:27">
      <c r="A2342" s="9" t="s">
        <v>0</v>
      </c>
      <c r="B2342" s="10"/>
      <c r="C2342" s="9" t="s">
        <v>1</v>
      </c>
      <c r="D2342" s="9" t="s">
        <v>2</v>
      </c>
      <c r="E2342" s="9" t="s">
        <v>3</v>
      </c>
      <c r="F2342" s="11" t="s">
        <v>4</v>
      </c>
      <c r="G2342" s="11" t="s">
        <v>5</v>
      </c>
      <c r="H2342" s="9" t="s">
        <v>6</v>
      </c>
      <c r="I2342" s="11" t="s">
        <v>7</v>
      </c>
      <c r="J2342" s="11" t="s">
        <v>8</v>
      </c>
      <c r="K2342" s="11" t="s">
        <v>9</v>
      </c>
      <c r="L2342" s="11" t="s">
        <v>10</v>
      </c>
      <c r="M2342" s="11" t="s">
        <v>11</v>
      </c>
      <c r="N2342" s="11" t="s">
        <v>12</v>
      </c>
      <c r="O2342" s="11" t="s">
        <v>13</v>
      </c>
      <c r="P2342" s="11" t="s">
        <v>14</v>
      </c>
      <c r="Q2342" s="37" t="s">
        <v>15</v>
      </c>
      <c r="R2342" s="42">
        <f>_xll.ciqfunctions.udf.CIQ(A2343,("IQ_LASTSALEPRICE"))</f>
        <v>38.424999999999997</v>
      </c>
      <c r="S2342" s="44"/>
      <c r="U2342" s="37" t="s">
        <v>15</v>
      </c>
      <c r="V2342" s="42">
        <f>_xll.ciqfunctions.udf.CIQ(A2343,("IQ_LASTSALEPRICE"))</f>
        <v>38.424999999999997</v>
      </c>
      <c r="W2342" s="44"/>
      <c r="Y2342" s="37" t="s">
        <v>15</v>
      </c>
      <c r="Z2342" s="42">
        <f>_xll.ciqfunctions.udf.CIQ(A2343,("IQ_LASTSALEPRICE"))</f>
        <v>38.424999999999997</v>
      </c>
      <c r="AA2342" s="44"/>
    </row>
    <row r="2343" spans="1:27">
      <c r="A2343" s="12" t="str">
        <f>Analysis!B158</f>
        <v>NYSE:PAR</v>
      </c>
      <c r="B2343" s="13">
        <v>1</v>
      </c>
      <c r="C2343" s="14" t="s">
        <v>16</v>
      </c>
      <c r="D2343" s="15">
        <f>IF(A2351=A2352,_xll.ciqfunctions.udf.CIQ(A2343,"IQ_TOTAL_REV",IQ_FY-10)/I2343,_xll.ciqfunctions.udf.CIQ(A2343, "IQ_TOTAL_REV",IQ_FY-9)/I2343)</f>
        <v>15.760059855766407</v>
      </c>
      <c r="E2343" s="16"/>
      <c r="F2343" s="15">
        <f>IF(A2351=A2352,_xll.ciqfunctions.udf.CIQ(A2343,"IQ_DILUT_EPS_EXCL",IQ_FY-10), _xll.ciqfunctions.udf.CIQ(A2343, "IQ_DILUT_EPS_EXCL",IQ_FY-9))</f>
        <v>3.7339999999999998E-2</v>
      </c>
      <c r="G2343" s="15">
        <f>IF(A2351=A2352,_xll.ciqfunctions.udf.CIQ(A2343,"IQ_EBITDA_MARGIN",IQ_FY-10), _xll.ciqfunctions.udf.CIQ(A2343, "IQ_EBITDA_MARGIN",IQ_FY-9))</f>
        <v>0.36159999999999998</v>
      </c>
      <c r="H2343" s="15">
        <f>IF(A2351=A2352,_xll.ciqfunctions.udf.CIQ(A2343,"IQ_TOTAL_DIV_PAID_CF",IQ_FY-10)/-I2343, _xll.ciqfunctions.udf.CIQ(A2343, "IQ_TOTAL_DIV_PAID_CF",IQ_FY-9)/-I2343)</f>
        <v>0</v>
      </c>
      <c r="I2343" s="17">
        <f>IF(A2351=A2352,_xll.ciqfunctions.udf.CIQ(A2343,"IQ_TOTAL_OUTSTANDING_FILING_DATE",IQ_FY-10), _xll.ciqfunctions.udf.CIQ(A2343, "IQ_TOTAL_OUTSTANDING_FILING_DATE",IQ_FY-9))</f>
        <v>15.31682</v>
      </c>
      <c r="J2343" s="17">
        <f>IF(A2351=A2352,_xll.ciqfunctions.udf.CIQ(A2343,"IQ_CASH_OPER",IQ_FY-10), _xll.ciqfunctions.udf.CIQ(A2343, "IQ_CASH_OPER",IQ_FY-9))</f>
        <v>-3.23</v>
      </c>
      <c r="K2343" s="17">
        <f>IF(A2351=A2352,_xll.ciqfunctions.udf.CIQ(A2343,"IQ_CAPEX",IQ_FY-10), _xll.ciqfunctions.udf.CIQ(A2343, "IQ_CAPEX",IQ_FY-9))</f>
        <v>-1.1359999999999999</v>
      </c>
      <c r="L2343" s="15">
        <f t="shared" ref="L2343:L2353" si="624">(J2343+K2343)/I2343</f>
        <v>-0.28504611270485647</v>
      </c>
      <c r="M2343" s="17">
        <f>IF(A2351=A2352,_xll.ciqfunctions.udf.CIQ(A2343,"IQ_TOTAL_DEBT_ISSUED",IQ_FY-10), _xll.ciqfunctions.udf.CIQ(A2343, "IQ_TOTAL_DEBT_ISSUED",IQ_FY-9))</f>
        <v>0</v>
      </c>
      <c r="N2343" s="17">
        <f>IF(A2351=A2352,_xll.ciqfunctions.udf.CIQ(A2343,"IQ_TOTAL_DEBT_REPAID",IQ_FY-10), _xll.ciqfunctions.udf.CIQ(A2343, "IQ_TOTAL_DEBT_REPAID",IQ_FY-9))</f>
        <v>-0.159</v>
      </c>
      <c r="O2343" s="15">
        <f t="shared" ref="O2343:O2353" si="625">(M2343+N2343)/I2343</f>
        <v>-1.0380744828234582E-2</v>
      </c>
      <c r="P2343" s="15">
        <f t="shared" ref="P2343:P2353" si="626">L2343+O2343</f>
        <v>-0.29542685753309106</v>
      </c>
      <c r="W2343" s="43"/>
      <c r="AA2343" s="43"/>
    </row>
    <row r="2344" spans="1:27">
      <c r="A2344" s="18" t="str">
        <f>_xll.ciqfunctions.udf.CIQ(A2343,"IQ_COMPANY_NAME")</f>
        <v>PAR Technology Corporation</v>
      </c>
      <c r="B2344" s="13">
        <v>2</v>
      </c>
      <c r="C2344" s="14" t="s">
        <v>17</v>
      </c>
      <c r="D2344" s="15">
        <f>IF(A2351=A2352,_xll.ciqfunctions.udf.CIQ(A2343,"IQ_TOTAL_REV",IQ_FY-9)/I2344, _xll.ciqfunctions.udf.CIQ(A2343, "IQ_TOTAL_REV",IQ_FY-8)/I2344)</f>
        <v>14.245370612543809</v>
      </c>
      <c r="E2344" s="16">
        <f t="shared" ref="E2344:E2353" si="627">(D2344-D2343)/D2343</f>
        <v>-9.6109358535741388E-2</v>
      </c>
      <c r="F2344" s="15">
        <f>IF(A2351=A2352,_xll.ciqfunctions.udf.CIQ(A2343,"IQ_DILUT_EPS_EXCL",IQ_FY-9), _xll.ciqfunctions.udf.CIQ(A2343, "IQ_DILUT_EPS_EXCL",IQ_FY-8))</f>
        <v>-1.1299999999999999E-3</v>
      </c>
      <c r="G2344" s="15">
        <f>IF(A2351=A2352,_xll.ciqfunctions.udf.CIQ(A2343,"IQ_EBITDA_MARGIN",IQ_FY-9), _xll.ciqfunctions.udf.CIQ(A2343, "IQ_EBITDA_MARGIN",IQ_FY-8))</f>
        <v>2.2549999999999999</v>
      </c>
      <c r="H2344" s="15">
        <f>IF(A2351=A2352,_xll.ciqfunctions.udf.CIQ(A2343,"IQ_TOTAL_DIV_PAID_CF",IQ_FY-9)/-I2344, _xll.ciqfunctions.udf.CIQ(A2343, "IQ_TOTAL_DIV_PAID_CF",IQ_FY-8)/-I2344)</f>
        <v>0</v>
      </c>
      <c r="I2344" s="17">
        <f>IF(A2351=A2352,_xll.ciqfunctions.udf.CIQ(A2343,"IQ_TOTAL_OUTSTANDING_FILING_DATE",IQ_FY-9), _xll.ciqfunctions.udf.CIQ(A2343, "IQ_TOTAL_OUTSTANDING_FILING_DATE",IQ_FY-8))</f>
        <v>15.2936</v>
      </c>
      <c r="J2344" s="17">
        <f>IF(A2351=A2352,_xll.ciqfunctions.udf.CIQ(A2343,"IQ_CASH_OPER",IQ_FY-9), _xll.ciqfunctions.udf.CIQ(A2343, "IQ_CASH_OPER",IQ_FY-8))</f>
        <v>6.2610000000000001</v>
      </c>
      <c r="K2344" s="17">
        <f>IF(A2351=A2352,_xll.ciqfunctions.udf.CIQ(A2343,"IQ_CAPEX",IQ_FY-9), _xll.ciqfunctions.udf.CIQ(A2343, "IQ_CAPEX",IQ_FY-8))</f>
        <v>-1.536</v>
      </c>
      <c r="L2344" s="15">
        <f t="shared" si="624"/>
        <v>0.30895276455510801</v>
      </c>
      <c r="M2344" s="17">
        <f>IF(A2351=A2352,_xll.ciqfunctions.udf.CIQ(A2343,"IQ_TOTAL_DEBT_ISSUED",IQ_FY-9), _xll.ciqfunctions.udf.CIQ(A2343, "IQ_TOTAL_DEBT_ISSUED",IQ_FY-8))</f>
        <v>23.920999999999999</v>
      </c>
      <c r="N2344" s="17">
        <f>IF(A2351=A2352,_xll.ciqfunctions.udf.CIQ(A2343,"IQ_TOTAL_DEBT_REPAID",IQ_FY-9), _xll.ciqfunctions.udf.CIQ(A2343, "IQ_TOTAL_DEBT_REPAID",IQ_FY-8))</f>
        <v>-19.085999999999999</v>
      </c>
      <c r="O2344" s="15">
        <f t="shared" si="625"/>
        <v>0.31614531568760795</v>
      </c>
      <c r="P2344" s="15">
        <f t="shared" si="626"/>
        <v>0.62509808024271596</v>
      </c>
      <c r="Q2344" s="25" t="s">
        <v>18</v>
      </c>
      <c r="R2344" s="39" t="s">
        <v>19</v>
      </c>
      <c r="S2344" s="1">
        <f>R2342/((AVERAGE(P2348:P2353))*(1+E2354)^3)</f>
        <v>25.144528764992895</v>
      </c>
      <c r="U2344" s="25" t="s">
        <v>48</v>
      </c>
      <c r="V2344" s="39" t="s">
        <v>19</v>
      </c>
      <c r="W2344" s="1">
        <f>V2342/((AVERAGE(P2348:P2353))*(1+E2354)^3)</f>
        <v>25.144528764992895</v>
      </c>
      <c r="Y2344" s="25" t="s">
        <v>39</v>
      </c>
      <c r="Z2344" s="39" t="s">
        <v>19</v>
      </c>
      <c r="AA2344" s="1">
        <f>Z2342/((AVERAGE(P2348:P2353))*(1+E2354)^3)</f>
        <v>25.144528764992895</v>
      </c>
    </row>
    <row r="2345" spans="1:27">
      <c r="B2345" s="13">
        <v>3</v>
      </c>
      <c r="C2345" s="14" t="s">
        <v>20</v>
      </c>
      <c r="D2345" s="15" cm="1">
        <f t="array" ref="D2345">_xlfn.SINGLE(IF(A2351=A2352,_xll.ciqfunctions.udf.CIQ(A2343,"IQ_TOTAL_REV",IQ_FY-8)/I2345, _xll.ciqfunctions.udf.CIQ(A2343, "IQ_TOTAL_REV",IQ_FY-7)/I2345))</f>
        <v>14.717671836207954</v>
      </c>
      <c r="E2345" s="16">
        <f t="shared" si="627"/>
        <v>3.315471646966197E-2</v>
      </c>
      <c r="F2345" s="15">
        <f>IF(A2351=A2352,_xll.ciqfunctions.udf.CIQ(A2343,"IQ_DILUT_EPS_EXCL",IQ_FY-8), _xll.ciqfunctions.udf.CIQ(A2343, "IQ_DILUT_EPS_EXCL",IQ_FY-7))</f>
        <v>0.25839000000000001</v>
      </c>
      <c r="G2345" s="15">
        <f>IF(A2351=A2352,_xll.ciqfunctions.udf.CIQ(A2343,"IQ_EBITDA_MARGIN",IQ_FY-8), _xll.ciqfunctions.udf.CIQ(A2343, "IQ_EBITDA_MARGIN",IQ_FY-7))</f>
        <v>3.8858999999999999</v>
      </c>
      <c r="H2345" s="15">
        <f>IF(A2351=A2352,_xll.ciqfunctions.udf.CIQ(A2343,"IQ_TOTAL_DIV_PAID_CF",IQ_FY-8)/-I2345, _xll.ciqfunctions.udf.CIQ(A2343, "IQ_TOTAL_DIV_PAID_CF",IQ_FY-7)/-I2345)</f>
        <v>0</v>
      </c>
      <c r="I2345" s="17">
        <f>IF(A2351=A2352,_xll.ciqfunctions.udf.CIQ(A2343,"IQ_TOTAL_OUTSTANDING_FILING_DATE",IQ_FY-8), _xll.ciqfunctions.udf.CIQ(A2343, "IQ_TOTAL_OUTSTANDING_FILING_DATE",IQ_FY-7))</f>
        <v>15.55973</v>
      </c>
      <c r="J2345" s="17">
        <f>IF(A2351=A2352,_xll.ciqfunctions.udf.CIQ(A2343,"IQ_CASH_OPER",IQ_FY-8), _xll.ciqfunctions.udf.CIQ(A2343, "IQ_CASH_OPER",IQ_FY-7))</f>
        <v>0.59399999999999997</v>
      </c>
      <c r="K2345" s="17">
        <f>IF(A2351=A2352,_xll.ciqfunctions.udf.CIQ(A2343,"IQ_CAPEX",IQ_FY-8), _xll.ciqfunctions.udf.CIQ(A2343, "IQ_CAPEX",IQ_FY-7))</f>
        <v>-1.7050000000000001</v>
      </c>
      <c r="L2345" s="15">
        <f t="shared" si="624"/>
        <v>-7.1402267262992369E-2</v>
      </c>
      <c r="M2345" s="17">
        <f>IF(A2351=A2352,_xll.ciqfunctions.udf.CIQ(A2343,"IQ_TOTAL_DEBT_ISSUED",IQ_FY-8), _xll.ciqfunctions.udf.CIQ(A2343, "IQ_TOTAL_DEBT_ISSUED",IQ_FY-7))</f>
        <v>217.15600000000001</v>
      </c>
      <c r="N2345" s="17">
        <f>IF(A2351=A2352,_xll.ciqfunctions.udf.CIQ(A2343,"IQ_TOTAL_DEBT_REPAID",IQ_FY-8), _xll.ciqfunctions.udf.CIQ(A2343, "IQ_TOTAL_DEBT_REPAID",IQ_FY-7))</f>
        <v>-222.32900000000001</v>
      </c>
      <c r="O2345" s="15">
        <f t="shared" si="625"/>
        <v>-0.33246078177449107</v>
      </c>
      <c r="P2345" s="15">
        <f t="shared" si="626"/>
        <v>-0.40386304903748343</v>
      </c>
      <c r="Q2345" s="25" t="s">
        <v>21</v>
      </c>
      <c r="R2345" s="38" t="s">
        <v>49</v>
      </c>
      <c r="S2345" s="2">
        <f>(R2342*I2353)/1000</f>
        <v>1.0767242162499999</v>
      </c>
      <c r="U2345" s="25" t="s">
        <v>59</v>
      </c>
      <c r="V2345" s="38" t="s">
        <v>49</v>
      </c>
      <c r="W2345" s="2">
        <f>(V2342*I2353)/1000</f>
        <v>1.0767242162499999</v>
      </c>
      <c r="Y2345" s="25" t="s">
        <v>46</v>
      </c>
      <c r="Z2345" s="38" t="s">
        <v>49</v>
      </c>
      <c r="AA2345" s="2">
        <f>(Z2342*I2353)/1000</f>
        <v>1.0767242162499999</v>
      </c>
    </row>
    <row r="2346" spans="1:27">
      <c r="A2346" s="18"/>
      <c r="B2346" s="13">
        <v>4</v>
      </c>
      <c r="C2346" s="14" t="s">
        <v>22</v>
      </c>
      <c r="D2346" s="15" cm="1">
        <f t="array" ref="D2346">_xlfn.SINGLE(IF(A2351=A2352,_xll.ciqfunctions.udf.CIQ(A2343,"IQ_TOTAL_REV",IQ_FY-7)/I2346, _xll.ciqfunctions.udf.CIQ(A2343, "IQ_TOTAL_REV",IQ_FY-6)/I2346))</f>
        <v>14.713470674350587</v>
      </c>
      <c r="E2346" s="16">
        <f t="shared" si="627"/>
        <v>-2.8545016522458231E-4</v>
      </c>
      <c r="F2346" s="15">
        <f>IF(A2351=A2352,_xll.ciqfunctions.udf.CIQ(A2343,"IQ_DILUT_EPS_EXCL",IQ_FY-7), _xll.ciqfunctions.udf.CIQ(A2343, "IQ_DILUT_EPS_EXCL",IQ_FY-6))</f>
        <v>0.15967999999999999</v>
      </c>
      <c r="G2346" s="15">
        <f>IF(A2351=A2352,_xll.ciqfunctions.udf.CIQ(A2343,"IQ_EBITDA_MARGIN",IQ_FY-7), _xll.ciqfunctions.udf.CIQ(A2343, "IQ_EBITDA_MARGIN",IQ_FY-6))</f>
        <v>2.4981</v>
      </c>
      <c r="H2346" s="15">
        <f>IF(A2351=A2352,_xll.ciqfunctions.udf.CIQ(A2343,"IQ_TOTAL_DIV_PAID_CF",IQ_FY-7)/-I2346, _xll.ciqfunctions.udf.CIQ(A2343, "IQ_TOTAL_DIV_PAID_CF",IQ_FY-6)/-I2346)</f>
        <v>0</v>
      </c>
      <c r="I2346" s="17">
        <f>IF(A2351=A2352,_xll.ciqfunctions.udf.CIQ(A2343,"IQ_TOTAL_OUTSTANDING_FILING_DATE",IQ_FY-7), _xll.ciqfunctions.udf.CIQ(A2343, "IQ_TOTAL_OUTSTANDING_FILING_DATE",IQ_FY-6))</f>
        <v>15.60835</v>
      </c>
      <c r="J2346" s="17">
        <f>IF(A2351=A2352,_xll.ciqfunctions.udf.CIQ(A2343,"IQ_CASH_OPER",IQ_FY-7), _xll.ciqfunctions.udf.CIQ(A2343, "IQ_CASH_OPER",IQ_FY-6))</f>
        <v>10.996</v>
      </c>
      <c r="K2346" s="17">
        <f>IF(A2351=A2352,_xll.ciqfunctions.udf.CIQ(A2343,"IQ_CAPEX",IQ_FY-7), _xll.ciqfunctions.udf.CIQ(A2343, "IQ_CAPEX",IQ_FY-6))</f>
        <v>-3.4329999999999998</v>
      </c>
      <c r="L2346" s="15">
        <f t="shared" si="624"/>
        <v>0.48454833470546221</v>
      </c>
      <c r="M2346" s="17">
        <f>IF(A2351=A2352,_xll.ciqfunctions.udf.CIQ(A2343,"IQ_TOTAL_DEBT_ISSUED",IQ_FY-7), _xll.ciqfunctions.udf.CIQ(A2343, "IQ_TOTAL_DEBT_ISSUED",IQ_FY-6))</f>
        <v>214.98</v>
      </c>
      <c r="N2346" s="17">
        <f>IF(A2351=A2352,_xll.ciqfunctions.udf.CIQ(A2343,"IQ_TOTAL_DEBT_REPAID",IQ_FY-7), _xll.ciqfunctions.udf.CIQ(A2343, "IQ_TOTAL_DEBT_REPAID",IQ_FY-6))</f>
        <v>-215.161</v>
      </c>
      <c r="O2346" s="15">
        <f t="shared" si="625"/>
        <v>-1.159635707810317E-2</v>
      </c>
      <c r="P2346" s="15">
        <f t="shared" si="626"/>
        <v>0.47295197762735902</v>
      </c>
      <c r="Q2346" s="25" t="s">
        <v>23</v>
      </c>
      <c r="R2346" s="38" t="s">
        <v>24</v>
      </c>
      <c r="S2346" s="1" t="e">
        <f>R2342/(AVERAGE(H2348:H2353)*(1+H2354)/(0.5-H2354))</f>
        <v>#DIV/0!</v>
      </c>
      <c r="U2346" s="25" t="s">
        <v>40</v>
      </c>
      <c r="V2346" s="38" t="s">
        <v>24</v>
      </c>
      <c r="W2346" s="1" t="e">
        <f>V2342/(AVERAGE(H2348:H2353)*(1+H2354)/(0.5-H2354))</f>
        <v>#DIV/0!</v>
      </c>
      <c r="Y2346" s="25" t="s">
        <v>47</v>
      </c>
      <c r="Z2346" s="38" t="s">
        <v>24</v>
      </c>
      <c r="AA2346" s="1" t="e">
        <f>Z2342/(AVERAGE(H2348:H2353)*(1+H2354)/(0.5-H2354))</f>
        <v>#DIV/0!</v>
      </c>
    </row>
    <row r="2347" spans="1:27">
      <c r="B2347" s="13">
        <v>5</v>
      </c>
      <c r="C2347" s="14" t="s">
        <v>25</v>
      </c>
      <c r="D2347" s="15" cm="1">
        <f t="array" ref="D2347">_xlfn.SINGLE(IF(A2351=A2352,_xll.ciqfunctions.udf.CIQ(A2343,"IQ_TOTAL_REV",IQ_FY-6)/I2347, _xll.ciqfunctions.udf.CIQ(A2343, "IQ_TOTAL_REV",IQ_FY-5)/I2347))</f>
        <v>14.711546671473432</v>
      </c>
      <c r="E2347" s="16">
        <f t="shared" si="627"/>
        <v>-1.3076472028515038E-4</v>
      </c>
      <c r="F2347" s="15">
        <f>IF(A2351=A2352,_xll.ciqfunctions.udf.CIQ(A2343,"IQ_DILUT_EPS_EXCL",IQ_FY-6), _xll.ciqfunctions.udf.CIQ(A2343, "IQ_DILUT_EPS_EXCL",IQ_FY-5))</f>
        <v>-0.23</v>
      </c>
      <c r="G2347" s="15">
        <f>IF(A2351=A2352,_xll.ciqfunctions.udf.CIQ(A2343,"IQ_EBITDA_MARGIN",IQ_FY-6), _xll.ciqfunctions.udf.CIQ(A2343, "IQ_EBITDA_MARGIN",IQ_FY-5))</f>
        <v>0.52100000000000002</v>
      </c>
      <c r="H2347" s="15">
        <f>IF(A2351=A2352,_xll.ciqfunctions.udf.CIQ(A2343,"IQ_TOTAL_DIV_PAID_CF",IQ_FY-6)/-I2347, _xll.ciqfunctions.udf.CIQ(A2343, "IQ_TOTAL_DIV_PAID_CF",IQ_FY-5)/-I2347)</f>
        <v>0</v>
      </c>
      <c r="I2347" s="17">
        <f>IF(A2351=A2352,_xll.ciqfunctions.udf.CIQ(A2343,"IQ_TOTAL_OUTSTANDING_FILING_DATE",IQ_FY-6), _xll.ciqfunctions.udf.CIQ(A2343, "IQ_TOTAL_OUTSTANDING_FILING_DATE",IQ_FY-5))</f>
        <v>15.81105</v>
      </c>
      <c r="J2347" s="17">
        <f>IF(A2351=A2352,_xll.ciqfunctions.udf.CIQ(A2343,"IQ_CASH_OPER",IQ_FY-6), _xll.ciqfunctions.udf.CIQ(A2343, "IQ_CASH_OPER",IQ_FY-5))</f>
        <v>0.314</v>
      </c>
      <c r="K2347" s="17">
        <f>IF(A2351=A2352,_xll.ciqfunctions.udf.CIQ(A2343,"IQ_CAPEX",IQ_FY-6), _xll.ciqfunctions.udf.CIQ(A2343, "IQ_CAPEX",IQ_FY-5))</f>
        <v>-5.0709999999999997</v>
      </c>
      <c r="L2347" s="15">
        <f t="shared" si="624"/>
        <v>-0.30086553391457238</v>
      </c>
      <c r="M2347" s="17">
        <f>IF(A2351=A2352,_xll.ciqfunctions.udf.CIQ(A2343,"IQ_TOTAL_DEBT_ISSUED",IQ_FY-6), _xll.ciqfunctions.udf.CIQ(A2343, "IQ_TOTAL_DEBT_ISSUED",IQ_FY-5))</f>
        <v>23.15</v>
      </c>
      <c r="N2347" s="17">
        <f>IF(A2351=A2352,_xll.ciqfunctions.udf.CIQ(A2343,"IQ_TOTAL_DEBT_REPAID",IQ_FY-6), _xll.ciqfunctions.udf.CIQ(A2343, "IQ_TOTAL_DEBT_REPAID",IQ_FY-5))</f>
        <v>-22.387</v>
      </c>
      <c r="O2347" s="15">
        <f t="shared" si="625"/>
        <v>4.8257389610430565E-2</v>
      </c>
      <c r="P2347" s="15">
        <f t="shared" si="626"/>
        <v>-0.2526081443041418</v>
      </c>
      <c r="Q2347" s="18"/>
      <c r="R2347" s="38" t="s">
        <v>50</v>
      </c>
      <c r="S2347" s="3">
        <f>I2354</f>
        <v>0.11789539037548158</v>
      </c>
      <c r="U2347" s="18"/>
      <c r="V2347" s="38" t="s">
        <v>50</v>
      </c>
      <c r="W2347" s="3">
        <f>I2354</f>
        <v>0.11789539037548158</v>
      </c>
      <c r="Y2347" s="18"/>
      <c r="Z2347" s="38" t="s">
        <v>50</v>
      </c>
      <c r="AA2347" s="3">
        <f>I2354</f>
        <v>0.11789539037548158</v>
      </c>
    </row>
    <row r="2348" spans="1:27">
      <c r="B2348" s="13">
        <v>6</v>
      </c>
      <c r="C2348" s="14" t="s">
        <v>26</v>
      </c>
      <c r="D2348" s="15" cm="1">
        <f t="array" ref="D2348">_xlfn.SINGLE(IF(A2351=A2352,_xll.ciqfunctions.udf.CIQ(A2343,"IQ_TOTAL_REV",IQ_FY-5)/I2348, _xll.ciqfunctions.udf.CIQ(A2343, "IQ_TOTAL_REV",IQ_FY-4)/I2348))</f>
        <v>12.538410353412633</v>
      </c>
      <c r="E2348" s="16">
        <f t="shared" si="627"/>
        <v>-0.14771637317200914</v>
      </c>
      <c r="F2348" s="15">
        <f>IF(A2351=A2352,_xll.ciqfunctions.udf.CIQ(A2343,"IQ_DILUT_EPS_EXCL",IQ_FY-5), _xll.ciqfunctions.udf.CIQ(A2343, "IQ_DILUT_EPS_EXCL",IQ_FY-4))</f>
        <v>-1.5037700000000001</v>
      </c>
      <c r="G2348" s="15">
        <f>IF(A2351=A2352,_xll.ciqfunctions.udf.CIQ(A2343,"IQ_EBITDA_MARGIN",IQ_FY-5), _xll.ciqfunctions.udf.CIQ(A2343, "IQ_EBITDA_MARGIN",IQ_FY-4))</f>
        <v>-2.1913</v>
      </c>
      <c r="H2348" s="15">
        <f>IF(A2351=A2352,_xll.ciqfunctions.udf.CIQ(A2343,"IQ_TOTAL_DIV_PAID_CF",IQ_FY-5)/-I2348, _xll.ciqfunctions.udf.CIQ(A2343, "IQ_TOTAL_DIV_PAID_CF",IQ_FY-4)/-I2348)</f>
        <v>0</v>
      </c>
      <c r="I2348" s="17">
        <f>IF(A2351=A2352,_xll.ciqfunctions.udf.CIQ(A2343,"IQ_TOTAL_OUTSTANDING_FILING_DATE",IQ_FY-5), _xll.ciqfunctions.udf.CIQ(A2343, "IQ_TOTAL_OUTSTANDING_FILING_DATE",IQ_FY-4))</f>
        <v>16.050360000000001</v>
      </c>
      <c r="J2348" s="17">
        <f>IF(A2351=A2352,_xll.ciqfunctions.udf.CIQ(A2343,"IQ_CASH_OPER",IQ_FY-5), _xll.ciqfunctions.udf.CIQ(A2343, "IQ_CASH_OPER",IQ_FY-4))</f>
        <v>-3.8490000000000002</v>
      </c>
      <c r="K2348" s="17">
        <f>IF(A2351=A2352,_xll.ciqfunctions.udf.CIQ(A2343,"IQ_CAPEX",IQ_FY-5), _xll.ciqfunctions.udf.CIQ(A2343, "IQ_CAPEX",IQ_FY-4))</f>
        <v>-3.948</v>
      </c>
      <c r="L2348" s="15">
        <f t="shared" si="624"/>
        <v>-0.48578349644493957</v>
      </c>
      <c r="M2348" s="17">
        <f>IF(A2351=A2352,_xll.ciqfunctions.udf.CIQ(A2343,"IQ_TOTAL_DEBT_ISSUED",IQ_FY-5), _xll.ciqfunctions.udf.CIQ(A2343, "IQ_TOTAL_DEBT_ISSUED",IQ_FY-4))</f>
        <v>57.338999999999999</v>
      </c>
      <c r="N2348" s="17">
        <f>IF(A2351=A2352,_xll.ciqfunctions.udf.CIQ(A2343,"IQ_TOTAL_DEBT_REPAID",IQ_FY-5), _xll.ciqfunctions.udf.CIQ(A2343, "IQ_TOTAL_DEBT_REPAID",IQ_FY-4))</f>
        <v>-50.85</v>
      </c>
      <c r="O2348" s="15">
        <f t="shared" si="625"/>
        <v>0.40428999723370668</v>
      </c>
      <c r="P2348" s="15">
        <f t="shared" si="626"/>
        <v>-8.1493499211232889E-2</v>
      </c>
      <c r="Q2348" s="25" t="s">
        <v>27</v>
      </c>
      <c r="R2348" s="38" t="s">
        <v>51</v>
      </c>
      <c r="S2348" s="4">
        <f>AVERAGE(F2348:F2353)/AVERAGE(D2348:D2353)</f>
        <v>-0.17433030941795036</v>
      </c>
      <c r="U2348" s="25" t="s">
        <v>58</v>
      </c>
      <c r="V2348" s="38" t="s">
        <v>51</v>
      </c>
      <c r="W2348" s="4">
        <f>AVERAGE(F2348:F2353)/AVERAGE(D2348:D2353)</f>
        <v>-0.17433030941795036</v>
      </c>
      <c r="Y2348" s="25" t="s">
        <v>56</v>
      </c>
      <c r="Z2348" s="38" t="s">
        <v>51</v>
      </c>
      <c r="AA2348" s="4">
        <f>AVERAGE(F2348:F2353)/AVERAGE(D2348:D2353)</f>
        <v>-0.17433030941795036</v>
      </c>
    </row>
    <row r="2349" spans="1:27">
      <c r="A2349" s="18"/>
      <c r="B2349" s="13">
        <v>7</v>
      </c>
      <c r="C2349" s="14" t="s">
        <v>28</v>
      </c>
      <c r="D2349" s="15" cm="1">
        <f t="array" ref="D2349">_xlfn.SINGLE(IF(A2351=A2352,_xll.ciqfunctions.udf.CIQ(A2343,"IQ_TOTAL_REV",IQ_FY-4)/I2349, _xll.ciqfunctions.udf.CIQ(A2343, "IQ_TOTAL_REV",IQ_FY-3)/I2349))</f>
        <v>10.366244594916315</v>
      </c>
      <c r="E2349" s="16">
        <f t="shared" si="627"/>
        <v>-0.17324092107937034</v>
      </c>
      <c r="F2349" s="15">
        <f>IF(A2351=A2352,_xll.ciqfunctions.udf.CIQ(A2343,"IQ_DILUT_EPS_EXCL",IQ_FY-4), _xll.ciqfunctions.udf.CIQ(A2343, "IQ_DILUT_EPS_EXCL",IQ_FY-3))</f>
        <v>-0.96</v>
      </c>
      <c r="G2349" s="15">
        <f>IF(A2351=A2352,_xll.ciqfunctions.udf.CIQ(A2343,"IQ_EBITDA_MARGIN",IQ_FY-4), _xll.ciqfunctions.udf.CIQ(A2343, "IQ_EBITDA_MARGIN",IQ_FY-3))</f>
        <v>-5.9978999999999996</v>
      </c>
      <c r="H2349" s="15">
        <f>IF(A2351=A2352,_xll.ciqfunctions.udf.CIQ(A2343,"IQ_TOTAL_DIV_PAID_CF",IQ_FY-4)/-I2349, _xll.ciqfunctions.udf.CIQ(A2343, "IQ_TOTAL_DIV_PAID_CF",IQ_FY-3)/-I2349)</f>
        <v>0</v>
      </c>
      <c r="I2349" s="17">
        <f>IF(A2351=A2352,_xll.ciqfunctions.udf.CIQ(A2343,"IQ_TOTAL_OUTSTANDING_FILING_DATE",IQ_FY-4), _xll.ciqfunctions.udf.CIQ(A2343, "IQ_TOTAL_OUTSTANDING_FILING_DATE",IQ_FY-3))</f>
        <v>18.061699999999998</v>
      </c>
      <c r="J2349" s="17">
        <f>IF(A2351=A2352,_xll.ciqfunctions.udf.CIQ(A2343,"IQ_CASH_OPER",IQ_FY-4), _xll.ciqfunctions.udf.CIQ(A2343, "IQ_CASH_OPER",IQ_FY-3))</f>
        <v>-16.129000000000001</v>
      </c>
      <c r="K2349" s="17">
        <f>IF(A2351=A2352,_xll.ciqfunctions.udf.CIQ(A2343,"IQ_CAPEX",IQ_FY-4), _xll.ciqfunctions.udf.CIQ(A2343, "IQ_CAPEX",IQ_FY-3))</f>
        <v>-2.4620000000000002</v>
      </c>
      <c r="L2349" s="15">
        <f t="shared" si="624"/>
        <v>-1.029305104170704</v>
      </c>
      <c r="M2349" s="17">
        <f>IF(A2351=A2352,_xll.ciqfunctions.udf.CIQ(A2343,"IQ_TOTAL_DEBT_ISSUED",IQ_FY-4), _xll.ciqfunctions.udf.CIQ(A2343, "IQ_TOTAL_DEBT_ISSUED",IQ_FY-3))</f>
        <v>84.679000000000002</v>
      </c>
      <c r="N2349" s="17">
        <f>IF(A2351=A2352,_xll.ciqfunctions.udf.CIQ(A2343,"IQ_TOTAL_DEBT_REPAID",IQ_FY-4), _xll.ciqfunctions.udf.CIQ(A2343, "IQ_TOTAL_DEBT_REPAID",IQ_FY-3))</f>
        <v>-17.459</v>
      </c>
      <c r="O2349" s="15">
        <f t="shared" si="625"/>
        <v>3.7216873273279925</v>
      </c>
      <c r="P2349" s="15">
        <f t="shared" si="626"/>
        <v>2.6923822231572885</v>
      </c>
      <c r="Q2349" s="18"/>
      <c r="R2349" s="38" t="s">
        <v>29</v>
      </c>
      <c r="S2349" s="4">
        <f>(AVERAGE(P2348:P2353)/_xlfn.STDEV.P(P2348:P2353))/(IF(A2351=A2352,(_xlfn.SINGLE(_xll.ciqfunctions.udf.CIQ(A2343,"IQ_total_assets",IQ_FY)) - _xlfn.SINGLE(_xll.ciqfunctions.udf.CIQ(A2343,"iq_gw_intan", IQ_FY)))/I2353, (_xlfn.SINGLE(_xll.ciqfunctions.udf.CIQ(A2343, "IQ_total_assets",IQ_LTM))-_xlfn.SINGLE(_xll.ciqfunctions.udf.CIQ(A2343,"iq_gw_intan",IQ_LTM)))/I2353))</f>
        <v>5.7094700631889019E-2</v>
      </c>
      <c r="U2349" s="18"/>
      <c r="V2349" s="38" t="s">
        <v>29</v>
      </c>
      <c r="W2349" s="4">
        <f>(AVERAGE(P2348:P2353)/_xlfn.STDEV.P(P2348:P2353))/(IF(A2351=A2352,(_xlfn.SINGLE(_xll.ciqfunctions.udf.CIQ(A2343,"IQ_total_assets",IQ_FY)) - _xlfn.SINGLE(_xll.ciqfunctions.udf.CIQ(A2343,"iq_gw_intan", IQ_FY)))/I2353, (_xlfn.SINGLE(_xll.ciqfunctions.udf.CIQ(A2343, "IQ_total_assets",IQ_LTM))-_xlfn.SINGLE(_xll.ciqfunctions.udf.CIQ(A2343,"iq_gw_intan",IQ_LTM)))/I2353))</f>
        <v>5.7094700631889019E-2</v>
      </c>
      <c r="Y2349" s="18"/>
      <c r="Z2349" s="38" t="s">
        <v>29</v>
      </c>
      <c r="AA2349" s="4">
        <f>(AVERAGE(P2348:P2353)/_xlfn.STDEV.P(P2348:P2353))/(IF(A2351=A2352,(_xlfn.SINGLE(_xll.ciqfunctions.udf.CIQ(A2343,"IQ_total_assets",IQ_FY)) - _xlfn.SINGLE(_xll.ciqfunctions.udf.CIQ(A2343,"iq_gw_intan", IQ_FY)))/I2353, (_xlfn.SINGLE(_xll.ciqfunctions.udf.CIQ(A2343, "IQ_total_assets",IQ_LTM))-_xlfn.SINGLE(_xll.ciqfunctions.udf.CIQ(A2343,"iq_gw_intan",IQ_LTM)))/I2353))</f>
        <v>5.7094700631889019E-2</v>
      </c>
    </row>
    <row r="2350" spans="1:27">
      <c r="A2350" s="18"/>
      <c r="B2350" s="13">
        <v>8</v>
      </c>
      <c r="C2350" s="14" t="s">
        <v>30</v>
      </c>
      <c r="D2350" s="15" cm="1">
        <f t="array" ref="D2350">_xlfn.SINGLE(IF(A2351=A2352,_xll.ciqfunctions.udf.CIQ(A2343,"IQ_TOTAL_REV",IQ_FY-3)/I2350, _xll.ciqfunctions.udf.CIQ(A2343, "IQ_TOTAL_REV",IQ_FY-2)/I2350))</f>
        <v>9.7721138265267644</v>
      </c>
      <c r="E2350" s="16">
        <f t="shared" si="627"/>
        <v>-5.7313983183545289E-2</v>
      </c>
      <c r="F2350" s="15">
        <f>IF(A2351=A2352,_xll.ciqfunctions.udf.CIQ(A2343,"IQ_DILUT_EPS_EXCL",IQ_FY-3), _xll.ciqfunctions.udf.CIQ(A2343, "IQ_DILUT_EPS_EXCL",IQ_FY-2))</f>
        <v>-1.9229000000000001</v>
      </c>
      <c r="G2350" s="15">
        <f>IF(A2351=A2352,_xll.ciqfunctions.udf.CIQ(A2343,"IQ_EBITDA_MARGIN",IQ_FY-3), _xll.ciqfunctions.udf.CIQ(A2343, "IQ_EBITDA_MARGIN",IQ_FY-2))</f>
        <v>-11.186400000000001</v>
      </c>
      <c r="H2350" s="15">
        <f>IF(A2351=A2352,_xll.ciqfunctions.udf.CIQ(A2343,"IQ_TOTAL_DIV_PAID_CF",IQ_FY-3)/-I2350, _xll.ciqfunctions.udf.CIQ(A2343, "IQ_TOTAL_DIV_PAID_CF",IQ_FY-2)/-I2350)</f>
        <v>0</v>
      </c>
      <c r="I2350" s="17">
        <f>IF(A2351=A2352,_xll.ciqfunctions.udf.CIQ(A2343,"IQ_TOTAL_OUTSTANDING_FILING_DATE",IQ_FY-3), _xll.ciqfunctions.udf.CIQ(A2343, "IQ_TOTAL_OUTSTANDING_FILING_DATE",IQ_FY-2))</f>
        <v>21.87715</v>
      </c>
      <c r="J2350" s="17">
        <f>IF(A2351=A2352,_xll.ciqfunctions.udf.CIQ(A2343,"IQ_CASH_OPER",IQ_FY-3), _xll.ciqfunctions.udf.CIQ(A2343, "IQ_CASH_OPER",IQ_FY-2))</f>
        <v>-20.242999999999999</v>
      </c>
      <c r="K2350" s="17">
        <f>IF(A2351=A2352,_xll.ciqfunctions.udf.CIQ(A2343,"IQ_CAPEX",IQ_FY-3), _xll.ciqfunctions.udf.CIQ(A2343, "IQ_CAPEX",IQ_FY-2))</f>
        <v>-1.2989999999999999</v>
      </c>
      <c r="L2350" s="15">
        <f t="shared" si="624"/>
        <v>-0.98468036284433746</v>
      </c>
      <c r="M2350" s="17">
        <f>IF(A2351=A2352,_xll.ciqfunctions.udf.CIQ(A2343,"IQ_TOTAL_DEBT_ISSUED",IQ_FY-3), _xll.ciqfunctions.udf.CIQ(A2343, "IQ_TOTAL_DEBT_ISSUED",IQ_FY-2))</f>
        <v>115.786</v>
      </c>
      <c r="N2350" s="17">
        <f>IF(A2351=A2352,_xll.ciqfunctions.udf.CIQ(A2343,"IQ_TOTAL_DEBT_REPAID",IQ_FY-3), _xll.ciqfunctions.udf.CIQ(A2343, "IQ_TOTAL_DEBT_REPAID",IQ_FY-2))</f>
        <v>-66.879000000000005</v>
      </c>
      <c r="O2350" s="15">
        <f t="shared" si="625"/>
        <v>2.2355288508786564</v>
      </c>
      <c r="P2350" s="15">
        <f t="shared" si="626"/>
        <v>1.2508484880343189</v>
      </c>
      <c r="Q2350" s="18"/>
      <c r="R2350" s="39" t="s">
        <v>31</v>
      </c>
      <c r="S2350" s="5">
        <f>IF(NOT(D2343&gt;0),FALSE,SLOPE(G2343:G2353,B2343:B2353))</f>
        <v>-2.3140727272727277</v>
      </c>
      <c r="U2350" s="18"/>
      <c r="V2350" s="39" t="s">
        <v>31</v>
      </c>
      <c r="W2350" s="5">
        <f>IF(NOT(D2343&gt;0),FALSE,SLOPE(G2343:G2353,B2343:B2353))</f>
        <v>-2.3140727272727277</v>
      </c>
      <c r="Y2350" s="18"/>
      <c r="Z2350" s="39" t="s">
        <v>31</v>
      </c>
      <c r="AA2350" s="5" t="b">
        <f>IF(NOT(L2343&gt;0),FALSE,SLOPE(O2343:O2353,J2343:J2353))</f>
        <v>0</v>
      </c>
    </row>
    <row r="2351" spans="1:27">
      <c r="A2351" s="19">
        <f>_xll.ciqfunctions.udf.CIQ(A2343,"IQ_TOTAL_REV",IQ_FY)</f>
        <v>355.79500000000002</v>
      </c>
      <c r="B2351" s="13">
        <v>9</v>
      </c>
      <c r="C2351" s="14" t="s">
        <v>32</v>
      </c>
      <c r="D2351" s="15" cm="1">
        <f t="array" ref="D2351">_xlfn.SINGLE(IF(A2351=A2352,_xll.ciqfunctions.udf.CIQ(A2343,"IQ_TOTAL_REV",IQ_FY-2)/I2351, _xll.ciqfunctions.udf.CIQ(A2343, "IQ_TOTAL_REV",IQ_FY-1)/I2351))</f>
        <v>10.506298742925566</v>
      </c>
      <c r="E2351" s="16">
        <f t="shared" si="627"/>
        <v>7.5130614463968806E-2</v>
      </c>
      <c r="F2351" s="15">
        <f>IF(A2351=A2352,_xll.ciqfunctions.udf.CIQ(A2343,"IQ_DILUT_EPS_EXCL",IQ_FY-2), _xll.ciqfunctions.udf.CIQ(A2343, "IQ_DILUT_EPS_EXCL",IQ_FY-1))</f>
        <v>-3.0213199999999998</v>
      </c>
      <c r="G2351" s="15">
        <f>IF(A2351=A2352,_xll.ciqfunctions.udf.CIQ(A2343,"IQ_EBITDA_MARGIN",IQ_FY-2), _xll.ciqfunctions.udf.CIQ(A2343, "IQ_EBITDA_MARGIN",IQ_FY-1))</f>
        <v>-19.177600000000002</v>
      </c>
      <c r="H2351" s="15">
        <f>IF(A2351=A2352,_xll.ciqfunctions.udf.CIQ(A2343,"IQ_TOTAL_DIV_PAID_CF",IQ_FY-2)/-I2351, _xll.ciqfunctions.udf.CIQ(A2343, "IQ_TOTAL_DIV_PAID_CF",IQ_FY-1)/-I2351)</f>
        <v>0</v>
      </c>
      <c r="I2351" s="17">
        <f>IF(A2351=A2352,_xll.ciqfunctions.udf.CIQ(A2343,"IQ_TOTAL_OUTSTANDING_FILING_DATE",IQ_FY-2), _xll.ciqfunctions.udf.CIQ(A2343, "IQ_TOTAL_OUTSTANDING_FILING_DATE",IQ_FY-1))</f>
        <v>26.924420000000001</v>
      </c>
      <c r="J2351" s="17">
        <f>IF(A2351=A2352,_xll.ciqfunctions.udf.CIQ(A2343,"IQ_CASH_OPER",IQ_FY-2), _xll.ciqfunctions.udf.CIQ(A2343, "IQ_CASH_OPER",IQ_FY-1))</f>
        <v>-53.155999999999999</v>
      </c>
      <c r="K2351" s="17">
        <f>IF(A2351=A2352,_xll.ciqfunctions.udf.CIQ(A2343,"IQ_CAPEX",IQ_FY-2), _xll.ciqfunctions.udf.CIQ(A2343, "IQ_CAPEX",IQ_FY-1))</f>
        <v>-1.4350000000000001</v>
      </c>
      <c r="L2351" s="15">
        <f t="shared" si="624"/>
        <v>-2.02756456777899</v>
      </c>
      <c r="M2351" s="17">
        <f>IF(A2351=A2352,_xll.ciqfunctions.udf.CIQ(A2343,"IQ_TOTAL_DEBT_ISSUED",IQ_FY-2), _xll.ciqfunctions.udf.CIQ(A2343, "IQ_TOTAL_DEBT_ISSUED",IQ_FY-1))</f>
        <v>441.38499999999999</v>
      </c>
      <c r="N2351" s="17">
        <f>IF(A2351=A2352,_xll.ciqfunctions.udf.CIQ(A2343,"IQ_TOTAL_DEBT_REPAID",IQ_FY-2), _xll.ciqfunctions.udf.CIQ(A2343, "IQ_TOTAL_DEBT_REPAID",IQ_FY-1))</f>
        <v>-187.792</v>
      </c>
      <c r="O2351" s="15">
        <f t="shared" si="625"/>
        <v>9.418698712915635</v>
      </c>
      <c r="P2351" s="15">
        <f t="shared" si="626"/>
        <v>7.391134145136645</v>
      </c>
      <c r="Q2351" s="25" t="s">
        <v>33</v>
      </c>
      <c r="R2351" s="38" t="s">
        <v>52</v>
      </c>
      <c r="S2351" s="4">
        <f>(AVERAGE(O2348:O2353)/AVERAGE(P2348:P2353))</f>
        <v>1.8725261748085178</v>
      </c>
      <c r="U2351" s="25" t="s">
        <v>54</v>
      </c>
      <c r="V2351" s="38" t="s">
        <v>52</v>
      </c>
      <c r="W2351" s="4">
        <f>(AVERAGE(O2348:O2353)/AVERAGE(P2348:P2353))</f>
        <v>1.8725261748085178</v>
      </c>
      <c r="Y2351" s="25" t="s">
        <v>60</v>
      </c>
      <c r="Z2351" s="38" t="s">
        <v>52</v>
      </c>
      <c r="AA2351" s="4">
        <f>(AVERAGE(O2348:O2353)/AVERAGE(P2348:P2353))</f>
        <v>1.8725261748085178</v>
      </c>
    </row>
    <row r="2352" spans="1:27">
      <c r="A2352" s="19">
        <f>_xll.ciqfunctions.udf.CIQ(A2343,"IQ_TOTAL_REV",IQ_LTM)</f>
        <v>405.76499999999999</v>
      </c>
      <c r="B2352" s="13">
        <v>10</v>
      </c>
      <c r="C2352" s="14" t="s">
        <v>34</v>
      </c>
      <c r="D2352" s="15" cm="1">
        <f t="array" ref="D2352">_xlfn.SINGLE(IF(A2351=A2352,_xll.ciqfunctions.udf.CIQ(A2343,"IQ_TOTAL_REV",IQ_FY-1)/I2352, _xll.ciqfunctions.udf.CIQ(A2343, "IQ_TOTAL_REV",IQ_FY)/I2352))</f>
        <v>13.025445737895646</v>
      </c>
      <c r="E2352" s="16">
        <f t="shared" si="627"/>
        <v>0.23977492517679955</v>
      </c>
      <c r="F2352" s="15">
        <f>IF(A2351=A2352,_xll.ciqfunctions.udf.CIQ(A2343,"IQ_DILUT_EPS_EXCL",IQ_FY-1), _xll.ciqfunctions.udf.CIQ(A2343, "IQ_DILUT_EPS_EXCL",IQ_FY))</f>
        <v>-2.5529999999999999</v>
      </c>
      <c r="G2352" s="15">
        <f>IF(A2351=A2352,_xll.ciqfunctions.udf.CIQ(A2343,"IQ_EBITDA_MARGIN",IQ_FY-1), _xll.ciqfunctions.udf.CIQ(A2343, "IQ_EBITDA_MARGIN",IQ_FY))</f>
        <v>-16.042899999999999</v>
      </c>
      <c r="H2352" s="15">
        <f>IF(A2351=A2352,_xll.ciqfunctions.udf.CIQ(A2343,"IQ_TOTAL_DIV_PAID_CF",IQ_FY-1)/-I2352, _xll.ciqfunctions.udf.CIQ(A2343, "IQ_TOTAL_DIV_PAID_CF",IQ_FY)/-I2352)</f>
        <v>0</v>
      </c>
      <c r="I2352" s="17">
        <f>IF(A2351=A2352,_xll.ciqfunctions.udf.CIQ(A2343,"IQ_TOTAL_OUTSTANDING_FILING_DATE",IQ_FY-1), _xll.ciqfunctions.udf.CIQ(A2343, "IQ_TOTAL_OUTSTANDING_FILING_DATE",IQ_FY))</f>
        <v>27.315380000000001</v>
      </c>
      <c r="J2352" s="17">
        <f>IF(A2351=A2352,_xll.ciqfunctions.udf.CIQ(A2343,"IQ_CASH_OPER",IQ_FY-1), _xll.ciqfunctions.udf.CIQ(A2343, "IQ_CASH_OPER",IQ_FY))</f>
        <v>-43.07</v>
      </c>
      <c r="K2352" s="17">
        <f>IF(A2351=A2352,_xll.ciqfunctions.udf.CIQ(A2343,"IQ_CAPEX",IQ_FY-1), _xll.ciqfunctions.udf.CIQ(A2343, "IQ_CAPEX",IQ_FY))</f>
        <v>-1.1779999999999999</v>
      </c>
      <c r="L2352" s="15">
        <f t="shared" si="624"/>
        <v>-1.6198932615984107</v>
      </c>
      <c r="M2352" s="17">
        <f>IF(A2351=A2352,_xll.ciqfunctions.udf.CIQ(A2343,"IQ_TOTAL_DEBT_ISSUED",IQ_FY-1), _xll.ciqfunctions.udf.CIQ(A2343, "IQ_TOTAL_DEBT_ISSUED",IQ_FY))</f>
        <v>0</v>
      </c>
      <c r="N2352" s="17">
        <f>IF(A2351=A2352,_xll.ciqfunctions.udf.CIQ(A2343,"IQ_TOTAL_DEBT_REPAID",IQ_FY-1), _xll.ciqfunctions.udf.CIQ(A2343, "IQ_TOTAL_DEBT_REPAID",IQ_FY))</f>
        <v>-0.70499999999999996</v>
      </c>
      <c r="O2352" s="15">
        <f t="shared" si="625"/>
        <v>-2.5809635450797314E-2</v>
      </c>
      <c r="P2352" s="15">
        <f t="shared" si="626"/>
        <v>-1.645702897049208</v>
      </c>
      <c r="Q2352" s="25" t="s">
        <v>44</v>
      </c>
      <c r="R2352" s="38" t="s">
        <v>35</v>
      </c>
      <c r="S2352" s="1" t="str">
        <f>_xll.ciqfunctions.udf.CIQ(A2343,"IQ_TEV_EBITDA")</f>
        <v>NM</v>
      </c>
      <c r="U2352" s="25" t="s">
        <v>55</v>
      </c>
      <c r="V2352" s="38" t="s">
        <v>53</v>
      </c>
      <c r="W2352" s="1">
        <f>V2342/(AVERAGE(D2348:D2353)/_xlfn.STDEV.P(E2348:E2353))</f>
        <v>0.48070908833252241</v>
      </c>
      <c r="Y2352" s="25" t="s">
        <v>57</v>
      </c>
      <c r="Z2352" s="38" t="s">
        <v>53</v>
      </c>
      <c r="AA2352" s="1">
        <f>Z2342/(AVERAGE(D2348:D2353)/_xlfn.STDEV.P(E2348:E2353))</f>
        <v>0.48070908833252241</v>
      </c>
    </row>
    <row r="2353" spans="1:27">
      <c r="B2353" s="13">
        <v>11</v>
      </c>
      <c r="C2353" s="20" t="s">
        <v>36</v>
      </c>
      <c r="D2353" s="21" cm="1">
        <f t="array" ref="D2353">_xlfn.SINGLE(IF(A2351=A2352,_xll.ciqfunctions.udf.CIQ(A2343,"IQ_TOTAL_REV",IQ_FY)/I2353, _xll.ciqfunctions.udf.CIQ(A2343, "IQ_TOTAL_REV",IQ_LTM)/I2353))</f>
        <v>14.480514034784067</v>
      </c>
      <c r="E2353" s="22">
        <f t="shared" si="627"/>
        <v>0.1117096739849071</v>
      </c>
      <c r="F2353" s="21">
        <f>IF(A2351=A2352,_xll.ciqfunctions.udf.CIQ(A2343,"IQ_DILUT_EPS_EXCL",IQ_FY), _xll.ciqfunctions.udf.CIQ(A2343, "IQ_DILUT_EPS_EXCL",IQ_LTM))</f>
        <v>-2.36225</v>
      </c>
      <c r="G2353" s="21">
        <f>IF(A2351=A2352,_xll.ciqfunctions.udf.CIQ(A2343,"IQ_EBITDA_MARGIN",IQ_FY), _xll.ciqfunctions.udf.CIQ(A2343, "IQ_EBITDA_MARGIN",IQ_LTM))</f>
        <v>-15.294</v>
      </c>
      <c r="H2353" s="21">
        <f>IF(A2351=A2352,_xll.ciqfunctions.udf.CIQ(A2343,"IQ_TOTAL_DIV_PAID_CF",IQ_FY)/-I2353, _xll.ciqfunctions.udf.CIQ(A2343, "IQ_TOTAL_DIV_PAID_CF",IQ_LTM)/-I2353)</f>
        <v>0</v>
      </c>
      <c r="I2353" s="23">
        <f>IF(A2351=A2352,_xll.ciqfunctions.udf.CIQ(A2343,"IQ_TOTAL_OUTSTANDING_FILING_DATE",IQ_FY),_xll.ciqfunctions.udf.CIQ(A2343,"IQ_sharesoutstanding"))</f>
        <v>28.021450000000002</v>
      </c>
      <c r="J2353" s="23">
        <f>IF(A2351=A2352,_xll.ciqfunctions.udf.CIQ(A2343,"IQ_CASH_OPER",IQ_FY), _xll.ciqfunctions.udf.CIQ(A2343, "IQ_CASH_OPER",IQ_LTM))</f>
        <v>-27.978999999999999</v>
      </c>
      <c r="K2353" s="23">
        <f>IF(A2351=A2352,_xll.ciqfunctions.udf.CIQ(A2343,"IQ_CAPEX",IQ_FY), _xll.ciqfunctions.udf.CIQ(A2343, "IQ_CAPEX",IQ_LTM))</f>
        <v>-5.3869999999999996</v>
      </c>
      <c r="L2353" s="21">
        <f t="shared" si="624"/>
        <v>-1.190730672395611</v>
      </c>
      <c r="M2353" s="23">
        <f>IF(A2351=A2352,_xll.ciqfunctions.udf.CIQ(A2343,"IQ_TOTAL_DEBT_ISSUED",IQ_FY), _xll.ciqfunctions.udf.CIQ(A2343, "IQ_TOTAL_DEBT_ISSUED",IQ_LTM))</f>
        <v>0</v>
      </c>
      <c r="N2353" s="23">
        <f>IF(A2351=A2352,_xll.ciqfunctions.udf.CIQ(A2343,"IQ_TOTAL_DEBT_REPAID",IQ_FY), _xll.ciqfunctions.udf.CIQ(A2343, "IQ_TOTAL_DEBT_REPAID",IQ_LTM))</f>
        <v>-0.18</v>
      </c>
      <c r="O2353" s="21">
        <f t="shared" si="625"/>
        <v>-6.4236504534918781E-3</v>
      </c>
      <c r="P2353" s="21">
        <f t="shared" si="626"/>
        <v>-1.1971543228491028</v>
      </c>
      <c r="Q2353" s="25" t="s">
        <v>45</v>
      </c>
      <c r="S2353" s="45"/>
      <c r="U2353" s="25"/>
      <c r="W2353" s="45"/>
      <c r="Y2353" s="25"/>
      <c r="AA2353" s="45"/>
    </row>
    <row r="2354" spans="1:27">
      <c r="B2354" s="24"/>
      <c r="C2354" s="25" t="s">
        <v>37</v>
      </c>
      <c r="E2354" s="26">
        <f>((D2353/D2348)^(1/5))-1</f>
        <v>2.9220196755056937E-2</v>
      </c>
      <c r="F2354" s="27">
        <f>((F2353/F2348)^(1/5))-1</f>
        <v>9.4533071140059821E-2</v>
      </c>
      <c r="G2354" s="28"/>
      <c r="H2354" s="27" t="e">
        <f>((H2353/H2348)^(1/5))-1</f>
        <v>#DIV/0!</v>
      </c>
      <c r="I2354" s="27">
        <f>((I2353/I2348)^(1/5))-1</f>
        <v>0.11789539037548158</v>
      </c>
      <c r="J2354" s="27"/>
      <c r="K2354" s="27"/>
      <c r="L2354" s="26">
        <f>((L2353/L2348)^(1/5))-1</f>
        <v>0.19639380868141587</v>
      </c>
      <c r="M2354" s="26"/>
      <c r="N2354" s="26"/>
      <c r="O2354" s="26"/>
      <c r="P2354" s="26">
        <f>((P2353/P2348)^(1/5))-1</f>
        <v>0.71161244041447058</v>
      </c>
      <c r="Q2354" s="18"/>
      <c r="R2354" s="36"/>
      <c r="S2354" s="45"/>
      <c r="U2354" s="18"/>
      <c r="V2354" s="36"/>
      <c r="W2354" s="45"/>
      <c r="Y2354" s="18"/>
      <c r="Z2354" s="36"/>
      <c r="AA2354" s="45"/>
    </row>
    <row r="2355" spans="1:27">
      <c r="A2355" s="29"/>
      <c r="B2355" s="30"/>
      <c r="C2355" s="31" t="s">
        <v>38</v>
      </c>
      <c r="D2355" s="29"/>
      <c r="E2355" s="32">
        <f>((D2353/D2343)^(1/10))-1</f>
        <v>-8.4317513366551911E-3</v>
      </c>
      <c r="F2355" s="33" t="e">
        <f>((F2353/F2343)^(1/10))-1</f>
        <v>#NUM!</v>
      </c>
      <c r="G2355" s="34"/>
      <c r="H2355" s="33" t="e">
        <f>((H2353/H2343)^(1/10))-1</f>
        <v>#DIV/0!</v>
      </c>
      <c r="I2355" s="33">
        <f>((I2353/I2343)^(1/10))-1</f>
        <v>6.2263354396501214E-2</v>
      </c>
      <c r="J2355" s="33"/>
      <c r="K2355" s="33"/>
      <c r="L2355" s="32">
        <f>((L2353/L2343)^(1/10))-1</f>
        <v>0.15369189556731855</v>
      </c>
      <c r="M2355" s="32"/>
      <c r="N2355" s="32"/>
      <c r="O2355" s="32"/>
      <c r="P2355" s="32">
        <f>((P2353/P2343)^(1/10))-1</f>
        <v>0.15019113587862964</v>
      </c>
      <c r="Q2355" s="40"/>
      <c r="R2355" s="41"/>
      <c r="S2355" s="46"/>
      <c r="U2355" s="40"/>
      <c r="V2355" s="41"/>
      <c r="W2355" s="46"/>
      <c r="Y2355" s="40"/>
      <c r="Z2355" s="41"/>
      <c r="AA2355" s="46"/>
    </row>
    <row r="2356" spans="1:27">
      <c r="B2356" s="24"/>
      <c r="C2356" s="25"/>
      <c r="E2356" s="26"/>
      <c r="F2356" s="27"/>
      <c r="G2356" s="28"/>
      <c r="H2356" s="27"/>
      <c r="I2356" s="27"/>
      <c r="J2356" s="27"/>
      <c r="K2356" s="27"/>
      <c r="L2356" s="26"/>
      <c r="M2356" s="17"/>
      <c r="N2356" s="17"/>
      <c r="O2356" s="17"/>
      <c r="P2356" s="35"/>
      <c r="Q2356" s="18"/>
      <c r="R2356" s="36"/>
    </row>
    <row r="2357" spans="1:27">
      <c r="A2357" s="9" t="s">
        <v>0</v>
      </c>
      <c r="B2357" s="10"/>
      <c r="C2357" s="9" t="s">
        <v>1</v>
      </c>
      <c r="D2357" s="9" t="s">
        <v>2</v>
      </c>
      <c r="E2357" s="9" t="s">
        <v>3</v>
      </c>
      <c r="F2357" s="11" t="s">
        <v>4</v>
      </c>
      <c r="G2357" s="11" t="s">
        <v>5</v>
      </c>
      <c r="H2357" s="9" t="s">
        <v>6</v>
      </c>
      <c r="I2357" s="11" t="s">
        <v>7</v>
      </c>
      <c r="J2357" s="11" t="s">
        <v>8</v>
      </c>
      <c r="K2357" s="11" t="s">
        <v>9</v>
      </c>
      <c r="L2357" s="11" t="s">
        <v>10</v>
      </c>
      <c r="M2357" s="11" t="s">
        <v>11</v>
      </c>
      <c r="N2357" s="11" t="s">
        <v>12</v>
      </c>
      <c r="O2357" s="11" t="s">
        <v>13</v>
      </c>
      <c r="P2357" s="11" t="s">
        <v>14</v>
      </c>
      <c r="Q2357" s="37" t="s">
        <v>15</v>
      </c>
      <c r="R2357" s="42">
        <f>_xll.ciqfunctions.udf.CIQ(A2358,("IQ_LASTSALEPRICE"))</f>
        <v>51.97</v>
      </c>
      <c r="S2357" s="44"/>
      <c r="U2357" s="37" t="s">
        <v>15</v>
      </c>
      <c r="V2357" s="42">
        <f>_xll.ciqfunctions.udf.CIQ(A2358,("IQ_LASTSALEPRICE"))</f>
        <v>51.97</v>
      </c>
      <c r="W2357" s="44"/>
      <c r="Y2357" s="37" t="s">
        <v>15</v>
      </c>
      <c r="Z2357" s="42">
        <f>_xll.ciqfunctions.udf.CIQ(A2358,("IQ_LASTSALEPRICE"))</f>
        <v>51.97</v>
      </c>
      <c r="AA2357" s="44"/>
    </row>
    <row r="2358" spans="1:27">
      <c r="A2358" s="12" t="str">
        <f>Analysis!B159</f>
        <v>NYSE:CXT</v>
      </c>
      <c r="B2358" s="13">
        <v>1</v>
      </c>
      <c r="C2358" s="14" t="s">
        <v>16</v>
      </c>
      <c r="D2358" s="15" t="e">
        <f>IF(A2366=A2367,_xll.ciqfunctions.udf.CIQ(A2358,"IQ_TOTAL_REV",IQ_FY-10)/I2358,_xll.ciqfunctions.udf.CIQ(A2358, "IQ_TOTAL_REV",IQ_FY-9)/I2358)</f>
        <v>#DIV/0!</v>
      </c>
      <c r="E2358" s="16"/>
      <c r="F2358" s="15">
        <f>IF(A2366=A2367,_xll.ciqfunctions.udf.CIQ(A2358,"IQ_DILUT_EPS_EXCL",IQ_FY-10), _xll.ciqfunctions.udf.CIQ(A2358, "IQ_DILUT_EPS_EXCL",IQ_FY-9))</f>
        <v>0</v>
      </c>
      <c r="G2358" s="15">
        <f>IF(A2366=A2367,_xll.ciqfunctions.udf.CIQ(A2358,"IQ_EBITDA_MARGIN",IQ_FY-10), _xll.ciqfunctions.udf.CIQ(A2358, "IQ_EBITDA_MARGIN",IQ_FY-9))</f>
        <v>0</v>
      </c>
      <c r="H2358" s="15" t="e">
        <f>IF(A2366=A2367,_xll.ciqfunctions.udf.CIQ(A2358,"IQ_TOTAL_DIV_PAID_CF",IQ_FY-10)/-I2358, _xll.ciqfunctions.udf.CIQ(A2358, "IQ_TOTAL_DIV_PAID_CF",IQ_FY-9)/-I2358)</f>
        <v>#DIV/0!</v>
      </c>
      <c r="I2358" s="17">
        <f>IF(A2366=A2367,_xll.ciqfunctions.udf.CIQ(A2358,"IQ_TOTAL_OUTSTANDING_FILING_DATE",IQ_FY-10), _xll.ciqfunctions.udf.CIQ(A2358, "IQ_TOTAL_OUTSTANDING_FILING_DATE",IQ_FY-9))</f>
        <v>0</v>
      </c>
      <c r="J2358" s="17">
        <f>IF(A2366=A2367,_xll.ciqfunctions.udf.CIQ(A2358,"IQ_CASH_OPER",IQ_FY-10), _xll.ciqfunctions.udf.CIQ(A2358, "IQ_CASH_OPER",IQ_FY-9))</f>
        <v>0</v>
      </c>
      <c r="K2358" s="17">
        <f>IF(A2366=A2367,_xll.ciqfunctions.udf.CIQ(A2358,"IQ_CAPEX",IQ_FY-10), _xll.ciqfunctions.udf.CIQ(A2358, "IQ_CAPEX",IQ_FY-9))</f>
        <v>0</v>
      </c>
      <c r="L2358" s="15" t="e">
        <f t="shared" ref="L2358:L2368" si="628">(J2358+K2358)/I2358</f>
        <v>#DIV/0!</v>
      </c>
      <c r="M2358" s="17">
        <f>IF(A2366=A2367,_xll.ciqfunctions.udf.CIQ(A2358,"IQ_TOTAL_DEBT_ISSUED",IQ_FY-10), _xll.ciqfunctions.udf.CIQ(A2358, "IQ_TOTAL_DEBT_ISSUED",IQ_FY-9))</f>
        <v>0</v>
      </c>
      <c r="N2358" s="17">
        <f>IF(A2366=A2367,_xll.ciqfunctions.udf.CIQ(A2358,"IQ_TOTAL_DEBT_REPAID",IQ_FY-10), _xll.ciqfunctions.udf.CIQ(A2358, "IQ_TOTAL_DEBT_REPAID",IQ_FY-9))</f>
        <v>0</v>
      </c>
      <c r="O2358" s="15" t="e">
        <f t="shared" ref="O2358:O2368" si="629">(M2358+N2358)/I2358</f>
        <v>#DIV/0!</v>
      </c>
      <c r="P2358" s="15" t="e">
        <f t="shared" ref="P2358:P2368" si="630">L2358+O2358</f>
        <v>#DIV/0!</v>
      </c>
      <c r="W2358" s="43"/>
      <c r="AA2358" s="43"/>
    </row>
    <row r="2359" spans="1:27">
      <c r="A2359" s="18" t="str">
        <f>_xll.ciqfunctions.udf.CIQ(A2358,"IQ_COMPANY_NAME")</f>
        <v>Crane NXT, Co.</v>
      </c>
      <c r="B2359" s="13">
        <v>2</v>
      </c>
      <c r="C2359" s="14" t="s">
        <v>17</v>
      </c>
      <c r="D2359" s="15" t="e">
        <f>IF(A2366=A2367,_xll.ciqfunctions.udf.CIQ(A2358,"IQ_TOTAL_REV",IQ_FY-9)/I2359, _xll.ciqfunctions.udf.CIQ(A2358, "IQ_TOTAL_REV",IQ_FY-8)/I2359)</f>
        <v>#DIV/0!</v>
      </c>
      <c r="E2359" s="16" t="e">
        <f t="shared" ref="E2359:E2368" si="631">(D2359-D2358)/D2358</f>
        <v>#DIV/0!</v>
      </c>
      <c r="F2359" s="15">
        <f>IF(A2366=A2367,_xll.ciqfunctions.udf.CIQ(A2358,"IQ_DILUT_EPS_EXCL",IQ_FY-9), _xll.ciqfunctions.udf.CIQ(A2358, "IQ_DILUT_EPS_EXCL",IQ_FY-8))</f>
        <v>0</v>
      </c>
      <c r="G2359" s="15">
        <f>IF(A2366=A2367,_xll.ciqfunctions.udf.CIQ(A2358,"IQ_EBITDA_MARGIN",IQ_FY-9), _xll.ciqfunctions.udf.CIQ(A2358, "IQ_EBITDA_MARGIN",IQ_FY-8))</f>
        <v>0</v>
      </c>
      <c r="H2359" s="15" t="e">
        <f>IF(A2366=A2367,_xll.ciqfunctions.udf.CIQ(A2358,"IQ_TOTAL_DIV_PAID_CF",IQ_FY-9)/-I2359, _xll.ciqfunctions.udf.CIQ(A2358, "IQ_TOTAL_DIV_PAID_CF",IQ_FY-8)/-I2359)</f>
        <v>#DIV/0!</v>
      </c>
      <c r="I2359" s="17">
        <f>IF(A2366=A2367,_xll.ciqfunctions.udf.CIQ(A2358,"IQ_TOTAL_OUTSTANDING_FILING_DATE",IQ_FY-9), _xll.ciqfunctions.udf.CIQ(A2358, "IQ_TOTAL_OUTSTANDING_FILING_DATE",IQ_FY-8))</f>
        <v>0</v>
      </c>
      <c r="J2359" s="17">
        <f>IF(A2366=A2367,_xll.ciqfunctions.udf.CIQ(A2358,"IQ_CASH_OPER",IQ_FY-9), _xll.ciqfunctions.udf.CIQ(A2358, "IQ_CASH_OPER",IQ_FY-8))</f>
        <v>0</v>
      </c>
      <c r="K2359" s="17">
        <f>IF(A2366=A2367,_xll.ciqfunctions.udf.CIQ(A2358,"IQ_CAPEX",IQ_FY-9), _xll.ciqfunctions.udf.CIQ(A2358, "IQ_CAPEX",IQ_FY-8))</f>
        <v>0</v>
      </c>
      <c r="L2359" s="15" t="e">
        <f t="shared" si="628"/>
        <v>#DIV/0!</v>
      </c>
      <c r="M2359" s="17">
        <f>IF(A2366=A2367,_xll.ciqfunctions.udf.CIQ(A2358,"IQ_TOTAL_DEBT_ISSUED",IQ_FY-9), _xll.ciqfunctions.udf.CIQ(A2358, "IQ_TOTAL_DEBT_ISSUED",IQ_FY-8))</f>
        <v>0</v>
      </c>
      <c r="N2359" s="17">
        <f>IF(A2366=A2367,_xll.ciqfunctions.udf.CIQ(A2358,"IQ_TOTAL_DEBT_REPAID",IQ_FY-9), _xll.ciqfunctions.udf.CIQ(A2358, "IQ_TOTAL_DEBT_REPAID",IQ_FY-8))</f>
        <v>0</v>
      </c>
      <c r="O2359" s="15" t="e">
        <f t="shared" si="629"/>
        <v>#DIV/0!</v>
      </c>
      <c r="P2359" s="15" t="e">
        <f t="shared" si="630"/>
        <v>#DIV/0!</v>
      </c>
      <c r="Q2359" s="25" t="s">
        <v>18</v>
      </c>
      <c r="R2359" s="39" t="s">
        <v>19</v>
      </c>
      <c r="S2359" s="1" t="e">
        <f>R2357/((AVERAGE(P2363:P2368))*(1+E2369)^3)</f>
        <v>#DIV/0!</v>
      </c>
      <c r="U2359" s="25" t="s">
        <v>48</v>
      </c>
      <c r="V2359" s="39" t="s">
        <v>19</v>
      </c>
      <c r="W2359" s="1" t="e">
        <f>V2357/((AVERAGE(P2363:P2368))*(1+E2369)^3)</f>
        <v>#DIV/0!</v>
      </c>
      <c r="Y2359" s="25" t="s">
        <v>39</v>
      </c>
      <c r="Z2359" s="39" t="s">
        <v>19</v>
      </c>
      <c r="AA2359" s="1" t="e">
        <f>Z2357/((AVERAGE(P2363:P2368))*(1+E2369)^3)</f>
        <v>#DIV/0!</v>
      </c>
    </row>
    <row r="2360" spans="1:27">
      <c r="B2360" s="13">
        <v>3</v>
      </c>
      <c r="C2360" s="14" t="s">
        <v>20</v>
      </c>
      <c r="D2360" s="15" t="e" cm="1">
        <f t="array" ref="D2360">_xlfn.SINGLE(IF(A2366=A2367,_xll.ciqfunctions.udf.CIQ(A2358,"IQ_TOTAL_REV",IQ_FY-8)/I2360, _xll.ciqfunctions.udf.CIQ(A2358, "IQ_TOTAL_REV",IQ_FY-7)/I2360))</f>
        <v>#DIV/0!</v>
      </c>
      <c r="E2360" s="16" t="e">
        <f t="shared" si="631"/>
        <v>#DIV/0!</v>
      </c>
      <c r="F2360" s="15">
        <f>IF(A2366=A2367,_xll.ciqfunctions.udf.CIQ(A2358,"IQ_DILUT_EPS_EXCL",IQ_FY-8), _xll.ciqfunctions.udf.CIQ(A2358, "IQ_DILUT_EPS_EXCL",IQ_FY-7))</f>
        <v>0</v>
      </c>
      <c r="G2360" s="15">
        <f>IF(A2366=A2367,_xll.ciqfunctions.udf.CIQ(A2358,"IQ_EBITDA_MARGIN",IQ_FY-8), _xll.ciqfunctions.udf.CIQ(A2358, "IQ_EBITDA_MARGIN",IQ_FY-7))</f>
        <v>0</v>
      </c>
      <c r="H2360" s="15" t="e">
        <f>IF(A2366=A2367,_xll.ciqfunctions.udf.CIQ(A2358,"IQ_TOTAL_DIV_PAID_CF",IQ_FY-8)/-I2360, _xll.ciqfunctions.udf.CIQ(A2358, "IQ_TOTAL_DIV_PAID_CF",IQ_FY-7)/-I2360)</f>
        <v>#DIV/0!</v>
      </c>
      <c r="I2360" s="17">
        <f>IF(A2366=A2367,_xll.ciqfunctions.udf.CIQ(A2358,"IQ_TOTAL_OUTSTANDING_FILING_DATE",IQ_FY-8), _xll.ciqfunctions.udf.CIQ(A2358, "IQ_TOTAL_OUTSTANDING_FILING_DATE",IQ_FY-7))</f>
        <v>0</v>
      </c>
      <c r="J2360" s="17">
        <f>IF(A2366=A2367,_xll.ciqfunctions.udf.CIQ(A2358,"IQ_CASH_OPER",IQ_FY-8), _xll.ciqfunctions.udf.CIQ(A2358, "IQ_CASH_OPER",IQ_FY-7))</f>
        <v>0</v>
      </c>
      <c r="K2360" s="17">
        <f>IF(A2366=A2367,_xll.ciqfunctions.udf.CIQ(A2358,"IQ_CAPEX",IQ_FY-8), _xll.ciqfunctions.udf.CIQ(A2358, "IQ_CAPEX",IQ_FY-7))</f>
        <v>0</v>
      </c>
      <c r="L2360" s="15" t="e">
        <f t="shared" si="628"/>
        <v>#DIV/0!</v>
      </c>
      <c r="M2360" s="17">
        <f>IF(A2366=A2367,_xll.ciqfunctions.udf.CIQ(A2358,"IQ_TOTAL_DEBT_ISSUED",IQ_FY-8), _xll.ciqfunctions.udf.CIQ(A2358, "IQ_TOTAL_DEBT_ISSUED",IQ_FY-7))</f>
        <v>0</v>
      </c>
      <c r="N2360" s="17">
        <f>IF(A2366=A2367,_xll.ciqfunctions.udf.CIQ(A2358,"IQ_TOTAL_DEBT_REPAID",IQ_FY-8), _xll.ciqfunctions.udf.CIQ(A2358, "IQ_TOTAL_DEBT_REPAID",IQ_FY-7))</f>
        <v>0</v>
      </c>
      <c r="O2360" s="15" t="e">
        <f t="shared" si="629"/>
        <v>#DIV/0!</v>
      </c>
      <c r="P2360" s="15" t="e">
        <f t="shared" si="630"/>
        <v>#DIV/0!</v>
      </c>
      <c r="Q2360" s="25" t="s">
        <v>21</v>
      </c>
      <c r="R2360" s="38" t="s">
        <v>49</v>
      </c>
      <c r="S2360" s="2">
        <f>(R2357*I2368)/1000</f>
        <v>2.9520597055</v>
      </c>
      <c r="U2360" s="25" t="s">
        <v>59</v>
      </c>
      <c r="V2360" s="38" t="s">
        <v>49</v>
      </c>
      <c r="W2360" s="2">
        <f>(V2357*I2368)/1000</f>
        <v>2.9520597055</v>
      </c>
      <c r="Y2360" s="25" t="s">
        <v>46</v>
      </c>
      <c r="Z2360" s="38" t="s">
        <v>49</v>
      </c>
      <c r="AA2360" s="2">
        <f>(Z2357*I2368)/1000</f>
        <v>2.9520597055</v>
      </c>
    </row>
    <row r="2361" spans="1:27">
      <c r="A2361" s="18"/>
      <c r="B2361" s="13">
        <v>4</v>
      </c>
      <c r="C2361" s="14" t="s">
        <v>22</v>
      </c>
      <c r="D2361" s="15" t="e" cm="1">
        <f t="array" ref="D2361">_xlfn.SINGLE(IF(A2366=A2367,_xll.ciqfunctions.udf.CIQ(A2358,"IQ_TOTAL_REV",IQ_FY-7)/I2361, _xll.ciqfunctions.udf.CIQ(A2358, "IQ_TOTAL_REV",IQ_FY-6)/I2361))</f>
        <v>#DIV/0!</v>
      </c>
      <c r="E2361" s="16" t="e">
        <f t="shared" si="631"/>
        <v>#DIV/0!</v>
      </c>
      <c r="F2361" s="15">
        <f>IF(A2366=A2367,_xll.ciqfunctions.udf.CIQ(A2358,"IQ_DILUT_EPS_EXCL",IQ_FY-7), _xll.ciqfunctions.udf.CIQ(A2358, "IQ_DILUT_EPS_EXCL",IQ_FY-6))</f>
        <v>0</v>
      </c>
      <c r="G2361" s="15">
        <f>IF(A2366=A2367,_xll.ciqfunctions.udf.CIQ(A2358,"IQ_EBITDA_MARGIN",IQ_FY-7), _xll.ciqfunctions.udf.CIQ(A2358, "IQ_EBITDA_MARGIN",IQ_FY-6))</f>
        <v>0</v>
      </c>
      <c r="H2361" s="15" t="e">
        <f>IF(A2366=A2367,_xll.ciqfunctions.udf.CIQ(A2358,"IQ_TOTAL_DIV_PAID_CF",IQ_FY-7)/-I2361, _xll.ciqfunctions.udf.CIQ(A2358, "IQ_TOTAL_DIV_PAID_CF",IQ_FY-6)/-I2361)</f>
        <v>#DIV/0!</v>
      </c>
      <c r="I2361" s="17">
        <f>IF(A2366=A2367,_xll.ciqfunctions.udf.CIQ(A2358,"IQ_TOTAL_OUTSTANDING_FILING_DATE",IQ_FY-7), _xll.ciqfunctions.udf.CIQ(A2358, "IQ_TOTAL_OUTSTANDING_FILING_DATE",IQ_FY-6))</f>
        <v>0</v>
      </c>
      <c r="J2361" s="17">
        <f>IF(A2366=A2367,_xll.ciqfunctions.udf.CIQ(A2358,"IQ_CASH_OPER",IQ_FY-7), _xll.ciqfunctions.udf.CIQ(A2358, "IQ_CASH_OPER",IQ_FY-6))</f>
        <v>0</v>
      </c>
      <c r="K2361" s="17">
        <f>IF(A2366=A2367,_xll.ciqfunctions.udf.CIQ(A2358,"IQ_CAPEX",IQ_FY-7), _xll.ciqfunctions.udf.CIQ(A2358, "IQ_CAPEX",IQ_FY-6))</f>
        <v>0</v>
      </c>
      <c r="L2361" s="15" t="e">
        <f t="shared" si="628"/>
        <v>#DIV/0!</v>
      </c>
      <c r="M2361" s="17">
        <f>IF(A2366=A2367,_xll.ciqfunctions.udf.CIQ(A2358,"IQ_TOTAL_DEBT_ISSUED",IQ_FY-7), _xll.ciqfunctions.udf.CIQ(A2358, "IQ_TOTAL_DEBT_ISSUED",IQ_FY-6))</f>
        <v>0</v>
      </c>
      <c r="N2361" s="17">
        <f>IF(A2366=A2367,_xll.ciqfunctions.udf.CIQ(A2358,"IQ_TOTAL_DEBT_REPAID",IQ_FY-7), _xll.ciqfunctions.udf.CIQ(A2358, "IQ_TOTAL_DEBT_REPAID",IQ_FY-6))</f>
        <v>0</v>
      </c>
      <c r="O2361" s="15" t="e">
        <f t="shared" si="629"/>
        <v>#DIV/0!</v>
      </c>
      <c r="P2361" s="15" t="e">
        <f t="shared" si="630"/>
        <v>#DIV/0!</v>
      </c>
      <c r="Q2361" s="25" t="s">
        <v>23</v>
      </c>
      <c r="R2361" s="38" t="s">
        <v>24</v>
      </c>
      <c r="S2361" s="1" t="e">
        <f>R2357/(AVERAGE(H2363:H2368)*(1+H2369)/(0.5-H2369))</f>
        <v>#DIV/0!</v>
      </c>
      <c r="U2361" s="25" t="s">
        <v>40</v>
      </c>
      <c r="V2361" s="38" t="s">
        <v>24</v>
      </c>
      <c r="W2361" s="1" t="e">
        <f>V2357/(AVERAGE(H2363:H2368)*(1+H2369)/(0.5-H2369))</f>
        <v>#DIV/0!</v>
      </c>
      <c r="Y2361" s="25" t="s">
        <v>47</v>
      </c>
      <c r="Z2361" s="38" t="s">
        <v>24</v>
      </c>
      <c r="AA2361" s="1" t="e">
        <f>Z2357/(AVERAGE(H2363:H2368)*(1+H2369)/(0.5-H2369))</f>
        <v>#DIV/0!</v>
      </c>
    </row>
    <row r="2362" spans="1:27">
      <c r="B2362" s="13">
        <v>5</v>
      </c>
      <c r="C2362" s="14" t="s">
        <v>25</v>
      </c>
      <c r="D2362" s="15" t="e" cm="1">
        <f t="array" ref="D2362">_xlfn.SINGLE(IF(A2366=A2367,_xll.ciqfunctions.udf.CIQ(A2358,"IQ_TOTAL_REV",IQ_FY-6)/I2362, _xll.ciqfunctions.udf.CIQ(A2358, "IQ_TOTAL_REV",IQ_FY-5)/I2362))</f>
        <v>#DIV/0!</v>
      </c>
      <c r="E2362" s="16" t="e">
        <f t="shared" si="631"/>
        <v>#DIV/0!</v>
      </c>
      <c r="F2362" s="15">
        <f>IF(A2366=A2367,_xll.ciqfunctions.udf.CIQ(A2358,"IQ_DILUT_EPS_EXCL",IQ_FY-6), _xll.ciqfunctions.udf.CIQ(A2358, "IQ_DILUT_EPS_EXCL",IQ_FY-5))</f>
        <v>0</v>
      </c>
      <c r="G2362" s="15">
        <f>IF(A2366=A2367,_xll.ciqfunctions.udf.CIQ(A2358,"IQ_EBITDA_MARGIN",IQ_FY-6), _xll.ciqfunctions.udf.CIQ(A2358, "IQ_EBITDA_MARGIN",IQ_FY-5))</f>
        <v>0</v>
      </c>
      <c r="H2362" s="15" t="e">
        <f>IF(A2366=A2367,_xll.ciqfunctions.udf.CIQ(A2358,"IQ_TOTAL_DIV_PAID_CF",IQ_FY-6)/-I2362, _xll.ciqfunctions.udf.CIQ(A2358, "IQ_TOTAL_DIV_PAID_CF",IQ_FY-5)/-I2362)</f>
        <v>#DIV/0!</v>
      </c>
      <c r="I2362" s="17">
        <f>IF(A2366=A2367,_xll.ciqfunctions.udf.CIQ(A2358,"IQ_TOTAL_OUTSTANDING_FILING_DATE",IQ_FY-6), _xll.ciqfunctions.udf.CIQ(A2358, "IQ_TOTAL_OUTSTANDING_FILING_DATE",IQ_FY-5))</f>
        <v>0</v>
      </c>
      <c r="J2362" s="17">
        <f>IF(A2366=A2367,_xll.ciqfunctions.udf.CIQ(A2358,"IQ_CASH_OPER",IQ_FY-6), _xll.ciqfunctions.udf.CIQ(A2358, "IQ_CASH_OPER",IQ_FY-5))</f>
        <v>0</v>
      </c>
      <c r="K2362" s="17">
        <f>IF(A2366=A2367,_xll.ciqfunctions.udf.CIQ(A2358,"IQ_CAPEX",IQ_FY-6), _xll.ciqfunctions.udf.CIQ(A2358, "IQ_CAPEX",IQ_FY-5))</f>
        <v>0</v>
      </c>
      <c r="L2362" s="15" t="e">
        <f t="shared" si="628"/>
        <v>#DIV/0!</v>
      </c>
      <c r="M2362" s="17">
        <f>IF(A2366=A2367,_xll.ciqfunctions.udf.CIQ(A2358,"IQ_TOTAL_DEBT_ISSUED",IQ_FY-6), _xll.ciqfunctions.udf.CIQ(A2358, "IQ_TOTAL_DEBT_ISSUED",IQ_FY-5))</f>
        <v>0</v>
      </c>
      <c r="N2362" s="17">
        <f>IF(A2366=A2367,_xll.ciqfunctions.udf.CIQ(A2358,"IQ_TOTAL_DEBT_REPAID",IQ_FY-6), _xll.ciqfunctions.udf.CIQ(A2358, "IQ_TOTAL_DEBT_REPAID",IQ_FY-5))</f>
        <v>0</v>
      </c>
      <c r="O2362" s="15" t="e">
        <f t="shared" si="629"/>
        <v>#DIV/0!</v>
      </c>
      <c r="P2362" s="15" t="e">
        <f t="shared" si="630"/>
        <v>#DIV/0!</v>
      </c>
      <c r="Q2362" s="18"/>
      <c r="R2362" s="38" t="s">
        <v>50</v>
      </c>
      <c r="S2362" s="3" t="e">
        <f>I2369</f>
        <v>#DIV/0!</v>
      </c>
      <c r="U2362" s="18"/>
      <c r="V2362" s="38" t="s">
        <v>50</v>
      </c>
      <c r="W2362" s="3" t="e">
        <f>I2369</f>
        <v>#DIV/0!</v>
      </c>
      <c r="Y2362" s="18"/>
      <c r="Z2362" s="38" t="s">
        <v>50</v>
      </c>
      <c r="AA2362" s="3" t="e">
        <f>I2369</f>
        <v>#DIV/0!</v>
      </c>
    </row>
    <row r="2363" spans="1:27">
      <c r="B2363" s="13">
        <v>6</v>
      </c>
      <c r="C2363" s="14" t="s">
        <v>26</v>
      </c>
      <c r="D2363" s="15" t="e" cm="1">
        <f t="array" ref="D2363">_xlfn.SINGLE(IF(A2366=A2367,_xll.ciqfunctions.udf.CIQ(A2358,"IQ_TOTAL_REV",IQ_FY-5)/I2363, _xll.ciqfunctions.udf.CIQ(A2358, "IQ_TOTAL_REV",IQ_FY-4)/I2363))</f>
        <v>#DIV/0!</v>
      </c>
      <c r="E2363" s="16" t="e">
        <f t="shared" si="631"/>
        <v>#DIV/0!</v>
      </c>
      <c r="F2363" s="15">
        <f>IF(A2366=A2367,_xll.ciqfunctions.udf.CIQ(A2358,"IQ_DILUT_EPS_EXCL",IQ_FY-5), _xll.ciqfunctions.udf.CIQ(A2358, "IQ_DILUT_EPS_EXCL",IQ_FY-4))</f>
        <v>0</v>
      </c>
      <c r="G2363" s="15">
        <f>IF(A2366=A2367,_xll.ciqfunctions.udf.CIQ(A2358,"IQ_EBITDA_MARGIN",IQ_FY-5), _xll.ciqfunctions.udf.CIQ(A2358, "IQ_EBITDA_MARGIN",IQ_FY-4))</f>
        <v>0</v>
      </c>
      <c r="H2363" s="15" t="e">
        <f>IF(A2366=A2367,_xll.ciqfunctions.udf.CIQ(A2358,"IQ_TOTAL_DIV_PAID_CF",IQ_FY-5)/-I2363, _xll.ciqfunctions.udf.CIQ(A2358, "IQ_TOTAL_DIV_PAID_CF",IQ_FY-4)/-I2363)</f>
        <v>#DIV/0!</v>
      </c>
      <c r="I2363" s="17">
        <f>IF(A2366=A2367,_xll.ciqfunctions.udf.CIQ(A2358,"IQ_TOTAL_OUTSTANDING_FILING_DATE",IQ_FY-5), _xll.ciqfunctions.udf.CIQ(A2358, "IQ_TOTAL_OUTSTANDING_FILING_DATE",IQ_FY-4))</f>
        <v>0</v>
      </c>
      <c r="J2363" s="17">
        <f>IF(A2366=A2367,_xll.ciqfunctions.udf.CIQ(A2358,"IQ_CASH_OPER",IQ_FY-5), _xll.ciqfunctions.udf.CIQ(A2358, "IQ_CASH_OPER",IQ_FY-4))</f>
        <v>0</v>
      </c>
      <c r="K2363" s="17">
        <f>IF(A2366=A2367,_xll.ciqfunctions.udf.CIQ(A2358,"IQ_CAPEX",IQ_FY-5), _xll.ciqfunctions.udf.CIQ(A2358, "IQ_CAPEX",IQ_FY-4))</f>
        <v>0</v>
      </c>
      <c r="L2363" s="15" t="e">
        <f t="shared" si="628"/>
        <v>#DIV/0!</v>
      </c>
      <c r="M2363" s="17">
        <f>IF(A2366=A2367,_xll.ciqfunctions.udf.CIQ(A2358,"IQ_TOTAL_DEBT_ISSUED",IQ_FY-5), _xll.ciqfunctions.udf.CIQ(A2358, "IQ_TOTAL_DEBT_ISSUED",IQ_FY-4))</f>
        <v>0</v>
      </c>
      <c r="N2363" s="17">
        <f>IF(A2366=A2367,_xll.ciqfunctions.udf.CIQ(A2358,"IQ_TOTAL_DEBT_REPAID",IQ_FY-5), _xll.ciqfunctions.udf.CIQ(A2358, "IQ_TOTAL_DEBT_REPAID",IQ_FY-4))</f>
        <v>0</v>
      </c>
      <c r="O2363" s="15" t="e">
        <f t="shared" si="629"/>
        <v>#DIV/0!</v>
      </c>
      <c r="P2363" s="15" t="e">
        <f t="shared" si="630"/>
        <v>#DIV/0!</v>
      </c>
      <c r="Q2363" s="25" t="s">
        <v>27</v>
      </c>
      <c r="R2363" s="38" t="s">
        <v>51</v>
      </c>
      <c r="S2363" s="4" t="e">
        <f>AVERAGE(F2363:F2368)/AVERAGE(D2363:D2368)</f>
        <v>#DIV/0!</v>
      </c>
      <c r="U2363" s="25" t="s">
        <v>58</v>
      </c>
      <c r="V2363" s="38" t="s">
        <v>51</v>
      </c>
      <c r="W2363" s="4" t="e">
        <f>AVERAGE(F2363:F2368)/AVERAGE(D2363:D2368)</f>
        <v>#DIV/0!</v>
      </c>
      <c r="Y2363" s="25" t="s">
        <v>56</v>
      </c>
      <c r="Z2363" s="38" t="s">
        <v>51</v>
      </c>
      <c r="AA2363" s="4" t="e">
        <f>AVERAGE(F2363:F2368)/AVERAGE(D2363:D2368)</f>
        <v>#DIV/0!</v>
      </c>
    </row>
    <row r="2364" spans="1:27">
      <c r="A2364" s="18"/>
      <c r="B2364" s="13">
        <v>7</v>
      </c>
      <c r="C2364" s="14" t="s">
        <v>28</v>
      </c>
      <c r="D2364" s="15" t="e" cm="1">
        <f t="array" ref="D2364">_xlfn.SINGLE(IF(A2366=A2367,_xll.ciqfunctions.udf.CIQ(A2358,"IQ_TOTAL_REV",IQ_FY-4)/I2364, _xll.ciqfunctions.udf.CIQ(A2358, "IQ_TOTAL_REV",IQ_FY-3)/I2364))</f>
        <v>#DIV/0!</v>
      </c>
      <c r="E2364" s="16" t="e">
        <f t="shared" si="631"/>
        <v>#DIV/0!</v>
      </c>
      <c r="F2364" s="15">
        <f>IF(A2366=A2367,_xll.ciqfunctions.udf.CIQ(A2358,"IQ_DILUT_EPS_EXCL",IQ_FY-4), _xll.ciqfunctions.udf.CIQ(A2358, "IQ_DILUT_EPS_EXCL",IQ_FY-3))</f>
        <v>0</v>
      </c>
      <c r="G2364" s="15">
        <f>IF(A2366=A2367,_xll.ciqfunctions.udf.CIQ(A2358,"IQ_EBITDA_MARGIN",IQ_FY-4), _xll.ciqfunctions.udf.CIQ(A2358, "IQ_EBITDA_MARGIN",IQ_FY-3))</f>
        <v>0</v>
      </c>
      <c r="H2364" s="15" t="e">
        <f>IF(A2366=A2367,_xll.ciqfunctions.udf.CIQ(A2358,"IQ_TOTAL_DIV_PAID_CF",IQ_FY-4)/-I2364, _xll.ciqfunctions.udf.CIQ(A2358, "IQ_TOTAL_DIV_PAID_CF",IQ_FY-3)/-I2364)</f>
        <v>#DIV/0!</v>
      </c>
      <c r="I2364" s="17">
        <f>IF(A2366=A2367,_xll.ciqfunctions.udf.CIQ(A2358,"IQ_TOTAL_OUTSTANDING_FILING_DATE",IQ_FY-4), _xll.ciqfunctions.udf.CIQ(A2358, "IQ_TOTAL_OUTSTANDING_FILING_DATE",IQ_FY-3))</f>
        <v>0</v>
      </c>
      <c r="J2364" s="17">
        <f>IF(A2366=A2367,_xll.ciqfunctions.udf.CIQ(A2358,"IQ_CASH_OPER",IQ_FY-4), _xll.ciqfunctions.udf.CIQ(A2358, "IQ_CASH_OPER",IQ_FY-3))</f>
        <v>0</v>
      </c>
      <c r="K2364" s="17">
        <f>IF(A2366=A2367,_xll.ciqfunctions.udf.CIQ(A2358,"IQ_CAPEX",IQ_FY-4), _xll.ciqfunctions.udf.CIQ(A2358, "IQ_CAPEX",IQ_FY-3))</f>
        <v>0</v>
      </c>
      <c r="L2364" s="15" t="e">
        <f t="shared" si="628"/>
        <v>#DIV/0!</v>
      </c>
      <c r="M2364" s="17">
        <f>IF(A2366=A2367,_xll.ciqfunctions.udf.CIQ(A2358,"IQ_TOTAL_DEBT_ISSUED",IQ_FY-4), _xll.ciqfunctions.udf.CIQ(A2358, "IQ_TOTAL_DEBT_ISSUED",IQ_FY-3))</f>
        <v>0</v>
      </c>
      <c r="N2364" s="17">
        <f>IF(A2366=A2367,_xll.ciqfunctions.udf.CIQ(A2358,"IQ_TOTAL_DEBT_REPAID",IQ_FY-4), _xll.ciqfunctions.udf.CIQ(A2358, "IQ_TOTAL_DEBT_REPAID",IQ_FY-3))</f>
        <v>0</v>
      </c>
      <c r="O2364" s="15" t="e">
        <f t="shared" si="629"/>
        <v>#DIV/0!</v>
      </c>
      <c r="P2364" s="15" t="e">
        <f t="shared" si="630"/>
        <v>#DIV/0!</v>
      </c>
      <c r="Q2364" s="18"/>
      <c r="R2364" s="38" t="s">
        <v>29</v>
      </c>
      <c r="S2364" s="4" t="e">
        <f>(AVERAGE(P2363:P2368)/_xlfn.STDEV.P(P2363:P2368))/(IF(A2366=A2367,(_xlfn.SINGLE(_xll.ciqfunctions.udf.CIQ(A2358,"IQ_total_assets",IQ_FY)) - _xlfn.SINGLE(_xll.ciqfunctions.udf.CIQ(A2358,"iq_gw_intan", IQ_FY)))/I2368, (_xlfn.SINGLE(_xll.ciqfunctions.udf.CIQ(A2358, "IQ_total_assets",IQ_LTM))-_xlfn.SINGLE(_xll.ciqfunctions.udf.CIQ(A2358,"iq_gw_intan",IQ_LTM)))/I2368))</f>
        <v>#DIV/0!</v>
      </c>
      <c r="U2364" s="18"/>
      <c r="V2364" s="38" t="s">
        <v>29</v>
      </c>
      <c r="W2364" s="4" t="e">
        <f>(AVERAGE(P2363:P2368)/_xlfn.STDEV.P(P2363:P2368))/(IF(A2366=A2367,(_xlfn.SINGLE(_xll.ciqfunctions.udf.CIQ(A2358,"IQ_total_assets",IQ_FY)) - _xlfn.SINGLE(_xll.ciqfunctions.udf.CIQ(A2358,"iq_gw_intan", IQ_FY)))/I2368, (_xlfn.SINGLE(_xll.ciqfunctions.udf.CIQ(A2358, "IQ_total_assets",IQ_LTM))-_xlfn.SINGLE(_xll.ciqfunctions.udf.CIQ(A2358,"iq_gw_intan",IQ_LTM)))/I2368))</f>
        <v>#DIV/0!</v>
      </c>
      <c r="Y2364" s="18"/>
      <c r="Z2364" s="38" t="s">
        <v>29</v>
      </c>
      <c r="AA2364" s="4" t="e">
        <f>(AVERAGE(P2363:P2368)/_xlfn.STDEV.P(P2363:P2368))/(IF(A2366=A2367,(_xlfn.SINGLE(_xll.ciqfunctions.udf.CIQ(A2358,"IQ_total_assets",IQ_FY)) - _xlfn.SINGLE(_xll.ciqfunctions.udf.CIQ(A2358,"iq_gw_intan", IQ_FY)))/I2368, (_xlfn.SINGLE(_xll.ciqfunctions.udf.CIQ(A2358, "IQ_total_assets",IQ_LTM))-_xlfn.SINGLE(_xll.ciqfunctions.udf.CIQ(A2358,"iq_gw_intan",IQ_LTM)))/I2368))</f>
        <v>#DIV/0!</v>
      </c>
    </row>
    <row r="2365" spans="1:27">
      <c r="A2365" s="18"/>
      <c r="B2365" s="13">
        <v>8</v>
      </c>
      <c r="C2365" s="14" t="s">
        <v>30</v>
      </c>
      <c r="D2365" s="15" t="e" cm="1">
        <f t="array" ref="D2365">_xlfn.SINGLE(IF(A2366=A2367,_xll.ciqfunctions.udf.CIQ(A2358,"IQ_TOTAL_REV",IQ_FY-3)/I2365, _xll.ciqfunctions.udf.CIQ(A2358, "IQ_TOTAL_REV",IQ_FY-2)/I2365))</f>
        <v>#DIV/0!</v>
      </c>
      <c r="E2365" s="16" t="e">
        <f t="shared" si="631"/>
        <v>#DIV/0!</v>
      </c>
      <c r="F2365" s="15">
        <f>IF(A2366=A2367,_xll.ciqfunctions.udf.CIQ(A2358,"IQ_DILUT_EPS_EXCL",IQ_FY-3), _xll.ciqfunctions.udf.CIQ(A2358, "IQ_DILUT_EPS_EXCL",IQ_FY-2))</f>
        <v>0</v>
      </c>
      <c r="G2365" s="15">
        <f>IF(A2366=A2367,_xll.ciqfunctions.udf.CIQ(A2358,"IQ_EBITDA_MARGIN",IQ_FY-3), _xll.ciqfunctions.udf.CIQ(A2358, "IQ_EBITDA_MARGIN",IQ_FY-2))</f>
        <v>17.442</v>
      </c>
      <c r="H2365" s="15" t="e">
        <f>IF(A2366=A2367,_xll.ciqfunctions.udf.CIQ(A2358,"IQ_TOTAL_DIV_PAID_CF",IQ_FY-3)/-I2365, _xll.ciqfunctions.udf.CIQ(A2358, "IQ_TOTAL_DIV_PAID_CF",IQ_FY-2)/-I2365)</f>
        <v>#DIV/0!</v>
      </c>
      <c r="I2365" s="17">
        <f>IF(A2366=A2367,_xll.ciqfunctions.udf.CIQ(A2358,"IQ_TOTAL_OUTSTANDING_FILING_DATE",IQ_FY-3), _xll.ciqfunctions.udf.CIQ(A2358, "IQ_TOTAL_OUTSTANDING_FILING_DATE",IQ_FY-2))</f>
        <v>0</v>
      </c>
      <c r="J2365" s="17">
        <f>IF(A2366=A2367,_xll.ciqfunctions.udf.CIQ(A2358,"IQ_CASH_OPER",IQ_FY-3), _xll.ciqfunctions.udf.CIQ(A2358, "IQ_CASH_OPER",IQ_FY-2))</f>
        <v>173.7</v>
      </c>
      <c r="K2365" s="17">
        <f>IF(A2366=A2367,_xll.ciqfunctions.udf.CIQ(A2358,"IQ_CAPEX",IQ_FY-3), _xll.ciqfunctions.udf.CIQ(A2358, "IQ_CAPEX",IQ_FY-2))</f>
        <v>-9.3000000000000007</v>
      </c>
      <c r="L2365" s="15" t="e">
        <f t="shared" si="628"/>
        <v>#DIV/0!</v>
      </c>
      <c r="M2365" s="17">
        <f>IF(A2366=A2367,_xll.ciqfunctions.udf.CIQ(A2358,"IQ_TOTAL_DEBT_ISSUED",IQ_FY-3), _xll.ciqfunctions.udf.CIQ(A2358, "IQ_TOTAL_DEBT_ISSUED",IQ_FY-2))</f>
        <v>0</v>
      </c>
      <c r="N2365" s="17">
        <f>IF(A2366=A2367,_xll.ciqfunctions.udf.CIQ(A2358,"IQ_TOTAL_DEBT_REPAID",IQ_FY-3), _xll.ciqfunctions.udf.CIQ(A2358, "IQ_TOTAL_DEBT_REPAID",IQ_FY-2))</f>
        <v>0</v>
      </c>
      <c r="O2365" s="15" t="e">
        <f t="shared" si="629"/>
        <v>#DIV/0!</v>
      </c>
      <c r="P2365" s="15" t="e">
        <f t="shared" si="630"/>
        <v>#DIV/0!</v>
      </c>
      <c r="Q2365" s="18"/>
      <c r="R2365" s="39" t="s">
        <v>31</v>
      </c>
      <c r="S2365" s="5" t="e">
        <f>IF(NOT(D2358&gt;0),FALSE,SLOPE(G2358:G2368,B2358:B2368))</f>
        <v>#DIV/0!</v>
      </c>
      <c r="U2365" s="18"/>
      <c r="V2365" s="39" t="s">
        <v>31</v>
      </c>
      <c r="W2365" s="5" t="e">
        <f>IF(NOT(D2358&gt;0),FALSE,SLOPE(G2358:G2368,B2358:B2368))</f>
        <v>#DIV/0!</v>
      </c>
      <c r="Y2365" s="18"/>
      <c r="Z2365" s="39" t="s">
        <v>31</v>
      </c>
      <c r="AA2365" s="5" t="e">
        <f>IF(NOT(L2358&gt;0),FALSE,SLOPE(O2358:O2368,J2358:J2368))</f>
        <v>#DIV/0!</v>
      </c>
    </row>
    <row r="2366" spans="1:27">
      <c r="A2366" s="19">
        <f>_xll.ciqfunctions.udf.CIQ(A2358,"IQ_TOTAL_REV",IQ_FY)</f>
        <v>1339.9</v>
      </c>
      <c r="B2366" s="13">
        <v>9</v>
      </c>
      <c r="C2366" s="14" t="s">
        <v>32</v>
      </c>
      <c r="D2366" s="15" t="e" cm="1">
        <f t="array" ref="D2366">_xlfn.SINGLE(IF(A2366=A2367,_xll.ciqfunctions.udf.CIQ(A2358,"IQ_TOTAL_REV",IQ_FY-2)/I2366, _xll.ciqfunctions.udf.CIQ(A2358, "IQ_TOTAL_REV",IQ_FY-1)/I2366))</f>
        <v>#DIV/0!</v>
      </c>
      <c r="E2366" s="16" t="e">
        <f t="shared" si="631"/>
        <v>#DIV/0!</v>
      </c>
      <c r="F2366" s="15">
        <f>IF(A2366=A2367,_xll.ciqfunctions.udf.CIQ(A2358,"IQ_DILUT_EPS_EXCL",IQ_FY-2), _xll.ciqfunctions.udf.CIQ(A2358, "IQ_DILUT_EPS_EXCL",IQ_FY-1))</f>
        <v>0</v>
      </c>
      <c r="G2366" s="15">
        <f>IF(A2366=A2367,_xll.ciqfunctions.udf.CIQ(A2358,"IQ_EBITDA_MARGIN",IQ_FY-2), _xll.ciqfunctions.udf.CIQ(A2358, "IQ_EBITDA_MARGIN",IQ_FY-1))</f>
        <v>26.562999999999999</v>
      </c>
      <c r="H2366" s="15" t="e">
        <f>IF(A2366=A2367,_xll.ciqfunctions.udf.CIQ(A2358,"IQ_TOTAL_DIV_PAID_CF",IQ_FY-2)/-I2366, _xll.ciqfunctions.udf.CIQ(A2358, "IQ_TOTAL_DIV_PAID_CF",IQ_FY-1)/-I2366)</f>
        <v>#DIV/0!</v>
      </c>
      <c r="I2366" s="17">
        <f>IF(A2366=A2367,_xll.ciqfunctions.udf.CIQ(A2358,"IQ_TOTAL_OUTSTANDING_FILING_DATE",IQ_FY-2), _xll.ciqfunctions.udf.CIQ(A2358, "IQ_TOTAL_OUTSTANDING_FILING_DATE",IQ_FY-1))</f>
        <v>0</v>
      </c>
      <c r="J2366" s="17">
        <f>IF(A2366=A2367,_xll.ciqfunctions.udf.CIQ(A2358,"IQ_CASH_OPER",IQ_FY-2), _xll.ciqfunctions.udf.CIQ(A2358, "IQ_CASH_OPER",IQ_FY-1))</f>
        <v>277</v>
      </c>
      <c r="K2366" s="17">
        <f>IF(A2366=A2367,_xll.ciqfunctions.udf.CIQ(A2358,"IQ_CAPEX",IQ_FY-2), _xll.ciqfunctions.udf.CIQ(A2358, "IQ_CAPEX",IQ_FY-1))</f>
        <v>-18.600000000000001</v>
      </c>
      <c r="L2366" s="15" t="e">
        <f t="shared" si="628"/>
        <v>#DIV/0!</v>
      </c>
      <c r="M2366" s="17">
        <f>IF(A2366=A2367,_xll.ciqfunctions.udf.CIQ(A2358,"IQ_TOTAL_DEBT_ISSUED",IQ_FY-2), _xll.ciqfunctions.udf.CIQ(A2358, "IQ_TOTAL_DEBT_ISSUED",IQ_FY-1))</f>
        <v>0</v>
      </c>
      <c r="N2366" s="17">
        <f>IF(A2366=A2367,_xll.ciqfunctions.udf.CIQ(A2358,"IQ_TOTAL_DEBT_REPAID",IQ_FY-2), _xll.ciqfunctions.udf.CIQ(A2358, "IQ_TOTAL_DEBT_REPAID",IQ_FY-1))</f>
        <v>0</v>
      </c>
      <c r="O2366" s="15" t="e">
        <f t="shared" si="629"/>
        <v>#DIV/0!</v>
      </c>
      <c r="P2366" s="15" t="e">
        <f t="shared" si="630"/>
        <v>#DIV/0!</v>
      </c>
      <c r="Q2366" s="25" t="s">
        <v>33</v>
      </c>
      <c r="R2366" s="38" t="s">
        <v>52</v>
      </c>
      <c r="S2366" s="4" t="e">
        <f>(AVERAGE(O2363:O2368)/AVERAGE(P2363:P2368))</f>
        <v>#DIV/0!</v>
      </c>
      <c r="U2366" s="25" t="s">
        <v>54</v>
      </c>
      <c r="V2366" s="38" t="s">
        <v>52</v>
      </c>
      <c r="W2366" s="4" t="e">
        <f>(AVERAGE(O2363:O2368)/AVERAGE(P2363:P2368))</f>
        <v>#DIV/0!</v>
      </c>
      <c r="Y2366" s="25" t="s">
        <v>60</v>
      </c>
      <c r="Z2366" s="38" t="s">
        <v>52</v>
      </c>
      <c r="AA2366" s="4" t="e">
        <f>(AVERAGE(O2363:O2368)/AVERAGE(P2363:P2368))</f>
        <v>#DIV/0!</v>
      </c>
    </row>
    <row r="2367" spans="1:27">
      <c r="A2367" s="19">
        <f>_xll.ciqfunctions.udf.CIQ(A2358,"IQ_TOTAL_REV",IQ_LTM)</f>
        <v>1372.6</v>
      </c>
      <c r="B2367" s="13">
        <v>10</v>
      </c>
      <c r="C2367" s="14" t="s">
        <v>34</v>
      </c>
      <c r="D2367" s="15" t="e" cm="1">
        <f t="array" ref="D2367">_xlfn.SINGLE(IF(A2366=A2367,_xll.ciqfunctions.udf.CIQ(A2358,"IQ_TOTAL_REV",IQ_FY-1)/I2367, _xll.ciqfunctions.udf.CIQ(A2358, "IQ_TOTAL_REV",IQ_FY)/I2367))</f>
        <v>#DIV/0!</v>
      </c>
      <c r="E2367" s="16" t="e">
        <f t="shared" si="631"/>
        <v>#DIV/0!</v>
      </c>
      <c r="F2367" s="15">
        <f>IF(A2366=A2367,_xll.ciqfunctions.udf.CIQ(A2358,"IQ_DILUT_EPS_EXCL",IQ_FY-1), _xll.ciqfunctions.udf.CIQ(A2358, "IQ_DILUT_EPS_EXCL",IQ_FY))</f>
        <v>0</v>
      </c>
      <c r="G2367" s="15">
        <f>IF(A2366=A2367,_xll.ciqfunctions.udf.CIQ(A2358,"IQ_EBITDA_MARGIN",IQ_FY-1), _xll.ciqfunctions.udf.CIQ(A2358, "IQ_EBITDA_MARGIN",IQ_FY))</f>
        <v>28.823</v>
      </c>
      <c r="H2367" s="15" t="e">
        <f>IF(A2366=A2367,_xll.ciqfunctions.udf.CIQ(A2358,"IQ_TOTAL_DIV_PAID_CF",IQ_FY-1)/-I2367, _xll.ciqfunctions.udf.CIQ(A2358, "IQ_TOTAL_DIV_PAID_CF",IQ_FY)/-I2367)</f>
        <v>#DIV/0!</v>
      </c>
      <c r="I2367" s="17">
        <f>IF(A2366=A2367,_xll.ciqfunctions.udf.CIQ(A2358,"IQ_TOTAL_OUTSTANDING_FILING_DATE",IQ_FY-1), _xll.ciqfunctions.udf.CIQ(A2358, "IQ_TOTAL_OUTSTANDING_FILING_DATE",IQ_FY))</f>
        <v>0</v>
      </c>
      <c r="J2367" s="17">
        <f>IF(A2366=A2367,_xll.ciqfunctions.udf.CIQ(A2358,"IQ_CASH_OPER",IQ_FY-1), _xll.ciqfunctions.udf.CIQ(A2358, "IQ_CASH_OPER",IQ_FY))</f>
        <v>306</v>
      </c>
      <c r="K2367" s="17">
        <f>IF(A2366=A2367,_xll.ciqfunctions.udf.CIQ(A2358,"IQ_CAPEX",IQ_FY-1), _xll.ciqfunctions.udf.CIQ(A2358, "IQ_CAPEX",IQ_FY))</f>
        <v>-21.3</v>
      </c>
      <c r="L2367" s="15" t="e">
        <f t="shared" si="628"/>
        <v>#DIV/0!</v>
      </c>
      <c r="M2367" s="17">
        <f>IF(A2366=A2367,_xll.ciqfunctions.udf.CIQ(A2358,"IQ_TOTAL_DEBT_ISSUED",IQ_FY-1), _xll.ciqfunctions.udf.CIQ(A2358, "IQ_TOTAL_DEBT_ISSUED",IQ_FY))</f>
        <v>0</v>
      </c>
      <c r="N2367" s="17">
        <f>IF(A2366=A2367,_xll.ciqfunctions.udf.CIQ(A2358,"IQ_TOTAL_DEBT_REPAID",IQ_FY-1), _xll.ciqfunctions.udf.CIQ(A2358, "IQ_TOTAL_DEBT_REPAID",IQ_FY))</f>
        <v>0</v>
      </c>
      <c r="O2367" s="15" t="e">
        <f t="shared" si="629"/>
        <v>#DIV/0!</v>
      </c>
      <c r="P2367" s="15" t="e">
        <f t="shared" si="630"/>
        <v>#DIV/0!</v>
      </c>
      <c r="Q2367" s="25" t="s">
        <v>44</v>
      </c>
      <c r="R2367" s="38" t="s">
        <v>35</v>
      </c>
      <c r="S2367" s="1">
        <f>_xll.ciqfunctions.udf.CIQ(A2358,"IQ_TEV_EBITDA")</f>
        <v>8.7483000000000004</v>
      </c>
      <c r="U2367" s="25" t="s">
        <v>55</v>
      </c>
      <c r="V2367" s="38" t="s">
        <v>53</v>
      </c>
      <c r="W2367" s="1" t="e">
        <f>V2357/(AVERAGE(D2363:D2368)/_xlfn.STDEV.P(E2363:E2368))</f>
        <v>#DIV/0!</v>
      </c>
      <c r="Y2367" s="25" t="s">
        <v>57</v>
      </c>
      <c r="Z2367" s="38" t="s">
        <v>53</v>
      </c>
      <c r="AA2367" s="1" t="e">
        <f>Z2357/(AVERAGE(D2363:D2368)/_xlfn.STDEV.P(E2363:E2368))</f>
        <v>#DIV/0!</v>
      </c>
    </row>
    <row r="2368" spans="1:27">
      <c r="B2368" s="13">
        <v>11</v>
      </c>
      <c r="C2368" s="20" t="s">
        <v>36</v>
      </c>
      <c r="D2368" s="21" cm="1">
        <f t="array" ref="D2368">_xlfn.SINGLE(IF(A2366=A2367,_xll.ciqfunctions.udf.CIQ(A2358,"IQ_TOTAL_REV",IQ_FY)/I2368, _xll.ciqfunctions.udf.CIQ(A2358, "IQ_TOTAL_REV",IQ_LTM)/I2368))</f>
        <v>24.16415286828283</v>
      </c>
      <c r="E2368" s="22" t="e">
        <f t="shared" si="631"/>
        <v>#DIV/0!</v>
      </c>
      <c r="F2368" s="21">
        <f>IF(A2366=A2367,_xll.ciqfunctions.udf.CIQ(A2358,"IQ_DILUT_EPS_EXCL",IQ_FY), _xll.ciqfunctions.udf.CIQ(A2358, "IQ_DILUT_EPS_EXCL",IQ_LTM))</f>
        <v>3.5350199999999998</v>
      </c>
      <c r="G2368" s="21">
        <f>IF(A2366=A2367,_xll.ciqfunctions.udf.CIQ(A2358,"IQ_EBITDA_MARGIN",IQ_FY), _xll.ciqfunctions.udf.CIQ(A2358, "IQ_EBITDA_MARGIN",IQ_LTM))</f>
        <v>28.551600000000001</v>
      </c>
      <c r="H2368" s="21">
        <f>IF(A2366=A2367,_xll.ciqfunctions.udf.CIQ(A2358,"IQ_TOTAL_DIV_PAID_CF",IQ_FY)/-I2368, _xll.ciqfunctions.udf.CIQ(A2358, "IQ_TOTAL_DIV_PAID_CF",IQ_LTM)/-I2368)</f>
        <v>0.27815358831332415</v>
      </c>
      <c r="I2368" s="23">
        <f>IF(A2366=A2367,_xll.ciqfunctions.udf.CIQ(A2358,"IQ_TOTAL_OUTSTANDING_FILING_DATE",IQ_FY),_xll.ciqfunctions.udf.CIQ(A2358,"IQ_sharesoutstanding"))</f>
        <v>56.803150000000002</v>
      </c>
      <c r="J2368" s="23">
        <f>IF(A2366=A2367,_xll.ciqfunctions.udf.CIQ(A2358,"IQ_CASH_OPER",IQ_FY), _xll.ciqfunctions.udf.CIQ(A2358, "IQ_CASH_OPER",IQ_LTM))</f>
        <v>272.89999999999998</v>
      </c>
      <c r="K2368" s="23">
        <f>IF(A2366=A2367,_xll.ciqfunctions.udf.CIQ(A2358,"IQ_CAPEX",IQ_FY), _xll.ciqfunctions.udf.CIQ(A2358, "IQ_CAPEX",IQ_LTM))</f>
        <v>-25.2</v>
      </c>
      <c r="L2368" s="21">
        <f t="shared" si="628"/>
        <v>4.3606736598234423</v>
      </c>
      <c r="M2368" s="23">
        <f>IF(A2366=A2367,_xll.ciqfunctions.udf.CIQ(A2358,"IQ_TOTAL_DEBT_ISSUED",IQ_FY), _xll.ciqfunctions.udf.CIQ(A2358, "IQ_TOTAL_DEBT_ISSUED",IQ_LTM))</f>
        <v>370</v>
      </c>
      <c r="N2368" s="23">
        <f>IF(A2366=A2367,_xll.ciqfunctions.udf.CIQ(A2358,"IQ_TOTAL_DEBT_REPAID",IQ_FY), _xll.ciqfunctions.udf.CIQ(A2358, "IQ_TOTAL_DEBT_REPAID",IQ_LTM))</f>
        <v>-495</v>
      </c>
      <c r="O2368" s="21">
        <f t="shared" si="629"/>
        <v>-2.200582186023134</v>
      </c>
      <c r="P2368" s="21">
        <f t="shared" si="630"/>
        <v>2.1600914738003083</v>
      </c>
      <c r="Q2368" s="25" t="s">
        <v>45</v>
      </c>
      <c r="S2368" s="45"/>
      <c r="U2368" s="25"/>
      <c r="W2368" s="45"/>
      <c r="Y2368" s="25"/>
      <c r="AA2368" s="45"/>
    </row>
    <row r="2369" spans="1:27">
      <c r="B2369" s="24"/>
      <c r="C2369" s="25" t="s">
        <v>37</v>
      </c>
      <c r="E2369" s="26" t="e">
        <f>((D2368/D2363)^(1/5))-1</f>
        <v>#DIV/0!</v>
      </c>
      <c r="F2369" s="27" t="e">
        <f>((F2368/F2363)^(1/5))-1</f>
        <v>#DIV/0!</v>
      </c>
      <c r="G2369" s="28"/>
      <c r="H2369" s="27" t="e">
        <f>((H2368/H2363)^(1/5))-1</f>
        <v>#DIV/0!</v>
      </c>
      <c r="I2369" s="27" t="e">
        <f>((I2368/I2363)^(1/5))-1</f>
        <v>#DIV/0!</v>
      </c>
      <c r="J2369" s="27"/>
      <c r="K2369" s="27"/>
      <c r="L2369" s="26" t="e">
        <f>((L2368/L2363)^(1/5))-1</f>
        <v>#DIV/0!</v>
      </c>
      <c r="M2369" s="26"/>
      <c r="N2369" s="26"/>
      <c r="O2369" s="26"/>
      <c r="P2369" s="26" t="e">
        <f>((P2368/P2363)^(1/5))-1</f>
        <v>#DIV/0!</v>
      </c>
      <c r="Q2369" s="18"/>
      <c r="R2369" s="36"/>
      <c r="S2369" s="45"/>
      <c r="U2369" s="18"/>
      <c r="V2369" s="36"/>
      <c r="W2369" s="45"/>
      <c r="Y2369" s="18"/>
      <c r="Z2369" s="36"/>
      <c r="AA2369" s="45"/>
    </row>
    <row r="2370" spans="1:27">
      <c r="A2370" s="29"/>
      <c r="B2370" s="30"/>
      <c r="C2370" s="31" t="s">
        <v>38</v>
      </c>
      <c r="D2370" s="29"/>
      <c r="E2370" s="32" t="e">
        <f>((D2368/D2358)^(1/10))-1</f>
        <v>#DIV/0!</v>
      </c>
      <c r="F2370" s="33" t="e">
        <f>((F2368/F2358)^(1/10))-1</f>
        <v>#DIV/0!</v>
      </c>
      <c r="G2370" s="34"/>
      <c r="H2370" s="33" t="e">
        <f>((H2368/H2358)^(1/10))-1</f>
        <v>#DIV/0!</v>
      </c>
      <c r="I2370" s="33" t="e">
        <f>((I2368/I2358)^(1/10))-1</f>
        <v>#DIV/0!</v>
      </c>
      <c r="J2370" s="33"/>
      <c r="K2370" s="33"/>
      <c r="L2370" s="32" t="e">
        <f>((L2368/L2358)^(1/10))-1</f>
        <v>#DIV/0!</v>
      </c>
      <c r="M2370" s="32"/>
      <c r="N2370" s="32"/>
      <c r="O2370" s="32"/>
      <c r="P2370" s="32" t="e">
        <f>((P2368/P2358)^(1/10))-1</f>
        <v>#DIV/0!</v>
      </c>
      <c r="Q2370" s="40"/>
      <c r="R2370" s="41"/>
      <c r="S2370" s="46"/>
      <c r="U2370" s="40"/>
      <c r="V2370" s="41"/>
      <c r="W2370" s="46"/>
      <c r="Y2370" s="40"/>
      <c r="Z2370" s="41"/>
      <c r="AA2370" s="46"/>
    </row>
    <row r="2371" spans="1:27">
      <c r="B2371" s="24"/>
      <c r="C2371" s="25"/>
      <c r="E2371" s="26"/>
      <c r="F2371" s="27"/>
      <c r="G2371" s="28"/>
      <c r="H2371" s="27"/>
      <c r="I2371" s="27"/>
      <c r="J2371" s="27"/>
      <c r="K2371" s="27"/>
      <c r="L2371" s="26"/>
      <c r="M2371" s="17"/>
      <c r="N2371" s="17"/>
      <c r="O2371" s="17"/>
      <c r="P2371" s="35"/>
      <c r="Q2371" s="18"/>
      <c r="R2371" s="36"/>
    </row>
    <row r="2372" spans="1:27">
      <c r="A2372" s="9" t="s">
        <v>0</v>
      </c>
      <c r="B2372" s="10"/>
      <c r="C2372" s="9" t="s">
        <v>1</v>
      </c>
      <c r="D2372" s="9" t="s">
        <v>2</v>
      </c>
      <c r="E2372" s="9" t="s">
        <v>3</v>
      </c>
      <c r="F2372" s="11" t="s">
        <v>4</v>
      </c>
      <c r="G2372" s="11" t="s">
        <v>5</v>
      </c>
      <c r="H2372" s="9" t="s">
        <v>6</v>
      </c>
      <c r="I2372" s="11" t="s">
        <v>7</v>
      </c>
      <c r="J2372" s="11" t="s">
        <v>8</v>
      </c>
      <c r="K2372" s="11" t="s">
        <v>9</v>
      </c>
      <c r="L2372" s="11" t="s">
        <v>10</v>
      </c>
      <c r="M2372" s="11" t="s">
        <v>11</v>
      </c>
      <c r="N2372" s="11" t="s">
        <v>12</v>
      </c>
      <c r="O2372" s="11" t="s">
        <v>13</v>
      </c>
      <c r="P2372" s="11" t="s">
        <v>14</v>
      </c>
      <c r="Q2372" s="37" t="s">
        <v>15</v>
      </c>
      <c r="R2372" s="42">
        <f>_xll.ciqfunctions.udf.CIQ(A2373,("IQ_LASTSALEPRICE"))</f>
        <v>8.8650000000000002</v>
      </c>
      <c r="S2372" s="44"/>
      <c r="U2372" s="37" t="s">
        <v>15</v>
      </c>
      <c r="V2372" s="42">
        <f>_xll.ciqfunctions.udf.CIQ(A2373,("IQ_LASTSALEPRICE"))</f>
        <v>8.8650000000000002</v>
      </c>
      <c r="W2372" s="44"/>
      <c r="Y2372" s="37" t="s">
        <v>15</v>
      </c>
      <c r="Z2372" s="42">
        <f>_xll.ciqfunctions.udf.CIQ(A2373,("IQ_LASTSALEPRICE"))</f>
        <v>8.8650000000000002</v>
      </c>
      <c r="AA2372" s="44"/>
    </row>
    <row r="2373" spans="1:27">
      <c r="A2373" s="12" t="str">
        <f>Analysis!B160</f>
        <v>NYSE:MIR</v>
      </c>
      <c r="B2373" s="13">
        <v>1</v>
      </c>
      <c r="C2373" s="14" t="s">
        <v>16</v>
      </c>
      <c r="D2373" s="15">
        <f>IF(A2381=A2382,_xll.ciqfunctions.udf.CIQ(A2373,"IQ_TOTAL_REV",IQ_FY-10)/I2373,_xll.ciqfunctions.udf.CIQ(A2373, "IQ_TOTAL_REV",IQ_FY-9)/I2373)</f>
        <v>417.86067437951152</v>
      </c>
      <c r="E2373" s="16"/>
      <c r="F2373" s="15">
        <f>IF(A2381=A2382,_xll.ciqfunctions.udf.CIQ(A2373,"IQ_DILUT_EPS_EXCL",IQ_FY-10), _xll.ciqfunctions.udf.CIQ(A2373, "IQ_DILUT_EPS_EXCL",IQ_FY-9))</f>
        <v>-68.793750000000003</v>
      </c>
      <c r="G2373" s="15">
        <f>IF(A2381=A2382,_xll.ciqfunctions.udf.CIQ(A2373,"IQ_EBITDA_MARGIN",IQ_FY-10), _xll.ciqfunctions.udf.CIQ(A2373, "IQ_EBITDA_MARGIN",IQ_FY-9))</f>
        <v>11.6486</v>
      </c>
      <c r="H2373" s="15">
        <f>IF(A2381=A2382,_xll.ciqfunctions.udf.CIQ(A2373,"IQ_TOTAL_DIV_PAID_CF",IQ_FY-10)/-I2373, _xll.ciqfunctions.udf.CIQ(A2373, "IQ_TOTAL_DIV_PAID_CF",IQ_FY-9)/-I2373)</f>
        <v>0</v>
      </c>
      <c r="I2373" s="17">
        <f>IF(A2381=A2382,_xll.ciqfunctions.udf.CIQ(A2373,"IQ_TOTAL_OUTSTANDING_FILING_DATE",IQ_FY-10), _xll.ciqfunctions.udf.CIQ(A2373, "IQ_TOTAL_OUTSTANDING_FILING_DATE",IQ_FY-9))</f>
        <v>0.40451999999999999</v>
      </c>
      <c r="J2373" s="17">
        <f>IF(A2381=A2382,_xll.ciqfunctions.udf.CIQ(A2373,"IQ_CASH_OPER",IQ_FY-10), _xll.ciqfunctions.udf.CIQ(A2373, "IQ_CASH_OPER",IQ_FY-9))</f>
        <v>-3.569</v>
      </c>
      <c r="K2373" s="17">
        <f>IF(A2381=A2382,_xll.ciqfunctions.udf.CIQ(A2373,"IQ_CAPEX",IQ_FY-10), _xll.ciqfunctions.udf.CIQ(A2373, "IQ_CAPEX",IQ_FY-9))</f>
        <v>-4.3159999999999998</v>
      </c>
      <c r="L2373" s="15">
        <f t="shared" ref="L2373:L2383" si="632">(J2373+K2373)/I2373</f>
        <v>-19.492237713833678</v>
      </c>
      <c r="M2373" s="17">
        <f>IF(A2381=A2382,_xll.ciqfunctions.udf.CIQ(A2373,"IQ_TOTAL_DEBT_ISSUED",IQ_FY-10), _xll.ciqfunctions.udf.CIQ(A2373, "IQ_TOTAL_DEBT_ISSUED",IQ_FY-9))</f>
        <v>16.791</v>
      </c>
      <c r="N2373" s="17">
        <f>IF(A2381=A2382,_xll.ciqfunctions.udf.CIQ(A2373,"IQ_TOTAL_DEBT_REPAID",IQ_FY-10), _xll.ciqfunctions.udf.CIQ(A2373, "IQ_TOTAL_DEBT_REPAID",IQ_FY-9))</f>
        <v>-6.8019999999999996</v>
      </c>
      <c r="O2373" s="15">
        <f t="shared" ref="O2373:O2383" si="633">(M2373+N2373)/I2373</f>
        <v>24.693463858400083</v>
      </c>
      <c r="P2373" s="15">
        <f t="shared" ref="P2373:P2383" si="634">L2373+O2373</f>
        <v>5.2012261445664052</v>
      </c>
      <c r="W2373" s="43"/>
      <c r="AA2373" s="43"/>
    </row>
    <row r="2374" spans="1:27">
      <c r="A2374" s="18" t="str">
        <f>_xll.ciqfunctions.udf.CIQ(A2373,"IQ_COMPANY_NAME")</f>
        <v>Mirion Technologies, Inc.</v>
      </c>
      <c r="B2374" s="13">
        <v>2</v>
      </c>
      <c r="C2374" s="14" t="s">
        <v>17</v>
      </c>
      <c r="D2374" s="15">
        <f>IF(A2381=A2382,_xll.ciqfunctions.udf.CIQ(A2373,"IQ_TOTAL_REV",IQ_FY-9)/I2374, _xll.ciqfunctions.udf.CIQ(A2373, "IQ_TOTAL_REV",IQ_FY-8)/I2374)</f>
        <v>472.57023164120261</v>
      </c>
      <c r="E2374" s="16">
        <f t="shared" ref="E2374:E2383" si="635">(D2374-D2373)/D2373</f>
        <v>0.13092774844852353</v>
      </c>
      <c r="F2374" s="15">
        <f>IF(A2381=A2382,_xll.ciqfunctions.udf.CIQ(A2373,"IQ_DILUT_EPS_EXCL",IQ_FY-9), _xll.ciqfunctions.udf.CIQ(A2373, "IQ_DILUT_EPS_EXCL",IQ_FY-8))</f>
        <v>-55.14378</v>
      </c>
      <c r="G2374" s="15">
        <f>IF(A2381=A2382,_xll.ciqfunctions.udf.CIQ(A2373,"IQ_EBITDA_MARGIN",IQ_FY-9), _xll.ciqfunctions.udf.CIQ(A2373, "IQ_EBITDA_MARGIN",IQ_FY-8))</f>
        <v>13.0985</v>
      </c>
      <c r="H2374" s="15">
        <f>IF(A2381=A2382,_xll.ciqfunctions.udf.CIQ(A2373,"IQ_TOTAL_DIV_PAID_CF",IQ_FY-9)/-I2374, _xll.ciqfunctions.udf.CIQ(A2373, "IQ_TOTAL_DIV_PAID_CF",IQ_FY-8)/-I2374)</f>
        <v>0</v>
      </c>
      <c r="I2374" s="17">
        <f>IF(A2381=A2382,_xll.ciqfunctions.udf.CIQ(A2373,"IQ_TOTAL_OUTSTANDING_FILING_DATE",IQ_FY-9), _xll.ciqfunctions.udf.CIQ(A2373, "IQ_TOTAL_OUTSTANDING_FILING_DATE",IQ_FY-8))</f>
        <v>0.40579999999999999</v>
      </c>
      <c r="J2374" s="17">
        <f>IF(A2381=A2382,_xll.ciqfunctions.udf.CIQ(A2373,"IQ_CASH_OPER",IQ_FY-9), _xll.ciqfunctions.udf.CIQ(A2373, "IQ_CASH_OPER",IQ_FY-8))</f>
        <v>-6.7119999999999997</v>
      </c>
      <c r="K2374" s="17">
        <f>IF(A2381=A2382,_xll.ciqfunctions.udf.CIQ(A2373,"IQ_CAPEX",IQ_FY-9), _xll.ciqfunctions.udf.CIQ(A2373, "IQ_CAPEX",IQ_FY-8))</f>
        <v>-4.9530000000000003</v>
      </c>
      <c r="L2374" s="15">
        <f t="shared" si="632"/>
        <v>-28.745687530803348</v>
      </c>
      <c r="M2374" s="17">
        <f>IF(A2381=A2382,_xll.ciqfunctions.udf.CIQ(A2373,"IQ_TOTAL_DEBT_ISSUED",IQ_FY-9), _xll.ciqfunctions.udf.CIQ(A2373, "IQ_TOTAL_DEBT_ISSUED",IQ_FY-8))</f>
        <v>17.175999999999998</v>
      </c>
      <c r="N2374" s="17">
        <f>IF(A2381=A2382,_xll.ciqfunctions.udf.CIQ(A2373,"IQ_TOTAL_DEBT_REPAID",IQ_FY-9), _xll.ciqfunctions.udf.CIQ(A2373, "IQ_TOTAL_DEBT_REPAID",IQ_FY-8))</f>
        <v>-3.8380000000000001</v>
      </c>
      <c r="O2374" s="15">
        <f t="shared" si="633"/>
        <v>32.868408082799405</v>
      </c>
      <c r="P2374" s="15">
        <f t="shared" si="634"/>
        <v>4.122720551996057</v>
      </c>
      <c r="Q2374" s="25" t="s">
        <v>18</v>
      </c>
      <c r="R2374" s="39" t="s">
        <v>19</v>
      </c>
      <c r="S2374" s="1" t="e">
        <f>R2372/((AVERAGE(P2378:P2383))*(1+E2384)^3)</f>
        <v>#DIV/0!</v>
      </c>
      <c r="U2374" s="25" t="s">
        <v>48</v>
      </c>
      <c r="V2374" s="39" t="s">
        <v>19</v>
      </c>
      <c r="W2374" s="1" t="e">
        <f>V2372/((AVERAGE(P2378:P2383))*(1+E2384)^3)</f>
        <v>#DIV/0!</v>
      </c>
      <c r="Y2374" s="25" t="s">
        <v>39</v>
      </c>
      <c r="Z2374" s="39" t="s">
        <v>19</v>
      </c>
      <c r="AA2374" s="1" t="e">
        <f>Z2372/((AVERAGE(P2378:P2383))*(1+E2384)^3)</f>
        <v>#DIV/0!</v>
      </c>
    </row>
    <row r="2375" spans="1:27">
      <c r="B2375" s="13">
        <v>3</v>
      </c>
      <c r="C2375" s="14" t="s">
        <v>20</v>
      </c>
      <c r="D2375" s="15" cm="1">
        <f t="array" ref="D2375">_xlfn.SINGLE(IF(A2381=A2382,_xll.ciqfunctions.udf.CIQ(A2373,"IQ_TOTAL_REV",IQ_FY-8)/I2375, _xll.ciqfunctions.udf.CIQ(A2373, "IQ_TOTAL_REV",IQ_FY-7)/I2375))</f>
        <v>497.19812715623459</v>
      </c>
      <c r="E2375" s="16">
        <f t="shared" si="635"/>
        <v>5.2114783932752304E-2</v>
      </c>
      <c r="F2375" s="15">
        <f>IF(A2381=A2382,_xll.ciqfunctions.udf.CIQ(A2373,"IQ_DILUT_EPS_EXCL",IQ_FY-8), _xll.ciqfunctions.udf.CIQ(A2373, "IQ_DILUT_EPS_EXCL",IQ_FY-7))</f>
        <v>-34.123060000000002</v>
      </c>
      <c r="G2375" s="15">
        <f>IF(A2381=A2382,_xll.ciqfunctions.udf.CIQ(A2373,"IQ_EBITDA_MARGIN",IQ_FY-8), _xll.ciqfunctions.udf.CIQ(A2373, "IQ_EBITDA_MARGIN",IQ_FY-7))</f>
        <v>15.541499999999999</v>
      </c>
      <c r="H2375" s="15">
        <f>IF(A2381=A2382,_xll.ciqfunctions.udf.CIQ(A2373,"IQ_TOTAL_DIV_PAID_CF",IQ_FY-8)/-I2375, _xll.ciqfunctions.udf.CIQ(A2373, "IQ_TOTAL_DIV_PAID_CF",IQ_FY-7)/-I2375)</f>
        <v>0</v>
      </c>
      <c r="I2375" s="17">
        <f>IF(A2381=A2382,_xll.ciqfunctions.udf.CIQ(A2373,"IQ_TOTAL_OUTSTANDING_FILING_DATE",IQ_FY-8), _xll.ciqfunctions.udf.CIQ(A2373, "IQ_TOTAL_OUTSTANDING_FILING_DATE",IQ_FY-7))</f>
        <v>0.40579999999999999</v>
      </c>
      <c r="J2375" s="17">
        <f>IF(A2381=A2382,_xll.ciqfunctions.udf.CIQ(A2373,"IQ_CASH_OPER",IQ_FY-8), _xll.ciqfunctions.udf.CIQ(A2373, "IQ_CASH_OPER",IQ_FY-7))</f>
        <v>10.031000000000001</v>
      </c>
      <c r="K2375" s="17">
        <f>IF(A2381=A2382,_xll.ciqfunctions.udf.CIQ(A2373,"IQ_CAPEX",IQ_FY-8), _xll.ciqfunctions.udf.CIQ(A2373, "IQ_CAPEX",IQ_FY-7))</f>
        <v>-6.649</v>
      </c>
      <c r="L2375" s="15">
        <f t="shared" si="632"/>
        <v>8.3341547560374583</v>
      </c>
      <c r="M2375" s="17">
        <f>IF(A2381=A2382,_xll.ciqfunctions.udf.CIQ(A2373,"IQ_TOTAL_DEBT_ISSUED",IQ_FY-8), _xll.ciqfunctions.udf.CIQ(A2373, "IQ_TOTAL_DEBT_ISSUED",IQ_FY-7))</f>
        <v>6.6</v>
      </c>
      <c r="N2375" s="17">
        <f>IF(A2381=A2382,_xll.ciqfunctions.udf.CIQ(A2373,"IQ_TOTAL_DEBT_REPAID",IQ_FY-8), _xll.ciqfunctions.udf.CIQ(A2373, "IQ_TOTAL_DEBT_REPAID",IQ_FY-7))</f>
        <v>-12.43</v>
      </c>
      <c r="O2375" s="15">
        <f t="shared" si="633"/>
        <v>-14.366683095120749</v>
      </c>
      <c r="P2375" s="15">
        <f t="shared" si="634"/>
        <v>-6.0325283390832904</v>
      </c>
      <c r="Q2375" s="25" t="s">
        <v>21</v>
      </c>
      <c r="R2375" s="38" t="s">
        <v>49</v>
      </c>
      <c r="S2375" s="2">
        <f>(R2372*I2383)/1000</f>
        <v>1.7661057781499998</v>
      </c>
      <c r="U2375" s="25" t="s">
        <v>59</v>
      </c>
      <c r="V2375" s="38" t="s">
        <v>49</v>
      </c>
      <c r="W2375" s="2">
        <f>(V2372*I2383)/1000</f>
        <v>1.7661057781499998</v>
      </c>
      <c r="Y2375" s="25" t="s">
        <v>46</v>
      </c>
      <c r="Z2375" s="38" t="s">
        <v>49</v>
      </c>
      <c r="AA2375" s="2">
        <f>(Z2372*I2383)/1000</f>
        <v>1.7661057781499998</v>
      </c>
    </row>
    <row r="2376" spans="1:27">
      <c r="A2376" s="18"/>
      <c r="B2376" s="13">
        <v>4</v>
      </c>
      <c r="C2376" s="14" t="s">
        <v>22</v>
      </c>
      <c r="D2376" s="15" cm="1">
        <f t="array" ref="D2376">_xlfn.SINGLE(IF(A2381=A2382,_xll.ciqfunctions.udf.CIQ(A2373,"IQ_TOTAL_REV",IQ_FY-7)/I2376, _xll.ciqfunctions.udf.CIQ(A2373, "IQ_TOTAL_REV",IQ_FY-6)/I2376))</f>
        <v>562.15869886643668</v>
      </c>
      <c r="E2376" s="16">
        <f t="shared" si="635"/>
        <v>0.13065329123773936</v>
      </c>
      <c r="F2376" s="15">
        <f>IF(A2381=A2382,_xll.ciqfunctions.udf.CIQ(A2373,"IQ_DILUT_EPS_EXCL",IQ_FY-7), _xll.ciqfunctions.udf.CIQ(A2373, "IQ_DILUT_EPS_EXCL",IQ_FY-6))</f>
        <v>-12.21796</v>
      </c>
      <c r="G2376" s="15">
        <f>IF(A2381=A2382,_xll.ciqfunctions.udf.CIQ(A2373,"IQ_EBITDA_MARGIN",IQ_FY-7), _xll.ciqfunctions.udf.CIQ(A2373, "IQ_EBITDA_MARGIN",IQ_FY-6))</f>
        <v>17.635100000000001</v>
      </c>
      <c r="H2376" s="15">
        <f>IF(A2381=A2382,_xll.ciqfunctions.udf.CIQ(A2373,"IQ_TOTAL_DIV_PAID_CF",IQ_FY-7)/-I2376, _xll.ciqfunctions.udf.CIQ(A2373, "IQ_TOTAL_DIV_PAID_CF",IQ_FY-6)/-I2376)</f>
        <v>0</v>
      </c>
      <c r="I2376" s="17">
        <f>IF(A2381=A2382,_xll.ciqfunctions.udf.CIQ(A2373,"IQ_TOTAL_OUTSTANDING_FILING_DATE",IQ_FY-7), _xll.ciqfunctions.udf.CIQ(A2373, "IQ_TOTAL_OUTSTANDING_FILING_DATE",IQ_FY-6))</f>
        <v>0.40579999999999999</v>
      </c>
      <c r="J2376" s="17">
        <f>IF(A2381=A2382,_xll.ciqfunctions.udf.CIQ(A2373,"IQ_CASH_OPER",IQ_FY-7), _xll.ciqfunctions.udf.CIQ(A2373, "IQ_CASH_OPER",IQ_FY-6))</f>
        <v>8.202</v>
      </c>
      <c r="K2376" s="17">
        <f>IF(A2381=A2382,_xll.ciqfunctions.udf.CIQ(A2373,"IQ_CAPEX",IQ_FY-7), _xll.ciqfunctions.udf.CIQ(A2373, "IQ_CAPEX",IQ_FY-6))</f>
        <v>-10.436999999999999</v>
      </c>
      <c r="L2376" s="15">
        <f t="shared" si="632"/>
        <v>-5.5076392311483477</v>
      </c>
      <c r="M2376" s="17">
        <f>IF(A2381=A2382,_xll.ciqfunctions.udf.CIQ(A2373,"IQ_TOTAL_DEBT_ISSUED",IQ_FY-7), _xll.ciqfunctions.udf.CIQ(A2373, "IQ_TOTAL_DEBT_ISSUED",IQ_FY-6))</f>
        <v>14.429</v>
      </c>
      <c r="N2376" s="17">
        <f>IF(A2381=A2382,_xll.ciqfunctions.udf.CIQ(A2373,"IQ_TOTAL_DEBT_REPAID",IQ_FY-7), _xll.ciqfunctions.udf.CIQ(A2373, "IQ_TOTAL_DEBT_REPAID",IQ_FY-6))</f>
        <v>-6.2889999999999997</v>
      </c>
      <c r="O2376" s="15">
        <f t="shared" si="633"/>
        <v>20.059142434696895</v>
      </c>
      <c r="P2376" s="15">
        <f t="shared" si="634"/>
        <v>14.551503203548547</v>
      </c>
      <c r="Q2376" s="25" t="s">
        <v>23</v>
      </c>
      <c r="R2376" s="38" t="s">
        <v>24</v>
      </c>
      <c r="S2376" s="1" t="e">
        <f>R2372/(AVERAGE(H2378:H2383)*(1+H2384)/(0.5-H2384))</f>
        <v>#DIV/0!</v>
      </c>
      <c r="U2376" s="25" t="s">
        <v>40</v>
      </c>
      <c r="V2376" s="38" t="s">
        <v>24</v>
      </c>
      <c r="W2376" s="1" t="e">
        <f>V2372/(AVERAGE(H2378:H2383)*(1+H2384)/(0.5-H2384))</f>
        <v>#DIV/0!</v>
      </c>
      <c r="Y2376" s="25" t="s">
        <v>47</v>
      </c>
      <c r="Z2376" s="38" t="s">
        <v>24</v>
      </c>
      <c r="AA2376" s="1" t="e">
        <f>Z2372/(AVERAGE(H2378:H2383)*(1+H2384)/(0.5-H2384))</f>
        <v>#DIV/0!</v>
      </c>
    </row>
    <row r="2377" spans="1:27">
      <c r="B2377" s="13">
        <v>5</v>
      </c>
      <c r="C2377" s="14" t="s">
        <v>25</v>
      </c>
      <c r="D2377" s="15" t="e" cm="1">
        <f t="array" ref="D2377">_xlfn.SINGLE(IF(A2381=A2382,_xll.ciqfunctions.udf.CIQ(A2373,"IQ_TOTAL_REV",IQ_FY-6)/I2377, _xll.ciqfunctions.udf.CIQ(A2373, "IQ_TOTAL_REV",IQ_FY-5)/I2377))</f>
        <v>#DIV/0!</v>
      </c>
      <c r="E2377" s="16" t="e">
        <f t="shared" si="635"/>
        <v>#DIV/0!</v>
      </c>
      <c r="F2377" s="15">
        <f>IF(A2381=A2382,_xll.ciqfunctions.udf.CIQ(A2373,"IQ_DILUT_EPS_EXCL",IQ_FY-6), _xll.ciqfunctions.udf.CIQ(A2373, "IQ_DILUT_EPS_EXCL",IQ_FY-5))</f>
        <v>0</v>
      </c>
      <c r="G2377" s="15">
        <f>IF(A2381=A2382,_xll.ciqfunctions.udf.CIQ(A2373,"IQ_EBITDA_MARGIN",IQ_FY-6), _xll.ciqfunctions.udf.CIQ(A2373, "IQ_EBITDA_MARGIN",IQ_FY-5))</f>
        <v>16.280100000000001</v>
      </c>
      <c r="H2377" s="15" t="e">
        <f>IF(A2381=A2382,_xll.ciqfunctions.udf.CIQ(A2373,"IQ_TOTAL_DIV_PAID_CF",IQ_FY-6)/-I2377, _xll.ciqfunctions.udf.CIQ(A2373, "IQ_TOTAL_DIV_PAID_CF",IQ_FY-5)/-I2377)</f>
        <v>#DIV/0!</v>
      </c>
      <c r="I2377" s="17">
        <f>IF(A2381=A2382,_xll.ciqfunctions.udf.CIQ(A2373,"IQ_TOTAL_OUTSTANDING_FILING_DATE",IQ_FY-6), _xll.ciqfunctions.udf.CIQ(A2373, "IQ_TOTAL_OUTSTANDING_FILING_DATE",IQ_FY-5))</f>
        <v>0</v>
      </c>
      <c r="J2377" s="17">
        <f>IF(A2381=A2382,_xll.ciqfunctions.udf.CIQ(A2373,"IQ_CASH_OPER",IQ_FY-6), _xll.ciqfunctions.udf.CIQ(A2373, "IQ_CASH_OPER",IQ_FY-5))</f>
        <v>15.6</v>
      </c>
      <c r="K2377" s="17">
        <f>IF(A2381=A2382,_xll.ciqfunctions.udf.CIQ(A2373,"IQ_CAPEX",IQ_FY-6), _xll.ciqfunctions.udf.CIQ(A2373, "IQ_CAPEX",IQ_FY-5))</f>
        <v>-12.6</v>
      </c>
      <c r="L2377" s="15" t="e">
        <f t="shared" si="632"/>
        <v>#DIV/0!</v>
      </c>
      <c r="M2377" s="17">
        <f>IF(A2381=A2382,_xll.ciqfunctions.udf.CIQ(A2373,"IQ_TOTAL_DEBT_ISSUED",IQ_FY-6), _xll.ciqfunctions.udf.CIQ(A2373, "IQ_TOTAL_DEBT_ISSUED",IQ_FY-5))</f>
        <v>0</v>
      </c>
      <c r="N2377" s="17">
        <f>IF(A2381=A2382,_xll.ciqfunctions.udf.CIQ(A2373,"IQ_TOTAL_DEBT_REPAID",IQ_FY-6), _xll.ciqfunctions.udf.CIQ(A2373, "IQ_TOTAL_DEBT_REPAID",IQ_FY-5))</f>
        <v>-4.9000000000000004</v>
      </c>
      <c r="O2377" s="15" t="e">
        <f t="shared" si="633"/>
        <v>#DIV/0!</v>
      </c>
      <c r="P2377" s="15" t="e">
        <f t="shared" si="634"/>
        <v>#DIV/0!</v>
      </c>
      <c r="Q2377" s="18"/>
      <c r="R2377" s="38" t="s">
        <v>50</v>
      </c>
      <c r="S2377" s="3" t="e">
        <f>I2384</f>
        <v>#DIV/0!</v>
      </c>
      <c r="U2377" s="18"/>
      <c r="V2377" s="38" t="s">
        <v>50</v>
      </c>
      <c r="W2377" s="3" t="e">
        <f>I2384</f>
        <v>#DIV/0!</v>
      </c>
      <c r="Y2377" s="18"/>
      <c r="Z2377" s="38" t="s">
        <v>50</v>
      </c>
      <c r="AA2377" s="3" t="e">
        <f>I2384</f>
        <v>#DIV/0!</v>
      </c>
    </row>
    <row r="2378" spans="1:27">
      <c r="B2378" s="13">
        <v>6</v>
      </c>
      <c r="C2378" s="14" t="s">
        <v>26</v>
      </c>
      <c r="D2378" s="15" t="e" cm="1">
        <f t="array" ref="D2378">_xlfn.SINGLE(IF(A2381=A2382,_xll.ciqfunctions.udf.CIQ(A2373,"IQ_TOTAL_REV",IQ_FY-5)/I2378, _xll.ciqfunctions.udf.CIQ(A2373, "IQ_TOTAL_REV",IQ_FY-4)/I2378))</f>
        <v>#DIV/0!</v>
      </c>
      <c r="E2378" s="16" t="e">
        <f t="shared" si="635"/>
        <v>#DIV/0!</v>
      </c>
      <c r="F2378" s="15">
        <f>IF(A2381=A2382,_xll.ciqfunctions.udf.CIQ(A2373,"IQ_DILUT_EPS_EXCL",IQ_FY-5), _xll.ciqfunctions.udf.CIQ(A2373, "IQ_DILUT_EPS_EXCL",IQ_FY-4))</f>
        <v>0</v>
      </c>
      <c r="G2378" s="15">
        <f>IF(A2381=A2382,_xll.ciqfunctions.udf.CIQ(A2373,"IQ_EBITDA_MARGIN",IQ_FY-5), _xll.ciqfunctions.udf.CIQ(A2373, "IQ_EBITDA_MARGIN",IQ_FY-4))</f>
        <v>22.358499999999999</v>
      </c>
      <c r="H2378" s="15" t="e">
        <f>IF(A2381=A2382,_xll.ciqfunctions.udf.CIQ(A2373,"IQ_TOTAL_DIV_PAID_CF",IQ_FY-5)/-I2378, _xll.ciqfunctions.udf.CIQ(A2373, "IQ_TOTAL_DIV_PAID_CF",IQ_FY-4)/-I2378)</f>
        <v>#DIV/0!</v>
      </c>
      <c r="I2378" s="17">
        <f>IF(A2381=A2382,_xll.ciqfunctions.udf.CIQ(A2373,"IQ_TOTAL_OUTSTANDING_FILING_DATE",IQ_FY-5), _xll.ciqfunctions.udf.CIQ(A2373, "IQ_TOTAL_OUTSTANDING_FILING_DATE",IQ_FY-4))</f>
        <v>0</v>
      </c>
      <c r="J2378" s="17">
        <f>IF(A2381=A2382,_xll.ciqfunctions.udf.CIQ(A2373,"IQ_CASH_OPER",IQ_FY-5), _xll.ciqfunctions.udf.CIQ(A2373, "IQ_CASH_OPER",IQ_FY-4))</f>
        <v>14.7</v>
      </c>
      <c r="K2378" s="17">
        <f>IF(A2381=A2382,_xll.ciqfunctions.udf.CIQ(A2373,"IQ_CAPEX",IQ_FY-5), _xll.ciqfunctions.udf.CIQ(A2373, "IQ_CAPEX",IQ_FY-4))</f>
        <v>-16.5</v>
      </c>
      <c r="L2378" s="15" t="e">
        <f t="shared" si="632"/>
        <v>#DIV/0!</v>
      </c>
      <c r="M2378" s="17">
        <f>IF(A2381=A2382,_xll.ciqfunctions.udf.CIQ(A2373,"IQ_TOTAL_DEBT_ISSUED",IQ_FY-5), _xll.ciqfunctions.udf.CIQ(A2373, "IQ_TOTAL_DEBT_ISSUED",IQ_FY-4))</f>
        <v>596.79999999999995</v>
      </c>
      <c r="N2378" s="17">
        <f>IF(A2381=A2382,_xll.ciqfunctions.udf.CIQ(A2373,"IQ_TOTAL_DEBT_REPAID",IQ_FY-5), _xll.ciqfunctions.udf.CIQ(A2373, "IQ_TOTAL_DEBT_REPAID",IQ_FY-4))</f>
        <v>-573.20000000000005</v>
      </c>
      <c r="O2378" s="15" t="e">
        <f t="shared" si="633"/>
        <v>#DIV/0!</v>
      </c>
      <c r="P2378" s="15" t="e">
        <f t="shared" si="634"/>
        <v>#DIV/0!</v>
      </c>
      <c r="Q2378" s="25" t="s">
        <v>27</v>
      </c>
      <c r="R2378" s="38" t="s">
        <v>51</v>
      </c>
      <c r="S2378" s="4" t="e">
        <f>AVERAGE(F2378:F2383)/AVERAGE(D2378:D2383)</f>
        <v>#DIV/0!</v>
      </c>
      <c r="U2378" s="25" t="s">
        <v>58</v>
      </c>
      <c r="V2378" s="38" t="s">
        <v>51</v>
      </c>
      <c r="W2378" s="4" t="e">
        <f>AVERAGE(F2378:F2383)/AVERAGE(D2378:D2383)</f>
        <v>#DIV/0!</v>
      </c>
      <c r="Y2378" s="25" t="s">
        <v>56</v>
      </c>
      <c r="Z2378" s="38" t="s">
        <v>51</v>
      </c>
      <c r="AA2378" s="4" t="e">
        <f>AVERAGE(F2378:F2383)/AVERAGE(D2378:D2383)</f>
        <v>#DIV/0!</v>
      </c>
    </row>
    <row r="2379" spans="1:27">
      <c r="A2379" s="18"/>
      <c r="B2379" s="13">
        <v>7</v>
      </c>
      <c r="C2379" s="14" t="s">
        <v>28</v>
      </c>
      <c r="D2379" s="15" cm="1">
        <f t="array" ref="D2379">_xlfn.SINGLE(IF(A2381=A2382,_xll.ciqfunctions.udf.CIQ(A2373,"IQ_TOTAL_REV",IQ_FY-4)/I2379, _xll.ciqfunctions.udf.CIQ(A2373, "IQ_TOTAL_REV",IQ_FY-3)/I2379))</f>
        <v>322.28063081277799</v>
      </c>
      <c r="E2379" s="16" t="e">
        <f t="shared" si="635"/>
        <v>#DIV/0!</v>
      </c>
      <c r="F2379" s="15">
        <f>IF(A2381=A2382,_xll.ciqfunctions.udf.CIQ(A2373,"IQ_DILUT_EPS_EXCL",IQ_FY-4), _xll.ciqfunctions.udf.CIQ(A2373, "IQ_DILUT_EPS_EXCL",IQ_FY-3))</f>
        <v>-18.456530000000001</v>
      </c>
      <c r="G2379" s="15">
        <f>IF(A2381=A2382,_xll.ciqfunctions.udf.CIQ(A2373,"IQ_EBITDA_MARGIN",IQ_FY-4), _xll.ciqfunctions.udf.CIQ(A2373, "IQ_EBITDA_MARGIN",IQ_FY-3))</f>
        <v>19.113299999999999</v>
      </c>
      <c r="H2379" s="15">
        <f>IF(A2381=A2382,_xll.ciqfunctions.udf.CIQ(A2373,"IQ_TOTAL_DIV_PAID_CF",IQ_FY-4)/-I2379, _xll.ciqfunctions.udf.CIQ(A2373, "IQ_TOTAL_DIV_PAID_CF",IQ_FY-3)/-I2379)</f>
        <v>0</v>
      </c>
      <c r="I2379" s="17">
        <f>IF(A2381=A2382,_xll.ciqfunctions.udf.CIQ(A2373,"IQ_TOTAL_OUTSTANDING_FILING_DATE",IQ_FY-4), _xll.ciqfunctions.udf.CIQ(A2373, "IQ_TOTAL_OUTSTANDING_FILING_DATE",IQ_FY-3))</f>
        <v>1.4838</v>
      </c>
      <c r="J2379" s="17">
        <f>IF(A2381=A2382,_xll.ciqfunctions.udf.CIQ(A2373,"IQ_CASH_OPER",IQ_FY-4), _xll.ciqfunctions.udf.CIQ(A2373, "IQ_CASH_OPER",IQ_FY-3))</f>
        <v>39.5</v>
      </c>
      <c r="K2379" s="17">
        <f>IF(A2381=A2382,_xll.ciqfunctions.udf.CIQ(A2373,"IQ_CAPEX",IQ_FY-4), _xll.ciqfunctions.udf.CIQ(A2373, "IQ_CAPEX",IQ_FY-3))</f>
        <v>-19.899999999999999</v>
      </c>
      <c r="L2379" s="15">
        <f t="shared" si="632"/>
        <v>13.209327402614909</v>
      </c>
      <c r="M2379" s="17">
        <f>IF(A2381=A2382,_xll.ciqfunctions.udf.CIQ(A2373,"IQ_TOTAL_DEBT_ISSUED",IQ_FY-4), _xll.ciqfunctions.udf.CIQ(A2373, "IQ_TOTAL_DEBT_ISSUED",IQ_FY-3))</f>
        <v>178.8</v>
      </c>
      <c r="N2379" s="17">
        <f>IF(A2381=A2382,_xll.ciqfunctions.udf.CIQ(A2373,"IQ_TOTAL_DEBT_REPAID",IQ_FY-4), _xll.ciqfunctions.udf.CIQ(A2373, "IQ_TOTAL_DEBT_REPAID",IQ_FY-3))</f>
        <v>-58.4</v>
      </c>
      <c r="O2379" s="15">
        <f t="shared" si="633"/>
        <v>81.143011187491581</v>
      </c>
      <c r="P2379" s="15">
        <f t="shared" si="634"/>
        <v>94.352338590106484</v>
      </c>
      <c r="Q2379" s="18"/>
      <c r="R2379" s="38" t="s">
        <v>29</v>
      </c>
      <c r="S2379" s="4" t="e">
        <f>(AVERAGE(P2378:P2383)/_xlfn.STDEV.P(P2378:P2383))/(IF(A2381=A2382,(_xlfn.SINGLE(_xll.ciqfunctions.udf.CIQ(A2373,"IQ_total_assets",IQ_FY)) - _xlfn.SINGLE(_xll.ciqfunctions.udf.CIQ(A2373,"iq_gw_intan", IQ_FY)))/I2383, (_xlfn.SINGLE(_xll.ciqfunctions.udf.CIQ(A2373, "IQ_total_assets",IQ_LTM))-_xlfn.SINGLE(_xll.ciqfunctions.udf.CIQ(A2373,"iq_gw_intan",IQ_LTM)))/I2383))</f>
        <v>#DIV/0!</v>
      </c>
      <c r="U2379" s="18"/>
      <c r="V2379" s="38" t="s">
        <v>29</v>
      </c>
      <c r="W2379" s="4" t="e">
        <f>(AVERAGE(P2378:P2383)/_xlfn.STDEV.P(P2378:P2383))/(IF(A2381=A2382,(_xlfn.SINGLE(_xll.ciqfunctions.udf.CIQ(A2373,"IQ_total_assets",IQ_FY)) - _xlfn.SINGLE(_xll.ciqfunctions.udf.CIQ(A2373,"iq_gw_intan", IQ_FY)))/I2383, (_xlfn.SINGLE(_xll.ciqfunctions.udf.CIQ(A2373, "IQ_total_assets",IQ_LTM))-_xlfn.SINGLE(_xll.ciqfunctions.udf.CIQ(A2373,"iq_gw_intan",IQ_LTM)))/I2383))</f>
        <v>#DIV/0!</v>
      </c>
      <c r="Y2379" s="18"/>
      <c r="Z2379" s="38" t="s">
        <v>29</v>
      </c>
      <c r="AA2379" s="4" t="e">
        <f>(AVERAGE(P2378:P2383)/_xlfn.STDEV.P(P2378:P2383))/(IF(A2381=A2382,(_xlfn.SINGLE(_xll.ciqfunctions.udf.CIQ(A2373,"IQ_total_assets",IQ_FY)) - _xlfn.SINGLE(_xll.ciqfunctions.udf.CIQ(A2373,"iq_gw_intan", IQ_FY)))/I2383, (_xlfn.SINGLE(_xll.ciqfunctions.udf.CIQ(A2373, "IQ_total_assets",IQ_LTM))-_xlfn.SINGLE(_xll.ciqfunctions.udf.CIQ(A2373,"iq_gw_intan",IQ_LTM)))/I2383))</f>
        <v>#DIV/0!</v>
      </c>
    </row>
    <row r="2380" spans="1:27">
      <c r="A2380" s="18"/>
      <c r="B2380" s="13">
        <v>8</v>
      </c>
      <c r="C2380" s="14" t="s">
        <v>30</v>
      </c>
      <c r="D2380" s="15" cm="1">
        <f t="array" ref="D2380">_xlfn.SINGLE(IF(A2381=A2382,_xll.ciqfunctions.udf.CIQ(A2373,"IQ_TOTAL_REV",IQ_FY-3)/I2380, _xll.ciqfunctions.udf.CIQ(A2373, "IQ_TOTAL_REV",IQ_FY-2)/I2380))</f>
        <v>89.444365633825072</v>
      </c>
      <c r="E2380" s="16">
        <f t="shared" si="635"/>
        <v>-0.72246434603205845</v>
      </c>
      <c r="F2380" s="15">
        <f>IF(A2381=A2382,_xll.ciqfunctions.udf.CIQ(A2373,"IQ_DILUT_EPS_EXCL",IQ_FY-3), _xll.ciqfunctions.udf.CIQ(A2373, "IQ_DILUT_EPS_EXCL",IQ_FY-2))</f>
        <v>-24.17163</v>
      </c>
      <c r="G2380" s="15">
        <f>IF(A2381=A2382,_xll.ciqfunctions.udf.CIQ(A2373,"IQ_EBITDA_MARGIN",IQ_FY-3), _xll.ciqfunctions.udf.CIQ(A2373, "IQ_EBITDA_MARGIN",IQ_FY-2))</f>
        <v>17.2498</v>
      </c>
      <c r="H2380" s="15">
        <f>IF(A2381=A2382,_xll.ciqfunctions.udf.CIQ(A2373,"IQ_TOTAL_DIV_PAID_CF",IQ_FY-3)/-I2380, _xll.ciqfunctions.udf.CIQ(A2373, "IQ_TOTAL_DIV_PAID_CF",IQ_FY-2)/-I2380)</f>
        <v>0</v>
      </c>
      <c r="I2380" s="17">
        <f>IF(A2381=A2382,_xll.ciqfunctions.udf.CIQ(A2373,"IQ_TOTAL_OUTSTANDING_FILING_DATE",IQ_FY-3), _xll.ciqfunctions.udf.CIQ(A2373, "IQ_TOTAL_OUTSTANDING_FILING_DATE",IQ_FY-2))</f>
        <v>6.8377699999999999</v>
      </c>
      <c r="J2380" s="17">
        <f>IF(A2381=A2382,_xll.ciqfunctions.udf.CIQ(A2373,"IQ_CASH_OPER",IQ_FY-3), _xll.ciqfunctions.udf.CIQ(A2373, "IQ_CASH_OPER",IQ_FY-2))</f>
        <v>53.6</v>
      </c>
      <c r="K2380" s="17">
        <f>IF(A2381=A2382,_xll.ciqfunctions.udf.CIQ(A2373,"IQ_CAPEX",IQ_FY-3), _xll.ciqfunctions.udf.CIQ(A2373, "IQ_CAPEX",IQ_FY-2))</f>
        <v>-23.2</v>
      </c>
      <c r="L2380" s="15">
        <f t="shared" si="632"/>
        <v>4.4458939098565766</v>
      </c>
      <c r="M2380" s="17">
        <f>IF(A2381=A2382,_xll.ciqfunctions.udf.CIQ(A2373,"IQ_TOTAL_DEBT_ISSUED",IQ_FY-3), _xll.ciqfunctions.udf.CIQ(A2373, "IQ_TOTAL_DEBT_ISSUED",IQ_FY-2))</f>
        <v>288.8</v>
      </c>
      <c r="N2380" s="17">
        <f>IF(A2381=A2382,_xll.ciqfunctions.udf.CIQ(A2373,"IQ_TOTAL_DEBT_REPAID",IQ_FY-3), _xll.ciqfunctions.udf.CIQ(A2373, "IQ_TOTAL_DEBT_REPAID",IQ_FY-2))</f>
        <v>-49.8</v>
      </c>
      <c r="O2380" s="15">
        <f t="shared" si="633"/>
        <v>34.952915936043475</v>
      </c>
      <c r="P2380" s="15">
        <f t="shared" si="634"/>
        <v>39.398809845900054</v>
      </c>
      <c r="Q2380" s="18"/>
      <c r="R2380" s="39" t="s">
        <v>31</v>
      </c>
      <c r="S2380" s="5">
        <f>IF(NOT(D2373&gt;0),FALSE,SLOPE(G2373:G2383,B2373:B2383))</f>
        <v>0.28235090909090915</v>
      </c>
      <c r="U2380" s="18"/>
      <c r="V2380" s="39" t="s">
        <v>31</v>
      </c>
      <c r="W2380" s="5">
        <f>IF(NOT(D2373&gt;0),FALSE,SLOPE(G2373:G2383,B2373:B2383))</f>
        <v>0.28235090909090915</v>
      </c>
      <c r="Y2380" s="18"/>
      <c r="Z2380" s="39" t="s">
        <v>31</v>
      </c>
      <c r="AA2380" s="5" t="b">
        <f>IF(NOT(L2373&gt;0),FALSE,SLOPE(O2373:O2383,J2373:J2383))</f>
        <v>0</v>
      </c>
    </row>
    <row r="2381" spans="1:27">
      <c r="A2381" s="19">
        <f>_xll.ciqfunctions.udf.CIQ(A2373,"IQ_TOTAL_REV",IQ_FY)</f>
        <v>717.8</v>
      </c>
      <c r="B2381" s="13">
        <v>9</v>
      </c>
      <c r="C2381" s="14" t="s">
        <v>32</v>
      </c>
      <c r="D2381" s="15" cm="1">
        <f t="array" ref="D2381">_xlfn.SINGLE(IF(A2381=A2382,_xll.ciqfunctions.udf.CIQ(A2373,"IQ_TOTAL_REV",IQ_FY-2)/I2381, _xll.ciqfunctions.udf.CIQ(A2373, "IQ_TOTAL_REV",IQ_FY-1)/I2381))</f>
        <v>3.3494836617820405</v>
      </c>
      <c r="E2381" s="16">
        <f t="shared" si="635"/>
        <v>-0.9625523235807335</v>
      </c>
      <c r="F2381" s="15">
        <f>IF(A2381=A2382,_xll.ciqfunctions.udf.CIQ(A2373,"IQ_DILUT_EPS_EXCL",IQ_FY-2), _xll.ciqfunctions.udf.CIQ(A2373, "IQ_DILUT_EPS_EXCL",IQ_FY-1))</f>
        <v>0</v>
      </c>
      <c r="G2381" s="15">
        <f>IF(A2381=A2382,_xll.ciqfunctions.udf.CIQ(A2373,"IQ_EBITDA_MARGIN",IQ_FY-2), _xll.ciqfunctions.udf.CIQ(A2373, "IQ_EBITDA_MARGIN",IQ_FY-1))</f>
        <v>13.856</v>
      </c>
      <c r="H2381" s="15">
        <f>IF(A2381=A2382,_xll.ciqfunctions.udf.CIQ(A2373,"IQ_TOTAL_DIV_PAID_CF",IQ_FY-2)/-I2381, _xll.ciqfunctions.udf.CIQ(A2373, "IQ_TOTAL_DIV_PAID_CF",IQ_FY-1)/-I2381)</f>
        <v>0</v>
      </c>
      <c r="I2381" s="17">
        <f>IF(A2381=A2382,_xll.ciqfunctions.udf.CIQ(A2373,"IQ_TOTAL_OUTSTANDING_FILING_DATE",IQ_FY-2), _xll.ciqfunctions.udf.CIQ(A2373, "IQ_TOTAL_OUTSTANDING_FILING_DATE",IQ_FY-1))</f>
        <v>199.52329</v>
      </c>
      <c r="J2381" s="17">
        <f>IF(A2381=A2382,_xll.ciqfunctions.udf.CIQ(A2373,"IQ_CASH_OPER",IQ_FY-2), _xll.ciqfunctions.udf.CIQ(A2373, "IQ_CASH_OPER",IQ_FY-1))</f>
        <v>34.6</v>
      </c>
      <c r="K2381" s="17">
        <f>IF(A2381=A2382,_xll.ciqfunctions.udf.CIQ(A2373,"IQ_CAPEX",IQ_FY-2), _xll.ciqfunctions.udf.CIQ(A2373, "IQ_CAPEX",IQ_FY-1))</f>
        <v>-31.5</v>
      </c>
      <c r="L2381" s="15">
        <f t="shared" si="632"/>
        <v>1.5537033295712E-2</v>
      </c>
      <c r="M2381" s="17">
        <f>IF(A2381=A2382,_xll.ciqfunctions.udf.CIQ(A2373,"IQ_TOTAL_DEBT_ISSUED",IQ_FY-2), _xll.ciqfunctions.udf.CIQ(A2373, "IQ_TOTAL_DEBT_ISSUED",IQ_FY-1))</f>
        <v>809.2</v>
      </c>
      <c r="N2381" s="17">
        <f>IF(A2381=A2382,_xll.ciqfunctions.udf.CIQ(A2373,"IQ_TOTAL_DEBT_REPAID",IQ_FY-2), _xll.ciqfunctions.udf.CIQ(A2373, "IQ_TOTAL_DEBT_REPAID",IQ_FY-1))</f>
        <v>-14</v>
      </c>
      <c r="O2381" s="15">
        <f t="shared" si="633"/>
        <v>3.9854996376613481</v>
      </c>
      <c r="P2381" s="15">
        <f t="shared" si="634"/>
        <v>4.0010366709570597</v>
      </c>
      <c r="Q2381" s="25" t="s">
        <v>33</v>
      </c>
      <c r="R2381" s="38" t="s">
        <v>52</v>
      </c>
      <c r="S2381" s="4" t="e">
        <f>(AVERAGE(O2378:O2383)/AVERAGE(P2378:P2383))</f>
        <v>#DIV/0!</v>
      </c>
      <c r="U2381" s="25" t="s">
        <v>54</v>
      </c>
      <c r="V2381" s="38" t="s">
        <v>52</v>
      </c>
      <c r="W2381" s="4" t="e">
        <f>(AVERAGE(O2378:O2383)/AVERAGE(P2378:P2383))</f>
        <v>#DIV/0!</v>
      </c>
      <c r="Y2381" s="25" t="s">
        <v>60</v>
      </c>
      <c r="Z2381" s="38" t="s">
        <v>52</v>
      </c>
      <c r="AA2381" s="4" t="e">
        <f>(AVERAGE(O2378:O2383)/AVERAGE(P2378:P2383))</f>
        <v>#DIV/0!</v>
      </c>
    </row>
    <row r="2382" spans="1:27">
      <c r="A2382" s="19">
        <f>_xll.ciqfunctions.udf.CIQ(A2373,"IQ_TOTAL_REV",IQ_LTM)</f>
        <v>788.4</v>
      </c>
      <c r="B2382" s="13">
        <v>10</v>
      </c>
      <c r="C2382" s="14" t="s">
        <v>34</v>
      </c>
      <c r="D2382" s="15" cm="1">
        <f t="array" ref="D2382">_xlfn.SINGLE(IF(A2381=A2382,_xll.ciqfunctions.udf.CIQ(A2373,"IQ_TOTAL_REV",IQ_FY-1)/I2382, _xll.ciqfunctions.udf.CIQ(A2373, "IQ_TOTAL_REV",IQ_FY)/I2382))</f>
        <v>3.6121160981819247</v>
      </c>
      <c r="E2382" s="16">
        <f t="shared" si="635"/>
        <v>7.8409827579261793E-2</v>
      </c>
      <c r="F2382" s="15">
        <f>IF(A2381=A2382,_xll.ciqfunctions.udf.CIQ(A2373,"IQ_DILUT_EPS_EXCL",IQ_FY-1), _xll.ciqfunctions.udf.CIQ(A2373, "IQ_DILUT_EPS_EXCL",IQ_FY))</f>
        <v>-1.52858</v>
      </c>
      <c r="G2382" s="15">
        <f>IF(A2381=A2382,_xll.ciqfunctions.udf.CIQ(A2373,"IQ_EBITDA_MARGIN",IQ_FY-1), _xll.ciqfunctions.udf.CIQ(A2373, "IQ_EBITDA_MARGIN",IQ_FY))</f>
        <v>14.5305</v>
      </c>
      <c r="H2382" s="15">
        <f>IF(A2381=A2382,_xll.ciqfunctions.udf.CIQ(A2373,"IQ_TOTAL_DIV_PAID_CF",IQ_FY-1)/-I2382, _xll.ciqfunctions.udf.CIQ(A2373, "IQ_TOTAL_DIV_PAID_CF",IQ_FY)/-I2382)</f>
        <v>0</v>
      </c>
      <c r="I2382" s="17">
        <f>IF(A2381=A2382,_xll.ciqfunctions.udf.CIQ(A2373,"IQ_TOTAL_OUTSTANDING_FILING_DATE",IQ_FY-1), _xll.ciqfunctions.udf.CIQ(A2373, "IQ_TOTAL_OUTSTANDING_FILING_DATE",IQ_FY))</f>
        <v>198.72008</v>
      </c>
      <c r="J2382" s="17">
        <f>IF(A2381=A2382,_xll.ciqfunctions.udf.CIQ(A2373,"IQ_CASH_OPER",IQ_FY-1), _xll.ciqfunctions.udf.CIQ(A2373, "IQ_CASH_OPER",IQ_FY))</f>
        <v>39.4</v>
      </c>
      <c r="K2382" s="17">
        <f>IF(A2381=A2382,_xll.ciqfunctions.udf.CIQ(A2373,"IQ_CAPEX",IQ_FY-1), _xll.ciqfunctions.udf.CIQ(A2373, "IQ_CAPEX",IQ_FY))</f>
        <v>-34.200000000000003</v>
      </c>
      <c r="L2382" s="15">
        <f t="shared" si="632"/>
        <v>2.6167461285241007E-2</v>
      </c>
      <c r="M2382" s="17">
        <f>IF(A2381=A2382,_xll.ciqfunctions.udf.CIQ(A2373,"IQ_TOTAL_DEBT_ISSUED",IQ_FY-1), _xll.ciqfunctions.udf.CIQ(A2373, "IQ_TOTAL_DEBT_ISSUED",IQ_FY))</f>
        <v>0</v>
      </c>
      <c r="N2382" s="17">
        <f>IF(A2381=A2382,_xll.ciqfunctions.udf.CIQ(A2373,"IQ_TOTAL_DEBT_REPAID",IQ_FY-1), _xll.ciqfunctions.udf.CIQ(A2373, "IQ_TOTAL_DEBT_REPAID",IQ_FY))</f>
        <v>-6.6</v>
      </c>
      <c r="O2382" s="15">
        <f t="shared" si="633"/>
        <v>-3.3212547015882846E-2</v>
      </c>
      <c r="P2382" s="15">
        <f t="shared" si="634"/>
        <v>-7.0450857306418382E-3</v>
      </c>
      <c r="Q2382" s="25" t="s">
        <v>44</v>
      </c>
      <c r="R2382" s="38" t="s">
        <v>35</v>
      </c>
      <c r="S2382" s="1">
        <f>_xll.ciqfunctions.udf.CIQ(A2373,"IQ_TEV_EBITDA")</f>
        <v>16.526160000000001</v>
      </c>
      <c r="U2382" s="25" t="s">
        <v>55</v>
      </c>
      <c r="V2382" s="38" t="s">
        <v>53</v>
      </c>
      <c r="W2382" s="1" t="e">
        <f>V2372/(AVERAGE(D2378:D2383)/_xlfn.STDEV.P(E2378:E2383))</f>
        <v>#DIV/0!</v>
      </c>
      <c r="Y2382" s="25" t="s">
        <v>57</v>
      </c>
      <c r="Z2382" s="38" t="s">
        <v>53</v>
      </c>
      <c r="AA2382" s="1" t="e">
        <f>Z2372/(AVERAGE(D2378:D2383)/_xlfn.STDEV.P(E2378:E2383))</f>
        <v>#DIV/0!</v>
      </c>
    </row>
    <row r="2383" spans="1:27">
      <c r="B2383" s="13">
        <v>11</v>
      </c>
      <c r="C2383" s="20" t="s">
        <v>36</v>
      </c>
      <c r="D2383" s="21" cm="1">
        <f t="array" ref="D2383">_xlfn.SINGLE(IF(A2381=A2382,_xll.ciqfunctions.udf.CIQ(A2373,"IQ_TOTAL_REV",IQ_FY)/I2383, _xll.ciqfunctions.udf.CIQ(A2373, "IQ_TOTAL_REV",IQ_LTM)/I2383))</f>
        <v>3.9573881057799198</v>
      </c>
      <c r="E2383" s="22">
        <f t="shared" si="635"/>
        <v>9.5587184412976048E-2</v>
      </c>
      <c r="F2383" s="21">
        <f>IF(A2381=A2382,_xll.ciqfunctions.udf.CIQ(A2373,"IQ_DILUT_EPS_EXCL",IQ_FY), _xll.ciqfunctions.udf.CIQ(A2373, "IQ_DILUT_EPS_EXCL",IQ_LTM))</f>
        <v>-1.22566</v>
      </c>
      <c r="G2383" s="21">
        <f>IF(A2381=A2382,_xll.ciqfunctions.udf.CIQ(A2373,"IQ_EBITDA_MARGIN",IQ_FY), _xll.ciqfunctions.udf.CIQ(A2373, "IQ_EBITDA_MARGIN",IQ_LTM))</f>
        <v>17.313500000000001</v>
      </c>
      <c r="H2383" s="21">
        <f>IF(A2381=A2382,_xll.ciqfunctions.udf.CIQ(A2373,"IQ_TOTAL_DIV_PAID_CF",IQ_FY)/-I2383, _xll.ciqfunctions.udf.CIQ(A2373, "IQ_TOTAL_DIV_PAID_CF",IQ_LTM)/-I2383)</f>
        <v>0</v>
      </c>
      <c r="I2383" s="23">
        <f>IF(A2381=A2382,_xll.ciqfunctions.udf.CIQ(A2373,"IQ_TOTAL_OUTSTANDING_FILING_DATE",IQ_FY),_xll.ciqfunctions.udf.CIQ(A2373,"IQ_sharesoutstanding"))</f>
        <v>199.22230999999999</v>
      </c>
      <c r="J2383" s="23">
        <f>IF(A2381=A2382,_xll.ciqfunctions.udf.CIQ(A2373,"IQ_CASH_OPER",IQ_FY), _xll.ciqfunctions.udf.CIQ(A2373, "IQ_CASH_OPER",IQ_LTM))</f>
        <v>53.4</v>
      </c>
      <c r="K2383" s="23">
        <f>IF(A2381=A2382,_xll.ciqfunctions.udf.CIQ(A2373,"IQ_CAPEX",IQ_FY), _xll.ciqfunctions.udf.CIQ(A2373, "IQ_CAPEX",IQ_LTM))</f>
        <v>-36.700000000000003</v>
      </c>
      <c r="L2383" s="21">
        <f t="shared" si="632"/>
        <v>8.3825953027048011E-2</v>
      </c>
      <c r="M2383" s="23">
        <f>IF(A2381=A2382,_xll.ciqfunctions.udf.CIQ(A2373,"IQ_TOTAL_DEBT_ISSUED",IQ_FY), _xll.ciqfunctions.udf.CIQ(A2373, "IQ_TOTAL_DEBT_ISSUED",IQ_LTM))</f>
        <v>0</v>
      </c>
      <c r="N2383" s="23">
        <f>IF(A2381=A2382,_xll.ciqfunctions.udf.CIQ(A2373,"IQ_TOTAL_DEBT_REPAID",IQ_FY), _xll.ciqfunctions.udf.CIQ(A2373, "IQ_TOTAL_DEBT_REPAID",IQ_LTM))</f>
        <v>-129.30000000000001</v>
      </c>
      <c r="O2383" s="21">
        <f t="shared" si="633"/>
        <v>-0.64902369619145572</v>
      </c>
      <c r="P2383" s="21">
        <f t="shared" si="634"/>
        <v>-0.56519774316440774</v>
      </c>
      <c r="Q2383" s="25" t="s">
        <v>45</v>
      </c>
      <c r="S2383" s="45"/>
      <c r="U2383" s="25"/>
      <c r="W2383" s="45"/>
      <c r="Y2383" s="25"/>
      <c r="AA2383" s="45"/>
    </row>
    <row r="2384" spans="1:27">
      <c r="B2384" s="24"/>
      <c r="C2384" s="25" t="s">
        <v>37</v>
      </c>
      <c r="E2384" s="26" t="e">
        <f>((D2383/D2378)^(1/5))-1</f>
        <v>#DIV/0!</v>
      </c>
      <c r="F2384" s="27" t="e">
        <f>((F2383/F2378)^(1/5))-1</f>
        <v>#DIV/0!</v>
      </c>
      <c r="G2384" s="28"/>
      <c r="H2384" s="27" t="e">
        <f>((H2383/H2378)^(1/5))-1</f>
        <v>#DIV/0!</v>
      </c>
      <c r="I2384" s="27" t="e">
        <f>((I2383/I2378)^(1/5))-1</f>
        <v>#DIV/0!</v>
      </c>
      <c r="J2384" s="27"/>
      <c r="K2384" s="27"/>
      <c r="L2384" s="26" t="e">
        <f>((L2383/L2378)^(1/5))-1</f>
        <v>#DIV/0!</v>
      </c>
      <c r="M2384" s="26"/>
      <c r="N2384" s="26"/>
      <c r="O2384" s="26"/>
      <c r="P2384" s="26" t="e">
        <f>((P2383/P2378)^(1/5))-1</f>
        <v>#DIV/0!</v>
      </c>
      <c r="Q2384" s="18"/>
      <c r="R2384" s="36"/>
      <c r="S2384" s="45"/>
      <c r="U2384" s="18"/>
      <c r="V2384" s="36"/>
      <c r="W2384" s="45"/>
      <c r="Y2384" s="18"/>
      <c r="Z2384" s="36"/>
      <c r="AA2384" s="45"/>
    </row>
    <row r="2385" spans="1:27">
      <c r="A2385" s="29"/>
      <c r="B2385" s="30"/>
      <c r="C2385" s="31" t="s">
        <v>38</v>
      </c>
      <c r="D2385" s="29"/>
      <c r="E2385" s="32">
        <f>((D2383/D2373)^(1/10))-1</f>
        <v>-0.37246534497356842</v>
      </c>
      <c r="F2385" s="33">
        <f>((F2383/F2373)^(1/10))-1</f>
        <v>-0.3315297207803608</v>
      </c>
      <c r="G2385" s="34"/>
      <c r="H2385" s="33" t="e">
        <f>((H2383/H2373)^(1/10))-1</f>
        <v>#DIV/0!</v>
      </c>
      <c r="I2385" s="33">
        <f>((I2383/I2373)^(1/10))-1</f>
        <v>0.85883053188324365</v>
      </c>
      <c r="J2385" s="33"/>
      <c r="K2385" s="33"/>
      <c r="L2385" s="32" t="e">
        <f>((L2383/L2373)^(1/10))-1</f>
        <v>#NUM!</v>
      </c>
      <c r="M2385" s="32"/>
      <c r="N2385" s="32"/>
      <c r="O2385" s="32"/>
      <c r="P2385" s="32" t="e">
        <f>((P2383/P2373)^(1/10))-1</f>
        <v>#NUM!</v>
      </c>
      <c r="Q2385" s="40"/>
      <c r="R2385" s="41"/>
      <c r="S2385" s="46"/>
      <c r="U2385" s="40"/>
      <c r="V2385" s="41"/>
      <c r="W2385" s="46"/>
      <c r="Y2385" s="40"/>
      <c r="Z2385" s="41"/>
      <c r="AA2385" s="46"/>
    </row>
    <row r="2386" spans="1:27">
      <c r="B2386" s="24"/>
      <c r="C2386" s="25"/>
      <c r="E2386" s="26"/>
      <c r="F2386" s="27"/>
      <c r="G2386" s="28"/>
      <c r="H2386" s="27"/>
      <c r="I2386" s="27"/>
      <c r="J2386" s="27"/>
      <c r="K2386" s="27"/>
      <c r="L2386" s="26"/>
      <c r="M2386" s="17"/>
      <c r="N2386" s="17"/>
      <c r="O2386" s="17"/>
      <c r="P2386" s="35"/>
      <c r="Q2386" s="18"/>
      <c r="R2386" s="36"/>
    </row>
    <row r="2387" spans="1:27">
      <c r="A2387" s="9" t="s">
        <v>0</v>
      </c>
      <c r="B2387" s="10"/>
      <c r="C2387" s="9" t="s">
        <v>1</v>
      </c>
      <c r="D2387" s="9" t="s">
        <v>2</v>
      </c>
      <c r="E2387" s="9" t="s">
        <v>3</v>
      </c>
      <c r="F2387" s="11" t="s">
        <v>4</v>
      </c>
      <c r="G2387" s="11" t="s">
        <v>5</v>
      </c>
      <c r="H2387" s="9" t="s">
        <v>6</v>
      </c>
      <c r="I2387" s="11" t="s">
        <v>7</v>
      </c>
      <c r="J2387" s="11" t="s">
        <v>8</v>
      </c>
      <c r="K2387" s="11" t="s">
        <v>9</v>
      </c>
      <c r="L2387" s="11" t="s">
        <v>10</v>
      </c>
      <c r="M2387" s="11" t="s">
        <v>11</v>
      </c>
      <c r="N2387" s="11" t="s">
        <v>12</v>
      </c>
      <c r="O2387" s="11" t="s">
        <v>13</v>
      </c>
      <c r="P2387" s="11" t="s">
        <v>14</v>
      </c>
      <c r="Q2387" s="37" t="s">
        <v>15</v>
      </c>
      <c r="R2387" s="42">
        <f>_xll.ciqfunctions.udf.CIQ(A2388,("IQ_LASTSALEPRICE"))</f>
        <v>62.68</v>
      </c>
      <c r="S2387" s="44"/>
      <c r="U2387" s="37" t="s">
        <v>15</v>
      </c>
      <c r="V2387" s="42">
        <f>_xll.ciqfunctions.udf.CIQ(A2388,("IQ_LASTSALEPRICE"))</f>
        <v>62.68</v>
      </c>
      <c r="W2387" s="44"/>
      <c r="Y2387" s="37" t="s">
        <v>15</v>
      </c>
      <c r="Z2387" s="42">
        <f>_xll.ciqfunctions.udf.CIQ(A2388,("IQ_LASTSALEPRICE"))</f>
        <v>62.68</v>
      </c>
      <c r="AA2387" s="44"/>
    </row>
    <row r="2388" spans="1:27">
      <c r="A2388" s="12" t="str">
        <f>Analysis!B161</f>
        <v>NasdaqGS:PRFT</v>
      </c>
      <c r="B2388" s="13">
        <v>1</v>
      </c>
      <c r="C2388" s="14" t="s">
        <v>16</v>
      </c>
      <c r="D2388" s="15">
        <f>IF(A2396=A2397,_xll.ciqfunctions.udf.CIQ(A2388,"IQ_TOTAL_REV",IQ_FY-10)/I2388,_xll.ciqfunctions.udf.CIQ(A2388, "IQ_TOTAL_REV",IQ_FY-9)/I2388)</f>
        <v>10.507538619245469</v>
      </c>
      <c r="E2388" s="16"/>
      <c r="F2388" s="15">
        <f>IF(A2396=A2397,_xll.ciqfunctions.udf.CIQ(A2388,"IQ_DILUT_EPS_EXCL",IQ_FY-10), _xll.ciqfunctions.udf.CIQ(A2388, "IQ_DILUT_EPS_EXCL",IQ_FY-9))</f>
        <v>0.67</v>
      </c>
      <c r="G2388" s="15">
        <f>IF(A2396=A2397,_xll.ciqfunctions.udf.CIQ(A2388,"IQ_EBITDA_MARGIN",IQ_FY-10), _xll.ciqfunctions.udf.CIQ(A2388, "IQ_EBITDA_MARGIN",IQ_FY-9))</f>
        <v>12.751200000000001</v>
      </c>
      <c r="H2388" s="15">
        <f>IF(A2396=A2397,_xll.ciqfunctions.udf.CIQ(A2388,"IQ_TOTAL_DIV_PAID_CF",IQ_FY-10)/-I2388, _xll.ciqfunctions.udf.CIQ(A2388, "IQ_TOTAL_DIV_PAID_CF",IQ_FY-9)/-I2388)</f>
        <v>0</v>
      </c>
      <c r="I2388" s="17">
        <f>IF(A2396=A2397,_xll.ciqfunctions.udf.CIQ(A2388,"IQ_TOTAL_OUTSTANDING_FILING_DATE",IQ_FY-10), _xll.ciqfunctions.udf.CIQ(A2388, "IQ_TOTAL_OUTSTANDING_FILING_DATE",IQ_FY-9))</f>
        <v>33.957810000000002</v>
      </c>
      <c r="J2388" s="17">
        <f>IF(A2396=A2397,_xll.ciqfunctions.udf.CIQ(A2388,"IQ_CASH_OPER",IQ_FY-10), _xll.ciqfunctions.udf.CIQ(A2388, "IQ_CASH_OPER",IQ_FY-9))</f>
        <v>46.850999999999999</v>
      </c>
      <c r="K2388" s="17">
        <f>IF(A2396=A2397,_xll.ciqfunctions.udf.CIQ(A2388,"IQ_CAPEX",IQ_FY-10), _xll.ciqfunctions.udf.CIQ(A2388, "IQ_CAPEX",IQ_FY-9))</f>
        <v>-4.649</v>
      </c>
      <c r="L2388" s="15">
        <f t="shared" ref="L2388:L2398" si="636">(J2388+K2388)/I2388</f>
        <v>1.2427774347050058</v>
      </c>
      <c r="M2388" s="17">
        <f>IF(A2396=A2397,_xll.ciqfunctions.udf.CIQ(A2388,"IQ_TOTAL_DEBT_ISSUED",IQ_FY-10), _xll.ciqfunctions.udf.CIQ(A2388, "IQ_TOTAL_DEBT_ISSUED",IQ_FY-9))</f>
        <v>181.15</v>
      </c>
      <c r="N2388" s="17">
        <f>IF(A2396=A2397,_xll.ciqfunctions.udf.CIQ(A2388,"IQ_TOTAL_DEBT_REPAID",IQ_FY-10), _xll.ciqfunctions.udf.CIQ(A2388, "IQ_TOTAL_DEBT_REPAID",IQ_FY-9))</f>
        <v>-164.95</v>
      </c>
      <c r="O2388" s="15">
        <f t="shared" ref="O2388:O2398" si="637">(M2388+N2388)/I2388</f>
        <v>0.47706256675563047</v>
      </c>
      <c r="P2388" s="15">
        <f t="shared" ref="P2388:P2398" si="638">L2388+O2388</f>
        <v>1.7198400014606363</v>
      </c>
      <c r="W2388" s="43"/>
      <c r="AA2388" s="43"/>
    </row>
    <row r="2389" spans="1:27">
      <c r="A2389" s="18" t="str">
        <f>_xll.ciqfunctions.udf.CIQ(A2388,"IQ_COMPANY_NAME")</f>
        <v>Perficient, Inc.</v>
      </c>
      <c r="B2389" s="13">
        <v>2</v>
      </c>
      <c r="C2389" s="14" t="s">
        <v>17</v>
      </c>
      <c r="D2389" s="15">
        <f>IF(A2396=A2397,_xll.ciqfunctions.udf.CIQ(A2388,"IQ_TOTAL_REV",IQ_FY-9)/I2389, _xll.ciqfunctions.udf.CIQ(A2388, "IQ_TOTAL_REV",IQ_FY-8)/I2389)</f>
        <v>12.471761129236965</v>
      </c>
      <c r="E2389" s="16">
        <f t="shared" ref="E2389:E2398" si="639">(D2389-D2388)/D2388</f>
        <v>0.18693459821254918</v>
      </c>
      <c r="F2389" s="15">
        <f>IF(A2396=A2397,_xll.ciqfunctions.udf.CIQ(A2388,"IQ_DILUT_EPS_EXCL",IQ_FY-9), _xll.ciqfunctions.udf.CIQ(A2388, "IQ_DILUT_EPS_EXCL",IQ_FY-8))</f>
        <v>0.7</v>
      </c>
      <c r="G2389" s="15">
        <f>IF(A2396=A2397,_xll.ciqfunctions.udf.CIQ(A2388,"IQ_EBITDA_MARGIN",IQ_FY-9), _xll.ciqfunctions.udf.CIQ(A2388, "IQ_EBITDA_MARGIN",IQ_FY-8))</f>
        <v>13.456300000000001</v>
      </c>
      <c r="H2389" s="15">
        <f>IF(A2396=A2397,_xll.ciqfunctions.udf.CIQ(A2388,"IQ_TOTAL_DIV_PAID_CF",IQ_FY-9)/-I2389, _xll.ciqfunctions.udf.CIQ(A2388, "IQ_TOTAL_DIV_PAID_CF",IQ_FY-8)/-I2389)</f>
        <v>0</v>
      </c>
      <c r="I2389" s="17">
        <f>IF(A2396=A2397,_xll.ciqfunctions.udf.CIQ(A2388,"IQ_TOTAL_OUTSTANDING_FILING_DATE",IQ_FY-9), _xll.ciqfunctions.udf.CIQ(A2388, "IQ_TOTAL_OUTSTANDING_FILING_DATE",IQ_FY-8))</f>
        <v>35.235120000000002</v>
      </c>
      <c r="J2389" s="17">
        <f>IF(A2396=A2397,_xll.ciqfunctions.udf.CIQ(A2388,"IQ_CASH_OPER",IQ_FY-9), _xll.ciqfunctions.udf.CIQ(A2388, "IQ_CASH_OPER",IQ_FY-8))</f>
        <v>34.033000000000001</v>
      </c>
      <c r="K2389" s="17">
        <f>IF(A2396=A2397,_xll.ciqfunctions.udf.CIQ(A2388,"IQ_CAPEX",IQ_FY-9), _xll.ciqfunctions.udf.CIQ(A2388, "IQ_CAPEX",IQ_FY-8))</f>
        <v>-3.6739999999999999</v>
      </c>
      <c r="L2389" s="15">
        <f t="shared" si="636"/>
        <v>0.86161193718085816</v>
      </c>
      <c r="M2389" s="17">
        <f>IF(A2396=A2397,_xll.ciqfunctions.udf.CIQ(A2388,"IQ_TOTAL_DEBT_ISSUED",IQ_FY-9), _xll.ciqfunctions.udf.CIQ(A2388, "IQ_TOTAL_DEBT_ISSUED",IQ_FY-8))</f>
        <v>265.10000000000002</v>
      </c>
      <c r="N2389" s="17">
        <f>IF(A2396=A2397,_xll.ciqfunctions.udf.CIQ(A2388,"IQ_TOTAL_DEBT_REPAID",IQ_FY-9), _xll.ciqfunctions.udf.CIQ(A2388, "IQ_TOTAL_DEBT_REPAID",IQ_FY-8))</f>
        <v>-230.1</v>
      </c>
      <c r="O2389" s="15">
        <f t="shared" si="637"/>
        <v>0.99332711226753378</v>
      </c>
      <c r="P2389" s="15">
        <f t="shared" si="638"/>
        <v>1.8549390494483919</v>
      </c>
      <c r="Q2389" s="25" t="s">
        <v>18</v>
      </c>
      <c r="R2389" s="39" t="s">
        <v>19</v>
      </c>
      <c r="S2389" s="1">
        <f>R2387/((AVERAGE(P2393:P2398))*(1+E2399)^3)</f>
        <v>12.750317297807539</v>
      </c>
      <c r="U2389" s="25" t="s">
        <v>48</v>
      </c>
      <c r="V2389" s="39" t="s">
        <v>19</v>
      </c>
      <c r="W2389" s="1">
        <f>V2387/((AVERAGE(P2393:P2398))*(1+E2399)^3)</f>
        <v>12.750317297807539</v>
      </c>
      <c r="Y2389" s="25" t="s">
        <v>39</v>
      </c>
      <c r="Z2389" s="39" t="s">
        <v>19</v>
      </c>
      <c r="AA2389" s="1">
        <f>Z2387/((AVERAGE(P2393:P2398))*(1+E2399)^3)</f>
        <v>12.750317297807539</v>
      </c>
    </row>
    <row r="2390" spans="1:27">
      <c r="B2390" s="13">
        <v>3</v>
      </c>
      <c r="C2390" s="14" t="s">
        <v>20</v>
      </c>
      <c r="D2390" s="15" cm="1">
        <f t="array" ref="D2390">_xlfn.SINGLE(IF(A2396=A2397,_xll.ciqfunctions.udf.CIQ(A2388,"IQ_TOTAL_REV",IQ_FY-8)/I2390, _xll.ciqfunctions.udf.CIQ(A2388, "IQ_TOTAL_REV",IQ_FY-7)/I2390))</f>
        <v>12.737260820628261</v>
      </c>
      <c r="E2390" s="16">
        <f t="shared" si="639"/>
        <v>2.1288067390009411E-2</v>
      </c>
      <c r="F2390" s="15">
        <f>IF(A2396=A2397,_xll.ciqfunctions.udf.CIQ(A2388,"IQ_DILUT_EPS_EXCL",IQ_FY-8), _xll.ciqfunctions.udf.CIQ(A2388, "IQ_DILUT_EPS_EXCL",IQ_FY-7))</f>
        <v>0.67</v>
      </c>
      <c r="G2390" s="15">
        <f>IF(A2396=A2397,_xll.ciqfunctions.udf.CIQ(A2388,"IQ_EBITDA_MARGIN",IQ_FY-8), _xll.ciqfunctions.udf.CIQ(A2388, "IQ_EBITDA_MARGIN",IQ_FY-7))</f>
        <v>12.0602</v>
      </c>
      <c r="H2390" s="15">
        <f>IF(A2396=A2397,_xll.ciqfunctions.udf.CIQ(A2388,"IQ_TOTAL_DIV_PAID_CF",IQ_FY-8)/-I2390, _xll.ciqfunctions.udf.CIQ(A2388, "IQ_TOTAL_DIV_PAID_CF",IQ_FY-7)/-I2390)</f>
        <v>0</v>
      </c>
      <c r="I2390" s="17">
        <f>IF(A2396=A2397,_xll.ciqfunctions.udf.CIQ(A2388,"IQ_TOTAL_OUTSTANDING_FILING_DATE",IQ_FY-8), _xll.ciqfunctions.udf.CIQ(A2388, "IQ_TOTAL_OUTSTANDING_FILING_DATE",IQ_FY-7))</f>
        <v>35.964640000000003</v>
      </c>
      <c r="J2390" s="17">
        <f>IF(A2396=A2397,_xll.ciqfunctions.udf.CIQ(A2388,"IQ_CASH_OPER",IQ_FY-8), _xll.ciqfunctions.udf.CIQ(A2388, "IQ_CASH_OPER",IQ_FY-7))</f>
        <v>44.720999999999997</v>
      </c>
      <c r="K2390" s="17">
        <f>IF(A2396=A2397,_xll.ciqfunctions.udf.CIQ(A2388,"IQ_CAPEX",IQ_FY-8), _xll.ciqfunctions.udf.CIQ(A2388, "IQ_CAPEX",IQ_FY-7))</f>
        <v>-3.3559999999999999</v>
      </c>
      <c r="L2390" s="15">
        <f t="shared" si="636"/>
        <v>1.1501574880215677</v>
      </c>
      <c r="M2390" s="17">
        <f>IF(A2396=A2397,_xll.ciqfunctions.udf.CIQ(A2388,"IQ_TOTAL_DEBT_ISSUED",IQ_FY-8), _xll.ciqfunctions.udf.CIQ(A2388, "IQ_TOTAL_DEBT_ISSUED",IQ_FY-7))</f>
        <v>266.5</v>
      </c>
      <c r="N2390" s="17">
        <f>IF(A2396=A2397,_xll.ciqfunctions.udf.CIQ(A2388,"IQ_TOTAL_DEBT_REPAID",IQ_FY-8), _xll.ciqfunctions.udf.CIQ(A2388, "IQ_TOTAL_DEBT_REPAID",IQ_FY-7))</f>
        <v>-264.5</v>
      </c>
      <c r="O2390" s="15">
        <f t="shared" si="637"/>
        <v>5.5610177107292047E-2</v>
      </c>
      <c r="P2390" s="15">
        <f t="shared" si="638"/>
        <v>1.2057676651288598</v>
      </c>
      <c r="Q2390" s="25" t="s">
        <v>21</v>
      </c>
      <c r="R2390" s="38" t="s">
        <v>49</v>
      </c>
      <c r="S2390" s="2">
        <f>(R2387*I2398)/1000</f>
        <v>2.1794851415999998</v>
      </c>
      <c r="U2390" s="25" t="s">
        <v>59</v>
      </c>
      <c r="V2390" s="38" t="s">
        <v>49</v>
      </c>
      <c r="W2390" s="2">
        <f>(V2387*I2398)/1000</f>
        <v>2.1794851415999998</v>
      </c>
      <c r="Y2390" s="25" t="s">
        <v>46</v>
      </c>
      <c r="Z2390" s="38" t="s">
        <v>49</v>
      </c>
      <c r="AA2390" s="2">
        <f>(Z2387*I2398)/1000</f>
        <v>2.1794851415999998</v>
      </c>
    </row>
    <row r="2391" spans="1:27">
      <c r="A2391" s="18"/>
      <c r="B2391" s="13">
        <v>4</v>
      </c>
      <c r="C2391" s="14" t="s">
        <v>22</v>
      </c>
      <c r="D2391" s="15" cm="1">
        <f t="array" ref="D2391">_xlfn.SINGLE(IF(A2396=A2397,_xll.ciqfunctions.udf.CIQ(A2388,"IQ_TOTAL_REV",IQ_FY-7)/I2391, _xll.ciqfunctions.udf.CIQ(A2388, "IQ_TOTAL_REV",IQ_FY-6)/I2391))</f>
        <v>13.748836458180111</v>
      </c>
      <c r="E2391" s="16">
        <f t="shared" si="639"/>
        <v>7.9418616906515888E-2</v>
      </c>
      <c r="F2391" s="15">
        <f>IF(A2396=A2397,_xll.ciqfunctions.udf.CIQ(A2388,"IQ_DILUT_EPS_EXCL",IQ_FY-7), _xll.ciqfunctions.udf.CIQ(A2388, "IQ_DILUT_EPS_EXCL",IQ_FY-6))</f>
        <v>0.57999999999999996</v>
      </c>
      <c r="G2391" s="15">
        <f>IF(A2396=A2397,_xll.ciqfunctions.udf.CIQ(A2388,"IQ_EBITDA_MARGIN",IQ_FY-7), _xll.ciqfunctions.udf.CIQ(A2388, "IQ_EBITDA_MARGIN",IQ_FY-6))</f>
        <v>10.2706</v>
      </c>
      <c r="H2391" s="15">
        <f>IF(A2396=A2397,_xll.ciqfunctions.udf.CIQ(A2388,"IQ_TOTAL_DIV_PAID_CF",IQ_FY-7)/-I2391, _xll.ciqfunctions.udf.CIQ(A2388, "IQ_TOTAL_DIV_PAID_CF",IQ_FY-6)/-I2391)</f>
        <v>0</v>
      </c>
      <c r="I2391" s="17">
        <f>IF(A2396=A2397,_xll.ciqfunctions.udf.CIQ(A2388,"IQ_TOTAL_OUTSTANDING_FILING_DATE",IQ_FY-7), _xll.ciqfunctions.udf.CIQ(A2388, "IQ_TOTAL_OUTSTANDING_FILING_DATE",IQ_FY-6))</f>
        <v>35.419870000000003</v>
      </c>
      <c r="J2391" s="17">
        <f>IF(A2396=A2397,_xll.ciqfunctions.udf.CIQ(A2388,"IQ_CASH_OPER",IQ_FY-7), _xll.ciqfunctions.udf.CIQ(A2388, "IQ_CASH_OPER",IQ_FY-6))</f>
        <v>63.301000000000002</v>
      </c>
      <c r="K2391" s="17">
        <f>IF(A2396=A2397,_xll.ciqfunctions.udf.CIQ(A2388,"IQ_CAPEX",IQ_FY-7), _xll.ciqfunctions.udf.CIQ(A2388, "IQ_CAPEX",IQ_FY-6))</f>
        <v>-4.0869999999999997</v>
      </c>
      <c r="L2391" s="15">
        <f t="shared" si="636"/>
        <v>1.6717734988863593</v>
      </c>
      <c r="M2391" s="17">
        <f>IF(A2396=A2397,_xll.ciqfunctions.udf.CIQ(A2388,"IQ_TOTAL_DEBT_ISSUED",IQ_FY-7), _xll.ciqfunctions.udf.CIQ(A2388, "IQ_TOTAL_DEBT_ISSUED",IQ_FY-6))</f>
        <v>208.5</v>
      </c>
      <c r="N2391" s="17">
        <f>IF(A2396=A2397,_xll.ciqfunctions.udf.CIQ(A2388,"IQ_TOTAL_DEBT_REPAID",IQ_FY-7), _xll.ciqfunctions.udf.CIQ(A2388, "IQ_TOTAL_DEBT_REPAID",IQ_FY-6))</f>
        <v>-232.5</v>
      </c>
      <c r="O2391" s="15">
        <f t="shared" si="637"/>
        <v>-0.67758577318324431</v>
      </c>
      <c r="P2391" s="15">
        <f t="shared" si="638"/>
        <v>0.99418772570311498</v>
      </c>
      <c r="Q2391" s="25" t="s">
        <v>23</v>
      </c>
      <c r="R2391" s="38" t="s">
        <v>24</v>
      </c>
      <c r="S2391" s="1" t="e">
        <f>R2387/(AVERAGE(H2393:H2398)*(1+H2399)/(0.5-H2399))</f>
        <v>#DIV/0!</v>
      </c>
      <c r="U2391" s="25" t="s">
        <v>40</v>
      </c>
      <c r="V2391" s="38" t="s">
        <v>24</v>
      </c>
      <c r="W2391" s="1" t="e">
        <f>V2387/(AVERAGE(H2393:H2398)*(1+H2399)/(0.5-H2399))</f>
        <v>#DIV/0!</v>
      </c>
      <c r="Y2391" s="25" t="s">
        <v>47</v>
      </c>
      <c r="Z2391" s="38" t="s">
        <v>24</v>
      </c>
      <c r="AA2391" s="1" t="e">
        <f>Z2387/(AVERAGE(H2393:H2398)*(1+H2399)/(0.5-H2399))</f>
        <v>#DIV/0!</v>
      </c>
    </row>
    <row r="2392" spans="1:27">
      <c r="B2392" s="13">
        <v>5</v>
      </c>
      <c r="C2392" s="14" t="s">
        <v>25</v>
      </c>
      <c r="D2392" s="15" cm="1">
        <f t="array" ref="D2392">_xlfn.SINGLE(IF(A2396=A2397,_xll.ciqfunctions.udf.CIQ(A2388,"IQ_TOTAL_REV",IQ_FY-6)/I2392, _xll.ciqfunctions.udf.CIQ(A2388, "IQ_TOTAL_REV",IQ_FY-5)/I2392))</f>
        <v>13.937328964631437</v>
      </c>
      <c r="E2392" s="16">
        <f t="shared" si="639"/>
        <v>1.3709706055829801E-2</v>
      </c>
      <c r="F2392" s="15">
        <f>IF(A2396=A2397,_xll.ciqfunctions.udf.CIQ(A2388,"IQ_DILUT_EPS_EXCL",IQ_FY-6), _xll.ciqfunctions.udf.CIQ(A2388, "IQ_DILUT_EPS_EXCL",IQ_FY-5))</f>
        <v>0.55000000000000004</v>
      </c>
      <c r="G2392" s="15">
        <f>IF(A2396=A2397,_xll.ciqfunctions.udf.CIQ(A2388,"IQ_EBITDA_MARGIN",IQ_FY-6), _xll.ciqfunctions.udf.CIQ(A2388, "IQ_EBITDA_MARGIN",IQ_FY-5))</f>
        <v>10.988099999999999</v>
      </c>
      <c r="H2392" s="15">
        <f>IF(A2396=A2397,_xll.ciqfunctions.udf.CIQ(A2388,"IQ_TOTAL_DIV_PAID_CF",IQ_FY-6)/-I2392, _xll.ciqfunctions.udf.CIQ(A2388, "IQ_TOTAL_DIV_PAID_CF",IQ_FY-5)/-I2392)</f>
        <v>0</v>
      </c>
      <c r="I2392" s="17">
        <f>IF(A2396=A2397,_xll.ciqfunctions.udf.CIQ(A2388,"IQ_TOTAL_OUTSTANDING_FILING_DATE",IQ_FY-6), _xll.ciqfunctions.udf.CIQ(A2388, "IQ_TOTAL_OUTSTANDING_FILING_DATE",IQ_FY-5))</f>
        <v>34.817360000000001</v>
      </c>
      <c r="J2392" s="17">
        <f>IF(A2396=A2397,_xll.ciqfunctions.udf.CIQ(A2388,"IQ_CASH_OPER",IQ_FY-6), _xll.ciqfunctions.udf.CIQ(A2388, "IQ_CASH_OPER",IQ_FY-5))</f>
        <v>55.220999999999997</v>
      </c>
      <c r="K2392" s="17">
        <f>IF(A2396=A2397,_xll.ciqfunctions.udf.CIQ(A2388,"IQ_CAPEX",IQ_FY-6), _xll.ciqfunctions.udf.CIQ(A2388, "IQ_CAPEX",IQ_FY-5))</f>
        <v>-3.3610000000000002</v>
      </c>
      <c r="L2392" s="15">
        <f t="shared" si="636"/>
        <v>1.4894868536844839</v>
      </c>
      <c r="M2392" s="17">
        <f>IF(A2396=A2397,_xll.ciqfunctions.udf.CIQ(A2388,"IQ_TOTAL_DEBT_ISSUED",IQ_FY-6), _xll.ciqfunctions.udf.CIQ(A2388, "IQ_TOTAL_DEBT_ISSUED",IQ_FY-5))</f>
        <v>275</v>
      </c>
      <c r="N2392" s="17">
        <f>IF(A2396=A2397,_xll.ciqfunctions.udf.CIQ(A2388,"IQ_TOTAL_DEBT_REPAID",IQ_FY-6), _xll.ciqfunctions.udf.CIQ(A2388, "IQ_TOTAL_DEBT_REPAID",IQ_FY-5))</f>
        <v>-252</v>
      </c>
      <c r="O2392" s="15">
        <f t="shared" si="637"/>
        <v>0.66059000452647754</v>
      </c>
      <c r="P2392" s="15">
        <f t="shared" si="638"/>
        <v>2.1500768582109613</v>
      </c>
      <c r="Q2392" s="18"/>
      <c r="R2392" s="38" t="s">
        <v>50</v>
      </c>
      <c r="S2392" s="3">
        <f>I2399</f>
        <v>9.4462322798167797E-3</v>
      </c>
      <c r="U2392" s="18"/>
      <c r="V2392" s="38" t="s">
        <v>50</v>
      </c>
      <c r="W2392" s="3">
        <f>I2399</f>
        <v>9.4462322798167797E-3</v>
      </c>
      <c r="Y2392" s="18"/>
      <c r="Z2392" s="38" t="s">
        <v>50</v>
      </c>
      <c r="AA2392" s="3">
        <f>I2399</f>
        <v>9.4462322798167797E-3</v>
      </c>
    </row>
    <row r="2393" spans="1:27">
      <c r="B2393" s="13">
        <v>6</v>
      </c>
      <c r="C2393" s="14" t="s">
        <v>26</v>
      </c>
      <c r="D2393" s="15" cm="1">
        <f t="array" ref="D2393">_xlfn.SINGLE(IF(A2396=A2397,_xll.ciqfunctions.udf.CIQ(A2388,"IQ_TOTAL_REV",IQ_FY-5)/I2393, _xll.ciqfunctions.udf.CIQ(A2388, "IQ_TOTAL_REV",IQ_FY-4)/I2393))</f>
        <v>15.022675309760256</v>
      </c>
      <c r="E2393" s="16">
        <f t="shared" si="639"/>
        <v>7.7873339137153705E-2</v>
      </c>
      <c r="F2393" s="15">
        <f>IF(A2396=A2397,_xll.ciqfunctions.udf.CIQ(A2388,"IQ_DILUT_EPS_EXCL",IQ_FY-5), _xll.ciqfunctions.udf.CIQ(A2388, "IQ_DILUT_EPS_EXCL",IQ_FY-4))</f>
        <v>0.73</v>
      </c>
      <c r="G2393" s="15">
        <f>IF(A2396=A2397,_xll.ciqfunctions.udf.CIQ(A2388,"IQ_EBITDA_MARGIN",IQ_FY-5), _xll.ciqfunctions.udf.CIQ(A2388, "IQ_EBITDA_MARGIN",IQ_FY-4))</f>
        <v>12.0511</v>
      </c>
      <c r="H2393" s="15">
        <f>IF(A2396=A2397,_xll.ciqfunctions.udf.CIQ(A2388,"IQ_TOTAL_DIV_PAID_CF",IQ_FY-5)/-I2393, _xll.ciqfunctions.udf.CIQ(A2388, "IQ_TOTAL_DIV_PAID_CF",IQ_FY-4)/-I2393)</f>
        <v>0</v>
      </c>
      <c r="I2393" s="17">
        <f>IF(A2396=A2397,_xll.ciqfunctions.udf.CIQ(A2388,"IQ_TOTAL_OUTSTANDING_FILING_DATE",IQ_FY-5), _xll.ciqfunctions.udf.CIQ(A2388, "IQ_TOTAL_OUTSTANDING_FILING_DATE",IQ_FY-4))</f>
        <v>33.174849999999999</v>
      </c>
      <c r="J2393" s="17">
        <f>IF(A2396=A2397,_xll.ciqfunctions.udf.CIQ(A2388,"IQ_CASH_OPER",IQ_FY-5), _xll.ciqfunctions.udf.CIQ(A2388, "IQ_CASH_OPER",IQ_FY-4))</f>
        <v>68.58</v>
      </c>
      <c r="K2393" s="17">
        <f>IF(A2396=A2397,_xll.ciqfunctions.udf.CIQ(A2388,"IQ_CAPEX",IQ_FY-5), _xll.ciqfunctions.udf.CIQ(A2388, "IQ_CAPEX",IQ_FY-4))</f>
        <v>-4.0839999999999996</v>
      </c>
      <c r="L2393" s="15">
        <f t="shared" si="636"/>
        <v>1.9441233343933733</v>
      </c>
      <c r="M2393" s="17">
        <f>IF(A2396=A2397,_xll.ciqfunctions.udf.CIQ(A2388,"IQ_TOTAL_DEBT_ISSUED",IQ_FY-5), _xll.ciqfunctions.udf.CIQ(A2388, "IQ_TOTAL_DEBT_ISSUED",IQ_FY-4))</f>
        <v>304.75</v>
      </c>
      <c r="N2393" s="17">
        <f>IF(A2396=A2397,_xll.ciqfunctions.udf.CIQ(A2388,"IQ_TOTAL_DEBT_REPAID",IQ_FY-5), _xll.ciqfunctions.udf.CIQ(A2388, "IQ_TOTAL_DEBT_REPAID",IQ_FY-4))</f>
        <v>-216</v>
      </c>
      <c r="O2393" s="15">
        <f t="shared" si="637"/>
        <v>2.6752193303059397</v>
      </c>
      <c r="P2393" s="15">
        <f t="shared" si="638"/>
        <v>4.619342664699313</v>
      </c>
      <c r="Q2393" s="25" t="s">
        <v>27</v>
      </c>
      <c r="R2393" s="38" t="s">
        <v>51</v>
      </c>
      <c r="S2393" s="4">
        <f>AVERAGE(F2393:F2398)/AVERAGE(D2393:D2398)</f>
        <v>8.0312944792863897E-2</v>
      </c>
      <c r="U2393" s="25" t="s">
        <v>58</v>
      </c>
      <c r="V2393" s="38" t="s">
        <v>51</v>
      </c>
      <c r="W2393" s="4">
        <f>AVERAGE(F2393:F2398)/AVERAGE(D2393:D2398)</f>
        <v>8.0312944792863897E-2</v>
      </c>
      <c r="Y2393" s="25" t="s">
        <v>56</v>
      </c>
      <c r="Z2393" s="38" t="s">
        <v>51</v>
      </c>
      <c r="AA2393" s="4">
        <f>AVERAGE(F2393:F2398)/AVERAGE(D2393:D2398)</f>
        <v>8.0312944792863897E-2</v>
      </c>
    </row>
    <row r="2394" spans="1:27">
      <c r="A2394" s="18"/>
      <c r="B2394" s="13">
        <v>7</v>
      </c>
      <c r="C2394" s="14" t="s">
        <v>28</v>
      </c>
      <c r="D2394" s="15" cm="1">
        <f t="array" ref="D2394">_xlfn.SINGLE(IF(A2396=A2397,_xll.ciqfunctions.udf.CIQ(A2388,"IQ_TOTAL_REV",IQ_FY-4)/I2394, _xll.ciqfunctions.udf.CIQ(A2388, "IQ_TOTAL_REV",IQ_FY-3)/I2394))</f>
        <v>17.193561067974713</v>
      </c>
      <c r="E2394" s="16">
        <f t="shared" si="639"/>
        <v>0.14450726741088712</v>
      </c>
      <c r="F2394" s="15">
        <f>IF(A2396=A2397,_xll.ciqfunctions.udf.CIQ(A2388,"IQ_DILUT_EPS_EXCL",IQ_FY-4), _xll.ciqfunctions.udf.CIQ(A2388, "IQ_DILUT_EPS_EXCL",IQ_FY-3))</f>
        <v>1.1499999999999999</v>
      </c>
      <c r="G2394" s="15">
        <f>IF(A2396=A2397,_xll.ciqfunctions.udf.CIQ(A2388,"IQ_EBITDA_MARGIN",IQ_FY-4), _xll.ciqfunctions.udf.CIQ(A2388, "IQ_EBITDA_MARGIN",IQ_FY-3))</f>
        <v>13.638</v>
      </c>
      <c r="H2394" s="15">
        <f>IF(A2396=A2397,_xll.ciqfunctions.udf.CIQ(A2388,"IQ_TOTAL_DIV_PAID_CF",IQ_FY-4)/-I2394, _xll.ciqfunctions.udf.CIQ(A2388, "IQ_TOTAL_DIV_PAID_CF",IQ_FY-3)/-I2394)</f>
        <v>0</v>
      </c>
      <c r="I2394" s="17">
        <f>IF(A2396=A2397,_xll.ciqfunctions.udf.CIQ(A2388,"IQ_TOTAL_OUTSTANDING_FILING_DATE",IQ_FY-4), _xll.ciqfunctions.udf.CIQ(A2388, "IQ_TOTAL_OUTSTANDING_FILING_DATE",IQ_FY-3))</f>
        <v>32.89179</v>
      </c>
      <c r="J2394" s="17">
        <f>IF(A2396=A2397,_xll.ciqfunctions.udf.CIQ(A2388,"IQ_CASH_OPER",IQ_FY-4), _xll.ciqfunctions.udf.CIQ(A2388, "IQ_CASH_OPER",IQ_FY-3))</f>
        <v>77.965000000000003</v>
      </c>
      <c r="K2394" s="17">
        <f>IF(A2396=A2397,_xll.ciqfunctions.udf.CIQ(A2388,"IQ_CAPEX",IQ_FY-4), _xll.ciqfunctions.udf.CIQ(A2388, "IQ_CAPEX",IQ_FY-3))</f>
        <v>-8.0820000000000007</v>
      </c>
      <c r="L2394" s="15">
        <f t="shared" si="636"/>
        <v>2.124633533170436</v>
      </c>
      <c r="M2394" s="17">
        <f>IF(A2396=A2397,_xll.ciqfunctions.udf.CIQ(A2388,"IQ_TOTAL_DEBT_ISSUED",IQ_FY-4), _xll.ciqfunctions.udf.CIQ(A2388, "IQ_TOTAL_DEBT_ISSUED",IQ_FY-3))</f>
        <v>0</v>
      </c>
      <c r="N2394" s="17">
        <f>IF(A2396=A2397,_xll.ciqfunctions.udf.CIQ(A2388,"IQ_TOTAL_DEBT_REPAID",IQ_FY-4), _xll.ciqfunctions.udf.CIQ(A2388, "IQ_TOTAL_DEBT_REPAID",IQ_FY-3))</f>
        <v>0</v>
      </c>
      <c r="O2394" s="15">
        <f t="shared" si="637"/>
        <v>0</v>
      </c>
      <c r="P2394" s="15">
        <f t="shared" si="638"/>
        <v>2.124633533170436</v>
      </c>
      <c r="Q2394" s="18"/>
      <c r="R2394" s="38" t="s">
        <v>29</v>
      </c>
      <c r="S2394" s="4">
        <f>(AVERAGE(P2393:P2398)/_xlfn.STDEV.P(P2393:P2398))/(IF(A2396=A2397,(_xlfn.SINGLE(_xll.ciqfunctions.udf.CIQ(A2388,"IQ_total_assets",IQ_FY)) - _xlfn.SINGLE(_xll.ciqfunctions.udf.CIQ(A2388,"iq_gw_intan", IQ_FY)))/I2398, (_xlfn.SINGLE(_xll.ciqfunctions.udf.CIQ(A2388, "IQ_total_assets",IQ_LTM))-_xlfn.SINGLE(_xll.ciqfunctions.udf.CIQ(A2388,"iq_gw_intan",IQ_LTM)))/I2398))</f>
        <v>0.31683942415394856</v>
      </c>
      <c r="U2394" s="18"/>
      <c r="V2394" s="38" t="s">
        <v>29</v>
      </c>
      <c r="W2394" s="4">
        <f>(AVERAGE(P2393:P2398)/_xlfn.STDEV.P(P2393:P2398))/(IF(A2396=A2397,(_xlfn.SINGLE(_xll.ciqfunctions.udf.CIQ(A2388,"IQ_total_assets",IQ_FY)) - _xlfn.SINGLE(_xll.ciqfunctions.udf.CIQ(A2388,"iq_gw_intan", IQ_FY)))/I2398, (_xlfn.SINGLE(_xll.ciqfunctions.udf.CIQ(A2388, "IQ_total_assets",IQ_LTM))-_xlfn.SINGLE(_xll.ciqfunctions.udf.CIQ(A2388,"iq_gw_intan",IQ_LTM)))/I2398))</f>
        <v>0.31683942415394856</v>
      </c>
      <c r="Y2394" s="18"/>
      <c r="Z2394" s="38" t="s">
        <v>29</v>
      </c>
      <c r="AA2394" s="4">
        <f>(AVERAGE(P2393:P2398)/_xlfn.STDEV.P(P2393:P2398))/(IF(A2396=A2397,(_xlfn.SINGLE(_xll.ciqfunctions.udf.CIQ(A2388,"IQ_total_assets",IQ_FY)) - _xlfn.SINGLE(_xll.ciqfunctions.udf.CIQ(A2388,"iq_gw_intan", IQ_FY)))/I2398, (_xlfn.SINGLE(_xll.ciqfunctions.udf.CIQ(A2388, "IQ_total_assets",IQ_LTM))-_xlfn.SINGLE(_xll.ciqfunctions.udf.CIQ(A2388,"iq_gw_intan",IQ_LTM)))/I2398))</f>
        <v>0.31683942415394856</v>
      </c>
    </row>
    <row r="2395" spans="1:27">
      <c r="A2395" s="18"/>
      <c r="B2395" s="13">
        <v>8</v>
      </c>
      <c r="C2395" s="14" t="s">
        <v>30</v>
      </c>
      <c r="D2395" s="15" cm="1">
        <f t="array" ref="D2395">_xlfn.SINGLE(IF(A2396=A2397,_xll.ciqfunctions.udf.CIQ(A2388,"IQ_TOTAL_REV",IQ_FY-3)/I2395, _xll.ciqfunctions.udf.CIQ(A2388, "IQ_TOTAL_REV",IQ_FY-2)/I2395))</f>
        <v>18.531986160946211</v>
      </c>
      <c r="E2395" s="16">
        <f t="shared" si="639"/>
        <v>7.7844553997862151E-2</v>
      </c>
      <c r="F2395" s="15">
        <f>IF(A2396=A2397,_xll.ciqfunctions.udf.CIQ(A2388,"IQ_DILUT_EPS_EXCL",IQ_FY-3), _xll.ciqfunctions.udf.CIQ(A2388, "IQ_DILUT_EPS_EXCL",IQ_FY-2))</f>
        <v>0.93</v>
      </c>
      <c r="G2395" s="15">
        <f>IF(A2396=A2397,_xll.ciqfunctions.udf.CIQ(A2388,"IQ_EBITDA_MARGIN",IQ_FY-3), _xll.ciqfunctions.udf.CIQ(A2388, "IQ_EBITDA_MARGIN",IQ_FY-2))</f>
        <v>15.802899999999999</v>
      </c>
      <c r="H2395" s="15">
        <f>IF(A2396=A2397,_xll.ciqfunctions.udf.CIQ(A2388,"IQ_TOTAL_DIV_PAID_CF",IQ_FY-3)/-I2395, _xll.ciqfunctions.udf.CIQ(A2388, "IQ_TOTAL_DIV_PAID_CF",IQ_FY-2)/-I2395)</f>
        <v>0</v>
      </c>
      <c r="I2395" s="17">
        <f>IF(A2396=A2397,_xll.ciqfunctions.udf.CIQ(A2388,"IQ_TOTAL_OUTSTANDING_FILING_DATE",IQ_FY-3), _xll.ciqfunctions.udf.CIQ(A2388, "IQ_TOTAL_OUTSTANDING_FILING_DATE",IQ_FY-2))</f>
        <v>33.03116</v>
      </c>
      <c r="J2395" s="17">
        <f>IF(A2396=A2397,_xll.ciqfunctions.udf.CIQ(A2388,"IQ_CASH_OPER",IQ_FY-3), _xll.ciqfunctions.udf.CIQ(A2388, "IQ_CASH_OPER",IQ_FY-2))</f>
        <v>117.96</v>
      </c>
      <c r="K2395" s="17">
        <f>IF(A2396=A2397,_xll.ciqfunctions.udf.CIQ(A2388,"IQ_CAPEX",IQ_FY-3), _xll.ciqfunctions.udf.CIQ(A2388, "IQ_CAPEX",IQ_FY-2))</f>
        <v>-5.266</v>
      </c>
      <c r="L2395" s="15">
        <f t="shared" si="636"/>
        <v>3.4117481795976885</v>
      </c>
      <c r="M2395" s="17">
        <f>IF(A2396=A2397,_xll.ciqfunctions.udf.CIQ(A2388,"IQ_TOTAL_DEBT_ISSUED",IQ_FY-3), _xll.ciqfunctions.udf.CIQ(A2388, "IQ_TOTAL_DEBT_ISSUED",IQ_FY-2))</f>
        <v>258</v>
      </c>
      <c r="N2395" s="17">
        <f>IF(A2396=A2397,_xll.ciqfunctions.udf.CIQ(A2388,"IQ_TOTAL_DEBT_REPAID",IQ_FY-3), _xll.ciqfunctions.udf.CIQ(A2388, "IQ_TOTAL_DEBT_REPAID",IQ_FY-2))</f>
        <v>-208.42</v>
      </c>
      <c r="O2395" s="15">
        <f t="shared" si="637"/>
        <v>1.5010069280037399</v>
      </c>
      <c r="P2395" s="15">
        <f t="shared" si="638"/>
        <v>4.9127551076014289</v>
      </c>
      <c r="Q2395" s="18"/>
      <c r="R2395" s="39" t="s">
        <v>31</v>
      </c>
      <c r="S2395" s="5">
        <f>IF(NOT(D2388&gt;0),FALSE,SLOPE(G2388:G2398,B2388:B2398))</f>
        <v>0.79756545454545436</v>
      </c>
      <c r="U2395" s="18"/>
      <c r="V2395" s="39" t="s">
        <v>31</v>
      </c>
      <c r="W2395" s="5">
        <f>IF(NOT(D2388&gt;0),FALSE,SLOPE(G2388:G2398,B2388:B2398))</f>
        <v>0.79756545454545436</v>
      </c>
      <c r="Y2395" s="18"/>
      <c r="Z2395" s="39" t="s">
        <v>31</v>
      </c>
      <c r="AA2395" s="5">
        <f>IF(NOT(L2388&gt;0),FALSE,SLOPE(O2388:O2398,J2388:J2398))</f>
        <v>-1.9756671581130816E-3</v>
      </c>
    </row>
    <row r="2396" spans="1:27">
      <c r="A2396" s="19">
        <f>_xll.ciqfunctions.udf.CIQ(A2388,"IQ_TOTAL_REV",IQ_FY)</f>
        <v>905.06200000000001</v>
      </c>
      <c r="B2396" s="13">
        <v>9</v>
      </c>
      <c r="C2396" s="14" t="s">
        <v>32</v>
      </c>
      <c r="D2396" s="15" cm="1">
        <f t="array" ref="D2396">_xlfn.SINGLE(IF(A2396=A2397,_xll.ciqfunctions.udf.CIQ(A2388,"IQ_TOTAL_REV",IQ_FY-2)/I2396, _xll.ciqfunctions.udf.CIQ(A2388, "IQ_TOTAL_REV",IQ_FY-1)/I2396))</f>
        <v>22.013138571695929</v>
      </c>
      <c r="E2396" s="16">
        <f t="shared" si="639"/>
        <v>0.18784561894859395</v>
      </c>
      <c r="F2396" s="15">
        <f>IF(A2396=A2397,_xll.ciqfunctions.udf.CIQ(A2388,"IQ_DILUT_EPS_EXCL",IQ_FY-2), _xll.ciqfunctions.udf.CIQ(A2388, "IQ_DILUT_EPS_EXCL",IQ_FY-1))</f>
        <v>1.5</v>
      </c>
      <c r="G2396" s="15">
        <f>IF(A2396=A2397,_xll.ciqfunctions.udf.CIQ(A2388,"IQ_EBITDA_MARGIN",IQ_FY-2), _xll.ciqfunctions.udf.CIQ(A2388, "IQ_EBITDA_MARGIN",IQ_FY-1))</f>
        <v>18.369199999999999</v>
      </c>
      <c r="H2396" s="15">
        <f>IF(A2396=A2397,_xll.ciqfunctions.udf.CIQ(A2388,"IQ_TOTAL_DIV_PAID_CF",IQ_FY-2)/-I2396, _xll.ciqfunctions.udf.CIQ(A2388, "IQ_TOTAL_DIV_PAID_CF",IQ_FY-1)/-I2396)</f>
        <v>0</v>
      </c>
      <c r="I2396" s="17">
        <f>IF(A2396=A2397,_xll.ciqfunctions.udf.CIQ(A2388,"IQ_TOTAL_OUTSTANDING_FILING_DATE",IQ_FY-2), _xll.ciqfunctions.udf.CIQ(A2388, "IQ_TOTAL_OUTSTANDING_FILING_DATE",IQ_FY-1))</f>
        <v>34.571489999999997</v>
      </c>
      <c r="J2396" s="17">
        <f>IF(A2396=A2397,_xll.ciqfunctions.udf.CIQ(A2388,"IQ_CASH_OPER",IQ_FY-2), _xll.ciqfunctions.udf.CIQ(A2388, "IQ_CASH_OPER",IQ_FY-1))</f>
        <v>84.915999999999997</v>
      </c>
      <c r="K2396" s="17">
        <f>IF(A2396=A2397,_xll.ciqfunctions.udf.CIQ(A2388,"IQ_CAPEX",IQ_FY-2), _xll.ciqfunctions.udf.CIQ(A2388, "IQ_CAPEX",IQ_FY-1))</f>
        <v>-9.2439999999999998</v>
      </c>
      <c r="L2396" s="15">
        <f t="shared" si="636"/>
        <v>2.1888556148433289</v>
      </c>
      <c r="M2396" s="17">
        <f>IF(A2396=A2397,_xll.ciqfunctions.udf.CIQ(A2388,"IQ_TOTAL_DEBT_ISSUED",IQ_FY-2), _xll.ciqfunctions.udf.CIQ(A2388, "IQ_TOTAL_DEBT_ISSUED",IQ_FY-1))</f>
        <v>454</v>
      </c>
      <c r="N2396" s="17">
        <f>IF(A2396=A2397,_xll.ciqfunctions.udf.CIQ(A2388,"IQ_TOTAL_DEBT_REPAID",IQ_FY-2), _xll.ciqfunctions.udf.CIQ(A2388, "IQ_TOTAL_DEBT_REPAID",IQ_FY-1))</f>
        <v>-442.66399999999999</v>
      </c>
      <c r="O2396" s="15">
        <f t="shared" si="637"/>
        <v>0.32790024381361677</v>
      </c>
      <c r="P2396" s="15">
        <f t="shared" si="638"/>
        <v>2.5167558586569458</v>
      </c>
      <c r="Q2396" s="25" t="s">
        <v>33</v>
      </c>
      <c r="R2396" s="38" t="s">
        <v>52</v>
      </c>
      <c r="S2396" s="4">
        <f>(AVERAGE(O2393:O2398)/AVERAGE(P2393:P2398))</f>
        <v>0.2141003913936437</v>
      </c>
      <c r="U2396" s="25" t="s">
        <v>54</v>
      </c>
      <c r="V2396" s="38" t="s">
        <v>52</v>
      </c>
      <c r="W2396" s="4">
        <f>(AVERAGE(O2393:O2398)/AVERAGE(P2393:P2398))</f>
        <v>0.2141003913936437</v>
      </c>
      <c r="Y2396" s="25" t="s">
        <v>60</v>
      </c>
      <c r="Z2396" s="38" t="s">
        <v>52</v>
      </c>
      <c r="AA2396" s="4">
        <f>(AVERAGE(O2393:O2398)/AVERAGE(P2393:P2398))</f>
        <v>0.2141003913936437</v>
      </c>
    </row>
    <row r="2397" spans="1:27">
      <c r="A2397" s="19">
        <f>_xll.ciqfunctions.udf.CIQ(A2388,"IQ_TOTAL_REV",IQ_LTM)</f>
        <v>918.35</v>
      </c>
      <c r="B2397" s="13">
        <v>10</v>
      </c>
      <c r="C2397" s="14" t="s">
        <v>34</v>
      </c>
      <c r="D2397" s="15" cm="1">
        <f t="array" ref="D2397">_xlfn.SINGLE(IF(A2396=A2397,_xll.ciqfunctions.udf.CIQ(A2388,"IQ_TOTAL_REV",IQ_FY-1)/I2397, _xll.ciqfunctions.udf.CIQ(A2388, "IQ_TOTAL_REV",IQ_FY)/I2397))</f>
        <v>26.089357856610608</v>
      </c>
      <c r="E2397" s="16">
        <f t="shared" si="639"/>
        <v>0.18517210854047877</v>
      </c>
      <c r="F2397" s="15">
        <f>IF(A2396=A2397,_xll.ciqfunctions.udf.CIQ(A2388,"IQ_DILUT_EPS_EXCL",IQ_FY-1), _xll.ciqfunctions.udf.CIQ(A2388, "IQ_DILUT_EPS_EXCL",IQ_FY))</f>
        <v>2.9036200000000001</v>
      </c>
      <c r="G2397" s="15">
        <f>IF(A2396=A2397,_xll.ciqfunctions.udf.CIQ(A2388,"IQ_EBITDA_MARGIN",IQ_FY-1), _xll.ciqfunctions.udf.CIQ(A2388, "IQ_EBITDA_MARGIN",IQ_FY))</f>
        <v>20.024100000000001</v>
      </c>
      <c r="H2397" s="15">
        <f>IF(A2396=A2397,_xll.ciqfunctions.udf.CIQ(A2388,"IQ_TOTAL_DIV_PAID_CF",IQ_FY-1)/-I2397, _xll.ciqfunctions.udf.CIQ(A2388, "IQ_TOTAL_DIV_PAID_CF",IQ_FY)/-I2397)</f>
        <v>0</v>
      </c>
      <c r="I2397" s="17">
        <f>IF(A2396=A2397,_xll.ciqfunctions.udf.CIQ(A2388,"IQ_TOTAL_OUTSTANDING_FILING_DATE",IQ_FY-1), _xll.ciqfunctions.udf.CIQ(A2388, "IQ_TOTAL_OUTSTANDING_FILING_DATE",IQ_FY))</f>
        <v>34.690849999999998</v>
      </c>
      <c r="J2397" s="17">
        <f>IF(A2396=A2397,_xll.ciqfunctions.udf.CIQ(A2388,"IQ_CASH_OPER",IQ_FY-1), _xll.ciqfunctions.udf.CIQ(A2388, "IQ_CASH_OPER",IQ_FY))</f>
        <v>118.068</v>
      </c>
      <c r="K2397" s="17">
        <f>IF(A2396=A2397,_xll.ciqfunctions.udf.CIQ(A2388,"IQ_CAPEX",IQ_FY-1), _xll.ciqfunctions.udf.CIQ(A2388, "IQ_CAPEX",IQ_FY))</f>
        <v>-8.9550000000000001</v>
      </c>
      <c r="L2397" s="15">
        <f t="shared" si="636"/>
        <v>3.1452962380570093</v>
      </c>
      <c r="M2397" s="17">
        <f>IF(A2396=A2397,_xll.ciqfunctions.udf.CIQ(A2388,"IQ_TOTAL_DEBT_ISSUED",IQ_FY-1), _xll.ciqfunctions.udf.CIQ(A2388, "IQ_TOTAL_DEBT_ISSUED",IQ_FY))</f>
        <v>69</v>
      </c>
      <c r="N2397" s="17">
        <f>IF(A2396=A2397,_xll.ciqfunctions.udf.CIQ(A2388,"IQ_TOTAL_DEBT_REPAID",IQ_FY-1), _xll.ciqfunctions.udf.CIQ(A2388, "IQ_TOTAL_DEBT_REPAID",IQ_FY))</f>
        <v>-69.046000000000006</v>
      </c>
      <c r="O2397" s="15">
        <f t="shared" si="637"/>
        <v>-1.3259980657725735E-3</v>
      </c>
      <c r="P2397" s="15">
        <f t="shared" si="638"/>
        <v>3.1439702399912366</v>
      </c>
      <c r="Q2397" s="25" t="s">
        <v>44</v>
      </c>
      <c r="R2397" s="38" t="s">
        <v>35</v>
      </c>
      <c r="S2397" s="1">
        <f>_xll.ciqfunctions.udf.CIQ(A2388,"IQ_TEV_EBITDA")</f>
        <v>13.730090000000001</v>
      </c>
      <c r="U2397" s="25" t="s">
        <v>55</v>
      </c>
      <c r="V2397" s="38" t="s">
        <v>53</v>
      </c>
      <c r="W2397" s="1">
        <f>V2387/(AVERAGE(D2393:D2398)/_xlfn.STDEV.P(E2393:E2398))</f>
        <v>0.19145801096324164</v>
      </c>
      <c r="Y2397" s="25" t="s">
        <v>57</v>
      </c>
      <c r="Z2397" s="38" t="s">
        <v>53</v>
      </c>
      <c r="AA2397" s="1">
        <f>Z2387/(AVERAGE(D2393:D2398)/_xlfn.STDEV.P(E2393:E2398))</f>
        <v>0.19145801096324164</v>
      </c>
    </row>
    <row r="2398" spans="1:27">
      <c r="B2398" s="13">
        <v>11</v>
      </c>
      <c r="C2398" s="20" t="s">
        <v>36</v>
      </c>
      <c r="D2398" s="21" cm="1">
        <f t="array" ref="D2398">_xlfn.SINGLE(IF(A2396=A2397,_xll.ciqfunctions.udf.CIQ(A2388,"IQ_TOTAL_REV",IQ_FY)/I2398, _xll.ciqfunctions.udf.CIQ(A2388, "IQ_TOTAL_REV",IQ_LTM)/I2398))</f>
        <v>26.410906365593551</v>
      </c>
      <c r="E2398" s="22">
        <f t="shared" si="639"/>
        <v>1.2324891656981423E-2</v>
      </c>
      <c r="F2398" s="21">
        <f>IF(A2396=A2397,_xll.ciqfunctions.udf.CIQ(A2388,"IQ_DILUT_EPS_EXCL",IQ_FY), _xll.ciqfunctions.udf.CIQ(A2388, "IQ_DILUT_EPS_EXCL",IQ_LTM))</f>
        <v>2.8465099999999999</v>
      </c>
      <c r="G2398" s="21">
        <f>IF(A2396=A2397,_xll.ciqfunctions.udf.CIQ(A2388,"IQ_EBITDA_MARGIN",IQ_FY), _xll.ciqfunctions.udf.CIQ(A2388, "IQ_EBITDA_MARGIN",IQ_LTM))</f>
        <v>18.5151</v>
      </c>
      <c r="H2398" s="21">
        <f>IF(A2396=A2397,_xll.ciqfunctions.udf.CIQ(A2388,"IQ_TOTAL_DIV_PAID_CF",IQ_FY)/-I2398, _xll.ciqfunctions.udf.CIQ(A2388, "IQ_TOTAL_DIV_PAID_CF",IQ_LTM)/-I2398)</f>
        <v>0</v>
      </c>
      <c r="I2398" s="23">
        <f>IF(A2396=A2397,_xll.ciqfunctions.udf.CIQ(A2388,"IQ_TOTAL_OUTSTANDING_FILING_DATE",IQ_FY),_xll.ciqfunctions.udf.CIQ(A2388,"IQ_sharesoutstanding"))</f>
        <v>34.771619999999999</v>
      </c>
      <c r="J2398" s="23">
        <f>IF(A2396=A2397,_xll.ciqfunctions.udf.CIQ(A2388,"IQ_CASH_OPER",IQ_FY), _xll.ciqfunctions.udf.CIQ(A2388, "IQ_CASH_OPER",IQ_LTM))</f>
        <v>135.11099999999999</v>
      </c>
      <c r="K2398" s="23">
        <f>IF(A2396=A2397,_xll.ciqfunctions.udf.CIQ(A2388,"IQ_CAPEX",IQ_FY), _xll.ciqfunctions.udf.CIQ(A2388, "IQ_CAPEX",IQ_LTM))</f>
        <v>-6.1449999999999996</v>
      </c>
      <c r="L2398" s="21">
        <f t="shared" si="636"/>
        <v>3.7089442482116159</v>
      </c>
      <c r="M2398" s="23">
        <f>IF(A2396=A2397,_xll.ciqfunctions.udf.CIQ(A2388,"IQ_TOTAL_DEBT_ISSUED",IQ_FY), _xll.ciqfunctions.udf.CIQ(A2388, "IQ_TOTAL_DEBT_ISSUED",IQ_LTM))</f>
        <v>59</v>
      </c>
      <c r="N2398" s="23">
        <f>IF(A2396=A2397,_xll.ciqfunctions.udf.CIQ(A2388,"IQ_TOTAL_DEBT_REPAID",IQ_FY), _xll.ciqfunctions.udf.CIQ(A2388, "IQ_TOTAL_DEBT_REPAID",IQ_LTM))</f>
        <v>-59.045999999999999</v>
      </c>
      <c r="O2398" s="21">
        <f t="shared" si="637"/>
        <v>-1.3229179428510772E-3</v>
      </c>
      <c r="P2398" s="21">
        <f t="shared" si="638"/>
        <v>3.7076213302687648</v>
      </c>
      <c r="Q2398" s="25" t="s">
        <v>45</v>
      </c>
      <c r="S2398" s="45"/>
      <c r="U2398" s="25"/>
      <c r="W2398" s="45"/>
      <c r="Y2398" s="25"/>
      <c r="AA2398" s="45"/>
    </row>
    <row r="2399" spans="1:27">
      <c r="B2399" s="24"/>
      <c r="C2399" s="25" t="s">
        <v>37</v>
      </c>
      <c r="E2399" s="26">
        <f>((D2398/D2393)^(1/5))-1</f>
        <v>0.1194564550949182</v>
      </c>
      <c r="F2399" s="27">
        <f>((F2398/F2393)^(1/5))-1</f>
        <v>0.31279819447065771</v>
      </c>
      <c r="G2399" s="28"/>
      <c r="H2399" s="27" t="e">
        <f>((H2398/H2393)^(1/5))-1</f>
        <v>#DIV/0!</v>
      </c>
      <c r="I2399" s="27">
        <f>((I2398/I2393)^(1/5))-1</f>
        <v>9.4462322798167797E-3</v>
      </c>
      <c r="J2399" s="27"/>
      <c r="K2399" s="27"/>
      <c r="L2399" s="26">
        <f>((L2398/L2393)^(1/5))-1</f>
        <v>0.13790314683465277</v>
      </c>
      <c r="M2399" s="26"/>
      <c r="N2399" s="26"/>
      <c r="O2399" s="26"/>
      <c r="P2399" s="26">
        <f>((P2398/P2393)^(1/5))-1</f>
        <v>-4.3019610037019151E-2</v>
      </c>
      <c r="Q2399" s="18"/>
      <c r="R2399" s="36"/>
      <c r="S2399" s="45"/>
      <c r="U2399" s="18"/>
      <c r="V2399" s="36"/>
      <c r="W2399" s="45"/>
      <c r="Y2399" s="18"/>
      <c r="Z2399" s="36"/>
      <c r="AA2399" s="45"/>
    </row>
    <row r="2400" spans="1:27">
      <c r="A2400" s="29"/>
      <c r="B2400" s="30"/>
      <c r="C2400" s="31" t="s">
        <v>38</v>
      </c>
      <c r="D2400" s="29"/>
      <c r="E2400" s="32">
        <f>((D2398/D2388)^(1/10))-1</f>
        <v>9.6549474396115054E-2</v>
      </c>
      <c r="F2400" s="33">
        <f>((F2398/F2388)^(1/10))-1</f>
        <v>0.15564326104089088</v>
      </c>
      <c r="G2400" s="34"/>
      <c r="H2400" s="33" t="e">
        <f>((H2398/H2388)^(1/10))-1</f>
        <v>#DIV/0!</v>
      </c>
      <c r="I2400" s="33">
        <f>((I2398/I2388)^(1/10))-1</f>
        <v>2.3710730675254865E-3</v>
      </c>
      <c r="J2400" s="33"/>
      <c r="K2400" s="33"/>
      <c r="L2400" s="32">
        <f>((L2398/L2388)^(1/10))-1</f>
        <v>0.11554140550137415</v>
      </c>
      <c r="M2400" s="32"/>
      <c r="N2400" s="32"/>
      <c r="O2400" s="32"/>
      <c r="P2400" s="32">
        <f>((P2398/P2388)^(1/10))-1</f>
        <v>7.9843286595419283E-2</v>
      </c>
      <c r="Q2400" s="40"/>
      <c r="R2400" s="41"/>
      <c r="S2400" s="46"/>
      <c r="U2400" s="40"/>
      <c r="V2400" s="41"/>
      <c r="W2400" s="46"/>
      <c r="Y2400" s="40"/>
      <c r="Z2400" s="41"/>
      <c r="AA2400" s="46"/>
    </row>
    <row r="2401" spans="1:27">
      <c r="B2401" s="24"/>
      <c r="C2401" s="25"/>
      <c r="E2401" s="26"/>
      <c r="F2401" s="27"/>
      <c r="G2401" s="28"/>
      <c r="H2401" s="27"/>
      <c r="I2401" s="27"/>
      <c r="J2401" s="27"/>
      <c r="K2401" s="27"/>
      <c r="L2401" s="26"/>
      <c r="M2401" s="17"/>
      <c r="N2401" s="17"/>
      <c r="O2401" s="17"/>
      <c r="P2401" s="35"/>
      <c r="Q2401" s="18"/>
      <c r="R2401" s="36"/>
    </row>
    <row r="2402" spans="1:27">
      <c r="A2402" s="9" t="s">
        <v>0</v>
      </c>
      <c r="B2402" s="10"/>
      <c r="C2402" s="9" t="s">
        <v>1</v>
      </c>
      <c r="D2402" s="9" t="s">
        <v>2</v>
      </c>
      <c r="E2402" s="9" t="s">
        <v>3</v>
      </c>
      <c r="F2402" s="11" t="s">
        <v>4</v>
      </c>
      <c r="G2402" s="11" t="s">
        <v>5</v>
      </c>
      <c r="H2402" s="9" t="s">
        <v>6</v>
      </c>
      <c r="I2402" s="11" t="s">
        <v>7</v>
      </c>
      <c r="J2402" s="11" t="s">
        <v>8</v>
      </c>
      <c r="K2402" s="11" t="s">
        <v>9</v>
      </c>
      <c r="L2402" s="11" t="s">
        <v>10</v>
      </c>
      <c r="M2402" s="11" t="s">
        <v>11</v>
      </c>
      <c r="N2402" s="11" t="s">
        <v>12</v>
      </c>
      <c r="O2402" s="11" t="s">
        <v>13</v>
      </c>
      <c r="P2402" s="11" t="s">
        <v>14</v>
      </c>
      <c r="Q2402" s="37" t="s">
        <v>15</v>
      </c>
      <c r="R2402" s="42">
        <f>_xll.ciqfunctions.udf.CIQ(A2403,("IQ_LASTSALEPRICE"))</f>
        <v>23.09</v>
      </c>
      <c r="S2402" s="44"/>
      <c r="U2402" s="37" t="s">
        <v>15</v>
      </c>
      <c r="V2402" s="42">
        <f>_xll.ciqfunctions.udf.CIQ(A2403,("IQ_LASTSALEPRICE"))</f>
        <v>23.09</v>
      </c>
      <c r="W2402" s="44"/>
      <c r="Y2402" s="37" t="s">
        <v>15</v>
      </c>
      <c r="Z2402" s="42">
        <f>_xll.ciqfunctions.udf.CIQ(A2403,("IQ_LASTSALEPRICE"))</f>
        <v>23.09</v>
      </c>
      <c r="AA2402" s="44"/>
    </row>
    <row r="2403" spans="1:27">
      <c r="A2403" s="12" t="str">
        <f>Analysis!B162</f>
        <v>NYSE:DXC</v>
      </c>
      <c r="B2403" s="13">
        <v>1</v>
      </c>
      <c r="C2403" s="14" t="s">
        <v>16</v>
      </c>
      <c r="D2403" s="15">
        <f>IF(A2411=A2412,_xll.ciqfunctions.udf.CIQ(A2403,"IQ_TOTAL_REV",IQ_FY-10)/I2403,_xll.ciqfunctions.udf.CIQ(A2403, "IQ_TOTAL_REV",IQ_FY-9)/I2403)</f>
        <v>61.427427349763036</v>
      </c>
      <c r="E2403" s="16"/>
      <c r="F2403" s="15">
        <f>IF(A2411=A2412,_xll.ciqfunctions.udf.CIQ(A2403,"IQ_DILUT_EPS_EXCL",IQ_FY-10), _xll.ciqfunctions.udf.CIQ(A2403, "IQ_DILUT_EPS_EXCL",IQ_FY-9))</f>
        <v>3.3084099999999999</v>
      </c>
      <c r="G2403" s="15">
        <f>IF(A2411=A2412,_xll.ciqfunctions.udf.CIQ(A2403,"IQ_EBITDA_MARGIN",IQ_FY-10), _xll.ciqfunctions.udf.CIQ(A2403, "IQ_EBITDA_MARGIN",IQ_FY-9))</f>
        <v>19.676300000000001</v>
      </c>
      <c r="H2403" s="15">
        <f>IF(A2411=A2412,_xll.ciqfunctions.udf.CIQ(A2403,"IQ_TOTAL_DIV_PAID_CF",IQ_FY-10)/-I2403, _xll.ciqfunctions.udf.CIQ(A2403, "IQ_TOTAL_DIV_PAID_CF",IQ_FY-9)/-I2403)</f>
        <v>0.8214253123521521</v>
      </c>
      <c r="I2403" s="17">
        <f>IF(A2411=A2412,_xll.ciqfunctions.udf.CIQ(A2403,"IQ_TOTAL_OUTSTANDING_FILING_DATE",IQ_FY-10), _xll.ciqfunctions.udf.CIQ(A2403, "IQ_TOTAL_OUTSTANDING_FILING_DATE",IQ_FY-9))</f>
        <v>144.87013999999999</v>
      </c>
      <c r="J2403" s="17">
        <f>IF(A2411=A2412,_xll.ciqfunctions.udf.CIQ(A2403,"IQ_CASH_OPER",IQ_FY-10), _xll.ciqfunctions.udf.CIQ(A2403, "IQ_CASH_OPER",IQ_FY-9))</f>
        <v>1577</v>
      </c>
      <c r="K2403" s="17">
        <f>IF(A2411=A2412,_xll.ciqfunctions.udf.CIQ(A2403,"IQ_CAPEX",IQ_FY-10), _xll.ciqfunctions.udf.CIQ(A2403, "IQ_CAPEX",IQ_FY-9))</f>
        <v>-420</v>
      </c>
      <c r="L2403" s="15">
        <f t="shared" ref="L2403:L2413" si="640">(J2403+K2403)/I2403</f>
        <v>7.9864629108524365</v>
      </c>
      <c r="M2403" s="17">
        <f>IF(A2411=A2412,_xll.ciqfunctions.udf.CIQ(A2403,"IQ_TOTAL_DEBT_ISSUED",IQ_FY-10), _xll.ciqfunctions.udf.CIQ(A2403, "IQ_TOTAL_DEBT_ISSUED",IQ_FY-9))</f>
        <v>439</v>
      </c>
      <c r="N2403" s="17">
        <f>IF(A2411=A2412,_xll.ciqfunctions.udf.CIQ(A2403,"IQ_TOTAL_DEBT_REPAID",IQ_FY-10), _xll.ciqfunctions.udf.CIQ(A2403, "IQ_TOTAL_DEBT_REPAID",IQ_FY-9))</f>
        <v>-492</v>
      </c>
      <c r="O2403" s="15">
        <f t="shared" ref="O2403:O2413" si="641">(M2403+N2403)/I2403</f>
        <v>-0.36584488701398371</v>
      </c>
      <c r="P2403" s="15">
        <f t="shared" ref="P2403:P2413" si="642">L2403+O2403</f>
        <v>7.6206180238384524</v>
      </c>
      <c r="W2403" s="43"/>
      <c r="AA2403" s="43"/>
    </row>
    <row r="2404" spans="1:27">
      <c r="A2404" s="18" t="str">
        <f>_xll.ciqfunctions.udf.CIQ(A2403,"IQ_COMPANY_NAME")</f>
        <v>DXC Technology Company</v>
      </c>
      <c r="B2404" s="13">
        <v>2</v>
      </c>
      <c r="C2404" s="14" t="s">
        <v>17</v>
      </c>
      <c r="D2404" s="15">
        <f>IF(A2411=A2412,_xll.ciqfunctions.udf.CIQ(A2403,"IQ_TOTAL_REV",IQ_FY-9)/I2404, _xll.ciqfunctions.udf.CIQ(A2403, "IQ_TOTAL_REV",IQ_FY-8)/I2404)</f>
        <v>58.955643305066296</v>
      </c>
      <c r="E2404" s="16">
        <f t="shared" ref="E2404:E2413" si="643">(D2404-D2403)/D2403</f>
        <v>-4.0239094348239461E-2</v>
      </c>
      <c r="F2404" s="15">
        <f>IF(A2411=A2412,_xll.ciqfunctions.udf.CIQ(A2403,"IQ_DILUT_EPS_EXCL",IQ_FY-9), _xll.ciqfunctions.udf.CIQ(A2403, "IQ_DILUT_EPS_EXCL",IQ_FY-8))</f>
        <v>-1.5612699999999999</v>
      </c>
      <c r="G2404" s="15">
        <f>IF(A2411=A2412,_xll.ciqfunctions.udf.CIQ(A2403,"IQ_EBITDA_MARGIN",IQ_FY-9), _xll.ciqfunctions.udf.CIQ(A2403, "IQ_EBITDA_MARGIN",IQ_FY-8))</f>
        <v>9.0920000000000005</v>
      </c>
      <c r="H2404" s="15">
        <f>IF(A2411=A2412,_xll.ciqfunctions.udf.CIQ(A2403,"IQ_TOTAL_DIV_PAID_CF",IQ_FY-9)/-I2404, _xll.ciqfunctions.udf.CIQ(A2403, "IQ_TOTAL_DIV_PAID_CF",IQ_FY-8)/-I2404)</f>
        <v>0.92969352507681235</v>
      </c>
      <c r="I2404" s="17">
        <f>IF(A2411=A2412,_xll.ciqfunctions.udf.CIQ(A2403,"IQ_TOTAL_OUTSTANDING_FILING_DATE",IQ_FY-9), _xll.ciqfunctions.udf.CIQ(A2403, "IQ_TOTAL_OUTSTANDING_FILING_DATE",IQ_FY-8))</f>
        <v>137.67977999999999</v>
      </c>
      <c r="J2404" s="17">
        <f>IF(A2411=A2412,_xll.ciqfunctions.udf.CIQ(A2403,"IQ_CASH_OPER",IQ_FY-9), _xll.ciqfunctions.udf.CIQ(A2403, "IQ_CASH_OPER",IQ_FY-8))</f>
        <v>1473</v>
      </c>
      <c r="K2404" s="17">
        <f>IF(A2411=A2412,_xll.ciqfunctions.udf.CIQ(A2403,"IQ_CAPEX",IQ_FY-9), _xll.ciqfunctions.udf.CIQ(A2403, "IQ_CAPEX",IQ_FY-8))</f>
        <v>-381</v>
      </c>
      <c r="L2404" s="15">
        <f t="shared" si="640"/>
        <v>7.9314478858115551</v>
      </c>
      <c r="M2404" s="17">
        <f>IF(A2411=A2412,_xll.ciqfunctions.udf.CIQ(A2403,"IQ_TOTAL_DEBT_ISSUED",IQ_FY-9), _xll.ciqfunctions.udf.CIQ(A2403, "IQ_TOTAL_DEBT_ISSUED",IQ_FY-8))</f>
        <v>0</v>
      </c>
      <c r="N2404" s="17">
        <f>IF(A2411=A2412,_xll.ciqfunctions.udf.CIQ(A2403,"IQ_TOTAL_DEBT_REPAID",IQ_FY-9), _xll.ciqfunctions.udf.CIQ(A2403, "IQ_TOTAL_DEBT_REPAID",IQ_FY-8))</f>
        <v>-274</v>
      </c>
      <c r="O2404" s="15">
        <f t="shared" si="641"/>
        <v>-1.9901252021175515</v>
      </c>
      <c r="P2404" s="15">
        <f t="shared" si="642"/>
        <v>5.9413226836940041</v>
      </c>
      <c r="Q2404" s="25" t="s">
        <v>18</v>
      </c>
      <c r="R2404" s="39" t="s">
        <v>19</v>
      </c>
      <c r="S2404" s="1">
        <f>R2402/((AVERAGE(P2408:P2413))*(1+E2414)^3)</f>
        <v>30.681247359368072</v>
      </c>
      <c r="U2404" s="25" t="s">
        <v>48</v>
      </c>
      <c r="V2404" s="39" t="s">
        <v>19</v>
      </c>
      <c r="W2404" s="1">
        <f>V2402/((AVERAGE(P2408:P2413))*(1+E2414)^3)</f>
        <v>30.681247359368072</v>
      </c>
      <c r="Y2404" s="25" t="s">
        <v>39</v>
      </c>
      <c r="Z2404" s="39" t="s">
        <v>19</v>
      </c>
      <c r="AA2404" s="1">
        <f>Z2402/((AVERAGE(P2408:P2413))*(1+E2414)^3)</f>
        <v>30.681247359368072</v>
      </c>
    </row>
    <row r="2405" spans="1:27">
      <c r="B2405" s="13">
        <v>3</v>
      </c>
      <c r="C2405" s="14" t="s">
        <v>20</v>
      </c>
      <c r="D2405" s="15" cm="1">
        <f t="array" ref="D2405">_xlfn.SINGLE(IF(A2411=A2412,_xll.ciqfunctions.udf.CIQ(A2403,"IQ_TOTAL_REV",IQ_FY-8)/I2405, _xll.ciqfunctions.udf.CIQ(A2403, "IQ_TOTAL_REV",IQ_FY-7)/I2405))</f>
        <v>51.298147780247</v>
      </c>
      <c r="E2405" s="16">
        <f t="shared" si="643"/>
        <v>-0.12988570890823029</v>
      </c>
      <c r="F2405" s="15">
        <f>IF(A2411=A2412,_xll.ciqfunctions.udf.CIQ(A2403,"IQ_DILUT_EPS_EXCL",IQ_FY-8), _xll.ciqfunctions.udf.CIQ(A2403, "IQ_DILUT_EPS_EXCL",IQ_FY-7))</f>
        <v>0.42854999999999999</v>
      </c>
      <c r="G2405" s="15">
        <f>IF(A2411=A2412,_xll.ciqfunctions.udf.CIQ(A2403,"IQ_EBITDA_MARGIN",IQ_FY-8), _xll.ciqfunctions.udf.CIQ(A2403, "IQ_EBITDA_MARGIN",IQ_FY-7))</f>
        <v>12.2713</v>
      </c>
      <c r="H2405" s="15">
        <f>IF(A2411=A2412,_xll.ciqfunctions.udf.CIQ(A2403,"IQ_TOTAL_DIV_PAID_CF",IQ_FY-8)/-I2405, _xll.ciqfunctions.udf.CIQ(A2403, "IQ_TOTAL_DIV_PAID_CF",IQ_FY-7)/-I2405)</f>
        <v>0.75077503083952823</v>
      </c>
      <c r="I2405" s="17">
        <f>IF(A2411=A2412,_xll.ciqfunctions.udf.CIQ(A2403,"IQ_TOTAL_OUTSTANDING_FILING_DATE",IQ_FY-8), _xll.ciqfunctions.udf.CIQ(A2403, "IQ_TOTAL_OUTSTANDING_FILING_DATE",IQ_FY-7))</f>
        <v>138.52351999999999</v>
      </c>
      <c r="J2405" s="17">
        <f>IF(A2411=A2412,_xll.ciqfunctions.udf.CIQ(A2403,"IQ_CASH_OPER",IQ_FY-8), _xll.ciqfunctions.udf.CIQ(A2403, "IQ_CASH_OPER",IQ_FY-7))</f>
        <v>802</v>
      </c>
      <c r="K2405" s="17">
        <f>IF(A2411=A2412,_xll.ciqfunctions.udf.CIQ(A2403,"IQ_CAPEX",IQ_FY-8), _xll.ciqfunctions.udf.CIQ(A2403, "IQ_CAPEX",IQ_FY-7))</f>
        <v>-356</v>
      </c>
      <c r="L2405" s="15">
        <f t="shared" si="640"/>
        <v>3.2196698437925924</v>
      </c>
      <c r="M2405" s="17">
        <f>IF(A2411=A2412,_xll.ciqfunctions.udf.CIQ(A2403,"IQ_TOTAL_DEBT_ISSUED",IQ_FY-8), _xll.ciqfunctions.udf.CIQ(A2403, "IQ_TOTAL_DEBT_ISSUED",IQ_FY-7))</f>
        <v>5463</v>
      </c>
      <c r="N2405" s="17">
        <f>IF(A2411=A2412,_xll.ciqfunctions.udf.CIQ(A2403,"IQ_TOTAL_DEBT_REPAID",IQ_FY-8), _xll.ciqfunctions.udf.CIQ(A2403, "IQ_TOTAL_DEBT_REPAID",IQ_FY-7))</f>
        <v>-3957</v>
      </c>
      <c r="O2405" s="15">
        <f t="shared" si="641"/>
        <v>10.871799965810862</v>
      </c>
      <c r="P2405" s="15">
        <f t="shared" si="642"/>
        <v>14.091469809603455</v>
      </c>
      <c r="Q2405" s="25" t="s">
        <v>21</v>
      </c>
      <c r="R2405" s="38" t="s">
        <v>49</v>
      </c>
      <c r="S2405" s="2">
        <f>(R2402*I2413)/1000</f>
        <v>4.4712298004000006</v>
      </c>
      <c r="U2405" s="25" t="s">
        <v>59</v>
      </c>
      <c r="V2405" s="38" t="s">
        <v>49</v>
      </c>
      <c r="W2405" s="2">
        <f>(V2402*I2413)/1000</f>
        <v>4.4712298004000006</v>
      </c>
      <c r="Y2405" s="25" t="s">
        <v>46</v>
      </c>
      <c r="Z2405" s="38" t="s">
        <v>49</v>
      </c>
      <c r="AA2405" s="2">
        <f>(Z2402*I2413)/1000</f>
        <v>4.4712298004000006</v>
      </c>
    </row>
    <row r="2406" spans="1:27">
      <c r="A2406" s="18"/>
      <c r="B2406" s="13">
        <v>4</v>
      </c>
      <c r="C2406" s="14" t="s">
        <v>22</v>
      </c>
      <c r="D2406" s="15" cm="1">
        <f t="array" ref="D2406">_xlfn.SINGLE(IF(A2411=A2412,_xll.ciqfunctions.udf.CIQ(A2403,"IQ_TOTAL_REV",IQ_FY-7)/I2406, _xll.ciqfunctions.udf.CIQ(A2403, "IQ_TOTAL_REV",IQ_FY-6)/I2406))</f>
        <v>53.836267540842528</v>
      </c>
      <c r="E2406" s="16">
        <f t="shared" si="643"/>
        <v>4.9477805153285925E-2</v>
      </c>
      <c r="F2406" s="15">
        <f>IF(A2411=A2412,_xll.ciqfunctions.udf.CIQ(A2403,"IQ_DILUT_EPS_EXCL",IQ_FY-7), _xll.ciqfunctions.udf.CIQ(A2403, "IQ_DILUT_EPS_EXCL",IQ_FY-6))</f>
        <v>-0.88</v>
      </c>
      <c r="G2406" s="15">
        <f>IF(A2411=A2412,_xll.ciqfunctions.udf.CIQ(A2403,"IQ_EBITDA_MARGIN",IQ_FY-7), _xll.ciqfunctions.udf.CIQ(A2403, "IQ_EBITDA_MARGIN",IQ_FY-6))</f>
        <v>9.6227</v>
      </c>
      <c r="H2406" s="15">
        <f>IF(A2411=A2412,_xll.ciqfunctions.udf.CIQ(A2403,"IQ_TOTAL_DIV_PAID_CF",IQ_FY-7)/-I2406, _xll.ciqfunctions.udf.CIQ(A2403, "IQ_TOTAL_DIV_PAID_CF",IQ_FY-6)/-I2406)</f>
        <v>0.55202167322015472</v>
      </c>
      <c r="I2406" s="17">
        <f>IF(A2411=A2412,_xll.ciqfunctions.udf.CIQ(A2403,"IQ_TOTAL_OUTSTANDING_FILING_DATE",IQ_FY-7), _xll.ciqfunctions.udf.CIQ(A2403, "IQ_TOTAL_OUTSTANDING_FILING_DATE",IQ_FY-6))</f>
        <v>141.2988</v>
      </c>
      <c r="J2406" s="17">
        <f>IF(A2411=A2412,_xll.ciqfunctions.udf.CIQ(A2403,"IQ_CASH_OPER",IQ_FY-7), _xll.ciqfunctions.udf.CIQ(A2403, "IQ_CASH_OPER",IQ_FY-6))</f>
        <v>619</v>
      </c>
      <c r="K2406" s="17">
        <f>IF(A2411=A2412,_xll.ciqfunctions.udf.CIQ(A2403,"IQ_CAPEX",IQ_FY-7), _xll.ciqfunctions.udf.CIQ(A2403, "IQ_CAPEX",IQ_FY-6))</f>
        <v>-246</v>
      </c>
      <c r="L2406" s="15">
        <f t="shared" si="640"/>
        <v>2.6397959501425348</v>
      </c>
      <c r="M2406" s="17">
        <f>IF(A2411=A2412,_xll.ciqfunctions.udf.CIQ(A2403,"IQ_TOTAL_DEBT_ISSUED",IQ_FY-7), _xll.ciqfunctions.udf.CIQ(A2403, "IQ_TOTAL_DEBT_ISSUED",IQ_FY-6))</f>
        <v>3270</v>
      </c>
      <c r="N2406" s="17">
        <f>IF(A2411=A2412,_xll.ciqfunctions.udf.CIQ(A2403,"IQ_TOTAL_DEBT_REPAID",IQ_FY-7), _xll.ciqfunctions.udf.CIQ(A2403, "IQ_TOTAL_DEBT_REPAID",IQ_FY-6))</f>
        <v>-3188</v>
      </c>
      <c r="O2406" s="15">
        <f t="shared" si="641"/>
        <v>0.58033047697503448</v>
      </c>
      <c r="P2406" s="15">
        <f t="shared" si="642"/>
        <v>3.2201264271175694</v>
      </c>
      <c r="Q2406" s="25" t="s">
        <v>23</v>
      </c>
      <c r="R2406" s="38" t="s">
        <v>24</v>
      </c>
      <c r="S2406" s="1" t="e">
        <f>R2402/(AVERAGE(H2408:H2413)*(1+H2414)/(0.5-H2414))</f>
        <v>#DIV/0!</v>
      </c>
      <c r="U2406" s="25" t="s">
        <v>40</v>
      </c>
      <c r="V2406" s="38" t="s">
        <v>24</v>
      </c>
      <c r="W2406" s="1" t="e">
        <f>V2402/(AVERAGE(H2408:H2413)*(1+H2414)/(0.5-H2414))</f>
        <v>#DIV/0!</v>
      </c>
      <c r="Y2406" s="25" t="s">
        <v>47</v>
      </c>
      <c r="Z2406" s="38" t="s">
        <v>24</v>
      </c>
      <c r="AA2406" s="1" t="e">
        <f>Z2402/(AVERAGE(H2408:H2413)*(1+H2414)/(0.5-H2414))</f>
        <v>#DIV/0!</v>
      </c>
    </row>
    <row r="2407" spans="1:27">
      <c r="B2407" s="13">
        <v>5</v>
      </c>
      <c r="C2407" s="14" t="s">
        <v>25</v>
      </c>
      <c r="D2407" s="15" cm="1">
        <f t="array" ref="D2407">_xlfn.SINGLE(IF(A2411=A2412,_xll.ciqfunctions.udf.CIQ(A2403,"IQ_TOTAL_REV",IQ_FY-6)/I2407, _xll.ciqfunctions.udf.CIQ(A2403, "IQ_TOTAL_REV",IQ_FY-5)/I2407))</f>
        <v>76.311740817476306</v>
      </c>
      <c r="E2407" s="16">
        <f t="shared" si="643"/>
        <v>0.41747829675567516</v>
      </c>
      <c r="F2407" s="15">
        <f>IF(A2411=A2412,_xll.ciqfunctions.udf.CIQ(A2403,"IQ_DILUT_EPS_EXCL",IQ_FY-6), _xll.ciqfunctions.udf.CIQ(A2403, "IQ_DILUT_EPS_EXCL",IQ_FY-5))</f>
        <v>5.23</v>
      </c>
      <c r="G2407" s="15">
        <f>IF(A2411=A2412,_xll.ciqfunctions.udf.CIQ(A2403,"IQ_EBITDA_MARGIN",IQ_FY-6), _xll.ciqfunctions.udf.CIQ(A2403, "IQ_EBITDA_MARGIN",IQ_FY-5))</f>
        <v>18.533999999999999</v>
      </c>
      <c r="H2407" s="15">
        <f>IF(A2411=A2412,_xll.ciqfunctions.udf.CIQ(A2403,"IQ_TOTAL_DIV_PAID_CF",IQ_FY-6)/-I2407, _xll.ciqfunctions.udf.CIQ(A2403, "IQ_TOTAL_DIV_PAID_CF",IQ_FY-5)/-I2407)</f>
        <v>0.61097146745690323</v>
      </c>
      <c r="I2407" s="17">
        <f>IF(A2411=A2412,_xll.ciqfunctions.udf.CIQ(A2403,"IQ_TOTAL_OUTSTANDING_FILING_DATE",IQ_FY-6), _xll.ciqfunctions.udf.CIQ(A2403, "IQ_TOTAL_OUTSTANDING_FILING_DATE",IQ_FY-5))</f>
        <v>284.79235</v>
      </c>
      <c r="J2407" s="17">
        <f>IF(A2411=A2412,_xll.ciqfunctions.udf.CIQ(A2403,"IQ_CASH_OPER",IQ_FY-6), _xll.ciqfunctions.udf.CIQ(A2403, "IQ_CASH_OPER",IQ_FY-5))</f>
        <v>2567</v>
      </c>
      <c r="K2407" s="17">
        <f>IF(A2411=A2412,_xll.ciqfunctions.udf.CIQ(A2403,"IQ_CAPEX",IQ_FY-6), _xll.ciqfunctions.udf.CIQ(A2403, "IQ_CAPEX",IQ_FY-5))</f>
        <v>-224</v>
      </c>
      <c r="L2407" s="15">
        <f t="shared" si="640"/>
        <v>8.2270468290317496</v>
      </c>
      <c r="M2407" s="17">
        <f>IF(A2411=A2412,_xll.ciqfunctions.udf.CIQ(A2403,"IQ_TOTAL_DEBT_ISSUED",IQ_FY-6), _xll.ciqfunctions.udf.CIQ(A2403, "IQ_TOTAL_DEBT_ISSUED",IQ_FY-5))</f>
        <v>4023</v>
      </c>
      <c r="N2407" s="17">
        <f>IF(A2411=A2412,_xll.ciqfunctions.udf.CIQ(A2403,"IQ_TOTAL_DEBT_REPAID",IQ_FY-6), _xll.ciqfunctions.udf.CIQ(A2403, "IQ_TOTAL_DEBT_REPAID",IQ_FY-5))</f>
        <v>-5641</v>
      </c>
      <c r="O2407" s="15">
        <f t="shared" si="641"/>
        <v>-5.6813323812946521</v>
      </c>
      <c r="P2407" s="15">
        <f t="shared" si="642"/>
        <v>2.5457144477370974</v>
      </c>
      <c r="Q2407" s="18"/>
      <c r="R2407" s="38" t="s">
        <v>50</v>
      </c>
      <c r="S2407" s="3">
        <f>I2414</f>
        <v>-6.3343612185400744E-2</v>
      </c>
      <c r="U2407" s="18"/>
      <c r="V2407" s="38" t="s">
        <v>50</v>
      </c>
      <c r="W2407" s="3">
        <f>I2414</f>
        <v>-6.3343612185400744E-2</v>
      </c>
      <c r="Y2407" s="18"/>
      <c r="Z2407" s="38" t="s">
        <v>50</v>
      </c>
      <c r="AA2407" s="3">
        <f>I2414</f>
        <v>-6.3343612185400744E-2</v>
      </c>
    </row>
    <row r="2408" spans="1:27">
      <c r="B2408" s="13">
        <v>6</v>
      </c>
      <c r="C2408" s="14" t="s">
        <v>26</v>
      </c>
      <c r="D2408" s="15" cm="1">
        <f t="array" ref="D2408">_xlfn.SINGLE(IF(A2411=A2412,_xll.ciqfunctions.udf.CIQ(A2403,"IQ_TOTAL_REV",IQ_FY-5)/I2408, _xll.ciqfunctions.udf.CIQ(A2403, "IQ_TOTAL_REV",IQ_FY-4)/I2408))</f>
        <v>77.264380033674968</v>
      </c>
      <c r="E2408" s="16">
        <f t="shared" si="643"/>
        <v>1.2483520962746748E-2</v>
      </c>
      <c r="F2408" s="15">
        <f>IF(A2411=A2412,_xll.ciqfunctions.udf.CIQ(A2403,"IQ_DILUT_EPS_EXCL",IQ_FY-5), _xll.ciqfunctions.udf.CIQ(A2403, "IQ_DILUT_EPS_EXCL",IQ_FY-4))</f>
        <v>4.3499999999999996</v>
      </c>
      <c r="G2408" s="15">
        <f>IF(A2411=A2412,_xll.ciqfunctions.udf.CIQ(A2403,"IQ_EBITDA_MARGIN",IQ_FY-5), _xll.ciqfunctions.udf.CIQ(A2403, "IQ_EBITDA_MARGIN",IQ_FY-4))</f>
        <v>18.4407</v>
      </c>
      <c r="H2408" s="15">
        <f>IF(A2411=A2412,_xll.ciqfunctions.udf.CIQ(A2403,"IQ_TOTAL_DIV_PAID_CF",IQ_FY-5)/-I2408, _xll.ciqfunctions.udf.CIQ(A2403, "IQ_TOTAL_DIV_PAID_CF",IQ_FY-4)/-I2408)</f>
        <v>0.78183972471795604</v>
      </c>
      <c r="I2408" s="17">
        <f>IF(A2411=A2412,_xll.ciqfunctions.udf.CIQ(A2403,"IQ_TOTAL_OUTSTANDING_FILING_DATE",IQ_FY-5), _xll.ciqfunctions.udf.CIQ(A2403, "IQ_TOTAL_OUTSTANDING_FILING_DATE",IQ_FY-4))</f>
        <v>268.59724999999997</v>
      </c>
      <c r="J2408" s="17">
        <f>IF(A2411=A2412,_xll.ciqfunctions.udf.CIQ(A2403,"IQ_CASH_OPER",IQ_FY-5), _xll.ciqfunctions.udf.CIQ(A2403, "IQ_CASH_OPER",IQ_FY-4))</f>
        <v>1783</v>
      </c>
      <c r="K2408" s="17">
        <f>IF(A2411=A2412,_xll.ciqfunctions.udf.CIQ(A2403,"IQ_CAPEX",IQ_FY-5), _xll.ciqfunctions.udf.CIQ(A2403, "IQ_CAPEX",IQ_FY-4))</f>
        <v>-297</v>
      </c>
      <c r="L2408" s="15">
        <f t="shared" si="640"/>
        <v>5.5324468139565841</v>
      </c>
      <c r="M2408" s="17">
        <f>IF(A2411=A2412,_xll.ciqfunctions.udf.CIQ(A2403,"IQ_TOTAL_DEBT_ISSUED",IQ_FY-5), _xll.ciqfunctions.udf.CIQ(A2403, "IQ_TOTAL_DEBT_ISSUED",IQ_FY-4))</f>
        <v>6260</v>
      </c>
      <c r="N2408" s="17">
        <f>IF(A2411=A2412,_xll.ciqfunctions.udf.CIQ(A2403,"IQ_TOTAL_DEBT_REPAID",IQ_FY-5), _xll.ciqfunctions.udf.CIQ(A2403, "IQ_TOTAL_DEBT_REPAID",IQ_FY-4))</f>
        <v>-6409</v>
      </c>
      <c r="O2408" s="15">
        <f t="shared" si="641"/>
        <v>-0.55473389991893074</v>
      </c>
      <c r="P2408" s="15">
        <f t="shared" si="642"/>
        <v>4.977712914037653</v>
      </c>
      <c r="Q2408" s="25" t="s">
        <v>27</v>
      </c>
      <c r="R2408" s="38" t="s">
        <v>51</v>
      </c>
      <c r="S2408" s="4">
        <f>AVERAGE(F2408:F2413)/AVERAGE(D2408:D2413)</f>
        <v>-4.4274051718104397E-2</v>
      </c>
      <c r="U2408" s="25" t="s">
        <v>58</v>
      </c>
      <c r="V2408" s="38" t="s">
        <v>51</v>
      </c>
      <c r="W2408" s="4">
        <f>AVERAGE(F2408:F2413)/AVERAGE(D2408:D2413)</f>
        <v>-4.4274051718104397E-2</v>
      </c>
      <c r="Y2408" s="25" t="s">
        <v>56</v>
      </c>
      <c r="Z2408" s="38" t="s">
        <v>51</v>
      </c>
      <c r="AA2408" s="4">
        <f>AVERAGE(F2408:F2413)/AVERAGE(D2408:D2413)</f>
        <v>-4.4274051718104397E-2</v>
      </c>
    </row>
    <row r="2409" spans="1:27">
      <c r="A2409" s="18"/>
      <c r="B2409" s="13">
        <v>7</v>
      </c>
      <c r="C2409" s="14" t="s">
        <v>28</v>
      </c>
      <c r="D2409" s="15" cm="1">
        <f t="array" ref="D2409">_xlfn.SINGLE(IF(A2411=A2412,_xll.ciqfunctions.udf.CIQ(A2403,"IQ_TOTAL_REV",IQ_FY-4)/I2409, _xll.ciqfunctions.udf.CIQ(A2403, "IQ_TOTAL_REV",IQ_FY-3)/I2409))</f>
        <v>77.150206845864119</v>
      </c>
      <c r="E2409" s="16">
        <f t="shared" si="643"/>
        <v>-1.4776949968547913E-3</v>
      </c>
      <c r="F2409" s="15">
        <f>IF(A2411=A2412,_xll.ciqfunctions.udf.CIQ(A2403,"IQ_DILUT_EPS_EXCL",IQ_FY-4), _xll.ciqfunctions.udf.CIQ(A2403, "IQ_DILUT_EPS_EXCL",IQ_FY-3))</f>
        <v>-20.764199999999999</v>
      </c>
      <c r="G2409" s="15">
        <f>IF(A2411=A2412,_xll.ciqfunctions.udf.CIQ(A2403,"IQ_EBITDA_MARGIN",IQ_FY-4), _xll.ciqfunctions.udf.CIQ(A2403, "IQ_EBITDA_MARGIN",IQ_FY-3))</f>
        <v>15.436400000000001</v>
      </c>
      <c r="H2409" s="15">
        <f>IF(A2411=A2412,_xll.ciqfunctions.udf.CIQ(A2403,"IQ_TOTAL_DIV_PAID_CF",IQ_FY-4)/-I2409, _xll.ciqfunctions.udf.CIQ(A2403, "IQ_TOTAL_DIV_PAID_CF",IQ_FY-3)/-I2409)</f>
        <v>0.84334393752949488</v>
      </c>
      <c r="I2409" s="17">
        <f>IF(A2411=A2412,_xll.ciqfunctions.udf.CIQ(A2403,"IQ_TOTAL_OUTSTANDING_FILING_DATE",IQ_FY-4), _xll.ciqfunctions.udf.CIQ(A2403, "IQ_TOTAL_OUTSTANDING_FILING_DATE",IQ_FY-3))</f>
        <v>253.75174999999999</v>
      </c>
      <c r="J2409" s="17">
        <f>IF(A2411=A2412,_xll.ciqfunctions.udf.CIQ(A2403,"IQ_CASH_OPER",IQ_FY-4), _xll.ciqfunctions.udf.CIQ(A2403, "IQ_CASH_OPER",IQ_FY-3))</f>
        <v>2350</v>
      </c>
      <c r="K2409" s="17">
        <f>IF(A2411=A2412,_xll.ciqfunctions.udf.CIQ(A2403,"IQ_CAPEX",IQ_FY-4), _xll.ciqfunctions.udf.CIQ(A2403, "IQ_CAPEX",IQ_FY-3))</f>
        <v>-350</v>
      </c>
      <c r="L2409" s="15">
        <f t="shared" si="640"/>
        <v>7.8817190423317278</v>
      </c>
      <c r="M2409" s="17">
        <f>IF(A2411=A2412,_xll.ciqfunctions.udf.CIQ(A2403,"IQ_TOTAL_DEBT_ISSUED",IQ_FY-4), _xll.ciqfunctions.udf.CIQ(A2403, "IQ_TOTAL_DEBT_ISSUED",IQ_FY-3))</f>
        <v>8637</v>
      </c>
      <c r="N2409" s="17">
        <f>IF(A2411=A2412,_xll.ciqfunctions.udf.CIQ(A2403,"IQ_TOTAL_DEBT_REPAID",IQ_FY-4), _xll.ciqfunctions.udf.CIQ(A2403, "IQ_TOTAL_DEBT_REPAID",IQ_FY-3))</f>
        <v>-6980</v>
      </c>
      <c r="O2409" s="15">
        <f t="shared" si="641"/>
        <v>6.5300042265718368</v>
      </c>
      <c r="P2409" s="15">
        <f t="shared" si="642"/>
        <v>14.411723268903565</v>
      </c>
      <c r="Q2409" s="18"/>
      <c r="R2409" s="38" t="s">
        <v>29</v>
      </c>
      <c r="S2409" s="4">
        <f>(AVERAGE(P2408:P2413)/_xlfn.STDEV.P(P2408:P2413))/(IF(A2411=A2412,(_xlfn.SINGLE(_xll.ciqfunctions.udf.CIQ(A2403,"IQ_total_assets",IQ_FY)) - _xlfn.SINGLE(_xll.ciqfunctions.udf.CIQ(A2403,"iq_gw_intan", IQ_FY)))/I2413, (_xlfn.SINGLE(_xll.ciqfunctions.udf.CIQ(A2403, "IQ_total_assets",IQ_LTM))-_xlfn.SINGLE(_xll.ciqfunctions.udf.CIQ(A2403,"iq_gw_intan",IQ_LTM)))/I2413))</f>
        <v>1.1849214986340917E-3</v>
      </c>
      <c r="U2409" s="18"/>
      <c r="V2409" s="38" t="s">
        <v>29</v>
      </c>
      <c r="W2409" s="4">
        <f>(AVERAGE(P2408:P2413)/_xlfn.STDEV.P(P2408:P2413))/(IF(A2411=A2412,(_xlfn.SINGLE(_xll.ciqfunctions.udf.CIQ(A2403,"IQ_total_assets",IQ_FY)) - _xlfn.SINGLE(_xll.ciqfunctions.udf.CIQ(A2403,"iq_gw_intan", IQ_FY)))/I2413, (_xlfn.SINGLE(_xll.ciqfunctions.udf.CIQ(A2403, "IQ_total_assets",IQ_LTM))-_xlfn.SINGLE(_xll.ciqfunctions.udf.CIQ(A2403,"iq_gw_intan",IQ_LTM)))/I2413))</f>
        <v>1.1849214986340917E-3</v>
      </c>
      <c r="Y2409" s="18"/>
      <c r="Z2409" s="38" t="s">
        <v>29</v>
      </c>
      <c r="AA2409" s="4">
        <f>(AVERAGE(P2408:P2413)/_xlfn.STDEV.P(P2408:P2413))/(IF(A2411=A2412,(_xlfn.SINGLE(_xll.ciqfunctions.udf.CIQ(A2403,"IQ_total_assets",IQ_FY)) - _xlfn.SINGLE(_xll.ciqfunctions.udf.CIQ(A2403,"iq_gw_intan", IQ_FY)))/I2413, (_xlfn.SINGLE(_xll.ciqfunctions.udf.CIQ(A2403, "IQ_total_assets",IQ_LTM))-_xlfn.SINGLE(_xll.ciqfunctions.udf.CIQ(A2403,"iq_gw_intan",IQ_LTM)))/I2413))</f>
        <v>1.1849214986340917E-3</v>
      </c>
    </row>
    <row r="2410" spans="1:27">
      <c r="A2410" s="18"/>
      <c r="B2410" s="13">
        <v>8</v>
      </c>
      <c r="C2410" s="14" t="s">
        <v>30</v>
      </c>
      <c r="D2410" s="15" cm="1">
        <f t="array" ref="D2410">_xlfn.SINGLE(IF(A2411=A2412,_xll.ciqfunctions.udf.CIQ(A2403,"IQ_TOTAL_REV",IQ_FY-3)/I2410, _xll.ciqfunctions.udf.CIQ(A2403, "IQ_TOTAL_REV",IQ_FY-2)/I2410))</f>
        <v>69.578159498541183</v>
      </c>
      <c r="E2410" s="16">
        <f t="shared" si="643"/>
        <v>-9.8146818484244405E-2</v>
      </c>
      <c r="F2410" s="15">
        <f>IF(A2411=A2412,_xll.ciqfunctions.udf.CIQ(A2403,"IQ_DILUT_EPS_EXCL",IQ_FY-3), _xll.ciqfunctions.udf.CIQ(A2403, "IQ_DILUT_EPS_EXCL",IQ_FY-2))</f>
        <v>-0.59</v>
      </c>
      <c r="G2410" s="15">
        <f>IF(A2411=A2412,_xll.ciqfunctions.udf.CIQ(A2403,"IQ_EBITDA_MARGIN",IQ_FY-3), _xll.ciqfunctions.udf.CIQ(A2403, "IQ_EBITDA_MARGIN",IQ_FY-2))</f>
        <v>9.8369</v>
      </c>
      <c r="H2410" s="15">
        <f>IF(A2411=A2412,_xll.ciqfunctions.udf.CIQ(A2403,"IQ_TOTAL_DIV_PAID_CF",IQ_FY-3)/-I2410, _xll.ciqfunctions.udf.CIQ(A2403, "IQ_TOTAL_DIV_PAID_CF",IQ_FY-2)/-I2410)</f>
        <v>0.20800058962280349</v>
      </c>
      <c r="I2410" s="17">
        <f>IF(A2411=A2412,_xll.ciqfunctions.udf.CIQ(A2403,"IQ_TOTAL_OUTSTANDING_FILING_DATE",IQ_FY-3), _xll.ciqfunctions.udf.CIQ(A2403, "IQ_TOTAL_OUTSTANDING_FILING_DATE",IQ_FY-2))</f>
        <v>254.80697000000001</v>
      </c>
      <c r="J2410" s="17">
        <f>IF(A2411=A2412,_xll.ciqfunctions.udf.CIQ(A2403,"IQ_CASH_OPER",IQ_FY-3), _xll.ciqfunctions.udf.CIQ(A2403, "IQ_CASH_OPER",IQ_FY-2))</f>
        <v>124</v>
      </c>
      <c r="K2410" s="17">
        <f>IF(A2411=A2412,_xll.ciqfunctions.udf.CIQ(A2403,"IQ_CAPEX",IQ_FY-3), _xll.ciqfunctions.udf.CIQ(A2403, "IQ_CAPEX",IQ_FY-2))</f>
        <v>-261</v>
      </c>
      <c r="L2410" s="15">
        <f t="shared" si="640"/>
        <v>-0.53766190147781279</v>
      </c>
      <c r="M2410" s="17">
        <f>IF(A2411=A2412,_xll.ciqfunctions.udf.CIQ(A2403,"IQ_TOTAL_DEBT_ISSUED",IQ_FY-3), _xll.ciqfunctions.udf.CIQ(A2403, "IQ_TOTAL_DEBT_ISSUED",IQ_FY-2))</f>
        <v>4979</v>
      </c>
      <c r="N2410" s="17">
        <f>IF(A2411=A2412,_xll.ciqfunctions.udf.CIQ(A2403,"IQ_TOTAL_DEBT_REPAID",IQ_FY-3), _xll.ciqfunctions.udf.CIQ(A2403, "IQ_TOTAL_DEBT_REPAID",IQ_FY-2))</f>
        <v>-10334</v>
      </c>
      <c r="O2410" s="15">
        <f t="shared" si="641"/>
        <v>-21.015908630756844</v>
      </c>
      <c r="P2410" s="15">
        <f t="shared" si="642"/>
        <v>-21.553570532234655</v>
      </c>
      <c r="Q2410" s="18"/>
      <c r="R2410" s="39" t="s">
        <v>31</v>
      </c>
      <c r="S2410" s="5">
        <f>IF(NOT(D2403&gt;0),FALSE,SLOPE(G2403:G2413,B2403:B2413))</f>
        <v>-0.77400818181818187</v>
      </c>
      <c r="U2410" s="18"/>
      <c r="V2410" s="39" t="s">
        <v>31</v>
      </c>
      <c r="W2410" s="5">
        <f>IF(NOT(D2403&gt;0),FALSE,SLOPE(G2403:G2413,B2403:B2413))</f>
        <v>-0.77400818181818187</v>
      </c>
      <c r="Y2410" s="18"/>
      <c r="Z2410" s="39" t="s">
        <v>31</v>
      </c>
      <c r="AA2410" s="5">
        <f>IF(NOT(L2403&gt;0),FALSE,SLOPE(O2403:O2413,J2403:J2413))</f>
        <v>3.7674050878408632E-3</v>
      </c>
    </row>
    <row r="2411" spans="1:27">
      <c r="A2411" s="19">
        <f>_xll.ciqfunctions.udf.CIQ(A2403,"IQ_TOTAL_REV",IQ_FY)</f>
        <v>14430</v>
      </c>
      <c r="B2411" s="13">
        <v>9</v>
      </c>
      <c r="C2411" s="14" t="s">
        <v>32</v>
      </c>
      <c r="D2411" s="15" cm="1">
        <f t="array" ref="D2411">_xlfn.SINGLE(IF(A2411=A2412,_xll.ciqfunctions.udf.CIQ(A2403,"IQ_TOTAL_REV",IQ_FY-2)/I2411, _xll.ciqfunctions.udf.CIQ(A2403, "IQ_TOTAL_REV",IQ_FY-1)/I2411))</f>
        <v>70.507811433198171</v>
      </c>
      <c r="E2411" s="16">
        <f t="shared" si="643"/>
        <v>1.3361260794437653E-2</v>
      </c>
      <c r="F2411" s="15">
        <f>IF(A2411=A2412,_xll.ciqfunctions.udf.CIQ(A2403,"IQ_DILUT_EPS_EXCL",IQ_FY-2), _xll.ciqfunctions.udf.CIQ(A2403, "IQ_DILUT_EPS_EXCL",IQ_FY-1))</f>
        <v>2.81</v>
      </c>
      <c r="G2411" s="15">
        <f>IF(A2411=A2412,_xll.ciqfunctions.udf.CIQ(A2403,"IQ_EBITDA_MARGIN",IQ_FY-2), _xll.ciqfunctions.udf.CIQ(A2403, "IQ_EBITDA_MARGIN",IQ_FY-1))</f>
        <v>18.837900000000001</v>
      </c>
      <c r="H2411" s="15">
        <f>IF(A2411=A2412,_xll.ciqfunctions.udf.CIQ(A2403,"IQ_TOTAL_DIV_PAID_CF",IQ_FY-2)/-I2411, _xll.ciqfunctions.udf.CIQ(A2403, "IQ_TOTAL_DIV_PAID_CF",IQ_FY-1)/-I2411)</f>
        <v>0</v>
      </c>
      <c r="I2411" s="17">
        <f>IF(A2411=A2412,_xll.ciqfunctions.udf.CIQ(A2403,"IQ_TOTAL_OUTSTANDING_FILING_DATE",IQ_FY-2), _xll.ciqfunctions.udf.CIQ(A2403, "IQ_TOTAL_OUTSTANDING_FILING_DATE",IQ_FY-1))</f>
        <v>230.68366</v>
      </c>
      <c r="J2411" s="17">
        <f>IF(A2411=A2412,_xll.ciqfunctions.udf.CIQ(A2403,"IQ_CASH_OPER",IQ_FY-2), _xll.ciqfunctions.udf.CIQ(A2403, "IQ_CASH_OPER",IQ_FY-1))</f>
        <v>1501</v>
      </c>
      <c r="K2411" s="17">
        <f>IF(A2411=A2412,_xll.ciqfunctions.udf.CIQ(A2403,"IQ_CAPEX",IQ_FY-2), _xll.ciqfunctions.udf.CIQ(A2403, "IQ_CAPEX",IQ_FY-1))</f>
        <v>-254</v>
      </c>
      <c r="L2411" s="15">
        <f t="shared" si="640"/>
        <v>5.4056711255578307</v>
      </c>
      <c r="M2411" s="17">
        <f>IF(A2411=A2412,_xll.ciqfunctions.udf.CIQ(A2403,"IQ_TOTAL_DEBT_ISSUED",IQ_FY-2), _xll.ciqfunctions.udf.CIQ(A2403, "IQ_TOTAL_DEBT_ISSUED",IQ_FY-1))</f>
        <v>4005</v>
      </c>
      <c r="N2411" s="17">
        <f>IF(A2411=A2412,_xll.ciqfunctions.udf.CIQ(A2403,"IQ_TOTAL_DEBT_REPAID",IQ_FY-2), _xll.ciqfunctions.udf.CIQ(A2403, "IQ_TOTAL_DEBT_REPAID",IQ_FY-1))</f>
        <v>-4767</v>
      </c>
      <c r="O2411" s="15">
        <f t="shared" si="641"/>
        <v>-3.3032248577987708</v>
      </c>
      <c r="P2411" s="15">
        <f t="shared" si="642"/>
        <v>2.1024462677590599</v>
      </c>
      <c r="Q2411" s="25" t="s">
        <v>33</v>
      </c>
      <c r="R2411" s="38" t="s">
        <v>52</v>
      </c>
      <c r="S2411" s="4">
        <f>(AVERAGE(O2408:O2413)/AVERAGE(P2408:P2413))</f>
        <v>-5.3608720841235664</v>
      </c>
      <c r="U2411" s="25" t="s">
        <v>54</v>
      </c>
      <c r="V2411" s="38" t="s">
        <v>52</v>
      </c>
      <c r="W2411" s="4">
        <f>(AVERAGE(O2408:O2413)/AVERAGE(P2408:P2413))</f>
        <v>-5.3608720841235664</v>
      </c>
      <c r="Y2411" s="25" t="s">
        <v>60</v>
      </c>
      <c r="Z2411" s="38" t="s">
        <v>52</v>
      </c>
      <c r="AA2411" s="4">
        <f>(AVERAGE(O2408:O2413)/AVERAGE(P2408:P2413))</f>
        <v>-5.3608720841235664</v>
      </c>
    </row>
    <row r="2412" spans="1:27">
      <c r="A2412" s="19">
        <f>_xll.ciqfunctions.udf.CIQ(A2403,"IQ_TOTAL_REV",IQ_LTM)</f>
        <v>14039</v>
      </c>
      <c r="B2412" s="13">
        <v>10</v>
      </c>
      <c r="C2412" s="14" t="s">
        <v>34</v>
      </c>
      <c r="D2412" s="15" cm="1">
        <f t="array" ref="D2412">_xlfn.SINGLE(IF(A2411=A2412,_xll.ciqfunctions.udf.CIQ(A2403,"IQ_TOTAL_REV",IQ_FY-1)/I2412, _xll.ciqfunctions.udf.CIQ(A2403, "IQ_TOTAL_REV",IQ_FY)/I2412))</f>
        <v>68.299926323170254</v>
      </c>
      <c r="E2412" s="16">
        <f t="shared" si="643"/>
        <v>-3.1314049679725946E-2</v>
      </c>
      <c r="F2412" s="15">
        <f>IF(A2411=A2412,_xll.ciqfunctions.udf.CIQ(A2403,"IQ_DILUT_EPS_EXCL",IQ_FY-1), _xll.ciqfunctions.udf.CIQ(A2403, "IQ_DILUT_EPS_EXCL",IQ_FY))</f>
        <v>-2.4804599999999999</v>
      </c>
      <c r="G2412" s="15">
        <f>IF(A2411=A2412,_xll.ciqfunctions.udf.CIQ(A2403,"IQ_EBITDA_MARGIN",IQ_FY-1), _xll.ciqfunctions.udf.CIQ(A2403, "IQ_EBITDA_MARGIN",IQ_FY))</f>
        <v>3.8530000000000002</v>
      </c>
      <c r="H2412" s="15">
        <f>IF(A2411=A2412,_xll.ciqfunctions.udf.CIQ(A2403,"IQ_TOTAL_DIV_PAID_CF",IQ_FY-1)/-I2412, _xll.ciqfunctions.udf.CIQ(A2403, "IQ_TOTAL_DIV_PAID_CF",IQ_FY)/-I2412)</f>
        <v>0</v>
      </c>
      <c r="I2412" s="17">
        <f>IF(A2411=A2412,_xll.ciqfunctions.udf.CIQ(A2403,"IQ_TOTAL_OUTSTANDING_FILING_DATE",IQ_FY-1), _xll.ciqfunctions.udf.CIQ(A2403, "IQ_TOTAL_OUTSTANDING_FILING_DATE",IQ_FY))</f>
        <v>211.27402000000001</v>
      </c>
      <c r="J2412" s="17">
        <f>IF(A2411=A2412,_xll.ciqfunctions.udf.CIQ(A2403,"IQ_CASH_OPER",IQ_FY-1), _xll.ciqfunctions.udf.CIQ(A2403, "IQ_CASH_OPER",IQ_FY))</f>
        <v>1415</v>
      </c>
      <c r="K2412" s="17">
        <f>IF(A2411=A2412,_xll.ciqfunctions.udf.CIQ(A2403,"IQ_CAPEX",IQ_FY-1), _xll.ciqfunctions.udf.CIQ(A2403, "IQ_CAPEX",IQ_FY))</f>
        <v>-267</v>
      </c>
      <c r="L2412" s="15">
        <f t="shared" si="640"/>
        <v>5.4337016922383548</v>
      </c>
      <c r="M2412" s="17">
        <f>IF(A2411=A2412,_xll.ciqfunctions.udf.CIQ(A2403,"IQ_TOTAL_DEBT_ISSUED",IQ_FY-1), _xll.ciqfunctions.udf.CIQ(A2403, "IQ_TOTAL_DEBT_ISSUED",IQ_FY))</f>
        <v>1514</v>
      </c>
      <c r="N2412" s="17">
        <f>IF(A2411=A2412,_xll.ciqfunctions.udf.CIQ(A2403,"IQ_TOTAL_DEBT_REPAID",IQ_FY-1), _xll.ciqfunctions.udf.CIQ(A2403, "IQ_TOTAL_DEBT_REPAID",IQ_FY))</f>
        <v>-2331</v>
      </c>
      <c r="O2412" s="15">
        <f t="shared" si="641"/>
        <v>-3.8670159255738117</v>
      </c>
      <c r="P2412" s="15">
        <f t="shared" si="642"/>
        <v>1.5666857666645431</v>
      </c>
      <c r="Q2412" s="25" t="s">
        <v>44</v>
      </c>
      <c r="R2412" s="38" t="s">
        <v>35</v>
      </c>
      <c r="S2412" s="1">
        <f>_xll.ciqfunctions.udf.CIQ(A2403,"IQ_TEV_EBITDA")</f>
        <v>9.3394399999999997</v>
      </c>
      <c r="U2412" s="25" t="s">
        <v>55</v>
      </c>
      <c r="V2412" s="38" t="s">
        <v>53</v>
      </c>
      <c r="W2412" s="1">
        <f>V2402/(AVERAGE(D2408:D2413)/_xlfn.STDEV.P(E2408:E2413))</f>
        <v>1.5598718831548579E-2</v>
      </c>
      <c r="Y2412" s="25" t="s">
        <v>57</v>
      </c>
      <c r="Z2412" s="38" t="s">
        <v>53</v>
      </c>
      <c r="AA2412" s="1">
        <f>Z2402/(AVERAGE(D2408:D2413)/_xlfn.STDEV.P(E2408:E2413))</f>
        <v>1.5598718831548579E-2</v>
      </c>
    </row>
    <row r="2413" spans="1:27">
      <c r="B2413" s="13">
        <v>11</v>
      </c>
      <c r="C2413" s="20" t="s">
        <v>36</v>
      </c>
      <c r="D2413" s="21" cm="1">
        <f t="array" ref="D2413">_xlfn.SINGLE(IF(A2411=A2412,_xll.ciqfunctions.udf.CIQ(A2403,"IQ_TOTAL_REV",IQ_FY)/I2413, _xll.ciqfunctions.udf.CIQ(A2403, "IQ_TOTAL_REV",IQ_LTM)/I2413))</f>
        <v>72.499183551469514</v>
      </c>
      <c r="E2413" s="22">
        <f t="shared" si="643"/>
        <v>6.1482602608235792E-2</v>
      </c>
      <c r="F2413" s="21">
        <f>IF(A2411=A2412,_xll.ciqfunctions.udf.CIQ(A2403,"IQ_DILUT_EPS_EXCL",IQ_FY), _xll.ciqfunctions.udf.CIQ(A2403, "IQ_DILUT_EPS_EXCL",IQ_LTM))</f>
        <v>-2.59782</v>
      </c>
      <c r="G2413" s="21">
        <f>IF(A2411=A2412,_xll.ciqfunctions.udf.CIQ(A2403,"IQ_EBITDA_MARGIN",IQ_FY), _xll.ciqfunctions.udf.CIQ(A2403, "IQ_EBITDA_MARGIN",IQ_LTM))</f>
        <v>3.4331999999999998</v>
      </c>
      <c r="H2413" s="21">
        <f>IF(A2411=A2412,_xll.ciqfunctions.udf.CIQ(A2403,"IQ_TOTAL_DIV_PAID_CF",IQ_FY)/-I2413, _xll.ciqfunctions.udf.CIQ(A2403, "IQ_TOTAL_DIV_PAID_CF",IQ_LTM)/-I2413)</f>
        <v>0</v>
      </c>
      <c r="I2413" s="23">
        <f>IF(A2411=A2412,_xll.ciqfunctions.udf.CIQ(A2403,"IQ_TOTAL_OUTSTANDING_FILING_DATE",IQ_FY),_xll.ciqfunctions.udf.CIQ(A2403,"IQ_sharesoutstanding"))</f>
        <v>193.64356000000001</v>
      </c>
      <c r="J2413" s="23">
        <f>IF(A2411=A2412,_xll.ciqfunctions.udf.CIQ(A2403,"IQ_CASH_OPER",IQ_FY), _xll.ciqfunctions.udf.CIQ(A2403, "IQ_CASH_OPER",IQ_LTM))</f>
        <v>1415</v>
      </c>
      <c r="K2413" s="23">
        <f>IF(A2411=A2412,_xll.ciqfunctions.udf.CIQ(A2403,"IQ_CAPEX",IQ_FY), _xll.ciqfunctions.udf.CIQ(A2403, "IQ_CAPEX",IQ_LTM))</f>
        <v>-229</v>
      </c>
      <c r="L2413" s="21">
        <f t="shared" si="640"/>
        <v>6.1246550104738828</v>
      </c>
      <c r="M2413" s="23">
        <f>IF(A2411=A2412,_xll.ciqfunctions.udf.CIQ(A2403,"IQ_TOTAL_DEBT_ISSUED",IQ_FY), _xll.ciqfunctions.udf.CIQ(A2403, "IQ_TOTAL_DEBT_ISSUED",IQ_LTM))</f>
        <v>1902</v>
      </c>
      <c r="N2413" s="23">
        <f>IF(A2411=A2412,_xll.ciqfunctions.udf.CIQ(A2403,"IQ_TOTAL_DEBT_REPAID",IQ_FY), _xll.ciqfunctions.udf.CIQ(A2403, "IQ_TOTAL_DEBT_REPAID",IQ_LTM))</f>
        <v>-2471</v>
      </c>
      <c r="O2413" s="21">
        <f t="shared" si="641"/>
        <v>-2.9383884493757497</v>
      </c>
      <c r="P2413" s="21">
        <f t="shared" si="642"/>
        <v>3.1862665610981331</v>
      </c>
      <c r="Q2413" s="25" t="s">
        <v>45</v>
      </c>
      <c r="S2413" s="45"/>
      <c r="U2413" s="25"/>
      <c r="W2413" s="45"/>
      <c r="Y2413" s="25"/>
      <c r="AA2413" s="45"/>
    </row>
    <row r="2414" spans="1:27">
      <c r="B2414" s="24"/>
      <c r="C2414" s="25" t="s">
        <v>37</v>
      </c>
      <c r="E2414" s="26">
        <f>((D2413/D2408)^(1/5))-1</f>
        <v>-1.2650846143814398E-2</v>
      </c>
      <c r="F2414" s="27">
        <f>((F2413/F2408)^(1/5))-1</f>
        <v>-1.9020361855888064</v>
      </c>
      <c r="G2414" s="28"/>
      <c r="H2414" s="27">
        <f>((H2413/H2408)^(1/5))-1</f>
        <v>-1</v>
      </c>
      <c r="I2414" s="27">
        <f>((I2413/I2408)^(1/5))-1</f>
        <v>-6.3343612185400744E-2</v>
      </c>
      <c r="J2414" s="27"/>
      <c r="K2414" s="27"/>
      <c r="L2414" s="26">
        <f>((L2413/L2408)^(1/5))-1</f>
        <v>2.0546685712273582E-2</v>
      </c>
      <c r="M2414" s="26"/>
      <c r="N2414" s="26"/>
      <c r="O2414" s="26"/>
      <c r="P2414" s="26">
        <f>((P2413/P2408)^(1/5))-1</f>
        <v>-8.5359449061676473E-2</v>
      </c>
      <c r="Q2414" s="18"/>
      <c r="R2414" s="36"/>
      <c r="S2414" s="45"/>
      <c r="U2414" s="18"/>
      <c r="V2414" s="36"/>
      <c r="W2414" s="45"/>
      <c r="Y2414" s="18"/>
      <c r="Z2414" s="36"/>
      <c r="AA2414" s="45"/>
    </row>
    <row r="2415" spans="1:27">
      <c r="A2415" s="29"/>
      <c r="B2415" s="30"/>
      <c r="C2415" s="31" t="s">
        <v>38</v>
      </c>
      <c r="D2415" s="29"/>
      <c r="E2415" s="32">
        <f>((D2413/D2403)^(1/10))-1</f>
        <v>1.6709961932454886E-2</v>
      </c>
      <c r="F2415" s="33" t="e">
        <f>((F2413/F2403)^(1/10))-1</f>
        <v>#NUM!</v>
      </c>
      <c r="G2415" s="34"/>
      <c r="H2415" s="33">
        <f>((H2413/H2403)^(1/10))-1</f>
        <v>-1</v>
      </c>
      <c r="I2415" s="33">
        <f>((I2413/I2403)^(1/10))-1</f>
        <v>2.9443267850441046E-2</v>
      </c>
      <c r="J2415" s="33"/>
      <c r="K2415" s="33"/>
      <c r="L2415" s="32">
        <f>((L2413/L2403)^(1/10))-1</f>
        <v>-2.6193396629845989E-2</v>
      </c>
      <c r="M2415" s="32"/>
      <c r="N2415" s="32"/>
      <c r="O2415" s="32"/>
      <c r="P2415" s="32">
        <f>((P2413/P2403)^(1/10))-1</f>
        <v>-8.3506917762166677E-2</v>
      </c>
      <c r="Q2415" s="40"/>
      <c r="R2415" s="41"/>
      <c r="S2415" s="46"/>
      <c r="U2415" s="40"/>
      <c r="V2415" s="41"/>
      <c r="W2415" s="46"/>
      <c r="Y2415" s="40"/>
      <c r="Z2415" s="41"/>
      <c r="AA2415" s="46"/>
    </row>
    <row r="2416" spans="1:27">
      <c r="B2416" s="24"/>
      <c r="C2416" s="25"/>
      <c r="E2416" s="26"/>
      <c r="F2416" s="27"/>
      <c r="G2416" s="28"/>
      <c r="H2416" s="27"/>
      <c r="I2416" s="27"/>
      <c r="J2416" s="27"/>
      <c r="K2416" s="27"/>
      <c r="L2416" s="26"/>
      <c r="M2416" s="17"/>
      <c r="N2416" s="17"/>
      <c r="O2416" s="17"/>
      <c r="P2416" s="35"/>
      <c r="Q2416" s="18"/>
      <c r="R2416" s="36"/>
    </row>
    <row r="2417" spans="1:27">
      <c r="A2417" s="9" t="s">
        <v>0</v>
      </c>
      <c r="B2417" s="10"/>
      <c r="C2417" s="9" t="s">
        <v>1</v>
      </c>
      <c r="D2417" s="9" t="s">
        <v>2</v>
      </c>
      <c r="E2417" s="9" t="s">
        <v>3</v>
      </c>
      <c r="F2417" s="11" t="s">
        <v>4</v>
      </c>
      <c r="G2417" s="11" t="s">
        <v>5</v>
      </c>
      <c r="H2417" s="9" t="s">
        <v>6</v>
      </c>
      <c r="I2417" s="11" t="s">
        <v>7</v>
      </c>
      <c r="J2417" s="11" t="s">
        <v>8</v>
      </c>
      <c r="K2417" s="11" t="s">
        <v>9</v>
      </c>
      <c r="L2417" s="11" t="s">
        <v>10</v>
      </c>
      <c r="M2417" s="11" t="s">
        <v>11</v>
      </c>
      <c r="N2417" s="11" t="s">
        <v>12</v>
      </c>
      <c r="O2417" s="11" t="s">
        <v>13</v>
      </c>
      <c r="P2417" s="11" t="s">
        <v>14</v>
      </c>
      <c r="Q2417" s="37" t="s">
        <v>15</v>
      </c>
      <c r="R2417" s="42">
        <f>_xll.ciqfunctions.udf.CIQ(A2418,("IQ_LASTSALEPRICE"))</f>
        <v>12.85</v>
      </c>
      <c r="S2417" s="44"/>
      <c r="U2417" s="37" t="s">
        <v>15</v>
      </c>
      <c r="V2417" s="42">
        <f>_xll.ciqfunctions.udf.CIQ(A2418,("IQ_LASTSALEPRICE"))</f>
        <v>12.85</v>
      </c>
      <c r="W2417" s="44"/>
      <c r="Y2417" s="37" t="s">
        <v>15</v>
      </c>
      <c r="Z2417" s="42">
        <f>_xll.ciqfunctions.udf.CIQ(A2418,("IQ_LASTSALEPRICE"))</f>
        <v>12.85</v>
      </c>
      <c r="AA2417" s="44"/>
    </row>
    <row r="2418" spans="1:27">
      <c r="A2418" s="12" t="str">
        <f>Analysis!B163</f>
        <v>NasdaqCM:GDYN</v>
      </c>
      <c r="B2418" s="13">
        <v>1</v>
      </c>
      <c r="C2418" s="14" t="s">
        <v>16</v>
      </c>
      <c r="D2418" s="15" t="e">
        <f>IF(A2426=A2427,_xll.ciqfunctions.udf.CIQ(A2418,"IQ_TOTAL_REV",IQ_FY-10)/I2418,_xll.ciqfunctions.udf.CIQ(A2418, "IQ_TOTAL_REV",IQ_FY-9)/I2418)</f>
        <v>#DIV/0!</v>
      </c>
      <c r="E2418" s="16"/>
      <c r="F2418" s="15">
        <f>IF(A2426=A2427,_xll.ciqfunctions.udf.CIQ(A2418,"IQ_DILUT_EPS_EXCL",IQ_FY-10), _xll.ciqfunctions.udf.CIQ(A2418, "IQ_DILUT_EPS_EXCL",IQ_FY-9))</f>
        <v>0</v>
      </c>
      <c r="G2418" s="15">
        <f>IF(A2426=A2427,_xll.ciqfunctions.udf.CIQ(A2418,"IQ_EBITDA_MARGIN",IQ_FY-10), _xll.ciqfunctions.udf.CIQ(A2418, "IQ_EBITDA_MARGIN",IQ_FY-9))</f>
        <v>0</v>
      </c>
      <c r="H2418" s="15" t="e">
        <f>IF(A2426=A2427,_xll.ciqfunctions.udf.CIQ(A2418,"IQ_TOTAL_DIV_PAID_CF",IQ_FY-10)/-I2418, _xll.ciqfunctions.udf.CIQ(A2418, "IQ_TOTAL_DIV_PAID_CF",IQ_FY-9)/-I2418)</f>
        <v>#DIV/0!</v>
      </c>
      <c r="I2418" s="17">
        <f>IF(A2426=A2427,_xll.ciqfunctions.udf.CIQ(A2418,"IQ_TOTAL_OUTSTANDING_FILING_DATE",IQ_FY-10), _xll.ciqfunctions.udf.CIQ(A2418, "IQ_TOTAL_OUTSTANDING_FILING_DATE",IQ_FY-9))</f>
        <v>0</v>
      </c>
      <c r="J2418" s="17">
        <f>IF(A2426=A2427,_xll.ciqfunctions.udf.CIQ(A2418,"IQ_CASH_OPER",IQ_FY-10), _xll.ciqfunctions.udf.CIQ(A2418, "IQ_CASH_OPER",IQ_FY-9))</f>
        <v>0</v>
      </c>
      <c r="K2418" s="17">
        <f>IF(A2426=A2427,_xll.ciqfunctions.udf.CIQ(A2418,"IQ_CAPEX",IQ_FY-10), _xll.ciqfunctions.udf.CIQ(A2418, "IQ_CAPEX",IQ_FY-9))</f>
        <v>0</v>
      </c>
      <c r="L2418" s="15" t="e">
        <f t="shared" ref="L2418:L2428" si="644">(J2418+K2418)/I2418</f>
        <v>#DIV/0!</v>
      </c>
      <c r="M2418" s="17">
        <f>IF(A2426=A2427,_xll.ciqfunctions.udf.CIQ(A2418,"IQ_TOTAL_DEBT_ISSUED",IQ_FY-10), _xll.ciqfunctions.udf.CIQ(A2418, "IQ_TOTAL_DEBT_ISSUED",IQ_FY-9))</f>
        <v>0</v>
      </c>
      <c r="N2418" s="17">
        <f>IF(A2426=A2427,_xll.ciqfunctions.udf.CIQ(A2418,"IQ_TOTAL_DEBT_REPAID",IQ_FY-10), _xll.ciqfunctions.udf.CIQ(A2418, "IQ_TOTAL_DEBT_REPAID",IQ_FY-9))</f>
        <v>0</v>
      </c>
      <c r="O2418" s="15" t="e">
        <f t="shared" ref="O2418:O2428" si="645">(M2418+N2418)/I2418</f>
        <v>#DIV/0!</v>
      </c>
      <c r="P2418" s="15" t="e">
        <f t="shared" ref="P2418:P2428" si="646">L2418+O2418</f>
        <v>#DIV/0!</v>
      </c>
      <c r="W2418" s="43"/>
      <c r="AA2418" s="43"/>
    </row>
    <row r="2419" spans="1:27">
      <c r="A2419" s="18" t="str">
        <f>_xll.ciqfunctions.udf.CIQ(A2418,"IQ_COMPANY_NAME")</f>
        <v>Grid Dynamics Holdings, Inc.</v>
      </c>
      <c r="B2419" s="13">
        <v>2</v>
      </c>
      <c r="C2419" s="14" t="s">
        <v>17</v>
      </c>
      <c r="D2419" s="15" t="e">
        <f>IF(A2426=A2427,_xll.ciqfunctions.udf.CIQ(A2418,"IQ_TOTAL_REV",IQ_FY-9)/I2419, _xll.ciqfunctions.udf.CIQ(A2418, "IQ_TOTAL_REV",IQ_FY-8)/I2419)</f>
        <v>#DIV/0!</v>
      </c>
      <c r="E2419" s="16" t="e">
        <f t="shared" ref="E2419:E2428" si="647">(D2419-D2418)/D2418</f>
        <v>#DIV/0!</v>
      </c>
      <c r="F2419" s="15">
        <f>IF(A2426=A2427,_xll.ciqfunctions.udf.CIQ(A2418,"IQ_DILUT_EPS_EXCL",IQ_FY-9), _xll.ciqfunctions.udf.CIQ(A2418, "IQ_DILUT_EPS_EXCL",IQ_FY-8))</f>
        <v>0</v>
      </c>
      <c r="G2419" s="15">
        <f>IF(A2426=A2427,_xll.ciqfunctions.udf.CIQ(A2418,"IQ_EBITDA_MARGIN",IQ_FY-9), _xll.ciqfunctions.udf.CIQ(A2418, "IQ_EBITDA_MARGIN",IQ_FY-8))</f>
        <v>0</v>
      </c>
      <c r="H2419" s="15" t="e">
        <f>IF(A2426=A2427,_xll.ciqfunctions.udf.CIQ(A2418,"IQ_TOTAL_DIV_PAID_CF",IQ_FY-9)/-I2419, _xll.ciqfunctions.udf.CIQ(A2418, "IQ_TOTAL_DIV_PAID_CF",IQ_FY-8)/-I2419)</f>
        <v>#DIV/0!</v>
      </c>
      <c r="I2419" s="17">
        <f>IF(A2426=A2427,_xll.ciqfunctions.udf.CIQ(A2418,"IQ_TOTAL_OUTSTANDING_FILING_DATE",IQ_FY-9), _xll.ciqfunctions.udf.CIQ(A2418, "IQ_TOTAL_OUTSTANDING_FILING_DATE",IQ_FY-8))</f>
        <v>0</v>
      </c>
      <c r="J2419" s="17">
        <f>IF(A2426=A2427,_xll.ciqfunctions.udf.CIQ(A2418,"IQ_CASH_OPER",IQ_FY-9), _xll.ciqfunctions.udf.CIQ(A2418, "IQ_CASH_OPER",IQ_FY-8))</f>
        <v>0</v>
      </c>
      <c r="K2419" s="17">
        <f>IF(A2426=A2427,_xll.ciqfunctions.udf.CIQ(A2418,"IQ_CAPEX",IQ_FY-9), _xll.ciqfunctions.udf.CIQ(A2418, "IQ_CAPEX",IQ_FY-8))</f>
        <v>0</v>
      </c>
      <c r="L2419" s="15" t="e">
        <f t="shared" si="644"/>
        <v>#DIV/0!</v>
      </c>
      <c r="M2419" s="17">
        <f>IF(A2426=A2427,_xll.ciqfunctions.udf.CIQ(A2418,"IQ_TOTAL_DEBT_ISSUED",IQ_FY-9), _xll.ciqfunctions.udf.CIQ(A2418, "IQ_TOTAL_DEBT_ISSUED",IQ_FY-8))</f>
        <v>0</v>
      </c>
      <c r="N2419" s="17">
        <f>IF(A2426=A2427,_xll.ciqfunctions.udf.CIQ(A2418,"IQ_TOTAL_DEBT_REPAID",IQ_FY-9), _xll.ciqfunctions.udf.CIQ(A2418, "IQ_TOTAL_DEBT_REPAID",IQ_FY-8))</f>
        <v>0</v>
      </c>
      <c r="O2419" s="15" t="e">
        <f t="shared" si="645"/>
        <v>#DIV/0!</v>
      </c>
      <c r="P2419" s="15" t="e">
        <f t="shared" si="646"/>
        <v>#DIV/0!</v>
      </c>
      <c r="Q2419" s="25" t="s">
        <v>18</v>
      </c>
      <c r="R2419" s="39" t="s">
        <v>19</v>
      </c>
      <c r="S2419" s="1">
        <f>R2417/((AVERAGE(P2423:P2428))*(1+E2429)^3)</f>
        <v>57.457940568844379</v>
      </c>
      <c r="U2419" s="25" t="s">
        <v>48</v>
      </c>
      <c r="V2419" s="39" t="s">
        <v>19</v>
      </c>
      <c r="W2419" s="1">
        <f>V2417/((AVERAGE(P2423:P2428))*(1+E2429)^3)</f>
        <v>57.457940568844379</v>
      </c>
      <c r="Y2419" s="25" t="s">
        <v>39</v>
      </c>
      <c r="Z2419" s="39" t="s">
        <v>19</v>
      </c>
      <c r="AA2419" s="1">
        <f>Z2417/((AVERAGE(P2423:P2428))*(1+E2429)^3)</f>
        <v>57.457940568844379</v>
      </c>
    </row>
    <row r="2420" spans="1:27">
      <c r="B2420" s="13">
        <v>3</v>
      </c>
      <c r="C2420" s="14" t="s">
        <v>20</v>
      </c>
      <c r="D2420" s="15" t="e" cm="1">
        <f t="array" ref="D2420">_xlfn.SINGLE(IF(A2426=A2427,_xll.ciqfunctions.udf.CIQ(A2418,"IQ_TOTAL_REV",IQ_FY-8)/I2420, _xll.ciqfunctions.udf.CIQ(A2418, "IQ_TOTAL_REV",IQ_FY-7)/I2420))</f>
        <v>#DIV/0!</v>
      </c>
      <c r="E2420" s="16" t="e">
        <f t="shared" si="647"/>
        <v>#DIV/0!</v>
      </c>
      <c r="F2420" s="15">
        <f>IF(A2426=A2427,_xll.ciqfunctions.udf.CIQ(A2418,"IQ_DILUT_EPS_EXCL",IQ_FY-8), _xll.ciqfunctions.udf.CIQ(A2418, "IQ_DILUT_EPS_EXCL",IQ_FY-7))</f>
        <v>0</v>
      </c>
      <c r="G2420" s="15">
        <f>IF(A2426=A2427,_xll.ciqfunctions.udf.CIQ(A2418,"IQ_EBITDA_MARGIN",IQ_FY-8), _xll.ciqfunctions.udf.CIQ(A2418, "IQ_EBITDA_MARGIN",IQ_FY-7))</f>
        <v>0</v>
      </c>
      <c r="H2420" s="15" t="e">
        <f>IF(A2426=A2427,_xll.ciqfunctions.udf.CIQ(A2418,"IQ_TOTAL_DIV_PAID_CF",IQ_FY-8)/-I2420, _xll.ciqfunctions.udf.CIQ(A2418, "IQ_TOTAL_DIV_PAID_CF",IQ_FY-7)/-I2420)</f>
        <v>#DIV/0!</v>
      </c>
      <c r="I2420" s="17">
        <f>IF(A2426=A2427,_xll.ciqfunctions.udf.CIQ(A2418,"IQ_TOTAL_OUTSTANDING_FILING_DATE",IQ_FY-8), _xll.ciqfunctions.udf.CIQ(A2418, "IQ_TOTAL_OUTSTANDING_FILING_DATE",IQ_FY-7))</f>
        <v>0</v>
      </c>
      <c r="J2420" s="17">
        <f>IF(A2426=A2427,_xll.ciqfunctions.udf.CIQ(A2418,"IQ_CASH_OPER",IQ_FY-8), _xll.ciqfunctions.udf.CIQ(A2418, "IQ_CASH_OPER",IQ_FY-7))</f>
        <v>0</v>
      </c>
      <c r="K2420" s="17">
        <f>IF(A2426=A2427,_xll.ciqfunctions.udf.CIQ(A2418,"IQ_CAPEX",IQ_FY-8), _xll.ciqfunctions.udf.CIQ(A2418, "IQ_CAPEX",IQ_FY-7))</f>
        <v>0</v>
      </c>
      <c r="L2420" s="15" t="e">
        <f t="shared" si="644"/>
        <v>#DIV/0!</v>
      </c>
      <c r="M2420" s="17">
        <f>IF(A2426=A2427,_xll.ciqfunctions.udf.CIQ(A2418,"IQ_TOTAL_DEBT_ISSUED",IQ_FY-8), _xll.ciqfunctions.udf.CIQ(A2418, "IQ_TOTAL_DEBT_ISSUED",IQ_FY-7))</f>
        <v>0</v>
      </c>
      <c r="N2420" s="17">
        <f>IF(A2426=A2427,_xll.ciqfunctions.udf.CIQ(A2418,"IQ_TOTAL_DEBT_REPAID",IQ_FY-8), _xll.ciqfunctions.udf.CIQ(A2418, "IQ_TOTAL_DEBT_REPAID",IQ_FY-7))</f>
        <v>0</v>
      </c>
      <c r="O2420" s="15" t="e">
        <f t="shared" si="645"/>
        <v>#DIV/0!</v>
      </c>
      <c r="P2420" s="15" t="e">
        <f t="shared" si="646"/>
        <v>#DIV/0!</v>
      </c>
      <c r="Q2420" s="25" t="s">
        <v>21</v>
      </c>
      <c r="R2420" s="38" t="s">
        <v>49</v>
      </c>
      <c r="S2420" s="2">
        <f>(R2417*I2428)/1000</f>
        <v>0.97133085750000003</v>
      </c>
      <c r="U2420" s="25" t="s">
        <v>59</v>
      </c>
      <c r="V2420" s="38" t="s">
        <v>49</v>
      </c>
      <c r="W2420" s="2">
        <f>(V2417*I2428)/1000</f>
        <v>0.97133085750000003</v>
      </c>
      <c r="Y2420" s="25" t="s">
        <v>46</v>
      </c>
      <c r="Z2420" s="38" t="s">
        <v>49</v>
      </c>
      <c r="AA2420" s="2">
        <f>(Z2417*I2428)/1000</f>
        <v>0.97133085750000003</v>
      </c>
    </row>
    <row r="2421" spans="1:27">
      <c r="A2421" s="18"/>
      <c r="B2421" s="13">
        <v>4</v>
      </c>
      <c r="C2421" s="14" t="s">
        <v>22</v>
      </c>
      <c r="D2421" s="15" t="e" cm="1">
        <f t="array" ref="D2421">_xlfn.SINGLE(IF(A2426=A2427,_xll.ciqfunctions.udf.CIQ(A2418,"IQ_TOTAL_REV",IQ_FY-7)/I2421, _xll.ciqfunctions.udf.CIQ(A2418, "IQ_TOTAL_REV",IQ_FY-6)/I2421))</f>
        <v>#DIV/0!</v>
      </c>
      <c r="E2421" s="16" t="e">
        <f t="shared" si="647"/>
        <v>#DIV/0!</v>
      </c>
      <c r="F2421" s="15">
        <f>IF(A2426=A2427,_xll.ciqfunctions.udf.CIQ(A2418,"IQ_DILUT_EPS_EXCL",IQ_FY-7), _xll.ciqfunctions.udf.CIQ(A2418, "IQ_DILUT_EPS_EXCL",IQ_FY-6))</f>
        <v>0</v>
      </c>
      <c r="G2421" s="15">
        <f>IF(A2426=A2427,_xll.ciqfunctions.udf.CIQ(A2418,"IQ_EBITDA_MARGIN",IQ_FY-7), _xll.ciqfunctions.udf.CIQ(A2418, "IQ_EBITDA_MARGIN",IQ_FY-6))</f>
        <v>0</v>
      </c>
      <c r="H2421" s="15" t="e">
        <f>IF(A2426=A2427,_xll.ciqfunctions.udf.CIQ(A2418,"IQ_TOTAL_DIV_PAID_CF",IQ_FY-7)/-I2421, _xll.ciqfunctions.udf.CIQ(A2418, "IQ_TOTAL_DIV_PAID_CF",IQ_FY-6)/-I2421)</f>
        <v>#DIV/0!</v>
      </c>
      <c r="I2421" s="17">
        <f>IF(A2426=A2427,_xll.ciqfunctions.udf.CIQ(A2418,"IQ_TOTAL_OUTSTANDING_FILING_DATE",IQ_FY-7), _xll.ciqfunctions.udf.CIQ(A2418, "IQ_TOTAL_OUTSTANDING_FILING_DATE",IQ_FY-6))</f>
        <v>0</v>
      </c>
      <c r="J2421" s="17">
        <f>IF(A2426=A2427,_xll.ciqfunctions.udf.CIQ(A2418,"IQ_CASH_OPER",IQ_FY-7), _xll.ciqfunctions.udf.CIQ(A2418, "IQ_CASH_OPER",IQ_FY-6))</f>
        <v>0</v>
      </c>
      <c r="K2421" s="17">
        <f>IF(A2426=A2427,_xll.ciqfunctions.udf.CIQ(A2418,"IQ_CAPEX",IQ_FY-7), _xll.ciqfunctions.udf.CIQ(A2418, "IQ_CAPEX",IQ_FY-6))</f>
        <v>0</v>
      </c>
      <c r="L2421" s="15" t="e">
        <f t="shared" si="644"/>
        <v>#DIV/0!</v>
      </c>
      <c r="M2421" s="17">
        <f>IF(A2426=A2427,_xll.ciqfunctions.udf.CIQ(A2418,"IQ_TOTAL_DEBT_ISSUED",IQ_FY-7), _xll.ciqfunctions.udf.CIQ(A2418, "IQ_TOTAL_DEBT_ISSUED",IQ_FY-6))</f>
        <v>0</v>
      </c>
      <c r="N2421" s="17">
        <f>IF(A2426=A2427,_xll.ciqfunctions.udf.CIQ(A2418,"IQ_TOTAL_DEBT_REPAID",IQ_FY-7), _xll.ciqfunctions.udf.CIQ(A2418, "IQ_TOTAL_DEBT_REPAID",IQ_FY-6))</f>
        <v>0</v>
      </c>
      <c r="O2421" s="15" t="e">
        <f t="shared" si="645"/>
        <v>#DIV/0!</v>
      </c>
      <c r="P2421" s="15" t="e">
        <f t="shared" si="646"/>
        <v>#DIV/0!</v>
      </c>
      <c r="Q2421" s="25" t="s">
        <v>23</v>
      </c>
      <c r="R2421" s="38" t="s">
        <v>24</v>
      </c>
      <c r="S2421" s="1" t="e">
        <f>R2417/(AVERAGE(H2423:H2428)*(1+H2429)/(0.5-H2429))</f>
        <v>#DIV/0!</v>
      </c>
      <c r="U2421" s="25" t="s">
        <v>40</v>
      </c>
      <c r="V2421" s="38" t="s">
        <v>24</v>
      </c>
      <c r="W2421" s="1" t="e">
        <f>V2417/(AVERAGE(H2423:H2428)*(1+H2429)/(0.5-H2429))</f>
        <v>#DIV/0!</v>
      </c>
      <c r="Y2421" s="25" t="s">
        <v>47</v>
      </c>
      <c r="Z2421" s="38" t="s">
        <v>24</v>
      </c>
      <c r="AA2421" s="1" t="e">
        <f>Z2417/(AVERAGE(H2423:H2428)*(1+H2429)/(0.5-H2429))</f>
        <v>#DIV/0!</v>
      </c>
    </row>
    <row r="2422" spans="1:27">
      <c r="B2422" s="13">
        <v>5</v>
      </c>
      <c r="C2422" s="14" t="s">
        <v>25</v>
      </c>
      <c r="D2422" s="15" cm="1">
        <f t="array" ref="D2422">_xlfn.SINGLE(IF(A2426=A2427,_xll.ciqfunctions.udf.CIQ(A2418,"IQ_TOTAL_REV",IQ_FY-6)/I2422, _xll.ciqfunctions.udf.CIQ(A2418, "IQ_TOTAL_REV",IQ_FY-5)/I2422))</f>
        <v>7.5500961333048489</v>
      </c>
      <c r="E2422" s="16" t="e">
        <f t="shared" si="647"/>
        <v>#DIV/0!</v>
      </c>
      <c r="F2422" s="15">
        <f>IF(A2426=A2427,_xll.ciqfunctions.udf.CIQ(A2418,"IQ_DILUT_EPS_EXCL",IQ_FY-6), _xll.ciqfunctions.udf.CIQ(A2418, "IQ_DILUT_EPS_EXCL",IQ_FY-5))</f>
        <v>0.78</v>
      </c>
      <c r="G2422" s="15">
        <f>IF(A2426=A2427,_xll.ciqfunctions.udf.CIQ(A2418,"IQ_EBITDA_MARGIN",IQ_FY-6), _xll.ciqfunctions.udf.CIQ(A2418, "IQ_EBITDA_MARGIN",IQ_FY-5))</f>
        <v>22.1294</v>
      </c>
      <c r="H2422" s="15">
        <f>IF(A2426=A2427,_xll.ciqfunctions.udf.CIQ(A2418,"IQ_TOTAL_DIV_PAID_CF",IQ_FY-6)/-I2422, _xll.ciqfunctions.udf.CIQ(A2418, "IQ_TOTAL_DIV_PAID_CF",IQ_FY-5)/-I2422)</f>
        <v>0.32407605212561413</v>
      </c>
      <c r="I2422" s="17">
        <f>IF(A2426=A2427,_xll.ciqfunctions.udf.CIQ(A2418,"IQ_TOTAL_OUTSTANDING_FILING_DATE",IQ_FY-6), _xll.ciqfunctions.udf.CIQ(A2418, "IQ_TOTAL_OUTSTANDING_FILING_DATE",IQ_FY-5))</f>
        <v>9.3620000000000001</v>
      </c>
      <c r="J2422" s="17">
        <f>IF(A2426=A2427,_xll.ciqfunctions.udf.CIQ(A2418,"IQ_CASH_OPER",IQ_FY-6), _xll.ciqfunctions.udf.CIQ(A2418, "IQ_CASH_OPER",IQ_FY-5))</f>
        <v>5.54</v>
      </c>
      <c r="K2422" s="17">
        <f>IF(A2426=A2427,_xll.ciqfunctions.udf.CIQ(A2418,"IQ_CAPEX",IQ_FY-6), _xll.ciqfunctions.udf.CIQ(A2418, "IQ_CAPEX",IQ_FY-5))</f>
        <v>-1.0580000000000001</v>
      </c>
      <c r="L2422" s="15">
        <f t="shared" si="644"/>
        <v>0.47874385814996795</v>
      </c>
      <c r="M2422" s="17">
        <f>IF(A2426=A2427,_xll.ciqfunctions.udf.CIQ(A2418,"IQ_TOTAL_DEBT_ISSUED",IQ_FY-6), _xll.ciqfunctions.udf.CIQ(A2418, "IQ_TOTAL_DEBT_ISSUED",IQ_FY-5))</f>
        <v>0</v>
      </c>
      <c r="N2422" s="17">
        <f>IF(A2426=A2427,_xll.ciqfunctions.udf.CIQ(A2418,"IQ_TOTAL_DEBT_REPAID",IQ_FY-6), _xll.ciqfunctions.udf.CIQ(A2418, "IQ_TOTAL_DEBT_REPAID",IQ_FY-5))</f>
        <v>-1.917</v>
      </c>
      <c r="O2422" s="15">
        <f t="shared" si="645"/>
        <v>-0.20476393932920317</v>
      </c>
      <c r="P2422" s="15">
        <f t="shared" si="646"/>
        <v>0.27397991882076478</v>
      </c>
      <c r="Q2422" s="18"/>
      <c r="R2422" s="38" t="s">
        <v>50</v>
      </c>
      <c r="S2422" s="3">
        <f>I2429</f>
        <v>0.44496245367448473</v>
      </c>
      <c r="U2422" s="18"/>
      <c r="V2422" s="38" t="s">
        <v>50</v>
      </c>
      <c r="W2422" s="3">
        <f>I2429</f>
        <v>0.44496245367448473</v>
      </c>
      <c r="Y2422" s="18"/>
      <c r="Z2422" s="38" t="s">
        <v>50</v>
      </c>
      <c r="AA2422" s="3">
        <f>I2429</f>
        <v>0.44496245367448473</v>
      </c>
    </row>
    <row r="2423" spans="1:27">
      <c r="B2423" s="13">
        <v>6</v>
      </c>
      <c r="C2423" s="14" t="s">
        <v>26</v>
      </c>
      <c r="D2423" s="15" cm="1">
        <f t="array" ref="D2423">_xlfn.SINGLE(IF(A2426=A2427,_xll.ciqfunctions.udf.CIQ(A2418,"IQ_TOTAL_REV",IQ_FY-5)/I2423, _xll.ciqfunctions.udf.CIQ(A2418, "IQ_TOTAL_REV",IQ_FY-4)/I2423))</f>
        <v>7.6554166666666665</v>
      </c>
      <c r="E2423" s="16">
        <f t="shared" si="647"/>
        <v>1.3949561899911396E-2</v>
      </c>
      <c r="F2423" s="15">
        <f>IF(A2426=A2427,_xll.ciqfunctions.udf.CIQ(A2418,"IQ_DILUT_EPS_EXCL",IQ_FY-5), _xll.ciqfunctions.udf.CIQ(A2418, "IQ_DILUT_EPS_EXCL",IQ_FY-4))</f>
        <v>0.45645000000000002</v>
      </c>
      <c r="G2423" s="15">
        <f>IF(A2426=A2427,_xll.ciqfunctions.udf.CIQ(A2418,"IQ_EBITDA_MARGIN",IQ_FY-5), _xll.ciqfunctions.udf.CIQ(A2418, "IQ_EBITDA_MARGIN",IQ_FY-4))</f>
        <v>16.4817</v>
      </c>
      <c r="H2423" s="15">
        <f>IF(A2426=A2427,_xll.ciqfunctions.udf.CIQ(A2418,"IQ_TOTAL_DIV_PAID_CF",IQ_FY-5)/-I2423, _xll.ciqfunctions.udf.CIQ(A2418, "IQ_TOTAL_DIV_PAID_CF",IQ_FY-4)/-I2423)</f>
        <v>0</v>
      </c>
      <c r="I2423" s="17">
        <f>IF(A2426=A2427,_xll.ciqfunctions.udf.CIQ(A2418,"IQ_TOTAL_OUTSTANDING_FILING_DATE",IQ_FY-5), _xll.ciqfunctions.udf.CIQ(A2418, "IQ_TOTAL_OUTSTANDING_FILING_DATE",IQ_FY-4))</f>
        <v>12</v>
      </c>
      <c r="J2423" s="17">
        <f>IF(A2426=A2427,_xll.ciqfunctions.udf.CIQ(A2418,"IQ_CASH_OPER",IQ_FY-5), _xll.ciqfunctions.udf.CIQ(A2418, "IQ_CASH_OPER",IQ_FY-4))</f>
        <v>10.584</v>
      </c>
      <c r="K2423" s="17">
        <f>IF(A2426=A2427,_xll.ciqfunctions.udf.CIQ(A2418,"IQ_CAPEX",IQ_FY-5), _xll.ciqfunctions.udf.CIQ(A2418, "IQ_CAPEX",IQ_FY-4))</f>
        <v>-3.0790000000000002</v>
      </c>
      <c r="L2423" s="15">
        <f t="shared" si="644"/>
        <v>0.62541666666666662</v>
      </c>
      <c r="M2423" s="17">
        <f>IF(A2426=A2427,_xll.ciqfunctions.udf.CIQ(A2418,"IQ_TOTAL_DEBT_ISSUED",IQ_FY-5), _xll.ciqfunctions.udf.CIQ(A2418, "IQ_TOTAL_DEBT_ISSUED",IQ_FY-4))</f>
        <v>0</v>
      </c>
      <c r="N2423" s="17">
        <f>IF(A2426=A2427,_xll.ciqfunctions.udf.CIQ(A2418,"IQ_TOTAL_DEBT_REPAID",IQ_FY-5), _xll.ciqfunctions.udf.CIQ(A2418, "IQ_TOTAL_DEBT_REPAID",IQ_FY-4))</f>
        <v>0</v>
      </c>
      <c r="O2423" s="15">
        <f t="shared" si="645"/>
        <v>0</v>
      </c>
      <c r="P2423" s="15">
        <f t="shared" si="646"/>
        <v>0.62541666666666662</v>
      </c>
      <c r="Q2423" s="25" t="s">
        <v>27</v>
      </c>
      <c r="R2423" s="38" t="s">
        <v>51</v>
      </c>
      <c r="S2423" s="4">
        <f>AVERAGE(F2423:F2428)/AVERAGE(D2423:D2428)</f>
        <v>-1.5653154369195822E-3</v>
      </c>
      <c r="U2423" s="25" t="s">
        <v>58</v>
      </c>
      <c r="V2423" s="38" t="s">
        <v>51</v>
      </c>
      <c r="W2423" s="4">
        <f>AVERAGE(F2423:F2428)/AVERAGE(D2423:D2428)</f>
        <v>-1.5653154369195822E-3</v>
      </c>
      <c r="Y2423" s="25" t="s">
        <v>56</v>
      </c>
      <c r="Z2423" s="38" t="s">
        <v>51</v>
      </c>
      <c r="AA2423" s="4">
        <f>AVERAGE(F2423:F2428)/AVERAGE(D2423:D2428)</f>
        <v>-1.5653154369195822E-3</v>
      </c>
    </row>
    <row r="2424" spans="1:27">
      <c r="A2424" s="18"/>
      <c r="B2424" s="13">
        <v>7</v>
      </c>
      <c r="C2424" s="14" t="s">
        <v>28</v>
      </c>
      <c r="D2424" s="15" cm="1">
        <f t="array" ref="D2424">_xlfn.SINGLE(IF(A2426=A2427,_xll.ciqfunctions.udf.CIQ(A2418,"IQ_TOTAL_REV",IQ_FY-4)/I2424, _xll.ciqfunctions.udf.CIQ(A2418, "IQ_TOTAL_REV",IQ_FY-3)/I2424))</f>
        <v>2.3277114633976486</v>
      </c>
      <c r="E2424" s="16">
        <f t="shared" si="647"/>
        <v>-0.69593928524713666</v>
      </c>
      <c r="F2424" s="15">
        <f>IF(A2426=A2427,_xll.ciqfunctions.udf.CIQ(A2418,"IQ_DILUT_EPS_EXCL",IQ_FY-4), _xll.ciqfunctions.udf.CIQ(A2418, "IQ_DILUT_EPS_EXCL",IQ_FY-3))</f>
        <v>0.49380000000000002</v>
      </c>
      <c r="G2424" s="15">
        <f>IF(A2426=A2427,_xll.ciqfunctions.udf.CIQ(A2418,"IQ_EBITDA_MARGIN",IQ_FY-4), _xll.ciqfunctions.udf.CIQ(A2418, "IQ_EBITDA_MARGIN",IQ_FY-3))</f>
        <v>15.158099999999999</v>
      </c>
      <c r="H2424" s="15">
        <f>IF(A2426=A2427,_xll.ciqfunctions.udf.CIQ(A2418,"IQ_TOTAL_DIV_PAID_CF",IQ_FY-4)/-I2424, _xll.ciqfunctions.udf.CIQ(A2418, "IQ_TOTAL_DIV_PAID_CF",IQ_FY-3)/-I2424)</f>
        <v>3.9344040420493366E-2</v>
      </c>
      <c r="I2424" s="17">
        <f>IF(A2426=A2427,_xll.ciqfunctions.udf.CIQ(A2418,"IQ_TOTAL_OUTSTANDING_FILING_DATE",IQ_FY-4), _xll.ciqfunctions.udf.CIQ(A2418, "IQ_TOTAL_OUTSTANDING_FILING_DATE",IQ_FY-3))</f>
        <v>50.833620000000003</v>
      </c>
      <c r="J2424" s="17">
        <f>IF(A2426=A2427,_xll.ciqfunctions.udf.CIQ(A2418,"IQ_CASH_OPER",IQ_FY-4), _xll.ciqfunctions.udf.CIQ(A2418, "IQ_CASH_OPER",IQ_FY-3))</f>
        <v>12.534000000000001</v>
      </c>
      <c r="K2424" s="17">
        <f>IF(A2426=A2427,_xll.ciqfunctions.udf.CIQ(A2418,"IQ_CAPEX",IQ_FY-4), _xll.ciqfunctions.udf.CIQ(A2418, "IQ_CAPEX",IQ_FY-3))</f>
        <v>-2.8109999999999999</v>
      </c>
      <c r="L2424" s="15">
        <f t="shared" si="644"/>
        <v>0.19127105250422849</v>
      </c>
      <c r="M2424" s="17">
        <f>IF(A2426=A2427,_xll.ciqfunctions.udf.CIQ(A2418,"IQ_TOTAL_DEBT_ISSUED",IQ_FY-4), _xll.ciqfunctions.udf.CIQ(A2418, "IQ_TOTAL_DEBT_ISSUED",IQ_FY-3))</f>
        <v>0</v>
      </c>
      <c r="N2424" s="17">
        <f>IF(A2426=A2427,_xll.ciqfunctions.udf.CIQ(A2418,"IQ_TOTAL_DEBT_REPAID",IQ_FY-4), _xll.ciqfunctions.udf.CIQ(A2418, "IQ_TOTAL_DEBT_REPAID",IQ_FY-3))</f>
        <v>0</v>
      </c>
      <c r="O2424" s="15">
        <f t="shared" si="645"/>
        <v>0</v>
      </c>
      <c r="P2424" s="15">
        <f t="shared" si="646"/>
        <v>0.19127105250422849</v>
      </c>
      <c r="Q2424" s="18"/>
      <c r="R2424" s="38" t="s">
        <v>29</v>
      </c>
      <c r="S2424" s="4">
        <f>(AVERAGE(P2423:P2428)/_xlfn.STDEV.P(P2423:P2428))/(IF(A2426=A2427,(_xlfn.SINGLE(_xll.ciqfunctions.udf.CIQ(A2418,"IQ_total_assets",IQ_FY)) - _xlfn.SINGLE(_xll.ciqfunctions.udf.CIQ(A2418,"iq_gw_intan", IQ_FY)))/I2428, (_xlfn.SINGLE(_xll.ciqfunctions.udf.CIQ(A2418, "IQ_total_assets",IQ_LTM))-_xlfn.SINGLE(_xll.ciqfunctions.udf.CIQ(A2418,"iq_gw_intan",IQ_LTM)))/I2428))</f>
        <v>0.36102155478862463</v>
      </c>
      <c r="U2424" s="18"/>
      <c r="V2424" s="38" t="s">
        <v>29</v>
      </c>
      <c r="W2424" s="4">
        <f>(AVERAGE(P2423:P2428)/_xlfn.STDEV.P(P2423:P2428))/(IF(A2426=A2427,(_xlfn.SINGLE(_xll.ciqfunctions.udf.CIQ(A2418,"IQ_total_assets",IQ_FY)) - _xlfn.SINGLE(_xll.ciqfunctions.udf.CIQ(A2418,"iq_gw_intan", IQ_FY)))/I2428, (_xlfn.SINGLE(_xll.ciqfunctions.udf.CIQ(A2418, "IQ_total_assets",IQ_LTM))-_xlfn.SINGLE(_xll.ciqfunctions.udf.CIQ(A2418,"iq_gw_intan",IQ_LTM)))/I2428))</f>
        <v>0.36102155478862463</v>
      </c>
      <c r="Y2424" s="18"/>
      <c r="Z2424" s="38" t="s">
        <v>29</v>
      </c>
      <c r="AA2424" s="4">
        <f>(AVERAGE(P2423:P2428)/_xlfn.STDEV.P(P2423:P2428))/(IF(A2426=A2427,(_xlfn.SINGLE(_xll.ciqfunctions.udf.CIQ(A2418,"IQ_total_assets",IQ_FY)) - _xlfn.SINGLE(_xll.ciqfunctions.udf.CIQ(A2418,"iq_gw_intan", IQ_FY)))/I2428, (_xlfn.SINGLE(_xll.ciqfunctions.udf.CIQ(A2418, "IQ_total_assets",IQ_LTM))-_xlfn.SINGLE(_xll.ciqfunctions.udf.CIQ(A2418,"iq_gw_intan",IQ_LTM)))/I2428))</f>
        <v>0.36102155478862463</v>
      </c>
    </row>
    <row r="2425" spans="1:27">
      <c r="A2425" s="18"/>
      <c r="B2425" s="13">
        <v>8</v>
      </c>
      <c r="C2425" s="14" t="s">
        <v>30</v>
      </c>
      <c r="D2425" s="15" cm="1">
        <f t="array" ref="D2425">_xlfn.SINGLE(IF(A2426=A2427,_xll.ciqfunctions.udf.CIQ(A2418,"IQ_TOTAL_REV",IQ_FY-3)/I2425, _xll.ciqfunctions.udf.CIQ(A2418, "IQ_TOTAL_REV",IQ_FY-2)/I2425))</f>
        <v>2.068353831379063</v>
      </c>
      <c r="E2425" s="16">
        <f t="shared" si="647"/>
        <v>-0.11142172734760418</v>
      </c>
      <c r="F2425" s="15">
        <f>IF(A2426=A2427,_xll.ciqfunctions.udf.CIQ(A2418,"IQ_DILUT_EPS_EXCL",IQ_FY-3), _xll.ciqfunctions.udf.CIQ(A2418, "IQ_DILUT_EPS_EXCL",IQ_FY-2))</f>
        <v>-0.28161999999999998</v>
      </c>
      <c r="G2425" s="15">
        <f>IF(A2426=A2427,_xll.ciqfunctions.udf.CIQ(A2418,"IQ_EBITDA_MARGIN",IQ_FY-3), _xll.ciqfunctions.udf.CIQ(A2418, "IQ_EBITDA_MARGIN",IQ_FY-2))</f>
        <v>-10.1219</v>
      </c>
      <c r="H2425" s="15">
        <f>IF(A2426=A2427,_xll.ciqfunctions.udf.CIQ(A2418,"IQ_TOTAL_DIV_PAID_CF",IQ_FY-3)/-I2425, _xll.ciqfunctions.udf.CIQ(A2418, "IQ_TOTAL_DIV_PAID_CF",IQ_FY-2)/-I2425)</f>
        <v>0</v>
      </c>
      <c r="I2425" s="17">
        <f>IF(A2426=A2427,_xll.ciqfunctions.udf.CIQ(A2418,"IQ_TOTAL_OUTSTANDING_FILING_DATE",IQ_FY-3), _xll.ciqfunctions.udf.CIQ(A2418, "IQ_TOTAL_OUTSTANDING_FILING_DATE",IQ_FY-2))</f>
        <v>53.802689999999998</v>
      </c>
      <c r="J2425" s="17">
        <f>IF(A2426=A2427,_xll.ciqfunctions.udf.CIQ(A2418,"IQ_CASH_OPER",IQ_FY-3), _xll.ciqfunctions.udf.CIQ(A2418, "IQ_CASH_OPER",IQ_FY-2))</f>
        <v>5.9320000000000004</v>
      </c>
      <c r="K2425" s="17">
        <f>IF(A2426=A2427,_xll.ciqfunctions.udf.CIQ(A2418,"IQ_CAPEX",IQ_FY-3), _xll.ciqfunctions.udf.CIQ(A2418, "IQ_CAPEX",IQ_FY-2))</f>
        <v>-2.2519999999999998</v>
      </c>
      <c r="L2425" s="15">
        <f t="shared" si="644"/>
        <v>6.8398067085493328E-2</v>
      </c>
      <c r="M2425" s="17">
        <f>IF(A2426=A2427,_xll.ciqfunctions.udf.CIQ(A2418,"IQ_TOTAL_DEBT_ISSUED",IQ_FY-3), _xll.ciqfunctions.udf.CIQ(A2418, "IQ_TOTAL_DEBT_ISSUED",IQ_FY-2))</f>
        <v>0</v>
      </c>
      <c r="N2425" s="17">
        <f>IF(A2426=A2427,_xll.ciqfunctions.udf.CIQ(A2418,"IQ_TOTAL_DEBT_REPAID",IQ_FY-3), _xll.ciqfunctions.udf.CIQ(A2418, "IQ_TOTAL_DEBT_REPAID",IQ_FY-2))</f>
        <v>0</v>
      </c>
      <c r="O2425" s="15">
        <f t="shared" si="645"/>
        <v>0</v>
      </c>
      <c r="P2425" s="15">
        <f t="shared" si="646"/>
        <v>6.8398067085493328E-2</v>
      </c>
      <c r="Q2425" s="18"/>
      <c r="R2425" s="39" t="s">
        <v>31</v>
      </c>
      <c r="S2425" s="5" t="e">
        <f>IF(NOT(D2418&gt;0),FALSE,SLOPE(G2418:G2428,B2418:B2428))</f>
        <v>#DIV/0!</v>
      </c>
      <c r="U2425" s="18"/>
      <c r="V2425" s="39" t="s">
        <v>31</v>
      </c>
      <c r="W2425" s="5" t="e">
        <f>IF(NOT(D2418&gt;0),FALSE,SLOPE(G2418:G2428,B2418:B2428))</f>
        <v>#DIV/0!</v>
      </c>
      <c r="Y2425" s="18"/>
      <c r="Z2425" s="39" t="s">
        <v>31</v>
      </c>
      <c r="AA2425" s="5" t="e">
        <f>IF(NOT(L2418&gt;0),FALSE,SLOPE(O2418:O2428,J2418:J2428))</f>
        <v>#DIV/0!</v>
      </c>
    </row>
    <row r="2426" spans="1:27">
      <c r="A2426" s="19">
        <f>_xll.ciqfunctions.udf.CIQ(A2418,"IQ_TOTAL_REV",IQ_FY)</f>
        <v>310.48200000000003</v>
      </c>
      <c r="B2426" s="13">
        <v>9</v>
      </c>
      <c r="C2426" s="14" t="s">
        <v>32</v>
      </c>
      <c r="D2426" s="15" cm="1">
        <f t="array" ref="D2426">_xlfn.SINGLE(IF(A2426=A2427,_xll.ciqfunctions.udf.CIQ(A2418,"IQ_TOTAL_REV",IQ_FY-2)/I2426, _xll.ciqfunctions.udf.CIQ(A2418, "IQ_TOTAL_REV",IQ_FY-1)/I2426))</f>
        <v>3.1555823997122818</v>
      </c>
      <c r="E2426" s="16">
        <f t="shared" si="647"/>
        <v>0.52564921525458508</v>
      </c>
      <c r="F2426" s="15">
        <f>IF(A2426=A2427,_xll.ciqfunctions.udf.CIQ(A2418,"IQ_DILUT_EPS_EXCL",IQ_FY-2), _xll.ciqfunctions.udf.CIQ(A2418, "IQ_DILUT_EPS_EXCL",IQ_FY-1))</f>
        <v>-0.13125999999999999</v>
      </c>
      <c r="G2426" s="15">
        <f>IF(A2426=A2427,_xll.ciqfunctions.udf.CIQ(A2418,"IQ_EBITDA_MARGIN",IQ_FY-2), _xll.ciqfunctions.udf.CIQ(A2418, "IQ_EBITDA_MARGIN",IQ_FY-1))</f>
        <v>2.4133</v>
      </c>
      <c r="H2426" s="15">
        <f>IF(A2426=A2427,_xll.ciqfunctions.udf.CIQ(A2418,"IQ_TOTAL_DIV_PAID_CF",IQ_FY-2)/-I2426, _xll.ciqfunctions.udf.CIQ(A2418, "IQ_TOTAL_DIV_PAID_CF",IQ_FY-1)/-I2426)</f>
        <v>0</v>
      </c>
      <c r="I2426" s="17">
        <f>IF(A2426=A2427,_xll.ciqfunctions.udf.CIQ(A2418,"IQ_TOTAL_OUTSTANDING_FILING_DATE",IQ_FY-2), _xll.ciqfunctions.udf.CIQ(A2418, "IQ_TOTAL_OUTSTANDING_FILING_DATE",IQ_FY-1))</f>
        <v>66.954359999999994</v>
      </c>
      <c r="J2426" s="17">
        <f>IF(A2426=A2427,_xll.ciqfunctions.udf.CIQ(A2418,"IQ_CASH_OPER",IQ_FY-2), _xll.ciqfunctions.udf.CIQ(A2418, "IQ_CASH_OPER",IQ_FY-1))</f>
        <v>17.972999999999999</v>
      </c>
      <c r="K2426" s="17">
        <f>IF(A2426=A2427,_xll.ciqfunctions.udf.CIQ(A2418,"IQ_CAPEX",IQ_FY-2), _xll.ciqfunctions.udf.CIQ(A2418, "IQ_CAPEX",IQ_FY-1))</f>
        <v>-4.7160000000000002</v>
      </c>
      <c r="L2426" s="15">
        <f t="shared" si="644"/>
        <v>0.19800054843329096</v>
      </c>
      <c r="M2426" s="17">
        <f>IF(A2426=A2427,_xll.ciqfunctions.udf.CIQ(A2418,"IQ_TOTAL_DEBT_ISSUED",IQ_FY-2), _xll.ciqfunctions.udf.CIQ(A2418, "IQ_TOTAL_DEBT_ISSUED",IQ_FY-1))</f>
        <v>0</v>
      </c>
      <c r="N2426" s="17">
        <f>IF(A2426=A2427,_xll.ciqfunctions.udf.CIQ(A2418,"IQ_TOTAL_DEBT_REPAID",IQ_FY-2), _xll.ciqfunctions.udf.CIQ(A2418, "IQ_TOTAL_DEBT_REPAID",IQ_FY-1))</f>
        <v>0</v>
      </c>
      <c r="O2426" s="15">
        <f t="shared" si="645"/>
        <v>0</v>
      </c>
      <c r="P2426" s="15">
        <f t="shared" si="646"/>
        <v>0.19800054843329096</v>
      </c>
      <c r="Q2426" s="25" t="s">
        <v>33</v>
      </c>
      <c r="R2426" s="38" t="s">
        <v>52</v>
      </c>
      <c r="S2426" s="4">
        <f>(AVERAGE(O2423:O2428)/AVERAGE(P2423:P2428))</f>
        <v>0</v>
      </c>
      <c r="U2426" s="25" t="s">
        <v>54</v>
      </c>
      <c r="V2426" s="38" t="s">
        <v>52</v>
      </c>
      <c r="W2426" s="4">
        <f>(AVERAGE(O2423:O2428)/AVERAGE(P2423:P2428))</f>
        <v>0</v>
      </c>
      <c r="Y2426" s="25" t="s">
        <v>60</v>
      </c>
      <c r="Z2426" s="38" t="s">
        <v>52</v>
      </c>
      <c r="AA2426" s="4">
        <f>(AVERAGE(O2423:O2428)/AVERAGE(P2423:P2428))</f>
        <v>0</v>
      </c>
    </row>
    <row r="2427" spans="1:27">
      <c r="A2427" s="19">
        <f>_xll.ciqfunctions.udf.CIQ(A2418,"IQ_TOTAL_REV",IQ_LTM)</f>
        <v>315.41699999999997</v>
      </c>
      <c r="B2427" s="13">
        <v>10</v>
      </c>
      <c r="C2427" s="14" t="s">
        <v>34</v>
      </c>
      <c r="D2427" s="15" cm="1">
        <f t="array" ref="D2427">_xlfn.SINGLE(IF(A2426=A2427,_xll.ciqfunctions.udf.CIQ(A2418,"IQ_TOTAL_REV",IQ_FY-1)/I2427, _xll.ciqfunctions.udf.CIQ(A2418, "IQ_TOTAL_REV",IQ_FY)/I2427))</f>
        <v>4.1490023175626023</v>
      </c>
      <c r="E2427" s="16">
        <f t="shared" si="647"/>
        <v>0.31481349304676626</v>
      </c>
      <c r="F2427" s="15">
        <f>IF(A2426=A2427,_xll.ciqfunctions.udf.CIQ(A2418,"IQ_DILUT_EPS_EXCL",IQ_FY-1), _xll.ciqfunctions.udf.CIQ(A2418, "IQ_DILUT_EPS_EXCL",IQ_FY))</f>
        <v>-0.42219000000000001</v>
      </c>
      <c r="G2427" s="15">
        <f>IF(A2426=A2427,_xll.ciqfunctions.udf.CIQ(A2418,"IQ_EBITDA_MARGIN",IQ_FY-1), _xll.ciqfunctions.udf.CIQ(A2418, "IQ_EBITDA_MARGIN",IQ_FY))</f>
        <v>-1.0818000000000001</v>
      </c>
      <c r="H2427" s="15">
        <f>IF(A2426=A2427,_xll.ciqfunctions.udf.CIQ(A2418,"IQ_TOTAL_DIV_PAID_CF",IQ_FY-1)/-I2427, _xll.ciqfunctions.udf.CIQ(A2418, "IQ_TOTAL_DIV_PAID_CF",IQ_FY)/-I2427)</f>
        <v>0</v>
      </c>
      <c r="I2427" s="17">
        <f>IF(A2426=A2427,_xll.ciqfunctions.udf.CIQ(A2418,"IQ_TOTAL_OUTSTANDING_FILING_DATE",IQ_FY-1), _xll.ciqfunctions.udf.CIQ(A2418, "IQ_TOTAL_OUTSTANDING_FILING_DATE",IQ_FY))</f>
        <v>74.832930000000005</v>
      </c>
      <c r="J2427" s="17">
        <f>IF(A2426=A2427,_xll.ciqfunctions.udf.CIQ(A2418,"IQ_CASH_OPER",IQ_FY-1), _xll.ciqfunctions.udf.CIQ(A2418, "IQ_CASH_OPER",IQ_FY))</f>
        <v>31.652000000000001</v>
      </c>
      <c r="K2427" s="17">
        <f>IF(A2426=A2427,_xll.ciqfunctions.udf.CIQ(A2418,"IQ_CAPEX",IQ_FY-1), _xll.ciqfunctions.udf.CIQ(A2418, "IQ_CAPEX",IQ_FY))</f>
        <v>-6.069</v>
      </c>
      <c r="L2427" s="15">
        <f t="shared" si="644"/>
        <v>0.34186821229637809</v>
      </c>
      <c r="M2427" s="17">
        <f>IF(A2426=A2427,_xll.ciqfunctions.udf.CIQ(A2418,"IQ_TOTAL_DEBT_ISSUED",IQ_FY-1), _xll.ciqfunctions.udf.CIQ(A2418, "IQ_TOTAL_DEBT_ISSUED",IQ_FY))</f>
        <v>5</v>
      </c>
      <c r="N2427" s="17">
        <f>IF(A2426=A2427,_xll.ciqfunctions.udf.CIQ(A2418,"IQ_TOTAL_DEBT_REPAID",IQ_FY-1), _xll.ciqfunctions.udf.CIQ(A2418, "IQ_TOTAL_DEBT_REPAID",IQ_FY))</f>
        <v>-5</v>
      </c>
      <c r="O2427" s="15">
        <f t="shared" si="645"/>
        <v>0</v>
      </c>
      <c r="P2427" s="15">
        <f t="shared" si="646"/>
        <v>0.34186821229637809</v>
      </c>
      <c r="Q2427" s="25" t="s">
        <v>44</v>
      </c>
      <c r="R2427" s="38" t="s">
        <v>35</v>
      </c>
      <c r="S2427" s="1">
        <f>_xll.ciqfunctions.udf.CIQ(A2418,"IQ_TEV_EBITDA")</f>
        <v>49.920740000000002</v>
      </c>
      <c r="U2427" s="25" t="s">
        <v>55</v>
      </c>
      <c r="V2427" s="38" t="s">
        <v>53</v>
      </c>
      <c r="W2427" s="1">
        <f>V2417/(AVERAGE(D2423:D2428)/_xlfn.STDEV.P(E2423:E2428))</f>
        <v>1.2491604960175087</v>
      </c>
      <c r="Y2427" s="25" t="s">
        <v>57</v>
      </c>
      <c r="Z2427" s="38" t="s">
        <v>53</v>
      </c>
      <c r="AA2427" s="1">
        <f>Z2417/(AVERAGE(D2423:D2428)/_xlfn.STDEV.P(E2423:E2428))</f>
        <v>1.2491604960175087</v>
      </c>
    </row>
    <row r="2428" spans="1:27">
      <c r="B2428" s="13">
        <v>11</v>
      </c>
      <c r="C2428" s="20" t="s">
        <v>36</v>
      </c>
      <c r="D2428" s="21" cm="1">
        <f t="array" ref="D2428">_xlfn.SINGLE(IF(A2426=A2427,_xll.ciqfunctions.udf.CIQ(A2418,"IQ_TOTAL_REV",IQ_FY)/I2428, _xll.ciqfunctions.udf.CIQ(A2418, "IQ_TOTAL_REV",IQ_LTM)/I2428))</f>
        <v>4.1727372488009316</v>
      </c>
      <c r="E2428" s="22">
        <f t="shared" si="647"/>
        <v>5.7206358111346455E-3</v>
      </c>
      <c r="F2428" s="21">
        <f>IF(A2426=A2427,_xll.ciqfunctions.udf.CIQ(A2418,"IQ_DILUT_EPS_EXCL",IQ_FY), _xll.ciqfunctions.udf.CIQ(A2418, "IQ_DILUT_EPS_EXCL",IQ_LTM))</f>
        <v>-0.15201000000000001</v>
      </c>
      <c r="G2428" s="21">
        <f>IF(A2426=A2427,_xll.ciqfunctions.udf.CIQ(A2418,"IQ_EBITDA_MARGIN",IQ_FY), _xll.ciqfunctions.udf.CIQ(A2418, "IQ_EBITDA_MARGIN",IQ_LTM))</f>
        <v>3.1564000000000001</v>
      </c>
      <c r="H2428" s="21">
        <f>IF(A2426=A2427,_xll.ciqfunctions.udf.CIQ(A2418,"IQ_TOTAL_DIV_PAID_CF",IQ_FY)/-I2428, _xll.ciqfunctions.udf.CIQ(A2418, "IQ_TOTAL_DIV_PAID_CF",IQ_LTM)/-I2428)</f>
        <v>0</v>
      </c>
      <c r="I2428" s="23">
        <f>IF(A2426=A2427,_xll.ciqfunctions.udf.CIQ(A2418,"IQ_TOTAL_OUTSTANDING_FILING_DATE",IQ_FY),_xll.ciqfunctions.udf.CIQ(A2418,"IQ_sharesoutstanding"))</f>
        <v>75.589950000000002</v>
      </c>
      <c r="J2428" s="23">
        <f>IF(A2426=A2427,_xll.ciqfunctions.udf.CIQ(A2418,"IQ_CASH_OPER",IQ_FY), _xll.ciqfunctions.udf.CIQ(A2418, "IQ_CASH_OPER",IQ_LTM))</f>
        <v>45.55</v>
      </c>
      <c r="K2428" s="23">
        <f>IF(A2426=A2427,_xll.ciqfunctions.udf.CIQ(A2418,"IQ_CAPEX",IQ_FY), _xll.ciqfunctions.udf.CIQ(A2418, "IQ_CAPEX",IQ_LTM))</f>
        <v>-7.2809999999999997</v>
      </c>
      <c r="L2428" s="21">
        <f t="shared" si="644"/>
        <v>0.50627100560325811</v>
      </c>
      <c r="M2428" s="23">
        <f>IF(A2426=A2427,_xll.ciqfunctions.udf.CIQ(A2418,"IQ_TOTAL_DEBT_ISSUED",IQ_FY), _xll.ciqfunctions.udf.CIQ(A2418, "IQ_TOTAL_DEBT_ISSUED",IQ_LTM))</f>
        <v>0</v>
      </c>
      <c r="N2428" s="23">
        <f>IF(A2426=A2427,_xll.ciqfunctions.udf.CIQ(A2418,"IQ_TOTAL_DEBT_REPAID",IQ_FY), _xll.ciqfunctions.udf.CIQ(A2418, "IQ_TOTAL_DEBT_REPAID",IQ_LTM))</f>
        <v>0</v>
      </c>
      <c r="O2428" s="21">
        <f t="shared" si="645"/>
        <v>0</v>
      </c>
      <c r="P2428" s="21">
        <f t="shared" si="646"/>
        <v>0.50627100560325811</v>
      </c>
      <c r="Q2428" s="25" t="s">
        <v>45</v>
      </c>
      <c r="S2428" s="45"/>
      <c r="U2428" s="25"/>
      <c r="W2428" s="45"/>
      <c r="Y2428" s="25"/>
      <c r="AA2428" s="45"/>
    </row>
    <row r="2429" spans="1:27">
      <c r="B2429" s="24"/>
      <c r="C2429" s="25" t="s">
        <v>37</v>
      </c>
      <c r="E2429" s="26">
        <f>((D2428/D2423)^(1/5))-1</f>
        <v>-0.11429225760282558</v>
      </c>
      <c r="F2429" s="27">
        <f>((F2428/F2423)^(1/5))-1</f>
        <v>-1.8025937796961586</v>
      </c>
      <c r="G2429" s="28"/>
      <c r="H2429" s="27" t="e">
        <f>((H2428/H2423)^(1/5))-1</f>
        <v>#DIV/0!</v>
      </c>
      <c r="I2429" s="27">
        <f>((I2428/I2423)^(1/5))-1</f>
        <v>0.44496245367448473</v>
      </c>
      <c r="J2429" s="27"/>
      <c r="K2429" s="27"/>
      <c r="L2429" s="26">
        <f>((L2428/L2423)^(1/5))-1</f>
        <v>-4.1388309396596212E-2</v>
      </c>
      <c r="M2429" s="26"/>
      <c r="N2429" s="26"/>
      <c r="O2429" s="26"/>
      <c r="P2429" s="26">
        <f>((P2428/P2423)^(1/5))-1</f>
        <v>-4.1388309396596212E-2</v>
      </c>
      <c r="Q2429" s="18"/>
      <c r="R2429" s="36"/>
      <c r="S2429" s="45"/>
      <c r="U2429" s="18"/>
      <c r="V2429" s="36"/>
      <c r="W2429" s="45"/>
      <c r="Y2429" s="18"/>
      <c r="Z2429" s="36"/>
      <c r="AA2429" s="45"/>
    </row>
    <row r="2430" spans="1:27">
      <c r="A2430" s="29"/>
      <c r="B2430" s="30"/>
      <c r="C2430" s="31" t="s">
        <v>38</v>
      </c>
      <c r="D2430" s="29"/>
      <c r="E2430" s="32" t="e">
        <f>((D2428/D2418)^(1/10))-1</f>
        <v>#DIV/0!</v>
      </c>
      <c r="F2430" s="33" t="e">
        <f>((F2428/F2418)^(1/10))-1</f>
        <v>#DIV/0!</v>
      </c>
      <c r="G2430" s="34"/>
      <c r="H2430" s="33" t="e">
        <f>((H2428/H2418)^(1/10))-1</f>
        <v>#DIV/0!</v>
      </c>
      <c r="I2430" s="33" t="e">
        <f>((I2428/I2418)^(1/10))-1</f>
        <v>#DIV/0!</v>
      </c>
      <c r="J2430" s="33"/>
      <c r="K2430" s="33"/>
      <c r="L2430" s="32" t="e">
        <f>((L2428/L2418)^(1/10))-1</f>
        <v>#DIV/0!</v>
      </c>
      <c r="M2430" s="32"/>
      <c r="N2430" s="32"/>
      <c r="O2430" s="32"/>
      <c r="P2430" s="32" t="e">
        <f>((P2428/P2418)^(1/10))-1</f>
        <v>#DIV/0!</v>
      </c>
      <c r="Q2430" s="40"/>
      <c r="R2430" s="41"/>
      <c r="S2430" s="46"/>
      <c r="U2430" s="40"/>
      <c r="V2430" s="41"/>
      <c r="W2430" s="46"/>
      <c r="Y2430" s="40"/>
      <c r="Z2430" s="41"/>
      <c r="AA2430" s="46"/>
    </row>
    <row r="2431" spans="1:27">
      <c r="B2431" s="24"/>
      <c r="C2431" s="25"/>
      <c r="E2431" s="26"/>
      <c r="F2431" s="27"/>
      <c r="G2431" s="28"/>
      <c r="H2431" s="27"/>
      <c r="I2431" s="27"/>
      <c r="J2431" s="27"/>
      <c r="K2431" s="27"/>
      <c r="L2431" s="26"/>
      <c r="M2431" s="17"/>
      <c r="N2431" s="17"/>
      <c r="O2431" s="17"/>
      <c r="P2431" s="35"/>
      <c r="Q2431" s="18"/>
      <c r="R2431" s="36"/>
    </row>
    <row r="2432" spans="1:27">
      <c r="A2432" s="9" t="s">
        <v>0</v>
      </c>
      <c r="B2432" s="10"/>
      <c r="C2432" s="9" t="s">
        <v>1</v>
      </c>
      <c r="D2432" s="9" t="s">
        <v>2</v>
      </c>
      <c r="E2432" s="9" t="s">
        <v>3</v>
      </c>
      <c r="F2432" s="11" t="s">
        <v>4</v>
      </c>
      <c r="G2432" s="11" t="s">
        <v>5</v>
      </c>
      <c r="H2432" s="9" t="s">
        <v>6</v>
      </c>
      <c r="I2432" s="11" t="s">
        <v>7</v>
      </c>
      <c r="J2432" s="11" t="s">
        <v>8</v>
      </c>
      <c r="K2432" s="11" t="s">
        <v>9</v>
      </c>
      <c r="L2432" s="11" t="s">
        <v>10</v>
      </c>
      <c r="M2432" s="11" t="s">
        <v>11</v>
      </c>
      <c r="N2432" s="11" t="s">
        <v>12</v>
      </c>
      <c r="O2432" s="11" t="s">
        <v>13</v>
      </c>
      <c r="P2432" s="11" t="s">
        <v>14</v>
      </c>
      <c r="Q2432" s="37" t="s">
        <v>15</v>
      </c>
      <c r="R2432" s="42">
        <f>_xll.ciqfunctions.udf.CIQ(A2433,("IQ_LASTSALEPRICE"))</f>
        <v>17.934999999999999</v>
      </c>
      <c r="S2432" s="44"/>
      <c r="U2432" s="37" t="s">
        <v>15</v>
      </c>
      <c r="V2432" s="42">
        <f>_xll.ciqfunctions.udf.CIQ(A2433,("IQ_LASTSALEPRICE"))</f>
        <v>17.934999999999999</v>
      </c>
      <c r="W2432" s="44"/>
      <c r="Y2432" s="37" t="s">
        <v>15</v>
      </c>
      <c r="Z2432" s="42">
        <f>_xll.ciqfunctions.udf.CIQ(A2433,("IQ_LASTSALEPRICE"))</f>
        <v>17.934999999999999</v>
      </c>
      <c r="AA2432" s="44"/>
    </row>
    <row r="2433" spans="1:27">
      <c r="A2433" s="12" t="str">
        <f>Analysis!B164</f>
        <v>NYSE:KD</v>
      </c>
      <c r="B2433" s="13">
        <v>1</v>
      </c>
      <c r="C2433" s="14" t="s">
        <v>16</v>
      </c>
      <c r="D2433" s="15" t="e">
        <f>IF(A2441=A2442,_xll.ciqfunctions.udf.CIQ(A2433,"IQ_TOTAL_REV",IQ_FY-10)/I2433,_xll.ciqfunctions.udf.CIQ(A2433, "IQ_TOTAL_REV",IQ_FY-9)/I2433)</f>
        <v>#DIV/0!</v>
      </c>
      <c r="E2433" s="16"/>
      <c r="F2433" s="15">
        <f>IF(A2441=A2442,_xll.ciqfunctions.udf.CIQ(A2433,"IQ_DILUT_EPS_EXCL",IQ_FY-10), _xll.ciqfunctions.udf.CIQ(A2433, "IQ_DILUT_EPS_EXCL",IQ_FY-9))</f>
        <v>0</v>
      </c>
      <c r="G2433" s="15">
        <f>IF(A2441=A2442,_xll.ciqfunctions.udf.CIQ(A2433,"IQ_EBITDA_MARGIN",IQ_FY-10), _xll.ciqfunctions.udf.CIQ(A2433, "IQ_EBITDA_MARGIN",IQ_FY-9))</f>
        <v>0</v>
      </c>
      <c r="H2433" s="15" t="e">
        <f>IF(A2441=A2442,_xll.ciqfunctions.udf.CIQ(A2433,"IQ_TOTAL_DIV_PAID_CF",IQ_FY-10)/-I2433, _xll.ciqfunctions.udf.CIQ(A2433, "IQ_TOTAL_DIV_PAID_CF",IQ_FY-9)/-I2433)</f>
        <v>#DIV/0!</v>
      </c>
      <c r="I2433" s="17">
        <f>IF(A2441=A2442,_xll.ciqfunctions.udf.CIQ(A2433,"IQ_TOTAL_OUTSTANDING_FILING_DATE",IQ_FY-10), _xll.ciqfunctions.udf.CIQ(A2433, "IQ_TOTAL_OUTSTANDING_FILING_DATE",IQ_FY-9))</f>
        <v>0</v>
      </c>
      <c r="J2433" s="17">
        <f>IF(A2441=A2442,_xll.ciqfunctions.udf.CIQ(A2433,"IQ_CASH_OPER",IQ_FY-10), _xll.ciqfunctions.udf.CIQ(A2433, "IQ_CASH_OPER",IQ_FY-9))</f>
        <v>0</v>
      </c>
      <c r="K2433" s="17">
        <f>IF(A2441=A2442,_xll.ciqfunctions.udf.CIQ(A2433,"IQ_CAPEX",IQ_FY-10), _xll.ciqfunctions.udf.CIQ(A2433, "IQ_CAPEX",IQ_FY-9))</f>
        <v>0</v>
      </c>
      <c r="L2433" s="15" t="e">
        <f t="shared" ref="L2433:L2443" si="648">(J2433+K2433)/I2433</f>
        <v>#DIV/0!</v>
      </c>
      <c r="M2433" s="17">
        <f>IF(A2441=A2442,_xll.ciqfunctions.udf.CIQ(A2433,"IQ_TOTAL_DEBT_ISSUED",IQ_FY-10), _xll.ciqfunctions.udf.CIQ(A2433, "IQ_TOTAL_DEBT_ISSUED",IQ_FY-9))</f>
        <v>0</v>
      </c>
      <c r="N2433" s="17">
        <f>IF(A2441=A2442,_xll.ciqfunctions.udf.CIQ(A2433,"IQ_TOTAL_DEBT_REPAID",IQ_FY-10), _xll.ciqfunctions.udf.CIQ(A2433, "IQ_TOTAL_DEBT_REPAID",IQ_FY-9))</f>
        <v>0</v>
      </c>
      <c r="O2433" s="15" t="e">
        <f t="shared" ref="O2433:O2443" si="649">(M2433+N2433)/I2433</f>
        <v>#DIV/0!</v>
      </c>
      <c r="P2433" s="15" t="e">
        <f t="shared" ref="P2433:P2443" si="650">L2433+O2433</f>
        <v>#DIV/0!</v>
      </c>
      <c r="W2433" s="43"/>
      <c r="AA2433" s="43"/>
    </row>
    <row r="2434" spans="1:27">
      <c r="A2434" s="18" t="str">
        <f>_xll.ciqfunctions.udf.CIQ(A2433,"IQ_COMPANY_NAME")</f>
        <v>Kyndryl Holdings, Inc.</v>
      </c>
      <c r="B2434" s="13">
        <v>2</v>
      </c>
      <c r="C2434" s="14" t="s">
        <v>17</v>
      </c>
      <c r="D2434" s="15" t="e">
        <f>IF(A2441=A2442,_xll.ciqfunctions.udf.CIQ(A2433,"IQ_TOTAL_REV",IQ_FY-9)/I2434, _xll.ciqfunctions.udf.CIQ(A2433, "IQ_TOTAL_REV",IQ_FY-8)/I2434)</f>
        <v>#DIV/0!</v>
      </c>
      <c r="E2434" s="16" t="e">
        <f t="shared" ref="E2434:E2443" si="651">(D2434-D2433)/D2433</f>
        <v>#DIV/0!</v>
      </c>
      <c r="F2434" s="15">
        <f>IF(A2441=A2442,_xll.ciqfunctions.udf.CIQ(A2433,"IQ_DILUT_EPS_EXCL",IQ_FY-9), _xll.ciqfunctions.udf.CIQ(A2433, "IQ_DILUT_EPS_EXCL",IQ_FY-8))</f>
        <v>0</v>
      </c>
      <c r="G2434" s="15">
        <f>IF(A2441=A2442,_xll.ciqfunctions.udf.CIQ(A2433,"IQ_EBITDA_MARGIN",IQ_FY-9), _xll.ciqfunctions.udf.CIQ(A2433, "IQ_EBITDA_MARGIN",IQ_FY-8))</f>
        <v>0</v>
      </c>
      <c r="H2434" s="15" t="e">
        <f>IF(A2441=A2442,_xll.ciqfunctions.udf.CIQ(A2433,"IQ_TOTAL_DIV_PAID_CF",IQ_FY-9)/-I2434, _xll.ciqfunctions.udf.CIQ(A2433, "IQ_TOTAL_DIV_PAID_CF",IQ_FY-8)/-I2434)</f>
        <v>#DIV/0!</v>
      </c>
      <c r="I2434" s="17">
        <f>IF(A2441=A2442,_xll.ciqfunctions.udf.CIQ(A2433,"IQ_TOTAL_OUTSTANDING_FILING_DATE",IQ_FY-9), _xll.ciqfunctions.udf.CIQ(A2433, "IQ_TOTAL_OUTSTANDING_FILING_DATE",IQ_FY-8))</f>
        <v>0</v>
      </c>
      <c r="J2434" s="17">
        <f>IF(A2441=A2442,_xll.ciqfunctions.udf.CIQ(A2433,"IQ_CASH_OPER",IQ_FY-9), _xll.ciqfunctions.udf.CIQ(A2433, "IQ_CASH_OPER",IQ_FY-8))</f>
        <v>0</v>
      </c>
      <c r="K2434" s="17">
        <f>IF(A2441=A2442,_xll.ciqfunctions.udf.CIQ(A2433,"IQ_CAPEX",IQ_FY-9), _xll.ciqfunctions.udf.CIQ(A2433, "IQ_CAPEX",IQ_FY-8))</f>
        <v>0</v>
      </c>
      <c r="L2434" s="15" t="e">
        <f t="shared" si="648"/>
        <v>#DIV/0!</v>
      </c>
      <c r="M2434" s="17">
        <f>IF(A2441=A2442,_xll.ciqfunctions.udf.CIQ(A2433,"IQ_TOTAL_DEBT_ISSUED",IQ_FY-9), _xll.ciqfunctions.udf.CIQ(A2433, "IQ_TOTAL_DEBT_ISSUED",IQ_FY-8))</f>
        <v>0</v>
      </c>
      <c r="N2434" s="17">
        <f>IF(A2441=A2442,_xll.ciqfunctions.udf.CIQ(A2433,"IQ_TOTAL_DEBT_REPAID",IQ_FY-9), _xll.ciqfunctions.udf.CIQ(A2433, "IQ_TOTAL_DEBT_REPAID",IQ_FY-8))</f>
        <v>0</v>
      </c>
      <c r="O2434" s="15" t="e">
        <f t="shared" si="649"/>
        <v>#DIV/0!</v>
      </c>
      <c r="P2434" s="15" t="e">
        <f t="shared" si="650"/>
        <v>#DIV/0!</v>
      </c>
      <c r="Q2434" s="25" t="s">
        <v>18</v>
      </c>
      <c r="R2434" s="39" t="s">
        <v>19</v>
      </c>
      <c r="S2434" s="1">
        <f>R2432/((AVERAGE(P2438:P2443))*(1+E2444)^3)</f>
        <v>8.3475699938665588</v>
      </c>
      <c r="U2434" s="25" t="s">
        <v>48</v>
      </c>
      <c r="V2434" s="39" t="s">
        <v>19</v>
      </c>
      <c r="W2434" s="1">
        <f>V2432/((AVERAGE(P2438:P2443))*(1+E2444)^3)</f>
        <v>8.3475699938665588</v>
      </c>
      <c r="Y2434" s="25" t="s">
        <v>39</v>
      </c>
      <c r="Z2434" s="39" t="s">
        <v>19</v>
      </c>
      <c r="AA2434" s="1">
        <f>Z2432/((AVERAGE(P2438:P2443))*(1+E2444)^3)</f>
        <v>8.3475699938665588</v>
      </c>
    </row>
    <row r="2435" spans="1:27">
      <c r="B2435" s="13">
        <v>3</v>
      </c>
      <c r="C2435" s="14" t="s">
        <v>20</v>
      </c>
      <c r="D2435" s="15" t="e" cm="1">
        <f t="array" ref="D2435">_xlfn.SINGLE(IF(A2441=A2442,_xll.ciqfunctions.udf.CIQ(A2433,"IQ_TOTAL_REV",IQ_FY-8)/I2435, _xll.ciqfunctions.udf.CIQ(A2433, "IQ_TOTAL_REV",IQ_FY-7)/I2435))</f>
        <v>#DIV/0!</v>
      </c>
      <c r="E2435" s="16" t="e">
        <f t="shared" si="651"/>
        <v>#DIV/0!</v>
      </c>
      <c r="F2435" s="15">
        <f>IF(A2441=A2442,_xll.ciqfunctions.udf.CIQ(A2433,"IQ_DILUT_EPS_EXCL",IQ_FY-8), _xll.ciqfunctions.udf.CIQ(A2433, "IQ_DILUT_EPS_EXCL",IQ_FY-7))</f>
        <v>0</v>
      </c>
      <c r="G2435" s="15">
        <f>IF(A2441=A2442,_xll.ciqfunctions.udf.CIQ(A2433,"IQ_EBITDA_MARGIN",IQ_FY-8), _xll.ciqfunctions.udf.CIQ(A2433, "IQ_EBITDA_MARGIN",IQ_FY-7))</f>
        <v>0</v>
      </c>
      <c r="H2435" s="15" t="e">
        <f>IF(A2441=A2442,_xll.ciqfunctions.udf.CIQ(A2433,"IQ_TOTAL_DIV_PAID_CF",IQ_FY-8)/-I2435, _xll.ciqfunctions.udf.CIQ(A2433, "IQ_TOTAL_DIV_PAID_CF",IQ_FY-7)/-I2435)</f>
        <v>#DIV/0!</v>
      </c>
      <c r="I2435" s="17">
        <f>IF(A2441=A2442,_xll.ciqfunctions.udf.CIQ(A2433,"IQ_TOTAL_OUTSTANDING_FILING_DATE",IQ_FY-8), _xll.ciqfunctions.udf.CIQ(A2433, "IQ_TOTAL_OUTSTANDING_FILING_DATE",IQ_FY-7))</f>
        <v>0</v>
      </c>
      <c r="J2435" s="17">
        <f>IF(A2441=A2442,_xll.ciqfunctions.udf.CIQ(A2433,"IQ_CASH_OPER",IQ_FY-8), _xll.ciqfunctions.udf.CIQ(A2433, "IQ_CASH_OPER",IQ_FY-7))</f>
        <v>0</v>
      </c>
      <c r="K2435" s="17">
        <f>IF(A2441=A2442,_xll.ciqfunctions.udf.CIQ(A2433,"IQ_CAPEX",IQ_FY-8), _xll.ciqfunctions.udf.CIQ(A2433, "IQ_CAPEX",IQ_FY-7))</f>
        <v>0</v>
      </c>
      <c r="L2435" s="15" t="e">
        <f t="shared" si="648"/>
        <v>#DIV/0!</v>
      </c>
      <c r="M2435" s="17">
        <f>IF(A2441=A2442,_xll.ciqfunctions.udf.CIQ(A2433,"IQ_TOTAL_DEBT_ISSUED",IQ_FY-8), _xll.ciqfunctions.udf.CIQ(A2433, "IQ_TOTAL_DEBT_ISSUED",IQ_FY-7))</f>
        <v>0</v>
      </c>
      <c r="N2435" s="17">
        <f>IF(A2441=A2442,_xll.ciqfunctions.udf.CIQ(A2433,"IQ_TOTAL_DEBT_REPAID",IQ_FY-8), _xll.ciqfunctions.udf.CIQ(A2433, "IQ_TOTAL_DEBT_REPAID",IQ_FY-7))</f>
        <v>0</v>
      </c>
      <c r="O2435" s="15" t="e">
        <f t="shared" si="649"/>
        <v>#DIV/0!</v>
      </c>
      <c r="P2435" s="15" t="e">
        <f t="shared" si="650"/>
        <v>#DIV/0!</v>
      </c>
      <c r="Q2435" s="25" t="s">
        <v>21</v>
      </c>
      <c r="R2435" s="38" t="s">
        <v>49</v>
      </c>
      <c r="S2435" s="2">
        <f>(R2432*I2443)/1000</f>
        <v>4.1154350465</v>
      </c>
      <c r="U2435" s="25" t="s">
        <v>59</v>
      </c>
      <c r="V2435" s="38" t="s">
        <v>49</v>
      </c>
      <c r="W2435" s="2">
        <f>(V2432*I2443)/1000</f>
        <v>4.1154350465</v>
      </c>
      <c r="Y2435" s="25" t="s">
        <v>46</v>
      </c>
      <c r="Z2435" s="38" t="s">
        <v>49</v>
      </c>
      <c r="AA2435" s="2">
        <f>(Z2432*I2443)/1000</f>
        <v>4.1154350465</v>
      </c>
    </row>
    <row r="2436" spans="1:27">
      <c r="A2436" s="18"/>
      <c r="B2436" s="13">
        <v>4</v>
      </c>
      <c r="C2436" s="14" t="s">
        <v>22</v>
      </c>
      <c r="D2436" s="15" t="e" cm="1">
        <f t="array" ref="D2436">_xlfn.SINGLE(IF(A2441=A2442,_xll.ciqfunctions.udf.CIQ(A2433,"IQ_TOTAL_REV",IQ_FY-7)/I2436, _xll.ciqfunctions.udf.CIQ(A2433, "IQ_TOTAL_REV",IQ_FY-6)/I2436))</f>
        <v>#DIV/0!</v>
      </c>
      <c r="E2436" s="16" t="e">
        <f t="shared" si="651"/>
        <v>#DIV/0!</v>
      </c>
      <c r="F2436" s="15">
        <f>IF(A2441=A2442,_xll.ciqfunctions.udf.CIQ(A2433,"IQ_DILUT_EPS_EXCL",IQ_FY-7), _xll.ciqfunctions.udf.CIQ(A2433, "IQ_DILUT_EPS_EXCL",IQ_FY-6))</f>
        <v>0</v>
      </c>
      <c r="G2436" s="15">
        <f>IF(A2441=A2442,_xll.ciqfunctions.udf.CIQ(A2433,"IQ_EBITDA_MARGIN",IQ_FY-7), _xll.ciqfunctions.udf.CIQ(A2433, "IQ_EBITDA_MARGIN",IQ_FY-6))</f>
        <v>0</v>
      </c>
      <c r="H2436" s="15" t="e">
        <f>IF(A2441=A2442,_xll.ciqfunctions.udf.CIQ(A2433,"IQ_TOTAL_DIV_PAID_CF",IQ_FY-7)/-I2436, _xll.ciqfunctions.udf.CIQ(A2433, "IQ_TOTAL_DIV_PAID_CF",IQ_FY-6)/-I2436)</f>
        <v>#DIV/0!</v>
      </c>
      <c r="I2436" s="17">
        <f>IF(A2441=A2442,_xll.ciqfunctions.udf.CIQ(A2433,"IQ_TOTAL_OUTSTANDING_FILING_DATE",IQ_FY-7), _xll.ciqfunctions.udf.CIQ(A2433, "IQ_TOTAL_OUTSTANDING_FILING_DATE",IQ_FY-6))</f>
        <v>0</v>
      </c>
      <c r="J2436" s="17">
        <f>IF(A2441=A2442,_xll.ciqfunctions.udf.CIQ(A2433,"IQ_CASH_OPER",IQ_FY-7), _xll.ciqfunctions.udf.CIQ(A2433, "IQ_CASH_OPER",IQ_FY-6))</f>
        <v>0</v>
      </c>
      <c r="K2436" s="17">
        <f>IF(A2441=A2442,_xll.ciqfunctions.udf.CIQ(A2433,"IQ_CAPEX",IQ_FY-7), _xll.ciqfunctions.udf.CIQ(A2433, "IQ_CAPEX",IQ_FY-6))</f>
        <v>0</v>
      </c>
      <c r="L2436" s="15" t="e">
        <f t="shared" si="648"/>
        <v>#DIV/0!</v>
      </c>
      <c r="M2436" s="17">
        <f>IF(A2441=A2442,_xll.ciqfunctions.udf.CIQ(A2433,"IQ_TOTAL_DEBT_ISSUED",IQ_FY-7), _xll.ciqfunctions.udf.CIQ(A2433, "IQ_TOTAL_DEBT_ISSUED",IQ_FY-6))</f>
        <v>0</v>
      </c>
      <c r="N2436" s="17">
        <f>IF(A2441=A2442,_xll.ciqfunctions.udf.CIQ(A2433,"IQ_TOTAL_DEBT_REPAID",IQ_FY-7), _xll.ciqfunctions.udf.CIQ(A2433, "IQ_TOTAL_DEBT_REPAID",IQ_FY-6))</f>
        <v>0</v>
      </c>
      <c r="O2436" s="15" t="e">
        <f t="shared" si="649"/>
        <v>#DIV/0!</v>
      </c>
      <c r="P2436" s="15" t="e">
        <f t="shared" si="650"/>
        <v>#DIV/0!</v>
      </c>
      <c r="Q2436" s="25" t="s">
        <v>23</v>
      </c>
      <c r="R2436" s="38" t="s">
        <v>24</v>
      </c>
      <c r="S2436" s="1" t="e">
        <f>R2432/(AVERAGE(H2438:H2443)*(1+H2444)/(0.5-H2444))</f>
        <v>#DIV/0!</v>
      </c>
      <c r="U2436" s="25" t="s">
        <v>40</v>
      </c>
      <c r="V2436" s="38" t="s">
        <v>24</v>
      </c>
      <c r="W2436" s="1" t="e">
        <f>V2432/(AVERAGE(H2438:H2443)*(1+H2444)/(0.5-H2444))</f>
        <v>#DIV/0!</v>
      </c>
      <c r="Y2436" s="25" t="s">
        <v>47</v>
      </c>
      <c r="Z2436" s="38" t="s">
        <v>24</v>
      </c>
      <c r="AA2436" s="1" t="e">
        <f>Z2432/(AVERAGE(H2438:H2443)*(1+H2444)/(0.5-H2444))</f>
        <v>#DIV/0!</v>
      </c>
    </row>
    <row r="2437" spans="1:27">
      <c r="B2437" s="13">
        <v>5</v>
      </c>
      <c r="C2437" s="14" t="s">
        <v>25</v>
      </c>
      <c r="D2437" s="15" t="e" cm="1">
        <f t="array" ref="D2437">_xlfn.SINGLE(IF(A2441=A2442,_xll.ciqfunctions.udf.CIQ(A2433,"IQ_TOTAL_REV",IQ_FY-6)/I2437, _xll.ciqfunctions.udf.CIQ(A2433, "IQ_TOTAL_REV",IQ_FY-5)/I2437))</f>
        <v>#DIV/0!</v>
      </c>
      <c r="E2437" s="16" t="e">
        <f t="shared" si="651"/>
        <v>#DIV/0!</v>
      </c>
      <c r="F2437" s="15">
        <f>IF(A2441=A2442,_xll.ciqfunctions.udf.CIQ(A2433,"IQ_DILUT_EPS_EXCL",IQ_FY-6), _xll.ciqfunctions.udf.CIQ(A2433, "IQ_DILUT_EPS_EXCL",IQ_FY-5))</f>
        <v>0</v>
      </c>
      <c r="G2437" s="15">
        <f>IF(A2441=A2442,_xll.ciqfunctions.udf.CIQ(A2433,"IQ_EBITDA_MARGIN",IQ_FY-6), _xll.ciqfunctions.udf.CIQ(A2433, "IQ_EBITDA_MARGIN",IQ_FY-5))</f>
        <v>4.5007999999999999</v>
      </c>
      <c r="H2437" s="15" t="e">
        <f>IF(A2441=A2442,_xll.ciqfunctions.udf.CIQ(A2433,"IQ_TOTAL_DIV_PAID_CF",IQ_FY-6)/-I2437, _xll.ciqfunctions.udf.CIQ(A2433, "IQ_TOTAL_DIV_PAID_CF",IQ_FY-5)/-I2437)</f>
        <v>#DIV/0!</v>
      </c>
      <c r="I2437" s="17">
        <f>IF(A2441=A2442,_xll.ciqfunctions.udf.CIQ(A2433,"IQ_TOTAL_OUTSTANDING_FILING_DATE",IQ_FY-6), _xll.ciqfunctions.udf.CIQ(A2433, "IQ_TOTAL_OUTSTANDING_FILING_DATE",IQ_FY-5))</f>
        <v>0</v>
      </c>
      <c r="J2437" s="17">
        <f>IF(A2441=A2442,_xll.ciqfunctions.udf.CIQ(A2433,"IQ_CASH_OPER",IQ_FY-6), _xll.ciqfunctions.udf.CIQ(A2433, "IQ_CASH_OPER",IQ_FY-5))</f>
        <v>674</v>
      </c>
      <c r="K2437" s="17">
        <f>IF(A2441=A2442,_xll.ciqfunctions.udf.CIQ(A2433,"IQ_CAPEX",IQ_FY-6), _xll.ciqfunctions.udf.CIQ(A2433, "IQ_CAPEX",IQ_FY-5))</f>
        <v>-1563</v>
      </c>
      <c r="L2437" s="15" t="e">
        <f t="shared" si="648"/>
        <v>#DIV/0!</v>
      </c>
      <c r="M2437" s="17">
        <f>IF(A2441=A2442,_xll.ciqfunctions.udf.CIQ(A2433,"IQ_TOTAL_DEBT_ISSUED",IQ_FY-6), _xll.ciqfunctions.udf.CIQ(A2433, "IQ_TOTAL_DEBT_ISSUED",IQ_FY-5))</f>
        <v>0</v>
      </c>
      <c r="N2437" s="17">
        <f>IF(A2441=A2442,_xll.ciqfunctions.udf.CIQ(A2433,"IQ_TOTAL_DEBT_REPAID",IQ_FY-6), _xll.ciqfunctions.udf.CIQ(A2433, "IQ_TOTAL_DEBT_REPAID",IQ_FY-5))</f>
        <v>0</v>
      </c>
      <c r="O2437" s="15" t="e">
        <f t="shared" si="649"/>
        <v>#DIV/0!</v>
      </c>
      <c r="P2437" s="15" t="e">
        <f t="shared" si="650"/>
        <v>#DIV/0!</v>
      </c>
      <c r="Q2437" s="18"/>
      <c r="R2437" s="38" t="s">
        <v>50</v>
      </c>
      <c r="S2437" s="3">
        <f>I2444</f>
        <v>4.7418748426986124E-3</v>
      </c>
      <c r="U2437" s="18"/>
      <c r="V2437" s="38" t="s">
        <v>50</v>
      </c>
      <c r="W2437" s="3">
        <f>I2444</f>
        <v>4.7418748426986124E-3</v>
      </c>
      <c r="Y2437" s="18"/>
      <c r="Z2437" s="38" t="s">
        <v>50</v>
      </c>
      <c r="AA2437" s="3">
        <f>I2444</f>
        <v>4.7418748426986124E-3</v>
      </c>
    </row>
    <row r="2438" spans="1:27">
      <c r="B2438" s="13">
        <v>6</v>
      </c>
      <c r="C2438" s="14" t="s">
        <v>26</v>
      </c>
      <c r="D2438" s="15" cm="1">
        <f t="array" ref="D2438">_xlfn.SINGLE(IF(A2441=A2442,_xll.ciqfunctions.udf.CIQ(A2433,"IQ_TOTAL_REV",IQ_FY-5)/I2438, _xll.ciqfunctions.udf.CIQ(A2433, "IQ_TOTAL_REV",IQ_FY-4)/I2438))</f>
        <v>90.490852298081222</v>
      </c>
      <c r="E2438" s="16" t="e">
        <f t="shared" si="651"/>
        <v>#DIV/0!</v>
      </c>
      <c r="F2438" s="15">
        <f>IF(A2441=A2442,_xll.ciqfunctions.udf.CIQ(A2433,"IQ_DILUT_EPS_EXCL",IQ_FY-5), _xll.ciqfunctions.udf.CIQ(A2433, "IQ_DILUT_EPS_EXCL",IQ_FY-4))</f>
        <v>-4.21</v>
      </c>
      <c r="G2438" s="15">
        <f>IF(A2441=A2442,_xll.ciqfunctions.udf.CIQ(A2433,"IQ_EBITDA_MARGIN",IQ_FY-5), _xll.ciqfunctions.udf.CIQ(A2433, "IQ_EBITDA_MARGIN",IQ_FY-4))</f>
        <v>4.8079000000000001</v>
      </c>
      <c r="H2438" s="15">
        <f>IF(A2441=A2442,_xll.ciqfunctions.udf.CIQ(A2433,"IQ_TOTAL_DIV_PAID_CF",IQ_FY-5)/-I2438, _xll.ciqfunctions.udf.CIQ(A2433, "IQ_TOTAL_DIV_PAID_CF",IQ_FY-4)/-I2438)</f>
        <v>0</v>
      </c>
      <c r="I2438" s="17">
        <f>IF(A2441=A2442,_xll.ciqfunctions.udf.CIQ(A2433,"IQ_TOTAL_OUTSTANDING_FILING_DATE",IQ_FY-5), _xll.ciqfunctions.udf.CIQ(A2433, "IQ_TOTAL_OUTSTANDING_FILING_DATE",IQ_FY-4))</f>
        <v>224.1</v>
      </c>
      <c r="J2438" s="17">
        <f>IF(A2441=A2442,_xll.ciqfunctions.udf.CIQ(A2433,"IQ_CASH_OPER",IQ_FY-5), _xll.ciqfunctions.udf.CIQ(A2433, "IQ_CASH_OPER",IQ_FY-4))</f>
        <v>1134</v>
      </c>
      <c r="K2438" s="17">
        <f>IF(A2441=A2442,_xll.ciqfunctions.udf.CIQ(A2433,"IQ_CAPEX",IQ_FY-5), _xll.ciqfunctions.udf.CIQ(A2433, "IQ_CAPEX",IQ_FY-4))</f>
        <v>-1190</v>
      </c>
      <c r="L2438" s="15">
        <f t="shared" si="648"/>
        <v>-0.249888442659527</v>
      </c>
      <c r="M2438" s="17">
        <f>IF(A2441=A2442,_xll.ciqfunctions.udf.CIQ(A2433,"IQ_TOTAL_DEBT_ISSUED",IQ_FY-5), _xll.ciqfunctions.udf.CIQ(A2433, "IQ_TOTAL_DEBT_ISSUED",IQ_FY-4))</f>
        <v>0</v>
      </c>
      <c r="N2438" s="17">
        <f>IF(A2441=A2442,_xll.ciqfunctions.udf.CIQ(A2433,"IQ_TOTAL_DEBT_REPAID",IQ_FY-5), _xll.ciqfunctions.udf.CIQ(A2433, "IQ_TOTAL_DEBT_REPAID",IQ_FY-4))</f>
        <v>-18</v>
      </c>
      <c r="O2438" s="15">
        <f t="shared" si="649"/>
        <v>-8.0321285140562249E-2</v>
      </c>
      <c r="P2438" s="15">
        <f t="shared" si="650"/>
        <v>-0.33020972780008928</v>
      </c>
      <c r="Q2438" s="25" t="s">
        <v>27</v>
      </c>
      <c r="R2438" s="38" t="s">
        <v>51</v>
      </c>
      <c r="S2438" s="4">
        <f>AVERAGE(F2438:F2443)/AVERAGE(D2438:D2443)</f>
        <v>-8.8956213980707341E-2</v>
      </c>
      <c r="U2438" s="25" t="s">
        <v>58</v>
      </c>
      <c r="V2438" s="38" t="s">
        <v>51</v>
      </c>
      <c r="W2438" s="4">
        <f>AVERAGE(F2438:F2443)/AVERAGE(D2438:D2443)</f>
        <v>-8.8956213980707341E-2</v>
      </c>
      <c r="Y2438" s="25" t="s">
        <v>56</v>
      </c>
      <c r="Z2438" s="38" t="s">
        <v>51</v>
      </c>
      <c r="AA2438" s="4">
        <f>AVERAGE(F2438:F2443)/AVERAGE(D2438:D2443)</f>
        <v>-8.8956213980707341E-2</v>
      </c>
    </row>
    <row r="2439" spans="1:27">
      <c r="A2439" s="18"/>
      <c r="B2439" s="13">
        <v>7</v>
      </c>
      <c r="C2439" s="14" t="s">
        <v>28</v>
      </c>
      <c r="D2439" s="15" cm="1">
        <f t="array" ref="D2439">_xlfn.SINGLE(IF(A2441=A2442,_xll.ciqfunctions.udf.CIQ(A2433,"IQ_TOTAL_REV",IQ_FY-4)/I2439, _xll.ciqfunctions.udf.CIQ(A2433, "IQ_TOTAL_REV",IQ_FY-3)/I2439))</f>
        <v>86.354306113342261</v>
      </c>
      <c r="E2439" s="16">
        <f t="shared" si="651"/>
        <v>-4.5712313230435481E-2</v>
      </c>
      <c r="F2439" s="15">
        <f>IF(A2441=A2442,_xll.ciqfunctions.udf.CIQ(A2433,"IQ_DILUT_EPS_EXCL",IQ_FY-4), _xll.ciqfunctions.udf.CIQ(A2433, "IQ_DILUT_EPS_EXCL",IQ_FY-3))</f>
        <v>-8.9600000000000009</v>
      </c>
      <c r="G2439" s="15">
        <f>IF(A2441=A2442,_xll.ciqfunctions.udf.CIQ(A2433,"IQ_EBITDA_MARGIN",IQ_FY-4), _xll.ciqfunctions.udf.CIQ(A2433, "IQ_EBITDA_MARGIN",IQ_FY-3))</f>
        <v>-1.0230999999999999</v>
      </c>
      <c r="H2439" s="15">
        <f>IF(A2441=A2442,_xll.ciqfunctions.udf.CIQ(A2433,"IQ_TOTAL_DIV_PAID_CF",IQ_FY-4)/-I2439, _xll.ciqfunctions.udf.CIQ(A2433, "IQ_TOTAL_DIV_PAID_CF",IQ_FY-3)/-I2439)</f>
        <v>0</v>
      </c>
      <c r="I2439" s="17">
        <f>IF(A2441=A2442,_xll.ciqfunctions.udf.CIQ(A2433,"IQ_TOTAL_OUTSTANDING_FILING_DATE",IQ_FY-4), _xll.ciqfunctions.udf.CIQ(A2433, "IQ_TOTAL_OUTSTANDING_FILING_DATE",IQ_FY-3))</f>
        <v>224.1</v>
      </c>
      <c r="J2439" s="17">
        <f>IF(A2441=A2442,_xll.ciqfunctions.udf.CIQ(A2433,"IQ_CASH_OPER",IQ_FY-4), _xll.ciqfunctions.udf.CIQ(A2433, "IQ_CASH_OPER",IQ_FY-3))</f>
        <v>628</v>
      </c>
      <c r="K2439" s="17">
        <f>IF(A2441=A2442,_xll.ciqfunctions.udf.CIQ(A2433,"IQ_CAPEX",IQ_FY-4), _xll.ciqfunctions.udf.CIQ(A2433, "IQ_CAPEX",IQ_FY-3))</f>
        <v>-1036</v>
      </c>
      <c r="L2439" s="15">
        <f t="shared" si="648"/>
        <v>-1.820615796519411</v>
      </c>
      <c r="M2439" s="17">
        <f>IF(A2441=A2442,_xll.ciqfunctions.udf.CIQ(A2433,"IQ_TOTAL_DEBT_ISSUED",IQ_FY-4), _xll.ciqfunctions.udf.CIQ(A2433, "IQ_TOTAL_DEBT_ISSUED",IQ_FY-3))</f>
        <v>0</v>
      </c>
      <c r="N2439" s="17">
        <f>IF(A2441=A2442,_xll.ciqfunctions.udf.CIQ(A2433,"IQ_TOTAL_DEBT_REPAID",IQ_FY-4), _xll.ciqfunctions.udf.CIQ(A2433, "IQ_TOTAL_DEBT_REPAID",IQ_FY-3))</f>
        <v>-66</v>
      </c>
      <c r="O2439" s="15">
        <f t="shared" si="649"/>
        <v>-0.29451137884872824</v>
      </c>
      <c r="P2439" s="15">
        <f t="shared" si="650"/>
        <v>-2.1151271753681393</v>
      </c>
      <c r="Q2439" s="18"/>
      <c r="R2439" s="38" t="s">
        <v>29</v>
      </c>
      <c r="S2439" s="4">
        <f>(AVERAGE(P2438:P2443)/_xlfn.STDEV.P(P2438:P2443))/(IF(A2441=A2442,(_xlfn.SINGLE(_xll.ciqfunctions.udf.CIQ(A2433,"IQ_total_assets",IQ_FY)) - _xlfn.SINGLE(_xll.ciqfunctions.udf.CIQ(A2433,"iq_gw_intan", IQ_FY)))/I2443, (_xlfn.SINGLE(_xll.ciqfunctions.udf.CIQ(A2433, "IQ_total_assets",IQ_LTM))-_xlfn.SINGLE(_xll.ciqfunctions.udf.CIQ(A2433,"iq_gw_intan",IQ_LTM)))/I2443))</f>
        <v>1.0205183852512716E-2</v>
      </c>
      <c r="U2439" s="18"/>
      <c r="V2439" s="38" t="s">
        <v>29</v>
      </c>
      <c r="W2439" s="4">
        <f>(AVERAGE(P2438:P2443)/_xlfn.STDEV.P(P2438:P2443))/(IF(A2441=A2442,(_xlfn.SINGLE(_xll.ciqfunctions.udf.CIQ(A2433,"IQ_total_assets",IQ_FY)) - _xlfn.SINGLE(_xll.ciqfunctions.udf.CIQ(A2433,"iq_gw_intan", IQ_FY)))/I2443, (_xlfn.SINGLE(_xll.ciqfunctions.udf.CIQ(A2433, "IQ_total_assets",IQ_LTM))-_xlfn.SINGLE(_xll.ciqfunctions.udf.CIQ(A2433,"iq_gw_intan",IQ_LTM)))/I2443))</f>
        <v>1.0205183852512716E-2</v>
      </c>
      <c r="Y2439" s="18"/>
      <c r="Z2439" s="38" t="s">
        <v>29</v>
      </c>
      <c r="AA2439" s="4">
        <f>(AVERAGE(P2438:P2443)/_xlfn.STDEV.P(P2438:P2443))/(IF(A2441=A2442,(_xlfn.SINGLE(_xll.ciqfunctions.udf.CIQ(A2433,"IQ_total_assets",IQ_FY)) - _xlfn.SINGLE(_xll.ciqfunctions.udf.CIQ(A2433,"iq_gw_intan", IQ_FY)))/I2443, (_xlfn.SINGLE(_xll.ciqfunctions.udf.CIQ(A2433, "IQ_total_assets",IQ_LTM))-_xlfn.SINGLE(_xll.ciqfunctions.udf.CIQ(A2433,"iq_gw_intan",IQ_LTM)))/I2443))</f>
        <v>1.0205183852512716E-2</v>
      </c>
    </row>
    <row r="2440" spans="1:27">
      <c r="A2440" s="18"/>
      <c r="B2440" s="13">
        <v>8</v>
      </c>
      <c r="C2440" s="14" t="s">
        <v>30</v>
      </c>
      <c r="D2440" s="15" cm="1">
        <f t="array" ref="D2440">_xlfn.SINGLE(IF(A2441=A2442,_xll.ciqfunctions.udf.CIQ(A2433,"IQ_TOTAL_REV",IQ_FY-3)/I2440, _xll.ciqfunctions.udf.CIQ(A2433, "IQ_TOTAL_REV",IQ_FY-2)/I2440))</f>
        <v>83.088473882465152</v>
      </c>
      <c r="E2440" s="16">
        <f t="shared" si="651"/>
        <v>-3.7818985269716832E-2</v>
      </c>
      <c r="F2440" s="15">
        <f>IF(A2441=A2442,_xll.ciqfunctions.udf.CIQ(A2433,"IQ_DILUT_EPS_EXCL",IQ_FY-3), _xll.ciqfunctions.udf.CIQ(A2433, "IQ_DILUT_EPS_EXCL",IQ_FY-2))</f>
        <v>-10.28112</v>
      </c>
      <c r="G2440" s="15">
        <f>IF(A2441=A2442,_xll.ciqfunctions.udf.CIQ(A2433,"IQ_EBITDA_MARGIN",IQ_FY-3), _xll.ciqfunctions.udf.CIQ(A2433, "IQ_EBITDA_MARGIN",IQ_FY-2))</f>
        <v>3.1890999999999998</v>
      </c>
      <c r="H2440" s="15">
        <f>IF(A2441=A2442,_xll.ciqfunctions.udf.CIQ(A2433,"IQ_TOTAL_DIV_PAID_CF",IQ_FY-3)/-I2440, _xll.ciqfunctions.udf.CIQ(A2433, "IQ_TOTAL_DIV_PAID_CF",IQ_FY-2)/-I2440)</f>
        <v>0</v>
      </c>
      <c r="I2440" s="17">
        <f>IF(A2441=A2442,_xll.ciqfunctions.udf.CIQ(A2433,"IQ_TOTAL_OUTSTANDING_FILING_DATE",IQ_FY-3), _xll.ciqfunctions.udf.CIQ(A2433, "IQ_TOTAL_OUTSTANDING_FILING_DATE",IQ_FY-2))</f>
        <v>224.54378</v>
      </c>
      <c r="J2440" s="17">
        <f>IF(A2441=A2442,_xll.ciqfunctions.udf.CIQ(A2433,"IQ_CASH_OPER",IQ_FY-3), _xll.ciqfunctions.udf.CIQ(A2433, "IQ_CASH_OPER",IQ_FY-2))</f>
        <v>-119</v>
      </c>
      <c r="K2440" s="17">
        <f>IF(A2441=A2442,_xll.ciqfunctions.udf.CIQ(A2433,"IQ_CAPEX",IQ_FY-3), _xll.ciqfunctions.udf.CIQ(A2433, "IQ_CAPEX",IQ_FY-2))</f>
        <v>-752</v>
      </c>
      <c r="L2440" s="15">
        <f t="shared" si="648"/>
        <v>-3.8789762958475182</v>
      </c>
      <c r="M2440" s="17">
        <f>IF(A2441=A2442,_xll.ciqfunctions.udf.CIQ(A2433,"IQ_TOTAL_DEBT_ISSUED",IQ_FY-3), _xll.ciqfunctions.udf.CIQ(A2433, "IQ_TOTAL_DEBT_ISSUED",IQ_FY-2))</f>
        <v>3038</v>
      </c>
      <c r="N2440" s="17">
        <f>IF(A2441=A2442,_xll.ciqfunctions.udf.CIQ(A2433,"IQ_TOTAL_DEBT_REPAID",IQ_FY-3), _xll.ciqfunctions.udf.CIQ(A2433, "IQ_TOTAL_DEBT_REPAID",IQ_FY-2))</f>
        <v>-91</v>
      </c>
      <c r="O2440" s="15">
        <f t="shared" si="649"/>
        <v>13.124389372976619</v>
      </c>
      <c r="P2440" s="15">
        <f t="shared" si="650"/>
        <v>9.2454130771291005</v>
      </c>
      <c r="Q2440" s="18"/>
      <c r="R2440" s="39" t="s">
        <v>31</v>
      </c>
      <c r="S2440" s="5" t="e">
        <f>IF(NOT(D2433&gt;0),FALSE,SLOPE(G2433:G2443,B2433:B2443))</f>
        <v>#DIV/0!</v>
      </c>
      <c r="U2440" s="18"/>
      <c r="V2440" s="39" t="s">
        <v>31</v>
      </c>
      <c r="W2440" s="5" t="e">
        <f>IF(NOT(D2433&gt;0),FALSE,SLOPE(G2433:G2443,B2433:B2443))</f>
        <v>#DIV/0!</v>
      </c>
      <c r="Y2440" s="18"/>
      <c r="Z2440" s="39" t="s">
        <v>31</v>
      </c>
      <c r="AA2440" s="5" t="e">
        <f>IF(NOT(L2433&gt;0),FALSE,SLOPE(O2433:O2443,J2433:J2443))</f>
        <v>#DIV/0!</v>
      </c>
    </row>
    <row r="2441" spans="1:27">
      <c r="A2441" s="19">
        <f>_xll.ciqfunctions.udf.CIQ(A2433,"IQ_TOTAL_REV",IQ_FY)</f>
        <v>17026</v>
      </c>
      <c r="B2441" s="13">
        <v>9</v>
      </c>
      <c r="C2441" s="14" t="s">
        <v>32</v>
      </c>
      <c r="D2441" s="15" cm="1">
        <f t="array" ref="D2441">_xlfn.SINGLE(IF(A2441=A2442,_xll.ciqfunctions.udf.CIQ(A2433,"IQ_TOTAL_REV",IQ_FY-2)/I2441, _xll.ciqfunctions.udf.CIQ(A2433, "IQ_TOTAL_REV",IQ_FY-1)/I2441))</f>
        <v>81.590200445434292</v>
      </c>
      <c r="E2441" s="16">
        <f t="shared" si="651"/>
        <v>-1.803226569247475E-2</v>
      </c>
      <c r="F2441" s="15">
        <f>IF(A2441=A2442,_xll.ciqfunctions.udf.CIQ(A2433,"IQ_DILUT_EPS_EXCL",IQ_FY-2), _xll.ciqfunctions.udf.CIQ(A2433, "IQ_DILUT_EPS_EXCL",IQ_FY-1))</f>
        <v>-9.0987600000000004</v>
      </c>
      <c r="G2441" s="15">
        <f>IF(A2441=A2442,_xll.ciqfunctions.udf.CIQ(A2433,"IQ_EBITDA_MARGIN",IQ_FY-2), _xll.ciqfunctions.udf.CIQ(A2433, "IQ_EBITDA_MARGIN",IQ_FY-1))</f>
        <v>3.7122999999999999</v>
      </c>
      <c r="H2441" s="15">
        <f>IF(A2441=A2442,_xll.ciqfunctions.udf.CIQ(A2433,"IQ_TOTAL_DIV_PAID_CF",IQ_FY-2)/-I2441, _xll.ciqfunctions.udf.CIQ(A2433, "IQ_TOTAL_DIV_PAID_CF",IQ_FY-1)/-I2441)</f>
        <v>0</v>
      </c>
      <c r="I2441" s="17">
        <f>IF(A2441=A2442,_xll.ciqfunctions.udf.CIQ(A2433,"IQ_TOTAL_OUTSTANDING_FILING_DATE",IQ_FY-2), _xll.ciqfunctions.udf.CIQ(A2433, "IQ_TOTAL_OUTSTANDING_FILING_DATE",IQ_FY-1))</f>
        <v>224.5</v>
      </c>
      <c r="J2441" s="17">
        <f>IF(A2441=A2442,_xll.ciqfunctions.udf.CIQ(A2433,"IQ_CASH_OPER",IQ_FY-2), _xll.ciqfunctions.udf.CIQ(A2433, "IQ_CASH_OPER",IQ_FY-1))</f>
        <v>398</v>
      </c>
      <c r="K2441" s="17">
        <f>IF(A2441=A2442,_xll.ciqfunctions.udf.CIQ(A2433,"IQ_CAPEX",IQ_FY-2), _xll.ciqfunctions.udf.CIQ(A2433, "IQ_CAPEX",IQ_FY-1))</f>
        <v>-752</v>
      </c>
      <c r="L2441" s="15">
        <f t="shared" si="648"/>
        <v>-1.576837416481069</v>
      </c>
      <c r="M2441" s="17">
        <f>IF(A2441=A2442,_xll.ciqfunctions.udf.CIQ(A2433,"IQ_TOTAL_DEBT_ISSUED",IQ_FY-2), _xll.ciqfunctions.udf.CIQ(A2433, "IQ_TOTAL_DEBT_ISSUED",IQ_FY-1))</f>
        <v>3035</v>
      </c>
      <c r="N2441" s="17">
        <f>IF(A2441=A2442,_xll.ciqfunctions.udf.CIQ(A2433,"IQ_TOTAL_DEBT_REPAID",IQ_FY-2), _xll.ciqfunctions.udf.CIQ(A2433, "IQ_TOTAL_DEBT_REPAID",IQ_FY-1))</f>
        <v>-99</v>
      </c>
      <c r="O2441" s="15">
        <f t="shared" si="649"/>
        <v>13.077951002227172</v>
      </c>
      <c r="P2441" s="15">
        <f t="shared" si="650"/>
        <v>11.501113585746102</v>
      </c>
      <c r="Q2441" s="25" t="s">
        <v>33</v>
      </c>
      <c r="R2441" s="38" t="s">
        <v>52</v>
      </c>
      <c r="S2441" s="4">
        <f>(AVERAGE(O2438:O2443)/AVERAGE(P2438:P2443))</f>
        <v>1.6920731720033202</v>
      </c>
      <c r="U2441" s="25" t="s">
        <v>54</v>
      </c>
      <c r="V2441" s="38" t="s">
        <v>52</v>
      </c>
      <c r="W2441" s="4">
        <f>(AVERAGE(O2438:O2443)/AVERAGE(P2438:P2443))</f>
        <v>1.6920731720033202</v>
      </c>
      <c r="Y2441" s="25" t="s">
        <v>60</v>
      </c>
      <c r="Z2441" s="38" t="s">
        <v>52</v>
      </c>
      <c r="AA2441" s="4">
        <f>(AVERAGE(O2438:O2443)/AVERAGE(P2438:P2443))</f>
        <v>1.6920731720033202</v>
      </c>
    </row>
    <row r="2442" spans="1:27">
      <c r="A2442" s="19">
        <f>_xll.ciqfunctions.udf.CIQ(A2433,"IQ_TOTAL_REV",IQ_LTM)</f>
        <v>16825</v>
      </c>
      <c r="B2442" s="13">
        <v>10</v>
      </c>
      <c r="C2442" s="14" t="s">
        <v>34</v>
      </c>
      <c r="D2442" s="15" cm="1">
        <f t="array" ref="D2442">_xlfn.SINGLE(IF(A2441=A2442,_xll.ciqfunctions.udf.CIQ(A2433,"IQ_TOTAL_REV",IQ_FY-1)/I2442, _xll.ciqfunctions.udf.CIQ(A2433, "IQ_TOTAL_REV",IQ_FY)/I2442))</f>
        <v>74.726642734185802</v>
      </c>
      <c r="E2442" s="16">
        <f t="shared" si="651"/>
        <v>-8.412232932113807E-2</v>
      </c>
      <c r="F2442" s="15">
        <f>IF(A2441=A2442,_xll.ciqfunctions.udf.CIQ(A2433,"IQ_DILUT_EPS_EXCL",IQ_FY-1), _xll.ciqfunctions.udf.CIQ(A2433, "IQ_DILUT_EPS_EXCL",IQ_FY))</f>
        <v>-6.0608700000000004</v>
      </c>
      <c r="G2442" s="15">
        <f>IF(A2441=A2442,_xll.ciqfunctions.udf.CIQ(A2433,"IQ_EBITDA_MARGIN",IQ_FY-1), _xll.ciqfunctions.udf.CIQ(A2433, "IQ_EBITDA_MARGIN",IQ_FY))</f>
        <v>2.7780999999999998</v>
      </c>
      <c r="H2442" s="15">
        <f>IF(A2441=A2442,_xll.ciqfunctions.udf.CIQ(A2433,"IQ_TOTAL_DIV_PAID_CF",IQ_FY-1)/-I2442, _xll.ciqfunctions.udf.CIQ(A2433, "IQ_TOTAL_DIV_PAID_CF",IQ_FY)/-I2442)</f>
        <v>0</v>
      </c>
      <c r="I2442" s="17">
        <f>IF(A2441=A2442,_xll.ciqfunctions.udf.CIQ(A2433,"IQ_TOTAL_OUTSTANDING_FILING_DATE",IQ_FY-1), _xll.ciqfunctions.udf.CIQ(A2433, "IQ_TOTAL_OUTSTANDING_FILING_DATE",IQ_FY))</f>
        <v>227.84377000000001</v>
      </c>
      <c r="J2442" s="17">
        <f>IF(A2441=A2442,_xll.ciqfunctions.udf.CIQ(A2433,"IQ_CASH_OPER",IQ_FY-1), _xll.ciqfunctions.udf.CIQ(A2433, "IQ_CASH_OPER",IQ_FY))</f>
        <v>781</v>
      </c>
      <c r="K2442" s="17">
        <f>IF(A2441=A2442,_xll.ciqfunctions.udf.CIQ(A2433,"IQ_CAPEX",IQ_FY-1), _xll.ciqfunctions.udf.CIQ(A2433, "IQ_CAPEX",IQ_FY))</f>
        <v>-865</v>
      </c>
      <c r="L2442" s="15">
        <f t="shared" si="648"/>
        <v>-0.36867367494840869</v>
      </c>
      <c r="M2442" s="17">
        <f>IF(A2441=A2442,_xll.ciqfunctions.udf.CIQ(A2433,"IQ_TOTAL_DEBT_ISSUED",IQ_FY-1), _xll.ciqfunctions.udf.CIQ(A2433, "IQ_TOTAL_DEBT_ISSUED",IQ_FY))</f>
        <v>0</v>
      </c>
      <c r="N2442" s="17">
        <f>IF(A2441=A2442,_xll.ciqfunctions.udf.CIQ(A2433,"IQ_TOTAL_DEBT_REPAID",IQ_FY-1), _xll.ciqfunctions.udf.CIQ(A2433, "IQ_TOTAL_DEBT_REPAID",IQ_FY))</f>
        <v>-118</v>
      </c>
      <c r="O2442" s="15">
        <f t="shared" si="649"/>
        <v>-0.51789873385609797</v>
      </c>
      <c r="P2442" s="15">
        <f t="shared" si="650"/>
        <v>-0.88657240880450661</v>
      </c>
      <c r="Q2442" s="25" t="s">
        <v>44</v>
      </c>
      <c r="R2442" s="38" t="s">
        <v>35</v>
      </c>
      <c r="S2442" s="1">
        <f>_xll.ciqfunctions.udf.CIQ(A2433,"IQ_TEV_EBITDA")</f>
        <v>6.0506099999999998</v>
      </c>
      <c r="U2442" s="25" t="s">
        <v>55</v>
      </c>
      <c r="V2442" s="38" t="s">
        <v>53</v>
      </c>
      <c r="W2442" s="1" t="e">
        <f>V2432/(AVERAGE(D2438:D2443)/_xlfn.STDEV.P(E2438:E2443))</f>
        <v>#DIV/0!</v>
      </c>
      <c r="Y2442" s="25" t="s">
        <v>57</v>
      </c>
      <c r="Z2442" s="38" t="s">
        <v>53</v>
      </c>
      <c r="AA2442" s="1" t="e">
        <f>Z2432/(AVERAGE(D2438:D2443)/_xlfn.STDEV.P(E2438:E2443))</f>
        <v>#DIV/0!</v>
      </c>
    </row>
    <row r="2443" spans="1:27">
      <c r="B2443" s="13">
        <v>11</v>
      </c>
      <c r="C2443" s="20" t="s">
        <v>36</v>
      </c>
      <c r="D2443" s="21" cm="1">
        <f t="array" ref="D2443">_xlfn.SINGLE(IF(A2441=A2442,_xll.ciqfunctions.udf.CIQ(A2433,"IQ_TOTAL_REV",IQ_FY)/I2443, _xll.ciqfunctions.udf.CIQ(A2433, "IQ_TOTAL_REV",IQ_LTM)/I2443))</f>
        <v>73.323080449691659</v>
      </c>
      <c r="E2443" s="22">
        <f t="shared" si="651"/>
        <v>-1.8782622009218725E-2</v>
      </c>
      <c r="F2443" s="21">
        <f>IF(A2441=A2442,_xll.ciqfunctions.udf.CIQ(A2433,"IQ_DILUT_EPS_EXCL",IQ_FY), _xll.ciqfunctions.udf.CIQ(A2433, "IQ_DILUT_EPS_EXCL",IQ_LTM))</f>
        <v>-4.9398600000000004</v>
      </c>
      <c r="G2443" s="21">
        <f>IF(A2441=A2442,_xll.ciqfunctions.udf.CIQ(A2433,"IQ_EBITDA_MARGIN",IQ_FY), _xll.ciqfunctions.udf.CIQ(A2433, "IQ_EBITDA_MARGIN",IQ_LTM))</f>
        <v>3.6848999999999998</v>
      </c>
      <c r="H2443" s="21">
        <f>IF(A2441=A2442,_xll.ciqfunctions.udf.CIQ(A2433,"IQ_TOTAL_DIV_PAID_CF",IQ_FY)/-I2443, _xll.ciqfunctions.udf.CIQ(A2433, "IQ_TOTAL_DIV_PAID_CF",IQ_LTM)/-I2443)</f>
        <v>0</v>
      </c>
      <c r="I2443" s="23">
        <f>IF(A2441=A2442,_xll.ciqfunctions.udf.CIQ(A2433,"IQ_TOTAL_OUTSTANDING_FILING_DATE",IQ_FY),_xll.ciqfunctions.udf.CIQ(A2433,"IQ_sharesoutstanding"))</f>
        <v>229.4639</v>
      </c>
      <c r="J2443" s="23">
        <f>IF(A2441=A2442,_xll.ciqfunctions.udf.CIQ(A2433,"IQ_CASH_OPER",IQ_FY), _xll.ciqfunctions.udf.CIQ(A2433, "IQ_CASH_OPER",IQ_LTM))</f>
        <v>163</v>
      </c>
      <c r="K2443" s="23">
        <f>IF(A2441=A2442,_xll.ciqfunctions.udf.CIQ(A2433,"IQ_CAPEX",IQ_FY), _xll.ciqfunctions.udf.CIQ(A2433, "IQ_CAPEX",IQ_LTM))</f>
        <v>-674</v>
      </c>
      <c r="L2443" s="21">
        <f t="shared" si="648"/>
        <v>-2.2269298133606203</v>
      </c>
      <c r="M2443" s="23">
        <f>IF(A2441=A2442,_xll.ciqfunctions.udf.CIQ(A2433,"IQ_TOTAL_DEBT_ISSUED",IQ_FY), _xll.ciqfunctions.udf.CIQ(A2433, "IQ_TOTAL_DEBT_ISSUED",IQ_LTM))</f>
        <v>0</v>
      </c>
      <c r="N2443" s="23">
        <f>IF(A2441=A2442,_xll.ciqfunctions.udf.CIQ(A2433,"IQ_TOTAL_DEBT_REPAID",IQ_FY), _xll.ciqfunctions.udf.CIQ(A2433, "IQ_TOTAL_DEBT_REPAID",IQ_LTM))</f>
        <v>-129</v>
      </c>
      <c r="O2443" s="21">
        <f t="shared" si="649"/>
        <v>-0.56217993331412919</v>
      </c>
      <c r="P2443" s="21">
        <f t="shared" si="650"/>
        <v>-2.7891097466747494</v>
      </c>
      <c r="Q2443" s="25" t="s">
        <v>45</v>
      </c>
      <c r="S2443" s="45"/>
      <c r="U2443" s="25"/>
      <c r="W2443" s="45"/>
      <c r="Y2443" s="25"/>
      <c r="AA2443" s="45"/>
    </row>
    <row r="2444" spans="1:27">
      <c r="B2444" s="24"/>
      <c r="C2444" s="25" t="s">
        <v>37</v>
      </c>
      <c r="E2444" s="26">
        <f>((D2443/D2438)^(1/5))-1</f>
        <v>-4.1201811756023887E-2</v>
      </c>
      <c r="F2444" s="27">
        <f>((F2443/F2438)^(1/5))-1</f>
        <v>3.2491557025491113E-2</v>
      </c>
      <c r="G2444" s="28"/>
      <c r="H2444" s="27" t="e">
        <f>((H2443/H2438)^(1/5))-1</f>
        <v>#DIV/0!</v>
      </c>
      <c r="I2444" s="27">
        <f>((I2443/I2438)^(1/5))-1</f>
        <v>4.7418748426986124E-3</v>
      </c>
      <c r="J2444" s="27"/>
      <c r="K2444" s="27"/>
      <c r="L2444" s="26">
        <f>((L2443/L2438)^(1/5))-1</f>
        <v>0.54878834498981055</v>
      </c>
      <c r="M2444" s="26"/>
      <c r="N2444" s="26"/>
      <c r="O2444" s="26"/>
      <c r="P2444" s="26">
        <f>((P2443/P2438)^(1/5))-1</f>
        <v>0.53226946839724953</v>
      </c>
      <c r="Q2444" s="18"/>
      <c r="R2444" s="36"/>
      <c r="S2444" s="45"/>
      <c r="U2444" s="18"/>
      <c r="V2444" s="36"/>
      <c r="W2444" s="45"/>
      <c r="Y2444" s="18"/>
      <c r="Z2444" s="36"/>
      <c r="AA2444" s="45"/>
    </row>
    <row r="2445" spans="1:27">
      <c r="A2445" s="29"/>
      <c r="B2445" s="30"/>
      <c r="C2445" s="31" t="s">
        <v>38</v>
      </c>
      <c r="D2445" s="29"/>
      <c r="E2445" s="32" t="e">
        <f>((D2443/D2433)^(1/10))-1</f>
        <v>#DIV/0!</v>
      </c>
      <c r="F2445" s="33" t="e">
        <f>((F2443/F2433)^(1/10))-1</f>
        <v>#DIV/0!</v>
      </c>
      <c r="G2445" s="34"/>
      <c r="H2445" s="33" t="e">
        <f>((H2443/H2433)^(1/10))-1</f>
        <v>#DIV/0!</v>
      </c>
      <c r="I2445" s="33" t="e">
        <f>((I2443/I2433)^(1/10))-1</f>
        <v>#DIV/0!</v>
      </c>
      <c r="J2445" s="33"/>
      <c r="K2445" s="33"/>
      <c r="L2445" s="32" t="e">
        <f>((L2443/L2433)^(1/10))-1</f>
        <v>#DIV/0!</v>
      </c>
      <c r="M2445" s="32"/>
      <c r="N2445" s="32"/>
      <c r="O2445" s="32"/>
      <c r="P2445" s="32" t="e">
        <f>((P2443/P2433)^(1/10))-1</f>
        <v>#DIV/0!</v>
      </c>
      <c r="Q2445" s="40"/>
      <c r="R2445" s="41"/>
      <c r="S2445" s="46"/>
      <c r="U2445" s="40"/>
      <c r="V2445" s="41"/>
      <c r="W2445" s="46"/>
      <c r="Y2445" s="40"/>
      <c r="Z2445" s="41"/>
      <c r="AA2445" s="46"/>
    </row>
    <row r="2446" spans="1:27">
      <c r="B2446" s="24"/>
      <c r="C2446" s="25"/>
      <c r="E2446" s="26"/>
      <c r="F2446" s="27"/>
      <c r="G2446" s="28"/>
      <c r="H2446" s="27"/>
      <c r="I2446" s="27"/>
      <c r="J2446" s="27"/>
      <c r="K2446" s="27"/>
      <c r="L2446" s="26"/>
      <c r="M2446" s="17"/>
      <c r="N2446" s="17"/>
      <c r="O2446" s="17"/>
      <c r="P2446" s="35"/>
      <c r="Q2446" s="18"/>
      <c r="R2446" s="36"/>
    </row>
    <row r="2447" spans="1:27">
      <c r="A2447" s="9" t="s">
        <v>0</v>
      </c>
      <c r="B2447" s="10"/>
      <c r="C2447" s="9" t="s">
        <v>1</v>
      </c>
      <c r="D2447" s="9" t="s">
        <v>2</v>
      </c>
      <c r="E2447" s="9" t="s">
        <v>3</v>
      </c>
      <c r="F2447" s="11" t="s">
        <v>4</v>
      </c>
      <c r="G2447" s="11" t="s">
        <v>5</v>
      </c>
      <c r="H2447" s="9" t="s">
        <v>6</v>
      </c>
      <c r="I2447" s="11" t="s">
        <v>7</v>
      </c>
      <c r="J2447" s="11" t="s">
        <v>8</v>
      </c>
      <c r="K2447" s="11" t="s">
        <v>9</v>
      </c>
      <c r="L2447" s="11" t="s">
        <v>10</v>
      </c>
      <c r="M2447" s="11" t="s">
        <v>11</v>
      </c>
      <c r="N2447" s="11" t="s">
        <v>12</v>
      </c>
      <c r="O2447" s="11" t="s">
        <v>13</v>
      </c>
      <c r="P2447" s="11" t="s">
        <v>14</v>
      </c>
      <c r="Q2447" s="37" t="s">
        <v>15</v>
      </c>
      <c r="R2447" s="42">
        <f>_xll.ciqfunctions.udf.CIQ(A2448,("IQ_LASTSALEPRICE"))</f>
        <v>28.85</v>
      </c>
      <c r="S2447" s="44"/>
      <c r="U2447" s="37" t="s">
        <v>15</v>
      </c>
      <c r="V2447" s="42">
        <f>_xll.ciqfunctions.udf.CIQ(A2448,("IQ_LASTSALEPRICE"))</f>
        <v>28.85</v>
      </c>
      <c r="W2447" s="44"/>
      <c r="Y2447" s="37" t="s">
        <v>15</v>
      </c>
      <c r="Z2447" s="42">
        <f>_xll.ciqfunctions.udf.CIQ(A2448,("IQ_LASTSALEPRICE"))</f>
        <v>28.85</v>
      </c>
      <c r="AA2447" s="44"/>
    </row>
    <row r="2448" spans="1:27">
      <c r="A2448" s="12" t="str">
        <f>Analysis!B165</f>
        <v>NYSE:DOCN</v>
      </c>
      <c r="B2448" s="13">
        <v>1</v>
      </c>
      <c r="C2448" s="14" t="s">
        <v>16</v>
      </c>
      <c r="D2448" s="15" t="e">
        <f>IF(A2456=A2457,_xll.ciqfunctions.udf.CIQ(A2448,"IQ_TOTAL_REV",IQ_FY-10)/I2448,_xll.ciqfunctions.udf.CIQ(A2448, "IQ_TOTAL_REV",IQ_FY-9)/I2448)</f>
        <v>#DIV/0!</v>
      </c>
      <c r="E2448" s="16"/>
      <c r="F2448" s="15">
        <f>IF(A2456=A2457,_xll.ciqfunctions.udf.CIQ(A2448,"IQ_DILUT_EPS_EXCL",IQ_FY-10), _xll.ciqfunctions.udf.CIQ(A2448, "IQ_DILUT_EPS_EXCL",IQ_FY-9))</f>
        <v>0</v>
      </c>
      <c r="G2448" s="15">
        <f>IF(A2456=A2457,_xll.ciqfunctions.udf.CIQ(A2448,"IQ_EBITDA_MARGIN",IQ_FY-10), _xll.ciqfunctions.udf.CIQ(A2448, "IQ_EBITDA_MARGIN",IQ_FY-9))</f>
        <v>0</v>
      </c>
      <c r="H2448" s="15" t="e">
        <f>IF(A2456=A2457,_xll.ciqfunctions.udf.CIQ(A2448,"IQ_TOTAL_DIV_PAID_CF",IQ_FY-10)/-I2448, _xll.ciqfunctions.udf.CIQ(A2448, "IQ_TOTAL_DIV_PAID_CF",IQ_FY-9)/-I2448)</f>
        <v>#DIV/0!</v>
      </c>
      <c r="I2448" s="17">
        <f>IF(A2456=A2457,_xll.ciqfunctions.udf.CIQ(A2448,"IQ_TOTAL_OUTSTANDING_FILING_DATE",IQ_FY-10), _xll.ciqfunctions.udf.CIQ(A2448, "IQ_TOTAL_OUTSTANDING_FILING_DATE",IQ_FY-9))</f>
        <v>0</v>
      </c>
      <c r="J2448" s="17">
        <f>IF(A2456=A2457,_xll.ciqfunctions.udf.CIQ(A2448,"IQ_CASH_OPER",IQ_FY-10), _xll.ciqfunctions.udf.CIQ(A2448, "IQ_CASH_OPER",IQ_FY-9))</f>
        <v>0</v>
      </c>
      <c r="K2448" s="17">
        <f>IF(A2456=A2457,_xll.ciqfunctions.udf.CIQ(A2448,"IQ_CAPEX",IQ_FY-10), _xll.ciqfunctions.udf.CIQ(A2448, "IQ_CAPEX",IQ_FY-9))</f>
        <v>0</v>
      </c>
      <c r="L2448" s="15" t="e">
        <f t="shared" ref="L2448:L2458" si="652">(J2448+K2448)/I2448</f>
        <v>#DIV/0!</v>
      </c>
      <c r="M2448" s="17">
        <f>IF(A2456=A2457,_xll.ciqfunctions.udf.CIQ(A2448,"IQ_TOTAL_DEBT_ISSUED",IQ_FY-10), _xll.ciqfunctions.udf.CIQ(A2448, "IQ_TOTAL_DEBT_ISSUED",IQ_FY-9))</f>
        <v>0</v>
      </c>
      <c r="N2448" s="17">
        <f>IF(A2456=A2457,_xll.ciqfunctions.udf.CIQ(A2448,"IQ_TOTAL_DEBT_REPAID",IQ_FY-10), _xll.ciqfunctions.udf.CIQ(A2448, "IQ_TOTAL_DEBT_REPAID",IQ_FY-9))</f>
        <v>0</v>
      </c>
      <c r="O2448" s="15" t="e">
        <f t="shared" ref="O2448:O2458" si="653">(M2448+N2448)/I2448</f>
        <v>#DIV/0!</v>
      </c>
      <c r="P2448" s="15" t="e">
        <f t="shared" ref="P2448:P2458" si="654">L2448+O2448</f>
        <v>#DIV/0!</v>
      </c>
      <c r="W2448" s="43"/>
      <c r="AA2448" s="43"/>
    </row>
    <row r="2449" spans="1:27">
      <c r="A2449" s="18" t="str">
        <f>_xll.ciqfunctions.udf.CIQ(A2448,"IQ_COMPANY_NAME")</f>
        <v>DigitalOcean Holdings, Inc.</v>
      </c>
      <c r="B2449" s="13">
        <v>2</v>
      </c>
      <c r="C2449" s="14" t="s">
        <v>17</v>
      </c>
      <c r="D2449" s="15" t="e">
        <f>IF(A2456=A2457,_xll.ciqfunctions.udf.CIQ(A2448,"IQ_TOTAL_REV",IQ_FY-9)/I2449, _xll.ciqfunctions.udf.CIQ(A2448, "IQ_TOTAL_REV",IQ_FY-8)/I2449)</f>
        <v>#DIV/0!</v>
      </c>
      <c r="E2449" s="16" t="e">
        <f t="shared" ref="E2449:E2458" si="655">(D2449-D2448)/D2448</f>
        <v>#DIV/0!</v>
      </c>
      <c r="F2449" s="15">
        <f>IF(A2456=A2457,_xll.ciqfunctions.udf.CIQ(A2448,"IQ_DILUT_EPS_EXCL",IQ_FY-9), _xll.ciqfunctions.udf.CIQ(A2448, "IQ_DILUT_EPS_EXCL",IQ_FY-8))</f>
        <v>0</v>
      </c>
      <c r="G2449" s="15">
        <f>IF(A2456=A2457,_xll.ciqfunctions.udf.CIQ(A2448,"IQ_EBITDA_MARGIN",IQ_FY-9), _xll.ciqfunctions.udf.CIQ(A2448, "IQ_EBITDA_MARGIN",IQ_FY-8))</f>
        <v>0</v>
      </c>
      <c r="H2449" s="15" t="e">
        <f>IF(A2456=A2457,_xll.ciqfunctions.udf.CIQ(A2448,"IQ_TOTAL_DIV_PAID_CF",IQ_FY-9)/-I2449, _xll.ciqfunctions.udf.CIQ(A2448, "IQ_TOTAL_DIV_PAID_CF",IQ_FY-8)/-I2449)</f>
        <v>#DIV/0!</v>
      </c>
      <c r="I2449" s="17">
        <f>IF(A2456=A2457,_xll.ciqfunctions.udf.CIQ(A2448,"IQ_TOTAL_OUTSTANDING_FILING_DATE",IQ_FY-9), _xll.ciqfunctions.udf.CIQ(A2448, "IQ_TOTAL_OUTSTANDING_FILING_DATE",IQ_FY-8))</f>
        <v>0</v>
      </c>
      <c r="J2449" s="17">
        <f>IF(A2456=A2457,_xll.ciqfunctions.udf.CIQ(A2448,"IQ_CASH_OPER",IQ_FY-9), _xll.ciqfunctions.udf.CIQ(A2448, "IQ_CASH_OPER",IQ_FY-8))</f>
        <v>0</v>
      </c>
      <c r="K2449" s="17">
        <f>IF(A2456=A2457,_xll.ciqfunctions.udf.CIQ(A2448,"IQ_CAPEX",IQ_FY-9), _xll.ciqfunctions.udf.CIQ(A2448, "IQ_CAPEX",IQ_FY-8))</f>
        <v>0</v>
      </c>
      <c r="L2449" s="15" t="e">
        <f t="shared" si="652"/>
        <v>#DIV/0!</v>
      </c>
      <c r="M2449" s="17">
        <f>IF(A2456=A2457,_xll.ciqfunctions.udf.CIQ(A2448,"IQ_TOTAL_DEBT_ISSUED",IQ_FY-9), _xll.ciqfunctions.udf.CIQ(A2448, "IQ_TOTAL_DEBT_ISSUED",IQ_FY-8))</f>
        <v>0</v>
      </c>
      <c r="N2449" s="17">
        <f>IF(A2456=A2457,_xll.ciqfunctions.udf.CIQ(A2448,"IQ_TOTAL_DEBT_REPAID",IQ_FY-9), _xll.ciqfunctions.udf.CIQ(A2448, "IQ_TOTAL_DEBT_REPAID",IQ_FY-8))</f>
        <v>0</v>
      </c>
      <c r="O2449" s="15" t="e">
        <f t="shared" si="653"/>
        <v>#DIV/0!</v>
      </c>
      <c r="P2449" s="15" t="e">
        <f t="shared" si="654"/>
        <v>#DIV/0!</v>
      </c>
      <c r="Q2449" s="25" t="s">
        <v>18</v>
      </c>
      <c r="R2449" s="39" t="s">
        <v>19</v>
      </c>
      <c r="S2449" s="1">
        <f>R2447/((AVERAGE(P2453:P2458))*(1+E2459)^3)</f>
        <v>10.092128741062174</v>
      </c>
      <c r="U2449" s="25" t="s">
        <v>48</v>
      </c>
      <c r="V2449" s="39" t="s">
        <v>19</v>
      </c>
      <c r="W2449" s="1">
        <f>V2447/((AVERAGE(P2453:P2458))*(1+E2459)^3)</f>
        <v>10.092128741062174</v>
      </c>
      <c r="Y2449" s="25" t="s">
        <v>39</v>
      </c>
      <c r="Z2449" s="39" t="s">
        <v>19</v>
      </c>
      <c r="AA2449" s="1">
        <f>Z2447/((AVERAGE(P2453:P2458))*(1+E2459)^3)</f>
        <v>10.092128741062174</v>
      </c>
    </row>
    <row r="2450" spans="1:27">
      <c r="B2450" s="13">
        <v>3</v>
      </c>
      <c r="C2450" s="14" t="s">
        <v>20</v>
      </c>
      <c r="D2450" s="15" t="e" cm="1">
        <f t="array" ref="D2450">_xlfn.SINGLE(IF(A2456=A2457,_xll.ciqfunctions.udf.CIQ(A2448,"IQ_TOTAL_REV",IQ_FY-8)/I2450, _xll.ciqfunctions.udf.CIQ(A2448, "IQ_TOTAL_REV",IQ_FY-7)/I2450))</f>
        <v>#DIV/0!</v>
      </c>
      <c r="E2450" s="16" t="e">
        <f t="shared" si="655"/>
        <v>#DIV/0!</v>
      </c>
      <c r="F2450" s="15">
        <f>IF(A2456=A2457,_xll.ciqfunctions.udf.CIQ(A2448,"IQ_DILUT_EPS_EXCL",IQ_FY-8), _xll.ciqfunctions.udf.CIQ(A2448, "IQ_DILUT_EPS_EXCL",IQ_FY-7))</f>
        <v>0</v>
      </c>
      <c r="G2450" s="15">
        <f>IF(A2456=A2457,_xll.ciqfunctions.udf.CIQ(A2448,"IQ_EBITDA_MARGIN",IQ_FY-8), _xll.ciqfunctions.udf.CIQ(A2448, "IQ_EBITDA_MARGIN",IQ_FY-7))</f>
        <v>0</v>
      </c>
      <c r="H2450" s="15" t="e">
        <f>IF(A2456=A2457,_xll.ciqfunctions.udf.CIQ(A2448,"IQ_TOTAL_DIV_PAID_CF",IQ_FY-8)/-I2450, _xll.ciqfunctions.udf.CIQ(A2448, "IQ_TOTAL_DIV_PAID_CF",IQ_FY-7)/-I2450)</f>
        <v>#DIV/0!</v>
      </c>
      <c r="I2450" s="17">
        <f>IF(A2456=A2457,_xll.ciqfunctions.udf.CIQ(A2448,"IQ_TOTAL_OUTSTANDING_FILING_DATE",IQ_FY-8), _xll.ciqfunctions.udf.CIQ(A2448, "IQ_TOTAL_OUTSTANDING_FILING_DATE",IQ_FY-7))</f>
        <v>0</v>
      </c>
      <c r="J2450" s="17">
        <f>IF(A2456=A2457,_xll.ciqfunctions.udf.CIQ(A2448,"IQ_CASH_OPER",IQ_FY-8), _xll.ciqfunctions.udf.CIQ(A2448, "IQ_CASH_OPER",IQ_FY-7))</f>
        <v>0</v>
      </c>
      <c r="K2450" s="17">
        <f>IF(A2456=A2457,_xll.ciqfunctions.udf.CIQ(A2448,"IQ_CAPEX",IQ_FY-8), _xll.ciqfunctions.udf.CIQ(A2448, "IQ_CAPEX",IQ_FY-7))</f>
        <v>0</v>
      </c>
      <c r="L2450" s="15" t="e">
        <f t="shared" si="652"/>
        <v>#DIV/0!</v>
      </c>
      <c r="M2450" s="17">
        <f>IF(A2456=A2457,_xll.ciqfunctions.udf.CIQ(A2448,"IQ_TOTAL_DEBT_ISSUED",IQ_FY-8), _xll.ciqfunctions.udf.CIQ(A2448, "IQ_TOTAL_DEBT_ISSUED",IQ_FY-7))</f>
        <v>0</v>
      </c>
      <c r="N2450" s="17">
        <f>IF(A2456=A2457,_xll.ciqfunctions.udf.CIQ(A2448,"IQ_TOTAL_DEBT_REPAID",IQ_FY-8), _xll.ciqfunctions.udf.CIQ(A2448, "IQ_TOTAL_DEBT_REPAID",IQ_FY-7))</f>
        <v>0</v>
      </c>
      <c r="O2450" s="15" t="e">
        <f t="shared" si="653"/>
        <v>#DIV/0!</v>
      </c>
      <c r="P2450" s="15" t="e">
        <f t="shared" si="654"/>
        <v>#DIV/0!</v>
      </c>
      <c r="Q2450" s="25" t="s">
        <v>21</v>
      </c>
      <c r="R2450" s="38" t="s">
        <v>49</v>
      </c>
      <c r="S2450" s="2">
        <f>(R2447*I2458)/1000</f>
        <v>2.4813579190000001</v>
      </c>
      <c r="U2450" s="25" t="s">
        <v>59</v>
      </c>
      <c r="V2450" s="38" t="s">
        <v>49</v>
      </c>
      <c r="W2450" s="2">
        <f>(V2447*I2458)/1000</f>
        <v>2.4813579190000001</v>
      </c>
      <c r="Y2450" s="25" t="s">
        <v>46</v>
      </c>
      <c r="Z2450" s="38" t="s">
        <v>49</v>
      </c>
      <c r="AA2450" s="2">
        <f>(Z2447*I2458)/1000</f>
        <v>2.4813579190000001</v>
      </c>
    </row>
    <row r="2451" spans="1:27">
      <c r="A2451" s="18"/>
      <c r="B2451" s="13">
        <v>4</v>
      </c>
      <c r="C2451" s="14" t="s">
        <v>22</v>
      </c>
      <c r="D2451" s="15" t="e" cm="1">
        <f t="array" ref="D2451">_xlfn.SINGLE(IF(A2456=A2457,_xll.ciqfunctions.udf.CIQ(A2448,"IQ_TOTAL_REV",IQ_FY-7)/I2451, _xll.ciqfunctions.udf.CIQ(A2448, "IQ_TOTAL_REV",IQ_FY-6)/I2451))</f>
        <v>#DIV/0!</v>
      </c>
      <c r="E2451" s="16" t="e">
        <f t="shared" si="655"/>
        <v>#DIV/0!</v>
      </c>
      <c r="F2451" s="15">
        <f>IF(A2456=A2457,_xll.ciqfunctions.udf.CIQ(A2448,"IQ_DILUT_EPS_EXCL",IQ_FY-7), _xll.ciqfunctions.udf.CIQ(A2448, "IQ_DILUT_EPS_EXCL",IQ_FY-6))</f>
        <v>0</v>
      </c>
      <c r="G2451" s="15">
        <f>IF(A2456=A2457,_xll.ciqfunctions.udf.CIQ(A2448,"IQ_EBITDA_MARGIN",IQ_FY-7), _xll.ciqfunctions.udf.CIQ(A2448, "IQ_EBITDA_MARGIN",IQ_FY-6))</f>
        <v>0</v>
      </c>
      <c r="H2451" s="15" t="e">
        <f>IF(A2456=A2457,_xll.ciqfunctions.udf.CIQ(A2448,"IQ_TOTAL_DIV_PAID_CF",IQ_FY-7)/-I2451, _xll.ciqfunctions.udf.CIQ(A2448, "IQ_TOTAL_DIV_PAID_CF",IQ_FY-6)/-I2451)</f>
        <v>#DIV/0!</v>
      </c>
      <c r="I2451" s="17">
        <f>IF(A2456=A2457,_xll.ciqfunctions.udf.CIQ(A2448,"IQ_TOTAL_OUTSTANDING_FILING_DATE",IQ_FY-7), _xll.ciqfunctions.udf.CIQ(A2448, "IQ_TOTAL_OUTSTANDING_FILING_DATE",IQ_FY-6))</f>
        <v>0</v>
      </c>
      <c r="J2451" s="17">
        <f>IF(A2456=A2457,_xll.ciqfunctions.udf.CIQ(A2448,"IQ_CASH_OPER",IQ_FY-7), _xll.ciqfunctions.udf.CIQ(A2448, "IQ_CASH_OPER",IQ_FY-6))</f>
        <v>0</v>
      </c>
      <c r="K2451" s="17">
        <f>IF(A2456=A2457,_xll.ciqfunctions.udf.CIQ(A2448,"IQ_CAPEX",IQ_FY-7), _xll.ciqfunctions.udf.CIQ(A2448, "IQ_CAPEX",IQ_FY-6))</f>
        <v>0</v>
      </c>
      <c r="L2451" s="15" t="e">
        <f t="shared" si="652"/>
        <v>#DIV/0!</v>
      </c>
      <c r="M2451" s="17">
        <f>IF(A2456=A2457,_xll.ciqfunctions.udf.CIQ(A2448,"IQ_TOTAL_DEBT_ISSUED",IQ_FY-7), _xll.ciqfunctions.udf.CIQ(A2448, "IQ_TOTAL_DEBT_ISSUED",IQ_FY-6))</f>
        <v>0</v>
      </c>
      <c r="N2451" s="17">
        <f>IF(A2456=A2457,_xll.ciqfunctions.udf.CIQ(A2448,"IQ_TOTAL_DEBT_REPAID",IQ_FY-7), _xll.ciqfunctions.udf.CIQ(A2448, "IQ_TOTAL_DEBT_REPAID",IQ_FY-6))</f>
        <v>0</v>
      </c>
      <c r="O2451" s="15" t="e">
        <f t="shared" si="653"/>
        <v>#DIV/0!</v>
      </c>
      <c r="P2451" s="15" t="e">
        <f t="shared" si="654"/>
        <v>#DIV/0!</v>
      </c>
      <c r="Q2451" s="25" t="s">
        <v>23</v>
      </c>
      <c r="R2451" s="38" t="s">
        <v>24</v>
      </c>
      <c r="S2451" s="1" t="e">
        <f>R2447/(AVERAGE(H2453:H2458)*(1+H2459)/(0.5-H2459))</f>
        <v>#DIV/0!</v>
      </c>
      <c r="U2451" s="25" t="s">
        <v>40</v>
      </c>
      <c r="V2451" s="38" t="s">
        <v>24</v>
      </c>
      <c r="W2451" s="1" t="e">
        <f>V2447/(AVERAGE(H2453:H2458)*(1+H2459)/(0.5-H2459))</f>
        <v>#DIV/0!</v>
      </c>
      <c r="Y2451" s="25" t="s">
        <v>47</v>
      </c>
      <c r="Z2451" s="38" t="s">
        <v>24</v>
      </c>
      <c r="AA2451" s="1" t="e">
        <f>Z2447/(AVERAGE(H2453:H2458)*(1+H2459)/(0.5-H2459))</f>
        <v>#DIV/0!</v>
      </c>
    </row>
    <row r="2452" spans="1:27">
      <c r="B2452" s="13">
        <v>5</v>
      </c>
      <c r="C2452" s="14" t="s">
        <v>25</v>
      </c>
      <c r="D2452" s="15" t="e" cm="1">
        <f t="array" ref="D2452">_xlfn.SINGLE(IF(A2456=A2457,_xll.ciqfunctions.udf.CIQ(A2448,"IQ_TOTAL_REV",IQ_FY-6)/I2452, _xll.ciqfunctions.udf.CIQ(A2448, "IQ_TOTAL_REV",IQ_FY-5)/I2452))</f>
        <v>#DIV/0!</v>
      </c>
      <c r="E2452" s="16" t="e">
        <f t="shared" si="655"/>
        <v>#DIV/0!</v>
      </c>
      <c r="F2452" s="15">
        <f>IF(A2456=A2457,_xll.ciqfunctions.udf.CIQ(A2448,"IQ_DILUT_EPS_EXCL",IQ_FY-6), _xll.ciqfunctions.udf.CIQ(A2448, "IQ_DILUT_EPS_EXCL",IQ_FY-5))</f>
        <v>0</v>
      </c>
      <c r="G2452" s="15">
        <f>IF(A2456=A2457,_xll.ciqfunctions.udf.CIQ(A2448,"IQ_EBITDA_MARGIN",IQ_FY-6), _xll.ciqfunctions.udf.CIQ(A2448, "IQ_EBITDA_MARGIN",IQ_FY-5))</f>
        <v>0</v>
      </c>
      <c r="H2452" s="15" t="e">
        <f>IF(A2456=A2457,_xll.ciqfunctions.udf.CIQ(A2448,"IQ_TOTAL_DIV_PAID_CF",IQ_FY-6)/-I2452, _xll.ciqfunctions.udf.CIQ(A2448, "IQ_TOTAL_DIV_PAID_CF",IQ_FY-5)/-I2452)</f>
        <v>#DIV/0!</v>
      </c>
      <c r="I2452" s="17">
        <f>IF(A2456=A2457,_xll.ciqfunctions.udf.CIQ(A2448,"IQ_TOTAL_OUTSTANDING_FILING_DATE",IQ_FY-6), _xll.ciqfunctions.udf.CIQ(A2448, "IQ_TOTAL_OUTSTANDING_FILING_DATE",IQ_FY-5))</f>
        <v>0</v>
      </c>
      <c r="J2452" s="17">
        <f>IF(A2456=A2457,_xll.ciqfunctions.udf.CIQ(A2448,"IQ_CASH_OPER",IQ_FY-6), _xll.ciqfunctions.udf.CIQ(A2448, "IQ_CASH_OPER",IQ_FY-5))</f>
        <v>0</v>
      </c>
      <c r="K2452" s="17">
        <f>IF(A2456=A2457,_xll.ciqfunctions.udf.CIQ(A2448,"IQ_CAPEX",IQ_FY-6), _xll.ciqfunctions.udf.CIQ(A2448, "IQ_CAPEX",IQ_FY-5))</f>
        <v>0</v>
      </c>
      <c r="L2452" s="15" t="e">
        <f t="shared" si="652"/>
        <v>#DIV/0!</v>
      </c>
      <c r="M2452" s="17">
        <f>IF(A2456=A2457,_xll.ciqfunctions.udf.CIQ(A2448,"IQ_TOTAL_DEBT_ISSUED",IQ_FY-6), _xll.ciqfunctions.udf.CIQ(A2448, "IQ_TOTAL_DEBT_ISSUED",IQ_FY-5))</f>
        <v>0</v>
      </c>
      <c r="N2452" s="17">
        <f>IF(A2456=A2457,_xll.ciqfunctions.udf.CIQ(A2448,"IQ_TOTAL_DEBT_REPAID",IQ_FY-6), _xll.ciqfunctions.udf.CIQ(A2448, "IQ_TOTAL_DEBT_REPAID",IQ_FY-5))</f>
        <v>0</v>
      </c>
      <c r="O2452" s="15" t="e">
        <f t="shared" si="653"/>
        <v>#DIV/0!</v>
      </c>
      <c r="P2452" s="15" t="e">
        <f t="shared" si="654"/>
        <v>#DIV/0!</v>
      </c>
      <c r="Q2452" s="18"/>
      <c r="R2452" s="38" t="s">
        <v>50</v>
      </c>
      <c r="S2452" s="3">
        <f>I2459</f>
        <v>0.20416791924353039</v>
      </c>
      <c r="U2452" s="18"/>
      <c r="V2452" s="38" t="s">
        <v>50</v>
      </c>
      <c r="W2452" s="3">
        <f>I2459</f>
        <v>0.20416791924353039</v>
      </c>
      <c r="Y2452" s="18"/>
      <c r="Z2452" s="38" t="s">
        <v>50</v>
      </c>
      <c r="AA2452" s="3">
        <f>I2459</f>
        <v>0.20416791924353039</v>
      </c>
    </row>
    <row r="2453" spans="1:27">
      <c r="B2453" s="13">
        <v>6</v>
      </c>
      <c r="C2453" s="14" t="s">
        <v>26</v>
      </c>
      <c r="D2453" s="15" cm="1">
        <f t="array" ref="D2453">_xlfn.SINGLE(IF(A2456=A2457,_xll.ciqfunctions.udf.CIQ(A2448,"IQ_TOTAL_REV",IQ_FY-5)/I2453, _xll.ciqfunctions.udf.CIQ(A2448, "IQ_TOTAL_REV",IQ_FY-4)/I2453))</f>
        <v>5.9796885578876102</v>
      </c>
      <c r="E2453" s="16" t="e">
        <f t="shared" si="655"/>
        <v>#DIV/0!</v>
      </c>
      <c r="F2453" s="15">
        <f>IF(A2456=A2457,_xll.ciqfunctions.udf.CIQ(A2448,"IQ_DILUT_EPS_EXCL",IQ_FY-5), _xll.ciqfunctions.udf.CIQ(A2448, "IQ_DILUT_EPS_EXCL",IQ_FY-4))</f>
        <v>-1.0597000000000001</v>
      </c>
      <c r="G2453" s="15">
        <f>IF(A2456=A2457,_xll.ciqfunctions.udf.CIQ(A2448,"IQ_EBITDA_MARGIN",IQ_FY-5), _xll.ciqfunctions.udf.CIQ(A2448, "IQ_EBITDA_MARGIN",IQ_FY-4))</f>
        <v>9.1234000000000002</v>
      </c>
      <c r="H2453" s="15">
        <f>IF(A2456=A2457,_xll.ciqfunctions.udf.CIQ(A2448,"IQ_TOTAL_DIV_PAID_CF",IQ_FY-5)/-I2453, _xll.ciqfunctions.udf.CIQ(A2448, "IQ_TOTAL_DIV_PAID_CF",IQ_FY-4)/-I2453)</f>
        <v>0</v>
      </c>
      <c r="I2453" s="17">
        <f>IF(A2456=A2457,_xll.ciqfunctions.udf.CIQ(A2448,"IQ_TOTAL_OUTSTANDING_FILING_DATE",IQ_FY-5), _xll.ciqfunctions.udf.CIQ(A2448, "IQ_TOTAL_OUTSTANDING_FILING_DATE",IQ_FY-4))</f>
        <v>33.970999999999997</v>
      </c>
      <c r="J2453" s="17">
        <f>IF(A2456=A2457,_xll.ciqfunctions.udf.CIQ(A2448,"IQ_CASH_OPER",IQ_FY-5), _xll.ciqfunctions.udf.CIQ(A2448, "IQ_CASH_OPER",IQ_FY-4))</f>
        <v>37.954000000000001</v>
      </c>
      <c r="K2453" s="17">
        <f>IF(A2456=A2457,_xll.ciqfunctions.udf.CIQ(A2448,"IQ_CAPEX",IQ_FY-5), _xll.ciqfunctions.udf.CIQ(A2448, "IQ_CAPEX",IQ_FY-4))</f>
        <v>-38.347999999999999</v>
      </c>
      <c r="L2453" s="15">
        <f t="shared" si="652"/>
        <v>-1.1598127814900898E-2</v>
      </c>
      <c r="M2453" s="17">
        <f>IF(A2456=A2457,_xll.ciqfunctions.udf.CIQ(A2448,"IQ_TOTAL_DEBT_ISSUED",IQ_FY-5), _xll.ciqfunctions.udf.CIQ(A2448, "IQ_TOTAL_DEBT_ISSUED",IQ_FY-4))</f>
        <v>125.78400000000001</v>
      </c>
      <c r="N2453" s="17">
        <f>IF(A2456=A2457,_xll.ciqfunctions.udf.CIQ(A2448,"IQ_TOTAL_DEBT_REPAID",IQ_FY-5), _xll.ciqfunctions.udf.CIQ(A2448, "IQ_TOTAL_DEBT_REPAID",IQ_FY-4))</f>
        <v>-143.226</v>
      </c>
      <c r="O2453" s="15">
        <f t="shared" si="653"/>
        <v>-0.51343793235406654</v>
      </c>
      <c r="P2453" s="15">
        <f t="shared" si="654"/>
        <v>-0.52503606016896742</v>
      </c>
      <c r="Q2453" s="25" t="s">
        <v>27</v>
      </c>
      <c r="R2453" s="38" t="s">
        <v>51</v>
      </c>
      <c r="S2453" s="4">
        <f>AVERAGE(F2453:F2458)/AVERAGE(D2453:D2458)</f>
        <v>-9.9116854778580635E-2</v>
      </c>
      <c r="U2453" s="25" t="s">
        <v>58</v>
      </c>
      <c r="V2453" s="38" t="s">
        <v>51</v>
      </c>
      <c r="W2453" s="4">
        <f>AVERAGE(F2453:F2458)/AVERAGE(D2453:D2458)</f>
        <v>-9.9116854778580635E-2</v>
      </c>
      <c r="Y2453" s="25" t="s">
        <v>56</v>
      </c>
      <c r="Z2453" s="38" t="s">
        <v>51</v>
      </c>
      <c r="AA2453" s="4">
        <f>AVERAGE(F2453:F2458)/AVERAGE(D2453:D2458)</f>
        <v>-9.9116854778580635E-2</v>
      </c>
    </row>
    <row r="2454" spans="1:27">
      <c r="A2454" s="18"/>
      <c r="B2454" s="13">
        <v>7</v>
      </c>
      <c r="C2454" s="14" t="s">
        <v>28</v>
      </c>
      <c r="D2454" s="15" cm="1">
        <f t="array" ref="D2454">_xlfn.SINGLE(IF(A2456=A2457,_xll.ciqfunctions.udf.CIQ(A2448,"IQ_TOTAL_REV",IQ_FY-4)/I2454, _xll.ciqfunctions.udf.CIQ(A2448, "IQ_TOTAL_REV",IQ_FY-3)/I2454))</f>
        <v>6.512611807209332</v>
      </c>
      <c r="E2454" s="16">
        <f t="shared" si="655"/>
        <v>8.9122241762701879E-2</v>
      </c>
      <c r="F2454" s="15">
        <f>IF(A2456=A2457,_xll.ciqfunctions.udf.CIQ(A2448,"IQ_DILUT_EPS_EXCL",IQ_FY-4), _xll.ciqfunctions.udf.CIQ(A2448, "IQ_DILUT_EPS_EXCL",IQ_FY-3))</f>
        <v>-1.0627800000000001</v>
      </c>
      <c r="G2454" s="15">
        <f>IF(A2456=A2457,_xll.ciqfunctions.udf.CIQ(A2448,"IQ_EBITDA_MARGIN",IQ_FY-4), _xll.ciqfunctions.udf.CIQ(A2448, "IQ_EBITDA_MARGIN",IQ_FY-3))</f>
        <v>9.4646000000000008</v>
      </c>
      <c r="H2454" s="15">
        <f>IF(A2456=A2457,_xll.ciqfunctions.udf.CIQ(A2448,"IQ_TOTAL_DIV_PAID_CF",IQ_FY-4)/-I2454, _xll.ciqfunctions.udf.CIQ(A2448, "IQ_TOTAL_DIV_PAID_CF",IQ_FY-3)/-I2454)</f>
        <v>0</v>
      </c>
      <c r="I2454" s="17">
        <f>IF(A2456=A2457,_xll.ciqfunctions.udf.CIQ(A2448,"IQ_TOTAL_OUTSTANDING_FILING_DATE",IQ_FY-4), _xll.ciqfunctions.udf.CIQ(A2448, "IQ_TOTAL_OUTSTANDING_FILING_DATE",IQ_FY-3))</f>
        <v>39.12762</v>
      </c>
      <c r="J2454" s="17">
        <f>IF(A2456=A2457,_xll.ciqfunctions.udf.CIQ(A2448,"IQ_CASH_OPER",IQ_FY-4), _xll.ciqfunctions.udf.CIQ(A2448, "IQ_CASH_OPER",IQ_FY-3))</f>
        <v>39.902000000000001</v>
      </c>
      <c r="K2454" s="17">
        <f>IF(A2456=A2457,_xll.ciqfunctions.udf.CIQ(A2448,"IQ_CAPEX",IQ_FY-4), _xll.ciqfunctions.udf.CIQ(A2448, "IQ_CAPEX",IQ_FY-3))</f>
        <v>-53.503999999999998</v>
      </c>
      <c r="L2454" s="15">
        <f t="shared" si="652"/>
        <v>-0.34763167297167569</v>
      </c>
      <c r="M2454" s="17">
        <f>IF(A2456=A2457,_xll.ciqfunctions.udf.CIQ(A2448,"IQ_TOTAL_DEBT_ISSUED",IQ_FY-4), _xll.ciqfunctions.udf.CIQ(A2448, "IQ_TOTAL_DEBT_ISSUED",IQ_FY-3))</f>
        <v>70.995000000000005</v>
      </c>
      <c r="N2454" s="17">
        <f>IF(A2456=A2457,_xll.ciqfunctions.udf.CIQ(A2448,"IQ_TOTAL_DEBT_REPAID",IQ_FY-4), _xll.ciqfunctions.udf.CIQ(A2448, "IQ_TOTAL_DEBT_REPAID",IQ_FY-3))</f>
        <v>-27.01</v>
      </c>
      <c r="O2454" s="15">
        <f t="shared" si="653"/>
        <v>1.1241419743904688</v>
      </c>
      <c r="P2454" s="15">
        <f t="shared" si="654"/>
        <v>0.77651030141879307</v>
      </c>
      <c r="Q2454" s="18"/>
      <c r="R2454" s="38" t="s">
        <v>29</v>
      </c>
      <c r="S2454" s="4">
        <f>(AVERAGE(P2453:P2458)/_xlfn.STDEV.P(P2453:P2458))/(IF(A2456=A2457,(_xlfn.SINGLE(_xll.ciqfunctions.udf.CIQ(A2448,"IQ_total_assets",IQ_FY)) - _xlfn.SINGLE(_xll.ciqfunctions.udf.CIQ(A2448,"iq_gw_intan", IQ_FY)))/I2458, (_xlfn.SINGLE(_xll.ciqfunctions.udf.CIQ(A2448, "IQ_total_assets",IQ_LTM))-_xlfn.SINGLE(_xll.ciqfunctions.udf.CIQ(A2448,"iq_gw_intan",IQ_LTM)))/I2458))</f>
        <v>5.5735660192302583E-2</v>
      </c>
      <c r="U2454" s="18"/>
      <c r="V2454" s="38" t="s">
        <v>29</v>
      </c>
      <c r="W2454" s="4">
        <f>(AVERAGE(P2453:P2458)/_xlfn.STDEV.P(P2453:P2458))/(IF(A2456=A2457,(_xlfn.SINGLE(_xll.ciqfunctions.udf.CIQ(A2448,"IQ_total_assets",IQ_FY)) - _xlfn.SINGLE(_xll.ciqfunctions.udf.CIQ(A2448,"iq_gw_intan", IQ_FY)))/I2458, (_xlfn.SINGLE(_xll.ciqfunctions.udf.CIQ(A2448, "IQ_total_assets",IQ_LTM))-_xlfn.SINGLE(_xll.ciqfunctions.udf.CIQ(A2448,"iq_gw_intan",IQ_LTM)))/I2458))</f>
        <v>5.5735660192302583E-2</v>
      </c>
      <c r="Y2454" s="18"/>
      <c r="Z2454" s="38" t="s">
        <v>29</v>
      </c>
      <c r="AA2454" s="4">
        <f>(AVERAGE(P2453:P2458)/_xlfn.STDEV.P(P2453:P2458))/(IF(A2456=A2457,(_xlfn.SINGLE(_xll.ciqfunctions.udf.CIQ(A2448,"IQ_total_assets",IQ_FY)) - _xlfn.SINGLE(_xll.ciqfunctions.udf.CIQ(A2448,"iq_gw_intan", IQ_FY)))/I2458, (_xlfn.SINGLE(_xll.ciqfunctions.udf.CIQ(A2448, "IQ_total_assets",IQ_LTM))-_xlfn.SINGLE(_xll.ciqfunctions.udf.CIQ(A2448,"iq_gw_intan",IQ_LTM)))/I2458))</f>
        <v>5.5735660192302583E-2</v>
      </c>
    </row>
    <row r="2455" spans="1:27">
      <c r="A2455" s="18"/>
      <c r="B2455" s="13">
        <v>8</v>
      </c>
      <c r="C2455" s="14" t="s">
        <v>30</v>
      </c>
      <c r="D2455" s="15" cm="1">
        <f t="array" ref="D2455">_xlfn.SINGLE(IF(A2456=A2457,_xll.ciqfunctions.udf.CIQ(A2448,"IQ_TOTAL_REV",IQ_FY-3)/I2455, _xll.ciqfunctions.udf.CIQ(A2448, "IQ_TOTAL_REV",IQ_FY-2)/I2455))</f>
        <v>7.3476077580288148</v>
      </c>
      <c r="E2455" s="16">
        <f t="shared" si="655"/>
        <v>0.12821214829588937</v>
      </c>
      <c r="F2455" s="15">
        <f>IF(A2456=A2457,_xll.ciqfunctions.udf.CIQ(A2448,"IQ_DILUT_EPS_EXCL",IQ_FY-3), _xll.ciqfunctions.udf.CIQ(A2448, "IQ_DILUT_EPS_EXCL",IQ_FY-2))</f>
        <v>-1.0458499999999999</v>
      </c>
      <c r="G2455" s="15">
        <f>IF(A2456=A2457,_xll.ciqfunctions.udf.CIQ(A2448,"IQ_EBITDA_MARGIN",IQ_FY-3), _xll.ciqfunctions.udf.CIQ(A2448, "IQ_EBITDA_MARGIN",IQ_FY-2))</f>
        <v>14.613899999999999</v>
      </c>
      <c r="H2455" s="15">
        <f>IF(A2456=A2457,_xll.ciqfunctions.udf.CIQ(A2448,"IQ_TOTAL_DIV_PAID_CF",IQ_FY-3)/-I2455, _xll.ciqfunctions.udf.CIQ(A2448, "IQ_TOTAL_DIV_PAID_CF",IQ_FY-2)/-I2455)</f>
        <v>0</v>
      </c>
      <c r="I2455" s="17">
        <f>IF(A2456=A2457,_xll.ciqfunctions.udf.CIQ(A2448,"IQ_TOTAL_OUTSTANDING_FILING_DATE",IQ_FY-3), _xll.ciqfunctions.udf.CIQ(A2448, "IQ_TOTAL_OUTSTANDING_FILING_DATE",IQ_FY-2))</f>
        <v>43.331110000000002</v>
      </c>
      <c r="J2455" s="17">
        <f>IF(A2456=A2457,_xll.ciqfunctions.udf.CIQ(A2448,"IQ_CASH_OPER",IQ_FY-3), _xll.ciqfunctions.udf.CIQ(A2448, "IQ_CASH_OPER",IQ_FY-2))</f>
        <v>58.457999999999998</v>
      </c>
      <c r="K2455" s="17">
        <f>IF(A2456=A2457,_xll.ciqfunctions.udf.CIQ(A2448,"IQ_CAPEX",IQ_FY-3), _xll.ciqfunctions.udf.CIQ(A2448, "IQ_CAPEX",IQ_FY-2))</f>
        <v>-98.36</v>
      </c>
      <c r="L2455" s="15">
        <f t="shared" si="652"/>
        <v>-0.92086263195196238</v>
      </c>
      <c r="M2455" s="17">
        <f>IF(A2456=A2457,_xll.ciqfunctions.udf.CIQ(A2448,"IQ_TOTAL_DEBT_ISSUED",IQ_FY-3), _xll.ciqfunctions.udf.CIQ(A2448, "IQ_TOTAL_DEBT_ISSUED",IQ_FY-2))</f>
        <v>237.72</v>
      </c>
      <c r="N2455" s="17">
        <f>IF(A2456=A2457,_xll.ciqfunctions.udf.CIQ(A2448,"IQ_TOTAL_DEBT_REPAID",IQ_FY-3), _xll.ciqfunctions.udf.CIQ(A2448, "IQ_TOTAL_DEBT_REPAID",IQ_FY-2))</f>
        <v>-176.006</v>
      </c>
      <c r="O2455" s="15">
        <f t="shared" si="653"/>
        <v>1.4242423053552054</v>
      </c>
      <c r="P2455" s="15">
        <f t="shared" si="654"/>
        <v>0.50337967340324297</v>
      </c>
      <c r="Q2455" s="18"/>
      <c r="R2455" s="39" t="s">
        <v>31</v>
      </c>
      <c r="S2455" s="5" t="e">
        <f>IF(NOT(D2448&gt;0),FALSE,SLOPE(G2448:G2458,B2448:B2458))</f>
        <v>#DIV/0!</v>
      </c>
      <c r="U2455" s="18"/>
      <c r="V2455" s="39" t="s">
        <v>31</v>
      </c>
      <c r="W2455" s="5" t="e">
        <f>IF(NOT(D2448&gt;0),FALSE,SLOPE(G2448:G2458,B2448:B2458))</f>
        <v>#DIV/0!</v>
      </c>
      <c r="Y2455" s="18"/>
      <c r="Z2455" s="39" t="s">
        <v>31</v>
      </c>
      <c r="AA2455" s="5" t="e">
        <f>IF(NOT(L2448&gt;0),FALSE,SLOPE(O2448:O2458,J2448:J2458))</f>
        <v>#DIV/0!</v>
      </c>
    </row>
    <row r="2456" spans="1:27">
      <c r="A2456" s="19">
        <f>_xll.ciqfunctions.udf.CIQ(A2448,"IQ_TOTAL_REV",IQ_FY)</f>
        <v>576.322</v>
      </c>
      <c r="B2456" s="13">
        <v>9</v>
      </c>
      <c r="C2456" s="14" t="s">
        <v>32</v>
      </c>
      <c r="D2456" s="15" cm="1">
        <f t="array" ref="D2456">_xlfn.SINGLE(IF(A2456=A2457,_xll.ciqfunctions.udf.CIQ(A2448,"IQ_TOTAL_REV",IQ_FY-2)/I2456, _xll.ciqfunctions.udf.CIQ(A2448, "IQ_TOTAL_REV",IQ_FY-1)/I2456))</f>
        <v>3.9824185218827606</v>
      </c>
      <c r="E2456" s="16">
        <f t="shared" si="655"/>
        <v>-0.45799794259143373</v>
      </c>
      <c r="F2456" s="15">
        <f>IF(A2456=A2457,_xll.ciqfunctions.udf.CIQ(A2448,"IQ_DILUT_EPS_EXCL",IQ_FY-2), _xll.ciqfunctions.udf.CIQ(A2448, "IQ_DILUT_EPS_EXCL",IQ_FY-1))</f>
        <v>-0.20921000000000001</v>
      </c>
      <c r="G2456" s="15">
        <f>IF(A2456=A2457,_xll.ciqfunctions.udf.CIQ(A2448,"IQ_EBITDA_MARGIN",IQ_FY-2), _xll.ciqfunctions.udf.CIQ(A2448, "IQ_EBITDA_MARGIN",IQ_FY-1))</f>
        <v>14.987500000000001</v>
      </c>
      <c r="H2456" s="15">
        <f>IF(A2456=A2457,_xll.ciqfunctions.udf.CIQ(A2448,"IQ_TOTAL_DIV_PAID_CF",IQ_FY-2)/-I2456, _xll.ciqfunctions.udf.CIQ(A2448, "IQ_TOTAL_DIV_PAID_CF",IQ_FY-1)/-I2456)</f>
        <v>0</v>
      </c>
      <c r="I2456" s="17">
        <f>IF(A2456=A2457,_xll.ciqfunctions.udf.CIQ(A2448,"IQ_TOTAL_OUTSTANDING_FILING_DATE",IQ_FY-2), _xll.ciqfunctions.udf.CIQ(A2448, "IQ_TOTAL_OUTSTANDING_FILING_DATE",IQ_FY-1))</f>
        <v>107.61324999999999</v>
      </c>
      <c r="J2456" s="17">
        <f>IF(A2456=A2457,_xll.ciqfunctions.udf.CIQ(A2448,"IQ_CASH_OPER",IQ_FY-2), _xll.ciqfunctions.udf.CIQ(A2448, "IQ_CASH_OPER",IQ_FY-1))</f>
        <v>133.10900000000001</v>
      </c>
      <c r="K2456" s="17">
        <f>IF(A2456=A2457,_xll.ciqfunctions.udf.CIQ(A2448,"IQ_CAPEX",IQ_FY-2), _xll.ciqfunctions.udf.CIQ(A2448, "IQ_CAPEX",IQ_FY-1))</f>
        <v>-97.072000000000003</v>
      </c>
      <c r="L2456" s="15">
        <f t="shared" si="652"/>
        <v>0.33487511993179286</v>
      </c>
      <c r="M2456" s="17">
        <f>IF(A2456=A2457,_xll.ciqfunctions.udf.CIQ(A2448,"IQ_TOTAL_DEBT_ISSUED",IQ_FY-2), _xll.ciqfunctions.udf.CIQ(A2448, "IQ_TOTAL_DEBT_ISSUED",IQ_FY-1))</f>
        <v>1462.1949999999999</v>
      </c>
      <c r="N2456" s="17">
        <f>IF(A2456=A2457,_xll.ciqfunctions.udf.CIQ(A2448,"IQ_TOTAL_DEBT_REPAID",IQ_FY-2), _xll.ciqfunctions.udf.CIQ(A2448, "IQ_TOTAL_DEBT_REPAID",IQ_FY-1))</f>
        <v>-263.35199999999998</v>
      </c>
      <c r="O2456" s="15">
        <f t="shared" si="653"/>
        <v>11.140291739167806</v>
      </c>
      <c r="P2456" s="15">
        <f t="shared" si="654"/>
        <v>11.475166859099598</v>
      </c>
      <c r="Q2456" s="25" t="s">
        <v>33</v>
      </c>
      <c r="R2456" s="38" t="s">
        <v>52</v>
      </c>
      <c r="S2456" s="4">
        <f>(AVERAGE(O2453:O2458)/AVERAGE(P2453:P2458))</f>
        <v>0.90351039244357934</v>
      </c>
      <c r="U2456" s="25" t="s">
        <v>54</v>
      </c>
      <c r="V2456" s="38" t="s">
        <v>52</v>
      </c>
      <c r="W2456" s="4">
        <f>(AVERAGE(O2453:O2458)/AVERAGE(P2453:P2458))</f>
        <v>0.90351039244357934</v>
      </c>
      <c r="Y2456" s="25" t="s">
        <v>60</v>
      </c>
      <c r="Z2456" s="38" t="s">
        <v>52</v>
      </c>
      <c r="AA2456" s="4">
        <f>(AVERAGE(O2453:O2458)/AVERAGE(P2453:P2458))</f>
        <v>0.90351039244357934</v>
      </c>
    </row>
    <row r="2457" spans="1:27">
      <c r="A2457" s="19">
        <f>_xll.ciqfunctions.udf.CIQ(A2448,"IQ_TOTAL_REV",IQ_LTM)</f>
        <v>675.00800000000004</v>
      </c>
      <c r="B2457" s="13">
        <v>10</v>
      </c>
      <c r="C2457" s="14" t="s">
        <v>34</v>
      </c>
      <c r="D2457" s="15" cm="1">
        <f t="array" ref="D2457">_xlfn.SINGLE(IF(A2456=A2457,_xll.ciqfunctions.udf.CIQ(A2448,"IQ_TOTAL_REV",IQ_FY-1)/I2457, _xll.ciqfunctions.udf.CIQ(A2448, "IQ_TOTAL_REV",IQ_FY)/I2457))</f>
        <v>5.944150428399805</v>
      </c>
      <c r="E2457" s="16">
        <f t="shared" si="655"/>
        <v>0.49259812742875658</v>
      </c>
      <c r="F2457" s="15">
        <f>IF(A2456=A2457,_xll.ciqfunctions.udf.CIQ(A2448,"IQ_DILUT_EPS_EXCL",IQ_FY-1), _xll.ciqfunctions.udf.CIQ(A2448, "IQ_DILUT_EPS_EXCL",IQ_FY))</f>
        <v>-0.27582000000000001</v>
      </c>
      <c r="G2457" s="15">
        <f>IF(A2456=A2457,_xll.ciqfunctions.udf.CIQ(A2448,"IQ_EBITDA_MARGIN",IQ_FY-1), _xll.ciqfunctions.udf.CIQ(A2448, "IQ_EBITDA_MARGIN",IQ_FY))</f>
        <v>14.015000000000001</v>
      </c>
      <c r="H2457" s="15">
        <f>IF(A2456=A2457,_xll.ciqfunctions.udf.CIQ(A2448,"IQ_TOTAL_DIV_PAID_CF",IQ_FY-1)/-I2457, _xll.ciqfunctions.udf.CIQ(A2448, "IQ_TOTAL_DIV_PAID_CF",IQ_FY)/-I2457)</f>
        <v>0</v>
      </c>
      <c r="I2457" s="17">
        <f>IF(A2456=A2457,_xll.ciqfunctions.udf.CIQ(A2448,"IQ_TOTAL_OUTSTANDING_FILING_DATE",IQ_FY-1), _xll.ciqfunctions.udf.CIQ(A2448, "IQ_TOTAL_OUTSTANDING_FILING_DATE",IQ_FY))</f>
        <v>96.956159999999997</v>
      </c>
      <c r="J2457" s="17">
        <f>IF(A2456=A2457,_xll.ciqfunctions.udf.CIQ(A2448,"IQ_CASH_OPER",IQ_FY-1), _xll.ciqfunctions.udf.CIQ(A2448, "IQ_CASH_OPER",IQ_FY))</f>
        <v>195.15199999999999</v>
      </c>
      <c r="K2457" s="17">
        <f>IF(A2456=A2457,_xll.ciqfunctions.udf.CIQ(A2448,"IQ_CAPEX",IQ_FY-1), _xll.ciqfunctions.udf.CIQ(A2448, "IQ_CAPEX",IQ_FY))</f>
        <v>-106.389</v>
      </c>
      <c r="L2457" s="15">
        <f t="shared" si="652"/>
        <v>0.91549624077521219</v>
      </c>
      <c r="M2457" s="17">
        <f>IF(A2456=A2457,_xll.ciqfunctions.udf.CIQ(A2448,"IQ_TOTAL_DEBT_ISSUED",IQ_FY-1), _xll.ciqfunctions.udf.CIQ(A2448, "IQ_TOTAL_DEBT_ISSUED",IQ_FY))</f>
        <v>0</v>
      </c>
      <c r="N2457" s="17">
        <f>IF(A2456=A2457,_xll.ciqfunctions.udf.CIQ(A2448,"IQ_TOTAL_DEBT_REPAID",IQ_FY-1), _xll.ciqfunctions.udf.CIQ(A2448, "IQ_TOTAL_DEBT_REPAID",IQ_FY))</f>
        <v>0</v>
      </c>
      <c r="O2457" s="15">
        <f t="shared" si="653"/>
        <v>0</v>
      </c>
      <c r="P2457" s="15">
        <f t="shared" si="654"/>
        <v>0.91549624077521219</v>
      </c>
      <c r="Q2457" s="25" t="s">
        <v>44</v>
      </c>
      <c r="R2457" s="38" t="s">
        <v>35</v>
      </c>
      <c r="S2457" s="1">
        <f>_xll.ciqfunctions.udf.CIQ(A2448,"IQ_TEV_EBITDA")</f>
        <v>18.865739999999999</v>
      </c>
      <c r="U2457" s="25" t="s">
        <v>55</v>
      </c>
      <c r="V2457" s="38" t="s">
        <v>53</v>
      </c>
      <c r="W2457" s="1" t="e">
        <f>V2447/(AVERAGE(D2453:D2458)/_xlfn.STDEV.P(E2453:E2458))</f>
        <v>#DIV/0!</v>
      </c>
      <c r="Y2457" s="25" t="s">
        <v>57</v>
      </c>
      <c r="Z2457" s="38" t="s">
        <v>53</v>
      </c>
      <c r="AA2457" s="1" t="e">
        <f>Z2447/(AVERAGE(D2453:D2458)/_xlfn.STDEV.P(E2453:E2458))</f>
        <v>#DIV/0!</v>
      </c>
    </row>
    <row r="2458" spans="1:27">
      <c r="B2458" s="13">
        <v>11</v>
      </c>
      <c r="C2458" s="20" t="s">
        <v>36</v>
      </c>
      <c r="D2458" s="21" cm="1">
        <f t="array" ref="D2458">_xlfn.SINGLE(IF(A2456=A2457,_xll.ciqfunctions.udf.CIQ(A2448,"IQ_TOTAL_REV",IQ_FY)/I2458, _xll.ciqfunctions.udf.CIQ(A2448, "IQ_TOTAL_REV",IQ_LTM)/I2458))</f>
        <v>7.848114393689773</v>
      </c>
      <c r="E2458" s="22">
        <f t="shared" si="655"/>
        <v>0.32030884618822214</v>
      </c>
      <c r="F2458" s="21">
        <f>IF(A2456=A2457,_xll.ciqfunctions.udf.CIQ(A2448,"IQ_DILUT_EPS_EXCL",IQ_FY), _xll.ciqfunctions.udf.CIQ(A2448, "IQ_DILUT_EPS_EXCL",IQ_LTM))</f>
        <v>-7.4880000000000002E-2</v>
      </c>
      <c r="G2458" s="21">
        <f>IF(A2456=A2457,_xll.ciqfunctions.udf.CIQ(A2448,"IQ_EBITDA_MARGIN",IQ_FY), _xll.ciqfunctions.udf.CIQ(A2448, "IQ_EBITDA_MARGIN",IQ_LTM))</f>
        <v>19.6098</v>
      </c>
      <c r="H2458" s="21">
        <f>IF(A2456=A2457,_xll.ciqfunctions.udf.CIQ(A2448,"IQ_TOTAL_DIV_PAID_CF",IQ_FY)/-I2458, _xll.ciqfunctions.udf.CIQ(A2448, "IQ_TOTAL_DIV_PAID_CF",IQ_LTM)/-I2458)</f>
        <v>0</v>
      </c>
      <c r="I2458" s="23">
        <f>IF(A2456=A2457,_xll.ciqfunctions.udf.CIQ(A2448,"IQ_TOTAL_OUTSTANDING_FILING_DATE",IQ_FY),_xll.ciqfunctions.udf.CIQ(A2448,"IQ_sharesoutstanding"))</f>
        <v>86.008939999999996</v>
      </c>
      <c r="J2458" s="23">
        <f>IF(A2456=A2457,_xll.ciqfunctions.udf.CIQ(A2448,"IQ_CASH_OPER",IQ_FY), _xll.ciqfunctions.udf.CIQ(A2448, "IQ_CASH_OPER",IQ_LTM))</f>
        <v>217.26</v>
      </c>
      <c r="K2458" s="23">
        <f>IF(A2456=A2457,_xll.ciqfunctions.udf.CIQ(A2448,"IQ_CAPEX",IQ_FY), _xll.ciqfunctions.udf.CIQ(A2448, "IQ_CAPEX",IQ_LTM))</f>
        <v>-93.787000000000006</v>
      </c>
      <c r="L2458" s="21">
        <f t="shared" si="652"/>
        <v>1.4355833242451308</v>
      </c>
      <c r="M2458" s="23">
        <f>IF(A2456=A2457,_xll.ciqfunctions.udf.CIQ(A2448,"IQ_TOTAL_DEBT_ISSUED",IQ_FY), _xll.ciqfunctions.udf.CIQ(A2448, "IQ_TOTAL_DEBT_ISSUED",IQ_LTM))</f>
        <v>0</v>
      </c>
      <c r="N2458" s="23">
        <f>IF(A2456=A2457,_xll.ciqfunctions.udf.CIQ(A2448,"IQ_TOTAL_DEBT_REPAID",IQ_FY), _xll.ciqfunctions.udf.CIQ(A2448, "IQ_TOTAL_DEBT_REPAID",IQ_LTM))</f>
        <v>-0.94699999999999995</v>
      </c>
      <c r="O2458" s="21">
        <f t="shared" si="653"/>
        <v>-1.1010483328826049E-2</v>
      </c>
      <c r="P2458" s="21">
        <f t="shared" si="654"/>
        <v>1.4245728409163048</v>
      </c>
      <c r="Q2458" s="25" t="s">
        <v>45</v>
      </c>
      <c r="S2458" s="45"/>
      <c r="U2458" s="25"/>
      <c r="W2458" s="45"/>
      <c r="Y2458" s="25"/>
      <c r="AA2458" s="45"/>
    </row>
    <row r="2459" spans="1:27">
      <c r="B2459" s="24"/>
      <c r="C2459" s="25" t="s">
        <v>37</v>
      </c>
      <c r="E2459" s="26">
        <f>((D2458/D2453)^(1/5))-1</f>
        <v>5.5886778774083767E-2</v>
      </c>
      <c r="F2459" s="27">
        <f>((F2458/F2453)^(1/5))-1</f>
        <v>-0.41137787765337275</v>
      </c>
      <c r="G2459" s="28"/>
      <c r="H2459" s="27" t="e">
        <f>((H2458/H2453)^(1/5))-1</f>
        <v>#DIV/0!</v>
      </c>
      <c r="I2459" s="27">
        <f>((I2458/I2453)^(1/5))-1</f>
        <v>0.20416791924353039</v>
      </c>
      <c r="J2459" s="27"/>
      <c r="K2459" s="27"/>
      <c r="L2459" s="26">
        <f>((L2458/L2453)^(1/5))-1</f>
        <v>-3.6213686600352508</v>
      </c>
      <c r="M2459" s="26"/>
      <c r="N2459" s="26"/>
      <c r="O2459" s="26"/>
      <c r="P2459" s="26">
        <f>((P2458/P2453)^(1/5))-1</f>
        <v>-2.2209534478432147</v>
      </c>
      <c r="Q2459" s="18"/>
      <c r="R2459" s="36"/>
      <c r="S2459" s="45"/>
      <c r="U2459" s="18"/>
      <c r="V2459" s="36"/>
      <c r="W2459" s="45"/>
      <c r="Y2459" s="18"/>
      <c r="Z2459" s="36"/>
      <c r="AA2459" s="45"/>
    </row>
    <row r="2460" spans="1:27">
      <c r="A2460" s="29"/>
      <c r="B2460" s="30"/>
      <c r="C2460" s="31" t="s">
        <v>38</v>
      </c>
      <c r="D2460" s="29"/>
      <c r="E2460" s="32" t="e">
        <f>((D2458/D2448)^(1/10))-1</f>
        <v>#DIV/0!</v>
      </c>
      <c r="F2460" s="33" t="e">
        <f>((F2458/F2448)^(1/10))-1</f>
        <v>#DIV/0!</v>
      </c>
      <c r="G2460" s="34"/>
      <c r="H2460" s="33" t="e">
        <f>((H2458/H2448)^(1/10))-1</f>
        <v>#DIV/0!</v>
      </c>
      <c r="I2460" s="33" t="e">
        <f>((I2458/I2448)^(1/10))-1</f>
        <v>#DIV/0!</v>
      </c>
      <c r="J2460" s="33"/>
      <c r="K2460" s="33"/>
      <c r="L2460" s="32" t="e">
        <f>((L2458/L2448)^(1/10))-1</f>
        <v>#DIV/0!</v>
      </c>
      <c r="M2460" s="32"/>
      <c r="N2460" s="32"/>
      <c r="O2460" s="32"/>
      <c r="P2460" s="32" t="e">
        <f>((P2458/P2448)^(1/10))-1</f>
        <v>#DIV/0!</v>
      </c>
      <c r="Q2460" s="40"/>
      <c r="R2460" s="41"/>
      <c r="S2460" s="46"/>
      <c r="U2460" s="40"/>
      <c r="V2460" s="41"/>
      <c r="W2460" s="46"/>
      <c r="Y2460" s="40"/>
      <c r="Z2460" s="41"/>
      <c r="AA2460" s="46"/>
    </row>
    <row r="2461" spans="1:27">
      <c r="B2461" s="24"/>
      <c r="C2461" s="25"/>
      <c r="E2461" s="26"/>
      <c r="F2461" s="27"/>
      <c r="G2461" s="28"/>
      <c r="H2461" s="27"/>
      <c r="I2461" s="27"/>
      <c r="J2461" s="27"/>
      <c r="K2461" s="27"/>
      <c r="L2461" s="26"/>
      <c r="M2461" s="17"/>
      <c r="N2461" s="17"/>
      <c r="O2461" s="17"/>
      <c r="P2461" s="35"/>
      <c r="Q2461" s="18"/>
      <c r="R2461" s="36"/>
    </row>
    <row r="2462" spans="1:27">
      <c r="A2462" s="9" t="s">
        <v>0</v>
      </c>
      <c r="B2462" s="10"/>
      <c r="C2462" s="9" t="s">
        <v>1</v>
      </c>
      <c r="D2462" s="9" t="s">
        <v>2</v>
      </c>
      <c r="E2462" s="9" t="s">
        <v>3</v>
      </c>
      <c r="F2462" s="11" t="s">
        <v>4</v>
      </c>
      <c r="G2462" s="11" t="s">
        <v>5</v>
      </c>
      <c r="H2462" s="9" t="s">
        <v>6</v>
      </c>
      <c r="I2462" s="11" t="s">
        <v>7</v>
      </c>
      <c r="J2462" s="11" t="s">
        <v>8</v>
      </c>
      <c r="K2462" s="11" t="s">
        <v>9</v>
      </c>
      <c r="L2462" s="11" t="s">
        <v>10</v>
      </c>
      <c r="M2462" s="11" t="s">
        <v>11</v>
      </c>
      <c r="N2462" s="11" t="s">
        <v>12</v>
      </c>
      <c r="O2462" s="11" t="s">
        <v>13</v>
      </c>
      <c r="P2462" s="11" t="s">
        <v>14</v>
      </c>
      <c r="Q2462" s="37" t="s">
        <v>15</v>
      </c>
      <c r="R2462" s="42">
        <f>_xll.ciqfunctions.udf.CIQ(A2463,("IQ_LASTSALEPRICE"))</f>
        <v>17.864999999999998</v>
      </c>
      <c r="S2462" s="44"/>
      <c r="U2462" s="37" t="s">
        <v>15</v>
      </c>
      <c r="V2462" s="42">
        <f>_xll.ciqfunctions.udf.CIQ(A2463,("IQ_LASTSALEPRICE"))</f>
        <v>17.864999999999998</v>
      </c>
      <c r="W2462" s="44"/>
      <c r="Y2462" s="37" t="s">
        <v>15</v>
      </c>
      <c r="Z2462" s="42">
        <f>_xll.ciqfunctions.udf.CIQ(A2463,("IQ_LASTSALEPRICE"))</f>
        <v>17.864999999999998</v>
      </c>
      <c r="AA2462" s="44"/>
    </row>
    <row r="2463" spans="1:27">
      <c r="A2463" s="12" t="str">
        <f>Analysis!B166</f>
        <v>NYSE:FSLY</v>
      </c>
      <c r="B2463" s="13">
        <v>1</v>
      </c>
      <c r="C2463" s="14" t="s">
        <v>16</v>
      </c>
      <c r="D2463" s="15" t="e">
        <f>IF(A2471=A2472,_xll.ciqfunctions.udf.CIQ(A2463,"IQ_TOTAL_REV",IQ_FY-10)/I2463,_xll.ciqfunctions.udf.CIQ(A2463, "IQ_TOTAL_REV",IQ_FY-9)/I2463)</f>
        <v>#DIV/0!</v>
      </c>
      <c r="E2463" s="16"/>
      <c r="F2463" s="15">
        <f>IF(A2471=A2472,_xll.ciqfunctions.udf.CIQ(A2463,"IQ_DILUT_EPS_EXCL",IQ_FY-10), _xll.ciqfunctions.udf.CIQ(A2463, "IQ_DILUT_EPS_EXCL",IQ_FY-9))</f>
        <v>0</v>
      </c>
      <c r="G2463" s="15">
        <f>IF(A2471=A2472,_xll.ciqfunctions.udf.CIQ(A2463,"IQ_EBITDA_MARGIN",IQ_FY-10), _xll.ciqfunctions.udf.CIQ(A2463, "IQ_EBITDA_MARGIN",IQ_FY-9))</f>
        <v>0</v>
      </c>
      <c r="H2463" s="15" t="e">
        <f>IF(A2471=A2472,_xll.ciqfunctions.udf.CIQ(A2463,"IQ_TOTAL_DIV_PAID_CF",IQ_FY-10)/-I2463, _xll.ciqfunctions.udf.CIQ(A2463, "IQ_TOTAL_DIV_PAID_CF",IQ_FY-9)/-I2463)</f>
        <v>#DIV/0!</v>
      </c>
      <c r="I2463" s="17">
        <f>IF(A2471=A2472,_xll.ciqfunctions.udf.CIQ(A2463,"IQ_TOTAL_OUTSTANDING_FILING_DATE",IQ_FY-10), _xll.ciqfunctions.udf.CIQ(A2463, "IQ_TOTAL_OUTSTANDING_FILING_DATE",IQ_FY-9))</f>
        <v>0</v>
      </c>
      <c r="J2463" s="17">
        <f>IF(A2471=A2472,_xll.ciqfunctions.udf.CIQ(A2463,"IQ_CASH_OPER",IQ_FY-10), _xll.ciqfunctions.udf.CIQ(A2463, "IQ_CASH_OPER",IQ_FY-9))</f>
        <v>0</v>
      </c>
      <c r="K2463" s="17">
        <f>IF(A2471=A2472,_xll.ciqfunctions.udf.CIQ(A2463,"IQ_CAPEX",IQ_FY-10), _xll.ciqfunctions.udf.CIQ(A2463, "IQ_CAPEX",IQ_FY-9))</f>
        <v>0</v>
      </c>
      <c r="L2463" s="15" t="e">
        <f t="shared" ref="L2463:L2473" si="656">(J2463+K2463)/I2463</f>
        <v>#DIV/0!</v>
      </c>
      <c r="M2463" s="17">
        <f>IF(A2471=A2472,_xll.ciqfunctions.udf.CIQ(A2463,"IQ_TOTAL_DEBT_ISSUED",IQ_FY-10), _xll.ciqfunctions.udf.CIQ(A2463, "IQ_TOTAL_DEBT_ISSUED",IQ_FY-9))</f>
        <v>0</v>
      </c>
      <c r="N2463" s="17">
        <f>IF(A2471=A2472,_xll.ciqfunctions.udf.CIQ(A2463,"IQ_TOTAL_DEBT_REPAID",IQ_FY-10), _xll.ciqfunctions.udf.CIQ(A2463, "IQ_TOTAL_DEBT_REPAID",IQ_FY-9))</f>
        <v>0</v>
      </c>
      <c r="O2463" s="15" t="e">
        <f t="shared" ref="O2463:O2473" si="657">(M2463+N2463)/I2463</f>
        <v>#DIV/0!</v>
      </c>
      <c r="P2463" s="15" t="e">
        <f t="shared" ref="P2463:P2473" si="658">L2463+O2463</f>
        <v>#DIV/0!</v>
      </c>
      <c r="W2463" s="43"/>
      <c r="AA2463" s="43"/>
    </row>
    <row r="2464" spans="1:27">
      <c r="A2464" s="18" t="str">
        <f>_xll.ciqfunctions.udf.CIQ(A2463,"IQ_COMPANY_NAME")</f>
        <v>Fastly, Inc.</v>
      </c>
      <c r="B2464" s="13">
        <v>2</v>
      </c>
      <c r="C2464" s="14" t="s">
        <v>17</v>
      </c>
      <c r="D2464" s="15" t="e">
        <f>IF(A2471=A2472,_xll.ciqfunctions.udf.CIQ(A2463,"IQ_TOTAL_REV",IQ_FY-9)/I2464, _xll.ciqfunctions.udf.CIQ(A2463, "IQ_TOTAL_REV",IQ_FY-8)/I2464)</f>
        <v>#DIV/0!</v>
      </c>
      <c r="E2464" s="16" t="e">
        <f t="shared" ref="E2464:E2473" si="659">(D2464-D2463)/D2463</f>
        <v>#DIV/0!</v>
      </c>
      <c r="F2464" s="15">
        <f>IF(A2471=A2472,_xll.ciqfunctions.udf.CIQ(A2463,"IQ_DILUT_EPS_EXCL",IQ_FY-9), _xll.ciqfunctions.udf.CIQ(A2463, "IQ_DILUT_EPS_EXCL",IQ_FY-8))</f>
        <v>0</v>
      </c>
      <c r="G2464" s="15">
        <f>IF(A2471=A2472,_xll.ciqfunctions.udf.CIQ(A2463,"IQ_EBITDA_MARGIN",IQ_FY-9), _xll.ciqfunctions.udf.CIQ(A2463, "IQ_EBITDA_MARGIN",IQ_FY-8))</f>
        <v>0</v>
      </c>
      <c r="H2464" s="15" t="e">
        <f>IF(A2471=A2472,_xll.ciqfunctions.udf.CIQ(A2463,"IQ_TOTAL_DIV_PAID_CF",IQ_FY-9)/-I2464, _xll.ciqfunctions.udf.CIQ(A2463, "IQ_TOTAL_DIV_PAID_CF",IQ_FY-8)/-I2464)</f>
        <v>#DIV/0!</v>
      </c>
      <c r="I2464" s="17">
        <f>IF(A2471=A2472,_xll.ciqfunctions.udf.CIQ(A2463,"IQ_TOTAL_OUTSTANDING_FILING_DATE",IQ_FY-9), _xll.ciqfunctions.udf.CIQ(A2463, "IQ_TOTAL_OUTSTANDING_FILING_DATE",IQ_FY-8))</f>
        <v>0</v>
      </c>
      <c r="J2464" s="17">
        <f>IF(A2471=A2472,_xll.ciqfunctions.udf.CIQ(A2463,"IQ_CASH_OPER",IQ_FY-9), _xll.ciqfunctions.udf.CIQ(A2463, "IQ_CASH_OPER",IQ_FY-8))</f>
        <v>0</v>
      </c>
      <c r="K2464" s="17">
        <f>IF(A2471=A2472,_xll.ciqfunctions.udf.CIQ(A2463,"IQ_CAPEX",IQ_FY-9), _xll.ciqfunctions.udf.CIQ(A2463, "IQ_CAPEX",IQ_FY-8))</f>
        <v>0</v>
      </c>
      <c r="L2464" s="15" t="e">
        <f t="shared" si="656"/>
        <v>#DIV/0!</v>
      </c>
      <c r="M2464" s="17">
        <f>IF(A2471=A2472,_xll.ciqfunctions.udf.CIQ(A2463,"IQ_TOTAL_DEBT_ISSUED",IQ_FY-9), _xll.ciqfunctions.udf.CIQ(A2463, "IQ_TOTAL_DEBT_ISSUED",IQ_FY-8))</f>
        <v>0</v>
      </c>
      <c r="N2464" s="17">
        <f>IF(A2471=A2472,_xll.ciqfunctions.udf.CIQ(A2463,"IQ_TOTAL_DEBT_REPAID",IQ_FY-9), _xll.ciqfunctions.udf.CIQ(A2463, "IQ_TOTAL_DEBT_REPAID",IQ_FY-8))</f>
        <v>0</v>
      </c>
      <c r="O2464" s="15" t="e">
        <f t="shared" si="657"/>
        <v>#DIV/0!</v>
      </c>
      <c r="P2464" s="15" t="e">
        <f t="shared" si="658"/>
        <v>#DIV/0!</v>
      </c>
      <c r="Q2464" s="25" t="s">
        <v>18</v>
      </c>
      <c r="R2464" s="39" t="s">
        <v>19</v>
      </c>
      <c r="S2464" s="1">
        <f>R2462/((AVERAGE(P2468:P2473))*(1+E2474)^3)</f>
        <v>163.99482853558621</v>
      </c>
      <c r="U2464" s="25" t="s">
        <v>48</v>
      </c>
      <c r="V2464" s="39" t="s">
        <v>19</v>
      </c>
      <c r="W2464" s="1">
        <f>V2462/((AVERAGE(P2468:P2473))*(1+E2474)^3)</f>
        <v>163.99482853558621</v>
      </c>
      <c r="Y2464" s="25" t="s">
        <v>39</v>
      </c>
      <c r="Z2464" s="39" t="s">
        <v>19</v>
      </c>
      <c r="AA2464" s="1">
        <f>Z2462/((AVERAGE(P2468:P2473))*(1+E2474)^3)</f>
        <v>163.99482853558621</v>
      </c>
    </row>
    <row r="2465" spans="1:27">
      <c r="B2465" s="13">
        <v>3</v>
      </c>
      <c r="C2465" s="14" t="s">
        <v>20</v>
      </c>
      <c r="D2465" s="15" t="e" cm="1">
        <f t="array" ref="D2465">_xlfn.SINGLE(IF(A2471=A2472,_xll.ciqfunctions.udf.CIQ(A2463,"IQ_TOTAL_REV",IQ_FY-8)/I2465, _xll.ciqfunctions.udf.CIQ(A2463, "IQ_TOTAL_REV",IQ_FY-7)/I2465))</f>
        <v>#DIV/0!</v>
      </c>
      <c r="E2465" s="16" t="e">
        <f t="shared" si="659"/>
        <v>#DIV/0!</v>
      </c>
      <c r="F2465" s="15">
        <f>IF(A2471=A2472,_xll.ciqfunctions.udf.CIQ(A2463,"IQ_DILUT_EPS_EXCL",IQ_FY-8), _xll.ciqfunctions.udf.CIQ(A2463, "IQ_DILUT_EPS_EXCL",IQ_FY-7))</f>
        <v>0</v>
      </c>
      <c r="G2465" s="15">
        <f>IF(A2471=A2472,_xll.ciqfunctions.udf.CIQ(A2463,"IQ_EBITDA_MARGIN",IQ_FY-8), _xll.ciqfunctions.udf.CIQ(A2463, "IQ_EBITDA_MARGIN",IQ_FY-7))</f>
        <v>0</v>
      </c>
      <c r="H2465" s="15" t="e">
        <f>IF(A2471=A2472,_xll.ciqfunctions.udf.CIQ(A2463,"IQ_TOTAL_DIV_PAID_CF",IQ_FY-8)/-I2465, _xll.ciqfunctions.udf.CIQ(A2463, "IQ_TOTAL_DIV_PAID_CF",IQ_FY-7)/-I2465)</f>
        <v>#DIV/0!</v>
      </c>
      <c r="I2465" s="17">
        <f>IF(A2471=A2472,_xll.ciqfunctions.udf.CIQ(A2463,"IQ_TOTAL_OUTSTANDING_FILING_DATE",IQ_FY-8), _xll.ciqfunctions.udf.CIQ(A2463, "IQ_TOTAL_OUTSTANDING_FILING_DATE",IQ_FY-7))</f>
        <v>0</v>
      </c>
      <c r="J2465" s="17">
        <f>IF(A2471=A2472,_xll.ciqfunctions.udf.CIQ(A2463,"IQ_CASH_OPER",IQ_FY-8), _xll.ciqfunctions.udf.CIQ(A2463, "IQ_CASH_OPER",IQ_FY-7))</f>
        <v>0</v>
      </c>
      <c r="K2465" s="17">
        <f>IF(A2471=A2472,_xll.ciqfunctions.udf.CIQ(A2463,"IQ_CAPEX",IQ_FY-8), _xll.ciqfunctions.udf.CIQ(A2463, "IQ_CAPEX",IQ_FY-7))</f>
        <v>0</v>
      </c>
      <c r="L2465" s="15" t="e">
        <f t="shared" si="656"/>
        <v>#DIV/0!</v>
      </c>
      <c r="M2465" s="17">
        <f>IF(A2471=A2472,_xll.ciqfunctions.udf.CIQ(A2463,"IQ_TOTAL_DEBT_ISSUED",IQ_FY-8), _xll.ciqfunctions.udf.CIQ(A2463, "IQ_TOTAL_DEBT_ISSUED",IQ_FY-7))</f>
        <v>0</v>
      </c>
      <c r="N2465" s="17">
        <f>IF(A2471=A2472,_xll.ciqfunctions.udf.CIQ(A2463,"IQ_TOTAL_DEBT_REPAID",IQ_FY-8), _xll.ciqfunctions.udf.CIQ(A2463, "IQ_TOTAL_DEBT_REPAID",IQ_FY-7))</f>
        <v>0</v>
      </c>
      <c r="O2465" s="15" t="e">
        <f t="shared" si="657"/>
        <v>#DIV/0!</v>
      </c>
      <c r="P2465" s="15" t="e">
        <f t="shared" si="658"/>
        <v>#DIV/0!</v>
      </c>
      <c r="Q2465" s="25" t="s">
        <v>21</v>
      </c>
      <c r="R2465" s="38" t="s">
        <v>49</v>
      </c>
      <c r="S2465" s="2">
        <f>(R2462*I2473)/1000</f>
        <v>2.3367420000000001</v>
      </c>
      <c r="U2465" s="25" t="s">
        <v>59</v>
      </c>
      <c r="V2465" s="38" t="s">
        <v>49</v>
      </c>
      <c r="W2465" s="2">
        <f>(V2462*I2473)/1000</f>
        <v>2.3367420000000001</v>
      </c>
      <c r="Y2465" s="25" t="s">
        <v>46</v>
      </c>
      <c r="Z2465" s="38" t="s">
        <v>49</v>
      </c>
      <c r="AA2465" s="2">
        <f>(Z2462*I2473)/1000</f>
        <v>2.3367420000000001</v>
      </c>
    </row>
    <row r="2466" spans="1:27">
      <c r="A2466" s="18"/>
      <c r="B2466" s="13">
        <v>4</v>
      </c>
      <c r="C2466" s="14" t="s">
        <v>22</v>
      </c>
      <c r="D2466" s="15" t="e" cm="1">
        <f t="array" ref="D2466">_xlfn.SINGLE(IF(A2471=A2472,_xll.ciqfunctions.udf.CIQ(A2463,"IQ_TOTAL_REV",IQ_FY-7)/I2466, _xll.ciqfunctions.udf.CIQ(A2463, "IQ_TOTAL_REV",IQ_FY-6)/I2466))</f>
        <v>#DIV/0!</v>
      </c>
      <c r="E2466" s="16" t="e">
        <f t="shared" si="659"/>
        <v>#DIV/0!</v>
      </c>
      <c r="F2466" s="15">
        <f>IF(A2471=A2472,_xll.ciqfunctions.udf.CIQ(A2463,"IQ_DILUT_EPS_EXCL",IQ_FY-7), _xll.ciqfunctions.udf.CIQ(A2463, "IQ_DILUT_EPS_EXCL",IQ_FY-6))</f>
        <v>0</v>
      </c>
      <c r="G2466" s="15">
        <f>IF(A2471=A2472,_xll.ciqfunctions.udf.CIQ(A2463,"IQ_EBITDA_MARGIN",IQ_FY-7), _xll.ciqfunctions.udf.CIQ(A2463, "IQ_EBITDA_MARGIN",IQ_FY-6))</f>
        <v>0</v>
      </c>
      <c r="H2466" s="15" t="e">
        <f>IF(A2471=A2472,_xll.ciqfunctions.udf.CIQ(A2463,"IQ_TOTAL_DIV_PAID_CF",IQ_FY-7)/-I2466, _xll.ciqfunctions.udf.CIQ(A2463, "IQ_TOTAL_DIV_PAID_CF",IQ_FY-6)/-I2466)</f>
        <v>#DIV/0!</v>
      </c>
      <c r="I2466" s="17">
        <f>IF(A2471=A2472,_xll.ciqfunctions.udf.CIQ(A2463,"IQ_TOTAL_OUTSTANDING_FILING_DATE",IQ_FY-7), _xll.ciqfunctions.udf.CIQ(A2463, "IQ_TOTAL_OUTSTANDING_FILING_DATE",IQ_FY-6))</f>
        <v>0</v>
      </c>
      <c r="J2466" s="17">
        <f>IF(A2471=A2472,_xll.ciqfunctions.udf.CIQ(A2463,"IQ_CASH_OPER",IQ_FY-7), _xll.ciqfunctions.udf.CIQ(A2463, "IQ_CASH_OPER",IQ_FY-6))</f>
        <v>0</v>
      </c>
      <c r="K2466" s="17">
        <f>IF(A2471=A2472,_xll.ciqfunctions.udf.CIQ(A2463,"IQ_CAPEX",IQ_FY-7), _xll.ciqfunctions.udf.CIQ(A2463, "IQ_CAPEX",IQ_FY-6))</f>
        <v>0</v>
      </c>
      <c r="L2466" s="15" t="e">
        <f t="shared" si="656"/>
        <v>#DIV/0!</v>
      </c>
      <c r="M2466" s="17">
        <f>IF(A2471=A2472,_xll.ciqfunctions.udf.CIQ(A2463,"IQ_TOTAL_DEBT_ISSUED",IQ_FY-7), _xll.ciqfunctions.udf.CIQ(A2463, "IQ_TOTAL_DEBT_ISSUED",IQ_FY-6))</f>
        <v>0</v>
      </c>
      <c r="N2466" s="17">
        <f>IF(A2471=A2472,_xll.ciqfunctions.udf.CIQ(A2463,"IQ_TOTAL_DEBT_REPAID",IQ_FY-7), _xll.ciqfunctions.udf.CIQ(A2463, "IQ_TOTAL_DEBT_REPAID",IQ_FY-6))</f>
        <v>0</v>
      </c>
      <c r="O2466" s="15" t="e">
        <f t="shared" si="657"/>
        <v>#DIV/0!</v>
      </c>
      <c r="P2466" s="15" t="e">
        <f t="shared" si="658"/>
        <v>#DIV/0!</v>
      </c>
      <c r="Q2466" s="25" t="s">
        <v>23</v>
      </c>
      <c r="R2466" s="38" t="s">
        <v>24</v>
      </c>
      <c r="S2466" s="1" t="e">
        <f>R2462/(AVERAGE(H2468:H2473)*(1+H2474)/(0.5-H2474))</f>
        <v>#DIV/0!</v>
      </c>
      <c r="U2466" s="25" t="s">
        <v>40</v>
      </c>
      <c r="V2466" s="38" t="s">
        <v>24</v>
      </c>
      <c r="W2466" s="1" t="e">
        <f>V2462/(AVERAGE(H2468:H2473)*(1+H2474)/(0.5-H2474))</f>
        <v>#DIV/0!</v>
      </c>
      <c r="Y2466" s="25" t="s">
        <v>47</v>
      </c>
      <c r="Z2466" s="38" t="s">
        <v>24</v>
      </c>
      <c r="AA2466" s="1" t="e">
        <f>Z2462/(AVERAGE(H2468:H2473)*(1+H2474)/(0.5-H2474))</f>
        <v>#DIV/0!</v>
      </c>
    </row>
    <row r="2467" spans="1:27">
      <c r="B2467" s="13">
        <v>5</v>
      </c>
      <c r="C2467" s="14" t="s">
        <v>25</v>
      </c>
      <c r="D2467" s="15" cm="1">
        <f t="array" ref="D2467">_xlfn.SINGLE(IF(A2471=A2472,_xll.ciqfunctions.udf.CIQ(A2463,"IQ_TOTAL_REV",IQ_FY-6)/I2467, _xll.ciqfunctions.udf.CIQ(A2463, "IQ_TOTAL_REV",IQ_FY-5)/I2467))</f>
        <v>4.4825228612939068</v>
      </c>
      <c r="E2467" s="16" t="e">
        <f t="shared" si="659"/>
        <v>#DIV/0!</v>
      </c>
      <c r="F2467" s="15">
        <f>IF(A2471=A2472,_xll.ciqfunctions.udf.CIQ(A2463,"IQ_DILUT_EPS_EXCL",IQ_FY-6), _xll.ciqfunctions.udf.CIQ(A2463, "IQ_DILUT_EPS_EXCL",IQ_FY-5))</f>
        <v>-1.38663</v>
      </c>
      <c r="G2467" s="15">
        <f>IF(A2471=A2472,_xll.ciqfunctions.udf.CIQ(A2463,"IQ_EBITDA_MARGIN",IQ_FY-6), _xll.ciqfunctions.udf.CIQ(A2463, "IQ_EBITDA_MARGIN",IQ_FY-5))</f>
        <v>-20.3889</v>
      </c>
      <c r="H2467" s="15">
        <f>IF(A2471=A2472,_xll.ciqfunctions.udf.CIQ(A2463,"IQ_TOTAL_DIV_PAID_CF",IQ_FY-6)/-I2467, _xll.ciqfunctions.udf.CIQ(A2463, "IQ_TOTAL_DIV_PAID_CF",IQ_FY-5)/-I2467)</f>
        <v>0</v>
      </c>
      <c r="I2467" s="17">
        <f>IF(A2471=A2472,_xll.ciqfunctions.udf.CIQ(A2463,"IQ_TOTAL_OUTSTANDING_FILING_DATE",IQ_FY-6), _xll.ciqfunctions.udf.CIQ(A2463, "IQ_TOTAL_OUTSTANDING_FILING_DATE",IQ_FY-5))</f>
        <v>23.402000000000001</v>
      </c>
      <c r="J2467" s="17">
        <f>IF(A2471=A2472,_xll.ciqfunctions.udf.CIQ(A2463,"IQ_CASH_OPER",IQ_FY-6), _xll.ciqfunctions.udf.CIQ(A2463, "IQ_CASH_OPER",IQ_FY-5))</f>
        <v>-25.861000000000001</v>
      </c>
      <c r="K2467" s="17">
        <f>IF(A2471=A2472,_xll.ciqfunctions.udf.CIQ(A2463,"IQ_CAPEX",IQ_FY-6), _xll.ciqfunctions.udf.CIQ(A2463, "IQ_CAPEX",IQ_FY-5))</f>
        <v>-12.099</v>
      </c>
      <c r="L2467" s="15">
        <f t="shared" si="656"/>
        <v>-1.6220835825997777</v>
      </c>
      <c r="M2467" s="17">
        <f>IF(A2471=A2472,_xll.ciqfunctions.udf.CIQ(A2463,"IQ_TOTAL_DEBT_ISSUED",IQ_FY-6), _xll.ciqfunctions.udf.CIQ(A2463, "IQ_TOTAL_DEBT_ISSUED",IQ_FY-5))</f>
        <v>12.773999999999999</v>
      </c>
      <c r="N2467" s="17">
        <f>IF(A2471=A2472,_xll.ciqfunctions.udf.CIQ(A2463,"IQ_TOTAL_DEBT_REPAID",IQ_FY-6), _xll.ciqfunctions.udf.CIQ(A2463, "IQ_TOTAL_DEBT_REPAID",IQ_FY-5))</f>
        <v>-7.8470000000000004</v>
      </c>
      <c r="O2467" s="15">
        <f t="shared" si="657"/>
        <v>0.21053756089223136</v>
      </c>
      <c r="P2467" s="15">
        <f t="shared" si="658"/>
        <v>-1.4115460217075464</v>
      </c>
      <c r="Q2467" s="18"/>
      <c r="R2467" s="38" t="s">
        <v>50</v>
      </c>
      <c r="S2467" s="3">
        <f>I2474</f>
        <v>0.39935872689856189</v>
      </c>
      <c r="U2467" s="18"/>
      <c r="V2467" s="38" t="s">
        <v>50</v>
      </c>
      <c r="W2467" s="3">
        <f>I2474</f>
        <v>0.39935872689856189</v>
      </c>
      <c r="Y2467" s="18"/>
      <c r="Z2467" s="38" t="s">
        <v>50</v>
      </c>
      <c r="AA2467" s="3">
        <f>I2474</f>
        <v>0.39935872689856189</v>
      </c>
    </row>
    <row r="2468" spans="1:27">
      <c r="B2468" s="13">
        <v>6</v>
      </c>
      <c r="C2468" s="14" t="s">
        <v>26</v>
      </c>
      <c r="D2468" s="15" cm="1">
        <f t="array" ref="D2468">_xlfn.SINGLE(IF(A2471=A2472,_xll.ciqfunctions.udf.CIQ(A2463,"IQ_TOTAL_REV",IQ_FY-5)/I2468, _xll.ciqfunctions.udf.CIQ(A2463, "IQ_TOTAL_REV",IQ_FY-4)/I2468))</f>
        <v>5.9305464391204454</v>
      </c>
      <c r="E2468" s="16">
        <f t="shared" si="659"/>
        <v>0.32303763363485849</v>
      </c>
      <c r="F2468" s="15">
        <f>IF(A2471=A2472,_xll.ciqfunctions.udf.CIQ(A2463,"IQ_DILUT_EPS_EXCL",IQ_FY-5), _xll.ciqfunctions.udf.CIQ(A2463, "IQ_DILUT_EPS_EXCL",IQ_FY-4))</f>
        <v>-1.26908</v>
      </c>
      <c r="G2468" s="15">
        <f>IF(A2471=A2472,_xll.ciqfunctions.udf.CIQ(A2463,"IQ_EBITDA_MARGIN",IQ_FY-5), _xll.ciqfunctions.udf.CIQ(A2463, "IQ_EBITDA_MARGIN",IQ_FY-4))</f>
        <v>-10.9557</v>
      </c>
      <c r="H2468" s="15">
        <f>IF(A2471=A2472,_xll.ciqfunctions.udf.CIQ(A2463,"IQ_TOTAL_DIV_PAID_CF",IQ_FY-5)/-I2468, _xll.ciqfunctions.udf.CIQ(A2463, "IQ_TOTAL_DIV_PAID_CF",IQ_FY-4)/-I2468)</f>
        <v>0</v>
      </c>
      <c r="I2468" s="17">
        <f>IF(A2471=A2472,_xll.ciqfunctions.udf.CIQ(A2463,"IQ_TOTAL_OUTSTANDING_FILING_DATE",IQ_FY-5), _xll.ciqfunctions.udf.CIQ(A2463, "IQ_TOTAL_OUTSTANDING_FILING_DATE",IQ_FY-4))</f>
        <v>24.376000000000001</v>
      </c>
      <c r="J2468" s="17">
        <f>IF(A2471=A2472,_xll.ciqfunctions.udf.CIQ(A2463,"IQ_CASH_OPER",IQ_FY-5), _xll.ciqfunctions.udf.CIQ(A2463, "IQ_CASH_OPER",IQ_FY-4))</f>
        <v>-16.984999999999999</v>
      </c>
      <c r="K2468" s="17">
        <f>IF(A2471=A2472,_xll.ciqfunctions.udf.CIQ(A2463,"IQ_CAPEX",IQ_FY-5), _xll.ciqfunctions.udf.CIQ(A2463, "IQ_CAPEX",IQ_FY-4))</f>
        <v>-16.702000000000002</v>
      </c>
      <c r="L2468" s="15">
        <f t="shared" si="656"/>
        <v>-1.3819740728585492</v>
      </c>
      <c r="M2468" s="17">
        <f>IF(A2471=A2472,_xll.ciqfunctions.udf.CIQ(A2463,"IQ_TOTAL_DEBT_ISSUED",IQ_FY-5), _xll.ciqfunctions.udf.CIQ(A2463, "IQ_TOTAL_DEBT_ISSUED",IQ_FY-4))</f>
        <v>29.411000000000001</v>
      </c>
      <c r="N2468" s="17">
        <f>IF(A2471=A2472,_xll.ciqfunctions.udf.CIQ(A2463,"IQ_TOTAL_DEBT_REPAID",IQ_FY-5), _xll.ciqfunctions.udf.CIQ(A2463, "IQ_TOTAL_DEBT_REPAID",IQ_FY-4))</f>
        <v>-2.048</v>
      </c>
      <c r="O2468" s="15">
        <f t="shared" si="657"/>
        <v>1.122538562520512</v>
      </c>
      <c r="P2468" s="15">
        <f t="shared" si="658"/>
        <v>-0.25943551033803725</v>
      </c>
      <c r="Q2468" s="25" t="s">
        <v>27</v>
      </c>
      <c r="R2468" s="38" t="s">
        <v>51</v>
      </c>
      <c r="S2468" s="4">
        <f>AVERAGE(F2468:F2473)/AVERAGE(D2468:D2473)</f>
        <v>-0.37090601384168492</v>
      </c>
      <c r="U2468" s="25" t="s">
        <v>58</v>
      </c>
      <c r="V2468" s="38" t="s">
        <v>51</v>
      </c>
      <c r="W2468" s="4">
        <f>AVERAGE(F2468:F2473)/AVERAGE(D2468:D2473)</f>
        <v>-0.37090601384168492</v>
      </c>
      <c r="Y2468" s="25" t="s">
        <v>56</v>
      </c>
      <c r="Z2468" s="38" t="s">
        <v>51</v>
      </c>
      <c r="AA2468" s="4">
        <f>AVERAGE(F2468:F2473)/AVERAGE(D2468:D2473)</f>
        <v>-0.37090601384168492</v>
      </c>
    </row>
    <row r="2469" spans="1:27">
      <c r="A2469" s="18"/>
      <c r="B2469" s="13">
        <v>7</v>
      </c>
      <c r="C2469" s="14" t="s">
        <v>28</v>
      </c>
      <c r="D2469" s="15" cm="1">
        <f t="array" ref="D2469">_xlfn.SINGLE(IF(A2471=A2472,_xll.ciqfunctions.udf.CIQ(A2463,"IQ_TOTAL_REV",IQ_FY-4)/I2469, _xll.ciqfunctions.udf.CIQ(A2463, "IQ_TOTAL_REV",IQ_FY-3)/I2469))</f>
        <v>2.0903232533889464</v>
      </c>
      <c r="E2469" s="16">
        <f t="shared" si="659"/>
        <v>-0.6475327737760771</v>
      </c>
      <c r="F2469" s="15">
        <f>IF(A2471=A2472,_xll.ciqfunctions.udf.CIQ(A2463,"IQ_DILUT_EPS_EXCL",IQ_FY-4), _xll.ciqfunctions.udf.CIQ(A2463, "IQ_DILUT_EPS_EXCL",IQ_FY-3))</f>
        <v>-0.75421000000000005</v>
      </c>
      <c r="G2469" s="15">
        <f>IF(A2471=A2472,_xll.ciqfunctions.udf.CIQ(A2463,"IQ_EBITDA_MARGIN",IQ_FY-4), _xll.ciqfunctions.udf.CIQ(A2463, "IQ_EBITDA_MARGIN",IQ_FY-3))</f>
        <v>-16.110199999999999</v>
      </c>
      <c r="H2469" s="15">
        <f>IF(A2471=A2472,_xll.ciqfunctions.udf.CIQ(A2463,"IQ_TOTAL_DIV_PAID_CF",IQ_FY-4)/-I2469, _xll.ciqfunctions.udf.CIQ(A2463, "IQ_TOTAL_DIV_PAID_CF",IQ_FY-3)/-I2469)</f>
        <v>0</v>
      </c>
      <c r="I2469" s="17">
        <f>IF(A2471=A2472,_xll.ciqfunctions.udf.CIQ(A2463,"IQ_TOTAL_OUTSTANDING_FILING_DATE",IQ_FY-4), _xll.ciqfunctions.udf.CIQ(A2463, "IQ_TOTAL_OUTSTANDING_FILING_DATE",IQ_FY-3))</f>
        <v>95.9</v>
      </c>
      <c r="J2469" s="17">
        <f>IF(A2471=A2472,_xll.ciqfunctions.udf.CIQ(A2463,"IQ_CASH_OPER",IQ_FY-4), _xll.ciqfunctions.udf.CIQ(A2463, "IQ_CASH_OPER",IQ_FY-3))</f>
        <v>-31.303000000000001</v>
      </c>
      <c r="K2469" s="17">
        <f>IF(A2471=A2472,_xll.ciqfunctions.udf.CIQ(A2463,"IQ_CAPEX",IQ_FY-4), _xll.ciqfunctions.udf.CIQ(A2463, "IQ_CAPEX",IQ_FY-3))</f>
        <v>-14.609</v>
      </c>
      <c r="L2469" s="15">
        <f t="shared" si="656"/>
        <v>-0.4787486965589155</v>
      </c>
      <c r="M2469" s="17">
        <f>IF(A2471=A2472,_xll.ciqfunctions.udf.CIQ(A2463,"IQ_TOTAL_DEBT_ISSUED",IQ_FY-4), _xll.ciqfunctions.udf.CIQ(A2463, "IQ_TOTAL_DEBT_ISSUED",IQ_FY-3))</f>
        <v>20.3</v>
      </c>
      <c r="N2469" s="17">
        <f>IF(A2471=A2472,_xll.ciqfunctions.udf.CIQ(A2463,"IQ_TOTAL_DEBT_REPAID",IQ_FY-4), _xll.ciqfunctions.udf.CIQ(A2463, "IQ_TOTAL_DEBT_REPAID",IQ_FY-3))</f>
        <v>-50.536999999999999</v>
      </c>
      <c r="O2469" s="15">
        <f t="shared" si="657"/>
        <v>-0.31529718456725753</v>
      </c>
      <c r="P2469" s="15">
        <f t="shared" si="658"/>
        <v>-0.79404588112617303</v>
      </c>
      <c r="Q2469" s="18"/>
      <c r="R2469" s="38" t="s">
        <v>29</v>
      </c>
      <c r="S2469" s="4">
        <f>(AVERAGE(P2468:P2473)/_xlfn.STDEV.P(P2468:P2473))/(IF(A2471=A2472,(_xlfn.SINGLE(_xll.ciqfunctions.udf.CIQ(A2463,"IQ_total_assets",IQ_FY)) - _xlfn.SINGLE(_xll.ciqfunctions.udf.CIQ(A2463,"iq_gw_intan", IQ_FY)))/I2473, (_xlfn.SINGLE(_xll.ciqfunctions.udf.CIQ(A2463, "IQ_total_assets",IQ_LTM))-_xlfn.SINGLE(_xll.ciqfunctions.udf.CIQ(A2463,"iq_gw_intan",IQ_LTM)))/I2473))</f>
        <v>7.019072569705383E-3</v>
      </c>
      <c r="U2469" s="18"/>
      <c r="V2469" s="38" t="s">
        <v>29</v>
      </c>
      <c r="W2469" s="4">
        <f>(AVERAGE(P2468:P2473)/_xlfn.STDEV.P(P2468:P2473))/(IF(A2471=A2472,(_xlfn.SINGLE(_xll.ciqfunctions.udf.CIQ(A2463,"IQ_total_assets",IQ_FY)) - _xlfn.SINGLE(_xll.ciqfunctions.udf.CIQ(A2463,"iq_gw_intan", IQ_FY)))/I2473, (_xlfn.SINGLE(_xll.ciqfunctions.udf.CIQ(A2463, "IQ_total_assets",IQ_LTM))-_xlfn.SINGLE(_xll.ciqfunctions.udf.CIQ(A2463,"iq_gw_intan",IQ_LTM)))/I2473))</f>
        <v>7.019072569705383E-3</v>
      </c>
      <c r="Y2469" s="18"/>
      <c r="Z2469" s="38" t="s">
        <v>29</v>
      </c>
      <c r="AA2469" s="4">
        <f>(AVERAGE(P2468:P2473)/_xlfn.STDEV.P(P2468:P2473))/(IF(A2471=A2472,(_xlfn.SINGLE(_xll.ciqfunctions.udf.CIQ(A2463,"IQ_total_assets",IQ_FY)) - _xlfn.SINGLE(_xll.ciqfunctions.udf.CIQ(A2463,"iq_gw_intan", IQ_FY)))/I2473, (_xlfn.SINGLE(_xll.ciqfunctions.udf.CIQ(A2463, "IQ_total_assets",IQ_LTM))-_xlfn.SINGLE(_xll.ciqfunctions.udf.CIQ(A2463,"iq_gw_intan",IQ_LTM)))/I2473))</f>
        <v>7.019072569705383E-3</v>
      </c>
    </row>
    <row r="2470" spans="1:27">
      <c r="A2470" s="18"/>
      <c r="B2470" s="13">
        <v>8</v>
      </c>
      <c r="C2470" s="14" t="s">
        <v>30</v>
      </c>
      <c r="D2470" s="15" cm="1">
        <f t="array" ref="D2470">_xlfn.SINGLE(IF(A2471=A2472,_xll.ciqfunctions.udf.CIQ(A2463,"IQ_TOTAL_REV",IQ_FY-3)/I2470, _xll.ciqfunctions.udf.CIQ(A2463, "IQ_TOTAL_REV",IQ_FY-2)/I2470))</f>
        <v>2.538167539267016</v>
      </c>
      <c r="E2470" s="16">
        <f t="shared" si="659"/>
        <v>0.21424642583485587</v>
      </c>
      <c r="F2470" s="15">
        <f>IF(A2471=A2472,_xll.ciqfunctions.udf.CIQ(A2463,"IQ_DILUT_EPS_EXCL",IQ_FY-3), _xll.ciqfunctions.udf.CIQ(A2463, "IQ_DILUT_EPS_EXCL",IQ_FY-2))</f>
        <v>-0.92640999999999996</v>
      </c>
      <c r="G2470" s="15">
        <f>IF(A2471=A2472,_xll.ciqfunctions.udf.CIQ(A2463,"IQ_EBITDA_MARGIN",IQ_FY-3), _xll.ciqfunctions.udf.CIQ(A2463, "IQ_EBITDA_MARGIN",IQ_FY-2))</f>
        <v>-21.994700000000002</v>
      </c>
      <c r="H2470" s="15">
        <f>IF(A2471=A2472,_xll.ciqfunctions.udf.CIQ(A2463,"IQ_TOTAL_DIV_PAID_CF",IQ_FY-3)/-I2470, _xll.ciqfunctions.udf.CIQ(A2463, "IQ_TOTAL_DIV_PAID_CF",IQ_FY-2)/-I2470)</f>
        <v>0</v>
      </c>
      <c r="I2470" s="17">
        <f>IF(A2471=A2472,_xll.ciqfunctions.udf.CIQ(A2463,"IQ_TOTAL_OUTSTANDING_FILING_DATE",IQ_FY-3), _xll.ciqfunctions.udf.CIQ(A2463, "IQ_TOTAL_OUTSTANDING_FILING_DATE",IQ_FY-2))</f>
        <v>114.6</v>
      </c>
      <c r="J2470" s="17">
        <f>IF(A2471=A2472,_xll.ciqfunctions.udf.CIQ(A2463,"IQ_CASH_OPER",IQ_FY-3), _xll.ciqfunctions.udf.CIQ(A2463, "IQ_CASH_OPER",IQ_FY-2))</f>
        <v>-19.916</v>
      </c>
      <c r="K2470" s="17">
        <f>IF(A2471=A2472,_xll.ciqfunctions.udf.CIQ(A2463,"IQ_CAPEX",IQ_FY-3), _xll.ciqfunctions.udf.CIQ(A2463, "IQ_CAPEX",IQ_FY-2))</f>
        <v>-29.568999999999999</v>
      </c>
      <c r="L2470" s="15">
        <f t="shared" si="656"/>
        <v>-0.43180628272251309</v>
      </c>
      <c r="M2470" s="17">
        <f>IF(A2471=A2472,_xll.ciqfunctions.udf.CIQ(A2463,"IQ_TOTAL_DEBT_ISSUED",IQ_FY-3), _xll.ciqfunctions.udf.CIQ(A2463, "IQ_TOTAL_DEBT_ISSUED",IQ_FY-2))</f>
        <v>0</v>
      </c>
      <c r="N2470" s="17">
        <f>IF(A2471=A2472,_xll.ciqfunctions.udf.CIQ(A2463,"IQ_TOTAL_DEBT_REPAID",IQ_FY-3), _xll.ciqfunctions.udf.CIQ(A2463, "IQ_TOTAL_DEBT_REPAID",IQ_FY-2))</f>
        <v>-26.073</v>
      </c>
      <c r="O2470" s="15">
        <f t="shared" si="657"/>
        <v>-0.22751308900523562</v>
      </c>
      <c r="P2470" s="15">
        <f t="shared" si="658"/>
        <v>-0.65931937172774868</v>
      </c>
      <c r="Q2470" s="18"/>
      <c r="R2470" s="39" t="s">
        <v>31</v>
      </c>
      <c r="S2470" s="5" t="e">
        <f>IF(NOT(D2463&gt;0),FALSE,SLOPE(G2463:G2473,B2463:B2473))</f>
        <v>#DIV/0!</v>
      </c>
      <c r="U2470" s="18"/>
      <c r="V2470" s="39" t="s">
        <v>31</v>
      </c>
      <c r="W2470" s="5" t="e">
        <f>IF(NOT(D2463&gt;0),FALSE,SLOPE(G2463:G2473,B2463:B2473))</f>
        <v>#DIV/0!</v>
      </c>
      <c r="Y2470" s="18"/>
      <c r="Z2470" s="39" t="s">
        <v>31</v>
      </c>
      <c r="AA2470" s="5" t="e">
        <f>IF(NOT(L2463&gt;0),FALSE,SLOPE(O2463:O2473,J2463:J2473))</f>
        <v>#DIV/0!</v>
      </c>
    </row>
    <row r="2471" spans="1:27">
      <c r="A2471" s="19">
        <f>_xll.ciqfunctions.udf.CIQ(A2463,"IQ_TOTAL_REV",IQ_FY)</f>
        <v>432.72500000000002</v>
      </c>
      <c r="B2471" s="13">
        <v>9</v>
      </c>
      <c r="C2471" s="14" t="s">
        <v>32</v>
      </c>
      <c r="D2471" s="15" cm="1">
        <f t="array" ref="D2471">_xlfn.SINGLE(IF(A2471=A2472,_xll.ciqfunctions.udf.CIQ(A2463,"IQ_TOTAL_REV",IQ_FY-2)/I2471, _xll.ciqfunctions.udf.CIQ(A2463, "IQ_TOTAL_REV",IQ_FY-1)/I2471))</f>
        <v>2.9453865336658351</v>
      </c>
      <c r="E2471" s="16">
        <f t="shared" si="659"/>
        <v>0.16043818546210617</v>
      </c>
      <c r="F2471" s="15">
        <f>IF(A2471=A2472,_xll.ciqfunctions.udf.CIQ(A2463,"IQ_DILUT_EPS_EXCL",IQ_FY-2), _xll.ciqfunctions.udf.CIQ(A2463, "IQ_DILUT_EPS_EXCL",IQ_FY-1))</f>
        <v>-1.91892</v>
      </c>
      <c r="G2471" s="15">
        <f>IF(A2471=A2472,_xll.ciqfunctions.udf.CIQ(A2463,"IQ_EBITDA_MARGIN",IQ_FY-2), _xll.ciqfunctions.udf.CIQ(A2463, "IQ_EBITDA_MARGIN",IQ_FY-1))</f>
        <v>-48.273000000000003</v>
      </c>
      <c r="H2471" s="15">
        <f>IF(A2471=A2472,_xll.ciqfunctions.udf.CIQ(A2463,"IQ_TOTAL_DIV_PAID_CF",IQ_FY-2)/-I2471, _xll.ciqfunctions.udf.CIQ(A2463, "IQ_TOTAL_DIV_PAID_CF",IQ_FY-1)/-I2471)</f>
        <v>0</v>
      </c>
      <c r="I2471" s="17">
        <f>IF(A2471=A2472,_xll.ciqfunctions.udf.CIQ(A2463,"IQ_TOTAL_OUTSTANDING_FILING_DATE",IQ_FY-2), _xll.ciqfunctions.udf.CIQ(A2463, "IQ_TOTAL_OUTSTANDING_FILING_DATE",IQ_FY-1))</f>
        <v>120.3</v>
      </c>
      <c r="J2471" s="17">
        <f>IF(A2471=A2472,_xll.ciqfunctions.udf.CIQ(A2463,"IQ_CASH_OPER",IQ_FY-2), _xll.ciqfunctions.udf.CIQ(A2463, "IQ_CASH_OPER",IQ_FY-1))</f>
        <v>-38.481999999999999</v>
      </c>
      <c r="K2471" s="17">
        <f>IF(A2471=A2472,_xll.ciqfunctions.udf.CIQ(A2463,"IQ_CAPEX",IQ_FY-2), _xll.ciqfunctions.udf.CIQ(A2463, "IQ_CAPEX",IQ_FY-1))</f>
        <v>-34.816000000000003</v>
      </c>
      <c r="L2471" s="15">
        <f t="shared" si="656"/>
        <v>-0.60929343308395678</v>
      </c>
      <c r="M2471" s="17">
        <f>IF(A2471=A2472,_xll.ciqfunctions.udf.CIQ(A2463,"IQ_TOTAL_DEBT_ISSUED",IQ_FY-2), _xll.ciqfunctions.udf.CIQ(A2463, "IQ_TOTAL_DEBT_ISSUED",IQ_FY-1))</f>
        <v>930.77499999999998</v>
      </c>
      <c r="N2471" s="17">
        <f>IF(A2471=A2472,_xll.ciqfunctions.udf.CIQ(A2463,"IQ_TOTAL_DEBT_REPAID",IQ_FY-2), _xll.ciqfunctions.udf.CIQ(A2463, "IQ_TOTAL_DEBT_REPAID",IQ_FY-1))</f>
        <v>-13.568</v>
      </c>
      <c r="O2471" s="15">
        <f t="shared" si="657"/>
        <v>7.6243308395677474</v>
      </c>
      <c r="P2471" s="15">
        <f t="shared" si="658"/>
        <v>7.0150374064837901</v>
      </c>
      <c r="Q2471" s="25" t="s">
        <v>33</v>
      </c>
      <c r="R2471" s="38" t="s">
        <v>52</v>
      </c>
      <c r="S2471" s="4">
        <f>(AVERAGE(O2468:O2473)/AVERAGE(P2468:P2473))</f>
        <v>5.8612632391552193</v>
      </c>
      <c r="U2471" s="25" t="s">
        <v>54</v>
      </c>
      <c r="V2471" s="38" t="s">
        <v>52</v>
      </c>
      <c r="W2471" s="4">
        <f>(AVERAGE(O2468:O2473)/AVERAGE(P2468:P2473))</f>
        <v>5.8612632391552193</v>
      </c>
      <c r="Y2471" s="25" t="s">
        <v>60</v>
      </c>
      <c r="Z2471" s="38" t="s">
        <v>52</v>
      </c>
      <c r="AA2471" s="4">
        <f>(AVERAGE(O2468:O2473)/AVERAGE(P2468:P2473))</f>
        <v>5.8612632391552193</v>
      </c>
    </row>
    <row r="2472" spans="1:27">
      <c r="A2472" s="19">
        <f>_xll.ciqfunctions.udf.CIQ(A2463,"IQ_TOTAL_REV",IQ_LTM)</f>
        <v>487.53199999999998</v>
      </c>
      <c r="B2472" s="13">
        <v>10</v>
      </c>
      <c r="C2472" s="14" t="s">
        <v>34</v>
      </c>
      <c r="D2472" s="15" cm="1">
        <f t="array" ref="D2472">_xlfn.SINGLE(IF(A2471=A2472,_xll.ciqfunctions.udf.CIQ(A2463,"IQ_TOTAL_REV",IQ_FY-1)/I2472, _xll.ciqfunctions.udf.CIQ(A2463, "IQ_TOTAL_REV",IQ_FY)/I2472))</f>
        <v>3.4507575757575757</v>
      </c>
      <c r="E2472" s="16">
        <f t="shared" si="659"/>
        <v>0.17158055023180763</v>
      </c>
      <c r="F2472" s="15">
        <f>IF(A2471=A2472,_xll.ciqfunctions.udf.CIQ(A2463,"IQ_DILUT_EPS_EXCL",IQ_FY-1), _xll.ciqfunctions.udf.CIQ(A2463, "IQ_DILUT_EPS_EXCL",IQ_FY))</f>
        <v>-1.56728</v>
      </c>
      <c r="G2472" s="15">
        <f>IF(A2471=A2472,_xll.ciqfunctions.udf.CIQ(A2463,"IQ_EBITDA_MARGIN",IQ_FY-1), _xll.ciqfunctions.udf.CIQ(A2463, "IQ_EBITDA_MARGIN",IQ_FY))</f>
        <v>-43.076999999999998</v>
      </c>
      <c r="H2472" s="15">
        <f>IF(A2471=A2472,_xll.ciqfunctions.udf.CIQ(A2463,"IQ_TOTAL_DIV_PAID_CF",IQ_FY-1)/-I2472, _xll.ciqfunctions.udf.CIQ(A2463, "IQ_TOTAL_DIV_PAID_CF",IQ_FY)/-I2472)</f>
        <v>0</v>
      </c>
      <c r="I2472" s="17">
        <f>IF(A2471=A2472,_xll.ciqfunctions.udf.CIQ(A2463,"IQ_TOTAL_OUTSTANDING_FILING_DATE",IQ_FY-1), _xll.ciqfunctions.udf.CIQ(A2463, "IQ_TOTAL_OUTSTANDING_FILING_DATE",IQ_FY))</f>
        <v>125.4</v>
      </c>
      <c r="J2472" s="17">
        <f>IF(A2471=A2472,_xll.ciqfunctions.udf.CIQ(A2463,"IQ_CASH_OPER",IQ_FY-1), _xll.ciqfunctions.udf.CIQ(A2463, "IQ_CASH_OPER",IQ_FY))</f>
        <v>-69.632000000000005</v>
      </c>
      <c r="K2472" s="17">
        <f>IF(A2471=A2472,_xll.ciqfunctions.udf.CIQ(A2463,"IQ_CAPEX",IQ_FY-1), _xll.ciqfunctions.udf.CIQ(A2463, "IQ_CAPEX",IQ_FY))</f>
        <v>-62.171999999999997</v>
      </c>
      <c r="L2472" s="15">
        <f t="shared" si="656"/>
        <v>-1.0510685805422648</v>
      </c>
      <c r="M2472" s="17">
        <f>IF(A2471=A2472,_xll.ciqfunctions.udf.CIQ(A2463,"IQ_TOTAL_DEBT_ISSUED",IQ_FY-1), _xll.ciqfunctions.udf.CIQ(A2463, "IQ_TOTAL_DEBT_ISSUED",IQ_FY))</f>
        <v>0</v>
      </c>
      <c r="N2472" s="17">
        <f>IF(A2471=A2472,_xll.ciqfunctions.udf.CIQ(A2463,"IQ_TOTAL_DEBT_REPAID",IQ_FY-1), _xll.ciqfunctions.udf.CIQ(A2463, "IQ_TOTAL_DEBT_REPAID",IQ_FY))</f>
        <v>-199.614</v>
      </c>
      <c r="O2472" s="15">
        <f t="shared" si="657"/>
        <v>-1.5918181818181818</v>
      </c>
      <c r="P2472" s="15">
        <f t="shared" si="658"/>
        <v>-2.6428867623604466</v>
      </c>
      <c r="Q2472" s="25" t="s">
        <v>44</v>
      </c>
      <c r="R2472" s="38" t="s">
        <v>35</v>
      </c>
      <c r="S2472" s="1" t="str">
        <f>_xll.ciqfunctions.udf.CIQ(A2463,"IQ_TEV_EBITDA")</f>
        <v>NM</v>
      </c>
      <c r="U2472" s="25" t="s">
        <v>55</v>
      </c>
      <c r="V2472" s="38" t="s">
        <v>53</v>
      </c>
      <c r="W2472" s="1">
        <f>V2462/(AVERAGE(D2468:D2473)/_xlfn.STDEV.P(E2468:E2473))</f>
        <v>1.6605568803337449</v>
      </c>
      <c r="Y2472" s="25" t="s">
        <v>57</v>
      </c>
      <c r="Z2472" s="38" t="s">
        <v>53</v>
      </c>
      <c r="AA2472" s="1">
        <f>Z2462/(AVERAGE(D2468:D2473)/_xlfn.STDEV.P(E2468:E2473))</f>
        <v>1.6605568803337449</v>
      </c>
    </row>
    <row r="2473" spans="1:27">
      <c r="B2473" s="13">
        <v>11</v>
      </c>
      <c r="C2473" s="20" t="s">
        <v>36</v>
      </c>
      <c r="D2473" s="21" cm="1">
        <f t="array" ref="D2473">_xlfn.SINGLE(IF(A2471=A2472,_xll.ciqfunctions.udf.CIQ(A2463,"IQ_TOTAL_REV",IQ_FY)/I2473, _xll.ciqfunctions.udf.CIQ(A2463, "IQ_TOTAL_REV",IQ_LTM)/I2473))</f>
        <v>3.7273088685015288</v>
      </c>
      <c r="E2473" s="22">
        <f t="shared" si="659"/>
        <v>8.0142196799564885E-2</v>
      </c>
      <c r="F2473" s="21">
        <f>IF(A2471=A2472,_xll.ciqfunctions.udf.CIQ(A2463,"IQ_DILUT_EPS_EXCL",IQ_FY), _xll.ciqfunctions.udf.CIQ(A2463, "IQ_DILUT_EPS_EXCL",IQ_LTM))</f>
        <v>-1.23536</v>
      </c>
      <c r="G2473" s="21">
        <f>IF(A2471=A2472,_xll.ciqfunctions.udf.CIQ(A2463,"IQ_EBITDA_MARGIN",IQ_FY), _xll.ciqfunctions.udf.CIQ(A2463, "IQ_EBITDA_MARGIN",IQ_LTM))</f>
        <v>-28.453099999999999</v>
      </c>
      <c r="H2473" s="21">
        <f>IF(A2471=A2472,_xll.ciqfunctions.udf.CIQ(A2463,"IQ_TOTAL_DIV_PAID_CF",IQ_FY)/-I2473, _xll.ciqfunctions.udf.CIQ(A2463, "IQ_TOTAL_DIV_PAID_CF",IQ_LTM)/-I2473)</f>
        <v>0</v>
      </c>
      <c r="I2473" s="23">
        <f>IF(A2471=A2472,_xll.ciqfunctions.udf.CIQ(A2463,"IQ_TOTAL_OUTSTANDING_FILING_DATE",IQ_FY),_xll.ciqfunctions.udf.CIQ(A2463,"IQ_sharesoutstanding"))</f>
        <v>130.80000000000001</v>
      </c>
      <c r="J2473" s="23">
        <f>IF(A2471=A2472,_xll.ciqfunctions.udf.CIQ(A2463,"IQ_CASH_OPER",IQ_FY), _xll.ciqfunctions.udf.CIQ(A2463, "IQ_CASH_OPER",IQ_LTM))</f>
        <v>-4.3890000000000002</v>
      </c>
      <c r="K2473" s="23">
        <f>IF(A2471=A2472,_xll.ciqfunctions.udf.CIQ(A2463,"IQ_CAPEX",IQ_FY), _xll.ciqfunctions.udf.CIQ(A2463, "IQ_CAPEX",IQ_LTM))</f>
        <v>-27.734999999999999</v>
      </c>
      <c r="L2473" s="21">
        <f t="shared" si="656"/>
        <v>-0.24559633027522934</v>
      </c>
      <c r="M2473" s="23">
        <f>IF(A2471=A2472,_xll.ciqfunctions.udf.CIQ(A2463,"IQ_TOTAL_DEBT_ISSUED",IQ_FY), _xll.ciqfunctions.udf.CIQ(A2463, "IQ_TOTAL_DEBT_ISSUED",IQ_LTM))</f>
        <v>0</v>
      </c>
      <c r="N2473" s="23">
        <f>IF(A2471=A2472,_xll.ciqfunctions.udf.CIQ(A2463,"IQ_TOTAL_DEBT_REPAID",IQ_FY), _xll.ciqfunctions.udf.CIQ(A2463, "IQ_TOTAL_DEBT_REPAID",IQ_LTM))</f>
        <v>-202.75200000000001</v>
      </c>
      <c r="O2473" s="21">
        <f t="shared" si="657"/>
        <v>-1.550091743119266</v>
      </c>
      <c r="P2473" s="21">
        <f t="shared" si="658"/>
        <v>-1.7956880733944953</v>
      </c>
      <c r="Q2473" s="25" t="s">
        <v>45</v>
      </c>
      <c r="S2473" s="45"/>
      <c r="U2473" s="25"/>
      <c r="W2473" s="45"/>
      <c r="Y2473" s="25"/>
      <c r="AA2473" s="45"/>
    </row>
    <row r="2474" spans="1:27">
      <c r="B2474" s="24"/>
      <c r="C2474" s="25" t="s">
        <v>37</v>
      </c>
      <c r="E2474" s="26">
        <f>((D2473/D2468)^(1/5))-1</f>
        <v>-8.8702593433531152E-2</v>
      </c>
      <c r="F2474" s="27">
        <f>((F2473/F2468)^(1/5))-1</f>
        <v>-5.3714823054938909E-3</v>
      </c>
      <c r="G2474" s="28"/>
      <c r="H2474" s="27" t="e">
        <f>((H2473/H2468)^(1/5))-1</f>
        <v>#DIV/0!</v>
      </c>
      <c r="I2474" s="27">
        <f>((I2473/I2468)^(1/5))-1</f>
        <v>0.39935872689856189</v>
      </c>
      <c r="J2474" s="27"/>
      <c r="K2474" s="27"/>
      <c r="L2474" s="26">
        <f>((L2473/L2468)^(1/5))-1</f>
        <v>-0.29214485087705366</v>
      </c>
      <c r="M2474" s="26"/>
      <c r="N2474" s="26"/>
      <c r="O2474" s="26"/>
      <c r="P2474" s="26">
        <f>((P2473/P2468)^(1/5))-1</f>
        <v>0.47244911596276573</v>
      </c>
      <c r="Q2474" s="18"/>
      <c r="R2474" s="36"/>
      <c r="S2474" s="45"/>
      <c r="U2474" s="18"/>
      <c r="V2474" s="36"/>
      <c r="W2474" s="45"/>
      <c r="Y2474" s="18"/>
      <c r="Z2474" s="36"/>
      <c r="AA2474" s="45"/>
    </row>
    <row r="2475" spans="1:27">
      <c r="A2475" s="29"/>
      <c r="B2475" s="30"/>
      <c r="C2475" s="31" t="s">
        <v>38</v>
      </c>
      <c r="D2475" s="29"/>
      <c r="E2475" s="32" t="e">
        <f>((D2473/D2463)^(1/10))-1</f>
        <v>#DIV/0!</v>
      </c>
      <c r="F2475" s="33" t="e">
        <f>((F2473/F2463)^(1/10))-1</f>
        <v>#DIV/0!</v>
      </c>
      <c r="G2475" s="34"/>
      <c r="H2475" s="33" t="e">
        <f>((H2473/H2463)^(1/10))-1</f>
        <v>#DIV/0!</v>
      </c>
      <c r="I2475" s="33" t="e">
        <f>((I2473/I2463)^(1/10))-1</f>
        <v>#DIV/0!</v>
      </c>
      <c r="J2475" s="33"/>
      <c r="K2475" s="33"/>
      <c r="L2475" s="32" t="e">
        <f>((L2473/L2463)^(1/10))-1</f>
        <v>#DIV/0!</v>
      </c>
      <c r="M2475" s="32"/>
      <c r="N2475" s="32"/>
      <c r="O2475" s="32"/>
      <c r="P2475" s="32" t="e">
        <f>((P2473/P2463)^(1/10))-1</f>
        <v>#DIV/0!</v>
      </c>
      <c r="Q2475" s="40"/>
      <c r="R2475" s="41"/>
      <c r="S2475" s="46"/>
      <c r="U2475" s="40"/>
      <c r="V2475" s="41"/>
      <c r="W2475" s="46"/>
      <c r="Y2475" s="40"/>
      <c r="Z2475" s="41"/>
      <c r="AA2475" s="46"/>
    </row>
    <row r="2476" spans="1:27">
      <c r="B2476" s="24"/>
      <c r="C2476" s="25"/>
      <c r="E2476" s="26"/>
      <c r="F2476" s="27"/>
      <c r="G2476" s="28"/>
      <c r="H2476" s="27"/>
      <c r="I2476" s="27"/>
      <c r="J2476" s="27"/>
      <c r="K2476" s="27"/>
      <c r="L2476" s="26"/>
      <c r="M2476" s="17"/>
      <c r="N2476" s="17"/>
      <c r="O2476" s="17"/>
      <c r="P2476" s="35"/>
      <c r="Q2476" s="18"/>
      <c r="R2476" s="36"/>
    </row>
    <row r="2477" spans="1:27">
      <c r="A2477" s="9" t="s">
        <v>0</v>
      </c>
      <c r="B2477" s="10"/>
      <c r="C2477" s="9" t="s">
        <v>1</v>
      </c>
      <c r="D2477" s="9" t="s">
        <v>2</v>
      </c>
      <c r="E2477" s="9" t="s">
        <v>3</v>
      </c>
      <c r="F2477" s="11" t="s">
        <v>4</v>
      </c>
      <c r="G2477" s="11" t="s">
        <v>5</v>
      </c>
      <c r="H2477" s="9" t="s">
        <v>6</v>
      </c>
      <c r="I2477" s="11" t="s">
        <v>7</v>
      </c>
      <c r="J2477" s="11" t="s">
        <v>8</v>
      </c>
      <c r="K2477" s="11" t="s">
        <v>9</v>
      </c>
      <c r="L2477" s="11" t="s">
        <v>10</v>
      </c>
      <c r="M2477" s="11" t="s">
        <v>11</v>
      </c>
      <c r="N2477" s="11" t="s">
        <v>12</v>
      </c>
      <c r="O2477" s="11" t="s">
        <v>13</v>
      </c>
      <c r="P2477" s="11" t="s">
        <v>14</v>
      </c>
      <c r="Q2477" s="37" t="s">
        <v>15</v>
      </c>
      <c r="R2477" s="42">
        <f>_xll.ciqfunctions.udf.CIQ(A2478,("IQ_LASTSALEPRICE"))</f>
        <v>28.05</v>
      </c>
      <c r="S2477" s="44"/>
      <c r="U2477" s="37" t="s">
        <v>15</v>
      </c>
      <c r="V2477" s="42">
        <f>_xll.ciqfunctions.udf.CIQ(A2478,("IQ_LASTSALEPRICE"))</f>
        <v>28.05</v>
      </c>
      <c r="W2477" s="44"/>
      <c r="Y2477" s="37" t="s">
        <v>15</v>
      </c>
      <c r="Z2477" s="42">
        <f>_xll.ciqfunctions.udf.CIQ(A2478,("IQ_LASTSALEPRICE"))</f>
        <v>28.05</v>
      </c>
      <c r="AA2477" s="44"/>
    </row>
    <row r="2478" spans="1:27">
      <c r="A2478" s="12" t="str">
        <f>Analysis!B167</f>
        <v>NYSE:SQSP</v>
      </c>
      <c r="B2478" s="13">
        <v>1</v>
      </c>
      <c r="C2478" s="14" t="s">
        <v>16</v>
      </c>
      <c r="D2478" s="15" t="e">
        <f>IF(A2486=A2487,_xll.ciqfunctions.udf.CIQ(A2478,"IQ_TOTAL_REV",IQ_FY-10)/I2478,_xll.ciqfunctions.udf.CIQ(A2478, "IQ_TOTAL_REV",IQ_FY-9)/I2478)</f>
        <v>#DIV/0!</v>
      </c>
      <c r="E2478" s="16"/>
      <c r="F2478" s="15">
        <f>IF(A2486=A2487,_xll.ciqfunctions.udf.CIQ(A2478,"IQ_DILUT_EPS_EXCL",IQ_FY-10), _xll.ciqfunctions.udf.CIQ(A2478, "IQ_DILUT_EPS_EXCL",IQ_FY-9))</f>
        <v>0</v>
      </c>
      <c r="G2478" s="15">
        <f>IF(A2486=A2487,_xll.ciqfunctions.udf.CIQ(A2478,"IQ_EBITDA_MARGIN",IQ_FY-10), _xll.ciqfunctions.udf.CIQ(A2478, "IQ_EBITDA_MARGIN",IQ_FY-9))</f>
        <v>0</v>
      </c>
      <c r="H2478" s="15" t="e">
        <f>IF(A2486=A2487,_xll.ciqfunctions.udf.CIQ(A2478,"IQ_TOTAL_DIV_PAID_CF",IQ_FY-10)/-I2478, _xll.ciqfunctions.udf.CIQ(A2478, "IQ_TOTAL_DIV_PAID_CF",IQ_FY-9)/-I2478)</f>
        <v>#DIV/0!</v>
      </c>
      <c r="I2478" s="17">
        <f>IF(A2486=A2487,_xll.ciqfunctions.udf.CIQ(A2478,"IQ_TOTAL_OUTSTANDING_FILING_DATE",IQ_FY-10), _xll.ciqfunctions.udf.CIQ(A2478, "IQ_TOTAL_OUTSTANDING_FILING_DATE",IQ_FY-9))</f>
        <v>0</v>
      </c>
      <c r="J2478" s="17">
        <f>IF(A2486=A2487,_xll.ciqfunctions.udf.CIQ(A2478,"IQ_CASH_OPER",IQ_FY-10), _xll.ciqfunctions.udf.CIQ(A2478, "IQ_CASH_OPER",IQ_FY-9))</f>
        <v>0</v>
      </c>
      <c r="K2478" s="17">
        <f>IF(A2486=A2487,_xll.ciqfunctions.udf.CIQ(A2478,"IQ_CAPEX",IQ_FY-10), _xll.ciqfunctions.udf.CIQ(A2478, "IQ_CAPEX",IQ_FY-9))</f>
        <v>0</v>
      </c>
      <c r="L2478" s="15" t="e">
        <f t="shared" ref="L2478:L2488" si="660">(J2478+K2478)/I2478</f>
        <v>#DIV/0!</v>
      </c>
      <c r="M2478" s="17">
        <f>IF(A2486=A2487,_xll.ciqfunctions.udf.CIQ(A2478,"IQ_TOTAL_DEBT_ISSUED",IQ_FY-10), _xll.ciqfunctions.udf.CIQ(A2478, "IQ_TOTAL_DEBT_ISSUED",IQ_FY-9))</f>
        <v>0</v>
      </c>
      <c r="N2478" s="17">
        <f>IF(A2486=A2487,_xll.ciqfunctions.udf.CIQ(A2478,"IQ_TOTAL_DEBT_REPAID",IQ_FY-10), _xll.ciqfunctions.udf.CIQ(A2478, "IQ_TOTAL_DEBT_REPAID",IQ_FY-9))</f>
        <v>0</v>
      </c>
      <c r="O2478" s="15" t="e">
        <f t="shared" ref="O2478:O2488" si="661">(M2478+N2478)/I2478</f>
        <v>#DIV/0!</v>
      </c>
      <c r="P2478" s="15" t="e">
        <f t="shared" ref="P2478:P2488" si="662">L2478+O2478</f>
        <v>#DIV/0!</v>
      </c>
      <c r="W2478" s="43"/>
      <c r="AA2478" s="43"/>
    </row>
    <row r="2479" spans="1:27">
      <c r="A2479" s="18" t="str">
        <f>_xll.ciqfunctions.udf.CIQ(A2478,"IQ_COMPANY_NAME")</f>
        <v>Squarespace, Inc.</v>
      </c>
      <c r="B2479" s="13">
        <v>2</v>
      </c>
      <c r="C2479" s="14" t="s">
        <v>17</v>
      </c>
      <c r="D2479" s="15" t="e">
        <f>IF(A2486=A2487,_xll.ciqfunctions.udf.CIQ(A2478,"IQ_TOTAL_REV",IQ_FY-9)/I2479, _xll.ciqfunctions.udf.CIQ(A2478, "IQ_TOTAL_REV",IQ_FY-8)/I2479)</f>
        <v>#DIV/0!</v>
      </c>
      <c r="E2479" s="16" t="e">
        <f t="shared" ref="E2479:E2488" si="663">(D2479-D2478)/D2478</f>
        <v>#DIV/0!</v>
      </c>
      <c r="F2479" s="15">
        <f>IF(A2486=A2487,_xll.ciqfunctions.udf.CIQ(A2478,"IQ_DILUT_EPS_EXCL",IQ_FY-9), _xll.ciqfunctions.udf.CIQ(A2478, "IQ_DILUT_EPS_EXCL",IQ_FY-8))</f>
        <v>0</v>
      </c>
      <c r="G2479" s="15">
        <f>IF(A2486=A2487,_xll.ciqfunctions.udf.CIQ(A2478,"IQ_EBITDA_MARGIN",IQ_FY-9), _xll.ciqfunctions.udf.CIQ(A2478, "IQ_EBITDA_MARGIN",IQ_FY-8))</f>
        <v>0</v>
      </c>
      <c r="H2479" s="15" t="e">
        <f>IF(A2486=A2487,_xll.ciqfunctions.udf.CIQ(A2478,"IQ_TOTAL_DIV_PAID_CF",IQ_FY-9)/-I2479, _xll.ciqfunctions.udf.CIQ(A2478, "IQ_TOTAL_DIV_PAID_CF",IQ_FY-8)/-I2479)</f>
        <v>#DIV/0!</v>
      </c>
      <c r="I2479" s="17">
        <f>IF(A2486=A2487,_xll.ciqfunctions.udf.CIQ(A2478,"IQ_TOTAL_OUTSTANDING_FILING_DATE",IQ_FY-9), _xll.ciqfunctions.udf.CIQ(A2478, "IQ_TOTAL_OUTSTANDING_FILING_DATE",IQ_FY-8))</f>
        <v>0</v>
      </c>
      <c r="J2479" s="17">
        <f>IF(A2486=A2487,_xll.ciqfunctions.udf.CIQ(A2478,"IQ_CASH_OPER",IQ_FY-9), _xll.ciqfunctions.udf.CIQ(A2478, "IQ_CASH_OPER",IQ_FY-8))</f>
        <v>0</v>
      </c>
      <c r="K2479" s="17">
        <f>IF(A2486=A2487,_xll.ciqfunctions.udf.CIQ(A2478,"IQ_CAPEX",IQ_FY-9), _xll.ciqfunctions.udf.CIQ(A2478, "IQ_CAPEX",IQ_FY-8))</f>
        <v>0</v>
      </c>
      <c r="L2479" s="15" t="e">
        <f t="shared" si="660"/>
        <v>#DIV/0!</v>
      </c>
      <c r="M2479" s="17">
        <f>IF(A2486=A2487,_xll.ciqfunctions.udf.CIQ(A2478,"IQ_TOTAL_DEBT_ISSUED",IQ_FY-9), _xll.ciqfunctions.udf.CIQ(A2478, "IQ_TOTAL_DEBT_ISSUED",IQ_FY-8))</f>
        <v>0</v>
      </c>
      <c r="N2479" s="17">
        <f>IF(A2486=A2487,_xll.ciqfunctions.udf.CIQ(A2478,"IQ_TOTAL_DEBT_REPAID",IQ_FY-9), _xll.ciqfunctions.udf.CIQ(A2478, "IQ_TOTAL_DEBT_REPAID",IQ_FY-8))</f>
        <v>0</v>
      </c>
      <c r="O2479" s="15" t="e">
        <f t="shared" si="661"/>
        <v>#DIV/0!</v>
      </c>
      <c r="P2479" s="15" t="e">
        <f t="shared" si="662"/>
        <v>#DIV/0!</v>
      </c>
      <c r="Q2479" s="25" t="s">
        <v>18</v>
      </c>
      <c r="R2479" s="39" t="s">
        <v>19</v>
      </c>
      <c r="S2479" s="1" t="e">
        <f>R2477/((AVERAGE(P2483:P2488))*(1+E2489)^3)</f>
        <v>#DIV/0!</v>
      </c>
      <c r="U2479" s="25" t="s">
        <v>48</v>
      </c>
      <c r="V2479" s="39" t="s">
        <v>19</v>
      </c>
      <c r="W2479" s="1" t="e">
        <f>V2477/((AVERAGE(P2483:P2488))*(1+E2489)^3)</f>
        <v>#DIV/0!</v>
      </c>
      <c r="Y2479" s="25" t="s">
        <v>39</v>
      </c>
      <c r="Z2479" s="39" t="s">
        <v>19</v>
      </c>
      <c r="AA2479" s="1" t="e">
        <f>Z2477/((AVERAGE(P2483:P2488))*(1+E2489)^3)</f>
        <v>#DIV/0!</v>
      </c>
    </row>
    <row r="2480" spans="1:27">
      <c r="B2480" s="13">
        <v>3</v>
      </c>
      <c r="C2480" s="14" t="s">
        <v>20</v>
      </c>
      <c r="D2480" s="15" t="e" cm="1">
        <f t="array" ref="D2480">_xlfn.SINGLE(IF(A2486=A2487,_xll.ciqfunctions.udf.CIQ(A2478,"IQ_TOTAL_REV",IQ_FY-8)/I2480, _xll.ciqfunctions.udf.CIQ(A2478, "IQ_TOTAL_REV",IQ_FY-7)/I2480))</f>
        <v>#DIV/0!</v>
      </c>
      <c r="E2480" s="16" t="e">
        <f t="shared" si="663"/>
        <v>#DIV/0!</v>
      </c>
      <c r="F2480" s="15">
        <f>IF(A2486=A2487,_xll.ciqfunctions.udf.CIQ(A2478,"IQ_DILUT_EPS_EXCL",IQ_FY-8), _xll.ciqfunctions.udf.CIQ(A2478, "IQ_DILUT_EPS_EXCL",IQ_FY-7))</f>
        <v>0</v>
      </c>
      <c r="G2480" s="15">
        <f>IF(A2486=A2487,_xll.ciqfunctions.udf.CIQ(A2478,"IQ_EBITDA_MARGIN",IQ_FY-8), _xll.ciqfunctions.udf.CIQ(A2478, "IQ_EBITDA_MARGIN",IQ_FY-7))</f>
        <v>0</v>
      </c>
      <c r="H2480" s="15" t="e">
        <f>IF(A2486=A2487,_xll.ciqfunctions.udf.CIQ(A2478,"IQ_TOTAL_DIV_PAID_CF",IQ_FY-8)/-I2480, _xll.ciqfunctions.udf.CIQ(A2478, "IQ_TOTAL_DIV_PAID_CF",IQ_FY-7)/-I2480)</f>
        <v>#DIV/0!</v>
      </c>
      <c r="I2480" s="17">
        <f>IF(A2486=A2487,_xll.ciqfunctions.udf.CIQ(A2478,"IQ_TOTAL_OUTSTANDING_FILING_DATE",IQ_FY-8), _xll.ciqfunctions.udf.CIQ(A2478, "IQ_TOTAL_OUTSTANDING_FILING_DATE",IQ_FY-7))</f>
        <v>0</v>
      </c>
      <c r="J2480" s="17">
        <f>IF(A2486=A2487,_xll.ciqfunctions.udf.CIQ(A2478,"IQ_CASH_OPER",IQ_FY-8), _xll.ciqfunctions.udf.CIQ(A2478, "IQ_CASH_OPER",IQ_FY-7))</f>
        <v>0</v>
      </c>
      <c r="K2480" s="17">
        <f>IF(A2486=A2487,_xll.ciqfunctions.udf.CIQ(A2478,"IQ_CAPEX",IQ_FY-8), _xll.ciqfunctions.udf.CIQ(A2478, "IQ_CAPEX",IQ_FY-7))</f>
        <v>0</v>
      </c>
      <c r="L2480" s="15" t="e">
        <f t="shared" si="660"/>
        <v>#DIV/0!</v>
      </c>
      <c r="M2480" s="17">
        <f>IF(A2486=A2487,_xll.ciqfunctions.udf.CIQ(A2478,"IQ_TOTAL_DEBT_ISSUED",IQ_FY-8), _xll.ciqfunctions.udf.CIQ(A2478, "IQ_TOTAL_DEBT_ISSUED",IQ_FY-7))</f>
        <v>0</v>
      </c>
      <c r="N2480" s="17">
        <f>IF(A2486=A2487,_xll.ciqfunctions.udf.CIQ(A2478,"IQ_TOTAL_DEBT_REPAID",IQ_FY-8), _xll.ciqfunctions.udf.CIQ(A2478, "IQ_TOTAL_DEBT_REPAID",IQ_FY-7))</f>
        <v>0</v>
      </c>
      <c r="O2480" s="15" t="e">
        <f t="shared" si="661"/>
        <v>#DIV/0!</v>
      </c>
      <c r="P2480" s="15" t="e">
        <f t="shared" si="662"/>
        <v>#DIV/0!</v>
      </c>
      <c r="Q2480" s="25" t="s">
        <v>21</v>
      </c>
      <c r="R2480" s="38" t="s">
        <v>49</v>
      </c>
      <c r="S2480" s="2">
        <f>(R2477*I2488)/1000</f>
        <v>3.8139590609999998</v>
      </c>
      <c r="U2480" s="25" t="s">
        <v>59</v>
      </c>
      <c r="V2480" s="38" t="s">
        <v>49</v>
      </c>
      <c r="W2480" s="2">
        <f>(V2477*I2488)/1000</f>
        <v>3.8139590609999998</v>
      </c>
      <c r="Y2480" s="25" t="s">
        <v>46</v>
      </c>
      <c r="Z2480" s="38" t="s">
        <v>49</v>
      </c>
      <c r="AA2480" s="2">
        <f>(Z2477*I2488)/1000</f>
        <v>3.8139590609999998</v>
      </c>
    </row>
    <row r="2481" spans="1:27">
      <c r="A2481" s="18"/>
      <c r="B2481" s="13">
        <v>4</v>
      </c>
      <c r="C2481" s="14" t="s">
        <v>22</v>
      </c>
      <c r="D2481" s="15" t="e" cm="1">
        <f t="array" ref="D2481">_xlfn.SINGLE(IF(A2486=A2487,_xll.ciqfunctions.udf.CIQ(A2478,"IQ_TOTAL_REV",IQ_FY-7)/I2481, _xll.ciqfunctions.udf.CIQ(A2478, "IQ_TOTAL_REV",IQ_FY-6)/I2481))</f>
        <v>#DIV/0!</v>
      </c>
      <c r="E2481" s="16" t="e">
        <f t="shared" si="663"/>
        <v>#DIV/0!</v>
      </c>
      <c r="F2481" s="15">
        <f>IF(A2486=A2487,_xll.ciqfunctions.udf.CIQ(A2478,"IQ_DILUT_EPS_EXCL",IQ_FY-7), _xll.ciqfunctions.udf.CIQ(A2478, "IQ_DILUT_EPS_EXCL",IQ_FY-6))</f>
        <v>0</v>
      </c>
      <c r="G2481" s="15">
        <f>IF(A2486=A2487,_xll.ciqfunctions.udf.CIQ(A2478,"IQ_EBITDA_MARGIN",IQ_FY-7), _xll.ciqfunctions.udf.CIQ(A2478, "IQ_EBITDA_MARGIN",IQ_FY-6))</f>
        <v>0</v>
      </c>
      <c r="H2481" s="15" t="e">
        <f>IF(A2486=A2487,_xll.ciqfunctions.udf.CIQ(A2478,"IQ_TOTAL_DIV_PAID_CF",IQ_FY-7)/-I2481, _xll.ciqfunctions.udf.CIQ(A2478, "IQ_TOTAL_DIV_PAID_CF",IQ_FY-6)/-I2481)</f>
        <v>#DIV/0!</v>
      </c>
      <c r="I2481" s="17">
        <f>IF(A2486=A2487,_xll.ciqfunctions.udf.CIQ(A2478,"IQ_TOTAL_OUTSTANDING_FILING_DATE",IQ_FY-7), _xll.ciqfunctions.udf.CIQ(A2478, "IQ_TOTAL_OUTSTANDING_FILING_DATE",IQ_FY-6))</f>
        <v>0</v>
      </c>
      <c r="J2481" s="17">
        <f>IF(A2486=A2487,_xll.ciqfunctions.udf.CIQ(A2478,"IQ_CASH_OPER",IQ_FY-7), _xll.ciqfunctions.udf.CIQ(A2478, "IQ_CASH_OPER",IQ_FY-6))</f>
        <v>0</v>
      </c>
      <c r="K2481" s="17">
        <f>IF(A2486=A2487,_xll.ciqfunctions.udf.CIQ(A2478,"IQ_CAPEX",IQ_FY-7), _xll.ciqfunctions.udf.CIQ(A2478, "IQ_CAPEX",IQ_FY-6))</f>
        <v>0</v>
      </c>
      <c r="L2481" s="15" t="e">
        <f t="shared" si="660"/>
        <v>#DIV/0!</v>
      </c>
      <c r="M2481" s="17">
        <f>IF(A2486=A2487,_xll.ciqfunctions.udf.CIQ(A2478,"IQ_TOTAL_DEBT_ISSUED",IQ_FY-7), _xll.ciqfunctions.udf.CIQ(A2478, "IQ_TOTAL_DEBT_ISSUED",IQ_FY-6))</f>
        <v>0</v>
      </c>
      <c r="N2481" s="17">
        <f>IF(A2486=A2487,_xll.ciqfunctions.udf.CIQ(A2478,"IQ_TOTAL_DEBT_REPAID",IQ_FY-7), _xll.ciqfunctions.udf.CIQ(A2478, "IQ_TOTAL_DEBT_REPAID",IQ_FY-6))</f>
        <v>0</v>
      </c>
      <c r="O2481" s="15" t="e">
        <f t="shared" si="661"/>
        <v>#DIV/0!</v>
      </c>
      <c r="P2481" s="15" t="e">
        <f t="shared" si="662"/>
        <v>#DIV/0!</v>
      </c>
      <c r="Q2481" s="25" t="s">
        <v>23</v>
      </c>
      <c r="R2481" s="38" t="s">
        <v>24</v>
      </c>
      <c r="S2481" s="1" t="e">
        <f>R2477/(AVERAGE(H2483:H2488)*(1+H2489)/(0.5-H2489))</f>
        <v>#DIV/0!</v>
      </c>
      <c r="U2481" s="25" t="s">
        <v>40</v>
      </c>
      <c r="V2481" s="38" t="s">
        <v>24</v>
      </c>
      <c r="W2481" s="1" t="e">
        <f>V2477/(AVERAGE(H2483:H2488)*(1+H2489)/(0.5-H2489))</f>
        <v>#DIV/0!</v>
      </c>
      <c r="Y2481" s="25" t="s">
        <v>47</v>
      </c>
      <c r="Z2481" s="38" t="s">
        <v>24</v>
      </c>
      <c r="AA2481" s="1" t="e">
        <f>Z2477/(AVERAGE(H2483:H2488)*(1+H2489)/(0.5-H2489))</f>
        <v>#DIV/0!</v>
      </c>
    </row>
    <row r="2482" spans="1:27">
      <c r="B2482" s="13">
        <v>5</v>
      </c>
      <c r="C2482" s="14" t="s">
        <v>25</v>
      </c>
      <c r="D2482" s="15" t="e" cm="1">
        <f t="array" ref="D2482">_xlfn.SINGLE(IF(A2486=A2487,_xll.ciqfunctions.udf.CIQ(A2478,"IQ_TOTAL_REV",IQ_FY-6)/I2482, _xll.ciqfunctions.udf.CIQ(A2478, "IQ_TOTAL_REV",IQ_FY-5)/I2482))</f>
        <v>#DIV/0!</v>
      </c>
      <c r="E2482" s="16" t="e">
        <f t="shared" si="663"/>
        <v>#DIV/0!</v>
      </c>
      <c r="F2482" s="15">
        <f>IF(A2486=A2487,_xll.ciqfunctions.udf.CIQ(A2478,"IQ_DILUT_EPS_EXCL",IQ_FY-6), _xll.ciqfunctions.udf.CIQ(A2478, "IQ_DILUT_EPS_EXCL",IQ_FY-5))</f>
        <v>0</v>
      </c>
      <c r="G2482" s="15">
        <f>IF(A2486=A2487,_xll.ciqfunctions.udf.CIQ(A2478,"IQ_EBITDA_MARGIN",IQ_FY-6), _xll.ciqfunctions.udf.CIQ(A2478, "IQ_EBITDA_MARGIN",IQ_FY-5))</f>
        <v>0</v>
      </c>
      <c r="H2482" s="15" t="e">
        <f>IF(A2486=A2487,_xll.ciqfunctions.udf.CIQ(A2478,"IQ_TOTAL_DIV_PAID_CF",IQ_FY-6)/-I2482, _xll.ciqfunctions.udf.CIQ(A2478, "IQ_TOTAL_DIV_PAID_CF",IQ_FY-5)/-I2482)</f>
        <v>#DIV/0!</v>
      </c>
      <c r="I2482" s="17">
        <f>IF(A2486=A2487,_xll.ciqfunctions.udf.CIQ(A2478,"IQ_TOTAL_OUTSTANDING_FILING_DATE",IQ_FY-6), _xll.ciqfunctions.udf.CIQ(A2478, "IQ_TOTAL_OUTSTANDING_FILING_DATE",IQ_FY-5))</f>
        <v>0</v>
      </c>
      <c r="J2482" s="17">
        <f>IF(A2486=A2487,_xll.ciqfunctions.udf.CIQ(A2478,"IQ_CASH_OPER",IQ_FY-6), _xll.ciqfunctions.udf.CIQ(A2478, "IQ_CASH_OPER",IQ_FY-5))</f>
        <v>0</v>
      </c>
      <c r="K2482" s="17">
        <f>IF(A2486=A2487,_xll.ciqfunctions.udf.CIQ(A2478,"IQ_CAPEX",IQ_FY-6), _xll.ciqfunctions.udf.CIQ(A2478, "IQ_CAPEX",IQ_FY-5))</f>
        <v>0</v>
      </c>
      <c r="L2482" s="15" t="e">
        <f t="shared" si="660"/>
        <v>#DIV/0!</v>
      </c>
      <c r="M2482" s="17">
        <f>IF(A2486=A2487,_xll.ciqfunctions.udf.CIQ(A2478,"IQ_TOTAL_DEBT_ISSUED",IQ_FY-6), _xll.ciqfunctions.udf.CIQ(A2478, "IQ_TOTAL_DEBT_ISSUED",IQ_FY-5))</f>
        <v>0</v>
      </c>
      <c r="N2482" s="17">
        <f>IF(A2486=A2487,_xll.ciqfunctions.udf.CIQ(A2478,"IQ_TOTAL_DEBT_REPAID",IQ_FY-6), _xll.ciqfunctions.udf.CIQ(A2478, "IQ_TOTAL_DEBT_REPAID",IQ_FY-5))</f>
        <v>0</v>
      </c>
      <c r="O2482" s="15" t="e">
        <f t="shared" si="661"/>
        <v>#DIV/0!</v>
      </c>
      <c r="P2482" s="15" t="e">
        <f t="shared" si="662"/>
        <v>#DIV/0!</v>
      </c>
      <c r="Q2482" s="18"/>
      <c r="R2482" s="38" t="s">
        <v>50</v>
      </c>
      <c r="S2482" s="3" t="e">
        <f>I2489</f>
        <v>#DIV/0!</v>
      </c>
      <c r="U2482" s="18"/>
      <c r="V2482" s="38" t="s">
        <v>50</v>
      </c>
      <c r="W2482" s="3" t="e">
        <f>I2489</f>
        <v>#DIV/0!</v>
      </c>
      <c r="Y2482" s="18"/>
      <c r="Z2482" s="38" t="s">
        <v>50</v>
      </c>
      <c r="AA2482" s="3" t="e">
        <f>I2489</f>
        <v>#DIV/0!</v>
      </c>
    </row>
    <row r="2483" spans="1:27">
      <c r="B2483" s="13">
        <v>6</v>
      </c>
      <c r="C2483" s="14" t="s">
        <v>26</v>
      </c>
      <c r="D2483" s="15" t="e" cm="1">
        <f t="array" ref="D2483">_xlfn.SINGLE(IF(A2486=A2487,_xll.ciqfunctions.udf.CIQ(A2478,"IQ_TOTAL_REV",IQ_FY-5)/I2483, _xll.ciqfunctions.udf.CIQ(A2478, "IQ_TOTAL_REV",IQ_FY-4)/I2483))</f>
        <v>#DIV/0!</v>
      </c>
      <c r="E2483" s="16" t="e">
        <f t="shared" si="663"/>
        <v>#DIV/0!</v>
      </c>
      <c r="F2483" s="15">
        <f>IF(A2486=A2487,_xll.ciqfunctions.udf.CIQ(A2478,"IQ_DILUT_EPS_EXCL",IQ_FY-5), _xll.ciqfunctions.udf.CIQ(A2478, "IQ_DILUT_EPS_EXCL",IQ_FY-4))</f>
        <v>0</v>
      </c>
      <c r="G2483" s="15">
        <f>IF(A2486=A2487,_xll.ciqfunctions.udf.CIQ(A2478,"IQ_EBITDA_MARGIN",IQ_FY-5), _xll.ciqfunctions.udf.CIQ(A2478, "IQ_EBITDA_MARGIN",IQ_FY-4))</f>
        <v>0</v>
      </c>
      <c r="H2483" s="15" t="e">
        <f>IF(A2486=A2487,_xll.ciqfunctions.udf.CIQ(A2478,"IQ_TOTAL_DIV_PAID_CF",IQ_FY-5)/-I2483, _xll.ciqfunctions.udf.CIQ(A2478, "IQ_TOTAL_DIV_PAID_CF",IQ_FY-4)/-I2483)</f>
        <v>#DIV/0!</v>
      </c>
      <c r="I2483" s="17">
        <f>IF(A2486=A2487,_xll.ciqfunctions.udf.CIQ(A2478,"IQ_TOTAL_OUTSTANDING_FILING_DATE",IQ_FY-5), _xll.ciqfunctions.udf.CIQ(A2478, "IQ_TOTAL_OUTSTANDING_FILING_DATE",IQ_FY-4))</f>
        <v>0</v>
      </c>
      <c r="J2483" s="17">
        <f>IF(A2486=A2487,_xll.ciqfunctions.udf.CIQ(A2478,"IQ_CASH_OPER",IQ_FY-5), _xll.ciqfunctions.udf.CIQ(A2478, "IQ_CASH_OPER",IQ_FY-4))</f>
        <v>0</v>
      </c>
      <c r="K2483" s="17">
        <f>IF(A2486=A2487,_xll.ciqfunctions.udf.CIQ(A2478,"IQ_CAPEX",IQ_FY-5), _xll.ciqfunctions.udf.CIQ(A2478, "IQ_CAPEX",IQ_FY-4))</f>
        <v>0</v>
      </c>
      <c r="L2483" s="15" t="e">
        <f t="shared" si="660"/>
        <v>#DIV/0!</v>
      </c>
      <c r="M2483" s="17">
        <f>IF(A2486=A2487,_xll.ciqfunctions.udf.CIQ(A2478,"IQ_TOTAL_DEBT_ISSUED",IQ_FY-5), _xll.ciqfunctions.udf.CIQ(A2478, "IQ_TOTAL_DEBT_ISSUED",IQ_FY-4))</f>
        <v>0</v>
      </c>
      <c r="N2483" s="17">
        <f>IF(A2486=A2487,_xll.ciqfunctions.udf.CIQ(A2478,"IQ_TOTAL_DEBT_REPAID",IQ_FY-5), _xll.ciqfunctions.udf.CIQ(A2478, "IQ_TOTAL_DEBT_REPAID",IQ_FY-4))</f>
        <v>0</v>
      </c>
      <c r="O2483" s="15" t="e">
        <f t="shared" si="661"/>
        <v>#DIV/0!</v>
      </c>
      <c r="P2483" s="15" t="e">
        <f t="shared" si="662"/>
        <v>#DIV/0!</v>
      </c>
      <c r="Q2483" s="25" t="s">
        <v>27</v>
      </c>
      <c r="R2483" s="38" t="s">
        <v>51</v>
      </c>
      <c r="S2483" s="4" t="e">
        <f>AVERAGE(F2483:F2488)/AVERAGE(D2483:D2488)</f>
        <v>#DIV/0!</v>
      </c>
      <c r="U2483" s="25" t="s">
        <v>58</v>
      </c>
      <c r="V2483" s="38" t="s">
        <v>51</v>
      </c>
      <c r="W2483" s="4" t="e">
        <f>AVERAGE(F2483:F2488)/AVERAGE(D2483:D2488)</f>
        <v>#DIV/0!</v>
      </c>
      <c r="Y2483" s="25" t="s">
        <v>56</v>
      </c>
      <c r="Z2483" s="38" t="s">
        <v>51</v>
      </c>
      <c r="AA2483" s="4" t="e">
        <f>AVERAGE(F2483:F2488)/AVERAGE(D2483:D2488)</f>
        <v>#DIV/0!</v>
      </c>
    </row>
    <row r="2484" spans="1:27">
      <c r="A2484" s="18"/>
      <c r="B2484" s="13">
        <v>7</v>
      </c>
      <c r="C2484" s="14" t="s">
        <v>28</v>
      </c>
      <c r="D2484" s="15" cm="1">
        <f t="array" ref="D2484">_xlfn.SINGLE(IF(A2486=A2487,_xll.ciqfunctions.udf.CIQ(A2478,"IQ_TOTAL_REV",IQ_FY-4)/I2484, _xll.ciqfunctions.udf.CIQ(A2478, "IQ_TOTAL_REV",IQ_FY-3)/I2484))</f>
        <v>22.383750192783836</v>
      </c>
      <c r="E2484" s="16" t="e">
        <f t="shared" si="663"/>
        <v>#DIV/0!</v>
      </c>
      <c r="F2484" s="15">
        <f>IF(A2486=A2487,_xll.ciqfunctions.udf.CIQ(A2478,"IQ_DILUT_EPS_EXCL",IQ_FY-4), _xll.ciqfunctions.udf.CIQ(A2478, "IQ_DILUT_EPS_EXCL",IQ_FY-3))</f>
        <v>-14.91248</v>
      </c>
      <c r="G2484" s="15">
        <f>IF(A2486=A2487,_xll.ciqfunctions.udf.CIQ(A2478,"IQ_EBITDA_MARGIN",IQ_FY-4), _xll.ciqfunctions.udf.CIQ(A2478, "IQ_EBITDA_MARGIN",IQ_FY-3))</f>
        <v>16.120799999999999</v>
      </c>
      <c r="H2484" s="15">
        <f>IF(A2486=A2487,_xll.ciqfunctions.udf.CIQ(A2478,"IQ_TOTAL_DIV_PAID_CF",IQ_FY-4)/-I2484, _xll.ciqfunctions.udf.CIQ(A2478, "IQ_TOTAL_DIV_PAID_CF",IQ_FY-3)/-I2484)</f>
        <v>0</v>
      </c>
      <c r="I2484" s="17">
        <f>IF(A2486=A2487,_xll.ciqfunctions.udf.CIQ(A2478,"IQ_TOTAL_OUTSTANDING_FILING_DATE",IQ_FY-4), _xll.ciqfunctions.udf.CIQ(A2478, "IQ_TOTAL_OUTSTANDING_FILING_DATE",IQ_FY-3))</f>
        <v>21.656379999999999</v>
      </c>
      <c r="J2484" s="17">
        <f>IF(A2486=A2487,_xll.ciqfunctions.udf.CIQ(A2478,"IQ_CASH_OPER",IQ_FY-4), _xll.ciqfunctions.udf.CIQ(A2478, "IQ_CASH_OPER",IQ_FY-3))</f>
        <v>102.333</v>
      </c>
      <c r="K2484" s="17">
        <f>IF(A2486=A2487,_xll.ciqfunctions.udf.CIQ(A2478,"IQ_CAPEX",IQ_FY-4), _xll.ciqfunctions.udf.CIQ(A2478, "IQ_CAPEX",IQ_FY-3))</f>
        <v>-8.2170000000000005</v>
      </c>
      <c r="L2484" s="15">
        <f t="shared" si="660"/>
        <v>4.3458786740904989</v>
      </c>
      <c r="M2484" s="17">
        <f>IF(A2486=A2487,_xll.ciqfunctions.udf.CIQ(A2478,"IQ_TOTAL_DEBT_ISSUED",IQ_FY-4), _xll.ciqfunctions.udf.CIQ(A2478, "IQ_TOTAL_DEBT_ISSUED",IQ_FY-3))</f>
        <v>349.1</v>
      </c>
      <c r="N2484" s="17">
        <f>IF(A2486=A2487,_xll.ciqfunctions.udf.CIQ(A2478,"IQ_TOTAL_DEBT_REPAID",IQ_FY-4), _xll.ciqfunctions.udf.CIQ(A2478, "IQ_TOTAL_DEBT_REPAID",IQ_FY-3))</f>
        <v>-0.55600000000000005</v>
      </c>
      <c r="O2484" s="15">
        <f t="shared" si="661"/>
        <v>16.094287226212323</v>
      </c>
      <c r="P2484" s="15">
        <f t="shared" si="662"/>
        <v>20.440165900302823</v>
      </c>
      <c r="Q2484" s="18"/>
      <c r="R2484" s="38" t="s">
        <v>29</v>
      </c>
      <c r="S2484" s="4" t="e">
        <f>(AVERAGE(P2483:P2488)/_xlfn.STDEV.P(P2483:P2488))/(IF(A2486=A2487,(_xlfn.SINGLE(_xll.ciqfunctions.udf.CIQ(A2478,"IQ_total_assets",IQ_FY)) - _xlfn.SINGLE(_xll.ciqfunctions.udf.CIQ(A2478,"iq_gw_intan", IQ_FY)))/I2488, (_xlfn.SINGLE(_xll.ciqfunctions.udf.CIQ(A2478, "IQ_total_assets",IQ_LTM))-_xlfn.SINGLE(_xll.ciqfunctions.udf.CIQ(A2478,"iq_gw_intan",IQ_LTM)))/I2488))</f>
        <v>#DIV/0!</v>
      </c>
      <c r="U2484" s="18"/>
      <c r="V2484" s="38" t="s">
        <v>29</v>
      </c>
      <c r="W2484" s="4" t="e">
        <f>(AVERAGE(P2483:P2488)/_xlfn.STDEV.P(P2483:P2488))/(IF(A2486=A2487,(_xlfn.SINGLE(_xll.ciqfunctions.udf.CIQ(A2478,"IQ_total_assets",IQ_FY)) - _xlfn.SINGLE(_xll.ciqfunctions.udf.CIQ(A2478,"iq_gw_intan", IQ_FY)))/I2488, (_xlfn.SINGLE(_xll.ciqfunctions.udf.CIQ(A2478, "IQ_total_assets",IQ_LTM))-_xlfn.SINGLE(_xll.ciqfunctions.udf.CIQ(A2478,"iq_gw_intan",IQ_LTM)))/I2488))</f>
        <v>#DIV/0!</v>
      </c>
      <c r="Y2484" s="18"/>
      <c r="Z2484" s="38" t="s">
        <v>29</v>
      </c>
      <c r="AA2484" s="4" t="e">
        <f>(AVERAGE(P2483:P2488)/_xlfn.STDEV.P(P2483:P2488))/(IF(A2486=A2487,(_xlfn.SINGLE(_xll.ciqfunctions.udf.CIQ(A2478,"IQ_total_assets",IQ_FY)) - _xlfn.SINGLE(_xll.ciqfunctions.udf.CIQ(A2478,"iq_gw_intan", IQ_FY)))/I2488, (_xlfn.SINGLE(_xll.ciqfunctions.udf.CIQ(A2478, "IQ_total_assets",IQ_LTM))-_xlfn.SINGLE(_xll.ciqfunctions.udf.CIQ(A2478,"iq_gw_intan",IQ_LTM)))/I2488))</f>
        <v>#DIV/0!</v>
      </c>
    </row>
    <row r="2485" spans="1:27">
      <c r="A2485" s="18"/>
      <c r="B2485" s="13">
        <v>8</v>
      </c>
      <c r="C2485" s="14" t="s">
        <v>30</v>
      </c>
      <c r="D2485" s="15" cm="1">
        <f t="array" ref="D2485">_xlfn.SINGLE(IF(A2486=A2487,_xll.ciqfunctions.udf.CIQ(A2478,"IQ_TOTAL_REV",IQ_FY-3)/I2485, _xll.ciqfunctions.udf.CIQ(A2478, "IQ_TOTAL_REV",IQ_FY-2)/I2485))</f>
        <v>26.690486114393504</v>
      </c>
      <c r="E2485" s="16">
        <f t="shared" si="663"/>
        <v>0.19240457405560626</v>
      </c>
      <c r="F2485" s="15">
        <f>IF(A2486=A2487,_xll.ciqfunctions.udf.CIQ(A2478,"IQ_DILUT_EPS_EXCL",IQ_FY-3), _xll.ciqfunctions.udf.CIQ(A2478, "IQ_DILUT_EPS_EXCL",IQ_FY-2))</f>
        <v>-14.1043</v>
      </c>
      <c r="G2485" s="15">
        <f>IF(A2486=A2487,_xll.ciqfunctions.udf.CIQ(A2478,"IQ_EBITDA_MARGIN",IQ_FY-3), _xll.ciqfunctions.udf.CIQ(A2478, "IQ_EBITDA_MARGIN",IQ_FY-2))</f>
        <v>9.5251999999999999</v>
      </c>
      <c r="H2485" s="15">
        <f>IF(A2486=A2487,_xll.ciqfunctions.udf.CIQ(A2478,"IQ_TOTAL_DIV_PAID_CF",IQ_FY-3)/-I2485, _xll.ciqfunctions.udf.CIQ(A2478, "IQ_TOTAL_DIV_PAID_CF",IQ_FY-2)/-I2485)</f>
        <v>14.083051524774087</v>
      </c>
      <c r="I2485" s="17">
        <f>IF(A2486=A2487,_xll.ciqfunctions.udf.CIQ(A2478,"IQ_TOTAL_OUTSTANDING_FILING_DATE",IQ_FY-3), _xll.ciqfunctions.udf.CIQ(A2478, "IQ_TOTAL_OUTSTANDING_FILING_DATE",IQ_FY-2))</f>
        <v>23.272300000000001</v>
      </c>
      <c r="J2485" s="17">
        <f>IF(A2486=A2487,_xll.ciqfunctions.udf.CIQ(A2478,"IQ_CASH_OPER",IQ_FY-3), _xll.ciqfunctions.udf.CIQ(A2478, "IQ_CASH_OPER",IQ_FY-2))</f>
        <v>150.03</v>
      </c>
      <c r="K2485" s="17">
        <f>IF(A2486=A2487,_xll.ciqfunctions.udf.CIQ(A2478,"IQ_CAPEX",IQ_FY-3), _xll.ciqfunctions.udf.CIQ(A2478, "IQ_CAPEX",IQ_FY-2))</f>
        <v>-4.7119999999999997</v>
      </c>
      <c r="L2485" s="15">
        <f t="shared" si="660"/>
        <v>6.2442474529805825</v>
      </c>
      <c r="M2485" s="17">
        <f>IF(A2486=A2487,_xll.ciqfunctions.udf.CIQ(A2478,"IQ_TOTAL_DEBT_ISSUED",IQ_FY-3), _xll.ciqfunctions.udf.CIQ(A2478, "IQ_TOTAL_DEBT_ISSUED",IQ_FY-2))</f>
        <v>197.32499999999999</v>
      </c>
      <c r="N2485" s="17">
        <f>IF(A2486=A2487,_xll.ciqfunctions.udf.CIQ(A2478,"IQ_TOTAL_DEBT_REPAID",IQ_FY-3), _xll.ciqfunctions.udf.CIQ(A2478, "IQ_TOTAL_DEBT_REPAID",IQ_FY-2))</f>
        <v>-6.5629999999999997</v>
      </c>
      <c r="O2485" s="15">
        <f t="shared" si="661"/>
        <v>8.1969551784739796</v>
      </c>
      <c r="P2485" s="15">
        <f t="shared" si="662"/>
        <v>14.441202631454562</v>
      </c>
      <c r="Q2485" s="18"/>
      <c r="R2485" s="39" t="s">
        <v>31</v>
      </c>
      <c r="S2485" s="5" t="e">
        <f>IF(NOT(D2478&gt;0),FALSE,SLOPE(G2478:G2488,B2478:B2488))</f>
        <v>#DIV/0!</v>
      </c>
      <c r="U2485" s="18"/>
      <c r="V2485" s="39" t="s">
        <v>31</v>
      </c>
      <c r="W2485" s="5" t="e">
        <f>IF(NOT(D2478&gt;0),FALSE,SLOPE(G2478:G2488,B2478:B2488))</f>
        <v>#DIV/0!</v>
      </c>
      <c r="Y2485" s="18"/>
      <c r="Z2485" s="39" t="s">
        <v>31</v>
      </c>
      <c r="AA2485" s="5" t="e">
        <f>IF(NOT(L2478&gt;0),FALSE,SLOPE(O2478:O2488,J2478:J2488))</f>
        <v>#DIV/0!</v>
      </c>
    </row>
    <row r="2486" spans="1:27">
      <c r="A2486" s="19">
        <f>_xll.ciqfunctions.udf.CIQ(A2478,"IQ_TOTAL_REV",IQ_FY)</f>
        <v>866.97199999999998</v>
      </c>
      <c r="B2486" s="13">
        <v>9</v>
      </c>
      <c r="C2486" s="14" t="s">
        <v>32</v>
      </c>
      <c r="D2486" s="15" cm="1">
        <f t="array" ref="D2486">_xlfn.SINGLE(IF(A2486=A2487,_xll.ciqfunctions.udf.CIQ(A2478,"IQ_TOTAL_REV",IQ_FY-2)/I2486, _xll.ciqfunctions.udf.CIQ(A2478, "IQ_TOTAL_REV",IQ_FY-1)/I2486))</f>
        <v>5.6305759929333954</v>
      </c>
      <c r="E2486" s="16">
        <f t="shared" si="663"/>
        <v>-0.78904183427753427</v>
      </c>
      <c r="F2486" s="15">
        <f>IF(A2486=A2487,_xll.ciqfunctions.udf.CIQ(A2478,"IQ_DILUT_EPS_EXCL",IQ_FY-2), _xll.ciqfunctions.udf.CIQ(A2478, "IQ_DILUT_EPS_EXCL",IQ_FY-1))</f>
        <v>-2.5990500000000001</v>
      </c>
      <c r="G2486" s="15">
        <f>IF(A2486=A2487,_xll.ciqfunctions.udf.CIQ(A2478,"IQ_EBITDA_MARGIN",IQ_FY-2), _xll.ciqfunctions.udf.CIQ(A2478, "IQ_EBITDA_MARGIN",IQ_FY-1))</f>
        <v>5.4969000000000001</v>
      </c>
      <c r="H2486" s="15">
        <f>IF(A2486=A2487,_xll.ciqfunctions.udf.CIQ(A2478,"IQ_TOTAL_DIV_PAID_CF",IQ_FY-2)/-I2486, _xll.ciqfunctions.udf.CIQ(A2478, "IQ_TOTAL_DIV_PAID_CF",IQ_FY-1)/-I2486)</f>
        <v>2.6356138215323185E-3</v>
      </c>
      <c r="I2486" s="17">
        <f>IF(A2486=A2487,_xll.ciqfunctions.udf.CIQ(A2478,"IQ_TOTAL_OUTSTANDING_FILING_DATE",IQ_FY-2), _xll.ciqfunctions.udf.CIQ(A2478, "IQ_TOTAL_OUTSTANDING_FILING_DATE",IQ_FY-1))</f>
        <v>139.2465</v>
      </c>
      <c r="J2486" s="17">
        <f>IF(A2486=A2487,_xll.ciqfunctions.udf.CIQ(A2478,"IQ_CASH_OPER",IQ_FY-2), _xll.ciqfunctions.udf.CIQ(A2478, "IQ_CASH_OPER",IQ_FY-1))</f>
        <v>123.157</v>
      </c>
      <c r="K2486" s="17">
        <f>IF(A2486=A2487,_xll.ciqfunctions.udf.CIQ(A2478,"IQ_CAPEX",IQ_FY-2), _xll.ciqfunctions.udf.CIQ(A2478, "IQ_CAPEX",IQ_FY-1))</f>
        <v>-11.021000000000001</v>
      </c>
      <c r="L2486" s="15">
        <f t="shared" si="660"/>
        <v>0.80530569888650705</v>
      </c>
      <c r="M2486" s="17">
        <f>IF(A2486=A2487,_xll.ciqfunctions.udf.CIQ(A2478,"IQ_TOTAL_DEBT_ISSUED",IQ_FY-2), _xll.ciqfunctions.udf.CIQ(A2478, "IQ_TOTAL_DEBT_ISSUED",IQ_FY-1))</f>
        <v>0</v>
      </c>
      <c r="N2486" s="17">
        <f>IF(A2486=A2487,_xll.ciqfunctions.udf.CIQ(A2478,"IQ_TOTAL_DEBT_REPAID",IQ_FY-2), _xll.ciqfunctions.udf.CIQ(A2478, "IQ_TOTAL_DEBT_REPAID",IQ_FY-1))</f>
        <v>-13.586</v>
      </c>
      <c r="O2486" s="15">
        <f t="shared" si="661"/>
        <v>-9.7567981960049274E-2</v>
      </c>
      <c r="P2486" s="15">
        <f t="shared" si="662"/>
        <v>0.70773771692645782</v>
      </c>
      <c r="Q2486" s="25" t="s">
        <v>33</v>
      </c>
      <c r="R2486" s="38" t="s">
        <v>52</v>
      </c>
      <c r="S2486" s="4" t="e">
        <f>(AVERAGE(O2483:O2488)/AVERAGE(P2483:P2488))</f>
        <v>#DIV/0!</v>
      </c>
      <c r="U2486" s="25" t="s">
        <v>54</v>
      </c>
      <c r="V2486" s="38" t="s">
        <v>52</v>
      </c>
      <c r="W2486" s="4" t="e">
        <f>(AVERAGE(O2483:O2488)/AVERAGE(P2483:P2488))</f>
        <v>#DIV/0!</v>
      </c>
      <c r="Y2486" s="25" t="s">
        <v>60</v>
      </c>
      <c r="Z2486" s="38" t="s">
        <v>52</v>
      </c>
      <c r="AA2486" s="4" t="e">
        <f>(AVERAGE(O2483:O2488)/AVERAGE(P2483:P2488))</f>
        <v>#DIV/0!</v>
      </c>
    </row>
    <row r="2487" spans="1:27">
      <c r="A2487" s="19">
        <f>_xll.ciqfunctions.udf.CIQ(A2478,"IQ_TOTAL_REV",IQ_LTM)</f>
        <v>970.43</v>
      </c>
      <c r="B2487" s="13">
        <v>10</v>
      </c>
      <c r="C2487" s="14" t="s">
        <v>34</v>
      </c>
      <c r="D2487" s="15" cm="1">
        <f t="array" ref="D2487">_xlfn.SINGLE(IF(A2486=A2487,_xll.ciqfunctions.udf.CIQ(A2478,"IQ_TOTAL_REV",IQ_FY-1)/I2487, _xll.ciqfunctions.udf.CIQ(A2478, "IQ_TOTAL_REV",IQ_FY)/I2487))</f>
        <v>6.41584989593703</v>
      </c>
      <c r="E2487" s="16">
        <f t="shared" si="663"/>
        <v>0.13946599850338326</v>
      </c>
      <c r="F2487" s="15">
        <f>IF(A2486=A2487,_xll.ciqfunctions.udf.CIQ(A2478,"IQ_DILUT_EPS_EXCL",IQ_FY-1), _xll.ciqfunctions.udf.CIQ(A2478, "IQ_DILUT_EPS_EXCL",IQ_FY))</f>
        <v>-1.8222799999999999</v>
      </c>
      <c r="G2487" s="15">
        <f>IF(A2486=A2487,_xll.ciqfunctions.udf.CIQ(A2478,"IQ_EBITDA_MARGIN",IQ_FY-1), _xll.ciqfunctions.udf.CIQ(A2478, "IQ_EBITDA_MARGIN",IQ_FY))</f>
        <v>4.7519999999999998</v>
      </c>
      <c r="H2487" s="15">
        <f>IF(A2486=A2487,_xll.ciqfunctions.udf.CIQ(A2478,"IQ_TOTAL_DIV_PAID_CF",IQ_FY-1)/-I2487, _xll.ciqfunctions.udf.CIQ(A2478, "IQ_TOTAL_DIV_PAID_CF",IQ_FY)/-I2487)</f>
        <v>0</v>
      </c>
      <c r="I2487" s="17">
        <f>IF(A2486=A2487,_xll.ciqfunctions.udf.CIQ(A2478,"IQ_TOTAL_OUTSTANDING_FILING_DATE",IQ_FY-1), _xll.ciqfunctions.udf.CIQ(A2478, "IQ_TOTAL_OUTSTANDING_FILING_DATE",IQ_FY))</f>
        <v>135.12971999999999</v>
      </c>
      <c r="J2487" s="17">
        <f>IF(A2486=A2487,_xll.ciqfunctions.udf.CIQ(A2478,"IQ_CASH_OPER",IQ_FY-1), _xll.ciqfunctions.udf.CIQ(A2478, "IQ_CASH_OPER",IQ_FY))</f>
        <v>164.21899999999999</v>
      </c>
      <c r="K2487" s="17">
        <f>IF(A2486=A2487,_xll.ciqfunctions.udf.CIQ(A2478,"IQ_CAPEX",IQ_FY-1), _xll.ciqfunctions.udf.CIQ(A2478, "IQ_CAPEX",IQ_FY))</f>
        <v>-11.542999999999999</v>
      </c>
      <c r="L2487" s="15">
        <f t="shared" si="660"/>
        <v>1.1298476752560429</v>
      </c>
      <c r="M2487" s="17">
        <f>IF(A2486=A2487,_xll.ciqfunctions.udf.CIQ(A2478,"IQ_TOTAL_DEBT_ISSUED",IQ_FY-1), _xll.ciqfunctions.udf.CIQ(A2478, "IQ_TOTAL_DEBT_ISSUED",IQ_FY))</f>
        <v>0</v>
      </c>
      <c r="N2487" s="17">
        <f>IF(A2486=A2487,_xll.ciqfunctions.udf.CIQ(A2478,"IQ_TOTAL_DEBT_REPAID",IQ_FY-1), _xll.ciqfunctions.udf.CIQ(A2478, "IQ_TOTAL_DEBT_REPAID",IQ_FY))</f>
        <v>-13.586</v>
      </c>
      <c r="O2487" s="15">
        <f t="shared" si="661"/>
        <v>-0.10054042885606512</v>
      </c>
      <c r="P2487" s="15">
        <f t="shared" si="662"/>
        <v>1.0293072463999777</v>
      </c>
      <c r="Q2487" s="25" t="s">
        <v>44</v>
      </c>
      <c r="R2487" s="38" t="s">
        <v>35</v>
      </c>
      <c r="S2487" s="1">
        <f>_xll.ciqfunctions.udf.CIQ(A2478,"IQ_TEV_EBITDA")</f>
        <v>30.991980000000002</v>
      </c>
      <c r="U2487" s="25" t="s">
        <v>55</v>
      </c>
      <c r="V2487" s="38" t="s">
        <v>53</v>
      </c>
      <c r="W2487" s="1" t="e">
        <f>V2477/(AVERAGE(D2483:D2488)/_xlfn.STDEV.P(E2483:E2488))</f>
        <v>#DIV/0!</v>
      </c>
      <c r="Y2487" s="25" t="s">
        <v>57</v>
      </c>
      <c r="Z2487" s="38" t="s">
        <v>53</v>
      </c>
      <c r="AA2487" s="1" t="e">
        <f>Z2477/(AVERAGE(D2483:D2488)/_xlfn.STDEV.P(E2483:E2488))</f>
        <v>#DIV/0!</v>
      </c>
    </row>
    <row r="2488" spans="1:27">
      <c r="B2488" s="13">
        <v>11</v>
      </c>
      <c r="C2488" s="20" t="s">
        <v>36</v>
      </c>
      <c r="D2488" s="21" cm="1">
        <f t="array" ref="D2488">_xlfn.SINGLE(IF(A2486=A2487,_xll.ciqfunctions.udf.CIQ(A2478,"IQ_TOTAL_REV",IQ_FY)/I2488, _xll.ciqfunctions.udf.CIQ(A2478, "IQ_TOTAL_REV",IQ_LTM)/I2488))</f>
        <v>7.1370880139607236</v>
      </c>
      <c r="E2488" s="22">
        <f t="shared" si="663"/>
        <v>0.11241505485975171</v>
      </c>
      <c r="F2488" s="21">
        <f>IF(A2486=A2487,_xll.ciqfunctions.udf.CIQ(A2478,"IQ_DILUT_EPS_EXCL",IQ_FY), _xll.ciqfunctions.udf.CIQ(A2478, "IQ_DILUT_EPS_EXCL",IQ_LTM))</f>
        <v>-1.8168800000000001</v>
      </c>
      <c r="G2488" s="21">
        <f>IF(A2486=A2487,_xll.ciqfunctions.udf.CIQ(A2478,"IQ_EBITDA_MARGIN",IQ_FY), _xll.ciqfunctions.udf.CIQ(A2478, "IQ_EBITDA_MARGIN",IQ_LTM))</f>
        <v>12.6381</v>
      </c>
      <c r="H2488" s="21">
        <f>IF(A2486=A2487,_xll.ciqfunctions.udf.CIQ(A2478,"IQ_TOTAL_DIV_PAID_CF",IQ_FY)/-I2488, _xll.ciqfunctions.udf.CIQ(A2478, "IQ_TOTAL_DIV_PAID_CF",IQ_LTM)/-I2488)</f>
        <v>0</v>
      </c>
      <c r="I2488" s="23">
        <f>IF(A2486=A2487,_xll.ciqfunctions.udf.CIQ(A2478,"IQ_TOTAL_OUTSTANDING_FILING_DATE",IQ_FY),_xll.ciqfunctions.udf.CIQ(A2478,"IQ_sharesoutstanding"))</f>
        <v>135.97002000000001</v>
      </c>
      <c r="J2488" s="23">
        <f>IF(A2486=A2487,_xll.ciqfunctions.udf.CIQ(A2478,"IQ_CASH_OPER",IQ_FY), _xll.ciqfunctions.udf.CIQ(A2478, "IQ_CASH_OPER",IQ_LTM))</f>
        <v>209.12899999999999</v>
      </c>
      <c r="K2488" s="23">
        <f>IF(A2486=A2487,_xll.ciqfunctions.udf.CIQ(A2478,"IQ_CAPEX",IQ_FY), _xll.ciqfunctions.udf.CIQ(A2478, "IQ_CAPEX",IQ_LTM))</f>
        <v>-192.553</v>
      </c>
      <c r="L2488" s="21">
        <f t="shared" si="660"/>
        <v>0.12190922675454481</v>
      </c>
      <c r="M2488" s="23">
        <f>IF(A2486=A2487,_xll.ciqfunctions.udf.CIQ(A2478,"IQ_TOTAL_DEBT_ISSUED",IQ_FY), _xll.ciqfunctions.udf.CIQ(A2478, "IQ_TOTAL_DEBT_ISSUED",IQ_LTM))</f>
        <v>99.444000000000003</v>
      </c>
      <c r="N2488" s="23">
        <f>IF(A2486=A2487,_xll.ciqfunctions.udf.CIQ(A2478,"IQ_TOTAL_DEBT_REPAID",IQ_FY), _xll.ciqfunctions.udf.CIQ(A2478, "IQ_TOTAL_DEBT_REPAID",IQ_LTM))</f>
        <v>-36.020000000000003</v>
      </c>
      <c r="O2488" s="21">
        <f t="shared" si="661"/>
        <v>0.46645576723457127</v>
      </c>
      <c r="P2488" s="21">
        <f t="shared" si="662"/>
        <v>0.58836499398911613</v>
      </c>
      <c r="Q2488" s="25" t="s">
        <v>45</v>
      </c>
      <c r="S2488" s="45"/>
      <c r="U2488" s="25"/>
      <c r="W2488" s="45"/>
      <c r="Y2488" s="25"/>
      <c r="AA2488" s="45"/>
    </row>
    <row r="2489" spans="1:27">
      <c r="B2489" s="24"/>
      <c r="C2489" s="25" t="s">
        <v>37</v>
      </c>
      <c r="E2489" s="26" t="e">
        <f>((D2488/D2483)^(1/5))-1</f>
        <v>#DIV/0!</v>
      </c>
      <c r="F2489" s="27" t="e">
        <f>((F2488/F2483)^(1/5))-1</f>
        <v>#DIV/0!</v>
      </c>
      <c r="G2489" s="28"/>
      <c r="H2489" s="27" t="e">
        <f>((H2488/H2483)^(1/5))-1</f>
        <v>#DIV/0!</v>
      </c>
      <c r="I2489" s="27" t="e">
        <f>((I2488/I2483)^(1/5))-1</f>
        <v>#DIV/0!</v>
      </c>
      <c r="J2489" s="27"/>
      <c r="K2489" s="27"/>
      <c r="L2489" s="26" t="e">
        <f>((L2488/L2483)^(1/5))-1</f>
        <v>#DIV/0!</v>
      </c>
      <c r="M2489" s="26"/>
      <c r="N2489" s="26"/>
      <c r="O2489" s="26"/>
      <c r="P2489" s="26" t="e">
        <f>((P2488/P2483)^(1/5))-1</f>
        <v>#DIV/0!</v>
      </c>
      <c r="Q2489" s="18"/>
      <c r="R2489" s="36"/>
      <c r="S2489" s="45"/>
      <c r="U2489" s="18"/>
      <c r="V2489" s="36"/>
      <c r="W2489" s="45"/>
      <c r="Y2489" s="18"/>
      <c r="Z2489" s="36"/>
      <c r="AA2489" s="45"/>
    </row>
    <row r="2490" spans="1:27">
      <c r="A2490" s="29"/>
      <c r="B2490" s="30"/>
      <c r="C2490" s="31" t="s">
        <v>38</v>
      </c>
      <c r="D2490" s="29"/>
      <c r="E2490" s="32" t="e">
        <f>((D2488/D2478)^(1/10))-1</f>
        <v>#DIV/0!</v>
      </c>
      <c r="F2490" s="33" t="e">
        <f>((F2488/F2478)^(1/10))-1</f>
        <v>#DIV/0!</v>
      </c>
      <c r="G2490" s="34"/>
      <c r="H2490" s="33" t="e">
        <f>((H2488/H2478)^(1/10))-1</f>
        <v>#DIV/0!</v>
      </c>
      <c r="I2490" s="33" t="e">
        <f>((I2488/I2478)^(1/10))-1</f>
        <v>#DIV/0!</v>
      </c>
      <c r="J2490" s="33"/>
      <c r="K2490" s="33"/>
      <c r="L2490" s="32" t="e">
        <f>((L2488/L2478)^(1/10))-1</f>
        <v>#DIV/0!</v>
      </c>
      <c r="M2490" s="32"/>
      <c r="N2490" s="32"/>
      <c r="O2490" s="32"/>
      <c r="P2490" s="32" t="e">
        <f>((P2488/P2478)^(1/10))-1</f>
        <v>#DIV/0!</v>
      </c>
      <c r="Q2490" s="40"/>
      <c r="R2490" s="41"/>
      <c r="S2490" s="46"/>
      <c r="U2490" s="40"/>
      <c r="V2490" s="41"/>
      <c r="W2490" s="46"/>
      <c r="Y2490" s="40"/>
      <c r="Z2490" s="41"/>
      <c r="AA2490" s="46"/>
    </row>
    <row r="2491" spans="1:27">
      <c r="B2491" s="24"/>
      <c r="C2491" s="25"/>
      <c r="E2491" s="26"/>
      <c r="F2491" s="27"/>
      <c r="G2491" s="28"/>
      <c r="H2491" s="27"/>
      <c r="I2491" s="27"/>
      <c r="J2491" s="27"/>
      <c r="K2491" s="27"/>
      <c r="L2491" s="26"/>
      <c r="M2491" s="17"/>
      <c r="N2491" s="17"/>
      <c r="O2491" s="17"/>
      <c r="P2491" s="35"/>
      <c r="Q2491" s="18"/>
      <c r="R2491" s="36"/>
    </row>
    <row r="2492" spans="1:27">
      <c r="A2492" s="9" t="s">
        <v>0</v>
      </c>
      <c r="B2492" s="10"/>
      <c r="C2492" s="9" t="s">
        <v>1</v>
      </c>
      <c r="D2492" s="9" t="s">
        <v>2</v>
      </c>
      <c r="E2492" s="9" t="s">
        <v>3</v>
      </c>
      <c r="F2492" s="11" t="s">
        <v>4</v>
      </c>
      <c r="G2492" s="11" t="s">
        <v>5</v>
      </c>
      <c r="H2492" s="9" t="s">
        <v>6</v>
      </c>
      <c r="I2492" s="11" t="s">
        <v>7</v>
      </c>
      <c r="J2492" s="11" t="s">
        <v>8</v>
      </c>
      <c r="K2492" s="11" t="s">
        <v>9</v>
      </c>
      <c r="L2492" s="11" t="s">
        <v>10</v>
      </c>
      <c r="M2492" s="11" t="s">
        <v>11</v>
      </c>
      <c r="N2492" s="11" t="s">
        <v>12</v>
      </c>
      <c r="O2492" s="11" t="s">
        <v>13</v>
      </c>
      <c r="P2492" s="11" t="s">
        <v>14</v>
      </c>
      <c r="Q2492" s="37" t="s">
        <v>15</v>
      </c>
      <c r="R2492" s="42">
        <f>_xll.ciqfunctions.udf.CIQ(A2493,("IQ_LASTSALEPRICE"))</f>
        <v>3.8849999999999998</v>
      </c>
      <c r="S2492" s="44"/>
      <c r="U2492" s="37" t="s">
        <v>15</v>
      </c>
      <c r="V2492" s="42">
        <f>_xll.ciqfunctions.udf.CIQ(A2493,("IQ_LASTSALEPRICE"))</f>
        <v>3.8849999999999998</v>
      </c>
      <c r="W2492" s="44"/>
      <c r="Y2492" s="37" t="s">
        <v>15</v>
      </c>
      <c r="Z2492" s="42">
        <f>_xll.ciqfunctions.udf.CIQ(A2493,("IQ_LASTSALEPRICE"))</f>
        <v>3.8849999999999998</v>
      </c>
      <c r="AA2492" s="44"/>
    </row>
    <row r="2493" spans="1:27">
      <c r="A2493" s="12" t="str">
        <f>Analysis!B168</f>
        <v>NasdaqGS:TWKS</v>
      </c>
      <c r="B2493" s="13">
        <v>1</v>
      </c>
      <c r="C2493" s="14" t="s">
        <v>16</v>
      </c>
      <c r="D2493" s="15" t="e">
        <f>IF(A2501=A2502,_xll.ciqfunctions.udf.CIQ(A2493,"IQ_TOTAL_REV",IQ_FY-10)/I2493,_xll.ciqfunctions.udf.CIQ(A2493, "IQ_TOTAL_REV",IQ_FY-9)/I2493)</f>
        <v>#DIV/0!</v>
      </c>
      <c r="E2493" s="16"/>
      <c r="F2493" s="15">
        <f>IF(A2501=A2502,_xll.ciqfunctions.udf.CIQ(A2493,"IQ_DILUT_EPS_EXCL",IQ_FY-10), _xll.ciqfunctions.udf.CIQ(A2493, "IQ_DILUT_EPS_EXCL",IQ_FY-9))</f>
        <v>0</v>
      </c>
      <c r="G2493" s="15">
        <f>IF(A2501=A2502,_xll.ciqfunctions.udf.CIQ(A2493,"IQ_EBITDA_MARGIN",IQ_FY-10), _xll.ciqfunctions.udf.CIQ(A2493, "IQ_EBITDA_MARGIN",IQ_FY-9))</f>
        <v>0</v>
      </c>
      <c r="H2493" s="15" t="e">
        <f>IF(A2501=A2502,_xll.ciqfunctions.udf.CIQ(A2493,"IQ_TOTAL_DIV_PAID_CF",IQ_FY-10)/-I2493, _xll.ciqfunctions.udf.CIQ(A2493, "IQ_TOTAL_DIV_PAID_CF",IQ_FY-9)/-I2493)</f>
        <v>#DIV/0!</v>
      </c>
      <c r="I2493" s="17">
        <f>IF(A2501=A2502,_xll.ciqfunctions.udf.CIQ(A2493,"IQ_TOTAL_OUTSTANDING_FILING_DATE",IQ_FY-10), _xll.ciqfunctions.udf.CIQ(A2493, "IQ_TOTAL_OUTSTANDING_FILING_DATE",IQ_FY-9))</f>
        <v>0</v>
      </c>
      <c r="J2493" s="17">
        <f>IF(A2501=A2502,_xll.ciqfunctions.udf.CIQ(A2493,"IQ_CASH_OPER",IQ_FY-10), _xll.ciqfunctions.udf.CIQ(A2493, "IQ_CASH_OPER",IQ_FY-9))</f>
        <v>0</v>
      </c>
      <c r="K2493" s="17">
        <f>IF(A2501=A2502,_xll.ciqfunctions.udf.CIQ(A2493,"IQ_CAPEX",IQ_FY-10), _xll.ciqfunctions.udf.CIQ(A2493, "IQ_CAPEX",IQ_FY-9))</f>
        <v>0</v>
      </c>
      <c r="L2493" s="15" t="e">
        <f t="shared" ref="L2493:L2503" si="664">(J2493+K2493)/I2493</f>
        <v>#DIV/0!</v>
      </c>
      <c r="M2493" s="17">
        <f>IF(A2501=A2502,_xll.ciqfunctions.udf.CIQ(A2493,"IQ_TOTAL_DEBT_ISSUED",IQ_FY-10), _xll.ciqfunctions.udf.CIQ(A2493, "IQ_TOTAL_DEBT_ISSUED",IQ_FY-9))</f>
        <v>0</v>
      </c>
      <c r="N2493" s="17">
        <f>IF(A2501=A2502,_xll.ciqfunctions.udf.CIQ(A2493,"IQ_TOTAL_DEBT_REPAID",IQ_FY-10), _xll.ciqfunctions.udf.CIQ(A2493, "IQ_TOTAL_DEBT_REPAID",IQ_FY-9))</f>
        <v>0</v>
      </c>
      <c r="O2493" s="15" t="e">
        <f t="shared" ref="O2493:O2503" si="665">(M2493+N2493)/I2493</f>
        <v>#DIV/0!</v>
      </c>
      <c r="P2493" s="15" t="e">
        <f t="shared" ref="P2493:P2503" si="666">L2493+O2493</f>
        <v>#DIV/0!</v>
      </c>
      <c r="W2493" s="43"/>
      <c r="AA2493" s="43"/>
    </row>
    <row r="2494" spans="1:27">
      <c r="A2494" s="18" t="str">
        <f>_xll.ciqfunctions.udf.CIQ(A2493,"IQ_COMPANY_NAME")</f>
        <v>Thoughtworks Holding, Inc.</v>
      </c>
      <c r="B2494" s="13">
        <v>2</v>
      </c>
      <c r="C2494" s="14" t="s">
        <v>17</v>
      </c>
      <c r="D2494" s="15" t="e">
        <f>IF(A2501=A2502,_xll.ciqfunctions.udf.CIQ(A2493,"IQ_TOTAL_REV",IQ_FY-9)/I2494, _xll.ciqfunctions.udf.CIQ(A2493, "IQ_TOTAL_REV",IQ_FY-8)/I2494)</f>
        <v>#DIV/0!</v>
      </c>
      <c r="E2494" s="16" t="e">
        <f t="shared" ref="E2494:E2503" si="667">(D2494-D2493)/D2493</f>
        <v>#DIV/0!</v>
      </c>
      <c r="F2494" s="15">
        <f>IF(A2501=A2502,_xll.ciqfunctions.udf.CIQ(A2493,"IQ_DILUT_EPS_EXCL",IQ_FY-9), _xll.ciqfunctions.udf.CIQ(A2493, "IQ_DILUT_EPS_EXCL",IQ_FY-8))</f>
        <v>0</v>
      </c>
      <c r="G2494" s="15">
        <f>IF(A2501=A2502,_xll.ciqfunctions.udf.CIQ(A2493,"IQ_EBITDA_MARGIN",IQ_FY-9), _xll.ciqfunctions.udf.CIQ(A2493, "IQ_EBITDA_MARGIN",IQ_FY-8))</f>
        <v>0</v>
      </c>
      <c r="H2494" s="15" t="e">
        <f>IF(A2501=A2502,_xll.ciqfunctions.udf.CIQ(A2493,"IQ_TOTAL_DIV_PAID_CF",IQ_FY-9)/-I2494, _xll.ciqfunctions.udf.CIQ(A2493, "IQ_TOTAL_DIV_PAID_CF",IQ_FY-8)/-I2494)</f>
        <v>#DIV/0!</v>
      </c>
      <c r="I2494" s="17">
        <f>IF(A2501=A2502,_xll.ciqfunctions.udf.CIQ(A2493,"IQ_TOTAL_OUTSTANDING_FILING_DATE",IQ_FY-9), _xll.ciqfunctions.udf.CIQ(A2493, "IQ_TOTAL_OUTSTANDING_FILING_DATE",IQ_FY-8))</f>
        <v>0</v>
      </c>
      <c r="J2494" s="17">
        <f>IF(A2501=A2502,_xll.ciqfunctions.udf.CIQ(A2493,"IQ_CASH_OPER",IQ_FY-9), _xll.ciqfunctions.udf.CIQ(A2493, "IQ_CASH_OPER",IQ_FY-8))</f>
        <v>0</v>
      </c>
      <c r="K2494" s="17">
        <f>IF(A2501=A2502,_xll.ciqfunctions.udf.CIQ(A2493,"IQ_CAPEX",IQ_FY-9), _xll.ciqfunctions.udf.CIQ(A2493, "IQ_CAPEX",IQ_FY-8))</f>
        <v>0</v>
      </c>
      <c r="L2494" s="15" t="e">
        <f t="shared" si="664"/>
        <v>#DIV/0!</v>
      </c>
      <c r="M2494" s="17">
        <f>IF(A2501=A2502,_xll.ciqfunctions.udf.CIQ(A2493,"IQ_TOTAL_DEBT_ISSUED",IQ_FY-9), _xll.ciqfunctions.udf.CIQ(A2493, "IQ_TOTAL_DEBT_ISSUED",IQ_FY-8))</f>
        <v>0</v>
      </c>
      <c r="N2494" s="17">
        <f>IF(A2501=A2502,_xll.ciqfunctions.udf.CIQ(A2493,"IQ_TOTAL_DEBT_REPAID",IQ_FY-9), _xll.ciqfunctions.udf.CIQ(A2493, "IQ_TOTAL_DEBT_REPAID",IQ_FY-8))</f>
        <v>0</v>
      </c>
      <c r="O2494" s="15" t="e">
        <f t="shared" si="665"/>
        <v>#DIV/0!</v>
      </c>
      <c r="P2494" s="15" t="e">
        <f t="shared" si="666"/>
        <v>#DIV/0!</v>
      </c>
      <c r="Q2494" s="25" t="s">
        <v>18</v>
      </c>
      <c r="R2494" s="39" t="s">
        <v>19</v>
      </c>
      <c r="S2494" s="1" t="e">
        <f>R2492/((AVERAGE(P2498:P2503))*(1+E2504)^3)</f>
        <v>#DIV/0!</v>
      </c>
      <c r="U2494" s="25" t="s">
        <v>48</v>
      </c>
      <c r="V2494" s="39" t="s">
        <v>19</v>
      </c>
      <c r="W2494" s="1" t="e">
        <f>V2492/((AVERAGE(P2498:P2503))*(1+E2504)^3)</f>
        <v>#DIV/0!</v>
      </c>
      <c r="Y2494" s="25" t="s">
        <v>39</v>
      </c>
      <c r="Z2494" s="39" t="s">
        <v>19</v>
      </c>
      <c r="AA2494" s="1" t="e">
        <f>Z2492/((AVERAGE(P2498:P2503))*(1+E2504)^3)</f>
        <v>#DIV/0!</v>
      </c>
    </row>
    <row r="2495" spans="1:27">
      <c r="B2495" s="13">
        <v>3</v>
      </c>
      <c r="C2495" s="14" t="s">
        <v>20</v>
      </c>
      <c r="D2495" s="15" t="e" cm="1">
        <f t="array" ref="D2495">_xlfn.SINGLE(IF(A2501=A2502,_xll.ciqfunctions.udf.CIQ(A2493,"IQ_TOTAL_REV",IQ_FY-8)/I2495, _xll.ciqfunctions.udf.CIQ(A2493, "IQ_TOTAL_REV",IQ_FY-7)/I2495))</f>
        <v>#DIV/0!</v>
      </c>
      <c r="E2495" s="16" t="e">
        <f t="shared" si="667"/>
        <v>#DIV/0!</v>
      </c>
      <c r="F2495" s="15">
        <f>IF(A2501=A2502,_xll.ciqfunctions.udf.CIQ(A2493,"IQ_DILUT_EPS_EXCL",IQ_FY-8), _xll.ciqfunctions.udf.CIQ(A2493, "IQ_DILUT_EPS_EXCL",IQ_FY-7))</f>
        <v>0</v>
      </c>
      <c r="G2495" s="15">
        <f>IF(A2501=A2502,_xll.ciqfunctions.udf.CIQ(A2493,"IQ_EBITDA_MARGIN",IQ_FY-8), _xll.ciqfunctions.udf.CIQ(A2493, "IQ_EBITDA_MARGIN",IQ_FY-7))</f>
        <v>0</v>
      </c>
      <c r="H2495" s="15" t="e">
        <f>IF(A2501=A2502,_xll.ciqfunctions.udf.CIQ(A2493,"IQ_TOTAL_DIV_PAID_CF",IQ_FY-8)/-I2495, _xll.ciqfunctions.udf.CIQ(A2493, "IQ_TOTAL_DIV_PAID_CF",IQ_FY-7)/-I2495)</f>
        <v>#DIV/0!</v>
      </c>
      <c r="I2495" s="17">
        <f>IF(A2501=A2502,_xll.ciqfunctions.udf.CIQ(A2493,"IQ_TOTAL_OUTSTANDING_FILING_DATE",IQ_FY-8), _xll.ciqfunctions.udf.CIQ(A2493, "IQ_TOTAL_OUTSTANDING_FILING_DATE",IQ_FY-7))</f>
        <v>0</v>
      </c>
      <c r="J2495" s="17">
        <f>IF(A2501=A2502,_xll.ciqfunctions.udf.CIQ(A2493,"IQ_CASH_OPER",IQ_FY-8), _xll.ciqfunctions.udf.CIQ(A2493, "IQ_CASH_OPER",IQ_FY-7))</f>
        <v>0</v>
      </c>
      <c r="K2495" s="17">
        <f>IF(A2501=A2502,_xll.ciqfunctions.udf.CIQ(A2493,"IQ_CAPEX",IQ_FY-8), _xll.ciqfunctions.udf.CIQ(A2493, "IQ_CAPEX",IQ_FY-7))</f>
        <v>0</v>
      </c>
      <c r="L2495" s="15" t="e">
        <f t="shared" si="664"/>
        <v>#DIV/0!</v>
      </c>
      <c r="M2495" s="17">
        <f>IF(A2501=A2502,_xll.ciqfunctions.udf.CIQ(A2493,"IQ_TOTAL_DEBT_ISSUED",IQ_FY-8), _xll.ciqfunctions.udf.CIQ(A2493, "IQ_TOTAL_DEBT_ISSUED",IQ_FY-7))</f>
        <v>0</v>
      </c>
      <c r="N2495" s="17">
        <f>IF(A2501=A2502,_xll.ciqfunctions.udf.CIQ(A2493,"IQ_TOTAL_DEBT_REPAID",IQ_FY-8), _xll.ciqfunctions.udf.CIQ(A2493, "IQ_TOTAL_DEBT_REPAID",IQ_FY-7))</f>
        <v>0</v>
      </c>
      <c r="O2495" s="15" t="e">
        <f t="shared" si="665"/>
        <v>#DIV/0!</v>
      </c>
      <c r="P2495" s="15" t="e">
        <f t="shared" si="666"/>
        <v>#DIV/0!</v>
      </c>
      <c r="Q2495" s="25" t="s">
        <v>21</v>
      </c>
      <c r="R2495" s="38" t="s">
        <v>49</v>
      </c>
      <c r="S2495" s="2">
        <f>(R2492*I2503)/1000</f>
        <v>1.2370831452</v>
      </c>
      <c r="U2495" s="25" t="s">
        <v>59</v>
      </c>
      <c r="V2495" s="38" t="s">
        <v>49</v>
      </c>
      <c r="W2495" s="2">
        <f>(V2492*I2503)/1000</f>
        <v>1.2370831452</v>
      </c>
      <c r="Y2495" s="25" t="s">
        <v>46</v>
      </c>
      <c r="Z2495" s="38" t="s">
        <v>49</v>
      </c>
      <c r="AA2495" s="2">
        <f>(Z2492*I2503)/1000</f>
        <v>1.2370831452</v>
      </c>
    </row>
    <row r="2496" spans="1:27">
      <c r="A2496" s="18"/>
      <c r="B2496" s="13">
        <v>4</v>
      </c>
      <c r="C2496" s="14" t="s">
        <v>22</v>
      </c>
      <c r="D2496" s="15" t="e" cm="1">
        <f t="array" ref="D2496">_xlfn.SINGLE(IF(A2501=A2502,_xll.ciqfunctions.udf.CIQ(A2493,"IQ_TOTAL_REV",IQ_FY-7)/I2496, _xll.ciqfunctions.udf.CIQ(A2493, "IQ_TOTAL_REV",IQ_FY-6)/I2496))</f>
        <v>#DIV/0!</v>
      </c>
      <c r="E2496" s="16" t="e">
        <f t="shared" si="667"/>
        <v>#DIV/0!</v>
      </c>
      <c r="F2496" s="15">
        <f>IF(A2501=A2502,_xll.ciqfunctions.udf.CIQ(A2493,"IQ_DILUT_EPS_EXCL",IQ_FY-7), _xll.ciqfunctions.udf.CIQ(A2493, "IQ_DILUT_EPS_EXCL",IQ_FY-6))</f>
        <v>0</v>
      </c>
      <c r="G2496" s="15">
        <f>IF(A2501=A2502,_xll.ciqfunctions.udf.CIQ(A2493,"IQ_EBITDA_MARGIN",IQ_FY-7), _xll.ciqfunctions.udf.CIQ(A2493, "IQ_EBITDA_MARGIN",IQ_FY-6))</f>
        <v>0</v>
      </c>
      <c r="H2496" s="15" t="e">
        <f>IF(A2501=A2502,_xll.ciqfunctions.udf.CIQ(A2493,"IQ_TOTAL_DIV_PAID_CF",IQ_FY-7)/-I2496, _xll.ciqfunctions.udf.CIQ(A2493, "IQ_TOTAL_DIV_PAID_CF",IQ_FY-6)/-I2496)</f>
        <v>#DIV/0!</v>
      </c>
      <c r="I2496" s="17">
        <f>IF(A2501=A2502,_xll.ciqfunctions.udf.CIQ(A2493,"IQ_TOTAL_OUTSTANDING_FILING_DATE",IQ_FY-7), _xll.ciqfunctions.udf.CIQ(A2493, "IQ_TOTAL_OUTSTANDING_FILING_DATE",IQ_FY-6))</f>
        <v>0</v>
      </c>
      <c r="J2496" s="17">
        <f>IF(A2501=A2502,_xll.ciqfunctions.udf.CIQ(A2493,"IQ_CASH_OPER",IQ_FY-7), _xll.ciqfunctions.udf.CIQ(A2493, "IQ_CASH_OPER",IQ_FY-6))</f>
        <v>0</v>
      </c>
      <c r="K2496" s="17">
        <f>IF(A2501=A2502,_xll.ciqfunctions.udf.CIQ(A2493,"IQ_CAPEX",IQ_FY-7), _xll.ciqfunctions.udf.CIQ(A2493, "IQ_CAPEX",IQ_FY-6))</f>
        <v>0</v>
      </c>
      <c r="L2496" s="15" t="e">
        <f t="shared" si="664"/>
        <v>#DIV/0!</v>
      </c>
      <c r="M2496" s="17">
        <f>IF(A2501=A2502,_xll.ciqfunctions.udf.CIQ(A2493,"IQ_TOTAL_DEBT_ISSUED",IQ_FY-7), _xll.ciqfunctions.udf.CIQ(A2493, "IQ_TOTAL_DEBT_ISSUED",IQ_FY-6))</f>
        <v>0</v>
      </c>
      <c r="N2496" s="17">
        <f>IF(A2501=A2502,_xll.ciqfunctions.udf.CIQ(A2493,"IQ_TOTAL_DEBT_REPAID",IQ_FY-7), _xll.ciqfunctions.udf.CIQ(A2493, "IQ_TOTAL_DEBT_REPAID",IQ_FY-6))</f>
        <v>0</v>
      </c>
      <c r="O2496" s="15" t="e">
        <f t="shared" si="665"/>
        <v>#DIV/0!</v>
      </c>
      <c r="P2496" s="15" t="e">
        <f t="shared" si="666"/>
        <v>#DIV/0!</v>
      </c>
      <c r="Q2496" s="25" t="s">
        <v>23</v>
      </c>
      <c r="R2496" s="38" t="s">
        <v>24</v>
      </c>
      <c r="S2496" s="1" t="e">
        <f>R2492/(AVERAGE(H2498:H2503)*(1+H2504)/(0.5-H2504))</f>
        <v>#DIV/0!</v>
      </c>
      <c r="U2496" s="25" t="s">
        <v>40</v>
      </c>
      <c r="V2496" s="38" t="s">
        <v>24</v>
      </c>
      <c r="W2496" s="1" t="e">
        <f>V2492/(AVERAGE(H2498:H2503)*(1+H2504)/(0.5-H2504))</f>
        <v>#DIV/0!</v>
      </c>
      <c r="Y2496" s="25" t="s">
        <v>47</v>
      </c>
      <c r="Z2496" s="38" t="s">
        <v>24</v>
      </c>
      <c r="AA2496" s="1" t="e">
        <f>Z2492/(AVERAGE(H2498:H2503)*(1+H2504)/(0.5-H2504))</f>
        <v>#DIV/0!</v>
      </c>
    </row>
    <row r="2497" spans="1:27">
      <c r="B2497" s="13">
        <v>5</v>
      </c>
      <c r="C2497" s="14" t="s">
        <v>25</v>
      </c>
      <c r="D2497" s="15" t="e" cm="1">
        <f t="array" ref="D2497">_xlfn.SINGLE(IF(A2501=A2502,_xll.ciqfunctions.udf.CIQ(A2493,"IQ_TOTAL_REV",IQ_FY-6)/I2497, _xll.ciqfunctions.udf.CIQ(A2493, "IQ_TOTAL_REV",IQ_FY-5)/I2497))</f>
        <v>#DIV/0!</v>
      </c>
      <c r="E2497" s="16" t="e">
        <f t="shared" si="667"/>
        <v>#DIV/0!</v>
      </c>
      <c r="F2497" s="15">
        <f>IF(A2501=A2502,_xll.ciqfunctions.udf.CIQ(A2493,"IQ_DILUT_EPS_EXCL",IQ_FY-6), _xll.ciqfunctions.udf.CIQ(A2493, "IQ_DILUT_EPS_EXCL",IQ_FY-5))</f>
        <v>0</v>
      </c>
      <c r="G2497" s="15">
        <f>IF(A2501=A2502,_xll.ciqfunctions.udf.CIQ(A2493,"IQ_EBITDA_MARGIN",IQ_FY-6), _xll.ciqfunctions.udf.CIQ(A2493, "IQ_EBITDA_MARGIN",IQ_FY-5))</f>
        <v>0</v>
      </c>
      <c r="H2497" s="15" t="e">
        <f>IF(A2501=A2502,_xll.ciqfunctions.udf.CIQ(A2493,"IQ_TOTAL_DIV_PAID_CF",IQ_FY-6)/-I2497, _xll.ciqfunctions.udf.CIQ(A2493, "IQ_TOTAL_DIV_PAID_CF",IQ_FY-5)/-I2497)</f>
        <v>#DIV/0!</v>
      </c>
      <c r="I2497" s="17">
        <f>IF(A2501=A2502,_xll.ciqfunctions.udf.CIQ(A2493,"IQ_TOTAL_OUTSTANDING_FILING_DATE",IQ_FY-6), _xll.ciqfunctions.udf.CIQ(A2493, "IQ_TOTAL_OUTSTANDING_FILING_DATE",IQ_FY-5))</f>
        <v>0</v>
      </c>
      <c r="J2497" s="17">
        <f>IF(A2501=A2502,_xll.ciqfunctions.udf.CIQ(A2493,"IQ_CASH_OPER",IQ_FY-6), _xll.ciqfunctions.udf.CIQ(A2493, "IQ_CASH_OPER",IQ_FY-5))</f>
        <v>0</v>
      </c>
      <c r="K2497" s="17">
        <f>IF(A2501=A2502,_xll.ciqfunctions.udf.CIQ(A2493,"IQ_CAPEX",IQ_FY-6), _xll.ciqfunctions.udf.CIQ(A2493, "IQ_CAPEX",IQ_FY-5))</f>
        <v>0</v>
      </c>
      <c r="L2497" s="15" t="e">
        <f t="shared" si="664"/>
        <v>#DIV/0!</v>
      </c>
      <c r="M2497" s="17">
        <f>IF(A2501=A2502,_xll.ciqfunctions.udf.CIQ(A2493,"IQ_TOTAL_DEBT_ISSUED",IQ_FY-6), _xll.ciqfunctions.udf.CIQ(A2493, "IQ_TOTAL_DEBT_ISSUED",IQ_FY-5))</f>
        <v>0</v>
      </c>
      <c r="N2497" s="17">
        <f>IF(A2501=A2502,_xll.ciqfunctions.udf.CIQ(A2493,"IQ_TOTAL_DEBT_REPAID",IQ_FY-6), _xll.ciqfunctions.udf.CIQ(A2493, "IQ_TOTAL_DEBT_REPAID",IQ_FY-5))</f>
        <v>0</v>
      </c>
      <c r="O2497" s="15" t="e">
        <f t="shared" si="665"/>
        <v>#DIV/0!</v>
      </c>
      <c r="P2497" s="15" t="e">
        <f t="shared" si="666"/>
        <v>#DIV/0!</v>
      </c>
      <c r="Q2497" s="18"/>
      <c r="R2497" s="38" t="s">
        <v>50</v>
      </c>
      <c r="S2497" s="3" t="e">
        <f>I2504</f>
        <v>#DIV/0!</v>
      </c>
      <c r="U2497" s="18"/>
      <c r="V2497" s="38" t="s">
        <v>50</v>
      </c>
      <c r="W2497" s="3" t="e">
        <f>I2504</f>
        <v>#DIV/0!</v>
      </c>
      <c r="Y2497" s="18"/>
      <c r="Z2497" s="38" t="s">
        <v>50</v>
      </c>
      <c r="AA2497" s="3" t="e">
        <f>I2504</f>
        <v>#DIV/0!</v>
      </c>
    </row>
    <row r="2498" spans="1:27">
      <c r="B2498" s="13">
        <v>6</v>
      </c>
      <c r="C2498" s="14" t="s">
        <v>26</v>
      </c>
      <c r="D2498" s="15" t="e" cm="1">
        <f t="array" ref="D2498">_xlfn.SINGLE(IF(A2501=A2502,_xll.ciqfunctions.udf.CIQ(A2493,"IQ_TOTAL_REV",IQ_FY-5)/I2498, _xll.ciqfunctions.udf.CIQ(A2493, "IQ_TOTAL_REV",IQ_FY-4)/I2498))</f>
        <v>#DIV/0!</v>
      </c>
      <c r="E2498" s="16" t="e">
        <f t="shared" si="667"/>
        <v>#DIV/0!</v>
      </c>
      <c r="F2498" s="15">
        <f>IF(A2501=A2502,_xll.ciqfunctions.udf.CIQ(A2493,"IQ_DILUT_EPS_EXCL",IQ_FY-5), _xll.ciqfunctions.udf.CIQ(A2493, "IQ_DILUT_EPS_EXCL",IQ_FY-4))</f>
        <v>0</v>
      </c>
      <c r="G2498" s="15">
        <f>IF(A2501=A2502,_xll.ciqfunctions.udf.CIQ(A2493,"IQ_EBITDA_MARGIN",IQ_FY-5), _xll.ciqfunctions.udf.CIQ(A2493, "IQ_EBITDA_MARGIN",IQ_FY-4))</f>
        <v>0</v>
      </c>
      <c r="H2498" s="15" t="e">
        <f>IF(A2501=A2502,_xll.ciqfunctions.udf.CIQ(A2493,"IQ_TOTAL_DIV_PAID_CF",IQ_FY-5)/-I2498, _xll.ciqfunctions.udf.CIQ(A2493, "IQ_TOTAL_DIV_PAID_CF",IQ_FY-4)/-I2498)</f>
        <v>#DIV/0!</v>
      </c>
      <c r="I2498" s="17">
        <f>IF(A2501=A2502,_xll.ciqfunctions.udf.CIQ(A2493,"IQ_TOTAL_OUTSTANDING_FILING_DATE",IQ_FY-5), _xll.ciqfunctions.udf.CIQ(A2493, "IQ_TOTAL_OUTSTANDING_FILING_DATE",IQ_FY-4))</f>
        <v>0</v>
      </c>
      <c r="J2498" s="17">
        <f>IF(A2501=A2502,_xll.ciqfunctions.udf.CIQ(A2493,"IQ_CASH_OPER",IQ_FY-5), _xll.ciqfunctions.udf.CIQ(A2493, "IQ_CASH_OPER",IQ_FY-4))</f>
        <v>0</v>
      </c>
      <c r="K2498" s="17">
        <f>IF(A2501=A2502,_xll.ciqfunctions.udf.CIQ(A2493,"IQ_CAPEX",IQ_FY-5), _xll.ciqfunctions.udf.CIQ(A2493, "IQ_CAPEX",IQ_FY-4))</f>
        <v>0</v>
      </c>
      <c r="L2498" s="15" t="e">
        <f t="shared" si="664"/>
        <v>#DIV/0!</v>
      </c>
      <c r="M2498" s="17">
        <f>IF(A2501=A2502,_xll.ciqfunctions.udf.CIQ(A2493,"IQ_TOTAL_DEBT_ISSUED",IQ_FY-5), _xll.ciqfunctions.udf.CIQ(A2493, "IQ_TOTAL_DEBT_ISSUED",IQ_FY-4))</f>
        <v>0</v>
      </c>
      <c r="N2498" s="17">
        <f>IF(A2501=A2502,_xll.ciqfunctions.udf.CIQ(A2493,"IQ_TOTAL_DEBT_REPAID",IQ_FY-5), _xll.ciqfunctions.udf.CIQ(A2493, "IQ_TOTAL_DEBT_REPAID",IQ_FY-4))</f>
        <v>0</v>
      </c>
      <c r="O2498" s="15" t="e">
        <f t="shared" si="665"/>
        <v>#DIV/0!</v>
      </c>
      <c r="P2498" s="15" t="e">
        <f t="shared" si="666"/>
        <v>#DIV/0!</v>
      </c>
      <c r="Q2498" s="25" t="s">
        <v>27</v>
      </c>
      <c r="R2498" s="38" t="s">
        <v>51</v>
      </c>
      <c r="S2498" s="4" t="e">
        <f>AVERAGE(F2498:F2503)/AVERAGE(D2498:D2503)</f>
        <v>#DIV/0!</v>
      </c>
      <c r="U2498" s="25" t="s">
        <v>58</v>
      </c>
      <c r="V2498" s="38" t="s">
        <v>51</v>
      </c>
      <c r="W2498" s="4" t="e">
        <f>AVERAGE(F2498:F2503)/AVERAGE(D2498:D2503)</f>
        <v>#DIV/0!</v>
      </c>
      <c r="Y2498" s="25" t="s">
        <v>56</v>
      </c>
      <c r="Z2498" s="38" t="s">
        <v>51</v>
      </c>
      <c r="AA2498" s="4" t="e">
        <f>AVERAGE(F2498:F2503)/AVERAGE(D2498:D2503)</f>
        <v>#DIV/0!</v>
      </c>
    </row>
    <row r="2499" spans="1:27">
      <c r="A2499" s="18"/>
      <c r="B2499" s="13">
        <v>7</v>
      </c>
      <c r="C2499" s="14" t="s">
        <v>28</v>
      </c>
      <c r="D2499" s="15" cm="1">
        <f t="array" ref="D2499">_xlfn.SINGLE(IF(A2501=A2502,_xll.ciqfunctions.udf.CIQ(A2493,"IQ_TOTAL_REV",IQ_FY-4)/I2499, _xll.ciqfunctions.udf.CIQ(A2493, "IQ_TOTAL_REV",IQ_FY-3)/I2499))</f>
        <v>2.7800428042296748</v>
      </c>
      <c r="E2499" s="16" t="e">
        <f t="shared" si="667"/>
        <v>#DIV/0!</v>
      </c>
      <c r="F2499" s="15">
        <f>IF(A2501=A2502,_xll.ciqfunctions.udf.CIQ(A2493,"IQ_DILUT_EPS_EXCL",IQ_FY-4), _xll.ciqfunctions.udf.CIQ(A2493, "IQ_DILUT_EPS_EXCL",IQ_FY-3))</f>
        <v>0.1</v>
      </c>
      <c r="G2499" s="15">
        <f>IF(A2501=A2502,_xll.ciqfunctions.udf.CIQ(A2493,"IQ_EBITDA_MARGIN",IQ_FY-4), _xll.ciqfunctions.udf.CIQ(A2493, "IQ_EBITDA_MARGIN",IQ_FY-3))</f>
        <v>12.6479</v>
      </c>
      <c r="H2499" s="15">
        <f>IF(A2501=A2502,_xll.ciqfunctions.udf.CIQ(A2493,"IQ_TOTAL_DIV_PAID_CF",IQ_FY-4)/-I2499, _xll.ciqfunctions.udf.CIQ(A2493, "IQ_TOTAL_DIV_PAID_CF",IQ_FY-3)/-I2499)</f>
        <v>0.68043798749196571</v>
      </c>
      <c r="I2499" s="17">
        <f>IF(A2501=A2502,_xll.ciqfunctions.udf.CIQ(A2493,"IQ_TOTAL_OUTSTANDING_FILING_DATE",IQ_FY-4), _xll.ciqfunctions.udf.CIQ(A2493, "IQ_TOTAL_OUTSTANDING_FILING_DATE",IQ_FY-3))</f>
        <v>277.76227</v>
      </c>
      <c r="J2499" s="17">
        <f>IF(A2501=A2502,_xll.ciqfunctions.udf.CIQ(A2493,"IQ_CASH_OPER",IQ_FY-4), _xll.ciqfunctions.udf.CIQ(A2493, "IQ_CASH_OPER",IQ_FY-3))</f>
        <v>29.271000000000001</v>
      </c>
      <c r="K2499" s="17">
        <f>IF(A2501=A2502,_xll.ciqfunctions.udf.CIQ(A2493,"IQ_CAPEX",IQ_FY-4), _xll.ciqfunctions.udf.CIQ(A2493, "IQ_CAPEX",IQ_FY-3))</f>
        <v>-18.696000000000002</v>
      </c>
      <c r="L2499" s="15">
        <f t="shared" si="664"/>
        <v>3.8072125490621889E-2</v>
      </c>
      <c r="M2499" s="17">
        <f>IF(A2501=A2502,_xll.ciqfunctions.udf.CIQ(A2493,"IQ_TOTAL_DEBT_ISSUED",IQ_FY-4), _xll.ciqfunctions.udf.CIQ(A2493, "IQ_TOTAL_DEBT_ISSUED",IQ_FY-3))</f>
        <v>185</v>
      </c>
      <c r="N2499" s="17">
        <f>IF(A2501=A2502,_xll.ciqfunctions.udf.CIQ(A2493,"IQ_TOTAL_DEBT_REPAID",IQ_FY-4), _xll.ciqfunctions.udf.CIQ(A2493, "IQ_TOTAL_DEBT_REPAID",IQ_FY-3))</f>
        <v>-4.0990000000000002</v>
      </c>
      <c r="O2499" s="15">
        <f t="shared" si="665"/>
        <v>0.65127995965758778</v>
      </c>
      <c r="P2499" s="15">
        <f t="shared" si="666"/>
        <v>0.68935208514820967</v>
      </c>
      <c r="Q2499" s="18"/>
      <c r="R2499" s="38" t="s">
        <v>29</v>
      </c>
      <c r="S2499" s="4" t="e">
        <f>(AVERAGE(P2498:P2503)/_xlfn.STDEV.P(P2498:P2503))/(IF(A2501=A2502,(_xlfn.SINGLE(_xll.ciqfunctions.udf.CIQ(A2493,"IQ_total_assets",IQ_FY)) - _xlfn.SINGLE(_xll.ciqfunctions.udf.CIQ(A2493,"iq_gw_intan", IQ_FY)))/I2503, (_xlfn.SINGLE(_xll.ciqfunctions.udf.CIQ(A2493, "IQ_total_assets",IQ_LTM))-_xlfn.SINGLE(_xll.ciqfunctions.udf.CIQ(A2493,"iq_gw_intan",IQ_LTM)))/I2503))</f>
        <v>#DIV/0!</v>
      </c>
      <c r="U2499" s="18"/>
      <c r="V2499" s="38" t="s">
        <v>29</v>
      </c>
      <c r="W2499" s="4" t="e">
        <f>(AVERAGE(P2498:P2503)/_xlfn.STDEV.P(P2498:P2503))/(IF(A2501=A2502,(_xlfn.SINGLE(_xll.ciqfunctions.udf.CIQ(A2493,"IQ_total_assets",IQ_FY)) - _xlfn.SINGLE(_xll.ciqfunctions.udf.CIQ(A2493,"iq_gw_intan", IQ_FY)))/I2503, (_xlfn.SINGLE(_xll.ciqfunctions.udf.CIQ(A2493, "IQ_total_assets",IQ_LTM))-_xlfn.SINGLE(_xll.ciqfunctions.udf.CIQ(A2493,"iq_gw_intan",IQ_LTM)))/I2503))</f>
        <v>#DIV/0!</v>
      </c>
      <c r="Y2499" s="18"/>
      <c r="Z2499" s="38" t="s">
        <v>29</v>
      </c>
      <c r="AA2499" s="4" t="e">
        <f>(AVERAGE(P2498:P2503)/_xlfn.STDEV.P(P2498:P2503))/(IF(A2501=A2502,(_xlfn.SINGLE(_xll.ciqfunctions.udf.CIQ(A2493,"IQ_total_assets",IQ_FY)) - _xlfn.SINGLE(_xll.ciqfunctions.udf.CIQ(A2493,"iq_gw_intan", IQ_FY)))/I2503, (_xlfn.SINGLE(_xll.ciqfunctions.udf.CIQ(A2493, "IQ_total_assets",IQ_LTM))-_xlfn.SINGLE(_xll.ciqfunctions.udf.CIQ(A2493,"iq_gw_intan",IQ_LTM)))/I2503))</f>
        <v>#DIV/0!</v>
      </c>
    </row>
    <row r="2500" spans="1:27">
      <c r="A2500" s="18"/>
      <c r="B2500" s="13">
        <v>8</v>
      </c>
      <c r="C2500" s="14" t="s">
        <v>30</v>
      </c>
      <c r="D2500" s="15" cm="1">
        <f t="array" ref="D2500">_xlfn.SINGLE(IF(A2501=A2502,_xll.ciqfunctions.udf.CIQ(A2493,"IQ_TOTAL_REV",IQ_FY-3)/I2500, _xll.ciqfunctions.udf.CIQ(A2493, "IQ_TOTAL_REV",IQ_FY-2)/I2500))</f>
        <v>2.885198149680722</v>
      </c>
      <c r="E2500" s="16">
        <f t="shared" si="667"/>
        <v>3.782508143078208E-2</v>
      </c>
      <c r="F2500" s="15">
        <f>IF(A2501=A2502,_xll.ciqfunctions.udf.CIQ(A2493,"IQ_DILUT_EPS_EXCL",IQ_FY-3), _xll.ciqfunctions.udf.CIQ(A2493, "IQ_DILUT_EPS_EXCL",IQ_FY-2))</f>
        <v>0.26</v>
      </c>
      <c r="G2500" s="15">
        <f>IF(A2501=A2502,_xll.ciqfunctions.udf.CIQ(A2493,"IQ_EBITDA_MARGIN",IQ_FY-3), _xll.ciqfunctions.udf.CIQ(A2493, "IQ_EBITDA_MARGIN",IQ_FY-2))</f>
        <v>17.863800000000001</v>
      </c>
      <c r="H2500" s="15">
        <f>IF(A2501=A2502,_xll.ciqfunctions.udf.CIQ(A2493,"IQ_TOTAL_DIV_PAID_CF",IQ_FY-3)/-I2500, _xll.ciqfunctions.udf.CIQ(A2493, "IQ_TOTAL_DIV_PAID_CF",IQ_FY-2)/-I2500)</f>
        <v>0</v>
      </c>
      <c r="I2500" s="17">
        <f>IF(A2501=A2502,_xll.ciqfunctions.udf.CIQ(A2493,"IQ_TOTAL_OUTSTANDING_FILING_DATE",IQ_FY-3), _xll.ciqfunctions.udf.CIQ(A2493, "IQ_TOTAL_OUTSTANDING_FILING_DATE",IQ_FY-2))</f>
        <v>278.44708000000003</v>
      </c>
      <c r="J2500" s="17">
        <f>IF(A2501=A2502,_xll.ciqfunctions.udf.CIQ(A2493,"IQ_CASH_OPER",IQ_FY-3), _xll.ciqfunctions.udf.CIQ(A2493, "IQ_CASH_OPER",IQ_FY-2))</f>
        <v>125.29600000000001</v>
      </c>
      <c r="K2500" s="17">
        <f>IF(A2501=A2502,_xll.ciqfunctions.udf.CIQ(A2493,"IQ_CAPEX",IQ_FY-3), _xll.ciqfunctions.udf.CIQ(A2493, "IQ_CAPEX",IQ_FY-2))</f>
        <v>-15.125</v>
      </c>
      <c r="L2500" s="15">
        <f t="shared" si="664"/>
        <v>0.395662256540812</v>
      </c>
      <c r="M2500" s="17">
        <f>IF(A2501=A2502,_xll.ciqfunctions.udf.CIQ(A2493,"IQ_TOTAL_DEBT_ISSUED",IQ_FY-3), _xll.ciqfunctions.udf.CIQ(A2493, "IQ_TOTAL_DEBT_ISSUED",IQ_FY-2))</f>
        <v>29</v>
      </c>
      <c r="N2500" s="17">
        <f>IF(A2501=A2502,_xll.ciqfunctions.udf.CIQ(A2493,"IQ_TOTAL_DEBT_REPAID",IQ_FY-3), _xll.ciqfunctions.udf.CIQ(A2493, "IQ_TOTAL_DEBT_REPAID",IQ_FY-2))</f>
        <v>-33.564999999999998</v>
      </c>
      <c r="O2500" s="15">
        <f t="shared" si="665"/>
        <v>-1.6394497654635118E-2</v>
      </c>
      <c r="P2500" s="15">
        <f t="shared" si="666"/>
        <v>0.37926775888617686</v>
      </c>
      <c r="Q2500" s="18"/>
      <c r="R2500" s="39" t="s">
        <v>31</v>
      </c>
      <c r="S2500" s="5" t="e">
        <f>IF(NOT(D2493&gt;0),FALSE,SLOPE(G2493:G2503,B2493:B2503))</f>
        <v>#DIV/0!</v>
      </c>
      <c r="U2500" s="18"/>
      <c r="V2500" s="39" t="s">
        <v>31</v>
      </c>
      <c r="W2500" s="5" t="e">
        <f>IF(NOT(D2493&gt;0),FALSE,SLOPE(G2493:G2503,B2493:B2503))</f>
        <v>#DIV/0!</v>
      </c>
      <c r="Y2500" s="18"/>
      <c r="Z2500" s="39" t="s">
        <v>31</v>
      </c>
      <c r="AA2500" s="5" t="e">
        <f>IF(NOT(L2493&gt;0),FALSE,SLOPE(O2493:O2503,J2493:J2503))</f>
        <v>#DIV/0!</v>
      </c>
    </row>
    <row r="2501" spans="1:27">
      <c r="A2501" s="19">
        <f>_xll.ciqfunctions.udf.CIQ(A2493,"IQ_TOTAL_REV",IQ_FY)</f>
        <v>1296.2380000000001</v>
      </c>
      <c r="B2501" s="13">
        <v>9</v>
      </c>
      <c r="C2501" s="14" t="s">
        <v>32</v>
      </c>
      <c r="D2501" s="15" cm="1">
        <f t="array" ref="D2501">_xlfn.SINGLE(IF(A2501=A2502,_xll.ciqfunctions.udf.CIQ(A2493,"IQ_TOTAL_REV",IQ_FY-2)/I2501, _xll.ciqfunctions.udf.CIQ(A2493, "IQ_TOTAL_REV",IQ_FY-1)/I2501))</f>
        <v>3.506496758224583</v>
      </c>
      <c r="E2501" s="16">
        <f t="shared" si="667"/>
        <v>0.21534001351436272</v>
      </c>
      <c r="F2501" s="15">
        <f>IF(A2501=A2502,_xll.ciqfunctions.udf.CIQ(A2493,"IQ_DILUT_EPS_EXCL",IQ_FY-2), _xll.ciqfunctions.udf.CIQ(A2493, "IQ_DILUT_EPS_EXCL",IQ_FY-1))</f>
        <v>-0.24</v>
      </c>
      <c r="G2501" s="15">
        <f>IF(A2501=A2502,_xll.ciqfunctions.udf.CIQ(A2493,"IQ_EBITDA_MARGIN",IQ_FY-2), _xll.ciqfunctions.udf.CIQ(A2493, "IQ_EBITDA_MARGIN",IQ_FY-1))</f>
        <v>7.1113999999999997</v>
      </c>
      <c r="H2501" s="15">
        <f>IF(A2501=A2502,_xll.ciqfunctions.udf.CIQ(A2493,"IQ_TOTAL_DIV_PAID_CF",IQ_FY-2)/-I2501, _xll.ciqfunctions.udf.CIQ(A2493, "IQ_TOTAL_DIV_PAID_CF",IQ_FY-1)/-I2501)</f>
        <v>1.032349324807367</v>
      </c>
      <c r="I2501" s="17">
        <f>IF(A2501=A2502,_xll.ciqfunctions.udf.CIQ(A2493,"IQ_TOTAL_OUTSTANDING_FILING_DATE",IQ_FY-2), _xll.ciqfunctions.udf.CIQ(A2493, "IQ_TOTAL_OUTSTANDING_FILING_DATE",IQ_FY-1))</f>
        <v>305.13218000000001</v>
      </c>
      <c r="J2501" s="17">
        <f>IF(A2501=A2502,_xll.ciqfunctions.udf.CIQ(A2493,"IQ_CASH_OPER",IQ_FY-2), _xll.ciqfunctions.udf.CIQ(A2493, "IQ_CASH_OPER",IQ_FY-1))</f>
        <v>118.304</v>
      </c>
      <c r="K2501" s="17">
        <f>IF(A2501=A2502,_xll.ciqfunctions.udf.CIQ(A2493,"IQ_CAPEX",IQ_FY-2), _xll.ciqfunctions.udf.CIQ(A2493, "IQ_CAPEX",IQ_FY-1))</f>
        <v>-26.068000000000001</v>
      </c>
      <c r="L2501" s="15">
        <f t="shared" si="664"/>
        <v>0.30228211262410931</v>
      </c>
      <c r="M2501" s="17">
        <f>IF(A2501=A2502,_xll.ciqfunctions.udf.CIQ(A2493,"IQ_TOTAL_DEBT_ISSUED",IQ_FY-2), _xll.ciqfunctions.udf.CIQ(A2493, "IQ_TOTAL_DEBT_ISSUED",IQ_FY-1))</f>
        <v>401.28500000000003</v>
      </c>
      <c r="N2501" s="17">
        <f>IF(A2501=A2502,_xll.ciqfunctions.udf.CIQ(A2493,"IQ_TOTAL_DEBT_REPAID",IQ_FY-2), _xll.ciqfunctions.udf.CIQ(A2493, "IQ_TOTAL_DEBT_REPAID",IQ_FY-1))</f>
        <v>-336.709</v>
      </c>
      <c r="O2501" s="15">
        <f t="shared" si="665"/>
        <v>0.21163287333377956</v>
      </c>
      <c r="P2501" s="15">
        <f t="shared" si="666"/>
        <v>0.51391498595788887</v>
      </c>
      <c r="Q2501" s="25" t="s">
        <v>33</v>
      </c>
      <c r="R2501" s="38" t="s">
        <v>52</v>
      </c>
      <c r="S2501" s="4" t="e">
        <f>(AVERAGE(O2498:O2503)/AVERAGE(P2498:P2503))</f>
        <v>#DIV/0!</v>
      </c>
      <c r="U2501" s="25" t="s">
        <v>54</v>
      </c>
      <c r="V2501" s="38" t="s">
        <v>52</v>
      </c>
      <c r="W2501" s="4" t="e">
        <f>(AVERAGE(O2498:O2503)/AVERAGE(P2498:P2503))</f>
        <v>#DIV/0!</v>
      </c>
      <c r="Y2501" s="25" t="s">
        <v>60</v>
      </c>
      <c r="Z2501" s="38" t="s">
        <v>52</v>
      </c>
      <c r="AA2501" s="4" t="e">
        <f>(AVERAGE(O2498:O2503)/AVERAGE(P2498:P2503))</f>
        <v>#DIV/0!</v>
      </c>
    </row>
    <row r="2502" spans="1:27">
      <c r="A2502" s="19">
        <f>_xll.ciqfunctions.udf.CIQ(A2493,"IQ_TOTAL_REV",IQ_LTM)</f>
        <v>1185.174</v>
      </c>
      <c r="B2502" s="13">
        <v>10</v>
      </c>
      <c r="C2502" s="14" t="s">
        <v>34</v>
      </c>
      <c r="D2502" s="15" cm="1">
        <f t="array" ref="D2502">_xlfn.SINGLE(IF(A2501=A2502,_xll.ciqfunctions.udf.CIQ(A2493,"IQ_TOTAL_REV",IQ_FY-1)/I2502, _xll.ciqfunctions.udf.CIQ(A2493, "IQ_TOTAL_REV",IQ_FY)/I2502))</f>
        <v>4.0950106875634775</v>
      </c>
      <c r="E2502" s="16">
        <f t="shared" si="667"/>
        <v>0.16783529828126012</v>
      </c>
      <c r="F2502" s="15">
        <f>IF(A2501=A2502,_xll.ciqfunctions.udf.CIQ(A2493,"IQ_DILUT_EPS_EXCL",IQ_FY-1), _xll.ciqfunctions.udf.CIQ(A2493, "IQ_DILUT_EPS_EXCL",IQ_FY))</f>
        <v>-0.34</v>
      </c>
      <c r="G2502" s="15">
        <f>IF(A2501=A2502,_xll.ciqfunctions.udf.CIQ(A2493,"IQ_EBITDA_MARGIN",IQ_FY-1), _xll.ciqfunctions.udf.CIQ(A2493, "IQ_EBITDA_MARGIN",IQ_FY))</f>
        <v>-1.0928</v>
      </c>
      <c r="H2502" s="15">
        <f>IF(A2501=A2502,_xll.ciqfunctions.udf.CIQ(A2493,"IQ_TOTAL_DIV_PAID_CF",IQ_FY-1)/-I2502, _xll.ciqfunctions.udf.CIQ(A2493, "IQ_TOTAL_DIV_PAID_CF",IQ_FY)/-I2502)</f>
        <v>0</v>
      </c>
      <c r="I2502" s="17">
        <f>IF(A2501=A2502,_xll.ciqfunctions.udf.CIQ(A2493,"IQ_TOTAL_OUTSTANDING_FILING_DATE",IQ_FY-1), _xll.ciqfunctions.udf.CIQ(A2493, "IQ_TOTAL_OUTSTANDING_FILING_DATE",IQ_FY))</f>
        <v>316.54081000000002</v>
      </c>
      <c r="J2502" s="17">
        <f>IF(A2501=A2502,_xll.ciqfunctions.udf.CIQ(A2493,"IQ_CASH_OPER",IQ_FY-1), _xll.ciqfunctions.udf.CIQ(A2493, "IQ_CASH_OPER",IQ_FY))</f>
        <v>89.388999999999996</v>
      </c>
      <c r="K2502" s="17">
        <f>IF(A2501=A2502,_xll.ciqfunctions.udf.CIQ(A2493,"IQ_CAPEX",IQ_FY-1), _xll.ciqfunctions.udf.CIQ(A2493, "IQ_CAPEX",IQ_FY))</f>
        <v>-24.504999999999999</v>
      </c>
      <c r="L2502" s="15">
        <f t="shared" si="664"/>
        <v>0.20497830911597148</v>
      </c>
      <c r="M2502" s="17">
        <f>IF(A2501=A2502,_xll.ciqfunctions.udf.CIQ(A2493,"IQ_TOTAL_DEBT_ISSUED",IQ_FY-1), _xll.ciqfunctions.udf.CIQ(A2493, "IQ_TOTAL_DEBT_ISSUED",IQ_FY))</f>
        <v>0</v>
      </c>
      <c r="N2502" s="17">
        <f>IF(A2501=A2502,_xll.ciqfunctions.udf.CIQ(A2493,"IQ_TOTAL_DEBT_REPAID",IQ_FY-1), _xll.ciqfunctions.udf.CIQ(A2493, "IQ_TOTAL_DEBT_REPAID",IQ_FY))</f>
        <v>-107.15</v>
      </c>
      <c r="O2502" s="15">
        <f t="shared" si="665"/>
        <v>-0.33850295638025313</v>
      </c>
      <c r="P2502" s="15">
        <f t="shared" si="666"/>
        <v>-0.13352464726428165</v>
      </c>
      <c r="Q2502" s="25" t="s">
        <v>44</v>
      </c>
      <c r="R2502" s="38" t="s">
        <v>35</v>
      </c>
      <c r="S2502" s="1">
        <f>_xll.ciqfunctions.udf.CIQ(A2493,"IQ_TEV_EBITDA")</f>
        <v>15.63673</v>
      </c>
      <c r="U2502" s="25" t="s">
        <v>55</v>
      </c>
      <c r="V2502" s="38" t="s">
        <v>53</v>
      </c>
      <c r="W2502" s="1" t="e">
        <f>V2492/(AVERAGE(D2498:D2503)/_xlfn.STDEV.P(E2498:E2503))</f>
        <v>#DIV/0!</v>
      </c>
      <c r="Y2502" s="25" t="s">
        <v>57</v>
      </c>
      <c r="Z2502" s="38" t="s">
        <v>53</v>
      </c>
      <c r="AA2502" s="1" t="e">
        <f>Z2492/(AVERAGE(D2498:D2503)/_xlfn.STDEV.P(E2498:E2503))</f>
        <v>#DIV/0!</v>
      </c>
    </row>
    <row r="2503" spans="1:27">
      <c r="B2503" s="13">
        <v>11</v>
      </c>
      <c r="C2503" s="20" t="s">
        <v>36</v>
      </c>
      <c r="D2503" s="21" cm="1">
        <f t="array" ref="D2503">_xlfn.SINGLE(IF(A2501=A2502,_xll.ciqfunctions.udf.CIQ(A2493,"IQ_TOTAL_REV",IQ_FY)/I2503, _xll.ciqfunctions.udf.CIQ(A2493, "IQ_TOTAL_REV",IQ_LTM)/I2503))</f>
        <v>3.7219818311044919</v>
      </c>
      <c r="E2503" s="22">
        <f t="shared" si="667"/>
        <v>-9.1093500095585103E-2</v>
      </c>
      <c r="F2503" s="21">
        <f>IF(A2501=A2502,_xll.ciqfunctions.udf.CIQ(A2493,"IQ_DILUT_EPS_EXCL",IQ_FY), _xll.ciqfunctions.udf.CIQ(A2493, "IQ_DILUT_EPS_EXCL",IQ_LTM))</f>
        <v>-0.10291</v>
      </c>
      <c r="G2503" s="21">
        <f>IF(A2501=A2502,_xll.ciqfunctions.udf.CIQ(A2493,"IQ_EBITDA_MARGIN",IQ_FY), _xll.ciqfunctions.udf.CIQ(A2493, "IQ_EBITDA_MARGIN",IQ_LTM))</f>
        <v>6.0446999999999997</v>
      </c>
      <c r="H2503" s="21">
        <f>IF(A2501=A2502,_xll.ciqfunctions.udf.CIQ(A2493,"IQ_TOTAL_DIV_PAID_CF",IQ_FY)/-I2503, _xll.ciqfunctions.udf.CIQ(A2493, "IQ_TOTAL_DIV_PAID_CF",IQ_LTM)/-I2503)</f>
        <v>0</v>
      </c>
      <c r="I2503" s="23">
        <f>IF(A2501=A2502,_xll.ciqfunctions.udf.CIQ(A2493,"IQ_TOTAL_OUTSTANDING_FILING_DATE",IQ_FY),_xll.ciqfunctions.udf.CIQ(A2493,"IQ_sharesoutstanding"))</f>
        <v>318.42552000000001</v>
      </c>
      <c r="J2503" s="23">
        <f>IF(A2501=A2502,_xll.ciqfunctions.udf.CIQ(A2493,"IQ_CASH_OPER",IQ_FY), _xll.ciqfunctions.udf.CIQ(A2493, "IQ_CASH_OPER",IQ_LTM))</f>
        <v>55.65</v>
      </c>
      <c r="K2503" s="23">
        <f>IF(A2501=A2502,_xll.ciqfunctions.udf.CIQ(A2493,"IQ_CAPEX",IQ_FY), _xll.ciqfunctions.udf.CIQ(A2493, "IQ_CAPEX",IQ_LTM))</f>
        <v>-11.183999999999999</v>
      </c>
      <c r="L2503" s="21">
        <f t="shared" si="664"/>
        <v>0.13964333009489943</v>
      </c>
      <c r="M2503" s="23">
        <f>IF(A2501=A2502,_xll.ciqfunctions.udf.CIQ(A2493,"IQ_TOTAL_DEBT_ISSUED",IQ_FY), _xll.ciqfunctions.udf.CIQ(A2493, "IQ_TOTAL_DEBT_ISSUED",IQ_LTM))</f>
        <v>0</v>
      </c>
      <c r="N2503" s="23">
        <f>IF(A2501=A2502,_xll.ciqfunctions.udf.CIQ(A2493,"IQ_TOTAL_DEBT_REPAID",IQ_FY), _xll.ciqfunctions.udf.CIQ(A2493, "IQ_TOTAL_DEBT_REPAID",IQ_LTM))</f>
        <v>-107.15</v>
      </c>
      <c r="O2503" s="21">
        <f t="shared" si="665"/>
        <v>-0.33649941122809507</v>
      </c>
      <c r="P2503" s="21">
        <f t="shared" si="666"/>
        <v>-0.19685608113319564</v>
      </c>
      <c r="Q2503" s="25" t="s">
        <v>45</v>
      </c>
      <c r="S2503" s="45"/>
      <c r="U2503" s="25"/>
      <c r="W2503" s="45"/>
      <c r="Y2503" s="25"/>
      <c r="AA2503" s="45"/>
    </row>
    <row r="2504" spans="1:27">
      <c r="B2504" s="24"/>
      <c r="C2504" s="25" t="s">
        <v>37</v>
      </c>
      <c r="E2504" s="26" t="e">
        <f>((D2503/D2498)^(1/5))-1</f>
        <v>#DIV/0!</v>
      </c>
      <c r="F2504" s="27" t="e">
        <f>((F2503/F2498)^(1/5))-1</f>
        <v>#DIV/0!</v>
      </c>
      <c r="G2504" s="28"/>
      <c r="H2504" s="27" t="e">
        <f>((H2503/H2498)^(1/5))-1</f>
        <v>#DIV/0!</v>
      </c>
      <c r="I2504" s="27" t="e">
        <f>((I2503/I2498)^(1/5))-1</f>
        <v>#DIV/0!</v>
      </c>
      <c r="J2504" s="27"/>
      <c r="K2504" s="27"/>
      <c r="L2504" s="26" t="e">
        <f>((L2503/L2498)^(1/5))-1</f>
        <v>#DIV/0!</v>
      </c>
      <c r="M2504" s="26"/>
      <c r="N2504" s="26"/>
      <c r="O2504" s="26"/>
      <c r="P2504" s="26" t="e">
        <f>((P2503/P2498)^(1/5))-1</f>
        <v>#DIV/0!</v>
      </c>
      <c r="Q2504" s="18"/>
      <c r="R2504" s="36"/>
      <c r="S2504" s="45"/>
      <c r="U2504" s="18"/>
      <c r="V2504" s="36"/>
      <c r="W2504" s="45"/>
      <c r="Y2504" s="18"/>
      <c r="Z2504" s="36"/>
      <c r="AA2504" s="45"/>
    </row>
    <row r="2505" spans="1:27">
      <c r="A2505" s="29"/>
      <c r="B2505" s="30"/>
      <c r="C2505" s="31" t="s">
        <v>38</v>
      </c>
      <c r="D2505" s="29"/>
      <c r="E2505" s="32" t="e">
        <f>((D2503/D2493)^(1/10))-1</f>
        <v>#DIV/0!</v>
      </c>
      <c r="F2505" s="33" t="e">
        <f>((F2503/F2493)^(1/10))-1</f>
        <v>#DIV/0!</v>
      </c>
      <c r="G2505" s="34"/>
      <c r="H2505" s="33" t="e">
        <f>((H2503/H2493)^(1/10))-1</f>
        <v>#DIV/0!</v>
      </c>
      <c r="I2505" s="33" t="e">
        <f>((I2503/I2493)^(1/10))-1</f>
        <v>#DIV/0!</v>
      </c>
      <c r="J2505" s="33"/>
      <c r="K2505" s="33"/>
      <c r="L2505" s="32" t="e">
        <f>((L2503/L2493)^(1/10))-1</f>
        <v>#DIV/0!</v>
      </c>
      <c r="M2505" s="32"/>
      <c r="N2505" s="32"/>
      <c r="O2505" s="32"/>
      <c r="P2505" s="32" t="e">
        <f>((P2503/P2493)^(1/10))-1</f>
        <v>#DIV/0!</v>
      </c>
      <c r="Q2505" s="40"/>
      <c r="R2505" s="41"/>
      <c r="S2505" s="46"/>
      <c r="U2505" s="40"/>
      <c r="V2505" s="41"/>
      <c r="W2505" s="46"/>
      <c r="Y2505" s="40"/>
      <c r="Z2505" s="41"/>
      <c r="AA2505" s="46"/>
    </row>
    <row r="2506" spans="1:27">
      <c r="B2506" s="24"/>
      <c r="C2506" s="25"/>
      <c r="E2506" s="26"/>
      <c r="F2506" s="27"/>
      <c r="G2506" s="28"/>
      <c r="H2506" s="27"/>
      <c r="I2506" s="27"/>
      <c r="J2506" s="27"/>
      <c r="K2506" s="27"/>
      <c r="L2506" s="26"/>
      <c r="M2506" s="17"/>
      <c r="N2506" s="17"/>
      <c r="O2506" s="17"/>
      <c r="P2506" s="35"/>
      <c r="Q2506" s="18"/>
      <c r="R2506" s="36"/>
    </row>
    <row r="2507" spans="1:27">
      <c r="A2507" s="9" t="s">
        <v>0</v>
      </c>
      <c r="B2507" s="10"/>
      <c r="C2507" s="9" t="s">
        <v>1</v>
      </c>
      <c r="D2507" s="9" t="s">
        <v>2</v>
      </c>
      <c r="E2507" s="9" t="s">
        <v>3</v>
      </c>
      <c r="F2507" s="11" t="s">
        <v>4</v>
      </c>
      <c r="G2507" s="11" t="s">
        <v>5</v>
      </c>
      <c r="H2507" s="9" t="s">
        <v>6</v>
      </c>
      <c r="I2507" s="11" t="s">
        <v>7</v>
      </c>
      <c r="J2507" s="11" t="s">
        <v>8</v>
      </c>
      <c r="K2507" s="11" t="s">
        <v>9</v>
      </c>
      <c r="L2507" s="11" t="s">
        <v>10</v>
      </c>
      <c r="M2507" s="11" t="s">
        <v>11</v>
      </c>
      <c r="N2507" s="11" t="s">
        <v>12</v>
      </c>
      <c r="O2507" s="11" t="s">
        <v>13</v>
      </c>
      <c r="P2507" s="11" t="s">
        <v>14</v>
      </c>
      <c r="Q2507" s="37" t="s">
        <v>15</v>
      </c>
      <c r="R2507" s="42">
        <f>_xll.ciqfunctions.udf.CIQ(A2508,("IQ_LASTSALEPRICE"))</f>
        <v>7.0449999999999999</v>
      </c>
      <c r="S2507" s="44"/>
      <c r="U2507" s="37" t="s">
        <v>15</v>
      </c>
      <c r="V2507" s="42">
        <f>_xll.ciqfunctions.udf.CIQ(A2508,("IQ_LASTSALEPRICE"))</f>
        <v>7.0449999999999999</v>
      </c>
      <c r="W2507" s="44"/>
      <c r="Y2507" s="37" t="s">
        <v>15</v>
      </c>
      <c r="Z2507" s="42">
        <f>_xll.ciqfunctions.udf.CIQ(A2508,("IQ_LASTSALEPRICE"))</f>
        <v>7.0449999999999999</v>
      </c>
      <c r="AA2507" s="44"/>
    </row>
    <row r="2508" spans="1:27">
      <c r="A2508" s="12" t="str">
        <f>Analysis!B169</f>
        <v>NasdaqGM:NVTS</v>
      </c>
      <c r="B2508" s="13">
        <v>1</v>
      </c>
      <c r="C2508" s="14" t="s">
        <v>16</v>
      </c>
      <c r="D2508" s="15" t="e">
        <f>IF(A2516=A2517,_xll.ciqfunctions.udf.CIQ(A2508,"IQ_TOTAL_REV",IQ_FY-10)/I2508,_xll.ciqfunctions.udf.CIQ(A2508, "IQ_TOTAL_REV",IQ_FY-9)/I2508)</f>
        <v>#DIV/0!</v>
      </c>
      <c r="E2508" s="16"/>
      <c r="F2508" s="15">
        <f>IF(A2516=A2517,_xll.ciqfunctions.udf.CIQ(A2508,"IQ_DILUT_EPS_EXCL",IQ_FY-10), _xll.ciqfunctions.udf.CIQ(A2508, "IQ_DILUT_EPS_EXCL",IQ_FY-9))</f>
        <v>0</v>
      </c>
      <c r="G2508" s="15">
        <f>IF(A2516=A2517,_xll.ciqfunctions.udf.CIQ(A2508,"IQ_EBITDA_MARGIN",IQ_FY-10), _xll.ciqfunctions.udf.CIQ(A2508, "IQ_EBITDA_MARGIN",IQ_FY-9))</f>
        <v>0</v>
      </c>
      <c r="H2508" s="15" t="e">
        <f>IF(A2516=A2517,_xll.ciqfunctions.udf.CIQ(A2508,"IQ_TOTAL_DIV_PAID_CF",IQ_FY-10)/-I2508, _xll.ciqfunctions.udf.CIQ(A2508, "IQ_TOTAL_DIV_PAID_CF",IQ_FY-9)/-I2508)</f>
        <v>#DIV/0!</v>
      </c>
      <c r="I2508" s="17">
        <f>IF(A2516=A2517,_xll.ciqfunctions.udf.CIQ(A2508,"IQ_TOTAL_OUTSTANDING_FILING_DATE",IQ_FY-10), _xll.ciqfunctions.udf.CIQ(A2508, "IQ_TOTAL_OUTSTANDING_FILING_DATE",IQ_FY-9))</f>
        <v>0</v>
      </c>
      <c r="J2508" s="17">
        <f>IF(A2516=A2517,_xll.ciqfunctions.udf.CIQ(A2508,"IQ_CASH_OPER",IQ_FY-10), _xll.ciqfunctions.udf.CIQ(A2508, "IQ_CASH_OPER",IQ_FY-9))</f>
        <v>0</v>
      </c>
      <c r="K2508" s="17">
        <f>IF(A2516=A2517,_xll.ciqfunctions.udf.CIQ(A2508,"IQ_CAPEX",IQ_FY-10), _xll.ciqfunctions.udf.CIQ(A2508, "IQ_CAPEX",IQ_FY-9))</f>
        <v>0</v>
      </c>
      <c r="L2508" s="15" t="e">
        <f t="shared" ref="L2508:L2518" si="668">(J2508+K2508)/I2508</f>
        <v>#DIV/0!</v>
      </c>
      <c r="M2508" s="17">
        <f>IF(A2516=A2517,_xll.ciqfunctions.udf.CIQ(A2508,"IQ_TOTAL_DEBT_ISSUED",IQ_FY-10), _xll.ciqfunctions.udf.CIQ(A2508, "IQ_TOTAL_DEBT_ISSUED",IQ_FY-9))</f>
        <v>0</v>
      </c>
      <c r="N2508" s="17">
        <f>IF(A2516=A2517,_xll.ciqfunctions.udf.CIQ(A2508,"IQ_TOTAL_DEBT_REPAID",IQ_FY-10), _xll.ciqfunctions.udf.CIQ(A2508, "IQ_TOTAL_DEBT_REPAID",IQ_FY-9))</f>
        <v>0</v>
      </c>
      <c r="O2508" s="15" t="e">
        <f t="shared" ref="O2508:O2518" si="669">(M2508+N2508)/I2508</f>
        <v>#DIV/0!</v>
      </c>
      <c r="P2508" s="15" t="e">
        <f t="shared" ref="P2508:P2518" si="670">L2508+O2508</f>
        <v>#DIV/0!</v>
      </c>
      <c r="W2508" s="43"/>
      <c r="AA2508" s="43"/>
    </row>
    <row r="2509" spans="1:27">
      <c r="A2509" s="18" t="str">
        <f>_xll.ciqfunctions.udf.CIQ(A2508,"IQ_COMPANY_NAME")</f>
        <v>Navitas Semiconductor Corporation</v>
      </c>
      <c r="B2509" s="13">
        <v>2</v>
      </c>
      <c r="C2509" s="14" t="s">
        <v>17</v>
      </c>
      <c r="D2509" s="15" t="e">
        <f>IF(A2516=A2517,_xll.ciqfunctions.udf.CIQ(A2508,"IQ_TOTAL_REV",IQ_FY-9)/I2509, _xll.ciqfunctions.udf.CIQ(A2508, "IQ_TOTAL_REV",IQ_FY-8)/I2509)</f>
        <v>#DIV/0!</v>
      </c>
      <c r="E2509" s="16" t="e">
        <f t="shared" ref="E2509:E2518" si="671">(D2509-D2508)/D2508</f>
        <v>#DIV/0!</v>
      </c>
      <c r="F2509" s="15">
        <f>IF(A2516=A2517,_xll.ciqfunctions.udf.CIQ(A2508,"IQ_DILUT_EPS_EXCL",IQ_FY-9), _xll.ciqfunctions.udf.CIQ(A2508, "IQ_DILUT_EPS_EXCL",IQ_FY-8))</f>
        <v>0</v>
      </c>
      <c r="G2509" s="15">
        <f>IF(A2516=A2517,_xll.ciqfunctions.udf.CIQ(A2508,"IQ_EBITDA_MARGIN",IQ_FY-9), _xll.ciqfunctions.udf.CIQ(A2508, "IQ_EBITDA_MARGIN",IQ_FY-8))</f>
        <v>0</v>
      </c>
      <c r="H2509" s="15" t="e">
        <f>IF(A2516=A2517,_xll.ciqfunctions.udf.CIQ(A2508,"IQ_TOTAL_DIV_PAID_CF",IQ_FY-9)/-I2509, _xll.ciqfunctions.udf.CIQ(A2508, "IQ_TOTAL_DIV_PAID_CF",IQ_FY-8)/-I2509)</f>
        <v>#DIV/0!</v>
      </c>
      <c r="I2509" s="17">
        <f>IF(A2516=A2517,_xll.ciqfunctions.udf.CIQ(A2508,"IQ_TOTAL_OUTSTANDING_FILING_DATE",IQ_FY-9), _xll.ciqfunctions.udf.CIQ(A2508, "IQ_TOTAL_OUTSTANDING_FILING_DATE",IQ_FY-8))</f>
        <v>0</v>
      </c>
      <c r="J2509" s="17">
        <f>IF(A2516=A2517,_xll.ciqfunctions.udf.CIQ(A2508,"IQ_CASH_OPER",IQ_FY-9), _xll.ciqfunctions.udf.CIQ(A2508, "IQ_CASH_OPER",IQ_FY-8))</f>
        <v>0</v>
      </c>
      <c r="K2509" s="17">
        <f>IF(A2516=A2517,_xll.ciqfunctions.udf.CIQ(A2508,"IQ_CAPEX",IQ_FY-9), _xll.ciqfunctions.udf.CIQ(A2508, "IQ_CAPEX",IQ_FY-8))</f>
        <v>0</v>
      </c>
      <c r="L2509" s="15" t="e">
        <f t="shared" si="668"/>
        <v>#DIV/0!</v>
      </c>
      <c r="M2509" s="17">
        <f>IF(A2516=A2517,_xll.ciqfunctions.udf.CIQ(A2508,"IQ_TOTAL_DEBT_ISSUED",IQ_FY-9), _xll.ciqfunctions.udf.CIQ(A2508, "IQ_TOTAL_DEBT_ISSUED",IQ_FY-8))</f>
        <v>0</v>
      </c>
      <c r="N2509" s="17">
        <f>IF(A2516=A2517,_xll.ciqfunctions.udf.CIQ(A2508,"IQ_TOTAL_DEBT_REPAID",IQ_FY-9), _xll.ciqfunctions.udf.CIQ(A2508, "IQ_TOTAL_DEBT_REPAID",IQ_FY-8))</f>
        <v>0</v>
      </c>
      <c r="O2509" s="15" t="e">
        <f t="shared" si="669"/>
        <v>#DIV/0!</v>
      </c>
      <c r="P2509" s="15" t="e">
        <f t="shared" si="670"/>
        <v>#DIV/0!</v>
      </c>
      <c r="Q2509" s="25" t="s">
        <v>18</v>
      </c>
      <c r="R2509" s="39" t="s">
        <v>19</v>
      </c>
      <c r="S2509" s="1" t="e">
        <f>R2507/((AVERAGE(P2513:P2518))*(1+E2519)^3)</f>
        <v>#DIV/0!</v>
      </c>
      <c r="U2509" s="25" t="s">
        <v>48</v>
      </c>
      <c r="V2509" s="39" t="s">
        <v>19</v>
      </c>
      <c r="W2509" s="1" t="e">
        <f>V2507/((AVERAGE(P2513:P2518))*(1+E2519)^3)</f>
        <v>#DIV/0!</v>
      </c>
      <c r="Y2509" s="25" t="s">
        <v>39</v>
      </c>
      <c r="Z2509" s="39" t="s">
        <v>19</v>
      </c>
      <c r="AA2509" s="1" t="e">
        <f>Z2507/((AVERAGE(P2513:P2518))*(1+E2519)^3)</f>
        <v>#DIV/0!</v>
      </c>
    </row>
    <row r="2510" spans="1:27">
      <c r="B2510" s="13">
        <v>3</v>
      </c>
      <c r="C2510" s="14" t="s">
        <v>20</v>
      </c>
      <c r="D2510" s="15" t="e" cm="1">
        <f t="array" ref="D2510">_xlfn.SINGLE(IF(A2516=A2517,_xll.ciqfunctions.udf.CIQ(A2508,"IQ_TOTAL_REV",IQ_FY-8)/I2510, _xll.ciqfunctions.udf.CIQ(A2508, "IQ_TOTAL_REV",IQ_FY-7)/I2510))</f>
        <v>#DIV/0!</v>
      </c>
      <c r="E2510" s="16" t="e">
        <f t="shared" si="671"/>
        <v>#DIV/0!</v>
      </c>
      <c r="F2510" s="15">
        <f>IF(A2516=A2517,_xll.ciqfunctions.udf.CIQ(A2508,"IQ_DILUT_EPS_EXCL",IQ_FY-8), _xll.ciqfunctions.udf.CIQ(A2508, "IQ_DILUT_EPS_EXCL",IQ_FY-7))</f>
        <v>0</v>
      </c>
      <c r="G2510" s="15">
        <f>IF(A2516=A2517,_xll.ciqfunctions.udf.CIQ(A2508,"IQ_EBITDA_MARGIN",IQ_FY-8), _xll.ciqfunctions.udf.CIQ(A2508, "IQ_EBITDA_MARGIN",IQ_FY-7))</f>
        <v>0</v>
      </c>
      <c r="H2510" s="15" t="e">
        <f>IF(A2516=A2517,_xll.ciqfunctions.udf.CIQ(A2508,"IQ_TOTAL_DIV_PAID_CF",IQ_FY-8)/-I2510, _xll.ciqfunctions.udf.CIQ(A2508, "IQ_TOTAL_DIV_PAID_CF",IQ_FY-7)/-I2510)</f>
        <v>#DIV/0!</v>
      </c>
      <c r="I2510" s="17">
        <f>IF(A2516=A2517,_xll.ciqfunctions.udf.CIQ(A2508,"IQ_TOTAL_OUTSTANDING_FILING_DATE",IQ_FY-8), _xll.ciqfunctions.udf.CIQ(A2508, "IQ_TOTAL_OUTSTANDING_FILING_DATE",IQ_FY-7))</f>
        <v>0</v>
      </c>
      <c r="J2510" s="17">
        <f>IF(A2516=A2517,_xll.ciqfunctions.udf.CIQ(A2508,"IQ_CASH_OPER",IQ_FY-8), _xll.ciqfunctions.udf.CIQ(A2508, "IQ_CASH_OPER",IQ_FY-7))</f>
        <v>0</v>
      </c>
      <c r="K2510" s="17">
        <f>IF(A2516=A2517,_xll.ciqfunctions.udf.CIQ(A2508,"IQ_CAPEX",IQ_FY-8), _xll.ciqfunctions.udf.CIQ(A2508, "IQ_CAPEX",IQ_FY-7))</f>
        <v>0</v>
      </c>
      <c r="L2510" s="15" t="e">
        <f t="shared" si="668"/>
        <v>#DIV/0!</v>
      </c>
      <c r="M2510" s="17">
        <f>IF(A2516=A2517,_xll.ciqfunctions.udf.CIQ(A2508,"IQ_TOTAL_DEBT_ISSUED",IQ_FY-8), _xll.ciqfunctions.udf.CIQ(A2508, "IQ_TOTAL_DEBT_ISSUED",IQ_FY-7))</f>
        <v>0</v>
      </c>
      <c r="N2510" s="17">
        <f>IF(A2516=A2517,_xll.ciqfunctions.udf.CIQ(A2508,"IQ_TOTAL_DEBT_REPAID",IQ_FY-8), _xll.ciqfunctions.udf.CIQ(A2508, "IQ_TOTAL_DEBT_REPAID",IQ_FY-7))</f>
        <v>0</v>
      </c>
      <c r="O2510" s="15" t="e">
        <f t="shared" si="669"/>
        <v>#DIV/0!</v>
      </c>
      <c r="P2510" s="15" t="e">
        <f t="shared" si="670"/>
        <v>#DIV/0!</v>
      </c>
      <c r="Q2510" s="25" t="s">
        <v>21</v>
      </c>
      <c r="R2510" s="38" t="s">
        <v>49</v>
      </c>
      <c r="S2510" s="2">
        <f>(R2507*I2518)/1000</f>
        <v>1.25744972125</v>
      </c>
      <c r="U2510" s="25" t="s">
        <v>59</v>
      </c>
      <c r="V2510" s="38" t="s">
        <v>49</v>
      </c>
      <c r="W2510" s="2">
        <f>(V2507*I2518)/1000</f>
        <v>1.25744972125</v>
      </c>
      <c r="Y2510" s="25" t="s">
        <v>46</v>
      </c>
      <c r="Z2510" s="38" t="s">
        <v>49</v>
      </c>
      <c r="AA2510" s="2">
        <f>(Z2507*I2518)/1000</f>
        <v>1.25744972125</v>
      </c>
    </row>
    <row r="2511" spans="1:27">
      <c r="A2511" s="18"/>
      <c r="B2511" s="13">
        <v>4</v>
      </c>
      <c r="C2511" s="14" t="s">
        <v>22</v>
      </c>
      <c r="D2511" s="15" t="e" cm="1">
        <f t="array" ref="D2511">_xlfn.SINGLE(IF(A2516=A2517,_xll.ciqfunctions.udf.CIQ(A2508,"IQ_TOTAL_REV",IQ_FY-7)/I2511, _xll.ciqfunctions.udf.CIQ(A2508, "IQ_TOTAL_REV",IQ_FY-6)/I2511))</f>
        <v>#DIV/0!</v>
      </c>
      <c r="E2511" s="16" t="e">
        <f t="shared" si="671"/>
        <v>#DIV/0!</v>
      </c>
      <c r="F2511" s="15">
        <f>IF(A2516=A2517,_xll.ciqfunctions.udf.CIQ(A2508,"IQ_DILUT_EPS_EXCL",IQ_FY-7), _xll.ciqfunctions.udf.CIQ(A2508, "IQ_DILUT_EPS_EXCL",IQ_FY-6))</f>
        <v>0</v>
      </c>
      <c r="G2511" s="15">
        <f>IF(A2516=A2517,_xll.ciqfunctions.udf.CIQ(A2508,"IQ_EBITDA_MARGIN",IQ_FY-7), _xll.ciqfunctions.udf.CIQ(A2508, "IQ_EBITDA_MARGIN",IQ_FY-6))</f>
        <v>0</v>
      </c>
      <c r="H2511" s="15" t="e">
        <f>IF(A2516=A2517,_xll.ciqfunctions.udf.CIQ(A2508,"IQ_TOTAL_DIV_PAID_CF",IQ_FY-7)/-I2511, _xll.ciqfunctions.udf.CIQ(A2508, "IQ_TOTAL_DIV_PAID_CF",IQ_FY-6)/-I2511)</f>
        <v>#DIV/0!</v>
      </c>
      <c r="I2511" s="17">
        <f>IF(A2516=A2517,_xll.ciqfunctions.udf.CIQ(A2508,"IQ_TOTAL_OUTSTANDING_FILING_DATE",IQ_FY-7), _xll.ciqfunctions.udf.CIQ(A2508, "IQ_TOTAL_OUTSTANDING_FILING_DATE",IQ_FY-6))</f>
        <v>0</v>
      </c>
      <c r="J2511" s="17">
        <f>IF(A2516=A2517,_xll.ciqfunctions.udf.CIQ(A2508,"IQ_CASH_OPER",IQ_FY-7), _xll.ciqfunctions.udf.CIQ(A2508, "IQ_CASH_OPER",IQ_FY-6))</f>
        <v>0</v>
      </c>
      <c r="K2511" s="17">
        <f>IF(A2516=A2517,_xll.ciqfunctions.udf.CIQ(A2508,"IQ_CAPEX",IQ_FY-7), _xll.ciqfunctions.udf.CIQ(A2508, "IQ_CAPEX",IQ_FY-6))</f>
        <v>0</v>
      </c>
      <c r="L2511" s="15" t="e">
        <f t="shared" si="668"/>
        <v>#DIV/0!</v>
      </c>
      <c r="M2511" s="17">
        <f>IF(A2516=A2517,_xll.ciqfunctions.udf.CIQ(A2508,"IQ_TOTAL_DEBT_ISSUED",IQ_FY-7), _xll.ciqfunctions.udf.CIQ(A2508, "IQ_TOTAL_DEBT_ISSUED",IQ_FY-6))</f>
        <v>0</v>
      </c>
      <c r="N2511" s="17">
        <f>IF(A2516=A2517,_xll.ciqfunctions.udf.CIQ(A2508,"IQ_TOTAL_DEBT_REPAID",IQ_FY-7), _xll.ciqfunctions.udf.CIQ(A2508, "IQ_TOTAL_DEBT_REPAID",IQ_FY-6))</f>
        <v>0</v>
      </c>
      <c r="O2511" s="15" t="e">
        <f t="shared" si="669"/>
        <v>#DIV/0!</v>
      </c>
      <c r="P2511" s="15" t="e">
        <f t="shared" si="670"/>
        <v>#DIV/0!</v>
      </c>
      <c r="Q2511" s="25" t="s">
        <v>23</v>
      </c>
      <c r="R2511" s="38" t="s">
        <v>24</v>
      </c>
      <c r="S2511" s="1" t="e">
        <f>R2507/(AVERAGE(H2513:H2518)*(1+H2519)/(0.5-H2519))</f>
        <v>#DIV/0!</v>
      </c>
      <c r="U2511" s="25" t="s">
        <v>40</v>
      </c>
      <c r="V2511" s="38" t="s">
        <v>24</v>
      </c>
      <c r="W2511" s="1" t="e">
        <f>V2507/(AVERAGE(H2513:H2518)*(1+H2519)/(0.5-H2519))</f>
        <v>#DIV/0!</v>
      </c>
      <c r="Y2511" s="25" t="s">
        <v>47</v>
      </c>
      <c r="Z2511" s="38" t="s">
        <v>24</v>
      </c>
      <c r="AA2511" s="1" t="e">
        <f>Z2507/(AVERAGE(H2513:H2518)*(1+H2519)/(0.5-H2519))</f>
        <v>#DIV/0!</v>
      </c>
    </row>
    <row r="2512" spans="1:27">
      <c r="B2512" s="13">
        <v>5</v>
      </c>
      <c r="C2512" s="14" t="s">
        <v>25</v>
      </c>
      <c r="D2512" s="15" t="e" cm="1">
        <f t="array" ref="D2512">_xlfn.SINGLE(IF(A2516=A2517,_xll.ciqfunctions.udf.CIQ(A2508,"IQ_TOTAL_REV",IQ_FY-6)/I2512, _xll.ciqfunctions.udf.CIQ(A2508, "IQ_TOTAL_REV",IQ_FY-5)/I2512))</f>
        <v>#DIV/0!</v>
      </c>
      <c r="E2512" s="16" t="e">
        <f t="shared" si="671"/>
        <v>#DIV/0!</v>
      </c>
      <c r="F2512" s="15">
        <f>IF(A2516=A2517,_xll.ciqfunctions.udf.CIQ(A2508,"IQ_DILUT_EPS_EXCL",IQ_FY-6), _xll.ciqfunctions.udf.CIQ(A2508, "IQ_DILUT_EPS_EXCL",IQ_FY-5))</f>
        <v>0</v>
      </c>
      <c r="G2512" s="15">
        <f>IF(A2516=A2517,_xll.ciqfunctions.udf.CIQ(A2508,"IQ_EBITDA_MARGIN",IQ_FY-6), _xll.ciqfunctions.udf.CIQ(A2508, "IQ_EBITDA_MARGIN",IQ_FY-5))</f>
        <v>0</v>
      </c>
      <c r="H2512" s="15" t="e">
        <f>IF(A2516=A2517,_xll.ciqfunctions.udf.CIQ(A2508,"IQ_TOTAL_DIV_PAID_CF",IQ_FY-6)/-I2512, _xll.ciqfunctions.udf.CIQ(A2508, "IQ_TOTAL_DIV_PAID_CF",IQ_FY-5)/-I2512)</f>
        <v>#DIV/0!</v>
      </c>
      <c r="I2512" s="17">
        <f>IF(A2516=A2517,_xll.ciqfunctions.udf.CIQ(A2508,"IQ_TOTAL_OUTSTANDING_FILING_DATE",IQ_FY-6), _xll.ciqfunctions.udf.CIQ(A2508, "IQ_TOTAL_OUTSTANDING_FILING_DATE",IQ_FY-5))</f>
        <v>0</v>
      </c>
      <c r="J2512" s="17">
        <f>IF(A2516=A2517,_xll.ciqfunctions.udf.CIQ(A2508,"IQ_CASH_OPER",IQ_FY-6), _xll.ciqfunctions.udf.CIQ(A2508, "IQ_CASH_OPER",IQ_FY-5))</f>
        <v>0</v>
      </c>
      <c r="K2512" s="17">
        <f>IF(A2516=A2517,_xll.ciqfunctions.udf.CIQ(A2508,"IQ_CAPEX",IQ_FY-6), _xll.ciqfunctions.udf.CIQ(A2508, "IQ_CAPEX",IQ_FY-5))</f>
        <v>0</v>
      </c>
      <c r="L2512" s="15" t="e">
        <f t="shared" si="668"/>
        <v>#DIV/0!</v>
      </c>
      <c r="M2512" s="17">
        <f>IF(A2516=A2517,_xll.ciqfunctions.udf.CIQ(A2508,"IQ_TOTAL_DEBT_ISSUED",IQ_FY-6), _xll.ciqfunctions.udf.CIQ(A2508, "IQ_TOTAL_DEBT_ISSUED",IQ_FY-5))</f>
        <v>0</v>
      </c>
      <c r="N2512" s="17">
        <f>IF(A2516=A2517,_xll.ciqfunctions.udf.CIQ(A2508,"IQ_TOTAL_DEBT_REPAID",IQ_FY-6), _xll.ciqfunctions.udf.CIQ(A2508, "IQ_TOTAL_DEBT_REPAID",IQ_FY-5))</f>
        <v>0</v>
      </c>
      <c r="O2512" s="15" t="e">
        <f t="shared" si="669"/>
        <v>#DIV/0!</v>
      </c>
      <c r="P2512" s="15" t="e">
        <f t="shared" si="670"/>
        <v>#DIV/0!</v>
      </c>
      <c r="Q2512" s="18"/>
      <c r="R2512" s="38" t="s">
        <v>50</v>
      </c>
      <c r="S2512" s="3" t="e">
        <f>I2519</f>
        <v>#DIV/0!</v>
      </c>
      <c r="U2512" s="18"/>
      <c r="V2512" s="38" t="s">
        <v>50</v>
      </c>
      <c r="W2512" s="3" t="e">
        <f>I2519</f>
        <v>#DIV/0!</v>
      </c>
      <c r="Y2512" s="18"/>
      <c r="Z2512" s="38" t="s">
        <v>50</v>
      </c>
      <c r="AA2512" s="3" t="e">
        <f>I2519</f>
        <v>#DIV/0!</v>
      </c>
    </row>
    <row r="2513" spans="1:27">
      <c r="B2513" s="13">
        <v>6</v>
      </c>
      <c r="C2513" s="14" t="s">
        <v>26</v>
      </c>
      <c r="D2513" s="15" t="e" cm="1">
        <f t="array" ref="D2513">_xlfn.SINGLE(IF(A2516=A2517,_xll.ciqfunctions.udf.CIQ(A2508,"IQ_TOTAL_REV",IQ_FY-5)/I2513, _xll.ciqfunctions.udf.CIQ(A2508, "IQ_TOTAL_REV",IQ_FY-4)/I2513))</f>
        <v>#DIV/0!</v>
      </c>
      <c r="E2513" s="16" t="e">
        <f t="shared" si="671"/>
        <v>#DIV/0!</v>
      </c>
      <c r="F2513" s="15">
        <f>IF(A2516=A2517,_xll.ciqfunctions.udf.CIQ(A2508,"IQ_DILUT_EPS_EXCL",IQ_FY-5), _xll.ciqfunctions.udf.CIQ(A2508, "IQ_DILUT_EPS_EXCL",IQ_FY-4))</f>
        <v>0</v>
      </c>
      <c r="G2513" s="15">
        <f>IF(A2516=A2517,_xll.ciqfunctions.udf.CIQ(A2508,"IQ_EBITDA_MARGIN",IQ_FY-5), _xll.ciqfunctions.udf.CIQ(A2508, "IQ_EBITDA_MARGIN",IQ_FY-4))</f>
        <v>0</v>
      </c>
      <c r="H2513" s="15" t="e">
        <f>IF(A2516=A2517,_xll.ciqfunctions.udf.CIQ(A2508,"IQ_TOTAL_DIV_PAID_CF",IQ_FY-5)/-I2513, _xll.ciqfunctions.udf.CIQ(A2508, "IQ_TOTAL_DIV_PAID_CF",IQ_FY-4)/-I2513)</f>
        <v>#DIV/0!</v>
      </c>
      <c r="I2513" s="17">
        <f>IF(A2516=A2517,_xll.ciqfunctions.udf.CIQ(A2508,"IQ_TOTAL_OUTSTANDING_FILING_DATE",IQ_FY-5), _xll.ciqfunctions.udf.CIQ(A2508, "IQ_TOTAL_OUTSTANDING_FILING_DATE",IQ_FY-4))</f>
        <v>0</v>
      </c>
      <c r="J2513" s="17">
        <f>IF(A2516=A2517,_xll.ciqfunctions.udf.CIQ(A2508,"IQ_CASH_OPER",IQ_FY-5), _xll.ciqfunctions.udf.CIQ(A2508, "IQ_CASH_OPER",IQ_FY-4))</f>
        <v>0</v>
      </c>
      <c r="K2513" s="17">
        <f>IF(A2516=A2517,_xll.ciqfunctions.udf.CIQ(A2508,"IQ_CAPEX",IQ_FY-5), _xll.ciqfunctions.udf.CIQ(A2508, "IQ_CAPEX",IQ_FY-4))</f>
        <v>0</v>
      </c>
      <c r="L2513" s="15" t="e">
        <f t="shared" si="668"/>
        <v>#DIV/0!</v>
      </c>
      <c r="M2513" s="17">
        <f>IF(A2516=A2517,_xll.ciqfunctions.udf.CIQ(A2508,"IQ_TOTAL_DEBT_ISSUED",IQ_FY-5), _xll.ciqfunctions.udf.CIQ(A2508, "IQ_TOTAL_DEBT_ISSUED",IQ_FY-4))</f>
        <v>0</v>
      </c>
      <c r="N2513" s="17">
        <f>IF(A2516=A2517,_xll.ciqfunctions.udf.CIQ(A2508,"IQ_TOTAL_DEBT_REPAID",IQ_FY-5), _xll.ciqfunctions.udf.CIQ(A2508, "IQ_TOTAL_DEBT_REPAID",IQ_FY-4))</f>
        <v>0</v>
      </c>
      <c r="O2513" s="15" t="e">
        <f t="shared" si="669"/>
        <v>#DIV/0!</v>
      </c>
      <c r="P2513" s="15" t="e">
        <f t="shared" si="670"/>
        <v>#DIV/0!</v>
      </c>
      <c r="Q2513" s="25" t="s">
        <v>27</v>
      </c>
      <c r="R2513" s="38" t="s">
        <v>51</v>
      </c>
      <c r="S2513" s="4" t="e">
        <f>AVERAGE(F2513:F2518)/AVERAGE(D2513:D2518)</f>
        <v>#DIV/0!</v>
      </c>
      <c r="U2513" s="25" t="s">
        <v>58</v>
      </c>
      <c r="V2513" s="38" t="s">
        <v>51</v>
      </c>
      <c r="W2513" s="4" t="e">
        <f>AVERAGE(F2513:F2518)/AVERAGE(D2513:D2518)</f>
        <v>#DIV/0!</v>
      </c>
      <c r="Y2513" s="25" t="s">
        <v>56</v>
      </c>
      <c r="Z2513" s="38" t="s">
        <v>51</v>
      </c>
      <c r="AA2513" s="4" t="e">
        <f>AVERAGE(F2513:F2518)/AVERAGE(D2513:D2518)</f>
        <v>#DIV/0!</v>
      </c>
    </row>
    <row r="2514" spans="1:27">
      <c r="A2514" s="18"/>
      <c r="B2514" s="13">
        <v>7</v>
      </c>
      <c r="C2514" s="14" t="s">
        <v>28</v>
      </c>
      <c r="D2514" s="15" cm="1">
        <f t="array" ref="D2514">_xlfn.SINGLE(IF(A2516=A2517,_xll.ciqfunctions.udf.CIQ(A2508,"IQ_TOTAL_REV",IQ_FY-4)/I2514, _xll.ciqfunctions.udf.CIQ(A2508, "IQ_TOTAL_REV",IQ_FY-3)/I2514))</f>
        <v>0.1162165885918986</v>
      </c>
      <c r="E2514" s="16" t="e">
        <f t="shared" si="671"/>
        <v>#DIV/0!</v>
      </c>
      <c r="F2514" s="15">
        <f>IF(A2516=A2517,_xll.ciqfunctions.udf.CIQ(A2508,"IQ_DILUT_EPS_EXCL",IQ_FY-4), _xll.ciqfunctions.udf.CIQ(A2508, "IQ_DILUT_EPS_EXCL",IQ_FY-3))</f>
        <v>-1.19516</v>
      </c>
      <c r="G2514" s="15" t="str">
        <f>IF(A2516=A2517,_xll.ciqfunctions.udf.CIQ(A2508,"IQ_EBITDA_MARGIN",IQ_FY-4), _xll.ciqfunctions.udf.CIQ(A2508, "IQ_EBITDA_MARGIN",IQ_FY-3))</f>
        <v>NM</v>
      </c>
      <c r="H2514" s="15">
        <f>IF(A2516=A2517,_xll.ciqfunctions.udf.CIQ(A2508,"IQ_TOTAL_DIV_PAID_CF",IQ_FY-4)/-I2514, _xll.ciqfunctions.udf.CIQ(A2508, "IQ_TOTAL_DIV_PAID_CF",IQ_FY-3)/-I2514)</f>
        <v>0</v>
      </c>
      <c r="I2514" s="17">
        <f>IF(A2516=A2517,_xll.ciqfunctions.udf.CIQ(A2508,"IQ_TOTAL_OUTSTANDING_FILING_DATE",IQ_FY-4), _xll.ciqfunctions.udf.CIQ(A2508, "IQ_TOTAL_OUTSTANDING_FILING_DATE",IQ_FY-3))</f>
        <v>14.516</v>
      </c>
      <c r="J2514" s="17">
        <f>IF(A2516=A2517,_xll.ciqfunctions.udf.CIQ(A2508,"IQ_CASH_OPER",IQ_FY-4), _xll.ciqfunctions.udf.CIQ(A2508, "IQ_CASH_OPER",IQ_FY-3))</f>
        <v>-17.606000000000002</v>
      </c>
      <c r="K2514" s="17">
        <f>IF(A2516=A2517,_xll.ciqfunctions.udf.CIQ(A2508,"IQ_CAPEX",IQ_FY-4), _xll.ciqfunctions.udf.CIQ(A2508, "IQ_CAPEX",IQ_FY-3))</f>
        <v>-6.6000000000000003E-2</v>
      </c>
      <c r="L2514" s="15">
        <f t="shared" si="668"/>
        <v>-1.2174152659134749</v>
      </c>
      <c r="M2514" s="17">
        <f>IF(A2516=A2517,_xll.ciqfunctions.udf.CIQ(A2508,"IQ_TOTAL_DEBT_ISSUED",IQ_FY-4), _xll.ciqfunctions.udf.CIQ(A2508, "IQ_TOTAL_DEBT_ISSUED",IQ_FY-3))</f>
        <v>2</v>
      </c>
      <c r="N2514" s="17">
        <f>IF(A2516=A2517,_xll.ciqfunctions.udf.CIQ(A2508,"IQ_TOTAL_DEBT_REPAID",IQ_FY-4), _xll.ciqfunctions.udf.CIQ(A2508, "IQ_TOTAL_DEBT_REPAID",IQ_FY-3))</f>
        <v>-1.2</v>
      </c>
      <c r="O2514" s="15">
        <f t="shared" si="669"/>
        <v>5.5111600992008819E-2</v>
      </c>
      <c r="P2514" s="15">
        <f t="shared" si="670"/>
        <v>-1.1623036649214662</v>
      </c>
      <c r="Q2514" s="18"/>
      <c r="R2514" s="38" t="s">
        <v>29</v>
      </c>
      <c r="S2514" s="4" t="e">
        <f>(AVERAGE(P2513:P2518)/_xlfn.STDEV.P(P2513:P2518))/(IF(A2516=A2517,(_xlfn.SINGLE(_xll.ciqfunctions.udf.CIQ(A2508,"IQ_total_assets",IQ_FY)) - _xlfn.SINGLE(_xll.ciqfunctions.udf.CIQ(A2508,"iq_gw_intan", IQ_FY)))/I2518, (_xlfn.SINGLE(_xll.ciqfunctions.udf.CIQ(A2508, "IQ_total_assets",IQ_LTM))-_xlfn.SINGLE(_xll.ciqfunctions.udf.CIQ(A2508,"iq_gw_intan",IQ_LTM)))/I2518))</f>
        <v>#DIV/0!</v>
      </c>
      <c r="U2514" s="18"/>
      <c r="V2514" s="38" t="s">
        <v>29</v>
      </c>
      <c r="W2514" s="4" t="e">
        <f>(AVERAGE(P2513:P2518)/_xlfn.STDEV.P(P2513:P2518))/(IF(A2516=A2517,(_xlfn.SINGLE(_xll.ciqfunctions.udf.CIQ(A2508,"IQ_total_assets",IQ_FY)) - _xlfn.SINGLE(_xll.ciqfunctions.udf.CIQ(A2508,"iq_gw_intan", IQ_FY)))/I2518, (_xlfn.SINGLE(_xll.ciqfunctions.udf.CIQ(A2508, "IQ_total_assets",IQ_LTM))-_xlfn.SINGLE(_xll.ciqfunctions.udf.CIQ(A2508,"iq_gw_intan",IQ_LTM)))/I2518))</f>
        <v>#DIV/0!</v>
      </c>
      <c r="Y2514" s="18"/>
      <c r="Z2514" s="38" t="s">
        <v>29</v>
      </c>
      <c r="AA2514" s="4" t="e">
        <f>(AVERAGE(P2513:P2518)/_xlfn.STDEV.P(P2513:P2518))/(IF(A2516=A2517,(_xlfn.SINGLE(_xll.ciqfunctions.udf.CIQ(A2508,"IQ_total_assets",IQ_FY)) - _xlfn.SINGLE(_xll.ciqfunctions.udf.CIQ(A2508,"iq_gw_intan", IQ_FY)))/I2518, (_xlfn.SINGLE(_xll.ciqfunctions.udf.CIQ(A2508, "IQ_total_assets",IQ_LTM))-_xlfn.SINGLE(_xll.ciqfunctions.udf.CIQ(A2508,"iq_gw_intan",IQ_LTM)))/I2518))</f>
        <v>#DIV/0!</v>
      </c>
    </row>
    <row r="2515" spans="1:27">
      <c r="A2515" s="18"/>
      <c r="B2515" s="13">
        <v>8</v>
      </c>
      <c r="C2515" s="14" t="s">
        <v>30</v>
      </c>
      <c r="D2515" s="15" cm="1">
        <f t="array" ref="D2515">_xlfn.SINGLE(IF(A2516=A2517,_xll.ciqfunctions.udf.CIQ(A2508,"IQ_TOTAL_REV",IQ_FY-3)/I2515, _xll.ciqfunctions.udf.CIQ(A2508, "IQ_TOTAL_REV",IQ_FY-2)/I2515))</f>
        <v>0.77307211512113139</v>
      </c>
      <c r="E2515" s="16">
        <f t="shared" si="671"/>
        <v>5.6519945602242707</v>
      </c>
      <c r="F2515" s="15">
        <f>IF(A2516=A2517,_xll.ciqfunctions.udf.CIQ(A2508,"IQ_DILUT_EPS_EXCL",IQ_FY-3), _xll.ciqfunctions.udf.CIQ(A2508, "IQ_DILUT_EPS_EXCL",IQ_FY-2))</f>
        <v>-1.1722300000000001</v>
      </c>
      <c r="G2515" s="15">
        <f>IF(A2516=A2517,_xll.ciqfunctions.udf.CIQ(A2508,"IQ_EBITDA_MARGIN",IQ_FY-3), _xll.ciqfunctions.udf.CIQ(A2508, "IQ_EBITDA_MARGIN",IQ_FY-2))</f>
        <v>-154.3758</v>
      </c>
      <c r="H2515" s="15">
        <f>IF(A2516=A2517,_xll.ciqfunctions.udf.CIQ(A2508,"IQ_TOTAL_DIV_PAID_CF",IQ_FY-3)/-I2515, _xll.ciqfunctions.udf.CIQ(A2508, "IQ_TOTAL_DIV_PAID_CF",IQ_FY-2)/-I2515)</f>
        <v>0</v>
      </c>
      <c r="I2515" s="17">
        <f>IF(A2516=A2517,_xll.ciqfunctions.udf.CIQ(A2508,"IQ_TOTAL_OUTSTANDING_FILING_DATE",IQ_FY-3), _xll.ciqfunctions.udf.CIQ(A2508, "IQ_TOTAL_OUTSTANDING_FILING_DATE",IQ_FY-2))</f>
        <v>15.327159999999999</v>
      </c>
      <c r="J2515" s="17">
        <f>IF(A2516=A2517,_xll.ciqfunctions.udf.CIQ(A2508,"IQ_CASH_OPER",IQ_FY-3), _xll.ciqfunctions.udf.CIQ(A2508, "IQ_CASH_OPER",IQ_FY-2))</f>
        <v>-20.625</v>
      </c>
      <c r="K2515" s="17">
        <f>IF(A2516=A2517,_xll.ciqfunctions.udf.CIQ(A2508,"IQ_CAPEX",IQ_FY-3), _xll.ciqfunctions.udf.CIQ(A2508, "IQ_CAPEX",IQ_FY-2))</f>
        <v>-0.223</v>
      </c>
      <c r="L2515" s="15">
        <f t="shared" si="668"/>
        <v>-1.360199802181226</v>
      </c>
      <c r="M2515" s="17">
        <f>IF(A2516=A2517,_xll.ciqfunctions.udf.CIQ(A2508,"IQ_TOTAL_DEBT_ISSUED",IQ_FY-3), _xll.ciqfunctions.udf.CIQ(A2508, "IQ_TOTAL_DEBT_ISSUED",IQ_FY-2))</f>
        <v>6</v>
      </c>
      <c r="N2515" s="17">
        <f>IF(A2516=A2517,_xll.ciqfunctions.udf.CIQ(A2508,"IQ_TOTAL_DEBT_REPAID",IQ_FY-3), _xll.ciqfunctions.udf.CIQ(A2508, "IQ_TOTAL_DEBT_REPAID",IQ_FY-2))</f>
        <v>-4.8</v>
      </c>
      <c r="O2515" s="15">
        <f t="shared" si="669"/>
        <v>7.8292390762541811E-2</v>
      </c>
      <c r="P2515" s="15">
        <f t="shared" si="670"/>
        <v>-1.2819074114186841</v>
      </c>
      <c r="Q2515" s="18"/>
      <c r="R2515" s="39" t="s">
        <v>31</v>
      </c>
      <c r="S2515" s="5" t="e">
        <f>IF(NOT(D2508&gt;0),FALSE,SLOPE(G2508:G2518,B2508:B2518))</f>
        <v>#DIV/0!</v>
      </c>
      <c r="U2515" s="18"/>
      <c r="V2515" s="39" t="s">
        <v>31</v>
      </c>
      <c r="W2515" s="5" t="e">
        <f>IF(NOT(D2508&gt;0),FALSE,SLOPE(G2508:G2518,B2508:B2518))</f>
        <v>#DIV/0!</v>
      </c>
      <c r="Y2515" s="18"/>
      <c r="Z2515" s="39" t="s">
        <v>31</v>
      </c>
      <c r="AA2515" s="5" t="e">
        <f>IF(NOT(L2508&gt;0),FALSE,SLOPE(O2508:O2518,J2508:J2518))</f>
        <v>#DIV/0!</v>
      </c>
    </row>
    <row r="2516" spans="1:27">
      <c r="A2516" s="19">
        <f>_xll.ciqfunctions.udf.CIQ(A2508,"IQ_TOTAL_REV",IQ_FY)</f>
        <v>37.942999999999998</v>
      </c>
      <c r="B2516" s="13">
        <v>9</v>
      </c>
      <c r="C2516" s="14" t="s">
        <v>32</v>
      </c>
      <c r="D2516" s="15" cm="1">
        <f t="array" ref="D2516">_xlfn.SINGLE(IF(A2516=A2517,_xll.ciqfunctions.udf.CIQ(A2508,"IQ_TOTAL_REV",IQ_FY-2)/I2516, _xll.ciqfunctions.udf.CIQ(A2508, "IQ_TOTAL_REV",IQ_FY-1)/I2516))</f>
        <v>0.19318766069976484</v>
      </c>
      <c r="E2516" s="16">
        <f t="shared" si="671"/>
        <v>-0.75010395935766672</v>
      </c>
      <c r="F2516" s="15">
        <f>IF(A2516=A2517,_xll.ciqfunctions.udf.CIQ(A2508,"IQ_DILUT_EPS_EXCL",IQ_FY-2), _xll.ciqfunctions.udf.CIQ(A2508, "IQ_DILUT_EPS_EXCL",IQ_FY-1))</f>
        <v>-3.9</v>
      </c>
      <c r="G2516" s="15">
        <f>IF(A2516=A2517,_xll.ciqfunctions.udf.CIQ(A2508,"IQ_EBITDA_MARGIN",IQ_FY-2), _xll.ciqfunctions.udf.CIQ(A2508, "IQ_EBITDA_MARGIN",IQ_FY-1))</f>
        <v>-285.44400000000002</v>
      </c>
      <c r="H2516" s="15">
        <f>IF(A2516=A2517,_xll.ciqfunctions.udf.CIQ(A2508,"IQ_TOTAL_DIV_PAID_CF",IQ_FY-2)/-I2516, _xll.ciqfunctions.udf.CIQ(A2508, "IQ_TOTAL_DIV_PAID_CF",IQ_FY-1)/-I2516)</f>
        <v>0</v>
      </c>
      <c r="I2516" s="17">
        <f>IF(A2516=A2517,_xll.ciqfunctions.udf.CIQ(A2508,"IQ_TOTAL_OUTSTANDING_FILING_DATE",IQ_FY-2), _xll.ciqfunctions.udf.CIQ(A2508, "IQ_TOTAL_OUTSTANDING_FILING_DATE",IQ_FY-1))</f>
        <v>122.86499000000001</v>
      </c>
      <c r="J2516" s="17">
        <f>IF(A2516=A2517,_xll.ciqfunctions.udf.CIQ(A2508,"IQ_CASH_OPER",IQ_FY-2), _xll.ciqfunctions.udf.CIQ(A2508, "IQ_CASH_OPER",IQ_FY-1))</f>
        <v>-41.7</v>
      </c>
      <c r="K2516" s="17">
        <f>IF(A2516=A2517,_xll.ciqfunctions.udf.CIQ(A2508,"IQ_CAPEX",IQ_FY-2), _xll.ciqfunctions.udf.CIQ(A2508, "IQ_CAPEX",IQ_FY-1))</f>
        <v>-2.7480000000000002</v>
      </c>
      <c r="L2516" s="15">
        <f t="shared" si="668"/>
        <v>-0.3617629399554747</v>
      </c>
      <c r="M2516" s="17">
        <f>IF(A2516=A2517,_xll.ciqfunctions.udf.CIQ(A2508,"IQ_TOTAL_DEBT_ISSUED",IQ_FY-2), _xll.ciqfunctions.udf.CIQ(A2508, "IQ_TOTAL_DEBT_ISSUED",IQ_FY-1))</f>
        <v>2</v>
      </c>
      <c r="N2516" s="17">
        <f>IF(A2516=A2517,_xll.ciqfunctions.udf.CIQ(A2508,"IQ_TOTAL_DEBT_REPAID",IQ_FY-2), _xll.ciqfunctions.udf.CIQ(A2508, "IQ_TOTAL_DEBT_REPAID",IQ_FY-1))</f>
        <v>-1.0669999999999999</v>
      </c>
      <c r="O2516" s="15">
        <f t="shared" si="669"/>
        <v>7.5937010209336277E-3</v>
      </c>
      <c r="P2516" s="15">
        <f t="shared" si="670"/>
        <v>-0.35416923893454105</v>
      </c>
      <c r="Q2516" s="25" t="s">
        <v>33</v>
      </c>
      <c r="R2516" s="38" t="s">
        <v>52</v>
      </c>
      <c r="S2516" s="4" t="e">
        <f>(AVERAGE(O2513:O2518)/AVERAGE(P2513:P2518))</f>
        <v>#DIV/0!</v>
      </c>
      <c r="U2516" s="25" t="s">
        <v>54</v>
      </c>
      <c r="V2516" s="38" t="s">
        <v>52</v>
      </c>
      <c r="W2516" s="4" t="e">
        <f>(AVERAGE(O2513:O2518)/AVERAGE(P2513:P2518))</f>
        <v>#DIV/0!</v>
      </c>
      <c r="Y2516" s="25" t="s">
        <v>60</v>
      </c>
      <c r="Z2516" s="38" t="s">
        <v>52</v>
      </c>
      <c r="AA2516" s="4" t="e">
        <f>(AVERAGE(O2513:O2518)/AVERAGE(P2513:P2518))</f>
        <v>#DIV/0!</v>
      </c>
    </row>
    <row r="2517" spans="1:27">
      <c r="A2517" s="19">
        <f>_xll.ciqfunctions.udf.CIQ(A2508,"IQ_TOTAL_REV",IQ_LTM)</f>
        <v>65.748000000000005</v>
      </c>
      <c r="B2517" s="13">
        <v>10</v>
      </c>
      <c r="C2517" s="14" t="s">
        <v>34</v>
      </c>
      <c r="D2517" s="15" cm="1">
        <f t="array" ref="D2517">_xlfn.SINGLE(IF(A2516=A2517,_xll.ciqfunctions.udf.CIQ(A2508,"IQ_TOTAL_REV",IQ_FY-1)/I2517, _xll.ciqfunctions.udf.CIQ(A2508, "IQ_TOTAL_REV",IQ_FY)/I2517))</f>
        <v>0.23582919385547571</v>
      </c>
      <c r="E2517" s="16">
        <f t="shared" si="671"/>
        <v>0.22072596666502714</v>
      </c>
      <c r="F2517" s="15">
        <f>IF(A2516=A2517,_xll.ciqfunctions.udf.CIQ(A2508,"IQ_DILUT_EPS_EXCL",IQ_FY-1), _xll.ciqfunctions.udf.CIQ(A2508, "IQ_DILUT_EPS_EXCL",IQ_FY))</f>
        <v>0.51</v>
      </c>
      <c r="G2517" s="15">
        <f>IF(A2516=A2517,_xll.ciqfunctions.udf.CIQ(A2508,"IQ_EBITDA_MARGIN",IQ_FY-1), _xll.ciqfunctions.udf.CIQ(A2508, "IQ_EBITDA_MARGIN",IQ_FY))</f>
        <v>-282.2602</v>
      </c>
      <c r="H2517" s="15">
        <f>IF(A2516=A2517,_xll.ciqfunctions.udf.CIQ(A2508,"IQ_TOTAL_DIV_PAID_CF",IQ_FY-1)/-I2517, _xll.ciqfunctions.udf.CIQ(A2508, "IQ_TOTAL_DIV_PAID_CF",IQ_FY)/-I2517)</f>
        <v>0</v>
      </c>
      <c r="I2517" s="17">
        <f>IF(A2516=A2517,_xll.ciqfunctions.udf.CIQ(A2508,"IQ_TOTAL_OUTSTANDING_FILING_DATE",IQ_FY-1), _xll.ciqfunctions.udf.CIQ(A2508, "IQ_TOTAL_OUTSTANDING_FILING_DATE",IQ_FY))</f>
        <v>160.89187000000001</v>
      </c>
      <c r="J2517" s="17">
        <f>IF(A2516=A2517,_xll.ciqfunctions.udf.CIQ(A2508,"IQ_CASH_OPER",IQ_FY-1), _xll.ciqfunctions.udf.CIQ(A2508, "IQ_CASH_OPER",IQ_FY))</f>
        <v>-44.497</v>
      </c>
      <c r="K2517" s="17">
        <f>IF(A2516=A2517,_xll.ciqfunctions.udf.CIQ(A2508,"IQ_CAPEX",IQ_FY-1), _xll.ciqfunctions.udf.CIQ(A2508, "IQ_CAPEX",IQ_FY))</f>
        <v>-4.6440000000000001</v>
      </c>
      <c r="L2517" s="15">
        <f t="shared" si="668"/>
        <v>-0.30542873297451262</v>
      </c>
      <c r="M2517" s="17">
        <f>IF(A2516=A2517,_xll.ciqfunctions.udf.CIQ(A2508,"IQ_TOTAL_DEBT_ISSUED",IQ_FY-1), _xll.ciqfunctions.udf.CIQ(A2508, "IQ_TOTAL_DEBT_ISSUED",IQ_FY))</f>
        <v>0</v>
      </c>
      <c r="N2517" s="17">
        <f>IF(A2516=A2517,_xll.ciqfunctions.udf.CIQ(A2508,"IQ_TOTAL_DEBT_REPAID",IQ_FY-1), _xll.ciqfunctions.udf.CIQ(A2508, "IQ_TOTAL_DEBT_REPAID",IQ_FY))</f>
        <v>-6.9329999999999998</v>
      </c>
      <c r="O2517" s="15">
        <f t="shared" si="669"/>
        <v>-4.3091052394381393E-2</v>
      </c>
      <c r="P2517" s="15">
        <f t="shared" si="670"/>
        <v>-0.348519785368894</v>
      </c>
      <c r="Q2517" s="25" t="s">
        <v>44</v>
      </c>
      <c r="R2517" s="38" t="s">
        <v>35</v>
      </c>
      <c r="S2517" s="1" t="str">
        <f>_xll.ciqfunctions.udf.CIQ(A2508,"IQ_TEV_EBITDA")</f>
        <v>NM</v>
      </c>
      <c r="U2517" s="25" t="s">
        <v>55</v>
      </c>
      <c r="V2517" s="38" t="s">
        <v>53</v>
      </c>
      <c r="W2517" s="1" t="e">
        <f>V2507/(AVERAGE(D2513:D2518)/_xlfn.STDEV.P(E2513:E2518))</f>
        <v>#DIV/0!</v>
      </c>
      <c r="Y2517" s="25" t="s">
        <v>57</v>
      </c>
      <c r="Z2517" s="38" t="s">
        <v>53</v>
      </c>
      <c r="AA2517" s="1" t="e">
        <f>Z2507/(AVERAGE(D2513:D2518)/_xlfn.STDEV.P(E2513:E2518))</f>
        <v>#DIV/0!</v>
      </c>
    </row>
    <row r="2518" spans="1:27">
      <c r="B2518" s="13">
        <v>11</v>
      </c>
      <c r="C2518" s="20" t="s">
        <v>36</v>
      </c>
      <c r="D2518" s="21" cm="1">
        <f t="array" ref="D2518">_xlfn.SINGLE(IF(A2516=A2517,_xll.ciqfunctions.udf.CIQ(A2508,"IQ_TOTAL_REV",IQ_FY)/I2518, _xll.ciqfunctions.udf.CIQ(A2508, "IQ_TOTAL_REV",IQ_LTM)/I2518))</f>
        <v>0.36836038226605955</v>
      </c>
      <c r="E2518" s="22">
        <f t="shared" si="671"/>
        <v>0.56197956768576984</v>
      </c>
      <c r="F2518" s="21">
        <f>IF(A2516=A2517,_xll.ciqfunctions.udf.CIQ(A2508,"IQ_DILUT_EPS_EXCL",IQ_FY), _xll.ciqfunctions.udf.CIQ(A2508, "IQ_DILUT_EPS_EXCL",IQ_LTM))</f>
        <v>-0.73873</v>
      </c>
      <c r="G2518" s="21">
        <f>IF(A2516=A2517,_xll.ciqfunctions.udf.CIQ(A2508,"IQ_EBITDA_MARGIN",IQ_FY), _xll.ciqfunctions.udf.CIQ(A2508, "IQ_EBITDA_MARGIN",IQ_LTM))</f>
        <v>-142.12289999999999</v>
      </c>
      <c r="H2518" s="21">
        <f>IF(A2516=A2517,_xll.ciqfunctions.udf.CIQ(A2508,"IQ_TOTAL_DIV_PAID_CF",IQ_FY)/-I2518, _xll.ciqfunctions.udf.CIQ(A2508, "IQ_TOTAL_DIV_PAID_CF",IQ_LTM)/-I2518)</f>
        <v>0</v>
      </c>
      <c r="I2518" s="23">
        <f>IF(A2516=A2517,_xll.ciqfunctions.udf.CIQ(A2508,"IQ_TOTAL_OUTSTANDING_FILING_DATE",IQ_FY),_xll.ciqfunctions.udf.CIQ(A2508,"IQ_sharesoutstanding"))</f>
        <v>178.48824999999999</v>
      </c>
      <c r="J2518" s="23">
        <f>IF(A2516=A2517,_xll.ciqfunctions.udf.CIQ(A2508,"IQ_CASH_OPER",IQ_FY), _xll.ciqfunctions.udf.CIQ(A2508, "IQ_CASH_OPER",IQ_LTM))</f>
        <v>-26.402000000000001</v>
      </c>
      <c r="K2518" s="23">
        <f>IF(A2516=A2517,_xll.ciqfunctions.udf.CIQ(A2508,"IQ_CAPEX",IQ_FY), _xll.ciqfunctions.udf.CIQ(A2508, "IQ_CAPEX",IQ_LTM))</f>
        <v>-4.569</v>
      </c>
      <c r="L2518" s="21">
        <f t="shared" si="668"/>
        <v>-0.17351842488231017</v>
      </c>
      <c r="M2518" s="23">
        <f>IF(A2516=A2517,_xll.ciqfunctions.udf.CIQ(A2508,"IQ_TOTAL_DEBT_ISSUED",IQ_FY), _xll.ciqfunctions.udf.CIQ(A2508, "IQ_TOTAL_DEBT_ISSUED",IQ_LTM))</f>
        <v>0</v>
      </c>
      <c r="N2518" s="23">
        <f>IF(A2516=A2517,_xll.ciqfunctions.udf.CIQ(A2508,"IQ_TOTAL_DEBT_REPAID",IQ_FY), _xll.ciqfunctions.udf.CIQ(A2508, "IQ_TOTAL_DEBT_REPAID",IQ_LTM))</f>
        <v>-4.5330000000000004</v>
      </c>
      <c r="O2518" s="21">
        <f t="shared" si="669"/>
        <v>-2.5396629750137616E-2</v>
      </c>
      <c r="P2518" s="21">
        <f t="shared" si="670"/>
        <v>-0.1989150546324478</v>
      </c>
      <c r="Q2518" s="25" t="s">
        <v>45</v>
      </c>
      <c r="S2518" s="45"/>
      <c r="U2518" s="25"/>
      <c r="W2518" s="45"/>
      <c r="Y2518" s="25"/>
      <c r="AA2518" s="45"/>
    </row>
    <row r="2519" spans="1:27">
      <c r="B2519" s="24"/>
      <c r="C2519" s="25" t="s">
        <v>37</v>
      </c>
      <c r="E2519" s="26" t="e">
        <f>((D2518/D2513)^(1/5))-1</f>
        <v>#DIV/0!</v>
      </c>
      <c r="F2519" s="27" t="e">
        <f>((F2518/F2513)^(1/5))-1</f>
        <v>#DIV/0!</v>
      </c>
      <c r="G2519" s="28"/>
      <c r="H2519" s="27" t="e">
        <f>((H2518/H2513)^(1/5))-1</f>
        <v>#DIV/0!</v>
      </c>
      <c r="I2519" s="27" t="e">
        <f>((I2518/I2513)^(1/5))-1</f>
        <v>#DIV/0!</v>
      </c>
      <c r="J2519" s="27"/>
      <c r="K2519" s="27"/>
      <c r="L2519" s="26" t="e">
        <f>((L2518/L2513)^(1/5))-1</f>
        <v>#DIV/0!</v>
      </c>
      <c r="M2519" s="26"/>
      <c r="N2519" s="26"/>
      <c r="O2519" s="26"/>
      <c r="P2519" s="26" t="e">
        <f>((P2518/P2513)^(1/5))-1</f>
        <v>#DIV/0!</v>
      </c>
      <c r="Q2519" s="18"/>
      <c r="R2519" s="36"/>
      <c r="S2519" s="45"/>
      <c r="U2519" s="18"/>
      <c r="V2519" s="36"/>
      <c r="W2519" s="45"/>
      <c r="Y2519" s="18"/>
      <c r="Z2519" s="36"/>
      <c r="AA2519" s="45"/>
    </row>
    <row r="2520" spans="1:27">
      <c r="A2520" s="29"/>
      <c r="B2520" s="30"/>
      <c r="C2520" s="31" t="s">
        <v>38</v>
      </c>
      <c r="D2520" s="29"/>
      <c r="E2520" s="32" t="e">
        <f>((D2518/D2508)^(1/10))-1</f>
        <v>#DIV/0!</v>
      </c>
      <c r="F2520" s="33" t="e">
        <f>((F2518/F2508)^(1/10))-1</f>
        <v>#DIV/0!</v>
      </c>
      <c r="G2520" s="34"/>
      <c r="H2520" s="33" t="e">
        <f>((H2518/H2508)^(1/10))-1</f>
        <v>#DIV/0!</v>
      </c>
      <c r="I2520" s="33" t="e">
        <f>((I2518/I2508)^(1/10))-1</f>
        <v>#DIV/0!</v>
      </c>
      <c r="J2520" s="33"/>
      <c r="K2520" s="33"/>
      <c r="L2520" s="32" t="e">
        <f>((L2518/L2508)^(1/10))-1</f>
        <v>#DIV/0!</v>
      </c>
      <c r="M2520" s="32"/>
      <c r="N2520" s="32"/>
      <c r="O2520" s="32"/>
      <c r="P2520" s="32" t="e">
        <f>((P2518/P2508)^(1/10))-1</f>
        <v>#DIV/0!</v>
      </c>
      <c r="Q2520" s="40"/>
      <c r="R2520" s="41"/>
      <c r="S2520" s="46"/>
      <c r="U2520" s="40"/>
      <c r="V2520" s="41"/>
      <c r="W2520" s="46"/>
      <c r="Y2520" s="40"/>
      <c r="Z2520" s="41"/>
      <c r="AA2520" s="46"/>
    </row>
    <row r="2521" spans="1:27">
      <c r="B2521" s="24"/>
      <c r="C2521" s="25"/>
      <c r="E2521" s="26"/>
      <c r="F2521" s="27"/>
      <c r="G2521" s="28"/>
      <c r="H2521" s="27"/>
      <c r="I2521" s="27"/>
      <c r="J2521" s="27"/>
      <c r="K2521" s="27"/>
      <c r="L2521" s="26"/>
      <c r="M2521" s="17"/>
      <c r="N2521" s="17"/>
      <c r="O2521" s="17"/>
      <c r="P2521" s="35"/>
      <c r="Q2521" s="18"/>
      <c r="R2521" s="36"/>
    </row>
    <row r="2522" spans="1:27">
      <c r="A2522" s="9" t="s">
        <v>0</v>
      </c>
      <c r="B2522" s="10"/>
      <c r="C2522" s="9" t="s">
        <v>1</v>
      </c>
      <c r="D2522" s="9" t="s">
        <v>2</v>
      </c>
      <c r="E2522" s="9" t="s">
        <v>3</v>
      </c>
      <c r="F2522" s="11" t="s">
        <v>4</v>
      </c>
      <c r="G2522" s="11" t="s">
        <v>5</v>
      </c>
      <c r="H2522" s="9" t="s">
        <v>6</v>
      </c>
      <c r="I2522" s="11" t="s">
        <v>7</v>
      </c>
      <c r="J2522" s="11" t="s">
        <v>8</v>
      </c>
      <c r="K2522" s="11" t="s">
        <v>9</v>
      </c>
      <c r="L2522" s="11" t="s">
        <v>10</v>
      </c>
      <c r="M2522" s="11" t="s">
        <v>11</v>
      </c>
      <c r="N2522" s="11" t="s">
        <v>12</v>
      </c>
      <c r="O2522" s="11" t="s">
        <v>13</v>
      </c>
      <c r="P2522" s="11" t="s">
        <v>14</v>
      </c>
      <c r="Q2522" s="37" t="s">
        <v>15</v>
      </c>
      <c r="R2522" s="42">
        <f>_xll.ciqfunctions.udf.CIQ(A2523,("IQ_LASTSALEPRICE"))</f>
        <v>76.715000000000003</v>
      </c>
      <c r="S2522" s="44"/>
      <c r="U2522" s="37" t="s">
        <v>15</v>
      </c>
      <c r="V2522" s="42">
        <f>_xll.ciqfunctions.udf.CIQ(A2523,("IQ_LASTSALEPRICE"))</f>
        <v>76.715000000000003</v>
      </c>
      <c r="W2522" s="44"/>
      <c r="Y2522" s="37" t="s">
        <v>15</v>
      </c>
      <c r="Z2522" s="42">
        <f>_xll.ciqfunctions.udf.CIQ(A2523,("IQ_LASTSALEPRICE"))</f>
        <v>76.715000000000003</v>
      </c>
      <c r="AA2522" s="44"/>
    </row>
    <row r="2523" spans="1:27">
      <c r="A2523" s="12" t="str">
        <f>Analysis!B170</f>
        <v>NasdaqGS:CRUS</v>
      </c>
      <c r="B2523" s="13">
        <v>1</v>
      </c>
      <c r="C2523" s="14" t="s">
        <v>16</v>
      </c>
      <c r="D2523" s="15">
        <f>IF(A2531=A2532,_xll.ciqfunctions.udf.CIQ(A2523,"IQ_TOTAL_REV",IQ_FY-10)/I2523,_xll.ciqfunctions.udf.CIQ(A2523, "IQ_TOTAL_REV",IQ_FY-9)/I2523)</f>
        <v>11.51076238509388</v>
      </c>
      <c r="E2523" s="16"/>
      <c r="F2523" s="15">
        <f>IF(A2531=A2532,_xll.ciqfunctions.udf.CIQ(A2523,"IQ_DILUT_EPS_EXCL",IQ_FY-10), _xll.ciqfunctions.udf.CIQ(A2523, "IQ_DILUT_EPS_EXCL",IQ_FY-9))</f>
        <v>1.65</v>
      </c>
      <c r="G2523" s="15">
        <f>IF(A2531=A2532,_xll.ciqfunctions.udf.CIQ(A2523,"IQ_EBITDA_MARGIN",IQ_FY-10), _xll.ciqfunctions.udf.CIQ(A2523, "IQ_EBITDA_MARGIN",IQ_FY-9))</f>
        <v>23.797599999999999</v>
      </c>
      <c r="H2523" s="15">
        <f>IF(A2531=A2532,_xll.ciqfunctions.udf.CIQ(A2523,"IQ_TOTAL_DIV_PAID_CF",IQ_FY-10)/-I2523, _xll.ciqfunctions.udf.CIQ(A2523, "IQ_TOTAL_DIV_PAID_CF",IQ_FY-9)/-I2523)</f>
        <v>0</v>
      </c>
      <c r="I2523" s="17">
        <f>IF(A2531=A2532,_xll.ciqfunctions.udf.CIQ(A2523,"IQ_TOTAL_OUTSTANDING_FILING_DATE",IQ_FY-10), _xll.ciqfunctions.udf.CIQ(A2523, "IQ_TOTAL_OUTSTANDING_FILING_DATE",IQ_FY-9))</f>
        <v>62.05827</v>
      </c>
      <c r="J2523" s="17">
        <f>IF(A2531=A2532,_xll.ciqfunctions.udf.CIQ(A2523,"IQ_CASH_OPER",IQ_FY-10), _xll.ciqfunctions.udf.CIQ(A2523, "IQ_CASH_OPER",IQ_FY-9))</f>
        <v>228.03800000000001</v>
      </c>
      <c r="K2523" s="17">
        <f>IF(A2531=A2532,_xll.ciqfunctions.udf.CIQ(A2523,"IQ_CAPEX",IQ_FY-10), _xll.ciqfunctions.udf.CIQ(A2523, "IQ_CAPEX",IQ_FY-9))</f>
        <v>-15.058</v>
      </c>
      <c r="L2523" s="15">
        <f t="shared" ref="L2523:L2533" si="672">(J2523+K2523)/I2523</f>
        <v>3.4319358241858824</v>
      </c>
      <c r="M2523" s="17">
        <f>IF(A2531=A2532,_xll.ciqfunctions.udf.CIQ(A2523,"IQ_TOTAL_DEBT_ISSUED",IQ_FY-10), _xll.ciqfunctions.udf.CIQ(A2523, "IQ_TOTAL_DEBT_ISSUED",IQ_FY-9))</f>
        <v>0</v>
      </c>
      <c r="N2523" s="17">
        <f>IF(A2531=A2532,_xll.ciqfunctions.udf.CIQ(A2523,"IQ_TOTAL_DEBT_REPAID",IQ_FY-10), _xll.ciqfunctions.udf.CIQ(A2523, "IQ_TOTAL_DEBT_REPAID",IQ_FY-9))</f>
        <v>0</v>
      </c>
      <c r="O2523" s="15">
        <f t="shared" ref="O2523:O2533" si="673">(M2523+N2523)/I2523</f>
        <v>0</v>
      </c>
      <c r="P2523" s="15">
        <f t="shared" ref="P2523:P2533" si="674">L2523+O2523</f>
        <v>3.4319358241858824</v>
      </c>
      <c r="W2523" s="43"/>
      <c r="AA2523" s="43"/>
    </row>
    <row r="2524" spans="1:27">
      <c r="A2524" s="18" t="str">
        <f>_xll.ciqfunctions.udf.CIQ(A2523,"IQ_COMPANY_NAME")</f>
        <v>Cirrus Logic, Inc.</v>
      </c>
      <c r="B2524" s="13">
        <v>2</v>
      </c>
      <c r="C2524" s="14" t="s">
        <v>17</v>
      </c>
      <c r="D2524" s="15">
        <f>IF(A2531=A2532,_xll.ciqfunctions.udf.CIQ(A2523,"IQ_TOTAL_REV",IQ_FY-9)/I2524, _xll.ciqfunctions.udf.CIQ(A2523, "IQ_TOTAL_REV",IQ_FY-8)/I2524)</f>
        <v>14.45437102287879</v>
      </c>
      <c r="E2524" s="16">
        <f t="shared" ref="E2524:E2533" si="675">(D2524-D2523)/D2523</f>
        <v>0.25572664427482256</v>
      </c>
      <c r="F2524" s="15">
        <f>IF(A2531=A2532,_xll.ciqfunctions.udf.CIQ(A2523,"IQ_DILUT_EPS_EXCL",IQ_FY-9), _xll.ciqfunctions.udf.CIQ(A2523, "IQ_DILUT_EPS_EXCL",IQ_FY-8))</f>
        <v>0.85</v>
      </c>
      <c r="G2524" s="15">
        <f>IF(A2531=A2532,_xll.ciqfunctions.udf.CIQ(A2523,"IQ_EBITDA_MARGIN",IQ_FY-9), _xll.ciqfunctions.udf.CIQ(A2523, "IQ_EBITDA_MARGIN",IQ_FY-8))</f>
        <v>17.807200000000002</v>
      </c>
      <c r="H2524" s="15">
        <f>IF(A2531=A2532,_xll.ciqfunctions.udf.CIQ(A2523,"IQ_TOTAL_DIV_PAID_CF",IQ_FY-9)/-I2524, _xll.ciqfunctions.udf.CIQ(A2523, "IQ_TOTAL_DIV_PAID_CF",IQ_FY-8)/-I2524)</f>
        <v>0</v>
      </c>
      <c r="I2524" s="17">
        <f>IF(A2531=A2532,_xll.ciqfunctions.udf.CIQ(A2523,"IQ_TOTAL_OUTSTANDING_FILING_DATE",IQ_FY-9), _xll.ciqfunctions.udf.CIQ(A2523, "IQ_TOTAL_OUTSTANDING_FILING_DATE",IQ_FY-8))</f>
        <v>63.41113</v>
      </c>
      <c r="J2524" s="17">
        <f>IF(A2531=A2532,_xll.ciqfunctions.udf.CIQ(A2523,"IQ_CASH_OPER",IQ_FY-9), _xll.ciqfunctions.udf.CIQ(A2523, "IQ_CASH_OPER",IQ_FY-8))</f>
        <v>163.477</v>
      </c>
      <c r="K2524" s="17">
        <f>IF(A2531=A2532,_xll.ciqfunctions.udf.CIQ(A2523,"IQ_CAPEX",IQ_FY-9), _xll.ciqfunctions.udf.CIQ(A2523, "IQ_CAPEX",IQ_FY-8))</f>
        <v>-32.311</v>
      </c>
      <c r="L2524" s="15">
        <f t="shared" si="672"/>
        <v>2.0685012236810794</v>
      </c>
      <c r="M2524" s="17">
        <f>IF(A2531=A2532,_xll.ciqfunctions.udf.CIQ(A2523,"IQ_TOTAL_DEBT_ISSUED",IQ_FY-9), _xll.ciqfunctions.udf.CIQ(A2523, "IQ_TOTAL_DEBT_ISSUED",IQ_FY-8))</f>
        <v>226.43899999999999</v>
      </c>
      <c r="N2524" s="17">
        <f>IF(A2531=A2532,_xll.ciqfunctions.udf.CIQ(A2523,"IQ_TOTAL_DEBT_REPAID",IQ_FY-9), _xll.ciqfunctions.udf.CIQ(A2523, "IQ_TOTAL_DEBT_REPAID",IQ_FY-8))</f>
        <v>-46</v>
      </c>
      <c r="O2524" s="15">
        <f t="shared" si="673"/>
        <v>2.8455414688241638</v>
      </c>
      <c r="P2524" s="15">
        <f t="shared" si="674"/>
        <v>4.9140426925052427</v>
      </c>
      <c r="Q2524" s="25" t="s">
        <v>18</v>
      </c>
      <c r="R2524" s="39" t="s">
        <v>19</v>
      </c>
      <c r="S2524" s="1">
        <f>R2522/((AVERAGE(P2528:P2533))*(1+E2534)^3)</f>
        <v>14.899035696491239</v>
      </c>
      <c r="U2524" s="25" t="s">
        <v>48</v>
      </c>
      <c r="V2524" s="39" t="s">
        <v>19</v>
      </c>
      <c r="W2524" s="1">
        <f>V2522/((AVERAGE(P2528:P2533))*(1+E2534)^3)</f>
        <v>14.899035696491239</v>
      </c>
      <c r="Y2524" s="25" t="s">
        <v>39</v>
      </c>
      <c r="Z2524" s="39" t="s">
        <v>19</v>
      </c>
      <c r="AA2524" s="1">
        <f>Z2522/((AVERAGE(P2528:P2533))*(1+E2534)^3)</f>
        <v>14.899035696491239</v>
      </c>
    </row>
    <row r="2525" spans="1:27">
      <c r="B2525" s="13">
        <v>3</v>
      </c>
      <c r="C2525" s="14" t="s">
        <v>20</v>
      </c>
      <c r="D2525" s="15" cm="1">
        <f t="array" ref="D2525">_xlfn.SINGLE(IF(A2531=A2532,_xll.ciqfunctions.udf.CIQ(A2523,"IQ_TOTAL_REV",IQ_FY-8)/I2525, _xll.ciqfunctions.udf.CIQ(A2523, "IQ_TOTAL_REV",IQ_FY-7)/I2525))</f>
        <v>18.789363421571888</v>
      </c>
      <c r="E2525" s="16">
        <f t="shared" si="675"/>
        <v>0.29990875367953046</v>
      </c>
      <c r="F2525" s="15">
        <f>IF(A2531=A2532,_xll.ciqfunctions.udf.CIQ(A2523,"IQ_DILUT_EPS_EXCL",IQ_FY-8), _xll.ciqfunctions.udf.CIQ(A2523, "IQ_DILUT_EPS_EXCL",IQ_FY-7))</f>
        <v>1.87</v>
      </c>
      <c r="G2525" s="15">
        <f>IF(A2531=A2532,_xll.ciqfunctions.udf.CIQ(A2523,"IQ_EBITDA_MARGIN",IQ_FY-8), _xll.ciqfunctions.udf.CIQ(A2523, "IQ_EBITDA_MARGIN",IQ_FY-7))</f>
        <v>20.454999999999998</v>
      </c>
      <c r="H2525" s="15">
        <f>IF(A2531=A2532,_xll.ciqfunctions.udf.CIQ(A2523,"IQ_TOTAL_DIV_PAID_CF",IQ_FY-8)/-I2525, _xll.ciqfunctions.udf.CIQ(A2523, "IQ_TOTAL_DIV_PAID_CF",IQ_FY-7)/-I2525)</f>
        <v>0</v>
      </c>
      <c r="I2525" s="17">
        <f>IF(A2531=A2532,_xll.ciqfunctions.udf.CIQ(A2523,"IQ_TOTAL_OUTSTANDING_FILING_DATE",IQ_FY-8), _xll.ciqfunctions.udf.CIQ(A2523, "IQ_TOTAL_OUTSTANDING_FILING_DATE",IQ_FY-7))</f>
        <v>62.229410000000001</v>
      </c>
      <c r="J2525" s="17">
        <f>IF(A2531=A2532,_xll.ciqfunctions.udf.CIQ(A2523,"IQ_CASH_OPER",IQ_FY-8), _xll.ciqfunctions.udf.CIQ(A2523, "IQ_CASH_OPER",IQ_FY-7))</f>
        <v>149.04599999999999</v>
      </c>
      <c r="K2525" s="17">
        <f>IF(A2531=A2532,_xll.ciqfunctions.udf.CIQ(A2523,"IQ_CAPEX",IQ_FY-8), _xll.ciqfunctions.udf.CIQ(A2523, "IQ_CAPEX",IQ_FY-7))</f>
        <v>-41.569000000000003</v>
      </c>
      <c r="L2525" s="15">
        <f t="shared" si="672"/>
        <v>1.7271094165925724</v>
      </c>
      <c r="M2525" s="17">
        <f>IF(A2531=A2532,_xll.ciqfunctions.udf.CIQ(A2523,"IQ_TOTAL_DEBT_ISSUED",IQ_FY-8), _xll.ciqfunctions.udf.CIQ(A2523, "IQ_TOTAL_DEBT_ISSUED",IQ_FY-7))</f>
        <v>0</v>
      </c>
      <c r="N2525" s="17">
        <f>IF(A2531=A2532,_xll.ciqfunctions.udf.CIQ(A2523,"IQ_TOTAL_DEBT_REPAID",IQ_FY-8), _xll.ciqfunctions.udf.CIQ(A2523, "IQ_TOTAL_DEBT_REPAID",IQ_FY-7))</f>
        <v>-20</v>
      </c>
      <c r="O2525" s="15">
        <f t="shared" si="673"/>
        <v>-0.32139144497754357</v>
      </c>
      <c r="P2525" s="15">
        <f t="shared" si="674"/>
        <v>1.405717971615029</v>
      </c>
      <c r="Q2525" s="25" t="s">
        <v>21</v>
      </c>
      <c r="R2525" s="38" t="s">
        <v>49</v>
      </c>
      <c r="S2525" s="2">
        <f>(R2522*I2533)/1000</f>
        <v>4.13476128835</v>
      </c>
      <c r="U2525" s="25" t="s">
        <v>59</v>
      </c>
      <c r="V2525" s="38" t="s">
        <v>49</v>
      </c>
      <c r="W2525" s="2">
        <f>(V2522*I2533)/1000</f>
        <v>4.13476128835</v>
      </c>
      <c r="Y2525" s="25" t="s">
        <v>46</v>
      </c>
      <c r="Z2525" s="38" t="s">
        <v>49</v>
      </c>
      <c r="AA2525" s="2">
        <f>(Z2522*I2533)/1000</f>
        <v>4.13476128835</v>
      </c>
    </row>
    <row r="2526" spans="1:27">
      <c r="A2526" s="18"/>
      <c r="B2526" s="13">
        <v>4</v>
      </c>
      <c r="C2526" s="14" t="s">
        <v>22</v>
      </c>
      <c r="D2526" s="15" cm="1">
        <f t="array" ref="D2526">_xlfn.SINGLE(IF(A2531=A2532,_xll.ciqfunctions.udf.CIQ(A2523,"IQ_TOTAL_REV",IQ_FY-7)/I2526, _xll.ciqfunctions.udf.CIQ(A2523, "IQ_TOTAL_REV",IQ_FY-6)/I2526))</f>
        <v>24.086806035427923</v>
      </c>
      <c r="E2526" s="16">
        <f t="shared" si="675"/>
        <v>0.28193837625036788</v>
      </c>
      <c r="F2526" s="15">
        <f>IF(A2531=A2532,_xll.ciqfunctions.udf.CIQ(A2523,"IQ_DILUT_EPS_EXCL",IQ_FY-7), _xll.ciqfunctions.udf.CIQ(A2523, "IQ_DILUT_EPS_EXCL",IQ_FY-6))</f>
        <v>3.92</v>
      </c>
      <c r="G2526" s="15">
        <f>IF(A2531=A2532,_xll.ciqfunctions.udf.CIQ(A2523,"IQ_EBITDA_MARGIN",IQ_FY-7), _xll.ciqfunctions.udf.CIQ(A2523, "IQ_EBITDA_MARGIN",IQ_FY-6))</f>
        <v>25.363199999999999</v>
      </c>
      <c r="H2526" s="15">
        <f>IF(A2531=A2532,_xll.ciqfunctions.udf.CIQ(A2523,"IQ_TOTAL_DIV_PAID_CF",IQ_FY-7)/-I2526, _xll.ciqfunctions.udf.CIQ(A2523, "IQ_TOTAL_DIV_PAID_CF",IQ_FY-6)/-I2526)</f>
        <v>0</v>
      </c>
      <c r="I2526" s="17">
        <f>IF(A2531=A2532,_xll.ciqfunctions.udf.CIQ(A2523,"IQ_TOTAL_OUTSTANDING_FILING_DATE",IQ_FY-7), _xll.ciqfunctions.udf.CIQ(A2523, "IQ_TOTAL_OUTSTANDING_FILING_DATE",IQ_FY-6))</f>
        <v>63.89141</v>
      </c>
      <c r="J2526" s="17">
        <f>IF(A2531=A2532,_xll.ciqfunctions.udf.CIQ(A2523,"IQ_CASH_OPER",IQ_FY-7), _xll.ciqfunctions.udf.CIQ(A2523, "IQ_CASH_OPER",IQ_FY-6))</f>
        <v>369.75099999999998</v>
      </c>
      <c r="K2526" s="17">
        <f>IF(A2531=A2532,_xll.ciqfunctions.udf.CIQ(A2523,"IQ_CAPEX",IQ_FY-7), _xll.ciqfunctions.udf.CIQ(A2523, "IQ_CAPEX",IQ_FY-6))</f>
        <v>-41.848999999999997</v>
      </c>
      <c r="L2526" s="15">
        <f t="shared" si="672"/>
        <v>5.1321766102829782</v>
      </c>
      <c r="M2526" s="17">
        <f>IF(A2531=A2532,_xll.ciqfunctions.udf.CIQ(A2523,"IQ_TOTAL_DEBT_ISSUED",IQ_FY-7), _xll.ciqfunctions.udf.CIQ(A2523, "IQ_TOTAL_DEBT_ISSUED",IQ_FY-6))</f>
        <v>0</v>
      </c>
      <c r="N2526" s="17">
        <f>IF(A2531=A2532,_xll.ciqfunctions.udf.CIQ(A2523,"IQ_TOTAL_DEBT_REPAID",IQ_FY-7), _xll.ciqfunctions.udf.CIQ(A2523, "IQ_TOTAL_DEBT_REPAID",IQ_FY-6))</f>
        <v>-101.13800000000001</v>
      </c>
      <c r="O2526" s="15">
        <f t="shared" si="673"/>
        <v>-1.5829670999591339</v>
      </c>
      <c r="P2526" s="15">
        <f t="shared" si="674"/>
        <v>3.5492095103238444</v>
      </c>
      <c r="Q2526" s="25" t="s">
        <v>23</v>
      </c>
      <c r="R2526" s="38" t="s">
        <v>24</v>
      </c>
      <c r="S2526" s="1" t="e">
        <f>R2522/(AVERAGE(H2528:H2533)*(1+H2534)/(0.5-H2534))</f>
        <v>#DIV/0!</v>
      </c>
      <c r="U2526" s="25" t="s">
        <v>40</v>
      </c>
      <c r="V2526" s="38" t="s">
        <v>24</v>
      </c>
      <c r="W2526" s="1" t="e">
        <f>V2522/(AVERAGE(H2528:H2533)*(1+H2534)/(0.5-H2534))</f>
        <v>#DIV/0!</v>
      </c>
      <c r="Y2526" s="25" t="s">
        <v>47</v>
      </c>
      <c r="Z2526" s="38" t="s">
        <v>24</v>
      </c>
      <c r="AA2526" s="1" t="e">
        <f>Z2522/(AVERAGE(H2528:H2533)*(1+H2534)/(0.5-H2534))</f>
        <v>#DIV/0!</v>
      </c>
    </row>
    <row r="2527" spans="1:27">
      <c r="B2527" s="13">
        <v>5</v>
      </c>
      <c r="C2527" s="14" t="s">
        <v>25</v>
      </c>
      <c r="D2527" s="15" cm="1">
        <f t="array" ref="D2527">_xlfn.SINGLE(IF(A2531=A2532,_xll.ciqfunctions.udf.CIQ(A2523,"IQ_TOTAL_REV",IQ_FY-6)/I2527, _xll.ciqfunctions.udf.CIQ(A2523, "IQ_TOTAL_REV",IQ_FY-5)/I2527))</f>
        <v>25.126539900184966</v>
      </c>
      <c r="E2527" s="16">
        <f t="shared" si="675"/>
        <v>4.316611605655632E-2</v>
      </c>
      <c r="F2527" s="15">
        <f>IF(A2531=A2532,_xll.ciqfunctions.udf.CIQ(A2523,"IQ_DILUT_EPS_EXCL",IQ_FY-6), _xll.ciqfunctions.udf.CIQ(A2523, "IQ_DILUT_EPS_EXCL",IQ_FY-5))</f>
        <v>2.46</v>
      </c>
      <c r="G2527" s="15">
        <f>IF(A2531=A2532,_xll.ciqfunctions.udf.CIQ(A2523,"IQ_EBITDA_MARGIN",IQ_FY-6), _xll.ciqfunctions.udf.CIQ(A2523, "IQ_EBITDA_MARGIN",IQ_FY-5))</f>
        <v>22.442399999999999</v>
      </c>
      <c r="H2527" s="15">
        <f>IF(A2531=A2532,_xll.ciqfunctions.udf.CIQ(A2523,"IQ_TOTAL_DIV_PAID_CF",IQ_FY-6)/-I2527, _xll.ciqfunctions.udf.CIQ(A2523, "IQ_TOTAL_DIV_PAID_CF",IQ_FY-5)/-I2527)</f>
        <v>0</v>
      </c>
      <c r="I2527" s="17">
        <f>IF(A2531=A2532,_xll.ciqfunctions.udf.CIQ(A2523,"IQ_TOTAL_OUTSTANDING_FILING_DATE",IQ_FY-6), _xll.ciqfunctions.udf.CIQ(A2523, "IQ_TOTAL_OUTSTANDING_FILING_DATE",IQ_FY-5))</f>
        <v>60.978789999999996</v>
      </c>
      <c r="J2527" s="17">
        <f>IF(A2531=A2532,_xll.ciqfunctions.udf.CIQ(A2523,"IQ_CASH_OPER",IQ_FY-6), _xll.ciqfunctions.udf.CIQ(A2523, "IQ_CASH_OPER",IQ_FY-5))</f>
        <v>318.71100000000001</v>
      </c>
      <c r="K2527" s="17">
        <f>IF(A2531=A2532,_xll.ciqfunctions.udf.CIQ(A2523,"IQ_CAPEX",IQ_FY-6), _xll.ciqfunctions.udf.CIQ(A2523, "IQ_CAPEX",IQ_FY-5))</f>
        <v>-55.18</v>
      </c>
      <c r="L2527" s="15">
        <f t="shared" si="672"/>
        <v>4.321682998301541</v>
      </c>
      <c r="M2527" s="17">
        <f>IF(A2531=A2532,_xll.ciqfunctions.udf.CIQ(A2523,"IQ_TOTAL_DEBT_ISSUED",IQ_FY-6), _xll.ciqfunctions.udf.CIQ(A2523, "IQ_TOTAL_DEBT_ISSUED",IQ_FY-5))</f>
        <v>0</v>
      </c>
      <c r="N2527" s="17">
        <f>IF(A2531=A2532,_xll.ciqfunctions.udf.CIQ(A2523,"IQ_TOTAL_DEBT_REPAID",IQ_FY-6), _xll.ciqfunctions.udf.CIQ(A2523, "IQ_TOTAL_DEBT_REPAID",IQ_FY-5))</f>
        <v>-60</v>
      </c>
      <c r="O2527" s="15">
        <f t="shared" si="673"/>
        <v>-0.98394868117258483</v>
      </c>
      <c r="P2527" s="15">
        <f t="shared" si="674"/>
        <v>3.3377343171289562</v>
      </c>
      <c r="Q2527" s="18"/>
      <c r="R2527" s="38" t="s">
        <v>50</v>
      </c>
      <c r="S2527" s="3">
        <f>I2534</f>
        <v>-1.5665530015346318E-2</v>
      </c>
      <c r="U2527" s="18"/>
      <c r="V2527" s="38" t="s">
        <v>50</v>
      </c>
      <c r="W2527" s="3">
        <f>I2534</f>
        <v>-1.5665530015346318E-2</v>
      </c>
      <c r="Y2527" s="18"/>
      <c r="Z2527" s="38" t="s">
        <v>50</v>
      </c>
      <c r="AA2527" s="3">
        <f>I2534</f>
        <v>-1.5665530015346318E-2</v>
      </c>
    </row>
    <row r="2528" spans="1:27">
      <c r="B2528" s="13">
        <v>6</v>
      </c>
      <c r="C2528" s="14" t="s">
        <v>26</v>
      </c>
      <c r="D2528" s="15" cm="1">
        <f t="array" ref="D2528">_xlfn.SINGLE(IF(A2531=A2532,_xll.ciqfunctions.udf.CIQ(A2523,"IQ_TOTAL_REV",IQ_FY-5)/I2528, _xll.ciqfunctions.udf.CIQ(A2523, "IQ_TOTAL_REV",IQ_FY-4)/I2528))</f>
        <v>20.326081701136008</v>
      </c>
      <c r="E2528" s="16">
        <f t="shared" si="675"/>
        <v>-0.19105130344722154</v>
      </c>
      <c r="F2528" s="15">
        <f>IF(A2531=A2532,_xll.ciqfunctions.udf.CIQ(A2523,"IQ_DILUT_EPS_EXCL",IQ_FY-5), _xll.ciqfunctions.udf.CIQ(A2523, "IQ_DILUT_EPS_EXCL",IQ_FY-4))</f>
        <v>1.46</v>
      </c>
      <c r="G2528" s="15">
        <f>IF(A2531=A2532,_xll.ciqfunctions.udf.CIQ(A2523,"IQ_EBITDA_MARGIN",IQ_FY-5), _xll.ciqfunctions.udf.CIQ(A2523, "IQ_EBITDA_MARGIN",IQ_FY-4))</f>
        <v>14.818899999999999</v>
      </c>
      <c r="H2528" s="15">
        <f>IF(A2531=A2532,_xll.ciqfunctions.udf.CIQ(A2523,"IQ_TOTAL_DIV_PAID_CF",IQ_FY-5)/-I2528, _xll.ciqfunctions.udf.CIQ(A2523, "IQ_TOTAL_DIV_PAID_CF",IQ_FY-4)/-I2528)</f>
        <v>0</v>
      </c>
      <c r="I2528" s="17">
        <f>IF(A2531=A2532,_xll.ciqfunctions.udf.CIQ(A2523,"IQ_TOTAL_OUTSTANDING_FILING_DATE",IQ_FY-5), _xll.ciqfunctions.udf.CIQ(A2523, "IQ_TOTAL_OUTSTANDING_FILING_DATE",IQ_FY-4))</f>
        <v>58.32526</v>
      </c>
      <c r="J2528" s="17">
        <f>IF(A2531=A2532,_xll.ciqfunctions.udf.CIQ(A2523,"IQ_CASH_OPER",IQ_FY-5), _xll.ciqfunctions.udf.CIQ(A2523, "IQ_CASH_OPER",IQ_FY-4))</f>
        <v>206.69399999999999</v>
      </c>
      <c r="K2528" s="17">
        <f>IF(A2531=A2532,_xll.ciqfunctions.udf.CIQ(A2523,"IQ_CAPEX",IQ_FY-5), _xll.ciqfunctions.udf.CIQ(A2523, "IQ_CAPEX",IQ_FY-4))</f>
        <v>-31.614999999999998</v>
      </c>
      <c r="L2528" s="15">
        <f t="shared" si="672"/>
        <v>3.0017697306450066</v>
      </c>
      <c r="M2528" s="17">
        <f>IF(A2531=A2532,_xll.ciqfunctions.udf.CIQ(A2523,"IQ_TOTAL_DEBT_ISSUED",IQ_FY-5), _xll.ciqfunctions.udf.CIQ(A2523, "IQ_TOTAL_DEBT_ISSUED",IQ_FY-4))</f>
        <v>0</v>
      </c>
      <c r="N2528" s="17">
        <f>IF(A2531=A2532,_xll.ciqfunctions.udf.CIQ(A2523,"IQ_TOTAL_DEBT_REPAID",IQ_FY-5), _xll.ciqfunctions.udf.CIQ(A2523, "IQ_TOTAL_DEBT_REPAID",IQ_FY-4))</f>
        <v>0</v>
      </c>
      <c r="O2528" s="15">
        <f t="shared" si="673"/>
        <v>0</v>
      </c>
      <c r="P2528" s="15">
        <f t="shared" si="674"/>
        <v>3.0017697306450066</v>
      </c>
      <c r="Q2528" s="25" t="s">
        <v>27</v>
      </c>
      <c r="R2528" s="38" t="s">
        <v>51</v>
      </c>
      <c r="S2528" s="4">
        <f>AVERAGE(F2528:F2533)/AVERAGE(D2528:D2533)</f>
        <v>0.1139615160798868</v>
      </c>
      <c r="U2528" s="25" t="s">
        <v>58</v>
      </c>
      <c r="V2528" s="38" t="s">
        <v>51</v>
      </c>
      <c r="W2528" s="4">
        <f>AVERAGE(F2528:F2533)/AVERAGE(D2528:D2533)</f>
        <v>0.1139615160798868</v>
      </c>
      <c r="Y2528" s="25" t="s">
        <v>56</v>
      </c>
      <c r="Z2528" s="38" t="s">
        <v>51</v>
      </c>
      <c r="AA2528" s="4">
        <f>AVERAGE(F2528:F2533)/AVERAGE(D2528:D2533)</f>
        <v>0.1139615160798868</v>
      </c>
    </row>
    <row r="2529" spans="1:27">
      <c r="A2529" s="18"/>
      <c r="B2529" s="13">
        <v>7</v>
      </c>
      <c r="C2529" s="14" t="s">
        <v>28</v>
      </c>
      <c r="D2529" s="15" cm="1">
        <f t="array" ref="D2529">_xlfn.SINGLE(IF(A2531=A2532,_xll.ciqfunctions.udf.CIQ(A2523,"IQ_TOTAL_REV",IQ_FY-4)/I2529, _xll.ciqfunctions.udf.CIQ(A2523, "IQ_TOTAL_REV",IQ_FY-3)/I2529))</f>
        <v>21.950755223080161</v>
      </c>
      <c r="E2529" s="16">
        <f t="shared" si="675"/>
        <v>7.9930482708497216E-2</v>
      </c>
      <c r="F2529" s="15">
        <f>IF(A2531=A2532,_xll.ciqfunctions.udf.CIQ(A2523,"IQ_DILUT_EPS_EXCL",IQ_FY-4), _xll.ciqfunctions.udf.CIQ(A2523, "IQ_DILUT_EPS_EXCL",IQ_FY-3))</f>
        <v>2.64</v>
      </c>
      <c r="G2529" s="15">
        <f>IF(A2531=A2532,_xll.ciqfunctions.udf.CIQ(A2523,"IQ_EBITDA_MARGIN",IQ_FY-4), _xll.ciqfunctions.udf.CIQ(A2523, "IQ_EBITDA_MARGIN",IQ_FY-3))</f>
        <v>20.578900000000001</v>
      </c>
      <c r="H2529" s="15">
        <f>IF(A2531=A2532,_xll.ciqfunctions.udf.CIQ(A2523,"IQ_TOTAL_DIV_PAID_CF",IQ_FY-4)/-I2529, _xll.ciqfunctions.udf.CIQ(A2523, "IQ_TOTAL_DIV_PAID_CF",IQ_FY-3)/-I2529)</f>
        <v>0</v>
      </c>
      <c r="I2529" s="17">
        <f>IF(A2531=A2532,_xll.ciqfunctions.udf.CIQ(A2523,"IQ_TOTAL_OUTSTANDING_FILING_DATE",IQ_FY-4), _xll.ciqfunctions.udf.CIQ(A2523, "IQ_TOTAL_OUTSTANDING_FILING_DATE",IQ_FY-3))</f>
        <v>58.363549999999996</v>
      </c>
      <c r="J2529" s="17">
        <f>IF(A2531=A2532,_xll.ciqfunctions.udf.CIQ(A2523,"IQ_CASH_OPER",IQ_FY-4), _xll.ciqfunctions.udf.CIQ(A2523, "IQ_CASH_OPER",IQ_FY-3))</f>
        <v>295.815</v>
      </c>
      <c r="K2529" s="17">
        <f>IF(A2531=A2532,_xll.ciqfunctions.udf.CIQ(A2523,"IQ_CAPEX",IQ_FY-4), _xll.ciqfunctions.udf.CIQ(A2523, "IQ_CAPEX",IQ_FY-3))</f>
        <v>-15.656000000000001</v>
      </c>
      <c r="L2529" s="15">
        <f t="shared" si="672"/>
        <v>4.8002391903850947</v>
      </c>
      <c r="M2529" s="17">
        <f>IF(A2531=A2532,_xll.ciqfunctions.udf.CIQ(A2523,"IQ_TOTAL_DEBT_ISSUED",IQ_FY-4), _xll.ciqfunctions.udf.CIQ(A2523, "IQ_TOTAL_DEBT_ISSUED",IQ_FY-3))</f>
        <v>0</v>
      </c>
      <c r="N2529" s="17">
        <f>IF(A2531=A2532,_xll.ciqfunctions.udf.CIQ(A2523,"IQ_TOTAL_DEBT_REPAID",IQ_FY-4), _xll.ciqfunctions.udf.CIQ(A2523, "IQ_TOTAL_DEBT_REPAID",IQ_FY-3))</f>
        <v>0</v>
      </c>
      <c r="O2529" s="15">
        <f t="shared" si="673"/>
        <v>0</v>
      </c>
      <c r="P2529" s="15">
        <f t="shared" si="674"/>
        <v>4.8002391903850947</v>
      </c>
      <c r="Q2529" s="18"/>
      <c r="R2529" s="38" t="s">
        <v>29</v>
      </c>
      <c r="S2529" s="4">
        <f>(AVERAGE(P2528:P2533)/_xlfn.STDEV.P(P2528:P2533))/(IF(A2531=A2532,(_xlfn.SINGLE(_xll.ciqfunctions.udf.CIQ(A2523,"IQ_total_assets",IQ_FY)) - _xlfn.SINGLE(_xll.ciqfunctions.udf.CIQ(A2523,"iq_gw_intan", IQ_FY)))/I2533, (_xlfn.SINGLE(_xll.ciqfunctions.udf.CIQ(A2523, "IQ_total_assets",IQ_LTM))-_xlfn.SINGLE(_xll.ciqfunctions.udf.CIQ(A2523,"iq_gw_intan",IQ_LTM)))/I2533))</f>
        <v>8.1577169821857573E-2</v>
      </c>
      <c r="U2529" s="18"/>
      <c r="V2529" s="38" t="s">
        <v>29</v>
      </c>
      <c r="W2529" s="4">
        <f>(AVERAGE(P2528:P2533)/_xlfn.STDEV.P(P2528:P2533))/(IF(A2531=A2532,(_xlfn.SINGLE(_xll.ciqfunctions.udf.CIQ(A2523,"IQ_total_assets",IQ_FY)) - _xlfn.SINGLE(_xll.ciqfunctions.udf.CIQ(A2523,"iq_gw_intan", IQ_FY)))/I2533, (_xlfn.SINGLE(_xll.ciqfunctions.udf.CIQ(A2523, "IQ_total_assets",IQ_LTM))-_xlfn.SINGLE(_xll.ciqfunctions.udf.CIQ(A2523,"iq_gw_intan",IQ_LTM)))/I2533))</f>
        <v>8.1577169821857573E-2</v>
      </c>
      <c r="Y2529" s="18"/>
      <c r="Z2529" s="38" t="s">
        <v>29</v>
      </c>
      <c r="AA2529" s="4">
        <f>(AVERAGE(P2528:P2533)/_xlfn.STDEV.P(P2528:P2533))/(IF(A2531=A2532,(_xlfn.SINGLE(_xll.ciqfunctions.udf.CIQ(A2523,"IQ_total_assets",IQ_FY)) - _xlfn.SINGLE(_xll.ciqfunctions.udf.CIQ(A2523,"iq_gw_intan", IQ_FY)))/I2533, (_xlfn.SINGLE(_xll.ciqfunctions.udf.CIQ(A2523, "IQ_total_assets",IQ_LTM))-_xlfn.SINGLE(_xll.ciqfunctions.udf.CIQ(A2523,"iq_gw_intan",IQ_LTM)))/I2533))</f>
        <v>8.1577169821857573E-2</v>
      </c>
    </row>
    <row r="2530" spans="1:27">
      <c r="A2530" s="18"/>
      <c r="B2530" s="13">
        <v>8</v>
      </c>
      <c r="C2530" s="14" t="s">
        <v>30</v>
      </c>
      <c r="D2530" s="15" cm="1">
        <f t="array" ref="D2530">_xlfn.SINGLE(IF(A2531=A2532,_xll.ciqfunctions.udf.CIQ(A2523,"IQ_TOTAL_REV",IQ_FY-3)/I2530, _xll.ciqfunctions.udf.CIQ(A2523, "IQ_TOTAL_REV",IQ_FY-2)/I2530))</f>
        <v>23.802185434987923</v>
      </c>
      <c r="E2530" s="16">
        <f t="shared" si="675"/>
        <v>8.4344715846545071E-2</v>
      </c>
      <c r="F2530" s="15">
        <f>IF(A2531=A2532,_xll.ciqfunctions.udf.CIQ(A2523,"IQ_DILUT_EPS_EXCL",IQ_FY-3), _xll.ciqfunctions.udf.CIQ(A2523, "IQ_DILUT_EPS_EXCL",IQ_FY-2))</f>
        <v>3.62</v>
      </c>
      <c r="G2530" s="15">
        <f>IF(A2531=A2532,_xll.ciqfunctions.udf.CIQ(A2523,"IQ_EBITDA_MARGIN",IQ_FY-3), _xll.ciqfunctions.udf.CIQ(A2523, "IQ_EBITDA_MARGIN",IQ_FY-2))</f>
        <v>20.7866</v>
      </c>
      <c r="H2530" s="15">
        <f>IF(A2531=A2532,_xll.ciqfunctions.udf.CIQ(A2523,"IQ_TOTAL_DIV_PAID_CF",IQ_FY-3)/-I2530, _xll.ciqfunctions.udf.CIQ(A2523, "IQ_TOTAL_DIV_PAID_CF",IQ_FY-2)/-I2530)</f>
        <v>0</v>
      </c>
      <c r="I2530" s="17">
        <f>IF(A2531=A2532,_xll.ciqfunctions.udf.CIQ(A2523,"IQ_TOTAL_OUTSTANDING_FILING_DATE",IQ_FY-3), _xll.ciqfunctions.udf.CIQ(A2523, "IQ_TOTAL_OUTSTANDING_FILING_DATE",IQ_FY-2))</f>
        <v>57.525390000000002</v>
      </c>
      <c r="J2530" s="17">
        <f>IF(A2531=A2532,_xll.ciqfunctions.udf.CIQ(A2523,"IQ_CASH_OPER",IQ_FY-3), _xll.ciqfunctions.udf.CIQ(A2523, "IQ_CASH_OPER",IQ_FY-2))</f>
        <v>348.94499999999999</v>
      </c>
      <c r="K2530" s="17">
        <f>IF(A2531=A2532,_xll.ciqfunctions.udf.CIQ(A2523,"IQ_CAPEX",IQ_FY-3), _xll.ciqfunctions.udf.CIQ(A2523, "IQ_CAPEX",IQ_FY-2))</f>
        <v>-18.253</v>
      </c>
      <c r="L2530" s="15">
        <f t="shared" si="672"/>
        <v>5.7486268237381788</v>
      </c>
      <c r="M2530" s="17">
        <f>IF(A2531=A2532,_xll.ciqfunctions.udf.CIQ(A2523,"IQ_TOTAL_DEBT_ISSUED",IQ_FY-3), _xll.ciqfunctions.udf.CIQ(A2523, "IQ_TOTAL_DEBT_ISSUED",IQ_FY-2))</f>
        <v>0</v>
      </c>
      <c r="N2530" s="17">
        <f>IF(A2531=A2532,_xll.ciqfunctions.udf.CIQ(A2523,"IQ_TOTAL_DEBT_REPAID",IQ_FY-3), _xll.ciqfunctions.udf.CIQ(A2523, "IQ_TOTAL_DEBT_REPAID",IQ_FY-2))</f>
        <v>0</v>
      </c>
      <c r="O2530" s="15">
        <f t="shared" si="673"/>
        <v>0</v>
      </c>
      <c r="P2530" s="15">
        <f t="shared" si="674"/>
        <v>5.7486268237381788</v>
      </c>
      <c r="Q2530" s="18"/>
      <c r="R2530" s="39" t="s">
        <v>31</v>
      </c>
      <c r="S2530" s="5">
        <f>IF(NOT(D2523&gt;0),FALSE,SLOPE(G2523:G2533,B2523:B2533))</f>
        <v>5.8818181818186851E-4</v>
      </c>
      <c r="U2530" s="18"/>
      <c r="V2530" s="39" t="s">
        <v>31</v>
      </c>
      <c r="W2530" s="5">
        <f>IF(NOT(D2523&gt;0),FALSE,SLOPE(G2523:G2533,B2523:B2533))</f>
        <v>5.8818181818186851E-4</v>
      </c>
      <c r="Y2530" s="18"/>
      <c r="Z2530" s="39" t="s">
        <v>31</v>
      </c>
      <c r="AA2530" s="5">
        <f>IF(NOT(L2523&gt;0),FALSE,SLOPE(O2523:O2533,J2523:J2533))</f>
        <v>-5.7797918905923441E-3</v>
      </c>
    </row>
    <row r="2531" spans="1:27">
      <c r="A2531" s="19">
        <f>_xll.ciqfunctions.udf.CIQ(A2523,"IQ_TOTAL_REV",IQ_FY)</f>
        <v>1897.617</v>
      </c>
      <c r="B2531" s="13">
        <v>9</v>
      </c>
      <c r="C2531" s="14" t="s">
        <v>32</v>
      </c>
      <c r="D2531" s="15" cm="1">
        <f t="array" ref="D2531">_xlfn.SINGLE(IF(A2531=A2532,_xll.ciqfunctions.udf.CIQ(A2523,"IQ_TOTAL_REV",IQ_FY-2)/I2531, _xll.ciqfunctions.udf.CIQ(A2523, "IQ_TOTAL_REV",IQ_FY-1)/I2531))</f>
        <v>31.750156392858862</v>
      </c>
      <c r="E2531" s="16">
        <f t="shared" si="675"/>
        <v>0.33391769758199819</v>
      </c>
      <c r="F2531" s="15">
        <f>IF(A2531=A2532,_xll.ciqfunctions.udf.CIQ(A2523,"IQ_DILUT_EPS_EXCL",IQ_FY-2), _xll.ciqfunctions.udf.CIQ(A2523, "IQ_DILUT_EPS_EXCL",IQ_FY-1))</f>
        <v>5.52</v>
      </c>
      <c r="G2531" s="15">
        <f>IF(A2531=A2532,_xll.ciqfunctions.udf.CIQ(A2523,"IQ_EBITDA_MARGIN",IQ_FY-2), _xll.ciqfunctions.udf.CIQ(A2523, "IQ_EBITDA_MARGIN",IQ_FY-1))</f>
        <v>24.047599999999999</v>
      </c>
      <c r="H2531" s="15">
        <f>IF(A2531=A2532,_xll.ciqfunctions.udf.CIQ(A2523,"IQ_TOTAL_DIV_PAID_CF",IQ_FY-2)/-I2531, _xll.ciqfunctions.udf.CIQ(A2523, "IQ_TOTAL_DIV_PAID_CF",IQ_FY-1)/-I2531)</f>
        <v>0</v>
      </c>
      <c r="I2531" s="17">
        <f>IF(A2531=A2532,_xll.ciqfunctions.udf.CIQ(A2523,"IQ_TOTAL_OUTSTANDING_FILING_DATE",IQ_FY-2), _xll.ciqfunctions.udf.CIQ(A2523, "IQ_TOTAL_OUTSTANDING_FILING_DATE",IQ_FY-1))</f>
        <v>56.108699999999999</v>
      </c>
      <c r="J2531" s="17">
        <f>IF(A2531=A2532,_xll.ciqfunctions.udf.CIQ(A2523,"IQ_CASH_OPER",IQ_FY-2), _xll.ciqfunctions.udf.CIQ(A2523, "IQ_CASH_OPER",IQ_FY-1))</f>
        <v>124.753</v>
      </c>
      <c r="K2531" s="17">
        <f>IF(A2531=A2532,_xll.ciqfunctions.udf.CIQ(A2523,"IQ_CAPEX",IQ_FY-2), _xll.ciqfunctions.udf.CIQ(A2523, "IQ_CAPEX",IQ_FY-1))</f>
        <v>-26.138999999999999</v>
      </c>
      <c r="L2531" s="15">
        <f t="shared" si="672"/>
        <v>1.7575527502864976</v>
      </c>
      <c r="M2531" s="17">
        <f>IF(A2531=A2532,_xll.ciqfunctions.udf.CIQ(A2523,"IQ_TOTAL_DEBT_ISSUED",IQ_FY-2), _xll.ciqfunctions.udf.CIQ(A2523, "IQ_TOTAL_DEBT_ISSUED",IQ_FY-1))</f>
        <v>0</v>
      </c>
      <c r="N2531" s="17">
        <f>IF(A2531=A2532,_xll.ciqfunctions.udf.CIQ(A2523,"IQ_TOTAL_DEBT_REPAID",IQ_FY-2), _xll.ciqfunctions.udf.CIQ(A2523, "IQ_TOTAL_DEBT_REPAID",IQ_FY-1))</f>
        <v>0</v>
      </c>
      <c r="O2531" s="15">
        <f t="shared" si="673"/>
        <v>0</v>
      </c>
      <c r="P2531" s="15">
        <f t="shared" si="674"/>
        <v>1.7575527502864976</v>
      </c>
      <c r="Q2531" s="25" t="s">
        <v>33</v>
      </c>
      <c r="R2531" s="38" t="s">
        <v>52</v>
      </c>
      <c r="S2531" s="4">
        <f>(AVERAGE(O2528:O2533)/AVERAGE(P2528:P2533))</f>
        <v>0</v>
      </c>
      <c r="U2531" s="25" t="s">
        <v>54</v>
      </c>
      <c r="V2531" s="38" t="s">
        <v>52</v>
      </c>
      <c r="W2531" s="4">
        <f>(AVERAGE(O2528:O2533)/AVERAGE(P2528:P2533))</f>
        <v>0</v>
      </c>
      <c r="Y2531" s="25" t="s">
        <v>60</v>
      </c>
      <c r="Z2531" s="38" t="s">
        <v>52</v>
      </c>
      <c r="AA2531" s="4">
        <f>(AVERAGE(O2528:O2533)/AVERAGE(P2528:P2533))</f>
        <v>0</v>
      </c>
    </row>
    <row r="2532" spans="1:27">
      <c r="A2532" s="19">
        <f>_xll.ciqfunctions.udf.CIQ(A2523,"IQ_TOTAL_REV",IQ_LTM)</f>
        <v>1761.4829999999999</v>
      </c>
      <c r="B2532" s="13">
        <v>10</v>
      </c>
      <c r="C2532" s="14" t="s">
        <v>34</v>
      </c>
      <c r="D2532" s="15" cm="1">
        <f t="array" ref="D2532">_xlfn.SINGLE(IF(A2531=A2532,_xll.ciqfunctions.udf.CIQ(A2523,"IQ_TOTAL_REV",IQ_FY-1)/I2532, _xll.ciqfunctions.udf.CIQ(A2523, "IQ_TOTAL_REV",IQ_FY)/I2532))</f>
        <v>34.618975757447501</v>
      </c>
      <c r="E2532" s="16">
        <f t="shared" si="675"/>
        <v>9.0356070347857684E-2</v>
      </c>
      <c r="F2532" s="15">
        <f>IF(A2531=A2532,_xll.ciqfunctions.udf.CIQ(A2523,"IQ_DILUT_EPS_EXCL",IQ_FY-1), _xll.ciqfunctions.udf.CIQ(A2523, "IQ_DILUT_EPS_EXCL",IQ_FY))</f>
        <v>3.09</v>
      </c>
      <c r="G2532" s="15">
        <f>IF(A2531=A2532,_xll.ciqfunctions.udf.CIQ(A2523,"IQ_EBITDA_MARGIN",IQ_FY-1), _xll.ciqfunctions.udf.CIQ(A2523, "IQ_EBITDA_MARGIN",IQ_FY))</f>
        <v>21.955100000000002</v>
      </c>
      <c r="H2532" s="15">
        <f>IF(A2531=A2532,_xll.ciqfunctions.udf.CIQ(A2523,"IQ_TOTAL_DIV_PAID_CF",IQ_FY-1)/-I2532, _xll.ciqfunctions.udf.CIQ(A2523, "IQ_TOTAL_DIV_PAID_CF",IQ_FY)/-I2532)</f>
        <v>0</v>
      </c>
      <c r="I2532" s="17">
        <f>IF(A2531=A2532,_xll.ciqfunctions.udf.CIQ(A2523,"IQ_TOTAL_OUTSTANDING_FILING_DATE",IQ_FY-1), _xll.ciqfunctions.udf.CIQ(A2523, "IQ_TOTAL_OUTSTANDING_FILING_DATE",IQ_FY))</f>
        <v>54.814360000000001</v>
      </c>
      <c r="J2532" s="17">
        <f>IF(A2531=A2532,_xll.ciqfunctions.udf.CIQ(A2523,"IQ_CASH_OPER",IQ_FY-1), _xll.ciqfunctions.udf.CIQ(A2523, "IQ_CASH_OPER",IQ_FY))</f>
        <v>339.56799999999998</v>
      </c>
      <c r="K2532" s="17">
        <f>IF(A2531=A2532,_xll.ciqfunctions.udf.CIQ(A2523,"IQ_CAPEX",IQ_FY-1), _xll.ciqfunctions.udf.CIQ(A2523, "IQ_CAPEX",IQ_FY))</f>
        <v>-35.090000000000003</v>
      </c>
      <c r="L2532" s="15">
        <f t="shared" si="672"/>
        <v>5.5547123053156131</v>
      </c>
      <c r="M2532" s="17">
        <f>IF(A2531=A2532,_xll.ciqfunctions.udf.CIQ(A2523,"IQ_TOTAL_DEBT_ISSUED",IQ_FY-1), _xll.ciqfunctions.udf.CIQ(A2523, "IQ_TOTAL_DEBT_ISSUED",IQ_FY))</f>
        <v>0</v>
      </c>
      <c r="N2532" s="17">
        <f>IF(A2531=A2532,_xll.ciqfunctions.udf.CIQ(A2523,"IQ_TOTAL_DEBT_REPAID",IQ_FY-1), _xll.ciqfunctions.udf.CIQ(A2523, "IQ_TOTAL_DEBT_REPAID",IQ_FY))</f>
        <v>0</v>
      </c>
      <c r="O2532" s="15">
        <f t="shared" si="673"/>
        <v>0</v>
      </c>
      <c r="P2532" s="15">
        <f t="shared" si="674"/>
        <v>5.5547123053156131</v>
      </c>
      <c r="Q2532" s="25" t="s">
        <v>44</v>
      </c>
      <c r="R2532" s="38" t="s">
        <v>35</v>
      </c>
      <c r="S2532" s="1">
        <f>_xll.ciqfunctions.udf.CIQ(A2523,"IQ_TEV_EBITDA")</f>
        <v>10.072380000000001</v>
      </c>
      <c r="U2532" s="25" t="s">
        <v>55</v>
      </c>
      <c r="V2532" s="38" t="s">
        <v>53</v>
      </c>
      <c r="W2532" s="1">
        <f>V2522/(AVERAGE(D2528:D2533)/_xlfn.STDEV.P(E2528:E2533))</f>
        <v>0.44563736126767617</v>
      </c>
      <c r="Y2532" s="25" t="s">
        <v>57</v>
      </c>
      <c r="Z2532" s="38" t="s">
        <v>53</v>
      </c>
      <c r="AA2532" s="1">
        <f>Z2522/(AVERAGE(D2528:D2533)/_xlfn.STDEV.P(E2528:E2533))</f>
        <v>0.44563736126767617</v>
      </c>
    </row>
    <row r="2533" spans="1:27">
      <c r="B2533" s="13">
        <v>11</v>
      </c>
      <c r="C2533" s="20" t="s">
        <v>36</v>
      </c>
      <c r="D2533" s="21" cm="1">
        <f t="array" ref="D2533">_xlfn.SINGLE(IF(A2531=A2532,_xll.ciqfunctions.udf.CIQ(A2523,"IQ_TOTAL_REV",IQ_FY)/I2533, _xll.ciqfunctions.udf.CIQ(A2523, "IQ_TOTAL_REV",IQ_LTM)/I2533))</f>
        <v>32.681975795252079</v>
      </c>
      <c r="E2533" s="22">
        <f t="shared" si="675"/>
        <v>-5.595197199844134E-2</v>
      </c>
      <c r="F2533" s="21">
        <f>IF(A2531=A2532,_xll.ciqfunctions.udf.CIQ(A2523,"IQ_DILUT_EPS_EXCL",IQ_FY), _xll.ciqfunctions.udf.CIQ(A2523, "IQ_DILUT_EPS_EXCL",IQ_LTM))</f>
        <v>2.48848</v>
      </c>
      <c r="G2533" s="21">
        <f>IF(A2531=A2532,_xll.ciqfunctions.udf.CIQ(A2523,"IQ_EBITDA_MARGIN",IQ_FY), _xll.ciqfunctions.udf.CIQ(A2523, "IQ_EBITDA_MARGIN",IQ_LTM))</f>
        <v>20.54</v>
      </c>
      <c r="H2533" s="21">
        <f>IF(A2531=A2532,_xll.ciqfunctions.udf.CIQ(A2523,"IQ_TOTAL_DIV_PAID_CF",IQ_FY)/-I2533, _xll.ciqfunctions.udf.CIQ(A2523, "IQ_TOTAL_DIV_PAID_CF",IQ_LTM)/-I2533)</f>
        <v>0</v>
      </c>
      <c r="I2533" s="23">
        <f>IF(A2531=A2532,_xll.ciqfunctions.udf.CIQ(A2523,"IQ_TOTAL_OUTSTANDING_FILING_DATE",IQ_FY),_xll.ciqfunctions.udf.CIQ(A2523,"IQ_sharesoutstanding"))</f>
        <v>53.897689999999997</v>
      </c>
      <c r="J2533" s="23">
        <f>IF(A2531=A2532,_xll.ciqfunctions.udf.CIQ(A2523,"IQ_CASH_OPER",IQ_FY), _xll.ciqfunctions.udf.CIQ(A2523, "IQ_CASH_OPER",IQ_LTM))</f>
        <v>166.67</v>
      </c>
      <c r="K2533" s="23">
        <f>IF(A2531=A2532,_xll.ciqfunctions.udf.CIQ(A2523,"IQ_CAPEX",IQ_FY), _xll.ciqfunctions.udf.CIQ(A2523, "IQ_CAPEX",IQ_LTM))</f>
        <v>-38.883000000000003</v>
      </c>
      <c r="L2533" s="21">
        <f t="shared" si="672"/>
        <v>2.3709179372993532</v>
      </c>
      <c r="M2533" s="23">
        <f>IF(A2531=A2532,_xll.ciqfunctions.udf.CIQ(A2523,"IQ_TOTAL_DEBT_ISSUED",IQ_FY), _xll.ciqfunctions.udf.CIQ(A2523, "IQ_TOTAL_DEBT_ISSUED",IQ_LTM))</f>
        <v>0</v>
      </c>
      <c r="N2533" s="23">
        <f>IF(A2531=A2532,_xll.ciqfunctions.udf.CIQ(A2523,"IQ_TOTAL_DEBT_REPAID",IQ_FY), _xll.ciqfunctions.udf.CIQ(A2523, "IQ_TOTAL_DEBT_REPAID",IQ_LTM))</f>
        <v>0</v>
      </c>
      <c r="O2533" s="21">
        <f t="shared" si="673"/>
        <v>0</v>
      </c>
      <c r="P2533" s="21">
        <f t="shared" si="674"/>
        <v>2.3709179372993532</v>
      </c>
      <c r="Q2533" s="25" t="s">
        <v>45</v>
      </c>
      <c r="S2533" s="45"/>
      <c r="U2533" s="25"/>
      <c r="W2533" s="45"/>
      <c r="Y2533" s="25"/>
      <c r="AA2533" s="45"/>
    </row>
    <row r="2534" spans="1:27">
      <c r="B2534" s="24"/>
      <c r="C2534" s="25" t="s">
        <v>37</v>
      </c>
      <c r="E2534" s="26">
        <f>((D2533/D2528)^(1/5))-1</f>
        <v>9.9641008416798016E-2</v>
      </c>
      <c r="F2534" s="27">
        <f>((F2533/F2528)^(1/5))-1</f>
        <v>0.11254160189265439</v>
      </c>
      <c r="G2534" s="28"/>
      <c r="H2534" s="27" t="e">
        <f>((H2533/H2528)^(1/5))-1</f>
        <v>#DIV/0!</v>
      </c>
      <c r="I2534" s="27">
        <f>((I2533/I2528)^(1/5))-1</f>
        <v>-1.5665530015346318E-2</v>
      </c>
      <c r="J2534" s="27"/>
      <c r="K2534" s="27"/>
      <c r="L2534" s="26">
        <f>((L2533/L2528)^(1/5))-1</f>
        <v>-4.6089059719899517E-2</v>
      </c>
      <c r="M2534" s="26"/>
      <c r="N2534" s="26"/>
      <c r="O2534" s="26"/>
      <c r="P2534" s="26">
        <f>((P2533/P2528)^(1/5))-1</f>
        <v>-4.6089059719899517E-2</v>
      </c>
      <c r="Q2534" s="18"/>
      <c r="R2534" s="36"/>
      <c r="S2534" s="45"/>
      <c r="U2534" s="18"/>
      <c r="V2534" s="36"/>
      <c r="W2534" s="45"/>
      <c r="Y2534" s="18"/>
      <c r="Z2534" s="36"/>
      <c r="AA2534" s="45"/>
    </row>
    <row r="2535" spans="1:27">
      <c r="A2535" s="29"/>
      <c r="B2535" s="30"/>
      <c r="C2535" s="31" t="s">
        <v>38</v>
      </c>
      <c r="D2535" s="29"/>
      <c r="E2535" s="32">
        <f>((D2533/D2523)^(1/10))-1</f>
        <v>0.1099934639478366</v>
      </c>
      <c r="F2535" s="33">
        <f>((F2533/F2523)^(1/10))-1</f>
        <v>4.1945542448658779E-2</v>
      </c>
      <c r="G2535" s="34"/>
      <c r="H2535" s="33" t="e">
        <f>((H2533/H2523)^(1/10))-1</f>
        <v>#DIV/0!</v>
      </c>
      <c r="I2535" s="33">
        <f>((I2533/I2523)^(1/10))-1</f>
        <v>-1.3999696187142918E-2</v>
      </c>
      <c r="J2535" s="33"/>
      <c r="K2535" s="33"/>
      <c r="L2535" s="32">
        <f>((L2533/L2523)^(1/10))-1</f>
        <v>-3.6309147925029706E-2</v>
      </c>
      <c r="M2535" s="32"/>
      <c r="N2535" s="32"/>
      <c r="O2535" s="32"/>
      <c r="P2535" s="32">
        <f>((P2533/P2523)^(1/10))-1</f>
        <v>-3.6309147925029706E-2</v>
      </c>
      <c r="Q2535" s="40"/>
      <c r="R2535" s="41"/>
      <c r="S2535" s="46"/>
      <c r="U2535" s="40"/>
      <c r="V2535" s="41"/>
      <c r="W2535" s="46"/>
      <c r="Y2535" s="40"/>
      <c r="Z2535" s="41"/>
      <c r="AA2535" s="46"/>
    </row>
    <row r="2536" spans="1:27">
      <c r="B2536" s="24"/>
      <c r="C2536" s="25"/>
      <c r="E2536" s="26"/>
      <c r="F2536" s="27"/>
      <c r="G2536" s="28"/>
      <c r="H2536" s="27"/>
      <c r="I2536" s="27"/>
      <c r="J2536" s="27"/>
      <c r="K2536" s="27"/>
      <c r="L2536" s="26"/>
      <c r="M2536" s="17"/>
      <c r="N2536" s="17"/>
      <c r="O2536" s="17"/>
      <c r="P2536" s="35"/>
      <c r="Q2536" s="18"/>
      <c r="R2536" s="36"/>
    </row>
    <row r="2537" spans="1:27">
      <c r="A2537" s="9" t="s">
        <v>0</v>
      </c>
      <c r="B2537" s="10"/>
      <c r="C2537" s="9" t="s">
        <v>1</v>
      </c>
      <c r="D2537" s="9" t="s">
        <v>2</v>
      </c>
      <c r="E2537" s="9" t="s">
        <v>3</v>
      </c>
      <c r="F2537" s="11" t="s">
        <v>4</v>
      </c>
      <c r="G2537" s="11" t="s">
        <v>5</v>
      </c>
      <c r="H2537" s="9" t="s">
        <v>6</v>
      </c>
      <c r="I2537" s="11" t="s">
        <v>7</v>
      </c>
      <c r="J2537" s="11" t="s">
        <v>8</v>
      </c>
      <c r="K2537" s="11" t="s">
        <v>9</v>
      </c>
      <c r="L2537" s="11" t="s">
        <v>10</v>
      </c>
      <c r="M2537" s="11" t="s">
        <v>11</v>
      </c>
      <c r="N2537" s="11" t="s">
        <v>12</v>
      </c>
      <c r="O2537" s="11" t="s">
        <v>13</v>
      </c>
      <c r="P2537" s="11" t="s">
        <v>14</v>
      </c>
      <c r="Q2537" s="37" t="s">
        <v>15</v>
      </c>
      <c r="R2537" s="42">
        <f>_xll.ciqfunctions.udf.CIQ(A2538,("IQ_LASTSALEPRICE"))</f>
        <v>68.105000000000004</v>
      </c>
      <c r="S2537" s="44"/>
      <c r="U2537" s="37" t="s">
        <v>15</v>
      </c>
      <c r="V2537" s="42">
        <f>_xll.ciqfunctions.udf.CIQ(A2538,("IQ_LASTSALEPRICE"))</f>
        <v>68.105000000000004</v>
      </c>
      <c r="W2537" s="44"/>
      <c r="Y2537" s="37" t="s">
        <v>15</v>
      </c>
      <c r="Z2537" s="42">
        <f>_xll.ciqfunctions.udf.CIQ(A2538,("IQ_LASTSALEPRICE"))</f>
        <v>68.105000000000004</v>
      </c>
      <c r="AA2537" s="44"/>
    </row>
    <row r="2538" spans="1:27">
      <c r="A2538" s="12" t="str">
        <f>Analysis!B171</f>
        <v>NasdaqGS:DIOD</v>
      </c>
      <c r="B2538" s="13">
        <v>1</v>
      </c>
      <c r="C2538" s="14" t="s">
        <v>16</v>
      </c>
      <c r="D2538" s="15">
        <f>IF(A2546=A2547,_xll.ciqfunctions.udf.CIQ(A2538,"IQ_TOTAL_REV",IQ_FY-10)/I2538,_xll.ciqfunctions.udf.CIQ(A2538, "IQ_TOTAL_REV",IQ_FY-9)/I2538)</f>
        <v>17.705436302947401</v>
      </c>
      <c r="E2538" s="16"/>
      <c r="F2538" s="15">
        <f>IF(A2546=A2547,_xll.ciqfunctions.udf.CIQ(A2538,"IQ_DILUT_EPS_EXCL",IQ_FY-10), _xll.ciqfunctions.udf.CIQ(A2538, "IQ_DILUT_EPS_EXCL",IQ_FY-9))</f>
        <v>0.56000000000000005</v>
      </c>
      <c r="G2538" s="15">
        <f>IF(A2546=A2547,_xll.ciqfunctions.udf.CIQ(A2538,"IQ_EBITDA_MARGIN",IQ_FY-10), _xll.ciqfunctions.udf.CIQ(A2538, "IQ_EBITDA_MARGIN",IQ_FY-9))</f>
        <v>15.7262</v>
      </c>
      <c r="H2538" s="15">
        <f>IF(A2546=A2547,_xll.ciqfunctions.udf.CIQ(A2538,"IQ_TOTAL_DIV_PAID_CF",IQ_FY-10)/-I2538, _xll.ciqfunctions.udf.CIQ(A2538, "IQ_TOTAL_DIV_PAID_CF",IQ_FY-9)/-I2538)</f>
        <v>0</v>
      </c>
      <c r="I2538" s="17">
        <f>IF(A2546=A2547,_xll.ciqfunctions.udf.CIQ(A2538,"IQ_TOTAL_OUTSTANDING_FILING_DATE",IQ_FY-10), _xll.ciqfunctions.udf.CIQ(A2538, "IQ_TOTAL_OUTSTANDING_FILING_DATE",IQ_FY-9))</f>
        <v>46.700119999999998</v>
      </c>
      <c r="J2538" s="17">
        <f>IF(A2546=A2547,_xll.ciqfunctions.udf.CIQ(A2538,"IQ_CASH_OPER",IQ_FY-10), _xll.ciqfunctions.udf.CIQ(A2538, "IQ_CASH_OPER",IQ_FY-9))</f>
        <v>109.89100000000001</v>
      </c>
      <c r="K2538" s="17">
        <f>IF(A2546=A2547,_xll.ciqfunctions.udf.CIQ(A2538,"IQ_CAPEX",IQ_FY-10), _xll.ciqfunctions.udf.CIQ(A2538, "IQ_CAPEX",IQ_FY-9))</f>
        <v>-47.054000000000002</v>
      </c>
      <c r="L2538" s="15">
        <f t="shared" ref="L2538:L2548" si="676">(J2538+K2538)/I2538</f>
        <v>1.3455425810469011</v>
      </c>
      <c r="M2538" s="17">
        <f>IF(A2546=A2547,_xll.ciqfunctions.udf.CIQ(A2538,"IQ_TOTAL_DEBT_ISSUED",IQ_FY-10), _xll.ciqfunctions.udf.CIQ(A2538, "IQ_TOTAL_DEBT_ISSUED",IQ_FY-9))</f>
        <v>196.101</v>
      </c>
      <c r="N2538" s="17">
        <f>IF(A2546=A2547,_xll.ciqfunctions.udf.CIQ(A2538,"IQ_TOTAL_DEBT_REPAID",IQ_FY-10), _xll.ciqfunctions.udf.CIQ(A2538, "IQ_TOTAL_DEBT_REPAID",IQ_FY-9))</f>
        <v>-77.344999999999999</v>
      </c>
      <c r="O2538" s="15">
        <f t="shared" ref="O2538:O2548" si="677">(M2538+N2538)/I2538</f>
        <v>2.5429484977768793</v>
      </c>
      <c r="P2538" s="15">
        <f t="shared" ref="P2538:P2548" si="678">L2538+O2538</f>
        <v>3.8884910788237805</v>
      </c>
      <c r="W2538" s="43"/>
      <c r="AA2538" s="43"/>
    </row>
    <row r="2539" spans="1:27">
      <c r="A2539" s="18" t="str">
        <f>_xll.ciqfunctions.udf.CIQ(A2538,"IQ_COMPANY_NAME")</f>
        <v>Diodes Incorporated</v>
      </c>
      <c r="B2539" s="13">
        <v>2</v>
      </c>
      <c r="C2539" s="14" t="s">
        <v>17</v>
      </c>
      <c r="D2539" s="15">
        <f>IF(A2546=A2547,_xll.ciqfunctions.udf.CIQ(A2538,"IQ_TOTAL_REV",IQ_FY-9)/I2539, _xll.ciqfunctions.udf.CIQ(A2538, "IQ_TOTAL_REV",IQ_FY-8)/I2539)</f>
        <v>18.693781241971745</v>
      </c>
      <c r="E2539" s="16">
        <f t="shared" ref="E2539:E2548" si="679">(D2539-D2538)/D2538</f>
        <v>5.5821552325136185E-2</v>
      </c>
      <c r="F2539" s="15">
        <f>IF(A2546=A2547,_xll.ciqfunctions.udf.CIQ(A2538,"IQ_DILUT_EPS_EXCL",IQ_FY-9), _xll.ciqfunctions.udf.CIQ(A2538, "IQ_DILUT_EPS_EXCL",IQ_FY-8))</f>
        <v>1.31</v>
      </c>
      <c r="G2539" s="15">
        <f>IF(A2546=A2547,_xll.ciqfunctions.udf.CIQ(A2538,"IQ_EBITDA_MARGIN",IQ_FY-9), _xll.ciqfunctions.udf.CIQ(A2538, "IQ_EBITDA_MARGIN",IQ_FY-8))</f>
        <v>18.1083</v>
      </c>
      <c r="H2539" s="15">
        <f>IF(A2546=A2547,_xll.ciqfunctions.udf.CIQ(A2538,"IQ_TOTAL_DIV_PAID_CF",IQ_FY-9)/-I2539, _xll.ciqfunctions.udf.CIQ(A2538, "IQ_TOTAL_DIV_PAID_CF",IQ_FY-8)/-I2539)</f>
        <v>0</v>
      </c>
      <c r="I2539" s="17">
        <f>IF(A2546=A2547,_xll.ciqfunctions.udf.CIQ(A2538,"IQ_TOTAL_OUTSTANDING_FILING_DATE",IQ_FY-9), _xll.ciqfunctions.udf.CIQ(A2538, "IQ_TOTAL_OUTSTANDING_FILING_DATE",IQ_FY-8))</f>
        <v>47.644240000000003</v>
      </c>
      <c r="J2539" s="17">
        <f>IF(A2546=A2547,_xll.ciqfunctions.udf.CIQ(A2538,"IQ_CASH_OPER",IQ_FY-9), _xll.ciqfunctions.udf.CIQ(A2538, "IQ_CASH_OPER",IQ_FY-8))</f>
        <v>134.27199999999999</v>
      </c>
      <c r="K2539" s="17">
        <f>IF(A2546=A2547,_xll.ciqfunctions.udf.CIQ(A2538,"IQ_CAPEX",IQ_FY-9), _xll.ciqfunctions.udf.CIQ(A2538, "IQ_CAPEX",IQ_FY-8))</f>
        <v>-57.765999999999998</v>
      </c>
      <c r="L2539" s="15">
        <f t="shared" si="676"/>
        <v>1.6057764800110148</v>
      </c>
      <c r="M2539" s="17">
        <f>IF(A2546=A2547,_xll.ciqfunctions.udf.CIQ(A2538,"IQ_TOTAL_DEBT_ISSUED",IQ_FY-9), _xll.ciqfunctions.udf.CIQ(A2538, "IQ_TOTAL_DEBT_ISSUED",IQ_FY-8))</f>
        <v>6.7779999999999996</v>
      </c>
      <c r="N2539" s="17">
        <f>IF(A2546=A2547,_xll.ciqfunctions.udf.CIQ(A2538,"IQ_TOTAL_DEBT_REPAID",IQ_FY-9), _xll.ciqfunctions.udf.CIQ(A2538, "IQ_TOTAL_DEBT_REPAID",IQ_FY-8))</f>
        <v>-54.323</v>
      </c>
      <c r="O2539" s="15">
        <f t="shared" si="677"/>
        <v>-0.99791706195754193</v>
      </c>
      <c r="P2539" s="15">
        <f t="shared" si="678"/>
        <v>0.60785941805347288</v>
      </c>
      <c r="Q2539" s="25" t="s">
        <v>18</v>
      </c>
      <c r="R2539" s="39" t="s">
        <v>19</v>
      </c>
      <c r="S2539" s="1">
        <f>R2537/((AVERAGE(P2543:P2548))*(1+E2549)^3)</f>
        <v>29.751690420360443</v>
      </c>
      <c r="U2539" s="25" t="s">
        <v>48</v>
      </c>
      <c r="V2539" s="39" t="s">
        <v>19</v>
      </c>
      <c r="W2539" s="1">
        <f>V2537/((AVERAGE(P2543:P2548))*(1+E2549)^3)</f>
        <v>29.751690420360443</v>
      </c>
      <c r="Y2539" s="25" t="s">
        <v>39</v>
      </c>
      <c r="Z2539" s="39" t="s">
        <v>19</v>
      </c>
      <c r="AA2539" s="1">
        <f>Z2537/((AVERAGE(P2543:P2548))*(1+E2549)^3)</f>
        <v>29.751690420360443</v>
      </c>
    </row>
    <row r="2540" spans="1:27">
      <c r="B2540" s="13">
        <v>3</v>
      </c>
      <c r="C2540" s="14" t="s">
        <v>20</v>
      </c>
      <c r="D2540" s="15" cm="1">
        <f t="array" ref="D2540">_xlfn.SINGLE(IF(A2546=A2547,_xll.ciqfunctions.udf.CIQ(A2538,"IQ_TOTAL_REV",IQ_FY-8)/I2540, _xll.ciqfunctions.udf.CIQ(A2538, "IQ_TOTAL_REV",IQ_FY-7)/I2540))</f>
        <v>17.576885831117337</v>
      </c>
      <c r="E2540" s="16">
        <f t="shared" si="679"/>
        <v>-5.9746896382136233E-2</v>
      </c>
      <c r="F2540" s="15">
        <f>IF(A2546=A2547,_xll.ciqfunctions.udf.CIQ(A2538,"IQ_DILUT_EPS_EXCL",IQ_FY-8), _xll.ciqfunctions.udf.CIQ(A2538, "IQ_DILUT_EPS_EXCL",IQ_FY-7))</f>
        <v>0.49</v>
      </c>
      <c r="G2540" s="15">
        <f>IF(A2546=A2547,_xll.ciqfunctions.udf.CIQ(A2538,"IQ_EBITDA_MARGIN",IQ_FY-8), _xll.ciqfunctions.udf.CIQ(A2538, "IQ_EBITDA_MARGIN",IQ_FY-7))</f>
        <v>14.5922</v>
      </c>
      <c r="H2540" s="15">
        <f>IF(A2546=A2547,_xll.ciqfunctions.udf.CIQ(A2538,"IQ_TOTAL_DIV_PAID_CF",IQ_FY-8)/-I2540, _xll.ciqfunctions.udf.CIQ(A2538, "IQ_TOTAL_DIV_PAID_CF",IQ_FY-7)/-I2540)</f>
        <v>0</v>
      </c>
      <c r="I2540" s="17">
        <f>IF(A2546=A2547,_xll.ciqfunctions.udf.CIQ(A2538,"IQ_TOTAL_OUTSTANDING_FILING_DATE",IQ_FY-8), _xll.ciqfunctions.udf.CIQ(A2538, "IQ_TOTAL_OUTSTANDING_FILING_DATE",IQ_FY-7))</f>
        <v>48.296610000000001</v>
      </c>
      <c r="J2540" s="17">
        <f>IF(A2546=A2547,_xll.ciqfunctions.udf.CIQ(A2538,"IQ_CASH_OPER",IQ_FY-8), _xll.ciqfunctions.udf.CIQ(A2538, "IQ_CASH_OPER",IQ_FY-7))</f>
        <v>118.111</v>
      </c>
      <c r="K2540" s="17">
        <f>IF(A2546=A2547,_xll.ciqfunctions.udf.CIQ(A2538,"IQ_CAPEX",IQ_FY-8), _xll.ciqfunctions.udf.CIQ(A2538, "IQ_CAPEX",IQ_FY-7))</f>
        <v>-133.244</v>
      </c>
      <c r="L2540" s="15">
        <f t="shared" si="676"/>
        <v>-0.31333462120840355</v>
      </c>
      <c r="M2540" s="17">
        <f>IF(A2546=A2547,_xll.ciqfunctions.udf.CIQ(A2538,"IQ_TOTAL_DEBT_ISSUED",IQ_FY-8), _xll.ciqfunctions.udf.CIQ(A2538, "IQ_TOTAL_DEBT_ISSUED",IQ_FY-7))</f>
        <v>392.428</v>
      </c>
      <c r="N2540" s="17">
        <f>IF(A2546=A2547,_xll.ciqfunctions.udf.CIQ(A2538,"IQ_TOTAL_DEBT_REPAID",IQ_FY-8), _xll.ciqfunctions.udf.CIQ(A2538, "IQ_TOTAL_DEBT_REPAID",IQ_FY-7))</f>
        <v>-70.491</v>
      </c>
      <c r="O2540" s="15">
        <f t="shared" si="677"/>
        <v>6.6658301690325681</v>
      </c>
      <c r="P2540" s="15">
        <f t="shared" si="678"/>
        <v>6.3524955478241649</v>
      </c>
      <c r="Q2540" s="25" t="s">
        <v>21</v>
      </c>
      <c r="R2540" s="38" t="s">
        <v>49</v>
      </c>
      <c r="S2540" s="2">
        <f>(R2537*I2548)/1000</f>
        <v>3.12862315415</v>
      </c>
      <c r="U2540" s="25" t="s">
        <v>59</v>
      </c>
      <c r="V2540" s="38" t="s">
        <v>49</v>
      </c>
      <c r="W2540" s="2">
        <f>(V2537*I2548)/1000</f>
        <v>3.12862315415</v>
      </c>
      <c r="Y2540" s="25" t="s">
        <v>46</v>
      </c>
      <c r="Z2540" s="38" t="s">
        <v>49</v>
      </c>
      <c r="AA2540" s="2">
        <f>(Z2537*I2548)/1000</f>
        <v>3.12862315415</v>
      </c>
    </row>
    <row r="2541" spans="1:27">
      <c r="A2541" s="18"/>
      <c r="B2541" s="13">
        <v>4</v>
      </c>
      <c r="C2541" s="14" t="s">
        <v>22</v>
      </c>
      <c r="D2541" s="15" cm="1">
        <f t="array" ref="D2541">_xlfn.SINGLE(IF(A2546=A2547,_xll.ciqfunctions.udf.CIQ(A2538,"IQ_TOTAL_REV",IQ_FY-7)/I2541, _xll.ciqfunctions.udf.CIQ(A2538, "IQ_TOTAL_REV",IQ_FY-6)/I2541))</f>
        <v>19.505470219419511</v>
      </c>
      <c r="E2541" s="16">
        <f t="shared" si="679"/>
        <v>0.10972275787829795</v>
      </c>
      <c r="F2541" s="15">
        <f>IF(A2546=A2547,_xll.ciqfunctions.udf.CIQ(A2538,"IQ_DILUT_EPS_EXCL",IQ_FY-7), _xll.ciqfunctions.udf.CIQ(A2538, "IQ_DILUT_EPS_EXCL",IQ_FY-6))</f>
        <v>0.32</v>
      </c>
      <c r="G2541" s="15">
        <f>IF(A2546=A2547,_xll.ciqfunctions.udf.CIQ(A2538,"IQ_EBITDA_MARGIN",IQ_FY-7), _xll.ciqfunctions.udf.CIQ(A2538, "IQ_EBITDA_MARGIN",IQ_FY-6))</f>
        <v>14.5497</v>
      </c>
      <c r="H2541" s="15">
        <f>IF(A2546=A2547,_xll.ciqfunctions.udf.CIQ(A2538,"IQ_TOTAL_DIV_PAID_CF",IQ_FY-7)/-I2541, _xll.ciqfunctions.udf.CIQ(A2538, "IQ_TOTAL_DIV_PAID_CF",IQ_FY-6)/-I2541)</f>
        <v>0</v>
      </c>
      <c r="I2541" s="17">
        <f>IF(A2546=A2547,_xll.ciqfunctions.udf.CIQ(A2538,"IQ_TOTAL_OUTSTANDING_FILING_DATE",IQ_FY-7), _xll.ciqfunctions.udf.CIQ(A2538, "IQ_TOTAL_OUTSTANDING_FILING_DATE",IQ_FY-6))</f>
        <v>48.30245</v>
      </c>
      <c r="J2541" s="17">
        <f>IF(A2546=A2547,_xll.ciqfunctions.udf.CIQ(A2538,"IQ_CASH_OPER",IQ_FY-7), _xll.ciqfunctions.udf.CIQ(A2538, "IQ_CASH_OPER",IQ_FY-6))</f>
        <v>124.742</v>
      </c>
      <c r="K2541" s="17">
        <f>IF(A2546=A2547,_xll.ciqfunctions.udf.CIQ(A2538,"IQ_CAPEX",IQ_FY-7), _xll.ciqfunctions.udf.CIQ(A2538, "IQ_CAPEX",IQ_FY-6))</f>
        <v>-58.548999999999999</v>
      </c>
      <c r="L2541" s="15">
        <f t="shared" si="676"/>
        <v>1.3703859742104181</v>
      </c>
      <c r="M2541" s="17">
        <f>IF(A2546=A2547,_xll.ciqfunctions.udf.CIQ(A2538,"IQ_TOTAL_DEBT_ISSUED",IQ_FY-7), _xll.ciqfunctions.udf.CIQ(A2538, "IQ_TOTAL_DEBT_ISSUED",IQ_FY-6))</f>
        <v>52.5</v>
      </c>
      <c r="N2541" s="17">
        <f>IF(A2546=A2547,_xll.ciqfunctions.udf.CIQ(A2538,"IQ_TOTAL_DEBT_REPAID",IQ_FY-7), _xll.ciqfunctions.udf.CIQ(A2538, "IQ_TOTAL_DEBT_REPAID",IQ_FY-6))</f>
        <v>-88.932000000000002</v>
      </c>
      <c r="O2541" s="15">
        <f t="shared" si="677"/>
        <v>-0.75424745535681936</v>
      </c>
      <c r="P2541" s="15">
        <f t="shared" si="678"/>
        <v>0.61613851885359872</v>
      </c>
      <c r="Q2541" s="25" t="s">
        <v>23</v>
      </c>
      <c r="R2541" s="38" t="s">
        <v>24</v>
      </c>
      <c r="S2541" s="1" t="e">
        <f>R2537/(AVERAGE(H2543:H2548)*(1+H2549)/(0.5-H2549))</f>
        <v>#DIV/0!</v>
      </c>
      <c r="U2541" s="25" t="s">
        <v>40</v>
      </c>
      <c r="V2541" s="38" t="s">
        <v>24</v>
      </c>
      <c r="W2541" s="1" t="e">
        <f>V2537/(AVERAGE(H2543:H2548)*(1+H2549)/(0.5-H2549))</f>
        <v>#DIV/0!</v>
      </c>
      <c r="Y2541" s="25" t="s">
        <v>47</v>
      </c>
      <c r="Z2541" s="38" t="s">
        <v>24</v>
      </c>
      <c r="AA2541" s="1" t="e">
        <f>Z2537/(AVERAGE(H2543:H2548)*(1+H2549)/(0.5-H2549))</f>
        <v>#DIV/0!</v>
      </c>
    </row>
    <row r="2542" spans="1:27">
      <c r="B2542" s="13">
        <v>5</v>
      </c>
      <c r="C2542" s="14" t="s">
        <v>25</v>
      </c>
      <c r="D2542" s="15" cm="1">
        <f t="array" ref="D2542">_xlfn.SINGLE(IF(A2546=A2547,_xll.ciqfunctions.udf.CIQ(A2538,"IQ_TOTAL_REV",IQ_FY-6)/I2542, _xll.ciqfunctions.udf.CIQ(A2538, "IQ_TOTAL_REV",IQ_FY-5)/I2542))</f>
        <v>21.453011733381302</v>
      </c>
      <c r="E2542" s="16">
        <f t="shared" si="679"/>
        <v>9.984591461029392E-2</v>
      </c>
      <c r="F2542" s="15">
        <f>IF(A2546=A2547,_xll.ciqfunctions.udf.CIQ(A2538,"IQ_DILUT_EPS_EXCL",IQ_FY-6), _xll.ciqfunctions.udf.CIQ(A2538, "IQ_DILUT_EPS_EXCL",IQ_FY-5))</f>
        <v>-0.04</v>
      </c>
      <c r="G2542" s="15">
        <f>IF(A2546=A2547,_xll.ciqfunctions.udf.CIQ(A2538,"IQ_EBITDA_MARGIN",IQ_FY-6), _xll.ciqfunctions.udf.CIQ(A2538, "IQ_EBITDA_MARGIN",IQ_FY-5))</f>
        <v>17.329899999999999</v>
      </c>
      <c r="H2542" s="15">
        <f>IF(A2546=A2547,_xll.ciqfunctions.udf.CIQ(A2538,"IQ_TOTAL_DIV_PAID_CF",IQ_FY-6)/-I2542, _xll.ciqfunctions.udf.CIQ(A2538, "IQ_TOTAL_DIV_PAID_CF",IQ_FY-5)/-I2542)</f>
        <v>0</v>
      </c>
      <c r="I2542" s="17">
        <f>IF(A2546=A2547,_xll.ciqfunctions.udf.CIQ(A2538,"IQ_TOTAL_OUTSTANDING_FILING_DATE",IQ_FY-6), _xll.ciqfunctions.udf.CIQ(A2538, "IQ_TOTAL_OUTSTANDING_FILING_DATE",IQ_FY-5))</f>
        <v>49.140140000000002</v>
      </c>
      <c r="J2542" s="17">
        <f>IF(A2546=A2547,_xll.ciqfunctions.udf.CIQ(A2538,"IQ_CASH_OPER",IQ_FY-6), _xll.ciqfunctions.udf.CIQ(A2538, "IQ_CASH_OPER",IQ_FY-5))</f>
        <v>181.12299999999999</v>
      </c>
      <c r="K2542" s="17">
        <f>IF(A2546=A2547,_xll.ciqfunctions.udf.CIQ(A2538,"IQ_CAPEX",IQ_FY-6), _xll.ciqfunctions.udf.CIQ(A2538, "IQ_CAPEX",IQ_FY-5))</f>
        <v>-111.161</v>
      </c>
      <c r="L2542" s="15">
        <f t="shared" si="676"/>
        <v>1.4237240675341989</v>
      </c>
      <c r="M2542" s="17">
        <f>IF(A2546=A2547,_xll.ciqfunctions.udf.CIQ(A2538,"IQ_TOTAL_DEBT_ISSUED",IQ_FY-6), _xll.ciqfunctions.udf.CIQ(A2538, "IQ_TOTAL_DEBT_ISSUED",IQ_FY-5))</f>
        <v>47.875</v>
      </c>
      <c r="N2542" s="17">
        <f>IF(A2546=A2547,_xll.ciqfunctions.udf.CIQ(A2538,"IQ_TOTAL_DEBT_REPAID",IQ_FY-6), _xll.ciqfunctions.udf.CIQ(A2538, "IQ_TOTAL_DEBT_REPAID",IQ_FY-5))</f>
        <v>-207.352</v>
      </c>
      <c r="O2542" s="15">
        <f t="shared" si="677"/>
        <v>-3.2453509493460944</v>
      </c>
      <c r="P2542" s="15">
        <f t="shared" si="678"/>
        <v>-1.8216268818118955</v>
      </c>
      <c r="Q2542" s="18"/>
      <c r="R2542" s="38" t="s">
        <v>50</v>
      </c>
      <c r="S2542" s="3">
        <f>I2549</f>
        <v>-2.3506103491772068E-2</v>
      </c>
      <c r="U2542" s="18"/>
      <c r="V2542" s="38" t="s">
        <v>50</v>
      </c>
      <c r="W2542" s="3">
        <f>I2549</f>
        <v>-2.3506103491772068E-2</v>
      </c>
      <c r="Y2542" s="18"/>
      <c r="Z2542" s="38" t="s">
        <v>50</v>
      </c>
      <c r="AA2542" s="3">
        <f>I2549</f>
        <v>-2.3506103491772068E-2</v>
      </c>
    </row>
    <row r="2543" spans="1:27">
      <c r="B2543" s="13">
        <v>6</v>
      </c>
      <c r="C2543" s="14" t="s">
        <v>26</v>
      </c>
      <c r="D2543" s="15" cm="1">
        <f t="array" ref="D2543">_xlfn.SINGLE(IF(A2546=A2547,_xll.ciqfunctions.udf.CIQ(A2538,"IQ_TOTAL_REV",IQ_FY-5)/I2543, _xll.ciqfunctions.udf.CIQ(A2538, "IQ_TOTAL_REV",IQ_FY-4)/I2543))</f>
        <v>23.463249531020669</v>
      </c>
      <c r="E2543" s="16">
        <f t="shared" si="679"/>
        <v>9.3704223100358308E-2</v>
      </c>
      <c r="F2543" s="15">
        <f>IF(A2546=A2547,_xll.ciqfunctions.udf.CIQ(A2538,"IQ_DILUT_EPS_EXCL",IQ_FY-5), _xll.ciqfunctions.udf.CIQ(A2538, "IQ_DILUT_EPS_EXCL",IQ_FY-4))</f>
        <v>2.04</v>
      </c>
      <c r="G2543" s="15">
        <f>IF(A2546=A2547,_xll.ciqfunctions.udf.CIQ(A2538,"IQ_EBITDA_MARGIN",IQ_FY-5), _xll.ciqfunctions.udf.CIQ(A2538, "IQ_EBITDA_MARGIN",IQ_FY-4))</f>
        <v>21.2926</v>
      </c>
      <c r="H2543" s="15">
        <f>IF(A2546=A2547,_xll.ciqfunctions.udf.CIQ(A2538,"IQ_TOTAL_DIV_PAID_CF",IQ_FY-5)/-I2543, _xll.ciqfunctions.udf.CIQ(A2538, "IQ_TOTAL_DIV_PAID_CF",IQ_FY-4)/-I2543)</f>
        <v>0</v>
      </c>
      <c r="I2543" s="17">
        <f>IF(A2546=A2547,_xll.ciqfunctions.udf.CIQ(A2538,"IQ_TOTAL_OUTSTANDING_FILING_DATE",IQ_FY-5), _xll.ciqfunctions.udf.CIQ(A2538, "IQ_TOTAL_OUTSTANDING_FILING_DATE",IQ_FY-4))</f>
        <v>51.740020000000001</v>
      </c>
      <c r="J2543" s="17">
        <f>IF(A2546=A2547,_xll.ciqfunctions.udf.CIQ(A2538,"IQ_CASH_OPER",IQ_FY-5), _xll.ciqfunctions.udf.CIQ(A2538, "IQ_CASH_OPER",IQ_FY-4))</f>
        <v>185.566</v>
      </c>
      <c r="K2543" s="17">
        <f>IF(A2546=A2547,_xll.ciqfunctions.udf.CIQ(A2538,"IQ_CAPEX",IQ_FY-5), _xll.ciqfunctions.udf.CIQ(A2538, "IQ_CAPEX",IQ_FY-4))</f>
        <v>-87.507000000000005</v>
      </c>
      <c r="L2543" s="15">
        <f t="shared" si="676"/>
        <v>1.8952253980574416</v>
      </c>
      <c r="M2543" s="17">
        <f>IF(A2546=A2547,_xll.ciqfunctions.udf.CIQ(A2538,"IQ_TOTAL_DEBT_ISSUED",IQ_FY-5), _xll.ciqfunctions.udf.CIQ(A2538, "IQ_TOTAL_DEBT_ISSUED",IQ_FY-4))</f>
        <v>476.005</v>
      </c>
      <c r="N2543" s="17">
        <f>IF(A2546=A2547,_xll.ciqfunctions.udf.CIQ(A2538,"IQ_TOTAL_DEBT_REPAID",IQ_FY-5), _xll.ciqfunctions.udf.CIQ(A2538, "IQ_TOTAL_DEBT_REPAID",IQ_FY-4))</f>
        <v>-525.27</v>
      </c>
      <c r="O2543" s="15">
        <f t="shared" si="677"/>
        <v>-0.95216430144402697</v>
      </c>
      <c r="P2543" s="15">
        <f t="shared" si="678"/>
        <v>0.94306109661341464</v>
      </c>
      <c r="Q2543" s="25" t="s">
        <v>27</v>
      </c>
      <c r="R2543" s="38" t="s">
        <v>51</v>
      </c>
      <c r="S2543" s="4">
        <f>AVERAGE(F2543:F2548)/AVERAGE(D2543:D2548)</f>
        <v>0.12737117705449708</v>
      </c>
      <c r="U2543" s="25" t="s">
        <v>58</v>
      </c>
      <c r="V2543" s="38" t="s">
        <v>51</v>
      </c>
      <c r="W2543" s="4">
        <f>AVERAGE(F2543:F2548)/AVERAGE(D2543:D2548)</f>
        <v>0.12737117705449708</v>
      </c>
      <c r="Y2543" s="25" t="s">
        <v>56</v>
      </c>
      <c r="Z2543" s="38" t="s">
        <v>51</v>
      </c>
      <c r="AA2543" s="4">
        <f>AVERAGE(F2543:F2548)/AVERAGE(D2543:D2548)</f>
        <v>0.12737117705449708</v>
      </c>
    </row>
    <row r="2544" spans="1:27">
      <c r="A2544" s="18"/>
      <c r="B2544" s="13">
        <v>7</v>
      </c>
      <c r="C2544" s="14" t="s">
        <v>28</v>
      </c>
      <c r="D2544" s="15" cm="1">
        <f t="array" ref="D2544">_xlfn.SINGLE(IF(A2546=A2547,_xll.ciqfunctions.udf.CIQ(A2538,"IQ_TOTAL_REV",IQ_FY-4)/I2544, _xll.ciqfunctions.udf.CIQ(A2538, "IQ_TOTAL_REV",IQ_FY-3)/I2544))</f>
        <v>24.393749522770047</v>
      </c>
      <c r="E2544" s="16">
        <f t="shared" si="679"/>
        <v>3.9657763112443928E-2</v>
      </c>
      <c r="F2544" s="15">
        <f>IF(A2546=A2547,_xll.ciqfunctions.udf.CIQ(A2538,"IQ_DILUT_EPS_EXCL",IQ_FY-4), _xll.ciqfunctions.udf.CIQ(A2538, "IQ_DILUT_EPS_EXCL",IQ_FY-3))</f>
        <v>2.96</v>
      </c>
      <c r="G2544" s="15">
        <f>IF(A2546=A2547,_xll.ciqfunctions.udf.CIQ(A2538,"IQ_EBITDA_MARGIN",IQ_FY-4), _xll.ciqfunctions.udf.CIQ(A2538, "IQ_EBITDA_MARGIN",IQ_FY-3))</f>
        <v>22.955200000000001</v>
      </c>
      <c r="H2544" s="15">
        <f>IF(A2546=A2547,_xll.ciqfunctions.udf.CIQ(A2538,"IQ_TOTAL_DIV_PAID_CF",IQ_FY-4)/-I2544, _xll.ciqfunctions.udf.CIQ(A2538, "IQ_TOTAL_DIV_PAID_CF",IQ_FY-3)/-I2544)</f>
        <v>0</v>
      </c>
      <c r="I2544" s="17">
        <f>IF(A2546=A2547,_xll.ciqfunctions.udf.CIQ(A2538,"IQ_TOTAL_OUTSTANDING_FILING_DATE",IQ_FY-4), _xll.ciqfunctions.udf.CIQ(A2538, "IQ_TOTAL_OUTSTANDING_FILING_DATE",IQ_FY-3))</f>
        <v>51.206969999999998</v>
      </c>
      <c r="J2544" s="17">
        <f>IF(A2546=A2547,_xll.ciqfunctions.udf.CIQ(A2538,"IQ_CASH_OPER",IQ_FY-4), _xll.ciqfunctions.udf.CIQ(A2538, "IQ_CASH_OPER",IQ_FY-3))</f>
        <v>229.77199999999999</v>
      </c>
      <c r="K2544" s="17">
        <f>IF(A2546=A2547,_xll.ciqfunctions.udf.CIQ(A2538,"IQ_CAPEX",IQ_FY-4), _xll.ciqfunctions.udf.CIQ(A2538, "IQ_CAPEX",IQ_FY-3))</f>
        <v>-98.504999999999995</v>
      </c>
      <c r="L2544" s="15">
        <f t="shared" si="676"/>
        <v>2.5634596227818207</v>
      </c>
      <c r="M2544" s="17">
        <f>IF(A2546=A2547,_xll.ciqfunctions.udf.CIQ(A2538,"IQ_TOTAL_DEBT_ISSUED",IQ_FY-4), _xll.ciqfunctions.udf.CIQ(A2538, "IQ_TOTAL_DEBT_ISSUED",IQ_FY-3))</f>
        <v>415.49400000000003</v>
      </c>
      <c r="N2544" s="17">
        <f>IF(A2546=A2547,_xll.ciqfunctions.udf.CIQ(A2538,"IQ_TOTAL_DEBT_REPAID",IQ_FY-4), _xll.ciqfunctions.udf.CIQ(A2538, "IQ_TOTAL_DEBT_REPAID",IQ_FY-3))</f>
        <v>-531.30399999999997</v>
      </c>
      <c r="O2544" s="15">
        <f t="shared" si="677"/>
        <v>-2.2616061836894459</v>
      </c>
      <c r="P2544" s="15">
        <f t="shared" si="678"/>
        <v>0.30185343909237483</v>
      </c>
      <c r="Q2544" s="18"/>
      <c r="R2544" s="38" t="s">
        <v>29</v>
      </c>
      <c r="S2544" s="4">
        <f>(AVERAGE(P2543:P2548)/_xlfn.STDEV.P(P2543:P2548))/(IF(A2546=A2547,(_xlfn.SINGLE(_xll.ciqfunctions.udf.CIQ(A2538,"IQ_total_assets",IQ_FY)) - _xlfn.SINGLE(_xll.ciqfunctions.udf.CIQ(A2538,"iq_gw_intan", IQ_FY)))/I2548, (_xlfn.SINGLE(_xll.ciqfunctions.udf.CIQ(A2538, "IQ_total_assets",IQ_LTM))-_xlfn.SINGLE(_xll.ciqfunctions.udf.CIQ(A2538,"iq_gw_intan",IQ_LTM)))/I2548))</f>
        <v>1.1635299609423132E-2</v>
      </c>
      <c r="U2544" s="18"/>
      <c r="V2544" s="38" t="s">
        <v>29</v>
      </c>
      <c r="W2544" s="4">
        <f>(AVERAGE(P2543:P2548)/_xlfn.STDEV.P(P2543:P2548))/(IF(A2546=A2547,(_xlfn.SINGLE(_xll.ciqfunctions.udf.CIQ(A2538,"IQ_total_assets",IQ_FY)) - _xlfn.SINGLE(_xll.ciqfunctions.udf.CIQ(A2538,"iq_gw_intan", IQ_FY)))/I2548, (_xlfn.SINGLE(_xll.ciqfunctions.udf.CIQ(A2538, "IQ_total_assets",IQ_LTM))-_xlfn.SINGLE(_xll.ciqfunctions.udf.CIQ(A2538,"iq_gw_intan",IQ_LTM)))/I2548))</f>
        <v>1.1635299609423132E-2</v>
      </c>
      <c r="Y2544" s="18"/>
      <c r="Z2544" s="38" t="s">
        <v>29</v>
      </c>
      <c r="AA2544" s="4">
        <f>(AVERAGE(P2543:P2548)/_xlfn.STDEV.P(P2543:P2548))/(IF(A2546=A2547,(_xlfn.SINGLE(_xll.ciqfunctions.udf.CIQ(A2538,"IQ_total_assets",IQ_FY)) - _xlfn.SINGLE(_xll.ciqfunctions.udf.CIQ(A2538,"iq_gw_intan", IQ_FY)))/I2548, (_xlfn.SINGLE(_xll.ciqfunctions.udf.CIQ(A2538, "IQ_total_assets",IQ_LTM))-_xlfn.SINGLE(_xll.ciqfunctions.udf.CIQ(A2538,"iq_gw_intan",IQ_LTM)))/I2548))</f>
        <v>1.1635299609423132E-2</v>
      </c>
    </row>
    <row r="2545" spans="1:27">
      <c r="A2545" s="18"/>
      <c r="B2545" s="13">
        <v>8</v>
      </c>
      <c r="C2545" s="14" t="s">
        <v>30</v>
      </c>
      <c r="D2545" s="15" cm="1">
        <f t="array" ref="D2545">_xlfn.SINGLE(IF(A2546=A2547,_xll.ciqfunctions.udf.CIQ(A2538,"IQ_TOTAL_REV",IQ_FY-3)/I2545, _xll.ciqfunctions.udf.CIQ(A2538, "IQ_TOTAL_REV",IQ_FY-2)/I2545))</f>
        <v>27.757962194803326</v>
      </c>
      <c r="E2545" s="16">
        <f t="shared" si="679"/>
        <v>0.13791289727284425</v>
      </c>
      <c r="F2545" s="15">
        <f>IF(A2546=A2547,_xll.ciqfunctions.udf.CIQ(A2538,"IQ_DILUT_EPS_EXCL",IQ_FY-3), _xll.ciqfunctions.udf.CIQ(A2538, "IQ_DILUT_EPS_EXCL",IQ_FY-2))</f>
        <v>1.88</v>
      </c>
      <c r="G2545" s="15">
        <f>IF(A2546=A2547,_xll.ciqfunctions.udf.CIQ(A2538,"IQ_EBITDA_MARGIN",IQ_FY-3), _xll.ciqfunctions.udf.CIQ(A2538, "IQ_EBITDA_MARGIN",IQ_FY-2))</f>
        <v>19.799700000000001</v>
      </c>
      <c r="H2545" s="15">
        <f>IF(A2546=A2547,_xll.ciqfunctions.udf.CIQ(A2538,"IQ_TOTAL_DIV_PAID_CF",IQ_FY-3)/-I2545, _xll.ciqfunctions.udf.CIQ(A2538, "IQ_TOTAL_DIV_PAID_CF",IQ_FY-2)/-I2545)</f>
        <v>0</v>
      </c>
      <c r="I2545" s="17">
        <f>IF(A2546=A2547,_xll.ciqfunctions.udf.CIQ(A2538,"IQ_TOTAL_OUTSTANDING_FILING_DATE",IQ_FY-3), _xll.ciqfunctions.udf.CIQ(A2538, "IQ_TOTAL_OUTSTANDING_FILING_DATE",IQ_FY-2))</f>
        <v>44.283329999999999</v>
      </c>
      <c r="J2545" s="17">
        <f>IF(A2546=A2547,_xll.ciqfunctions.udf.CIQ(A2538,"IQ_CASH_OPER",IQ_FY-3), _xll.ciqfunctions.udf.CIQ(A2538, "IQ_CASH_OPER",IQ_FY-2))</f>
        <v>187.22</v>
      </c>
      <c r="K2545" s="17">
        <f>IF(A2546=A2547,_xll.ciqfunctions.udf.CIQ(A2538,"IQ_CAPEX",IQ_FY-3), _xll.ciqfunctions.udf.CIQ(A2538, "IQ_CAPEX",IQ_FY-2))</f>
        <v>-75.813000000000002</v>
      </c>
      <c r="L2545" s="15">
        <f t="shared" si="676"/>
        <v>2.5157773816919367</v>
      </c>
      <c r="M2545" s="17">
        <f>IF(A2546=A2547,_xll.ciqfunctions.udf.CIQ(A2538,"IQ_TOTAL_DEBT_ISSUED",IQ_FY-3), _xll.ciqfunctions.udf.CIQ(A2538, "IQ_TOTAL_DEBT_ISSUED",IQ_FY-2))</f>
        <v>1033.846</v>
      </c>
      <c r="N2545" s="17">
        <f>IF(A2546=A2547,_xll.ciqfunctions.udf.CIQ(A2538,"IQ_TOTAL_DEBT_REPAID",IQ_FY-3), _xll.ciqfunctions.udf.CIQ(A2538, "IQ_TOTAL_DEBT_REPAID",IQ_FY-2))</f>
        <v>-785.654</v>
      </c>
      <c r="O2545" s="15">
        <f t="shared" si="677"/>
        <v>5.6046372303076577</v>
      </c>
      <c r="P2545" s="15">
        <f t="shared" si="678"/>
        <v>8.1204146119995944</v>
      </c>
      <c r="Q2545" s="18"/>
      <c r="R2545" s="39" t="s">
        <v>31</v>
      </c>
      <c r="S2545" s="5">
        <f>IF(NOT(D2538&gt;0),FALSE,SLOPE(G2538:G2548,B2538:B2548))</f>
        <v>1.0914445454545456</v>
      </c>
      <c r="U2545" s="18"/>
      <c r="V2545" s="39" t="s">
        <v>31</v>
      </c>
      <c r="W2545" s="5">
        <f>IF(NOT(D2538&gt;0),FALSE,SLOPE(G2538:G2548,B2538:B2548))</f>
        <v>1.0914445454545456</v>
      </c>
      <c r="Y2545" s="18"/>
      <c r="Z2545" s="39" t="s">
        <v>31</v>
      </c>
      <c r="AA2545" s="5">
        <f>IF(NOT(L2538&gt;0),FALSE,SLOPE(O2538:O2548,J2538:J2548))</f>
        <v>-2.3315656466789816E-2</v>
      </c>
    </row>
    <row r="2546" spans="1:27">
      <c r="A2546" s="19">
        <f>_xll.ciqfunctions.udf.CIQ(A2538,"IQ_TOTAL_REV",IQ_FY)</f>
        <v>2000.58</v>
      </c>
      <c r="B2546" s="13">
        <v>9</v>
      </c>
      <c r="C2546" s="14" t="s">
        <v>32</v>
      </c>
      <c r="D2546" s="15" cm="1">
        <f t="array" ref="D2546">_xlfn.SINGLE(IF(A2546=A2547,_xll.ciqfunctions.udf.CIQ(A2538,"IQ_TOTAL_REV",IQ_FY-2)/I2546, _xll.ciqfunctions.udf.CIQ(A2538, "IQ_TOTAL_REV",IQ_FY-1)/I2546))</f>
        <v>40.095420758679438</v>
      </c>
      <c r="E2546" s="16">
        <f t="shared" si="679"/>
        <v>0.44446557269920389</v>
      </c>
      <c r="F2546" s="15">
        <f>IF(A2546=A2547,_xll.ciqfunctions.udf.CIQ(A2538,"IQ_DILUT_EPS_EXCL",IQ_FY-2), _xll.ciqfunctions.udf.CIQ(A2538, "IQ_DILUT_EPS_EXCL",IQ_FY-1))</f>
        <v>5</v>
      </c>
      <c r="G2546" s="15">
        <f>IF(A2546=A2547,_xll.ciqfunctions.udf.CIQ(A2538,"IQ_EBITDA_MARGIN",IQ_FY-2), _xll.ciqfunctions.udf.CIQ(A2538, "IQ_EBITDA_MARGIN",IQ_FY-1))</f>
        <v>22.097000000000001</v>
      </c>
      <c r="H2546" s="15">
        <f>IF(A2546=A2547,_xll.ciqfunctions.udf.CIQ(A2538,"IQ_TOTAL_DIV_PAID_CF",IQ_FY-2)/-I2546, _xll.ciqfunctions.udf.CIQ(A2538, "IQ_TOTAL_DIV_PAID_CF",IQ_FY-1)/-I2546)</f>
        <v>0</v>
      </c>
      <c r="I2546" s="17">
        <f>IF(A2546=A2547,_xll.ciqfunctions.udf.CIQ(A2538,"IQ_TOTAL_OUTSTANDING_FILING_DATE",IQ_FY-2), _xll.ciqfunctions.udf.CIQ(A2538, "IQ_TOTAL_OUTSTANDING_FILING_DATE",IQ_FY-1))</f>
        <v>45.021650000000001</v>
      </c>
      <c r="J2546" s="17">
        <f>IF(A2546=A2547,_xll.ciqfunctions.udf.CIQ(A2538,"IQ_CASH_OPER",IQ_FY-2), _xll.ciqfunctions.udf.CIQ(A2538, "IQ_CASH_OPER",IQ_FY-1))</f>
        <v>338.54300000000001</v>
      </c>
      <c r="K2546" s="17">
        <f>IF(A2546=A2547,_xll.ciqfunctions.udf.CIQ(A2538,"IQ_CAPEX",IQ_FY-2), _xll.ciqfunctions.udf.CIQ(A2538, "IQ_CAPEX",IQ_FY-1))</f>
        <v>-141.19499999999999</v>
      </c>
      <c r="L2546" s="15">
        <f t="shared" si="676"/>
        <v>4.383402207604564</v>
      </c>
      <c r="M2546" s="17">
        <f>IF(A2546=A2547,_xll.ciqfunctions.udf.CIQ(A2538,"IQ_TOTAL_DEBT_ISSUED",IQ_FY-2), _xll.ciqfunctions.udf.CIQ(A2538, "IQ_TOTAL_DEBT_ISSUED",IQ_FY-1))</f>
        <v>579.74400000000003</v>
      </c>
      <c r="N2546" s="17">
        <f>IF(A2546=A2547,_xll.ciqfunctions.udf.CIQ(A2538,"IQ_TOTAL_DEBT_REPAID",IQ_FY-2), _xll.ciqfunctions.udf.CIQ(A2538, "IQ_TOTAL_DEBT_REPAID",IQ_FY-1))</f>
        <v>-732.66399999999999</v>
      </c>
      <c r="O2546" s="15">
        <f t="shared" si="677"/>
        <v>-3.396588085954201</v>
      </c>
      <c r="P2546" s="15">
        <f t="shared" si="678"/>
        <v>0.98681412165036297</v>
      </c>
      <c r="Q2546" s="25" t="s">
        <v>33</v>
      </c>
      <c r="R2546" s="38" t="s">
        <v>52</v>
      </c>
      <c r="S2546" s="4">
        <f>(AVERAGE(O2543:O2548)/AVERAGE(P2543:P2548))</f>
        <v>-0.88127381494211632</v>
      </c>
      <c r="U2546" s="25" t="s">
        <v>54</v>
      </c>
      <c r="V2546" s="38" t="s">
        <v>52</v>
      </c>
      <c r="W2546" s="4">
        <f>(AVERAGE(O2543:O2548)/AVERAGE(P2543:P2548))</f>
        <v>-0.88127381494211632</v>
      </c>
      <c r="Y2546" s="25" t="s">
        <v>60</v>
      </c>
      <c r="Z2546" s="38" t="s">
        <v>52</v>
      </c>
      <c r="AA2546" s="4">
        <f>(AVERAGE(O2543:O2548)/AVERAGE(P2543:P2548))</f>
        <v>-0.88127381494211632</v>
      </c>
    </row>
    <row r="2547" spans="1:27">
      <c r="A2547" s="19">
        <f>_xll.ciqfunctions.udf.CIQ(A2538,"IQ_TOTAL_REV",IQ_LTM)</f>
        <v>1835.252</v>
      </c>
      <c r="B2547" s="13">
        <v>10</v>
      </c>
      <c r="C2547" s="14" t="s">
        <v>34</v>
      </c>
      <c r="D2547" s="15" cm="1">
        <f t="array" ref="D2547">_xlfn.SINGLE(IF(A2546=A2547,_xll.ciqfunctions.udf.CIQ(A2538,"IQ_TOTAL_REV",IQ_FY-1)/I2547, _xll.ciqfunctions.udf.CIQ(A2538, "IQ_TOTAL_REV",IQ_FY)/I2547))</f>
        <v>43.981608706185582</v>
      </c>
      <c r="E2547" s="16">
        <f t="shared" si="679"/>
        <v>9.6923485873755363E-2</v>
      </c>
      <c r="F2547" s="15">
        <f>IF(A2546=A2547,_xll.ciqfunctions.udf.CIQ(A2538,"IQ_DILUT_EPS_EXCL",IQ_FY-1), _xll.ciqfunctions.udf.CIQ(A2538, "IQ_DILUT_EPS_EXCL",IQ_FY))</f>
        <v>7.2</v>
      </c>
      <c r="G2547" s="15">
        <f>IF(A2546=A2547,_xll.ciqfunctions.udf.CIQ(A2538,"IQ_EBITDA_MARGIN",IQ_FY-1), _xll.ciqfunctions.udf.CIQ(A2538, "IQ_EBITDA_MARGIN",IQ_FY))</f>
        <v>26.633099999999999</v>
      </c>
      <c r="H2547" s="15">
        <f>IF(A2546=A2547,_xll.ciqfunctions.udf.CIQ(A2538,"IQ_TOTAL_DIV_PAID_CF",IQ_FY-1)/-I2547, _xll.ciqfunctions.udf.CIQ(A2538, "IQ_TOTAL_DIV_PAID_CF",IQ_FY)/-I2547)</f>
        <v>0</v>
      </c>
      <c r="I2547" s="17">
        <f>IF(A2546=A2547,_xll.ciqfunctions.udf.CIQ(A2538,"IQ_TOTAL_OUTSTANDING_FILING_DATE",IQ_FY-1), _xll.ciqfunctions.udf.CIQ(A2538, "IQ_TOTAL_OUTSTANDING_FILING_DATE",IQ_FY))</f>
        <v>45.486739999999998</v>
      </c>
      <c r="J2547" s="17">
        <f>IF(A2546=A2547,_xll.ciqfunctions.udf.CIQ(A2538,"IQ_CASH_OPER",IQ_FY-1), _xll.ciqfunctions.udf.CIQ(A2538, "IQ_CASH_OPER",IQ_FY))</f>
        <v>392.50099999999998</v>
      </c>
      <c r="K2547" s="17">
        <f>IF(A2546=A2547,_xll.ciqfunctions.udf.CIQ(A2538,"IQ_CAPEX",IQ_FY-1), _xll.ciqfunctions.udf.CIQ(A2538, "IQ_CAPEX",IQ_FY))</f>
        <v>-211.72800000000001</v>
      </c>
      <c r="L2547" s="15">
        <f t="shared" si="676"/>
        <v>3.9741911598852759</v>
      </c>
      <c r="M2547" s="17">
        <f>IF(A2546=A2547,_xll.ciqfunctions.udf.CIQ(A2538,"IQ_TOTAL_DEBT_ISSUED",IQ_FY-1), _xll.ciqfunctions.udf.CIQ(A2538, "IQ_TOTAL_DEBT_ISSUED",IQ_FY))</f>
        <v>487.04199999999997</v>
      </c>
      <c r="N2547" s="17">
        <f>IF(A2546=A2547,_xll.ciqfunctions.udf.CIQ(A2538,"IQ_TOTAL_DEBT_REPAID",IQ_FY-1), _xll.ciqfunctions.udf.CIQ(A2538, "IQ_TOTAL_DEBT_REPAID",IQ_FY))</f>
        <v>-599.31299999999999</v>
      </c>
      <c r="O2547" s="15">
        <f t="shared" si="677"/>
        <v>-2.4682138135201606</v>
      </c>
      <c r="P2547" s="15">
        <f t="shared" si="678"/>
        <v>1.5059773463651154</v>
      </c>
      <c r="Q2547" s="25" t="s">
        <v>44</v>
      </c>
      <c r="R2547" s="38" t="s">
        <v>35</v>
      </c>
      <c r="S2547" s="1">
        <f>_xll.ciqfunctions.udf.CIQ(A2538,"IQ_TEV_EBITDA")</f>
        <v>6.2608499999999996</v>
      </c>
      <c r="U2547" s="25" t="s">
        <v>55</v>
      </c>
      <c r="V2547" s="38" t="s">
        <v>53</v>
      </c>
      <c r="W2547" s="1">
        <f>V2537/(AVERAGE(D2543:D2548)/_xlfn.STDEV.P(E2543:E2548))</f>
        <v>0.33222661998516639</v>
      </c>
      <c r="Y2547" s="25" t="s">
        <v>57</v>
      </c>
      <c r="Z2547" s="38" t="s">
        <v>53</v>
      </c>
      <c r="AA2547" s="1">
        <f>Z2537/(AVERAGE(D2543:D2548)/_xlfn.STDEV.P(E2543:E2548))</f>
        <v>0.33222661998516639</v>
      </c>
    </row>
    <row r="2548" spans="1:27">
      <c r="B2548" s="13">
        <v>11</v>
      </c>
      <c r="C2548" s="20" t="s">
        <v>36</v>
      </c>
      <c r="D2548" s="21" cm="1">
        <f t="array" ref="D2548">_xlfn.SINGLE(IF(A2546=A2547,_xll.ciqfunctions.udf.CIQ(A2538,"IQ_TOTAL_REV",IQ_FY)/I2548, _xll.ciqfunctions.udf.CIQ(A2538, "IQ_TOTAL_REV",IQ_LTM)/I2548))</f>
        <v>39.950429087058865</v>
      </c>
      <c r="E2548" s="22">
        <f t="shared" si="679"/>
        <v>-9.1656029365741951E-2</v>
      </c>
      <c r="F2548" s="21">
        <f>IF(A2546=A2547,_xll.ciqfunctions.udf.CIQ(A2538,"IQ_DILUT_EPS_EXCL",IQ_FY), _xll.ciqfunctions.udf.CIQ(A2538, "IQ_DILUT_EPS_EXCL",IQ_LTM))</f>
        <v>6.3486900000000004</v>
      </c>
      <c r="G2548" s="21">
        <f>IF(A2546=A2547,_xll.ciqfunctions.udf.CIQ(A2538,"IQ_EBITDA_MARGIN",IQ_FY), _xll.ciqfunctions.udf.CIQ(A2538, "IQ_EBITDA_MARGIN",IQ_LTM))</f>
        <v>25.190200000000001</v>
      </c>
      <c r="H2548" s="21">
        <f>IF(A2546=A2547,_xll.ciqfunctions.udf.CIQ(A2538,"IQ_TOTAL_DIV_PAID_CF",IQ_FY)/-I2548, _xll.ciqfunctions.udf.CIQ(A2538, "IQ_TOTAL_DIV_PAID_CF",IQ_LTM)/-I2548)</f>
        <v>0</v>
      </c>
      <c r="I2548" s="23">
        <f>IF(A2546=A2547,_xll.ciqfunctions.udf.CIQ(A2538,"IQ_TOTAL_OUTSTANDING_FILING_DATE",IQ_FY),_xll.ciqfunctions.udf.CIQ(A2538,"IQ_sharesoutstanding"))</f>
        <v>45.938229999999997</v>
      </c>
      <c r="J2548" s="23">
        <f>IF(A2546=A2547,_xll.ciqfunctions.udf.CIQ(A2538,"IQ_CASH_OPER",IQ_FY), _xll.ciqfunctions.udf.CIQ(A2538, "IQ_CASH_OPER",IQ_LTM))</f>
        <v>345.45699999999999</v>
      </c>
      <c r="K2548" s="23">
        <f>IF(A2546=A2547,_xll.ciqfunctions.udf.CIQ(A2538,"IQ_CAPEX",IQ_FY), _xll.ciqfunctions.udf.CIQ(A2538, "IQ_CAPEX",IQ_LTM))</f>
        <v>-187.273</v>
      </c>
      <c r="L2548" s="21">
        <f t="shared" si="676"/>
        <v>3.4434065047782645</v>
      </c>
      <c r="M2548" s="23">
        <f>IF(A2546=A2547,_xll.ciqfunctions.udf.CIQ(A2538,"IQ_TOTAL_DEBT_ISSUED",IQ_FY), _xll.ciqfunctions.udf.CIQ(A2538, "IQ_TOTAL_DEBT_ISSUED",IQ_LTM))</f>
        <v>146.898</v>
      </c>
      <c r="N2548" s="23">
        <f>IF(A2546=A2547,_xll.ciqfunctions.udf.CIQ(A2538,"IQ_TOTAL_DEBT_REPAID",IQ_FY), _xll.ciqfunctions.udf.CIQ(A2538, "IQ_TOTAL_DEBT_REPAID",IQ_LTM))</f>
        <v>-391.351</v>
      </c>
      <c r="O2548" s="21">
        <f t="shared" si="677"/>
        <v>-5.3213412880731372</v>
      </c>
      <c r="P2548" s="21">
        <f t="shared" si="678"/>
        <v>-1.8779347832948727</v>
      </c>
      <c r="Q2548" s="25" t="s">
        <v>45</v>
      </c>
      <c r="S2548" s="45"/>
      <c r="U2548" s="25"/>
      <c r="W2548" s="45"/>
      <c r="Y2548" s="25"/>
      <c r="AA2548" s="45"/>
    </row>
    <row r="2549" spans="1:27">
      <c r="B2549" s="24"/>
      <c r="C2549" s="25" t="s">
        <v>37</v>
      </c>
      <c r="E2549" s="26">
        <f>((D2548/D2543)^(1/5))-1</f>
        <v>0.11231209017955823</v>
      </c>
      <c r="F2549" s="27">
        <f>((F2548/F2543)^(1/5))-1</f>
        <v>0.25490482983895957</v>
      </c>
      <c r="G2549" s="28"/>
      <c r="H2549" s="27" t="e">
        <f>((H2548/H2543)^(1/5))-1</f>
        <v>#DIV/0!</v>
      </c>
      <c r="I2549" s="27">
        <f>((I2548/I2543)^(1/5))-1</f>
        <v>-2.3506103491772068E-2</v>
      </c>
      <c r="J2549" s="27"/>
      <c r="K2549" s="27"/>
      <c r="L2549" s="26">
        <f>((L2548/L2543)^(1/5))-1</f>
        <v>0.12684838228977724</v>
      </c>
      <c r="M2549" s="26"/>
      <c r="N2549" s="26"/>
      <c r="O2549" s="26"/>
      <c r="P2549" s="26">
        <f>((P2548/P2543)^(1/5))-1</f>
        <v>-2.1476993489802569</v>
      </c>
      <c r="Q2549" s="18"/>
      <c r="R2549" s="36"/>
      <c r="S2549" s="45"/>
      <c r="U2549" s="18"/>
      <c r="V2549" s="36"/>
      <c r="W2549" s="45"/>
      <c r="Y2549" s="18"/>
      <c r="Z2549" s="36"/>
      <c r="AA2549" s="45"/>
    </row>
    <row r="2550" spans="1:27">
      <c r="A2550" s="29"/>
      <c r="B2550" s="30"/>
      <c r="C2550" s="31" t="s">
        <v>38</v>
      </c>
      <c r="D2550" s="29"/>
      <c r="E2550" s="32">
        <f>((D2548/D2538)^(1/10))-1</f>
        <v>8.4779530292006688E-2</v>
      </c>
      <c r="F2550" s="33">
        <f>((F2548/F2538)^(1/10))-1</f>
        <v>0.27482217560044919</v>
      </c>
      <c r="G2550" s="34"/>
      <c r="H2550" s="33" t="e">
        <f>((H2548/H2538)^(1/10))-1</f>
        <v>#DIV/0!</v>
      </c>
      <c r="I2550" s="33">
        <f>((I2548/I2538)^(1/10))-1</f>
        <v>-1.6435545087105652E-3</v>
      </c>
      <c r="J2550" s="33"/>
      <c r="K2550" s="33"/>
      <c r="L2550" s="32">
        <f>((L2548/L2538)^(1/10))-1</f>
        <v>9.8522824683343169E-2</v>
      </c>
      <c r="M2550" s="32"/>
      <c r="N2550" s="32"/>
      <c r="O2550" s="32"/>
      <c r="P2550" s="32" t="e">
        <f>((P2548/P2538)^(1/10))-1</f>
        <v>#NUM!</v>
      </c>
      <c r="Q2550" s="40"/>
      <c r="R2550" s="41"/>
      <c r="S2550" s="46"/>
      <c r="U2550" s="40"/>
      <c r="V2550" s="41"/>
      <c r="W2550" s="46"/>
      <c r="Y2550" s="40"/>
      <c r="Z2550" s="41"/>
      <c r="AA2550" s="46"/>
    </row>
    <row r="2551" spans="1:27">
      <c r="B2551" s="24"/>
      <c r="C2551" s="25"/>
      <c r="E2551" s="26"/>
      <c r="F2551" s="27"/>
      <c r="G2551" s="28"/>
      <c r="H2551" s="27"/>
      <c r="I2551" s="27"/>
      <c r="J2551" s="27"/>
      <c r="K2551" s="27"/>
      <c r="L2551" s="26"/>
      <c r="M2551" s="17"/>
      <c r="N2551" s="17"/>
      <c r="O2551" s="17"/>
      <c r="P2551" s="35"/>
      <c r="Q2551" s="18"/>
      <c r="R2551" s="36"/>
    </row>
    <row r="2552" spans="1:27">
      <c r="A2552" s="9" t="s">
        <v>0</v>
      </c>
      <c r="B2552" s="10"/>
      <c r="C2552" s="9" t="s">
        <v>1</v>
      </c>
      <c r="D2552" s="9" t="s">
        <v>2</v>
      </c>
      <c r="E2552" s="9" t="s">
        <v>3</v>
      </c>
      <c r="F2552" s="11" t="s">
        <v>4</v>
      </c>
      <c r="G2552" s="11" t="s">
        <v>5</v>
      </c>
      <c r="H2552" s="9" t="s">
        <v>6</v>
      </c>
      <c r="I2552" s="11" t="s">
        <v>7</v>
      </c>
      <c r="J2552" s="11" t="s">
        <v>8</v>
      </c>
      <c r="K2552" s="11" t="s">
        <v>9</v>
      </c>
      <c r="L2552" s="11" t="s">
        <v>10</v>
      </c>
      <c r="M2552" s="11" t="s">
        <v>11</v>
      </c>
      <c r="N2552" s="11" t="s">
        <v>12</v>
      </c>
      <c r="O2552" s="11" t="s">
        <v>13</v>
      </c>
      <c r="P2552" s="11" t="s">
        <v>14</v>
      </c>
      <c r="Q2552" s="37" t="s">
        <v>15</v>
      </c>
      <c r="R2552" s="42">
        <f>_xll.ciqfunctions.udf.CIQ(A2553,("IQ_LASTSALEPRICE"))</f>
        <v>105.13</v>
      </c>
      <c r="S2552" s="44"/>
      <c r="U2552" s="37" t="s">
        <v>15</v>
      </c>
      <c r="V2552" s="42">
        <f>_xll.ciqfunctions.udf.CIQ(A2553,("IQ_LASTSALEPRICE"))</f>
        <v>105.13</v>
      </c>
      <c r="W2552" s="44"/>
      <c r="Y2552" s="37" t="s">
        <v>15</v>
      </c>
      <c r="Z2552" s="42">
        <f>_xll.ciqfunctions.udf.CIQ(A2553,("IQ_LASTSALEPRICE"))</f>
        <v>105.13</v>
      </c>
      <c r="AA2552" s="44"/>
    </row>
    <row r="2553" spans="1:27">
      <c r="A2553" s="12" t="str">
        <f>Analysis!B172</f>
        <v>NasdaqGS:SYNA</v>
      </c>
      <c r="B2553" s="13">
        <v>1</v>
      </c>
      <c r="C2553" s="14" t="s">
        <v>16</v>
      </c>
      <c r="D2553" s="15">
        <f>IF(A2561=A2562,_xll.ciqfunctions.udf.CIQ(A2553,"IQ_TOTAL_REV",IQ_FY-10)/I2553,_xll.ciqfunctions.udf.CIQ(A2553, "IQ_TOTAL_REV",IQ_FY-9)/I2553)</f>
        <v>25.785968568605234</v>
      </c>
      <c r="E2553" s="16"/>
      <c r="F2553" s="15">
        <f>IF(A2561=A2562,_xll.ciqfunctions.udf.CIQ(A2553,"IQ_DILUT_EPS_EXCL",IQ_FY-10), _xll.ciqfunctions.udf.CIQ(A2553, "IQ_DILUT_EPS_EXCL",IQ_FY-9))</f>
        <v>1.26</v>
      </c>
      <c r="G2553" s="15">
        <f>IF(A2561=A2562,_xll.ciqfunctions.udf.CIQ(A2553,"IQ_EBITDA_MARGIN",IQ_FY-10), _xll.ciqfunctions.udf.CIQ(A2553, "IQ_EBITDA_MARGIN",IQ_FY-9))</f>
        <v>17.308700000000002</v>
      </c>
      <c r="H2553" s="15">
        <f>IF(A2561=A2562,_xll.ciqfunctions.udf.CIQ(A2553,"IQ_TOTAL_DIV_PAID_CF",IQ_FY-10)/-I2553, _xll.ciqfunctions.udf.CIQ(A2553, "IQ_TOTAL_DIV_PAID_CF",IQ_FY-9)/-I2553)</f>
        <v>0</v>
      </c>
      <c r="I2553" s="17">
        <f>IF(A2561=A2562,_xll.ciqfunctions.udf.CIQ(A2553,"IQ_TOTAL_OUTSTANDING_FILING_DATE",IQ_FY-10), _xll.ciqfunctions.udf.CIQ(A2553, "IQ_TOTAL_OUTSTANDING_FILING_DATE",IQ_FY-9))</f>
        <v>36.744790000000002</v>
      </c>
      <c r="J2553" s="17">
        <f>IF(A2561=A2562,_xll.ciqfunctions.udf.CIQ(A2553,"IQ_CASH_OPER",IQ_FY-10), _xll.ciqfunctions.udf.CIQ(A2553, "IQ_CASH_OPER",IQ_FY-9))</f>
        <v>131.6</v>
      </c>
      <c r="K2553" s="17">
        <f>IF(A2561=A2562,_xll.ciqfunctions.udf.CIQ(A2553,"IQ_CAPEX",IQ_FY-10), _xll.ciqfunctions.udf.CIQ(A2553, "IQ_CAPEX",IQ_FY-9))</f>
        <v>-38.700000000000003</v>
      </c>
      <c r="L2553" s="15">
        <f t="shared" ref="L2553:L2563" si="680">(J2553+K2553)/I2553</f>
        <v>2.5282495831381806</v>
      </c>
      <c r="M2553" s="17">
        <f>IF(A2561=A2562,_xll.ciqfunctions.udf.CIQ(A2553,"IQ_TOTAL_DEBT_ISSUED",IQ_FY-10), _xll.ciqfunctions.udf.CIQ(A2553, "IQ_TOTAL_DEBT_ISSUED",IQ_FY-9))</f>
        <v>0</v>
      </c>
      <c r="N2553" s="17">
        <f>IF(A2561=A2562,_xll.ciqfunctions.udf.CIQ(A2553,"IQ_TOTAL_DEBT_REPAID",IQ_FY-10), _xll.ciqfunctions.udf.CIQ(A2553, "IQ_TOTAL_DEBT_REPAID",IQ_FY-9))</f>
        <v>-2.2999999999999998</v>
      </c>
      <c r="O2553" s="15">
        <f t="shared" ref="O2553:O2563" si="681">(M2553+N2553)/I2553</f>
        <v>-6.2593907871020621E-2</v>
      </c>
      <c r="P2553" s="15">
        <f t="shared" ref="P2553:P2563" si="682">L2553+O2553</f>
        <v>2.4656556752671599</v>
      </c>
      <c r="W2553" s="43"/>
      <c r="AA2553" s="43"/>
    </row>
    <row r="2554" spans="1:27">
      <c r="A2554" s="18" t="str">
        <f>_xll.ciqfunctions.udf.CIQ(A2553,"IQ_COMPANY_NAME")</f>
        <v>Synaptics Incorporated</v>
      </c>
      <c r="B2554" s="13">
        <v>2</v>
      </c>
      <c r="C2554" s="14" t="s">
        <v>17</v>
      </c>
      <c r="D2554" s="15">
        <f>IF(A2561=A2562,_xll.ciqfunctions.udf.CIQ(A2553,"IQ_TOTAL_REV",IQ_FY-9)/I2554, _xll.ciqfunctions.udf.CIQ(A2553, "IQ_TOTAL_REV",IQ_FY-8)/I2554)</f>
        <v>46.747070896613209</v>
      </c>
      <c r="E2554" s="16">
        <f t="shared" ref="E2554:E2563" si="683">(D2554-D2553)/D2553</f>
        <v>0.8128879189563738</v>
      </c>
      <c r="F2554" s="15">
        <f>IF(A2561=A2562,_xll.ciqfunctions.udf.CIQ(A2553,"IQ_DILUT_EPS_EXCL",IQ_FY-9), _xll.ciqfunctions.udf.CIQ(A2553, "IQ_DILUT_EPS_EXCL",IQ_FY-8))</f>
        <v>2.84</v>
      </c>
      <c r="G2554" s="15">
        <f>IF(A2561=A2562,_xll.ciqfunctions.udf.CIQ(A2553,"IQ_EBITDA_MARGIN",IQ_FY-9), _xll.ciqfunctions.udf.CIQ(A2553, "IQ_EBITDA_MARGIN",IQ_FY-8))</f>
        <v>15.0205</v>
      </c>
      <c r="H2554" s="15">
        <f>IF(A2561=A2562,_xll.ciqfunctions.udf.CIQ(A2553,"IQ_TOTAL_DIV_PAID_CF",IQ_FY-9)/-I2554, _xll.ciqfunctions.udf.CIQ(A2553, "IQ_TOTAL_DIV_PAID_CF",IQ_FY-8)/-I2554)</f>
        <v>0</v>
      </c>
      <c r="I2554" s="17">
        <f>IF(A2561=A2562,_xll.ciqfunctions.udf.CIQ(A2553,"IQ_TOTAL_OUTSTANDING_FILING_DATE",IQ_FY-9), _xll.ciqfunctions.udf.CIQ(A2553, "IQ_TOTAL_OUTSTANDING_FILING_DATE",IQ_FY-8))</f>
        <v>36.43009</v>
      </c>
      <c r="J2554" s="17">
        <f>IF(A2561=A2562,_xll.ciqfunctions.udf.CIQ(A2553,"IQ_CASH_OPER",IQ_FY-9), _xll.ciqfunctions.udf.CIQ(A2553, "IQ_CASH_OPER",IQ_FY-8))</f>
        <v>204.1</v>
      </c>
      <c r="K2554" s="17">
        <f>IF(A2561=A2562,_xll.ciqfunctions.udf.CIQ(A2553,"IQ_CAPEX",IQ_FY-9), _xll.ciqfunctions.udf.CIQ(A2553, "IQ_CAPEX",IQ_FY-8))</f>
        <v>-51.9</v>
      </c>
      <c r="L2554" s="15">
        <f t="shared" si="680"/>
        <v>4.1778650560566826</v>
      </c>
      <c r="M2554" s="17">
        <f>IF(A2561=A2562,_xll.ciqfunctions.udf.CIQ(A2553,"IQ_TOTAL_DEBT_ISSUED",IQ_FY-9), _xll.ciqfunctions.udf.CIQ(A2553, "IQ_TOTAL_DEBT_ISSUED",IQ_FY-8))</f>
        <v>245.4</v>
      </c>
      <c r="N2554" s="17">
        <f>IF(A2561=A2562,_xll.ciqfunctions.udf.CIQ(A2553,"IQ_TOTAL_DEBT_REPAID",IQ_FY-9), _xll.ciqfunctions.udf.CIQ(A2553, "IQ_TOTAL_DEBT_REPAID",IQ_FY-8))</f>
        <v>-3.8</v>
      </c>
      <c r="O2554" s="15">
        <f t="shared" si="681"/>
        <v>6.6318804043580455</v>
      </c>
      <c r="P2554" s="15">
        <f t="shared" si="682"/>
        <v>10.809745460414728</v>
      </c>
      <c r="Q2554" s="25" t="s">
        <v>18</v>
      </c>
      <c r="R2554" s="39" t="s">
        <v>19</v>
      </c>
      <c r="S2554" s="1">
        <f>R2552/((AVERAGE(P2558:P2563))*(1+E2564)^3)</f>
        <v>14.795516197518472</v>
      </c>
      <c r="U2554" s="25" t="s">
        <v>48</v>
      </c>
      <c r="V2554" s="39" t="s">
        <v>19</v>
      </c>
      <c r="W2554" s="1">
        <f>V2552/((AVERAGE(P2558:P2563))*(1+E2564)^3)</f>
        <v>14.795516197518472</v>
      </c>
      <c r="Y2554" s="25" t="s">
        <v>39</v>
      </c>
      <c r="Z2554" s="39" t="s">
        <v>19</v>
      </c>
      <c r="AA2554" s="1">
        <f>Z2552/((AVERAGE(P2558:P2563))*(1+E2564)^3)</f>
        <v>14.795516197518472</v>
      </c>
    </row>
    <row r="2555" spans="1:27">
      <c r="B2555" s="13">
        <v>3</v>
      </c>
      <c r="C2555" s="14" t="s">
        <v>20</v>
      </c>
      <c r="D2555" s="15" cm="1">
        <f t="array" ref="D2555">_xlfn.SINGLE(IF(A2561=A2562,_xll.ciqfunctions.udf.CIQ(A2553,"IQ_TOTAL_REV",IQ_FY-8)/I2555, _xll.ciqfunctions.udf.CIQ(A2553, "IQ_TOTAL_REV",IQ_FY-7)/I2555))</f>
        <v>47.883642948717764</v>
      </c>
      <c r="E2555" s="16">
        <f t="shared" si="683"/>
        <v>2.4313224985116625E-2</v>
      </c>
      <c r="F2555" s="15">
        <f>IF(A2561=A2562,_xll.ciqfunctions.udf.CIQ(A2553,"IQ_DILUT_EPS_EXCL",IQ_FY-8), _xll.ciqfunctions.udf.CIQ(A2553, "IQ_DILUT_EPS_EXCL",IQ_FY-7))</f>
        <v>1.91</v>
      </c>
      <c r="G2555" s="15">
        <f>IF(A2561=A2562,_xll.ciqfunctions.udf.CIQ(A2553,"IQ_EBITDA_MARGIN",IQ_FY-8), _xll.ciqfunctions.udf.CIQ(A2553, "IQ_EBITDA_MARGIN",IQ_FY-7))</f>
        <v>11.6503</v>
      </c>
      <c r="H2555" s="15">
        <f>IF(A2561=A2562,_xll.ciqfunctions.udf.CIQ(A2553,"IQ_TOTAL_DIV_PAID_CF",IQ_FY-8)/-I2555, _xll.ciqfunctions.udf.CIQ(A2553, "IQ_TOTAL_DIV_PAID_CF",IQ_FY-7)/-I2555)</f>
        <v>0</v>
      </c>
      <c r="I2555" s="17">
        <f>IF(A2561=A2562,_xll.ciqfunctions.udf.CIQ(A2553,"IQ_TOTAL_OUTSTANDING_FILING_DATE",IQ_FY-8), _xll.ciqfunctions.udf.CIQ(A2553, "IQ_TOTAL_OUTSTANDING_FILING_DATE",IQ_FY-7))</f>
        <v>34.81147</v>
      </c>
      <c r="J2555" s="17">
        <f>IF(A2561=A2562,_xll.ciqfunctions.udf.CIQ(A2553,"IQ_CASH_OPER",IQ_FY-8), _xll.ciqfunctions.udf.CIQ(A2553, "IQ_CASH_OPER",IQ_FY-7))</f>
        <v>256.60000000000002</v>
      </c>
      <c r="K2555" s="17">
        <f>IF(A2561=A2562,_xll.ciqfunctions.udf.CIQ(A2553,"IQ_CAPEX",IQ_FY-8), _xll.ciqfunctions.udf.CIQ(A2553, "IQ_CAPEX",IQ_FY-7))</f>
        <v>-28.6</v>
      </c>
      <c r="L2555" s="15">
        <f t="shared" si="680"/>
        <v>6.5495654162263195</v>
      </c>
      <c r="M2555" s="17">
        <f>IF(A2561=A2562,_xll.ciqfunctions.udf.CIQ(A2553,"IQ_TOTAL_DEBT_ISSUED",IQ_FY-8), _xll.ciqfunctions.udf.CIQ(A2553, "IQ_TOTAL_DEBT_ISSUED",IQ_FY-7))</f>
        <v>0</v>
      </c>
      <c r="N2555" s="17">
        <f>IF(A2561=A2562,_xll.ciqfunctions.udf.CIQ(A2553,"IQ_TOTAL_DEBT_REPAID",IQ_FY-8), _xll.ciqfunctions.udf.CIQ(A2553, "IQ_TOTAL_DEBT_REPAID",IQ_FY-7))</f>
        <v>-7.6</v>
      </c>
      <c r="O2555" s="15">
        <f t="shared" si="681"/>
        <v>-0.21831884720754394</v>
      </c>
      <c r="P2555" s="15">
        <f t="shared" si="682"/>
        <v>6.3312465690187754</v>
      </c>
      <c r="Q2555" s="25" t="s">
        <v>21</v>
      </c>
      <c r="R2555" s="38" t="s">
        <v>49</v>
      </c>
      <c r="S2555" s="2">
        <f>(R2552*I2563)/1000</f>
        <v>4.1210907434999999</v>
      </c>
      <c r="U2555" s="25" t="s">
        <v>59</v>
      </c>
      <c r="V2555" s="38" t="s">
        <v>49</v>
      </c>
      <c r="W2555" s="2">
        <f>(V2552*I2563)/1000</f>
        <v>4.1210907434999999</v>
      </c>
      <c r="Y2555" s="25" t="s">
        <v>46</v>
      </c>
      <c r="Z2555" s="38" t="s">
        <v>49</v>
      </c>
      <c r="AA2555" s="2">
        <f>(Z2552*I2563)/1000</f>
        <v>4.1210907434999999</v>
      </c>
    </row>
    <row r="2556" spans="1:27">
      <c r="A2556" s="18"/>
      <c r="B2556" s="13">
        <v>4</v>
      </c>
      <c r="C2556" s="14" t="s">
        <v>22</v>
      </c>
      <c r="D2556" s="15" cm="1">
        <f t="array" ref="D2556">_xlfn.SINGLE(IF(A2561=A2562,_xll.ciqfunctions.udf.CIQ(A2553,"IQ_TOTAL_REV",IQ_FY-7)/I2556, _xll.ciqfunctions.udf.CIQ(A2553, "IQ_TOTAL_REV",IQ_FY-6)/I2556))</f>
        <v>50.980216459708508</v>
      </c>
      <c r="E2556" s="16">
        <f t="shared" si="683"/>
        <v>6.4668711908722157E-2</v>
      </c>
      <c r="F2556" s="15">
        <f>IF(A2561=A2562,_xll.ciqfunctions.udf.CIQ(A2553,"IQ_DILUT_EPS_EXCL",IQ_FY-7), _xll.ciqfunctions.udf.CIQ(A2553, "IQ_DILUT_EPS_EXCL",IQ_FY-6))</f>
        <v>1.37</v>
      </c>
      <c r="G2556" s="15">
        <f>IF(A2561=A2562,_xll.ciqfunctions.udf.CIQ(A2553,"IQ_EBITDA_MARGIN",IQ_FY-7), _xll.ciqfunctions.udf.CIQ(A2553, "IQ_EBITDA_MARGIN",IQ_FY-6))</f>
        <v>10.155900000000001</v>
      </c>
      <c r="H2556" s="15">
        <f>IF(A2561=A2562,_xll.ciqfunctions.udf.CIQ(A2553,"IQ_TOTAL_DIV_PAID_CF",IQ_FY-7)/-I2556, _xll.ciqfunctions.udf.CIQ(A2553, "IQ_TOTAL_DIV_PAID_CF",IQ_FY-6)/-I2556)</f>
        <v>0</v>
      </c>
      <c r="I2556" s="17">
        <f>IF(A2561=A2562,_xll.ciqfunctions.udf.CIQ(A2553,"IQ_TOTAL_OUTSTANDING_FILING_DATE",IQ_FY-7), _xll.ciqfunctions.udf.CIQ(A2553, "IQ_TOTAL_OUTSTANDING_FILING_DATE",IQ_FY-6))</f>
        <v>33.703270000000003</v>
      </c>
      <c r="J2556" s="17">
        <f>IF(A2561=A2562,_xll.ciqfunctions.udf.CIQ(A2553,"IQ_CASH_OPER",IQ_FY-7), _xll.ciqfunctions.udf.CIQ(A2553, "IQ_CASH_OPER",IQ_FY-6))</f>
        <v>152.9</v>
      </c>
      <c r="K2556" s="17">
        <f>IF(A2561=A2562,_xll.ciqfunctions.udf.CIQ(A2553,"IQ_CAPEX",IQ_FY-7), _xll.ciqfunctions.udf.CIQ(A2553, "IQ_CAPEX",IQ_FY-6))</f>
        <v>-31.4</v>
      </c>
      <c r="L2556" s="15">
        <f t="shared" si="680"/>
        <v>3.6049914444503455</v>
      </c>
      <c r="M2556" s="17">
        <f>IF(A2561=A2562,_xll.ciqfunctions.udf.CIQ(A2553,"IQ_TOTAL_DEBT_ISSUED",IQ_FY-7), _xll.ciqfunctions.udf.CIQ(A2553, "IQ_TOTAL_DEBT_ISSUED",IQ_FY-6))</f>
        <v>0</v>
      </c>
      <c r="N2556" s="17">
        <f>IF(A2561=A2562,_xll.ciqfunctions.udf.CIQ(A2553,"IQ_TOTAL_DEBT_REPAID",IQ_FY-7), _xll.ciqfunctions.udf.CIQ(A2553, "IQ_TOTAL_DEBT_REPAID",IQ_FY-6))</f>
        <v>-18.8</v>
      </c>
      <c r="O2556" s="15">
        <f t="shared" si="681"/>
        <v>-0.55780937576680245</v>
      </c>
      <c r="P2556" s="15">
        <f t="shared" si="682"/>
        <v>3.0471820686835431</v>
      </c>
      <c r="Q2556" s="25" t="s">
        <v>23</v>
      </c>
      <c r="R2556" s="38" t="s">
        <v>24</v>
      </c>
      <c r="S2556" s="1" t="e">
        <f>R2552/(AVERAGE(H2558:H2563)*(1+H2564)/(0.5-H2564))</f>
        <v>#DIV/0!</v>
      </c>
      <c r="U2556" s="25" t="s">
        <v>40</v>
      </c>
      <c r="V2556" s="38" t="s">
        <v>24</v>
      </c>
      <c r="W2556" s="1" t="e">
        <f>V2552/(AVERAGE(H2558:H2563)*(1+H2564)/(0.5-H2564))</f>
        <v>#DIV/0!</v>
      </c>
      <c r="Y2556" s="25" t="s">
        <v>47</v>
      </c>
      <c r="Z2556" s="38" t="s">
        <v>24</v>
      </c>
      <c r="AA2556" s="1" t="e">
        <f>Z2552/(AVERAGE(H2558:H2563)*(1+H2564)/(0.5-H2564))</f>
        <v>#DIV/0!</v>
      </c>
    </row>
    <row r="2557" spans="1:27">
      <c r="B2557" s="13">
        <v>5</v>
      </c>
      <c r="C2557" s="14" t="s">
        <v>25</v>
      </c>
      <c r="D2557" s="15" cm="1">
        <f t="array" ref="D2557">_xlfn.SINGLE(IF(A2561=A2562,_xll.ciqfunctions.udf.CIQ(A2553,"IQ_TOTAL_REV",IQ_FY-6)/I2557, _xll.ciqfunctions.udf.CIQ(A2553, "IQ_TOTAL_REV",IQ_FY-5)/I2557))</f>
        <v>46.103070323654691</v>
      </c>
      <c r="E2557" s="16">
        <f t="shared" si="683"/>
        <v>-9.5667426989220428E-2</v>
      </c>
      <c r="F2557" s="15">
        <f>IF(A2561=A2562,_xll.ciqfunctions.udf.CIQ(A2553,"IQ_DILUT_EPS_EXCL",IQ_FY-6), _xll.ciqfunctions.udf.CIQ(A2553, "IQ_DILUT_EPS_EXCL",IQ_FY-5))</f>
        <v>-3.63</v>
      </c>
      <c r="G2557" s="15">
        <f>IF(A2561=A2562,_xll.ciqfunctions.udf.CIQ(A2553,"IQ_EBITDA_MARGIN",IQ_FY-6), _xll.ciqfunctions.udf.CIQ(A2553, "IQ_EBITDA_MARGIN",IQ_FY-5))</f>
        <v>4.4714999999999998</v>
      </c>
      <c r="H2557" s="15">
        <f>IF(A2561=A2562,_xll.ciqfunctions.udf.CIQ(A2553,"IQ_TOTAL_DIV_PAID_CF",IQ_FY-6)/-I2557, _xll.ciqfunctions.udf.CIQ(A2553, "IQ_TOTAL_DIV_PAID_CF",IQ_FY-5)/-I2557)</f>
        <v>0</v>
      </c>
      <c r="I2557" s="17">
        <f>IF(A2561=A2562,_xll.ciqfunctions.udf.CIQ(A2553,"IQ_TOTAL_OUTSTANDING_FILING_DATE",IQ_FY-6), _xll.ciqfunctions.udf.CIQ(A2553, "IQ_TOTAL_OUTSTANDING_FILING_DATE",IQ_FY-5))</f>
        <v>35.362070000000003</v>
      </c>
      <c r="J2557" s="17">
        <f>IF(A2561=A2562,_xll.ciqfunctions.udf.CIQ(A2553,"IQ_CASH_OPER",IQ_FY-6), _xll.ciqfunctions.udf.CIQ(A2553, "IQ_CASH_OPER",IQ_FY-5))</f>
        <v>145</v>
      </c>
      <c r="K2557" s="17">
        <f>IF(A2561=A2562,_xll.ciqfunctions.udf.CIQ(A2553,"IQ_CAPEX",IQ_FY-6), _xll.ciqfunctions.udf.CIQ(A2553, "IQ_CAPEX",IQ_FY-5))</f>
        <v>-34.1</v>
      </c>
      <c r="L2557" s="15">
        <f t="shared" si="680"/>
        <v>3.1361286259543064</v>
      </c>
      <c r="M2557" s="17">
        <f>IF(A2561=A2562,_xll.ciqfunctions.udf.CIQ(A2553,"IQ_TOTAL_DEBT_ISSUED",IQ_FY-6), _xll.ciqfunctions.udf.CIQ(A2553, "IQ_TOTAL_DEBT_ISSUED",IQ_FY-5))</f>
        <v>514.5</v>
      </c>
      <c r="N2557" s="17">
        <f>IF(A2561=A2562,_xll.ciqfunctions.udf.CIQ(A2553,"IQ_TOTAL_DEBT_REPAID",IQ_FY-6), _xll.ciqfunctions.udf.CIQ(A2553, "IQ_TOTAL_DEBT_REPAID",IQ_FY-5))</f>
        <v>-220</v>
      </c>
      <c r="O2557" s="15">
        <f t="shared" si="681"/>
        <v>8.3281323746036353</v>
      </c>
      <c r="P2557" s="15">
        <f t="shared" si="682"/>
        <v>11.464261000557942</v>
      </c>
      <c r="Q2557" s="18"/>
      <c r="R2557" s="38" t="s">
        <v>50</v>
      </c>
      <c r="S2557" s="3">
        <f>I2564</f>
        <v>3.5593169363943744E-2</v>
      </c>
      <c r="U2557" s="18"/>
      <c r="V2557" s="38" t="s">
        <v>50</v>
      </c>
      <c r="W2557" s="3">
        <f>I2564</f>
        <v>3.5593169363943744E-2</v>
      </c>
      <c r="Y2557" s="18"/>
      <c r="Z2557" s="38" t="s">
        <v>50</v>
      </c>
      <c r="AA2557" s="3">
        <f>I2564</f>
        <v>3.5593169363943744E-2</v>
      </c>
    </row>
    <row r="2558" spans="1:27">
      <c r="B2558" s="13">
        <v>6</v>
      </c>
      <c r="C2558" s="14" t="s">
        <v>26</v>
      </c>
      <c r="D2558" s="15" cm="1">
        <f t="array" ref="D2558">_xlfn.SINGLE(IF(A2561=A2562,_xll.ciqfunctions.udf.CIQ(A2553,"IQ_TOTAL_REV",IQ_FY-5)/I2558, _xll.ciqfunctions.udf.CIQ(A2553, "IQ_TOTAL_REV",IQ_FY-4)/I2558))</f>
        <v>44.732913634362362</v>
      </c>
      <c r="E2558" s="16">
        <f t="shared" si="683"/>
        <v>-2.9719423883778209E-2</v>
      </c>
      <c r="F2558" s="15">
        <f>IF(A2561=A2562,_xll.ciqfunctions.udf.CIQ(A2553,"IQ_DILUT_EPS_EXCL",IQ_FY-5), _xll.ciqfunctions.udf.CIQ(A2553, "IQ_DILUT_EPS_EXCL",IQ_FY-4))</f>
        <v>-0.66185000000000005</v>
      </c>
      <c r="G2558" s="15">
        <f>IF(A2561=A2562,_xll.ciqfunctions.udf.CIQ(A2553,"IQ_EBITDA_MARGIN",IQ_FY-5), _xll.ciqfunctions.udf.CIQ(A2553, "IQ_EBITDA_MARGIN",IQ_FY-4))</f>
        <v>8.2461000000000002</v>
      </c>
      <c r="H2558" s="15">
        <f>IF(A2561=A2562,_xll.ciqfunctions.udf.CIQ(A2553,"IQ_TOTAL_DIV_PAID_CF",IQ_FY-5)/-I2558, _xll.ciqfunctions.udf.CIQ(A2553, "IQ_TOTAL_DIV_PAID_CF",IQ_FY-4)/-I2558)</f>
        <v>0</v>
      </c>
      <c r="I2558" s="17">
        <f>IF(A2561=A2562,_xll.ciqfunctions.udf.CIQ(A2553,"IQ_TOTAL_OUTSTANDING_FILING_DATE",IQ_FY-5), _xll.ciqfunctions.udf.CIQ(A2553, "IQ_TOTAL_OUTSTANDING_FILING_DATE",IQ_FY-4))</f>
        <v>32.910890000000002</v>
      </c>
      <c r="J2558" s="17">
        <f>IF(A2561=A2562,_xll.ciqfunctions.udf.CIQ(A2553,"IQ_CASH_OPER",IQ_FY-5), _xll.ciqfunctions.udf.CIQ(A2553, "IQ_CASH_OPER",IQ_FY-4))</f>
        <v>154.19999999999999</v>
      </c>
      <c r="K2558" s="17">
        <f>IF(A2561=A2562,_xll.ciqfunctions.udf.CIQ(A2553,"IQ_CAPEX",IQ_FY-5), _xll.ciqfunctions.udf.CIQ(A2553, "IQ_CAPEX",IQ_FY-4))</f>
        <v>-23.7</v>
      </c>
      <c r="L2558" s="15">
        <f t="shared" si="680"/>
        <v>3.9652528388019892</v>
      </c>
      <c r="M2558" s="17">
        <f>IF(A2561=A2562,_xll.ciqfunctions.udf.CIQ(A2553,"IQ_TOTAL_DEBT_ISSUED",IQ_FY-5), _xll.ciqfunctions.udf.CIQ(A2553, "IQ_TOTAL_DEBT_ISSUED",IQ_FY-4))</f>
        <v>0</v>
      </c>
      <c r="N2558" s="17">
        <f>IF(A2561=A2562,_xll.ciqfunctions.udf.CIQ(A2553,"IQ_TOTAL_DEBT_REPAID",IQ_FY-5), _xll.ciqfunctions.udf.CIQ(A2553, "IQ_TOTAL_DEBT_REPAID",IQ_FY-4))</f>
        <v>0</v>
      </c>
      <c r="O2558" s="15">
        <f t="shared" si="681"/>
        <v>0</v>
      </c>
      <c r="P2558" s="15">
        <f t="shared" si="682"/>
        <v>3.9652528388019892</v>
      </c>
      <c r="Q2558" s="25" t="s">
        <v>27</v>
      </c>
      <c r="R2558" s="38" t="s">
        <v>51</v>
      </c>
      <c r="S2558" s="4">
        <f>AVERAGE(F2558:F2563)/AVERAGE(D2558:D2563)</f>
        <v>5.2134849897764679E-2</v>
      </c>
      <c r="U2558" s="25" t="s">
        <v>58</v>
      </c>
      <c r="V2558" s="38" t="s">
        <v>51</v>
      </c>
      <c r="W2558" s="4">
        <f>AVERAGE(F2558:F2563)/AVERAGE(D2558:D2563)</f>
        <v>5.2134849897764679E-2</v>
      </c>
      <c r="Y2558" s="25" t="s">
        <v>56</v>
      </c>
      <c r="Z2558" s="38" t="s">
        <v>51</v>
      </c>
      <c r="AA2558" s="4">
        <f>AVERAGE(F2558:F2563)/AVERAGE(D2558:D2563)</f>
        <v>5.2134849897764679E-2</v>
      </c>
    </row>
    <row r="2559" spans="1:27">
      <c r="A2559" s="18"/>
      <c r="B2559" s="13">
        <v>7</v>
      </c>
      <c r="C2559" s="14" t="s">
        <v>28</v>
      </c>
      <c r="D2559" s="15" cm="1">
        <f t="array" ref="D2559">_xlfn.SINGLE(IF(A2561=A2562,_xll.ciqfunctions.udf.CIQ(A2553,"IQ_TOTAL_REV",IQ_FY-4)/I2559, _xll.ciqfunctions.udf.CIQ(A2553, "IQ_TOTAL_REV",IQ_FY-3)/I2559))</f>
        <v>38.969196251197801</v>
      </c>
      <c r="E2559" s="16">
        <f t="shared" si="683"/>
        <v>-0.12884735008043521</v>
      </c>
      <c r="F2559" s="15">
        <f>IF(A2561=A2562,_xll.ciqfunctions.udf.CIQ(A2553,"IQ_DILUT_EPS_EXCL",IQ_FY-4), _xll.ciqfunctions.udf.CIQ(A2553, "IQ_DILUT_EPS_EXCL",IQ_FY-3))</f>
        <v>3.41</v>
      </c>
      <c r="G2559" s="15">
        <f>IF(A2561=A2562,_xll.ciqfunctions.udf.CIQ(A2553,"IQ_EBITDA_MARGIN",IQ_FY-4), _xll.ciqfunctions.udf.CIQ(A2553, "IQ_EBITDA_MARGIN",IQ_FY-3))</f>
        <v>13.494199999999999</v>
      </c>
      <c r="H2559" s="15">
        <f>IF(A2561=A2562,_xll.ciqfunctions.udf.CIQ(A2553,"IQ_TOTAL_DIV_PAID_CF",IQ_FY-4)/-I2559, _xll.ciqfunctions.udf.CIQ(A2553, "IQ_TOTAL_DIV_PAID_CF",IQ_FY-3)/-I2559)</f>
        <v>0</v>
      </c>
      <c r="I2559" s="17">
        <f>IF(A2561=A2562,_xll.ciqfunctions.udf.CIQ(A2553,"IQ_TOTAL_OUTSTANDING_FILING_DATE",IQ_FY-4), _xll.ciqfunctions.udf.CIQ(A2553, "IQ_TOTAL_OUTSTANDING_FILING_DATE",IQ_FY-3))</f>
        <v>34.229599999999998</v>
      </c>
      <c r="J2559" s="17">
        <f>IF(A2561=A2562,_xll.ciqfunctions.udf.CIQ(A2553,"IQ_CASH_OPER",IQ_FY-4), _xll.ciqfunctions.udf.CIQ(A2553, "IQ_CASH_OPER",IQ_FY-3))</f>
        <v>221.8</v>
      </c>
      <c r="K2559" s="17">
        <f>IF(A2561=A2562,_xll.ciqfunctions.udf.CIQ(A2553,"IQ_CAPEX",IQ_FY-4), _xll.ciqfunctions.udf.CIQ(A2553, "IQ_CAPEX",IQ_FY-3))</f>
        <v>-16.3</v>
      </c>
      <c r="L2559" s="15">
        <f t="shared" si="680"/>
        <v>6.0035758524785567</v>
      </c>
      <c r="M2559" s="17">
        <f>IF(A2561=A2562,_xll.ciqfunctions.udf.CIQ(A2553,"IQ_TOTAL_DEBT_ISSUED",IQ_FY-4), _xll.ciqfunctions.udf.CIQ(A2553, "IQ_TOTAL_DEBT_ISSUED",IQ_FY-3))</f>
        <v>100</v>
      </c>
      <c r="N2559" s="17">
        <f>IF(A2561=A2562,_xll.ciqfunctions.udf.CIQ(A2553,"IQ_TOTAL_DEBT_REPAID",IQ_FY-4), _xll.ciqfunctions.udf.CIQ(A2553, "IQ_TOTAL_DEBT_REPAID",IQ_FY-3))</f>
        <v>0</v>
      </c>
      <c r="O2559" s="15">
        <f t="shared" si="681"/>
        <v>2.9214481033958917</v>
      </c>
      <c r="P2559" s="15">
        <f t="shared" si="682"/>
        <v>8.9250239558744475</v>
      </c>
      <c r="Q2559" s="18"/>
      <c r="R2559" s="38" t="s">
        <v>29</v>
      </c>
      <c r="S2559" s="4">
        <f>(AVERAGE(P2558:P2563)/_xlfn.STDEV.P(P2558:P2563))/(IF(A2561=A2562,(_xlfn.SINGLE(_xll.ciqfunctions.udf.CIQ(A2553,"IQ_total_assets",IQ_FY)) - _xlfn.SINGLE(_xll.ciqfunctions.udf.CIQ(A2553,"iq_gw_intan", IQ_FY)))/I2563, (_xlfn.SINGLE(_xll.ciqfunctions.udf.CIQ(A2553, "IQ_total_assets",IQ_LTM))-_xlfn.SINGLE(_xll.ciqfunctions.udf.CIQ(A2553,"iq_gw_intan",IQ_LTM)))/I2563))</f>
        <v>6.5945897059611153E-2</v>
      </c>
      <c r="U2559" s="18"/>
      <c r="V2559" s="38" t="s">
        <v>29</v>
      </c>
      <c r="W2559" s="4">
        <f>(AVERAGE(P2558:P2563)/_xlfn.STDEV.P(P2558:P2563))/(IF(A2561=A2562,(_xlfn.SINGLE(_xll.ciqfunctions.udf.CIQ(A2553,"IQ_total_assets",IQ_FY)) - _xlfn.SINGLE(_xll.ciqfunctions.udf.CIQ(A2553,"iq_gw_intan", IQ_FY)))/I2563, (_xlfn.SINGLE(_xll.ciqfunctions.udf.CIQ(A2553, "IQ_total_assets",IQ_LTM))-_xlfn.SINGLE(_xll.ciqfunctions.udf.CIQ(A2553,"iq_gw_intan",IQ_LTM)))/I2563))</f>
        <v>6.5945897059611153E-2</v>
      </c>
      <c r="Y2559" s="18"/>
      <c r="Z2559" s="38" t="s">
        <v>29</v>
      </c>
      <c r="AA2559" s="4">
        <f>(AVERAGE(P2558:P2563)/_xlfn.STDEV.P(P2558:P2563))/(IF(A2561=A2562,(_xlfn.SINGLE(_xll.ciqfunctions.udf.CIQ(A2553,"IQ_total_assets",IQ_FY)) - _xlfn.SINGLE(_xll.ciqfunctions.udf.CIQ(A2553,"iq_gw_intan", IQ_FY)))/I2563, (_xlfn.SINGLE(_xll.ciqfunctions.udf.CIQ(A2553, "IQ_total_assets",IQ_LTM))-_xlfn.SINGLE(_xll.ciqfunctions.udf.CIQ(A2553,"iq_gw_intan",IQ_LTM)))/I2563))</f>
        <v>6.5945897059611153E-2</v>
      </c>
    </row>
    <row r="2560" spans="1:27">
      <c r="A2560" s="18"/>
      <c r="B2560" s="13">
        <v>8</v>
      </c>
      <c r="C2560" s="14" t="s">
        <v>30</v>
      </c>
      <c r="D2560" s="15" cm="1">
        <f t="array" ref="D2560">_xlfn.SINGLE(IF(A2561=A2562,_xll.ciqfunctions.udf.CIQ(A2553,"IQ_TOTAL_REV",IQ_FY-3)/I2560, _xll.ciqfunctions.udf.CIQ(A2553, "IQ_TOTAL_REV",IQ_FY-2)/I2560))</f>
        <v>34.477691034487727</v>
      </c>
      <c r="E2560" s="16">
        <f t="shared" si="683"/>
        <v>-0.11525783564427552</v>
      </c>
      <c r="F2560" s="15">
        <f>IF(A2561=A2562,_xll.ciqfunctions.udf.CIQ(A2553,"IQ_DILUT_EPS_EXCL",IQ_FY-3), _xll.ciqfunctions.udf.CIQ(A2553, "IQ_DILUT_EPS_EXCL",IQ_FY-2))</f>
        <v>2.08</v>
      </c>
      <c r="G2560" s="15">
        <f>IF(A2561=A2562,_xll.ciqfunctions.udf.CIQ(A2553,"IQ_EBITDA_MARGIN",IQ_FY-3), _xll.ciqfunctions.udf.CIQ(A2553, "IQ_EBITDA_MARGIN",IQ_FY-2))</f>
        <v>18.804099999999998</v>
      </c>
      <c r="H2560" s="15">
        <f>IF(A2561=A2562,_xll.ciqfunctions.udf.CIQ(A2553,"IQ_TOTAL_DIV_PAID_CF",IQ_FY-3)/-I2560, _xll.ciqfunctions.udf.CIQ(A2553, "IQ_TOTAL_DIV_PAID_CF",IQ_FY-2)/-I2560)</f>
        <v>0</v>
      </c>
      <c r="I2560" s="17">
        <f>IF(A2561=A2562,_xll.ciqfunctions.udf.CIQ(A2553,"IQ_TOTAL_OUTSTANDING_FILING_DATE",IQ_FY-3), _xll.ciqfunctions.udf.CIQ(A2553, "IQ_TOTAL_OUTSTANDING_FILING_DATE",IQ_FY-2))</f>
        <v>38.854109999999999</v>
      </c>
      <c r="J2560" s="17">
        <f>IF(A2561=A2562,_xll.ciqfunctions.udf.CIQ(A2553,"IQ_CASH_OPER",IQ_FY-3), _xll.ciqfunctions.udf.CIQ(A2553, "IQ_CASH_OPER",IQ_FY-2))</f>
        <v>319.2</v>
      </c>
      <c r="K2560" s="17">
        <f>IF(A2561=A2562,_xll.ciqfunctions.udf.CIQ(A2553,"IQ_CAPEX",IQ_FY-3), _xll.ciqfunctions.udf.CIQ(A2553, "IQ_CAPEX",IQ_FY-2))</f>
        <v>-21.1</v>
      </c>
      <c r="L2560" s="15">
        <f t="shared" si="680"/>
        <v>7.6722900099886466</v>
      </c>
      <c r="M2560" s="17">
        <f>IF(A2561=A2562,_xll.ciqfunctions.udf.CIQ(A2553,"IQ_TOTAL_DEBT_ISSUED",IQ_FY-3), _xll.ciqfunctions.udf.CIQ(A2553, "IQ_TOTAL_DEBT_ISSUED",IQ_FY-2))</f>
        <v>400</v>
      </c>
      <c r="N2560" s="17">
        <f>IF(A2561=A2562,_xll.ciqfunctions.udf.CIQ(A2553,"IQ_TOTAL_DEBT_REPAID",IQ_FY-3), _xll.ciqfunctions.udf.CIQ(A2553, "IQ_TOTAL_DEBT_REPAID",IQ_FY-2))</f>
        <v>-119.4</v>
      </c>
      <c r="O2560" s="15">
        <f t="shared" si="681"/>
        <v>7.2218872083287984</v>
      </c>
      <c r="P2560" s="15">
        <f t="shared" si="682"/>
        <v>14.894177218317445</v>
      </c>
      <c r="Q2560" s="18"/>
      <c r="R2560" s="39" t="s">
        <v>31</v>
      </c>
      <c r="S2560" s="5">
        <f>IF(NOT(D2553&gt;0),FALSE,SLOPE(G2553:G2563,B2553:B2563))</f>
        <v>0.8873209090909091</v>
      </c>
      <c r="U2560" s="18"/>
      <c r="V2560" s="39" t="s">
        <v>31</v>
      </c>
      <c r="W2560" s="5">
        <f>IF(NOT(D2553&gt;0),FALSE,SLOPE(G2553:G2563,B2553:B2563))</f>
        <v>0.8873209090909091</v>
      </c>
      <c r="Y2560" s="18"/>
      <c r="Z2560" s="39" t="s">
        <v>31</v>
      </c>
      <c r="AA2560" s="5">
        <f>IF(NOT(L2553&gt;0),FALSE,SLOPE(O2553:O2563,J2553:J2563))</f>
        <v>-5.8146230660220753E-4</v>
      </c>
    </row>
    <row r="2561" spans="1:27">
      <c r="A2561" s="19">
        <f>_xll.ciqfunctions.udf.CIQ(A2553,"IQ_TOTAL_REV",IQ_FY)</f>
        <v>1355.1</v>
      </c>
      <c r="B2561" s="13">
        <v>9</v>
      </c>
      <c r="C2561" s="14" t="s">
        <v>32</v>
      </c>
      <c r="D2561" s="15" cm="1">
        <f t="array" ref="D2561">_xlfn.SINGLE(IF(A2561=A2562,_xll.ciqfunctions.udf.CIQ(A2553,"IQ_TOTAL_REV",IQ_FY-2)/I2561, _xll.ciqfunctions.udf.CIQ(A2553, "IQ_TOTAL_REV",IQ_FY-1)/I2561))</f>
        <v>43.894009478199465</v>
      </c>
      <c r="E2561" s="16">
        <f t="shared" si="683"/>
        <v>0.27311337160869265</v>
      </c>
      <c r="F2561" s="15">
        <f>IF(A2561=A2562,_xll.ciqfunctions.udf.CIQ(A2553,"IQ_DILUT_EPS_EXCL",IQ_FY-2), _xll.ciqfunctions.udf.CIQ(A2553, "IQ_DILUT_EPS_EXCL",IQ_FY-1))</f>
        <v>6.33</v>
      </c>
      <c r="G2561" s="15">
        <f>IF(A2561=A2562,_xll.ciqfunctions.udf.CIQ(A2553,"IQ_EBITDA_MARGIN",IQ_FY-2), _xll.ciqfunctions.udf.CIQ(A2553, "IQ_EBITDA_MARGIN",IQ_FY-1))</f>
        <v>29.671700000000001</v>
      </c>
      <c r="H2561" s="15">
        <f>IF(A2561=A2562,_xll.ciqfunctions.udf.CIQ(A2553,"IQ_TOTAL_DIV_PAID_CF",IQ_FY-2)/-I2561, _xll.ciqfunctions.udf.CIQ(A2553, "IQ_TOTAL_DIV_PAID_CF",IQ_FY-1)/-I2561)</f>
        <v>0</v>
      </c>
      <c r="I2561" s="17">
        <f>IF(A2561=A2562,_xll.ciqfunctions.udf.CIQ(A2553,"IQ_TOTAL_OUTSTANDING_FILING_DATE",IQ_FY-2), _xll.ciqfunctions.udf.CIQ(A2553, "IQ_TOTAL_OUTSTANDING_FILING_DATE",IQ_FY-1))</f>
        <v>39.63411</v>
      </c>
      <c r="J2561" s="17">
        <f>IF(A2561=A2562,_xll.ciqfunctions.udf.CIQ(A2553,"IQ_CASH_OPER",IQ_FY-2), _xll.ciqfunctions.udf.CIQ(A2553, "IQ_CASH_OPER",IQ_FY-1))</f>
        <v>462.7</v>
      </c>
      <c r="K2561" s="17">
        <f>IF(A2561=A2562,_xll.ciqfunctions.udf.CIQ(A2553,"IQ_CAPEX",IQ_FY-2), _xll.ciqfunctions.udf.CIQ(A2553, "IQ_CAPEX",IQ_FY-1))</f>
        <v>-31.1</v>
      </c>
      <c r="L2561" s="15">
        <f t="shared" si="680"/>
        <v>10.889609984934694</v>
      </c>
      <c r="M2561" s="17">
        <f>IF(A2561=A2562,_xll.ciqfunctions.udf.CIQ(A2553,"IQ_TOTAL_DEBT_ISSUED",IQ_FY-2), _xll.ciqfunctions.udf.CIQ(A2553, "IQ_TOTAL_DEBT_ISSUED",IQ_FY-1))</f>
        <v>600</v>
      </c>
      <c r="N2561" s="17">
        <f>IF(A2561=A2562,_xll.ciqfunctions.udf.CIQ(A2553,"IQ_TOTAL_DEBT_REPAID",IQ_FY-2), _xll.ciqfunctions.udf.CIQ(A2553, "IQ_TOTAL_DEBT_REPAID",IQ_FY-1))</f>
        <v>-508.6</v>
      </c>
      <c r="O2561" s="15">
        <f t="shared" si="681"/>
        <v>2.3060944222035005</v>
      </c>
      <c r="P2561" s="15">
        <f t="shared" si="682"/>
        <v>13.195704407138194</v>
      </c>
      <c r="Q2561" s="25" t="s">
        <v>33</v>
      </c>
      <c r="R2561" s="38" t="s">
        <v>52</v>
      </c>
      <c r="S2561" s="4">
        <f>(AVERAGE(O2558:O2563)/AVERAGE(P2558:P2563))</f>
        <v>0.21978509506384061</v>
      </c>
      <c r="U2561" s="25" t="s">
        <v>54</v>
      </c>
      <c r="V2561" s="38" t="s">
        <v>52</v>
      </c>
      <c r="W2561" s="4">
        <f>(AVERAGE(O2558:O2563)/AVERAGE(P2558:P2563))</f>
        <v>0.21978509506384061</v>
      </c>
      <c r="Y2561" s="25" t="s">
        <v>60</v>
      </c>
      <c r="Z2561" s="38" t="s">
        <v>52</v>
      </c>
      <c r="AA2561" s="4">
        <f>(AVERAGE(O2558:O2563)/AVERAGE(P2558:P2563))</f>
        <v>0.21978509506384061</v>
      </c>
    </row>
    <row r="2562" spans="1:27">
      <c r="A2562" s="19">
        <f>_xll.ciqfunctions.udf.CIQ(A2553,"IQ_TOTAL_REV",IQ_LTM)</f>
        <v>1144.7</v>
      </c>
      <c r="B2562" s="13">
        <v>10</v>
      </c>
      <c r="C2562" s="14" t="s">
        <v>34</v>
      </c>
      <c r="D2562" s="15" cm="1">
        <f t="array" ref="D2562">_xlfn.SINGLE(IF(A2561=A2562,_xll.ciqfunctions.udf.CIQ(A2553,"IQ_TOTAL_REV",IQ_FY-1)/I2562, _xll.ciqfunctions.udf.CIQ(A2553, "IQ_TOTAL_REV",IQ_FY)/I2562))</f>
        <v>35.120593403517496</v>
      </c>
      <c r="E2562" s="16">
        <f t="shared" si="683"/>
        <v>-0.1998772994077791</v>
      </c>
      <c r="F2562" s="15">
        <f>IF(A2561=A2562,_xll.ciqfunctions.udf.CIQ(A2553,"IQ_DILUT_EPS_EXCL",IQ_FY-1), _xll.ciqfunctions.udf.CIQ(A2553, "IQ_DILUT_EPS_EXCL",IQ_FY))</f>
        <v>1.83</v>
      </c>
      <c r="G2562" s="15">
        <f>IF(A2561=A2562,_xll.ciqfunctions.udf.CIQ(A2553,"IQ_EBITDA_MARGIN",IQ_FY-1), _xll.ciqfunctions.udf.CIQ(A2553, "IQ_EBITDA_MARGIN",IQ_FY))</f>
        <v>23.031500000000001</v>
      </c>
      <c r="H2562" s="15">
        <f>IF(A2561=A2562,_xll.ciqfunctions.udf.CIQ(A2553,"IQ_TOTAL_DIV_PAID_CF",IQ_FY-1)/-I2562, _xll.ciqfunctions.udf.CIQ(A2553, "IQ_TOTAL_DIV_PAID_CF",IQ_FY)/-I2562)</f>
        <v>0</v>
      </c>
      <c r="I2562" s="17">
        <f>IF(A2561=A2562,_xll.ciqfunctions.udf.CIQ(A2553,"IQ_TOTAL_OUTSTANDING_FILING_DATE",IQ_FY-1), _xll.ciqfunctions.udf.CIQ(A2553, "IQ_TOTAL_OUTSTANDING_FILING_DATE",IQ_FY))</f>
        <v>38.584200000000003</v>
      </c>
      <c r="J2562" s="17">
        <f>IF(A2561=A2562,_xll.ciqfunctions.udf.CIQ(A2553,"IQ_CASH_OPER",IQ_FY-1), _xll.ciqfunctions.udf.CIQ(A2553, "IQ_CASH_OPER",IQ_FY))</f>
        <v>331.5</v>
      </c>
      <c r="K2562" s="17">
        <f>IF(A2561=A2562,_xll.ciqfunctions.udf.CIQ(A2553,"IQ_CAPEX",IQ_FY-1), _xll.ciqfunctions.udf.CIQ(A2553, "IQ_CAPEX",IQ_FY))</f>
        <v>-34.200000000000003</v>
      </c>
      <c r="L2562" s="15">
        <f t="shared" si="680"/>
        <v>7.7052264916727573</v>
      </c>
      <c r="M2562" s="17">
        <f>IF(A2561=A2562,_xll.ciqfunctions.udf.CIQ(A2553,"IQ_TOTAL_DEBT_ISSUED",IQ_FY-1), _xll.ciqfunctions.udf.CIQ(A2553, "IQ_TOTAL_DEBT_ISSUED",IQ_FY))</f>
        <v>0</v>
      </c>
      <c r="N2562" s="17">
        <f>IF(A2561=A2562,_xll.ciqfunctions.udf.CIQ(A2553,"IQ_TOTAL_DEBT_REPAID",IQ_FY-1), _xll.ciqfunctions.udf.CIQ(A2553, "IQ_TOTAL_DEBT_REPAID",IQ_FY))</f>
        <v>-6</v>
      </c>
      <c r="O2562" s="15">
        <f t="shared" si="681"/>
        <v>-0.15550406643133716</v>
      </c>
      <c r="P2562" s="15">
        <f t="shared" si="682"/>
        <v>7.5497224252414199</v>
      </c>
      <c r="Q2562" s="25" t="s">
        <v>44</v>
      </c>
      <c r="R2562" s="38" t="s">
        <v>35</v>
      </c>
      <c r="S2562" s="1">
        <f>_xll.ciqfunctions.udf.CIQ(A2553,"IQ_TEV_EBITDA")</f>
        <v>24.320489999999999</v>
      </c>
      <c r="U2562" s="25" t="s">
        <v>55</v>
      </c>
      <c r="V2562" s="38" t="s">
        <v>53</v>
      </c>
      <c r="W2562" s="1">
        <f>V2552/(AVERAGE(D2558:D2563)/_xlfn.STDEV.P(E2558:E2563))</f>
        <v>0.44200902361455158</v>
      </c>
      <c r="Y2562" s="25" t="s">
        <v>57</v>
      </c>
      <c r="Z2562" s="38" t="s">
        <v>53</v>
      </c>
      <c r="AA2562" s="1">
        <f>Z2552/(AVERAGE(D2558:D2563)/_xlfn.STDEV.P(E2558:E2563))</f>
        <v>0.44200902361455158</v>
      </c>
    </row>
    <row r="2563" spans="1:27">
      <c r="B2563" s="13">
        <v>11</v>
      </c>
      <c r="C2563" s="20" t="s">
        <v>36</v>
      </c>
      <c r="D2563" s="21" cm="1">
        <f t="array" ref="D2563">_xlfn.SINGLE(IF(A2561=A2562,_xll.ciqfunctions.udf.CIQ(A2553,"IQ_TOTAL_REV",IQ_FY)/I2563, _xll.ciqfunctions.udf.CIQ(A2553, "IQ_TOTAL_REV",IQ_LTM)/I2563))</f>
        <v>29.201567859142678</v>
      </c>
      <c r="E2563" s="22">
        <f t="shared" si="683"/>
        <v>-0.16853432618202857</v>
      </c>
      <c r="F2563" s="21">
        <f>IF(A2561=A2562,_xll.ciqfunctions.udf.CIQ(A2553,"IQ_DILUT_EPS_EXCL",IQ_FY), _xll.ciqfunctions.udf.CIQ(A2553, "IQ_DILUT_EPS_EXCL",IQ_LTM))</f>
        <v>-1.18503</v>
      </c>
      <c r="G2563" s="21">
        <f>IF(A2561=A2562,_xll.ciqfunctions.udf.CIQ(A2553,"IQ_EBITDA_MARGIN",IQ_FY), _xll.ciqfunctions.udf.CIQ(A2553, "IQ_EBITDA_MARGIN",IQ_LTM))</f>
        <v>14.3443</v>
      </c>
      <c r="H2563" s="21">
        <f>IF(A2561=A2562,_xll.ciqfunctions.udf.CIQ(A2553,"IQ_TOTAL_DIV_PAID_CF",IQ_FY)/-I2563, _xll.ciqfunctions.udf.CIQ(A2553, "IQ_TOTAL_DIV_PAID_CF",IQ_LTM)/-I2563)</f>
        <v>0</v>
      </c>
      <c r="I2563" s="23">
        <f>IF(A2561=A2562,_xll.ciqfunctions.udf.CIQ(A2553,"IQ_TOTAL_OUTSTANDING_FILING_DATE",IQ_FY),_xll.ciqfunctions.udf.CIQ(A2553,"IQ_sharesoutstanding"))</f>
        <v>39.199950000000001</v>
      </c>
      <c r="J2563" s="23">
        <f>IF(A2561=A2562,_xll.ciqfunctions.udf.CIQ(A2553,"IQ_CASH_OPER",IQ_FY), _xll.ciqfunctions.udf.CIQ(A2553, "IQ_CASH_OPER",IQ_LTM))</f>
        <v>298.39999999999998</v>
      </c>
      <c r="K2563" s="23">
        <f>IF(A2561=A2562,_xll.ciqfunctions.udf.CIQ(A2553,"IQ_CAPEX",IQ_FY), _xll.ciqfunctions.udf.CIQ(A2553, "IQ_CAPEX",IQ_LTM))</f>
        <v>-34.700000000000003</v>
      </c>
      <c r="L2563" s="21">
        <f t="shared" si="680"/>
        <v>6.7270493967466791</v>
      </c>
      <c r="M2563" s="23">
        <f>IF(A2561=A2562,_xll.ciqfunctions.udf.CIQ(A2553,"IQ_TOTAL_DEBT_ISSUED",IQ_FY), _xll.ciqfunctions.udf.CIQ(A2553, "IQ_TOTAL_DEBT_ISSUED",IQ_LTM))</f>
        <v>0</v>
      </c>
      <c r="N2563" s="23">
        <f>IF(A2561=A2562,_xll.ciqfunctions.udf.CIQ(A2553,"IQ_TOTAL_DEBT_REPAID",IQ_FY), _xll.ciqfunctions.udf.CIQ(A2553, "IQ_TOTAL_DEBT_REPAID",IQ_LTM))</f>
        <v>-7.5</v>
      </c>
      <c r="O2563" s="21">
        <f t="shared" si="681"/>
        <v>-0.19132677465149828</v>
      </c>
      <c r="P2563" s="21">
        <f t="shared" si="682"/>
        <v>6.5357226220951805</v>
      </c>
      <c r="Q2563" s="25" t="s">
        <v>45</v>
      </c>
      <c r="S2563" s="45"/>
      <c r="U2563" s="25"/>
      <c r="W2563" s="45"/>
      <c r="Y2563" s="25"/>
      <c r="AA2563" s="45"/>
    </row>
    <row r="2564" spans="1:27">
      <c r="B2564" s="24"/>
      <c r="C2564" s="25" t="s">
        <v>37</v>
      </c>
      <c r="E2564" s="26">
        <f>((D2563/D2558)^(1/5))-1</f>
        <v>-8.1760868440446499E-2</v>
      </c>
      <c r="F2564" s="27">
        <f>((F2563/F2558)^(1/5))-1</f>
        <v>0.1235540107134081</v>
      </c>
      <c r="G2564" s="28"/>
      <c r="H2564" s="27" t="e">
        <f>((H2563/H2558)^(1/5))-1</f>
        <v>#DIV/0!</v>
      </c>
      <c r="I2564" s="27">
        <f>((I2563/I2558)^(1/5))-1</f>
        <v>3.5593169363943744E-2</v>
      </c>
      <c r="J2564" s="27"/>
      <c r="K2564" s="27"/>
      <c r="L2564" s="26">
        <f>((L2563/L2558)^(1/5))-1</f>
        <v>0.11150327431530638</v>
      </c>
      <c r="M2564" s="26"/>
      <c r="N2564" s="26"/>
      <c r="O2564" s="26"/>
      <c r="P2564" s="26">
        <f>((P2563/P2558)^(1/5))-1</f>
        <v>0.10510754882970308</v>
      </c>
      <c r="Q2564" s="18"/>
      <c r="R2564" s="36"/>
      <c r="S2564" s="45"/>
      <c r="U2564" s="18"/>
      <c r="V2564" s="36"/>
      <c r="W2564" s="45"/>
      <c r="Y2564" s="18"/>
      <c r="Z2564" s="36"/>
      <c r="AA2564" s="45"/>
    </row>
    <row r="2565" spans="1:27">
      <c r="A2565" s="29"/>
      <c r="B2565" s="30"/>
      <c r="C2565" s="31" t="s">
        <v>38</v>
      </c>
      <c r="D2565" s="29"/>
      <c r="E2565" s="32">
        <f>((D2563/D2553)^(1/10))-1</f>
        <v>1.2516879690010141E-2</v>
      </c>
      <c r="F2565" s="33" t="e">
        <f>((F2563/F2553)^(1/10))-1</f>
        <v>#NUM!</v>
      </c>
      <c r="G2565" s="34"/>
      <c r="H2565" s="33" t="e">
        <f>((H2563/H2553)^(1/10))-1</f>
        <v>#DIV/0!</v>
      </c>
      <c r="I2565" s="33">
        <f>((I2563/I2553)^(1/10))-1</f>
        <v>6.4888644885223723E-3</v>
      </c>
      <c r="J2565" s="33"/>
      <c r="K2565" s="33"/>
      <c r="L2565" s="32">
        <f>((L2563/L2553)^(1/10))-1</f>
        <v>0.10280942032107476</v>
      </c>
      <c r="M2565" s="32"/>
      <c r="N2565" s="32"/>
      <c r="O2565" s="32"/>
      <c r="P2565" s="32">
        <f>((P2563/P2553)^(1/10))-1</f>
        <v>0.10239216629152081</v>
      </c>
      <c r="Q2565" s="40"/>
      <c r="R2565" s="41"/>
      <c r="S2565" s="46"/>
      <c r="U2565" s="40"/>
      <c r="V2565" s="41"/>
      <c r="W2565" s="46"/>
      <c r="Y2565" s="40"/>
      <c r="Z2565" s="41"/>
      <c r="AA2565" s="46"/>
    </row>
    <row r="2566" spans="1:27">
      <c r="B2566" s="24"/>
      <c r="C2566" s="25"/>
      <c r="E2566" s="26"/>
      <c r="F2566" s="27"/>
      <c r="G2566" s="28"/>
      <c r="H2566" s="27"/>
      <c r="I2566" s="27"/>
      <c r="J2566" s="27"/>
      <c r="K2566" s="27"/>
      <c r="L2566" s="26"/>
      <c r="M2566" s="17"/>
      <c r="N2566" s="17"/>
      <c r="O2566" s="17"/>
      <c r="P2566" s="35"/>
      <c r="Q2566" s="18"/>
      <c r="R2566" s="36"/>
    </row>
    <row r="2567" spans="1:27">
      <c r="A2567" s="9" t="s">
        <v>0</v>
      </c>
      <c r="B2567" s="10"/>
      <c r="C2567" s="9" t="s">
        <v>1</v>
      </c>
      <c r="D2567" s="9" t="s">
        <v>2</v>
      </c>
      <c r="E2567" s="9" t="s">
        <v>3</v>
      </c>
      <c r="F2567" s="11" t="s">
        <v>4</v>
      </c>
      <c r="G2567" s="11" t="s">
        <v>5</v>
      </c>
      <c r="H2567" s="9" t="s">
        <v>6</v>
      </c>
      <c r="I2567" s="11" t="s">
        <v>7</v>
      </c>
      <c r="J2567" s="11" t="s">
        <v>8</v>
      </c>
      <c r="K2567" s="11" t="s">
        <v>9</v>
      </c>
      <c r="L2567" s="11" t="s">
        <v>10</v>
      </c>
      <c r="M2567" s="11" t="s">
        <v>11</v>
      </c>
      <c r="N2567" s="11" t="s">
        <v>12</v>
      </c>
      <c r="O2567" s="11" t="s">
        <v>13</v>
      </c>
      <c r="P2567" s="11" t="s">
        <v>14</v>
      </c>
      <c r="Q2567" s="37" t="s">
        <v>15</v>
      </c>
      <c r="R2567" s="42">
        <f>_xll.ciqfunctions.udf.CIQ(A2568,("IQ_LASTSALEPRICE"))</f>
        <v>32.58</v>
      </c>
      <c r="S2567" s="44"/>
      <c r="U2567" s="37" t="s">
        <v>15</v>
      </c>
      <c r="V2567" s="42">
        <f>_xll.ciqfunctions.udf.CIQ(A2568,("IQ_LASTSALEPRICE"))</f>
        <v>32.58</v>
      </c>
      <c r="W2567" s="44"/>
      <c r="Y2567" s="37" t="s">
        <v>15</v>
      </c>
      <c r="Z2567" s="42">
        <f>_xll.ciqfunctions.udf.CIQ(A2568,("IQ_LASTSALEPRICE"))</f>
        <v>32.58</v>
      </c>
      <c r="AA2567" s="44"/>
    </row>
    <row r="2568" spans="1:27">
      <c r="A2568" s="12" t="str">
        <f>Analysis!B173</f>
        <v>NasdaqGS:COHU</v>
      </c>
      <c r="B2568" s="13">
        <v>1</v>
      </c>
      <c r="C2568" s="14" t="s">
        <v>16</v>
      </c>
      <c r="D2568" s="15">
        <f>IF(A2576=A2577,_xll.ciqfunctions.udf.CIQ(A2568,"IQ_TOTAL_REV",IQ_FY-10)/I2568,_xll.ciqfunctions.udf.CIQ(A2568, "IQ_TOTAL_REV",IQ_FY-9)/I2568)</f>
        <v>8.5456898069689409</v>
      </c>
      <c r="E2568" s="16"/>
      <c r="F2568" s="15">
        <f>IF(A2576=A2577,_xll.ciqfunctions.udf.CIQ(A2568,"IQ_DILUT_EPS_EXCL",IQ_FY-10), _xll.ciqfunctions.udf.CIQ(A2568, "IQ_DILUT_EPS_EXCL",IQ_FY-9))</f>
        <v>-1.1499999999999999</v>
      </c>
      <c r="G2568" s="15">
        <f>IF(A2576=A2577,_xll.ciqfunctions.udf.CIQ(A2568,"IQ_EBITDA_MARGIN",IQ_FY-10), _xll.ciqfunctions.udf.CIQ(A2568, "IQ_EBITDA_MARGIN",IQ_FY-9))</f>
        <v>-7.1595000000000004</v>
      </c>
      <c r="H2568" s="15">
        <f>IF(A2576=A2577,_xll.ciqfunctions.udf.CIQ(A2568,"IQ_TOTAL_DIV_PAID_CF",IQ_FY-10)/-I2568, _xll.ciqfunctions.udf.CIQ(A2568, "IQ_TOTAL_DIV_PAID_CF",IQ_FY-9)/-I2568)</f>
        <v>0.17799619626749785</v>
      </c>
      <c r="I2568" s="17">
        <f>IF(A2576=A2577,_xll.ciqfunctions.udf.CIQ(A2568,"IQ_TOTAL_OUTSTANDING_FILING_DATE",IQ_FY-10), _xll.ciqfunctions.udf.CIQ(A2568, "IQ_TOTAL_OUTSTANDING_FILING_DATE",IQ_FY-9))</f>
        <v>25.101659999999999</v>
      </c>
      <c r="J2568" s="17">
        <f>IF(A2576=A2577,_xll.ciqfunctions.udf.CIQ(A2568,"IQ_CASH_OPER",IQ_FY-10), _xll.ciqfunctions.udf.CIQ(A2568, "IQ_CASH_OPER",IQ_FY-9))</f>
        <v>3.4169999999999998</v>
      </c>
      <c r="K2568" s="17">
        <f>IF(A2576=A2577,_xll.ciqfunctions.udf.CIQ(A2568,"IQ_CAPEX",IQ_FY-10), _xll.ciqfunctions.udf.CIQ(A2568, "IQ_CAPEX",IQ_FY-9))</f>
        <v>-3.6070000000000002</v>
      </c>
      <c r="L2568" s="15">
        <f t="shared" ref="L2568:L2578" si="684">(J2568+K2568)/I2568</f>
        <v>-7.5692205216706943E-3</v>
      </c>
      <c r="M2568" s="17">
        <f>IF(A2576=A2577,_xll.ciqfunctions.udf.CIQ(A2568,"IQ_TOTAL_DEBT_ISSUED",IQ_FY-10), _xll.ciqfunctions.udf.CIQ(A2568, "IQ_TOTAL_DEBT_ISSUED",IQ_FY-9))</f>
        <v>0</v>
      </c>
      <c r="N2568" s="17">
        <f>IF(A2576=A2577,_xll.ciqfunctions.udf.CIQ(A2568,"IQ_TOTAL_DEBT_REPAID",IQ_FY-10), _xll.ciqfunctions.udf.CIQ(A2568, "IQ_TOTAL_DEBT_REPAID",IQ_FY-9))</f>
        <v>0</v>
      </c>
      <c r="O2568" s="15">
        <f t="shared" ref="O2568:O2578" si="685">(M2568+N2568)/I2568</f>
        <v>0</v>
      </c>
      <c r="P2568" s="15">
        <f t="shared" ref="P2568:P2578" si="686">L2568+O2568</f>
        <v>-7.5692205216706943E-3</v>
      </c>
      <c r="W2568" s="43"/>
      <c r="AA2568" s="43"/>
    </row>
    <row r="2569" spans="1:27">
      <c r="A2569" s="18" t="str">
        <f>_xll.ciqfunctions.udf.CIQ(A2568,"IQ_COMPANY_NAME")</f>
        <v>Cohu, Inc.</v>
      </c>
      <c r="B2569" s="13">
        <v>2</v>
      </c>
      <c r="C2569" s="14" t="s">
        <v>17</v>
      </c>
      <c r="D2569" s="15">
        <f>IF(A2576=A2577,_xll.ciqfunctions.udf.CIQ(A2568,"IQ_TOTAL_REV",IQ_FY-9)/I2569, _xll.ciqfunctions.udf.CIQ(A2568, "IQ_TOTAL_REV",IQ_FY-8)/I2569)</f>
        <v>12.318761358114369</v>
      </c>
      <c r="E2569" s="16">
        <f t="shared" ref="E2569:E2578" si="687">(D2569-D2568)/D2568</f>
        <v>0.44151749435938087</v>
      </c>
      <c r="F2569" s="15">
        <f>IF(A2576=A2577,_xll.ciqfunctions.udf.CIQ(A2568,"IQ_DILUT_EPS_EXCL",IQ_FY-9), _xll.ciqfunctions.udf.CIQ(A2568, "IQ_DILUT_EPS_EXCL",IQ_FY-8))</f>
        <v>0.56999999999999995</v>
      </c>
      <c r="G2569" s="15">
        <f>IF(A2576=A2577,_xll.ciqfunctions.udf.CIQ(A2568,"IQ_EBITDA_MARGIN",IQ_FY-9), _xll.ciqfunctions.udf.CIQ(A2568, "IQ_EBITDA_MARGIN",IQ_FY-8))</f>
        <v>10.5517</v>
      </c>
      <c r="H2569" s="15">
        <f>IF(A2576=A2577,_xll.ciqfunctions.udf.CIQ(A2568,"IQ_TOTAL_DIV_PAID_CF",IQ_FY-9)/-I2569, _xll.ciqfunctions.udf.CIQ(A2568, "IQ_TOTAL_DIV_PAID_CF",IQ_FY-8)/-I2569)</f>
        <v>0.23604257714763927</v>
      </c>
      <c r="I2569" s="17">
        <f>IF(A2576=A2577,_xll.ciqfunctions.udf.CIQ(A2568,"IQ_TOTAL_OUTSTANDING_FILING_DATE",IQ_FY-9), _xll.ciqfunctions.udf.CIQ(A2568, "IQ_TOTAL_OUTSTANDING_FILING_DATE",IQ_FY-8))</f>
        <v>25.70299</v>
      </c>
      <c r="J2569" s="17">
        <f>IF(A2576=A2577,_xll.ciqfunctions.udf.CIQ(A2568,"IQ_CASH_OPER",IQ_FY-9), _xll.ciqfunctions.udf.CIQ(A2568, "IQ_CASH_OPER",IQ_FY-8))</f>
        <v>19.678000000000001</v>
      </c>
      <c r="K2569" s="17">
        <f>IF(A2576=A2577,_xll.ciqfunctions.udf.CIQ(A2568,"IQ_CAPEX",IQ_FY-9), _xll.ciqfunctions.udf.CIQ(A2568, "IQ_CAPEX",IQ_FY-8))</f>
        <v>-1.4570000000000001</v>
      </c>
      <c r="L2569" s="15">
        <f t="shared" si="684"/>
        <v>0.70890585103133918</v>
      </c>
      <c r="M2569" s="17">
        <f>IF(A2576=A2577,_xll.ciqfunctions.udf.CIQ(A2568,"IQ_TOTAL_DEBT_ISSUED",IQ_FY-9), _xll.ciqfunctions.udf.CIQ(A2568, "IQ_TOTAL_DEBT_ISSUED",IQ_FY-8))</f>
        <v>0</v>
      </c>
      <c r="N2569" s="17">
        <f>IF(A2576=A2577,_xll.ciqfunctions.udf.CIQ(A2568,"IQ_TOTAL_DEBT_REPAID",IQ_FY-9), _xll.ciqfunctions.udf.CIQ(A2568, "IQ_TOTAL_DEBT_REPAID",IQ_FY-8))</f>
        <v>0</v>
      </c>
      <c r="O2569" s="15">
        <f t="shared" si="685"/>
        <v>0</v>
      </c>
      <c r="P2569" s="15">
        <f t="shared" si="686"/>
        <v>0.70890585103133918</v>
      </c>
      <c r="Q2569" s="25" t="s">
        <v>18</v>
      </c>
      <c r="R2569" s="39" t="s">
        <v>19</v>
      </c>
      <c r="S2569" s="1">
        <f>R2567/((AVERAGE(P2573:P2578))*(1+E2579)^3)</f>
        <v>17.596367399057101</v>
      </c>
      <c r="U2569" s="25" t="s">
        <v>48</v>
      </c>
      <c r="V2569" s="39" t="s">
        <v>19</v>
      </c>
      <c r="W2569" s="1">
        <f>V2567/((AVERAGE(P2573:P2578))*(1+E2579)^3)</f>
        <v>17.596367399057101</v>
      </c>
      <c r="Y2569" s="25" t="s">
        <v>39</v>
      </c>
      <c r="Z2569" s="39" t="s">
        <v>19</v>
      </c>
      <c r="AA2569" s="1">
        <f>Z2567/((AVERAGE(P2573:P2578))*(1+E2579)^3)</f>
        <v>17.596367399057101</v>
      </c>
    </row>
    <row r="2570" spans="1:27">
      <c r="B2570" s="13">
        <v>3</v>
      </c>
      <c r="C2570" s="14" t="s">
        <v>20</v>
      </c>
      <c r="D2570" s="15" cm="1">
        <f t="array" ref="D2570">_xlfn.SINGLE(IF(A2576=A2577,_xll.ciqfunctions.udf.CIQ(A2568,"IQ_TOTAL_REV",IQ_FY-8)/I2570, _xll.ciqfunctions.udf.CIQ(A2568, "IQ_TOTAL_REV",IQ_FY-7)/I2570))</f>
        <v>10.272752485386356</v>
      </c>
      <c r="E2570" s="16">
        <f t="shared" si="687"/>
        <v>-0.16608884718594755</v>
      </c>
      <c r="F2570" s="15">
        <f>IF(A2576=A2577,_xll.ciqfunctions.udf.CIQ(A2568,"IQ_DILUT_EPS_EXCL",IQ_FY-8), _xll.ciqfunctions.udf.CIQ(A2568, "IQ_DILUT_EPS_EXCL",IQ_FY-7))</f>
        <v>0.22</v>
      </c>
      <c r="G2570" s="15">
        <f>IF(A2576=A2577,_xll.ciqfunctions.udf.CIQ(A2568,"IQ_EBITDA_MARGIN",IQ_FY-8), _xll.ciqfunctions.udf.CIQ(A2568, "IQ_EBITDA_MARGIN",IQ_FY-7))</f>
        <v>6.3169000000000004</v>
      </c>
      <c r="H2570" s="15">
        <f>IF(A2576=A2577,_xll.ciqfunctions.udf.CIQ(A2568,"IQ_TOTAL_DIV_PAID_CF",IQ_FY-8)/-I2570, _xll.ciqfunctions.udf.CIQ(A2568, "IQ_TOTAL_DIV_PAID_CF",IQ_FY-7)/-I2570)</f>
        <v>0.23676695579029494</v>
      </c>
      <c r="I2570" s="17">
        <f>IF(A2576=A2577,_xll.ciqfunctions.udf.CIQ(A2568,"IQ_TOTAL_OUTSTANDING_FILING_DATE",IQ_FY-8), _xll.ciqfunctions.udf.CIQ(A2568, "IQ_TOTAL_OUTSTANDING_FILING_DATE",IQ_FY-7))</f>
        <v>26.24944</v>
      </c>
      <c r="J2570" s="17">
        <f>IF(A2576=A2577,_xll.ciqfunctions.udf.CIQ(A2568,"IQ_CASH_OPER",IQ_FY-8), _xll.ciqfunctions.udf.CIQ(A2568, "IQ_CASH_OPER",IQ_FY-7))</f>
        <v>21.48</v>
      </c>
      <c r="K2570" s="17">
        <f>IF(A2576=A2577,_xll.ciqfunctions.udf.CIQ(A2568,"IQ_CAPEX",IQ_FY-8), _xll.ciqfunctions.udf.CIQ(A2568, "IQ_CAPEX",IQ_FY-7))</f>
        <v>-6.5860000000000003</v>
      </c>
      <c r="L2570" s="15">
        <f t="shared" si="684"/>
        <v>0.56740258077886618</v>
      </c>
      <c r="M2570" s="17">
        <f>IF(A2576=A2577,_xll.ciqfunctions.udf.CIQ(A2568,"IQ_TOTAL_DEBT_ISSUED",IQ_FY-8), _xll.ciqfunctions.udf.CIQ(A2568, "IQ_TOTAL_DEBT_ISSUED",IQ_FY-7))</f>
        <v>0</v>
      </c>
      <c r="N2570" s="17">
        <f>IF(A2576=A2577,_xll.ciqfunctions.udf.CIQ(A2568,"IQ_TOTAL_DEBT_REPAID",IQ_FY-8), _xll.ciqfunctions.udf.CIQ(A2568, "IQ_TOTAL_DEBT_REPAID",IQ_FY-7))</f>
        <v>0</v>
      </c>
      <c r="O2570" s="15">
        <f t="shared" si="685"/>
        <v>0</v>
      </c>
      <c r="P2570" s="15">
        <f t="shared" si="686"/>
        <v>0.56740258077886618</v>
      </c>
      <c r="Q2570" s="25" t="s">
        <v>21</v>
      </c>
      <c r="R2570" s="38" t="s">
        <v>49</v>
      </c>
      <c r="S2570" s="2">
        <f>(R2567*I2578)/1000</f>
        <v>1.5477171353999999</v>
      </c>
      <c r="U2570" s="25" t="s">
        <v>59</v>
      </c>
      <c r="V2570" s="38" t="s">
        <v>49</v>
      </c>
      <c r="W2570" s="2">
        <f>(V2567*I2578)/1000</f>
        <v>1.5477171353999999</v>
      </c>
      <c r="Y2570" s="25" t="s">
        <v>46</v>
      </c>
      <c r="Z2570" s="38" t="s">
        <v>49</v>
      </c>
      <c r="AA2570" s="2">
        <f>(Z2567*I2578)/1000</f>
        <v>1.5477171353999999</v>
      </c>
    </row>
    <row r="2571" spans="1:27">
      <c r="A2571" s="18"/>
      <c r="B2571" s="13">
        <v>4</v>
      </c>
      <c r="C2571" s="14" t="s">
        <v>22</v>
      </c>
      <c r="D2571" s="15" cm="1">
        <f t="array" ref="D2571">_xlfn.SINGLE(IF(A2576=A2577,_xll.ciqfunctions.udf.CIQ(A2568,"IQ_TOTAL_REV",IQ_FY-7)/I2571, _xll.ciqfunctions.udf.CIQ(A2568, "IQ_TOTAL_REV",IQ_FY-6)/I2571))</f>
        <v>10.506794419052309</v>
      </c>
      <c r="E2571" s="16">
        <f t="shared" si="687"/>
        <v>2.278278718375552E-2</v>
      </c>
      <c r="F2571" s="15">
        <f>IF(A2576=A2577,_xll.ciqfunctions.udf.CIQ(A2568,"IQ_DILUT_EPS_EXCL",IQ_FY-7), _xll.ciqfunctions.udf.CIQ(A2568, "IQ_DILUT_EPS_EXCL",IQ_FY-6))</f>
        <v>0.12</v>
      </c>
      <c r="G2571" s="15">
        <f>IF(A2576=A2577,_xll.ciqfunctions.udf.CIQ(A2568,"IQ_EBITDA_MARGIN",IQ_FY-7), _xll.ciqfunctions.udf.CIQ(A2568, "IQ_EBITDA_MARGIN",IQ_FY-6))</f>
        <v>5.6205999999999996</v>
      </c>
      <c r="H2571" s="15">
        <f>IF(A2576=A2577,_xll.ciqfunctions.udf.CIQ(A2568,"IQ_TOTAL_DIV_PAID_CF",IQ_FY-7)/-I2571, _xll.ciqfunctions.udf.CIQ(A2568, "IQ_TOTAL_DIV_PAID_CF",IQ_FY-6)/-I2571)</f>
        <v>0.23655595976872568</v>
      </c>
      <c r="I2571" s="17">
        <f>IF(A2576=A2577,_xll.ciqfunctions.udf.CIQ(A2568,"IQ_TOTAL_OUTSTANDING_FILING_DATE",IQ_FY-7), _xll.ciqfunctions.udf.CIQ(A2568, "IQ_TOTAL_OUTSTANDING_FILING_DATE",IQ_FY-6))</f>
        <v>26.847770000000001</v>
      </c>
      <c r="J2571" s="17">
        <f>IF(A2576=A2577,_xll.ciqfunctions.udf.CIQ(A2568,"IQ_CASH_OPER",IQ_FY-7), _xll.ciqfunctions.udf.CIQ(A2568, "IQ_CASH_OPER",IQ_FY-6))</f>
        <v>24.547999999999998</v>
      </c>
      <c r="K2571" s="17">
        <f>IF(A2576=A2577,_xll.ciqfunctions.udf.CIQ(A2568,"IQ_CAPEX",IQ_FY-7), _xll.ciqfunctions.udf.CIQ(A2568, "IQ_CAPEX",IQ_FY-6))</f>
        <v>-3.452</v>
      </c>
      <c r="L2571" s="15">
        <f t="shared" si="684"/>
        <v>0.78576358483404751</v>
      </c>
      <c r="M2571" s="17">
        <f>IF(A2576=A2577,_xll.ciqfunctions.udf.CIQ(A2568,"IQ_TOTAL_DEBT_ISSUED",IQ_FY-7), _xll.ciqfunctions.udf.CIQ(A2568, "IQ_TOTAL_DEBT_ISSUED",IQ_FY-6))</f>
        <v>0</v>
      </c>
      <c r="N2571" s="17">
        <f>IF(A2576=A2577,_xll.ciqfunctions.udf.CIQ(A2568,"IQ_TOTAL_DEBT_REPAID",IQ_FY-7), _xll.ciqfunctions.udf.CIQ(A2568, "IQ_TOTAL_DEBT_REPAID",IQ_FY-6))</f>
        <v>0</v>
      </c>
      <c r="O2571" s="15">
        <f t="shared" si="685"/>
        <v>0</v>
      </c>
      <c r="P2571" s="15">
        <f t="shared" si="686"/>
        <v>0.78576358483404751</v>
      </c>
      <c r="Q2571" s="25" t="s">
        <v>23</v>
      </c>
      <c r="R2571" s="38" t="s">
        <v>24</v>
      </c>
      <c r="S2571" s="1" t="e">
        <f>R2567/(AVERAGE(H2573:H2578)*(1+H2579)/(0.5-H2579))</f>
        <v>#DIV/0!</v>
      </c>
      <c r="U2571" s="25" t="s">
        <v>40</v>
      </c>
      <c r="V2571" s="38" t="s">
        <v>24</v>
      </c>
      <c r="W2571" s="1" t="e">
        <f>V2567/(AVERAGE(H2573:H2578)*(1+H2579)/(0.5-H2579))</f>
        <v>#DIV/0!</v>
      </c>
      <c r="Y2571" s="25" t="s">
        <v>47</v>
      </c>
      <c r="Z2571" s="38" t="s">
        <v>24</v>
      </c>
      <c r="AA2571" s="1" t="e">
        <f>Z2567/(AVERAGE(H2573:H2578)*(1+H2579)/(0.5-H2579))</f>
        <v>#DIV/0!</v>
      </c>
    </row>
    <row r="2572" spans="1:27">
      <c r="B2572" s="13">
        <v>5</v>
      </c>
      <c r="C2572" s="14" t="s">
        <v>25</v>
      </c>
      <c r="D2572" s="15" cm="1">
        <f t="array" ref="D2572">_xlfn.SINGLE(IF(A2576=A2577,_xll.ciqfunctions.udf.CIQ(A2568,"IQ_TOTAL_REV",IQ_FY-6)/I2572, _xll.ciqfunctions.udf.CIQ(A2568, "IQ_TOTAL_REV",IQ_FY-5)/I2572))</f>
        <v>12.35839427490826</v>
      </c>
      <c r="E2572" s="16">
        <f t="shared" si="687"/>
        <v>0.17622880795101367</v>
      </c>
      <c r="F2572" s="15">
        <f>IF(A2576=A2577,_xll.ciqfunctions.udf.CIQ(A2568,"IQ_DILUT_EPS_EXCL",IQ_FY-6), _xll.ciqfunctions.udf.CIQ(A2568, "IQ_DILUT_EPS_EXCL",IQ_FY-5))</f>
        <v>1.1499999999999999</v>
      </c>
      <c r="G2572" s="15">
        <f>IF(A2576=A2577,_xll.ciqfunctions.udf.CIQ(A2568,"IQ_EBITDA_MARGIN",IQ_FY-6), _xll.ciqfunctions.udf.CIQ(A2568, "IQ_EBITDA_MARGIN",IQ_FY-5))</f>
        <v>13.302899999999999</v>
      </c>
      <c r="H2572" s="15">
        <f>IF(A2576=A2577,_xll.ciqfunctions.udf.CIQ(A2568,"IQ_TOTAL_DIV_PAID_CF",IQ_FY-6)/-I2572, _xll.ciqfunctions.udf.CIQ(A2568, "IQ_TOTAL_DIV_PAID_CF",IQ_FY-5)/-I2572)</f>
        <v>0.23045148097575197</v>
      </c>
      <c r="I2572" s="17">
        <f>IF(A2576=A2577,_xll.ciqfunctions.udf.CIQ(A2568,"IQ_TOTAL_OUTSTANDING_FILING_DATE",IQ_FY-6), _xll.ciqfunctions.udf.CIQ(A2568, "IQ_TOTAL_OUTSTANDING_FILING_DATE",IQ_FY-5))</f>
        <v>28.539629999999999</v>
      </c>
      <c r="J2572" s="17">
        <f>IF(A2576=A2577,_xll.ciqfunctions.udf.CIQ(A2568,"IQ_CASH_OPER",IQ_FY-6), _xll.ciqfunctions.udf.CIQ(A2568, "IQ_CASH_OPER",IQ_FY-5))</f>
        <v>39.75</v>
      </c>
      <c r="K2572" s="17">
        <f>IF(A2576=A2577,_xll.ciqfunctions.udf.CIQ(A2568,"IQ_CAPEX",IQ_FY-6), _xll.ciqfunctions.udf.CIQ(A2568, "IQ_CAPEX",IQ_FY-5))</f>
        <v>-6.093</v>
      </c>
      <c r="L2572" s="15">
        <f t="shared" si="684"/>
        <v>1.1793075102935811</v>
      </c>
      <c r="M2572" s="17">
        <f>IF(A2576=A2577,_xll.ciqfunctions.udf.CIQ(A2568,"IQ_TOTAL_DEBT_ISSUED",IQ_FY-6), _xll.ciqfunctions.udf.CIQ(A2568, "IQ_TOTAL_DEBT_ISSUED",IQ_FY-5))</f>
        <v>0</v>
      </c>
      <c r="N2572" s="17">
        <f>IF(A2576=A2577,_xll.ciqfunctions.udf.CIQ(A2568,"IQ_TOTAL_DEBT_REPAID",IQ_FY-6), _xll.ciqfunctions.udf.CIQ(A2568, "IQ_TOTAL_DEBT_REPAID",IQ_FY-5))</f>
        <v>-1.631</v>
      </c>
      <c r="O2572" s="15">
        <f t="shared" si="685"/>
        <v>-5.714860353830796E-2</v>
      </c>
      <c r="P2572" s="15">
        <f t="shared" si="686"/>
        <v>1.1221589067552731</v>
      </c>
      <c r="Q2572" s="18"/>
      <c r="R2572" s="38" t="s">
        <v>50</v>
      </c>
      <c r="S2572" s="3">
        <f>I2579</f>
        <v>3.0836233138190172E-2</v>
      </c>
      <c r="U2572" s="18"/>
      <c r="V2572" s="38" t="s">
        <v>50</v>
      </c>
      <c r="W2572" s="3">
        <f>I2579</f>
        <v>3.0836233138190172E-2</v>
      </c>
      <c r="Y2572" s="18"/>
      <c r="Z2572" s="38" t="s">
        <v>50</v>
      </c>
      <c r="AA2572" s="3">
        <f>I2579</f>
        <v>3.0836233138190172E-2</v>
      </c>
    </row>
    <row r="2573" spans="1:27">
      <c r="B2573" s="13">
        <v>6</v>
      </c>
      <c r="C2573" s="14" t="s">
        <v>26</v>
      </c>
      <c r="D2573" s="15" cm="1">
        <f t="array" ref="D2573">_xlfn.SINGLE(IF(A2576=A2577,_xll.ciqfunctions.udf.CIQ(A2568,"IQ_TOTAL_REV",IQ_FY-5)/I2573, _xll.ciqfunctions.udf.CIQ(A2568, "IQ_TOTAL_REV",IQ_FY-4)/I2573))</f>
        <v>11.069380874440121</v>
      </c>
      <c r="E2573" s="16">
        <f t="shared" si="687"/>
        <v>-0.1043026603452258</v>
      </c>
      <c r="F2573" s="15">
        <f>IF(A2576=A2577,_xll.ciqfunctions.udf.CIQ(A2568,"IQ_DILUT_EPS_EXCL",IQ_FY-5), _xll.ciqfunctions.udf.CIQ(A2568, "IQ_DILUT_EPS_EXCL",IQ_FY-4))</f>
        <v>-1.02</v>
      </c>
      <c r="G2573" s="15">
        <f>IF(A2576=A2577,_xll.ciqfunctions.udf.CIQ(A2568,"IQ_EBITDA_MARGIN",IQ_FY-5), _xll.ciqfunctions.udf.CIQ(A2568, "IQ_EBITDA_MARGIN",IQ_FY-4))</f>
        <v>7.5309999999999997</v>
      </c>
      <c r="H2573" s="15">
        <f>IF(A2576=A2577,_xll.ciqfunctions.udf.CIQ(A2568,"IQ_TOTAL_DIV_PAID_CF",IQ_FY-5)/-I2573, _xll.ciqfunctions.udf.CIQ(A2568, "IQ_TOTAL_DIV_PAID_CF",IQ_FY-4)/-I2573)</f>
        <v>0.17026687967382464</v>
      </c>
      <c r="I2573" s="17">
        <f>IF(A2576=A2577,_xll.ciqfunctions.udf.CIQ(A2568,"IQ_TOTAL_OUTSTANDING_FILING_DATE",IQ_FY-5), _xll.ciqfunctions.udf.CIQ(A2568, "IQ_TOTAL_OUTSTANDING_FILING_DATE",IQ_FY-4))</f>
        <v>40.812399999999997</v>
      </c>
      <c r="J2573" s="17">
        <f>IF(A2576=A2577,_xll.ciqfunctions.udf.CIQ(A2568,"IQ_CASH_OPER",IQ_FY-5), _xll.ciqfunctions.udf.CIQ(A2568, "IQ_CASH_OPER",IQ_FY-4))</f>
        <v>34.436999999999998</v>
      </c>
      <c r="K2573" s="17">
        <f>IF(A2576=A2577,_xll.ciqfunctions.udf.CIQ(A2568,"IQ_CAPEX",IQ_FY-5), _xll.ciqfunctions.udf.CIQ(A2568, "IQ_CAPEX",IQ_FY-4))</f>
        <v>-4.9669999999999996</v>
      </c>
      <c r="L2573" s="15">
        <f t="shared" si="684"/>
        <v>0.72208446452548736</v>
      </c>
      <c r="M2573" s="17">
        <f>IF(A2576=A2577,_xll.ciqfunctions.udf.CIQ(A2568,"IQ_TOTAL_DEBT_ISSUED",IQ_FY-5), _xll.ciqfunctions.udf.CIQ(A2568, "IQ_TOTAL_DEBT_ISSUED",IQ_FY-4))</f>
        <v>348.25</v>
      </c>
      <c r="N2573" s="17">
        <f>IF(A2576=A2577,_xll.ciqfunctions.udf.CIQ(A2568,"IQ_TOTAL_DEBT_REPAID",IQ_FY-5), _xll.ciqfunctions.udf.CIQ(A2568, "IQ_TOTAL_DEBT_REPAID",IQ_FY-4))</f>
        <v>-2.323</v>
      </c>
      <c r="O2573" s="15">
        <f t="shared" si="685"/>
        <v>8.4760268937871839</v>
      </c>
      <c r="P2573" s="15">
        <f t="shared" si="686"/>
        <v>9.198111358312671</v>
      </c>
      <c r="Q2573" s="25" t="s">
        <v>27</v>
      </c>
      <c r="R2573" s="38" t="s">
        <v>51</v>
      </c>
      <c r="S2573" s="4">
        <f>AVERAGE(F2573:F2578)/AVERAGE(D2573:D2578)</f>
        <v>3.8570198844311156E-2</v>
      </c>
      <c r="U2573" s="25" t="s">
        <v>58</v>
      </c>
      <c r="V2573" s="38" t="s">
        <v>51</v>
      </c>
      <c r="W2573" s="4">
        <f>AVERAGE(F2573:F2578)/AVERAGE(D2573:D2578)</f>
        <v>3.8570198844311156E-2</v>
      </c>
      <c r="Y2573" s="25" t="s">
        <v>56</v>
      </c>
      <c r="Z2573" s="38" t="s">
        <v>51</v>
      </c>
      <c r="AA2573" s="4">
        <f>AVERAGE(F2573:F2578)/AVERAGE(D2573:D2578)</f>
        <v>3.8570198844311156E-2</v>
      </c>
    </row>
    <row r="2574" spans="1:27">
      <c r="A2574" s="18"/>
      <c r="B2574" s="13">
        <v>7</v>
      </c>
      <c r="C2574" s="14" t="s">
        <v>28</v>
      </c>
      <c r="D2574" s="15" cm="1">
        <f t="array" ref="D2574">_xlfn.SINGLE(IF(A2576=A2577,_xll.ciqfunctions.udf.CIQ(A2568,"IQ_TOTAL_REV",IQ_FY-4)/I2574, _xll.ciqfunctions.udf.CIQ(A2568, "IQ_TOTAL_REV",IQ_FY-3)/I2574))</f>
        <v>14.072142378973648</v>
      </c>
      <c r="E2574" s="16">
        <f t="shared" si="687"/>
        <v>0.27126733993471014</v>
      </c>
      <c r="F2574" s="15">
        <f>IF(A2576=A2577,_xll.ciqfunctions.udf.CIQ(A2568,"IQ_DILUT_EPS_EXCL",IQ_FY-4), _xll.ciqfunctions.udf.CIQ(A2568, "IQ_DILUT_EPS_EXCL",IQ_FY-3))</f>
        <v>-1.68</v>
      </c>
      <c r="G2574" s="15">
        <f>IF(A2576=A2577,_xll.ciqfunctions.udf.CIQ(A2568,"IQ_EBITDA_MARGIN",IQ_FY-4), _xll.ciqfunctions.udf.CIQ(A2568, "IQ_EBITDA_MARGIN",IQ_FY-3))</f>
        <v>3.9009999999999998</v>
      </c>
      <c r="H2574" s="15">
        <f>IF(A2576=A2577,_xll.ciqfunctions.udf.CIQ(A2568,"IQ_TOTAL_DIV_PAID_CF",IQ_FY-4)/-I2574, _xll.ciqfunctions.udf.CIQ(A2568, "IQ_TOTAL_DIV_PAID_CF",IQ_FY-3)/-I2574)</f>
        <v>0.23706509218326891</v>
      </c>
      <c r="I2574" s="17">
        <f>IF(A2576=A2577,_xll.ciqfunctions.udf.CIQ(A2568,"IQ_TOTAL_OUTSTANDING_FILING_DATE",IQ_FY-4), _xll.ciqfunctions.udf.CIQ(A2568, "IQ_TOTAL_OUTSTANDING_FILING_DATE",IQ_FY-3))</f>
        <v>41.452750000000002</v>
      </c>
      <c r="J2574" s="17">
        <f>IF(A2576=A2577,_xll.ciqfunctions.udf.CIQ(A2568,"IQ_CASH_OPER",IQ_FY-4), _xll.ciqfunctions.udf.CIQ(A2568, "IQ_CASH_OPER",IQ_FY-3))</f>
        <v>17.268999999999998</v>
      </c>
      <c r="K2574" s="17">
        <f>IF(A2576=A2577,_xll.ciqfunctions.udf.CIQ(A2568,"IQ_CAPEX",IQ_FY-4), _xll.ciqfunctions.udf.CIQ(A2568, "IQ_CAPEX",IQ_FY-3))</f>
        <v>-18</v>
      </c>
      <c r="L2574" s="15">
        <f t="shared" si="684"/>
        <v>-1.7634535706316266E-2</v>
      </c>
      <c r="M2574" s="17">
        <f>IF(A2576=A2577,_xll.ciqfunctions.udf.CIQ(A2568,"IQ_TOTAL_DEBT_ISSUED",IQ_FY-4), _xll.ciqfunctions.udf.CIQ(A2568, "IQ_TOTAL_DEBT_ISSUED",IQ_FY-3))</f>
        <v>5.4770000000000003</v>
      </c>
      <c r="N2574" s="17">
        <f>IF(A2576=A2577,_xll.ciqfunctions.udf.CIQ(A2568,"IQ_TOTAL_DEBT_REPAID",IQ_FY-4), _xll.ciqfunctions.udf.CIQ(A2568, "IQ_TOTAL_DEBT_REPAID",IQ_FY-3))</f>
        <v>-3.8170000000000002</v>
      </c>
      <c r="O2574" s="15">
        <f t="shared" si="685"/>
        <v>4.0045594080006755E-2</v>
      </c>
      <c r="P2574" s="15">
        <f t="shared" si="686"/>
        <v>2.2411058373690489E-2</v>
      </c>
      <c r="Q2574" s="18"/>
      <c r="R2574" s="38" t="s">
        <v>29</v>
      </c>
      <c r="S2574" s="4">
        <f>(AVERAGE(P2573:P2578)/_xlfn.STDEV.P(P2573:P2578))/(IF(A2576=A2577,(_xlfn.SINGLE(_xll.ciqfunctions.udf.CIQ(A2568,"IQ_total_assets",IQ_FY)) - _xlfn.SINGLE(_xll.ciqfunctions.udf.CIQ(A2568,"iq_gw_intan", IQ_FY)))/I2578, (_xlfn.SINGLE(_xll.ciqfunctions.udf.CIQ(A2568, "IQ_total_assets",IQ_LTM))-_xlfn.SINGLE(_xll.ciqfunctions.udf.CIQ(A2568,"iq_gw_intan",IQ_LTM)))/I2578))</f>
        <v>2.4956720769818305E-2</v>
      </c>
      <c r="U2574" s="18"/>
      <c r="V2574" s="38" t="s">
        <v>29</v>
      </c>
      <c r="W2574" s="4">
        <f>(AVERAGE(P2573:P2578)/_xlfn.STDEV.P(P2573:P2578))/(IF(A2576=A2577,(_xlfn.SINGLE(_xll.ciqfunctions.udf.CIQ(A2568,"IQ_total_assets",IQ_FY)) - _xlfn.SINGLE(_xll.ciqfunctions.udf.CIQ(A2568,"iq_gw_intan", IQ_FY)))/I2578, (_xlfn.SINGLE(_xll.ciqfunctions.udf.CIQ(A2568, "IQ_total_assets",IQ_LTM))-_xlfn.SINGLE(_xll.ciqfunctions.udf.CIQ(A2568,"iq_gw_intan",IQ_LTM)))/I2578))</f>
        <v>2.4956720769818305E-2</v>
      </c>
      <c r="Y2574" s="18"/>
      <c r="Z2574" s="38" t="s">
        <v>29</v>
      </c>
      <c r="AA2574" s="4">
        <f>(AVERAGE(P2573:P2578)/_xlfn.STDEV.P(P2573:P2578))/(IF(A2576=A2577,(_xlfn.SINGLE(_xll.ciqfunctions.udf.CIQ(A2568,"IQ_total_assets",IQ_FY)) - _xlfn.SINGLE(_xll.ciqfunctions.udf.CIQ(A2568,"iq_gw_intan", IQ_FY)))/I2578, (_xlfn.SINGLE(_xll.ciqfunctions.udf.CIQ(A2568, "IQ_total_assets",IQ_LTM))-_xlfn.SINGLE(_xll.ciqfunctions.udf.CIQ(A2568,"iq_gw_intan",IQ_LTM)))/I2578))</f>
        <v>2.4956720769818305E-2</v>
      </c>
    </row>
    <row r="2575" spans="1:27">
      <c r="A2575" s="18"/>
      <c r="B2575" s="13">
        <v>8</v>
      </c>
      <c r="C2575" s="14" t="s">
        <v>30</v>
      </c>
      <c r="D2575" s="15" cm="1">
        <f t="array" ref="D2575">_xlfn.SINGLE(IF(A2576=A2577,_xll.ciqfunctions.udf.CIQ(A2568,"IQ_TOTAL_REV",IQ_FY-3)/I2575, _xll.ciqfunctions.udf.CIQ(A2568, "IQ_TOTAL_REV",IQ_FY-2)/I2575))</f>
        <v>15.06304263954654</v>
      </c>
      <c r="E2575" s="16">
        <f t="shared" si="687"/>
        <v>7.041573584797417E-2</v>
      </c>
      <c r="F2575" s="15">
        <f>IF(A2576=A2577,_xll.ciqfunctions.udf.CIQ(A2568,"IQ_DILUT_EPS_EXCL",IQ_FY-3), _xll.ciqfunctions.udf.CIQ(A2568, "IQ_DILUT_EPS_EXCL",IQ_FY-2))</f>
        <v>-0.33073999999999998</v>
      </c>
      <c r="G2575" s="15">
        <f>IF(A2576=A2577,_xll.ciqfunctions.udf.CIQ(A2568,"IQ_EBITDA_MARGIN",IQ_FY-3), _xll.ciqfunctions.udf.CIQ(A2568, "IQ_EBITDA_MARGIN",IQ_FY-2))</f>
        <v>11.653</v>
      </c>
      <c r="H2575" s="15">
        <f>IF(A2576=A2577,_xll.ciqfunctions.udf.CIQ(A2568,"IQ_TOTAL_DIV_PAID_CF",IQ_FY-3)/-I2575, _xll.ciqfunctions.udf.CIQ(A2568, "IQ_TOTAL_DIV_PAID_CF",IQ_FY-2)/-I2575)</f>
        <v>0.11773201389479337</v>
      </c>
      <c r="I2575" s="17">
        <f>IF(A2576=A2577,_xll.ciqfunctions.udf.CIQ(A2568,"IQ_TOTAL_OUTSTANDING_FILING_DATE",IQ_FY-3), _xll.ciqfunctions.udf.CIQ(A2568, "IQ_TOTAL_OUTSTANDING_FILING_DATE",IQ_FY-2))</f>
        <v>42.223010000000002</v>
      </c>
      <c r="J2575" s="17">
        <f>IF(A2576=A2577,_xll.ciqfunctions.udf.CIQ(A2568,"IQ_CASH_OPER",IQ_FY-3), _xll.ciqfunctions.udf.CIQ(A2568, "IQ_CASH_OPER",IQ_FY-2))</f>
        <v>49.88</v>
      </c>
      <c r="K2575" s="17">
        <f>IF(A2576=A2577,_xll.ciqfunctions.udf.CIQ(A2568,"IQ_CAPEX",IQ_FY-3), _xll.ciqfunctions.udf.CIQ(A2568, "IQ_CAPEX",IQ_FY-2))</f>
        <v>-18.66</v>
      </c>
      <c r="L2575" s="15">
        <f t="shared" si="684"/>
        <v>0.73940725684881303</v>
      </c>
      <c r="M2575" s="17">
        <f>IF(A2576=A2577,_xll.ciqfunctions.udf.CIQ(A2568,"IQ_TOTAL_DEBT_ISSUED",IQ_FY-3), _xll.ciqfunctions.udf.CIQ(A2568, "IQ_TOTAL_DEBT_ISSUED",IQ_FY-2))</f>
        <v>5.8780000000000001</v>
      </c>
      <c r="N2575" s="17">
        <f>IF(A2576=A2577,_xll.ciqfunctions.udf.CIQ(A2568,"IQ_TOTAL_DEBT_REPAID",IQ_FY-3), _xll.ciqfunctions.udf.CIQ(A2568, "IQ_TOTAL_DEBT_REPAID",IQ_FY-2))</f>
        <v>-41.201999999999998</v>
      </c>
      <c r="O2575" s="15">
        <f t="shared" si="685"/>
        <v>-0.83660544333528086</v>
      </c>
      <c r="P2575" s="15">
        <f t="shared" si="686"/>
        <v>-9.719818648646783E-2</v>
      </c>
      <c r="Q2575" s="18"/>
      <c r="R2575" s="39" t="s">
        <v>31</v>
      </c>
      <c r="S2575" s="5">
        <f>IF(NOT(D2568&gt;0),FALSE,SLOPE(G2568:G2578,B2568:B2578))</f>
        <v>1.9020999999999999</v>
      </c>
      <c r="U2575" s="18"/>
      <c r="V2575" s="39" t="s">
        <v>31</v>
      </c>
      <c r="W2575" s="5">
        <f>IF(NOT(D2568&gt;0),FALSE,SLOPE(G2568:G2578,B2568:B2578))</f>
        <v>1.9020999999999999</v>
      </c>
      <c r="Y2575" s="18"/>
      <c r="Z2575" s="39" t="s">
        <v>31</v>
      </c>
      <c r="AA2575" s="5" t="b">
        <f>IF(NOT(L2568&gt;0),FALSE,SLOPE(O2568:O2578,J2568:J2578))</f>
        <v>0</v>
      </c>
    </row>
    <row r="2576" spans="1:27">
      <c r="A2576" s="19">
        <f>_xll.ciqfunctions.udf.CIQ(A2568,"IQ_TOTAL_REV",IQ_FY)</f>
        <v>812.77499999999998</v>
      </c>
      <c r="B2576" s="13">
        <v>9</v>
      </c>
      <c r="C2576" s="14" t="s">
        <v>32</v>
      </c>
      <c r="D2576" s="15" cm="1">
        <f t="array" ref="D2576">_xlfn.SINGLE(IF(A2576=A2577,_xll.ciqfunctions.udf.CIQ(A2568,"IQ_TOTAL_REV",IQ_FY-2)/I2576, _xll.ciqfunctions.udf.CIQ(A2568, "IQ_TOTAL_REV",IQ_FY-1)/I2576))</f>
        <v>18.269032378424928</v>
      </c>
      <c r="E2576" s="16">
        <f t="shared" si="687"/>
        <v>0.21283812411586603</v>
      </c>
      <c r="F2576" s="15">
        <f>IF(A2576=A2577,_xll.ciqfunctions.udf.CIQ(A2568,"IQ_DILUT_EPS_EXCL",IQ_FY-2), _xll.ciqfunctions.udf.CIQ(A2568, "IQ_DILUT_EPS_EXCL",IQ_FY-1))</f>
        <v>3.45</v>
      </c>
      <c r="G2576" s="15">
        <f>IF(A2576=A2577,_xll.ciqfunctions.udf.CIQ(A2568,"IQ_EBITDA_MARGIN",IQ_FY-2), _xll.ciqfunctions.udf.CIQ(A2568, "IQ_EBITDA_MARGIN",IQ_FY-1))</f>
        <v>20.3599</v>
      </c>
      <c r="H2576" s="15">
        <f>IF(A2576=A2577,_xll.ciqfunctions.udf.CIQ(A2568,"IQ_TOTAL_DIV_PAID_CF",IQ_FY-2)/-I2576, _xll.ciqfunctions.udf.CIQ(A2568, "IQ_TOTAL_DIV_PAID_CF",IQ_FY-1)/-I2576)</f>
        <v>0</v>
      </c>
      <c r="I2576" s="17">
        <f>IF(A2576=A2577,_xll.ciqfunctions.udf.CIQ(A2568,"IQ_TOTAL_OUTSTANDING_FILING_DATE",IQ_FY-2), _xll.ciqfunctions.udf.CIQ(A2568, "IQ_TOTAL_OUTSTANDING_FILING_DATE",IQ_FY-1))</f>
        <v>48.56382</v>
      </c>
      <c r="J2576" s="17">
        <f>IF(A2576=A2577,_xll.ciqfunctions.udf.CIQ(A2568,"IQ_CASH_OPER",IQ_FY-2), _xll.ciqfunctions.udf.CIQ(A2568, "IQ_CASH_OPER",IQ_FY-1))</f>
        <v>97.915000000000006</v>
      </c>
      <c r="K2576" s="17">
        <f>IF(A2576=A2577,_xll.ciqfunctions.udf.CIQ(A2568,"IQ_CAPEX",IQ_FY-2), _xll.ciqfunctions.udf.CIQ(A2568, "IQ_CAPEX",IQ_FY-1))</f>
        <v>-12</v>
      </c>
      <c r="L2576" s="15">
        <f t="shared" si="684"/>
        <v>1.7691153620122966</v>
      </c>
      <c r="M2576" s="17">
        <f>IF(A2576=A2577,_xll.ciqfunctions.udf.CIQ(A2568,"IQ_TOTAL_DEBT_ISSUED",IQ_FY-2), _xll.ciqfunctions.udf.CIQ(A2568, "IQ_TOTAL_DEBT_ISSUED",IQ_FY-1))</f>
        <v>1.3759999999999999</v>
      </c>
      <c r="N2576" s="17">
        <f>IF(A2576=A2577,_xll.ciqfunctions.udf.CIQ(A2568,"IQ_TOTAL_DEBT_REPAID",IQ_FY-2), _xll.ciqfunctions.udf.CIQ(A2568, "IQ_TOTAL_DEBT_REPAID",IQ_FY-1))</f>
        <v>-206.255</v>
      </c>
      <c r="O2576" s="15">
        <f t="shared" si="685"/>
        <v>-4.2187579148427776</v>
      </c>
      <c r="P2576" s="15">
        <f t="shared" si="686"/>
        <v>-2.4496425528304808</v>
      </c>
      <c r="Q2576" s="25" t="s">
        <v>33</v>
      </c>
      <c r="R2576" s="38" t="s">
        <v>52</v>
      </c>
      <c r="S2576" s="4">
        <f>(AVERAGE(O2573:O2578)/AVERAGE(P2573:P2578))</f>
        <v>0.19403001737250508</v>
      </c>
      <c r="U2576" s="25" t="s">
        <v>54</v>
      </c>
      <c r="V2576" s="38" t="s">
        <v>52</v>
      </c>
      <c r="W2576" s="4">
        <f>(AVERAGE(O2573:O2578)/AVERAGE(P2573:P2578))</f>
        <v>0.19403001737250508</v>
      </c>
      <c r="Y2576" s="25" t="s">
        <v>60</v>
      </c>
      <c r="Z2576" s="38" t="s">
        <v>52</v>
      </c>
      <c r="AA2576" s="4">
        <f>(AVERAGE(O2573:O2578)/AVERAGE(P2573:P2578))</f>
        <v>0.19403001737250508</v>
      </c>
    </row>
    <row r="2577" spans="1:27">
      <c r="A2577" s="19">
        <f>_xll.ciqfunctions.udf.CIQ(A2568,"IQ_TOTAL_REV",IQ_LTM)</f>
        <v>690.20100000000002</v>
      </c>
      <c r="B2577" s="13">
        <v>10</v>
      </c>
      <c r="C2577" s="14" t="s">
        <v>34</v>
      </c>
      <c r="D2577" s="15" cm="1">
        <f t="array" ref="D2577">_xlfn.SINGLE(IF(A2576=A2577,_xll.ciqfunctions.udf.CIQ(A2568,"IQ_TOTAL_REV",IQ_FY-1)/I2577, _xll.ciqfunctions.udf.CIQ(A2568, "IQ_TOTAL_REV",IQ_FY)/I2577))</f>
        <v>17.189854543724124</v>
      </c>
      <c r="E2577" s="16">
        <f t="shared" si="687"/>
        <v>-5.9071428215063781E-2</v>
      </c>
      <c r="F2577" s="15">
        <f>IF(A2576=A2577,_xll.ciqfunctions.udf.CIQ(A2568,"IQ_DILUT_EPS_EXCL",IQ_FY-1), _xll.ciqfunctions.udf.CIQ(A2568, "IQ_DILUT_EPS_EXCL",IQ_FY))</f>
        <v>1.98</v>
      </c>
      <c r="G2577" s="15">
        <f>IF(A2576=A2577,_xll.ciqfunctions.udf.CIQ(A2568,"IQ_EBITDA_MARGIN",IQ_FY-1), _xll.ciqfunctions.udf.CIQ(A2568, "IQ_EBITDA_MARGIN",IQ_FY))</f>
        <v>21.1281</v>
      </c>
      <c r="H2577" s="15">
        <f>IF(A2576=A2577,_xll.ciqfunctions.udf.CIQ(A2568,"IQ_TOTAL_DIV_PAID_CF",IQ_FY-1)/-I2577, _xll.ciqfunctions.udf.CIQ(A2568, "IQ_TOTAL_DIV_PAID_CF",IQ_FY)/-I2577)</f>
        <v>0</v>
      </c>
      <c r="I2577" s="17">
        <f>IF(A2576=A2577,_xll.ciqfunctions.udf.CIQ(A2568,"IQ_TOTAL_OUTSTANDING_FILING_DATE",IQ_FY-1), _xll.ciqfunctions.udf.CIQ(A2568, "IQ_TOTAL_OUTSTANDING_FILING_DATE",IQ_FY))</f>
        <v>47.282249999999998</v>
      </c>
      <c r="J2577" s="17">
        <f>IF(A2576=A2577,_xll.ciqfunctions.udf.CIQ(A2568,"IQ_CASH_OPER",IQ_FY-1), _xll.ciqfunctions.udf.CIQ(A2568, "IQ_CASH_OPER",IQ_FY))</f>
        <v>112.861</v>
      </c>
      <c r="K2577" s="17">
        <f>IF(A2576=A2577,_xll.ciqfunctions.udf.CIQ(A2568,"IQ_CAPEX",IQ_FY-1), _xll.ciqfunctions.udf.CIQ(A2568, "IQ_CAPEX",IQ_FY))</f>
        <v>-14.77</v>
      </c>
      <c r="L2577" s="15">
        <f t="shared" si="684"/>
        <v>2.0745840140856244</v>
      </c>
      <c r="M2577" s="17">
        <f>IF(A2576=A2577,_xll.ciqfunctions.udf.CIQ(A2568,"IQ_TOTAL_DEBT_ISSUED",IQ_FY-1), _xll.ciqfunctions.udf.CIQ(A2568, "IQ_TOTAL_DEBT_ISSUED",IQ_FY))</f>
        <v>0</v>
      </c>
      <c r="N2577" s="17">
        <f>IF(A2576=A2577,_xll.ciqfunctions.udf.CIQ(A2568,"IQ_TOTAL_DEBT_REPAID",IQ_FY-1), _xll.ciqfunctions.udf.CIQ(A2568, "IQ_TOTAL_DEBT_REPAID",IQ_FY))</f>
        <v>-38.393000000000001</v>
      </c>
      <c r="O2577" s="15">
        <f t="shared" si="685"/>
        <v>-0.81199604502746803</v>
      </c>
      <c r="P2577" s="15">
        <f t="shared" si="686"/>
        <v>1.2625879690581563</v>
      </c>
      <c r="Q2577" s="25" t="s">
        <v>44</v>
      </c>
      <c r="R2577" s="38" t="s">
        <v>35</v>
      </c>
      <c r="S2577" s="1">
        <f>_xll.ciqfunctions.udf.CIQ(A2568,"IQ_TEV_EBITDA")</f>
        <v>9.5578900000000004</v>
      </c>
      <c r="U2577" s="25" t="s">
        <v>55</v>
      </c>
      <c r="V2577" s="38" t="s">
        <v>53</v>
      </c>
      <c r="W2577" s="1">
        <f>V2567/(AVERAGE(D2573:D2578)/_xlfn.STDEV.P(E2573:E2578))</f>
        <v>0.34594602355510923</v>
      </c>
      <c r="Y2577" s="25" t="s">
        <v>57</v>
      </c>
      <c r="Z2577" s="38" t="s">
        <v>53</v>
      </c>
      <c r="AA2577" s="1">
        <f>Z2567/(AVERAGE(D2573:D2578)/_xlfn.STDEV.P(E2573:E2578))</f>
        <v>0.34594602355510923</v>
      </c>
    </row>
    <row r="2578" spans="1:27">
      <c r="B2578" s="13">
        <v>11</v>
      </c>
      <c r="C2578" s="20" t="s">
        <v>36</v>
      </c>
      <c r="D2578" s="21" cm="1">
        <f t="array" ref="D2578">_xlfn.SINGLE(IF(A2576=A2577,_xll.ciqfunctions.udf.CIQ(A2568,"IQ_TOTAL_REV",IQ_FY)/I2578, _xll.ciqfunctions.udf.CIQ(A2568, "IQ_TOTAL_REV",IQ_LTM)/I2578))</f>
        <v>14.528978238771266</v>
      </c>
      <c r="E2578" s="22">
        <f t="shared" si="687"/>
        <v>-0.15479341597595553</v>
      </c>
      <c r="F2578" s="21">
        <f>IF(A2576=A2577,_xll.ciqfunctions.udf.CIQ(A2568,"IQ_DILUT_EPS_EXCL",IQ_FY), _xll.ciqfunctions.udf.CIQ(A2568, "IQ_DILUT_EPS_EXCL",IQ_LTM))</f>
        <v>1.07948</v>
      </c>
      <c r="G2578" s="21">
        <f>IF(A2576=A2577,_xll.ciqfunctions.udf.CIQ(A2568,"IQ_EBITDA_MARGIN",IQ_FY), _xll.ciqfunctions.udf.CIQ(A2568, "IQ_EBITDA_MARGIN",IQ_LTM))</f>
        <v>17.267199999999999</v>
      </c>
      <c r="H2578" s="21">
        <f>IF(A2576=A2577,_xll.ciqfunctions.udf.CIQ(A2568,"IQ_TOTAL_DIV_PAID_CF",IQ_FY)/-I2578, _xll.ciqfunctions.udf.CIQ(A2568, "IQ_TOTAL_DIV_PAID_CF",IQ_LTM)/-I2578)</f>
        <v>0</v>
      </c>
      <c r="I2578" s="23">
        <f>IF(A2576=A2577,_xll.ciqfunctions.udf.CIQ(A2568,"IQ_TOTAL_OUTSTANDING_FILING_DATE",IQ_FY),_xll.ciqfunctions.udf.CIQ(A2568,"IQ_sharesoutstanding"))</f>
        <v>47.505130000000001</v>
      </c>
      <c r="J2578" s="23">
        <f>IF(A2576=A2577,_xll.ciqfunctions.udf.CIQ(A2568,"IQ_CASH_OPER",IQ_FY), _xll.ciqfunctions.udf.CIQ(A2568, "IQ_CASH_OPER",IQ_LTM))</f>
        <v>126.33499999999999</v>
      </c>
      <c r="K2578" s="23">
        <f>IF(A2576=A2577,_xll.ciqfunctions.udf.CIQ(A2568,"IQ_CAPEX",IQ_FY), _xll.ciqfunctions.udf.CIQ(A2568, "IQ_CAPEX",IQ_LTM))</f>
        <v>-16.218</v>
      </c>
      <c r="L2578" s="21">
        <f t="shared" si="684"/>
        <v>2.318002287331915</v>
      </c>
      <c r="M2578" s="23">
        <f>IF(A2576=A2577,_xll.ciqfunctions.udf.CIQ(A2568,"IQ_TOTAL_DEBT_ISSUED",IQ_FY), _xll.ciqfunctions.udf.CIQ(A2568, "IQ_TOTAL_DEBT_ISSUED",IQ_LTM))</f>
        <v>0</v>
      </c>
      <c r="N2578" s="23">
        <f>IF(A2576=A2577,_xll.ciqfunctions.udf.CIQ(A2568,"IQ_TOTAL_DEBT_REPAID",IQ_FY), _xll.ciqfunctions.udf.CIQ(A2568, "IQ_TOTAL_DEBT_REPAID",IQ_LTM))</f>
        <v>-38.847000000000001</v>
      </c>
      <c r="O2578" s="21">
        <f t="shared" si="685"/>
        <v>-0.81774326267499953</v>
      </c>
      <c r="P2578" s="21">
        <f t="shared" si="686"/>
        <v>1.5002590246569154</v>
      </c>
      <c r="Q2578" s="25" t="s">
        <v>45</v>
      </c>
      <c r="S2578" s="45"/>
      <c r="U2578" s="25"/>
      <c r="W2578" s="45"/>
      <c r="Y2578" s="25"/>
      <c r="AA2578" s="45"/>
    </row>
    <row r="2579" spans="1:27">
      <c r="B2579" s="24"/>
      <c r="C2579" s="25" t="s">
        <v>37</v>
      </c>
      <c r="E2579" s="26">
        <f>((D2578/D2573)^(1/5))-1</f>
        <v>5.5898926833610973E-2</v>
      </c>
      <c r="F2579" s="27">
        <f>((F2578/F2573)^(1/5))-1</f>
        <v>-2.011399851949319</v>
      </c>
      <c r="G2579" s="28"/>
      <c r="H2579" s="27">
        <f>((H2578/H2573)^(1/5))-1</f>
        <v>-1</v>
      </c>
      <c r="I2579" s="27">
        <f>((I2578/I2573)^(1/5))-1</f>
        <v>3.0836233138190172E-2</v>
      </c>
      <c r="J2579" s="27"/>
      <c r="K2579" s="27"/>
      <c r="L2579" s="26">
        <f>((L2578/L2573)^(1/5))-1</f>
        <v>0.26271451215016972</v>
      </c>
      <c r="M2579" s="26"/>
      <c r="N2579" s="26"/>
      <c r="O2579" s="26"/>
      <c r="P2579" s="26">
        <f>((P2578/P2573)^(1/5))-1</f>
        <v>-0.30418543233023865</v>
      </c>
      <c r="Q2579" s="18"/>
      <c r="R2579" s="36"/>
      <c r="S2579" s="45"/>
      <c r="U2579" s="18"/>
      <c r="V2579" s="36"/>
      <c r="W2579" s="45"/>
      <c r="Y2579" s="18"/>
      <c r="Z2579" s="36"/>
      <c r="AA2579" s="45"/>
    </row>
    <row r="2580" spans="1:27">
      <c r="A2580" s="29"/>
      <c r="B2580" s="30"/>
      <c r="C2580" s="31" t="s">
        <v>38</v>
      </c>
      <c r="D2580" s="29"/>
      <c r="E2580" s="32">
        <f>((D2578/D2568)^(1/10))-1</f>
        <v>5.4505367971948271E-2</v>
      </c>
      <c r="F2580" s="33" t="e">
        <f>((F2578/F2568)^(1/10))-1</f>
        <v>#NUM!</v>
      </c>
      <c r="G2580" s="34"/>
      <c r="H2580" s="33">
        <f>((H2578/H2568)^(1/10))-1</f>
        <v>-1</v>
      </c>
      <c r="I2580" s="33">
        <f>((I2578/I2568)^(1/10))-1</f>
        <v>6.5868939984829122E-2</v>
      </c>
      <c r="J2580" s="33"/>
      <c r="K2580" s="33"/>
      <c r="L2580" s="32" t="e">
        <f>((L2578/L2568)^(1/10))-1</f>
        <v>#NUM!</v>
      </c>
      <c r="M2580" s="32"/>
      <c r="N2580" s="32"/>
      <c r="O2580" s="32"/>
      <c r="P2580" s="32" t="e">
        <f>((P2578/P2568)^(1/10))-1</f>
        <v>#NUM!</v>
      </c>
      <c r="Q2580" s="40"/>
      <c r="R2580" s="41"/>
      <c r="S2580" s="46"/>
      <c r="U2580" s="40"/>
      <c r="V2580" s="41"/>
      <c r="W2580" s="46"/>
      <c r="Y2580" s="40"/>
      <c r="Z2580" s="41"/>
      <c r="AA2580" s="46"/>
    </row>
    <row r="2581" spans="1:27">
      <c r="B2581" s="24"/>
      <c r="C2581" s="25"/>
      <c r="E2581" s="26"/>
      <c r="F2581" s="27"/>
      <c r="G2581" s="28"/>
      <c r="H2581" s="27"/>
      <c r="I2581" s="27"/>
      <c r="J2581" s="27"/>
      <c r="K2581" s="27"/>
      <c r="L2581" s="26"/>
      <c r="M2581" s="17"/>
      <c r="N2581" s="17"/>
      <c r="O2581" s="17"/>
      <c r="P2581" s="35"/>
      <c r="Q2581" s="18"/>
      <c r="R2581" s="36"/>
    </row>
    <row r="2582" spans="1:27">
      <c r="A2582" s="9" t="s">
        <v>0</v>
      </c>
      <c r="B2582" s="10"/>
      <c r="C2582" s="9" t="s">
        <v>1</v>
      </c>
      <c r="D2582" s="9" t="s">
        <v>2</v>
      </c>
      <c r="E2582" s="9" t="s">
        <v>3</v>
      </c>
      <c r="F2582" s="11" t="s">
        <v>4</v>
      </c>
      <c r="G2582" s="11" t="s">
        <v>5</v>
      </c>
      <c r="H2582" s="9" t="s">
        <v>6</v>
      </c>
      <c r="I2582" s="11" t="s">
        <v>7</v>
      </c>
      <c r="J2582" s="11" t="s">
        <v>8</v>
      </c>
      <c r="K2582" s="11" t="s">
        <v>9</v>
      </c>
      <c r="L2582" s="11" t="s">
        <v>10</v>
      </c>
      <c r="M2582" s="11" t="s">
        <v>11</v>
      </c>
      <c r="N2582" s="11" t="s">
        <v>12</v>
      </c>
      <c r="O2582" s="11" t="s">
        <v>13</v>
      </c>
      <c r="P2582" s="11" t="s">
        <v>14</v>
      </c>
      <c r="Q2582" s="37" t="s">
        <v>15</v>
      </c>
      <c r="R2582" s="42">
        <f>_xll.ciqfunctions.udf.CIQ(A2583,("IQ_LASTSALEPRICE"))</f>
        <v>38.03</v>
      </c>
      <c r="S2582" s="44"/>
      <c r="U2582" s="37" t="s">
        <v>15</v>
      </c>
      <c r="V2582" s="42">
        <f>_xll.ciqfunctions.udf.CIQ(A2583,("IQ_LASTSALEPRICE"))</f>
        <v>38.03</v>
      </c>
      <c r="W2582" s="44"/>
      <c r="Y2582" s="37" t="s">
        <v>15</v>
      </c>
      <c r="Z2582" s="42">
        <f>_xll.ciqfunctions.udf.CIQ(A2583,("IQ_LASTSALEPRICE"))</f>
        <v>38.03</v>
      </c>
      <c r="AA2582" s="44"/>
    </row>
    <row r="2583" spans="1:27">
      <c r="A2583" s="12" t="str">
        <f>Analysis!B174</f>
        <v>NasdaqGS:FORM</v>
      </c>
      <c r="B2583" s="13">
        <v>1</v>
      </c>
      <c r="C2583" s="14" t="s">
        <v>16</v>
      </c>
      <c r="D2583" s="15">
        <f>IF(A2591=A2592,_xll.ciqfunctions.udf.CIQ(A2583,"IQ_TOTAL_REV",IQ_FY-10)/I2583,_xll.ciqfunctions.udf.CIQ(A2583, "IQ_TOTAL_REV",IQ_FY-9)/I2583)</f>
        <v>4.1805373617256389</v>
      </c>
      <c r="E2583" s="16"/>
      <c r="F2583" s="15">
        <f>IF(A2591=A2592,_xll.ciqfunctions.udf.CIQ(A2583,"IQ_DILUT_EPS_EXCL",IQ_FY-10), _xll.ciqfunctions.udf.CIQ(A2583, "IQ_DILUT_EPS_EXCL",IQ_FY-9))</f>
        <v>-1.0641799999999999</v>
      </c>
      <c r="G2583" s="15">
        <f>IF(A2591=A2592,_xll.ciqfunctions.udf.CIQ(A2583,"IQ_EBITDA_MARGIN",IQ_FY-10), _xll.ciqfunctions.udf.CIQ(A2583, "IQ_EBITDA_MARGIN",IQ_FY-9))</f>
        <v>-10.436</v>
      </c>
      <c r="H2583" s="15">
        <f>IF(A2591=A2592,_xll.ciqfunctions.udf.CIQ(A2583,"IQ_TOTAL_DIV_PAID_CF",IQ_FY-10)/-I2583, _xll.ciqfunctions.udf.CIQ(A2583, "IQ_TOTAL_DIV_PAID_CF",IQ_FY-9)/-I2583)</f>
        <v>0</v>
      </c>
      <c r="I2583" s="17">
        <f>IF(A2591=A2592,_xll.ciqfunctions.udf.CIQ(A2583,"IQ_TOTAL_OUTSTANDING_FILING_DATE",IQ_FY-10), _xll.ciqfunctions.udf.CIQ(A2583, "IQ_TOTAL_OUTSTANDING_FILING_DATE",IQ_FY-9))</f>
        <v>55.38355</v>
      </c>
      <c r="J2583" s="17">
        <f>IF(A2591=A2592,_xll.ciqfunctions.udf.CIQ(A2583,"IQ_CASH_OPER",IQ_FY-10), _xll.ciqfunctions.udf.CIQ(A2583, "IQ_CASH_OPER",IQ_FY-9))</f>
        <v>-5.8019999999999996</v>
      </c>
      <c r="K2583" s="17">
        <f>IF(A2591=A2592,_xll.ciqfunctions.udf.CIQ(A2583,"IQ_CAPEX",IQ_FY-10), _xll.ciqfunctions.udf.CIQ(A2583, "IQ_CAPEX",IQ_FY-9))</f>
        <v>-8.5299999999999994</v>
      </c>
      <c r="L2583" s="15">
        <f t="shared" ref="L2583:L2593" si="688">(J2583+K2583)/I2583</f>
        <v>-0.25877720008919614</v>
      </c>
      <c r="M2583" s="17">
        <f>IF(A2591=A2592,_xll.ciqfunctions.udf.CIQ(A2583,"IQ_TOTAL_DEBT_ISSUED",IQ_FY-10), _xll.ciqfunctions.udf.CIQ(A2583, "IQ_TOTAL_DEBT_ISSUED",IQ_FY-9))</f>
        <v>0</v>
      </c>
      <c r="N2583" s="17">
        <f>IF(A2591=A2592,_xll.ciqfunctions.udf.CIQ(A2583,"IQ_TOTAL_DEBT_REPAID",IQ_FY-10), _xll.ciqfunctions.udf.CIQ(A2583, "IQ_TOTAL_DEBT_REPAID",IQ_FY-9))</f>
        <v>-0.60299999999999998</v>
      </c>
      <c r="O2583" s="15">
        <f t="shared" ref="O2583:O2593" si="689">(M2583+N2583)/I2583</f>
        <v>-1.0887709437188479E-2</v>
      </c>
      <c r="P2583" s="15">
        <f t="shared" ref="P2583:P2593" si="690">L2583+O2583</f>
        <v>-0.26966490952638461</v>
      </c>
      <c r="W2583" s="43"/>
      <c r="AA2583" s="43"/>
    </row>
    <row r="2584" spans="1:27">
      <c r="A2584" s="18" t="str">
        <f>_xll.ciqfunctions.udf.CIQ(A2583,"IQ_COMPANY_NAME")</f>
        <v>FormFactor, Inc.</v>
      </c>
      <c r="B2584" s="13">
        <v>2</v>
      </c>
      <c r="C2584" s="14" t="s">
        <v>17</v>
      </c>
      <c r="D2584" s="15">
        <f>IF(A2591=A2592,_xll.ciqfunctions.udf.CIQ(A2583,"IQ_TOTAL_REV",IQ_FY-9)/I2584, _xll.ciqfunctions.udf.CIQ(A2583, "IQ_TOTAL_REV",IQ_FY-8)/I2584)</f>
        <v>4.6634227226935003</v>
      </c>
      <c r="E2584" s="16">
        <f t="shared" ref="E2584:E2593" si="691">(D2584-D2583)/D2583</f>
        <v>0.1155079644518561</v>
      </c>
      <c r="F2584" s="15">
        <f>IF(A2591=A2592,_xll.ciqfunctions.udf.CIQ(A2583,"IQ_DILUT_EPS_EXCL",IQ_FY-9), _xll.ciqfunctions.udf.CIQ(A2583, "IQ_DILUT_EPS_EXCL",IQ_FY-8))</f>
        <v>-0.34315000000000001</v>
      </c>
      <c r="G2584" s="15">
        <f>IF(A2591=A2592,_xll.ciqfunctions.udf.CIQ(A2583,"IQ_EBITDA_MARGIN",IQ_FY-9), _xll.ciqfunctions.udf.CIQ(A2583, "IQ_EBITDA_MARGIN",IQ_FY-8))</f>
        <v>5.1464999999999996</v>
      </c>
      <c r="H2584" s="15">
        <f>IF(A2591=A2592,_xll.ciqfunctions.udf.CIQ(A2583,"IQ_TOTAL_DIV_PAID_CF",IQ_FY-9)/-I2584, _xll.ciqfunctions.udf.CIQ(A2583, "IQ_TOTAL_DIV_PAID_CF",IQ_FY-8)/-I2584)</f>
        <v>0</v>
      </c>
      <c r="I2584" s="17">
        <f>IF(A2591=A2592,_xll.ciqfunctions.udf.CIQ(A2583,"IQ_TOTAL_OUTSTANDING_FILING_DATE",IQ_FY-9), _xll.ciqfunctions.udf.CIQ(A2583, "IQ_TOTAL_OUTSTANDING_FILING_DATE",IQ_FY-8))</f>
        <v>57.582169999999998</v>
      </c>
      <c r="J2584" s="17">
        <f>IF(A2591=A2592,_xll.ciqfunctions.udf.CIQ(A2583,"IQ_CASH_OPER",IQ_FY-9), _xll.ciqfunctions.udf.CIQ(A2583, "IQ_CASH_OPER",IQ_FY-8))</f>
        <v>17.658999999999999</v>
      </c>
      <c r="K2584" s="17">
        <f>IF(A2591=A2592,_xll.ciqfunctions.udf.CIQ(A2583,"IQ_CAPEX",IQ_FY-9), _xll.ciqfunctions.udf.CIQ(A2583, "IQ_CAPEX",IQ_FY-8))</f>
        <v>-5.67</v>
      </c>
      <c r="L2584" s="15">
        <f t="shared" si="688"/>
        <v>0.20820681124035442</v>
      </c>
      <c r="M2584" s="17">
        <f>IF(A2591=A2592,_xll.ciqfunctions.udf.CIQ(A2583,"IQ_TOTAL_DEBT_ISSUED",IQ_FY-9), _xll.ciqfunctions.udf.CIQ(A2583, "IQ_TOTAL_DEBT_ISSUED",IQ_FY-8))</f>
        <v>0</v>
      </c>
      <c r="N2584" s="17">
        <f>IF(A2591=A2592,_xll.ciqfunctions.udf.CIQ(A2583,"IQ_TOTAL_DEBT_REPAID",IQ_FY-9), _xll.ciqfunctions.udf.CIQ(A2583, "IQ_TOTAL_DEBT_REPAID",IQ_FY-8))</f>
        <v>0</v>
      </c>
      <c r="O2584" s="15">
        <f t="shared" si="689"/>
        <v>0</v>
      </c>
      <c r="P2584" s="15">
        <f t="shared" si="690"/>
        <v>0.20820681124035442</v>
      </c>
      <c r="Q2584" s="25" t="s">
        <v>18</v>
      </c>
      <c r="R2584" s="39" t="s">
        <v>19</v>
      </c>
      <c r="S2584" s="1">
        <f>R2582/((AVERAGE(P2588:P2593))*(1+E2594)^3)</f>
        <v>50.789864154117865</v>
      </c>
      <c r="U2584" s="25" t="s">
        <v>48</v>
      </c>
      <c r="V2584" s="39" t="s">
        <v>19</v>
      </c>
      <c r="W2584" s="1">
        <f>V2582/((AVERAGE(P2588:P2593))*(1+E2594)^3)</f>
        <v>50.789864154117865</v>
      </c>
      <c r="Y2584" s="25" t="s">
        <v>39</v>
      </c>
      <c r="Z2584" s="39" t="s">
        <v>19</v>
      </c>
      <c r="AA2584" s="1">
        <f>Z2582/((AVERAGE(P2588:P2593))*(1+E2594)^3)</f>
        <v>50.789864154117865</v>
      </c>
    </row>
    <row r="2585" spans="1:27">
      <c r="B2585" s="13">
        <v>3</v>
      </c>
      <c r="C2585" s="14" t="s">
        <v>20</v>
      </c>
      <c r="D2585" s="15" cm="1">
        <f t="array" ref="D2585">_xlfn.SINGLE(IF(A2591=A2592,_xll.ciqfunctions.udf.CIQ(A2583,"IQ_TOTAL_REV",IQ_FY-8)/I2585, _xll.ciqfunctions.udf.CIQ(A2583, "IQ_TOTAL_REV",IQ_FY-7)/I2585))</f>
        <v>4.7928156820356067</v>
      </c>
      <c r="E2585" s="16">
        <f t="shared" si="691"/>
        <v>2.7746350060105975E-2</v>
      </c>
      <c r="F2585" s="15">
        <f>IF(A2591=A2592,_xll.ciqfunctions.udf.CIQ(A2583,"IQ_DILUT_EPS_EXCL",IQ_FY-8), _xll.ciqfunctions.udf.CIQ(A2583, "IQ_DILUT_EPS_EXCL",IQ_FY-7))</f>
        <v>-0.03</v>
      </c>
      <c r="G2585" s="15">
        <f>IF(A2591=A2592,_xll.ciqfunctions.udf.CIQ(A2583,"IQ_EBITDA_MARGIN",IQ_FY-8), _xll.ciqfunctions.udf.CIQ(A2583, "IQ_EBITDA_MARGIN",IQ_FY-7))</f>
        <v>7.1664000000000003</v>
      </c>
      <c r="H2585" s="15">
        <f>IF(A2591=A2592,_xll.ciqfunctions.udf.CIQ(A2583,"IQ_TOTAL_DIV_PAID_CF",IQ_FY-8)/-I2585, _xll.ciqfunctions.udf.CIQ(A2583, "IQ_TOTAL_DIV_PAID_CF",IQ_FY-7)/-I2585)</f>
        <v>0</v>
      </c>
      <c r="I2585" s="17">
        <f>IF(A2591=A2592,_xll.ciqfunctions.udf.CIQ(A2583,"IQ_TOTAL_OUTSTANDING_FILING_DATE",IQ_FY-8), _xll.ciqfunctions.udf.CIQ(A2583, "IQ_TOTAL_OUTSTANDING_FILING_DATE",IQ_FY-7))</f>
        <v>58.912759999999999</v>
      </c>
      <c r="J2585" s="17">
        <f>IF(A2591=A2592,_xll.ciqfunctions.udf.CIQ(A2583,"IQ_CASH_OPER",IQ_FY-8), _xll.ciqfunctions.udf.CIQ(A2583, "IQ_CASH_OPER",IQ_FY-7))</f>
        <v>36.122</v>
      </c>
      <c r="K2585" s="17">
        <f>IF(A2591=A2592,_xll.ciqfunctions.udf.CIQ(A2583,"IQ_CAPEX",IQ_FY-8), _xll.ciqfunctions.udf.CIQ(A2583, "IQ_CAPEX",IQ_FY-7))</f>
        <v>-8.64</v>
      </c>
      <c r="L2585" s="15">
        <f t="shared" si="688"/>
        <v>0.46648637748426658</v>
      </c>
      <c r="M2585" s="17">
        <f>IF(A2591=A2592,_xll.ciqfunctions.udf.CIQ(A2583,"IQ_TOTAL_DEBT_ISSUED",IQ_FY-8), _xll.ciqfunctions.udf.CIQ(A2583, "IQ_TOTAL_DEBT_ISSUED",IQ_FY-7))</f>
        <v>0</v>
      </c>
      <c r="N2585" s="17">
        <f>IF(A2591=A2592,_xll.ciqfunctions.udf.CIQ(A2583,"IQ_TOTAL_DEBT_REPAID",IQ_FY-8), _xll.ciqfunctions.udf.CIQ(A2583, "IQ_TOTAL_DEBT_REPAID",IQ_FY-7))</f>
        <v>0</v>
      </c>
      <c r="O2585" s="15">
        <f t="shared" si="689"/>
        <v>0</v>
      </c>
      <c r="P2585" s="15">
        <f t="shared" si="690"/>
        <v>0.46648637748426658</v>
      </c>
      <c r="Q2585" s="25" t="s">
        <v>21</v>
      </c>
      <c r="R2585" s="38" t="s">
        <v>49</v>
      </c>
      <c r="S2585" s="2">
        <f>(R2582*I2593)/1000</f>
        <v>2.9603312599999998</v>
      </c>
      <c r="U2585" s="25" t="s">
        <v>59</v>
      </c>
      <c r="V2585" s="38" t="s">
        <v>49</v>
      </c>
      <c r="W2585" s="2">
        <f>(V2582*I2593)/1000</f>
        <v>2.9603312599999998</v>
      </c>
      <c r="Y2585" s="25" t="s">
        <v>46</v>
      </c>
      <c r="Z2585" s="38" t="s">
        <v>49</v>
      </c>
      <c r="AA2585" s="2">
        <f>(Z2582*I2593)/1000</f>
        <v>2.9603312599999998</v>
      </c>
    </row>
    <row r="2586" spans="1:27">
      <c r="A2586" s="18"/>
      <c r="B2586" s="13">
        <v>4</v>
      </c>
      <c r="C2586" s="14" t="s">
        <v>22</v>
      </c>
      <c r="D2586" s="15" cm="1">
        <f t="array" ref="D2586">_xlfn.SINGLE(IF(A2591=A2592,_xll.ciqfunctions.udf.CIQ(A2583,"IQ_TOTAL_REV",IQ_FY-7)/I2586, _xll.ciqfunctions.udf.CIQ(A2583, "IQ_TOTAL_REV",IQ_FY-6)/I2586))</f>
        <v>5.3575642880220613</v>
      </c>
      <c r="E2586" s="16">
        <f t="shared" si="691"/>
        <v>0.11783232309626276</v>
      </c>
      <c r="F2586" s="15">
        <f>IF(A2591=A2592,_xll.ciqfunctions.udf.CIQ(A2583,"IQ_DILUT_EPS_EXCL",IQ_FY-7), _xll.ciqfunctions.udf.CIQ(A2583, "IQ_DILUT_EPS_EXCL",IQ_FY-6))</f>
        <v>-0.10097</v>
      </c>
      <c r="G2586" s="15">
        <f>IF(A2591=A2592,_xll.ciqfunctions.udf.CIQ(A2583,"IQ_EBITDA_MARGIN",IQ_FY-7), _xll.ciqfunctions.udf.CIQ(A2583, "IQ_EBITDA_MARGIN",IQ_FY-6))</f>
        <v>9.1447000000000003</v>
      </c>
      <c r="H2586" s="15">
        <f>IF(A2591=A2592,_xll.ciqfunctions.udf.CIQ(A2583,"IQ_TOTAL_DIV_PAID_CF",IQ_FY-7)/-I2586, _xll.ciqfunctions.udf.CIQ(A2583, "IQ_TOTAL_DIV_PAID_CF",IQ_FY-6)/-I2586)</f>
        <v>0</v>
      </c>
      <c r="I2586" s="17">
        <f>IF(A2591=A2592,_xll.ciqfunctions.udf.CIQ(A2583,"IQ_TOTAL_OUTSTANDING_FILING_DATE",IQ_FY-7), _xll.ciqfunctions.udf.CIQ(A2583, "IQ_TOTAL_OUTSTANDING_FILING_DATE",IQ_FY-6))</f>
        <v>71.652150000000006</v>
      </c>
      <c r="J2586" s="17">
        <f>IF(A2591=A2592,_xll.ciqfunctions.udf.CIQ(A2583,"IQ_CASH_OPER",IQ_FY-7), _xll.ciqfunctions.udf.CIQ(A2583, "IQ_CASH_OPER",IQ_FY-6))</f>
        <v>17.422999999999998</v>
      </c>
      <c r="K2586" s="17">
        <f>IF(A2591=A2592,_xll.ciqfunctions.udf.CIQ(A2583,"IQ_CAPEX",IQ_FY-7), _xll.ciqfunctions.udf.CIQ(A2583, "IQ_CAPEX",IQ_FY-6))</f>
        <v>-11.521000000000001</v>
      </c>
      <c r="L2586" s="15">
        <f t="shared" si="688"/>
        <v>8.2370173121113555E-2</v>
      </c>
      <c r="M2586" s="17">
        <f>IF(A2591=A2592,_xll.ciqfunctions.udf.CIQ(A2583,"IQ_TOTAL_DEBT_ISSUED",IQ_FY-7), _xll.ciqfunctions.udf.CIQ(A2583, "IQ_TOTAL_DEBT_ISSUED",IQ_FY-6))</f>
        <v>150</v>
      </c>
      <c r="N2586" s="17">
        <f>IF(A2591=A2592,_xll.ciqfunctions.udf.CIQ(A2583,"IQ_TOTAL_DEBT_REPAID",IQ_FY-7), _xll.ciqfunctions.udf.CIQ(A2583, "IQ_TOTAL_DEBT_REPAID",IQ_FY-6))</f>
        <v>-10.625</v>
      </c>
      <c r="O2586" s="15">
        <f t="shared" si="689"/>
        <v>1.9451614501449013</v>
      </c>
      <c r="P2586" s="15">
        <f t="shared" si="690"/>
        <v>2.027531623266015</v>
      </c>
      <c r="Q2586" s="25" t="s">
        <v>23</v>
      </c>
      <c r="R2586" s="38" t="s">
        <v>24</v>
      </c>
      <c r="S2586" s="1" t="e">
        <f>R2582/(AVERAGE(H2588:H2593)*(1+H2594)/(0.5-H2594))</f>
        <v>#DIV/0!</v>
      </c>
      <c r="U2586" s="25" t="s">
        <v>40</v>
      </c>
      <c r="V2586" s="38" t="s">
        <v>24</v>
      </c>
      <c r="W2586" s="1" t="e">
        <f>V2582/(AVERAGE(H2588:H2593)*(1+H2594)/(0.5-H2594))</f>
        <v>#DIV/0!</v>
      </c>
      <c r="Y2586" s="25" t="s">
        <v>47</v>
      </c>
      <c r="Z2586" s="38" t="s">
        <v>24</v>
      </c>
      <c r="AA2586" s="1" t="e">
        <f>Z2582/(AVERAGE(H2588:H2593)*(1+H2594)/(0.5-H2594))</f>
        <v>#DIV/0!</v>
      </c>
    </row>
    <row r="2587" spans="1:27">
      <c r="B2587" s="13">
        <v>5</v>
      </c>
      <c r="C2587" s="14" t="s">
        <v>25</v>
      </c>
      <c r="D2587" s="15" cm="1">
        <f t="array" ref="D2587">_xlfn.SINGLE(IF(A2591=A2592,_xll.ciqfunctions.udf.CIQ(A2583,"IQ_TOTAL_REV",IQ_FY-6)/I2587, _xll.ciqfunctions.udf.CIQ(A2583, "IQ_TOTAL_REV",IQ_FY-5)/I2587))</f>
        <v>7.5179902860131973</v>
      </c>
      <c r="E2587" s="16">
        <f t="shared" si="691"/>
        <v>0.40324779729124544</v>
      </c>
      <c r="F2587" s="15">
        <f>IF(A2591=A2592,_xll.ciqfunctions.udf.CIQ(A2583,"IQ_DILUT_EPS_EXCL",IQ_FY-6), _xll.ciqfunctions.udf.CIQ(A2583, "IQ_DILUT_EPS_EXCL",IQ_FY-5))</f>
        <v>0.55000000000000004</v>
      </c>
      <c r="G2587" s="15">
        <f>IF(A2591=A2592,_xll.ciqfunctions.udf.CIQ(A2583,"IQ_EBITDA_MARGIN",IQ_FY-6), _xll.ciqfunctions.udf.CIQ(A2583, "IQ_EBITDA_MARGIN",IQ_FY-5))</f>
        <v>16.671900000000001</v>
      </c>
      <c r="H2587" s="15">
        <f>IF(A2591=A2592,_xll.ciqfunctions.udf.CIQ(A2583,"IQ_TOTAL_DIV_PAID_CF",IQ_FY-6)/-I2587, _xll.ciqfunctions.udf.CIQ(A2583, "IQ_TOTAL_DIV_PAID_CF",IQ_FY-5)/-I2587)</f>
        <v>0</v>
      </c>
      <c r="I2587" s="17">
        <f>IF(A2591=A2592,_xll.ciqfunctions.udf.CIQ(A2583,"IQ_TOTAL_OUTSTANDING_FILING_DATE",IQ_FY-6), _xll.ciqfunctions.udf.CIQ(A2583, "IQ_TOTAL_OUTSTANDING_FILING_DATE",IQ_FY-5))</f>
        <v>72.950479999999999</v>
      </c>
      <c r="J2587" s="17">
        <f>IF(A2591=A2592,_xll.ciqfunctions.udf.CIQ(A2583,"IQ_CASH_OPER",IQ_FY-6), _xll.ciqfunctions.udf.CIQ(A2583, "IQ_CASH_OPER",IQ_FY-5))</f>
        <v>86.322999999999993</v>
      </c>
      <c r="K2587" s="17">
        <f>IF(A2591=A2592,_xll.ciqfunctions.udf.CIQ(A2583,"IQ_CAPEX",IQ_FY-6), _xll.ciqfunctions.udf.CIQ(A2583, "IQ_CAPEX",IQ_FY-5))</f>
        <v>-17.756</v>
      </c>
      <c r="L2587" s="15">
        <f t="shared" si="688"/>
        <v>0.9399115674084666</v>
      </c>
      <c r="M2587" s="17">
        <f>IF(A2591=A2592,_xll.ciqfunctions.udf.CIQ(A2583,"IQ_TOTAL_DEBT_ISSUED",IQ_FY-6), _xll.ciqfunctions.udf.CIQ(A2583, "IQ_TOTAL_DEBT_ISSUED",IQ_FY-5))</f>
        <v>0</v>
      </c>
      <c r="N2587" s="17">
        <f>IF(A2591=A2592,_xll.ciqfunctions.udf.CIQ(A2583,"IQ_TOTAL_DEBT_REPAID",IQ_FY-6), _xll.ciqfunctions.udf.CIQ(A2583, "IQ_TOTAL_DEBT_REPAID",IQ_FY-5))</f>
        <v>-33.125</v>
      </c>
      <c r="O2587" s="15">
        <f t="shared" si="689"/>
        <v>-0.45407514796338561</v>
      </c>
      <c r="P2587" s="15">
        <f t="shared" si="690"/>
        <v>0.48583641944508099</v>
      </c>
      <c r="Q2587" s="18"/>
      <c r="R2587" s="38" t="s">
        <v>50</v>
      </c>
      <c r="S2587" s="3">
        <f>I2594</f>
        <v>8.873399152742989E-3</v>
      </c>
      <c r="U2587" s="18"/>
      <c r="V2587" s="38" t="s">
        <v>50</v>
      </c>
      <c r="W2587" s="3">
        <f>I2594</f>
        <v>8.873399152742989E-3</v>
      </c>
      <c r="Y2587" s="18"/>
      <c r="Z2587" s="38" t="s">
        <v>50</v>
      </c>
      <c r="AA2587" s="3">
        <f>I2594</f>
        <v>8.873399152742989E-3</v>
      </c>
    </row>
    <row r="2588" spans="1:27">
      <c r="B2588" s="13">
        <v>6</v>
      </c>
      <c r="C2588" s="14" t="s">
        <v>26</v>
      </c>
      <c r="D2588" s="15" cm="1">
        <f t="array" ref="D2588">_xlfn.SINGLE(IF(A2591=A2592,_xll.ciqfunctions.udf.CIQ(A2583,"IQ_TOTAL_REV",IQ_FY-5)/I2588, _xll.ciqfunctions.udf.CIQ(A2583, "IQ_TOTAL_REV",IQ_FY-4)/I2588))</f>
        <v>7.1117887120368373</v>
      </c>
      <c r="E2588" s="16">
        <f t="shared" si="691"/>
        <v>-5.4030606388528524E-2</v>
      </c>
      <c r="F2588" s="15">
        <f>IF(A2591=A2592,_xll.ciqfunctions.udf.CIQ(A2583,"IQ_DILUT_EPS_EXCL",IQ_FY-5), _xll.ciqfunctions.udf.CIQ(A2583, "IQ_DILUT_EPS_EXCL",IQ_FY-4))</f>
        <v>1.38</v>
      </c>
      <c r="G2588" s="15">
        <f>IF(A2591=A2592,_xll.ciqfunctions.udf.CIQ(A2583,"IQ_EBITDA_MARGIN",IQ_FY-5), _xll.ciqfunctions.udf.CIQ(A2583, "IQ_EBITDA_MARGIN",IQ_FY-4))</f>
        <v>15.065</v>
      </c>
      <c r="H2588" s="15">
        <f>IF(A2591=A2592,_xll.ciqfunctions.udf.CIQ(A2583,"IQ_TOTAL_DIV_PAID_CF",IQ_FY-5)/-I2588, _xll.ciqfunctions.udf.CIQ(A2583, "IQ_TOTAL_DIV_PAID_CF",IQ_FY-4)/-I2588)</f>
        <v>0</v>
      </c>
      <c r="I2588" s="17">
        <f>IF(A2591=A2592,_xll.ciqfunctions.udf.CIQ(A2583,"IQ_TOTAL_OUTSTANDING_FILING_DATE",IQ_FY-5), _xll.ciqfunctions.udf.CIQ(A2583, "IQ_TOTAL_OUTSTANDING_FILING_DATE",IQ_FY-4))</f>
        <v>74.478449999999995</v>
      </c>
      <c r="J2588" s="17">
        <f>IF(A2591=A2592,_xll.ciqfunctions.udf.CIQ(A2583,"IQ_CASH_OPER",IQ_FY-5), _xll.ciqfunctions.udf.CIQ(A2583, "IQ_CASH_OPER",IQ_FY-4))</f>
        <v>68.7</v>
      </c>
      <c r="K2588" s="17">
        <f>IF(A2591=A2592,_xll.ciqfunctions.udf.CIQ(A2583,"IQ_CAPEX",IQ_FY-5), _xll.ciqfunctions.udf.CIQ(A2583, "IQ_CAPEX",IQ_FY-4))</f>
        <v>-19.869</v>
      </c>
      <c r="L2588" s="15">
        <f t="shared" si="688"/>
        <v>0.65563931580208779</v>
      </c>
      <c r="M2588" s="17">
        <f>IF(A2591=A2592,_xll.ciqfunctions.udf.CIQ(A2583,"IQ_TOTAL_DEBT_ISSUED",IQ_FY-5), _xll.ciqfunctions.udf.CIQ(A2583, "IQ_TOTAL_DEBT_ISSUED",IQ_FY-4))</f>
        <v>0</v>
      </c>
      <c r="N2588" s="17">
        <f>IF(A2591=A2592,_xll.ciqfunctions.udf.CIQ(A2583,"IQ_TOTAL_DEBT_REPAID",IQ_FY-5), _xll.ciqfunctions.udf.CIQ(A2583, "IQ_TOTAL_DEBT_REPAID",IQ_FY-4))</f>
        <v>-41.25</v>
      </c>
      <c r="O2588" s="15">
        <f t="shared" si="689"/>
        <v>-0.55385148321427213</v>
      </c>
      <c r="P2588" s="15">
        <f t="shared" si="690"/>
        <v>0.10178783258781565</v>
      </c>
      <c r="Q2588" s="25" t="s">
        <v>27</v>
      </c>
      <c r="R2588" s="38" t="s">
        <v>51</v>
      </c>
      <c r="S2588" s="4">
        <f>AVERAGE(F2588:F2593)/AVERAGE(D2588:D2593)</f>
        <v>8.6806667724682707E-2</v>
      </c>
      <c r="U2588" s="25" t="s">
        <v>58</v>
      </c>
      <c r="V2588" s="38" t="s">
        <v>51</v>
      </c>
      <c r="W2588" s="4">
        <f>AVERAGE(F2588:F2593)/AVERAGE(D2588:D2593)</f>
        <v>8.6806667724682707E-2</v>
      </c>
      <c r="Y2588" s="25" t="s">
        <v>56</v>
      </c>
      <c r="Z2588" s="38" t="s">
        <v>51</v>
      </c>
      <c r="AA2588" s="4">
        <f>AVERAGE(F2588:F2593)/AVERAGE(D2588:D2593)</f>
        <v>8.6806667724682707E-2</v>
      </c>
    </row>
    <row r="2589" spans="1:27">
      <c r="A2589" s="18"/>
      <c r="B2589" s="13">
        <v>7</v>
      </c>
      <c r="C2589" s="14" t="s">
        <v>28</v>
      </c>
      <c r="D2589" s="15" cm="1">
        <f t="array" ref="D2589">_xlfn.SINGLE(IF(A2591=A2592,_xll.ciqfunctions.udf.CIQ(A2583,"IQ_TOTAL_REV",IQ_FY-4)/I2589, _xll.ciqfunctions.udf.CIQ(A2583, "IQ_TOTAL_REV",IQ_FY-3)/I2589))</f>
        <v>7.7410214753909141</v>
      </c>
      <c r="E2589" s="16">
        <f t="shared" si="691"/>
        <v>8.8477426542367385E-2</v>
      </c>
      <c r="F2589" s="15">
        <f>IF(A2591=A2592,_xll.ciqfunctions.udf.CIQ(A2583,"IQ_DILUT_EPS_EXCL",IQ_FY-4), _xll.ciqfunctions.udf.CIQ(A2583, "IQ_DILUT_EPS_EXCL",IQ_FY-3))</f>
        <v>0.51</v>
      </c>
      <c r="G2589" s="15">
        <f>IF(A2591=A2592,_xll.ciqfunctions.udf.CIQ(A2583,"IQ_EBITDA_MARGIN",IQ_FY-4), _xll.ciqfunctions.udf.CIQ(A2583, "IQ_EBITDA_MARGIN",IQ_FY-3))</f>
        <v>16.113600000000002</v>
      </c>
      <c r="H2589" s="15">
        <f>IF(A2591=A2592,_xll.ciqfunctions.udf.CIQ(A2583,"IQ_TOTAL_DIV_PAID_CF",IQ_FY-4)/-I2589, _xll.ciqfunctions.udf.CIQ(A2583, "IQ_TOTAL_DIV_PAID_CF",IQ_FY-3)/-I2589)</f>
        <v>0</v>
      </c>
      <c r="I2589" s="17">
        <f>IF(A2591=A2592,_xll.ciqfunctions.udf.CIQ(A2583,"IQ_TOTAL_OUTSTANDING_FILING_DATE",IQ_FY-4), _xll.ciqfunctions.udf.CIQ(A2583, "IQ_TOTAL_OUTSTANDING_FILING_DATE",IQ_FY-3))</f>
        <v>76.148089999999996</v>
      </c>
      <c r="J2589" s="17">
        <f>IF(A2591=A2592,_xll.ciqfunctions.udf.CIQ(A2583,"IQ_CASH_OPER",IQ_FY-4), _xll.ciqfunctions.udf.CIQ(A2583, "IQ_CASH_OPER",IQ_FY-3))</f>
        <v>121.048</v>
      </c>
      <c r="K2589" s="17">
        <f>IF(A2591=A2592,_xll.ciqfunctions.udf.CIQ(A2583,"IQ_CAPEX",IQ_FY-4), _xll.ciqfunctions.udf.CIQ(A2583, "IQ_CAPEX",IQ_FY-3))</f>
        <v>-20.847000000000001</v>
      </c>
      <c r="L2589" s="15">
        <f t="shared" si="688"/>
        <v>1.3158701682471616</v>
      </c>
      <c r="M2589" s="17">
        <f>IF(A2591=A2592,_xll.ciqfunctions.udf.CIQ(A2583,"IQ_TOTAL_DEBT_ISSUED",IQ_FY-4), _xll.ciqfunctions.udf.CIQ(A2583, "IQ_TOTAL_DEBT_ISSUED",IQ_FY-3))</f>
        <v>23.353999999999999</v>
      </c>
      <c r="N2589" s="17">
        <f>IF(A2591=A2592,_xll.ciqfunctions.udf.CIQ(A2583,"IQ_TOTAL_DEBT_REPAID",IQ_FY-4), _xll.ciqfunctions.udf.CIQ(A2583, "IQ_TOTAL_DEBT_REPAID",IQ_FY-3))</f>
        <v>-30</v>
      </c>
      <c r="O2589" s="15">
        <f t="shared" si="689"/>
        <v>-8.7277304000665037E-2</v>
      </c>
      <c r="P2589" s="15">
        <f t="shared" si="690"/>
        <v>1.2285928642464965</v>
      </c>
      <c r="Q2589" s="18"/>
      <c r="R2589" s="38" t="s">
        <v>29</v>
      </c>
      <c r="S2589" s="4">
        <f>(AVERAGE(P2588:P2593)/_xlfn.STDEV.P(P2588:P2593))/(IF(A2591=A2592,(_xlfn.SINGLE(_xll.ciqfunctions.udf.CIQ(A2583,"IQ_total_assets",IQ_FY)) - _xlfn.SINGLE(_xll.ciqfunctions.udf.CIQ(A2583,"iq_gw_intan", IQ_FY)))/I2593, (_xlfn.SINGLE(_xll.ciqfunctions.udf.CIQ(A2583, "IQ_total_assets",IQ_LTM))-_xlfn.SINGLE(_xll.ciqfunctions.udf.CIQ(A2583,"iq_gw_intan",IQ_LTM)))/I2593))</f>
        <v>0.13714843167566174</v>
      </c>
      <c r="U2589" s="18"/>
      <c r="V2589" s="38" t="s">
        <v>29</v>
      </c>
      <c r="W2589" s="4">
        <f>(AVERAGE(P2588:P2593)/_xlfn.STDEV.P(P2588:P2593))/(IF(A2591=A2592,(_xlfn.SINGLE(_xll.ciqfunctions.udf.CIQ(A2583,"IQ_total_assets",IQ_FY)) - _xlfn.SINGLE(_xll.ciqfunctions.udf.CIQ(A2583,"iq_gw_intan", IQ_FY)))/I2593, (_xlfn.SINGLE(_xll.ciqfunctions.udf.CIQ(A2583, "IQ_total_assets",IQ_LTM))-_xlfn.SINGLE(_xll.ciqfunctions.udf.CIQ(A2583,"iq_gw_intan",IQ_LTM)))/I2593))</f>
        <v>0.13714843167566174</v>
      </c>
      <c r="Y2589" s="18"/>
      <c r="Z2589" s="38" t="s">
        <v>29</v>
      </c>
      <c r="AA2589" s="4">
        <f>(AVERAGE(P2588:P2593)/_xlfn.STDEV.P(P2588:P2593))/(IF(A2591=A2592,(_xlfn.SINGLE(_xll.ciqfunctions.udf.CIQ(A2583,"IQ_total_assets",IQ_FY)) - _xlfn.SINGLE(_xll.ciqfunctions.udf.CIQ(A2583,"iq_gw_intan", IQ_FY)))/I2593, (_xlfn.SINGLE(_xll.ciqfunctions.udf.CIQ(A2583, "IQ_total_assets",IQ_LTM))-_xlfn.SINGLE(_xll.ciqfunctions.udf.CIQ(A2583,"iq_gw_intan",IQ_LTM)))/I2593))</f>
        <v>0.13714843167566174</v>
      </c>
    </row>
    <row r="2590" spans="1:27">
      <c r="A2590" s="18"/>
      <c r="B2590" s="13">
        <v>8</v>
      </c>
      <c r="C2590" s="14" t="s">
        <v>30</v>
      </c>
      <c r="D2590" s="15" cm="1">
        <f t="array" ref="D2590">_xlfn.SINGLE(IF(A2591=A2592,_xll.ciqfunctions.udf.CIQ(A2583,"IQ_TOTAL_REV",IQ_FY-3)/I2590, _xll.ciqfunctions.udf.CIQ(A2583, "IQ_TOTAL_REV",IQ_FY-2)/I2590))</f>
        <v>8.9211164360190249</v>
      </c>
      <c r="E2590" s="16">
        <f t="shared" si="691"/>
        <v>0.15244693021194819</v>
      </c>
      <c r="F2590" s="15">
        <f>IF(A2591=A2592,_xll.ciqfunctions.udf.CIQ(A2583,"IQ_DILUT_EPS_EXCL",IQ_FY-3), _xll.ciqfunctions.udf.CIQ(A2583, "IQ_DILUT_EPS_EXCL",IQ_FY-2))</f>
        <v>0.99</v>
      </c>
      <c r="G2590" s="15">
        <f>IF(A2591=A2592,_xll.ciqfunctions.udf.CIQ(A2583,"IQ_EBITDA_MARGIN",IQ_FY-3), _xll.ciqfunctions.udf.CIQ(A2583, "IQ_EBITDA_MARGIN",IQ_FY-2))</f>
        <v>19.2197</v>
      </c>
      <c r="H2590" s="15">
        <f>IF(A2591=A2592,_xll.ciqfunctions.udf.CIQ(A2583,"IQ_TOTAL_DIV_PAID_CF",IQ_FY-3)/-I2590, _xll.ciqfunctions.udf.CIQ(A2583, "IQ_TOTAL_DIV_PAID_CF",IQ_FY-2)/-I2590)</f>
        <v>0</v>
      </c>
      <c r="I2590" s="17">
        <f>IF(A2591=A2592,_xll.ciqfunctions.udf.CIQ(A2583,"IQ_TOTAL_OUTSTANDING_FILING_DATE",IQ_FY-3), _xll.ciqfunctions.udf.CIQ(A2583, "IQ_TOTAL_OUTSTANDING_FILING_DATE",IQ_FY-2))</f>
        <v>77.74991</v>
      </c>
      <c r="J2590" s="17">
        <f>IF(A2591=A2592,_xll.ciqfunctions.udf.CIQ(A2583,"IQ_CASH_OPER",IQ_FY-3), _xll.ciqfunctions.udf.CIQ(A2583, "IQ_CASH_OPER",IQ_FY-2))</f>
        <v>169.256</v>
      </c>
      <c r="K2590" s="17">
        <f>IF(A2591=A2592,_xll.ciqfunctions.udf.CIQ(A2583,"IQ_CAPEX",IQ_FY-3), _xll.ciqfunctions.udf.CIQ(A2583, "IQ_CAPEX",IQ_FY-2))</f>
        <v>-55.865000000000002</v>
      </c>
      <c r="L2590" s="15">
        <f t="shared" si="688"/>
        <v>1.4584068328825075</v>
      </c>
      <c r="M2590" s="17">
        <f>IF(A2591=A2592,_xll.ciqfunctions.udf.CIQ(A2583,"IQ_TOTAL_DEBT_ISSUED",IQ_FY-3), _xll.ciqfunctions.udf.CIQ(A2583, "IQ_TOTAL_DEBT_ISSUED",IQ_FY-2))</f>
        <v>18</v>
      </c>
      <c r="N2590" s="17">
        <f>IF(A2591=A2592,_xll.ciqfunctions.udf.CIQ(A2583,"IQ_TOTAL_DEBT_REPAID",IQ_FY-3), _xll.ciqfunctions.udf.CIQ(A2583, "IQ_TOTAL_DEBT_REPAID",IQ_FY-2))</f>
        <v>-43.417000000000002</v>
      </c>
      <c r="O2590" s="15">
        <f t="shared" si="689"/>
        <v>-0.32690713082497463</v>
      </c>
      <c r="P2590" s="15">
        <f t="shared" si="690"/>
        <v>1.1314997020575328</v>
      </c>
      <c r="Q2590" s="18"/>
      <c r="R2590" s="39" t="s">
        <v>31</v>
      </c>
      <c r="S2590" s="5">
        <f>IF(NOT(D2583&gt;0),FALSE,SLOPE(G2583:G2593,B2583:B2593))</f>
        <v>1.5617499999999997</v>
      </c>
      <c r="U2590" s="18"/>
      <c r="V2590" s="39" t="s">
        <v>31</v>
      </c>
      <c r="W2590" s="5">
        <f>IF(NOT(D2583&gt;0),FALSE,SLOPE(G2583:G2593,B2583:B2593))</f>
        <v>1.5617499999999997</v>
      </c>
      <c r="Y2590" s="18"/>
      <c r="Z2590" s="39" t="s">
        <v>31</v>
      </c>
      <c r="AA2590" s="5" t="b">
        <f>IF(NOT(L2583&gt;0),FALSE,SLOPE(O2583:O2593,J2583:J2593))</f>
        <v>0</v>
      </c>
    </row>
    <row r="2591" spans="1:27">
      <c r="A2591" s="19">
        <f>_xll.ciqfunctions.udf.CIQ(A2583,"IQ_TOTAL_REV",IQ_FY)</f>
        <v>747.93700000000001</v>
      </c>
      <c r="B2591" s="13">
        <v>9</v>
      </c>
      <c r="C2591" s="14" t="s">
        <v>32</v>
      </c>
      <c r="D2591" s="15" cm="1">
        <f t="array" ref="D2591">_xlfn.SINGLE(IF(A2591=A2592,_xll.ciqfunctions.udf.CIQ(A2583,"IQ_TOTAL_REV",IQ_FY-2)/I2591, _xll.ciqfunctions.udf.CIQ(A2583, "IQ_TOTAL_REV",IQ_FY-1)/I2591))</f>
        <v>9.8255720139056262</v>
      </c>
      <c r="E2591" s="16">
        <f t="shared" si="691"/>
        <v>0.10138367595280565</v>
      </c>
      <c r="F2591" s="15">
        <f>IF(A2591=A2592,_xll.ciqfunctions.udf.CIQ(A2583,"IQ_DILUT_EPS_EXCL",IQ_FY-2), _xll.ciqfunctions.udf.CIQ(A2583, "IQ_DILUT_EPS_EXCL",IQ_FY-1))</f>
        <v>1.06</v>
      </c>
      <c r="G2591" s="15">
        <f>IF(A2591=A2592,_xll.ciqfunctions.udf.CIQ(A2583,"IQ_EBITDA_MARGIN",IQ_FY-2), _xll.ciqfunctions.udf.CIQ(A2583, "IQ_EBITDA_MARGIN",IQ_FY-1))</f>
        <v>19.151399999999999</v>
      </c>
      <c r="H2591" s="15">
        <f>IF(A2591=A2592,_xll.ciqfunctions.udf.CIQ(A2583,"IQ_TOTAL_DIV_PAID_CF",IQ_FY-2)/-I2591, _xll.ciqfunctions.udf.CIQ(A2583, "IQ_TOTAL_DIV_PAID_CF",IQ_FY-1)/-I2591)</f>
        <v>0</v>
      </c>
      <c r="I2591" s="17">
        <f>IF(A2591=A2592,_xll.ciqfunctions.udf.CIQ(A2583,"IQ_TOTAL_OUTSTANDING_FILING_DATE",IQ_FY-2), _xll.ciqfunctions.udf.CIQ(A2583, "IQ_TOTAL_OUTSTANDING_FILING_DATE",IQ_FY-1))</f>
        <v>78.333759999999998</v>
      </c>
      <c r="J2591" s="17">
        <f>IF(A2591=A2592,_xll.ciqfunctions.udf.CIQ(A2583,"IQ_CASH_OPER",IQ_FY-2), _xll.ciqfunctions.udf.CIQ(A2583, "IQ_CASH_OPER",IQ_FY-1))</f>
        <v>139.364</v>
      </c>
      <c r="K2591" s="17">
        <f>IF(A2591=A2592,_xll.ciqfunctions.udf.CIQ(A2583,"IQ_CAPEX",IQ_FY-2), _xll.ciqfunctions.udf.CIQ(A2583, "IQ_CAPEX",IQ_FY-1))</f>
        <v>-66.495999999999995</v>
      </c>
      <c r="L2591" s="15">
        <f t="shared" si="688"/>
        <v>0.93022472047811844</v>
      </c>
      <c r="M2591" s="17">
        <f>IF(A2591=A2592,_xll.ciqfunctions.udf.CIQ(A2583,"IQ_TOTAL_DEBT_ISSUED",IQ_FY-2), _xll.ciqfunctions.udf.CIQ(A2583, "IQ_TOTAL_DEBT_ISSUED",IQ_FY-1))</f>
        <v>0</v>
      </c>
      <c r="N2591" s="17">
        <f>IF(A2591=A2592,_xll.ciqfunctions.udf.CIQ(A2583,"IQ_TOTAL_DEBT_REPAID",IQ_FY-2), _xll.ciqfunctions.udf.CIQ(A2583, "IQ_TOTAL_DEBT_REPAID",IQ_FY-1))</f>
        <v>-9.3369999999999997</v>
      </c>
      <c r="O2591" s="15">
        <f t="shared" si="689"/>
        <v>-0.11919509544799076</v>
      </c>
      <c r="P2591" s="15">
        <f t="shared" si="690"/>
        <v>0.81102962503012765</v>
      </c>
      <c r="Q2591" s="25" t="s">
        <v>33</v>
      </c>
      <c r="R2591" s="38" t="s">
        <v>52</v>
      </c>
      <c r="S2591" s="4">
        <f>(AVERAGE(O2588:O2593)/AVERAGE(P2588:P2593))</f>
        <v>-0.30487357671815807</v>
      </c>
      <c r="U2591" s="25" t="s">
        <v>54</v>
      </c>
      <c r="V2591" s="38" t="s">
        <v>52</v>
      </c>
      <c r="W2591" s="4">
        <f>(AVERAGE(O2588:O2593)/AVERAGE(P2588:P2593))</f>
        <v>-0.30487357671815807</v>
      </c>
      <c r="Y2591" s="25" t="s">
        <v>60</v>
      </c>
      <c r="Z2591" s="38" t="s">
        <v>52</v>
      </c>
      <c r="AA2591" s="4">
        <f>(AVERAGE(O2588:O2593)/AVERAGE(P2588:P2593))</f>
        <v>-0.30487357671815807</v>
      </c>
    </row>
    <row r="2592" spans="1:27">
      <c r="A2592" s="19">
        <f>_xll.ciqfunctions.udf.CIQ(A2583,"IQ_TOTAL_REV",IQ_LTM)</f>
        <v>660.92600000000004</v>
      </c>
      <c r="B2592" s="13">
        <v>10</v>
      </c>
      <c r="C2592" s="14" t="s">
        <v>34</v>
      </c>
      <c r="D2592" s="15" cm="1">
        <f t="array" ref="D2592">_xlfn.SINGLE(IF(A2591=A2592,_xll.ciqfunctions.udf.CIQ(A2583,"IQ_TOTAL_REV",IQ_FY-1)/I2592, _xll.ciqfunctions.udf.CIQ(A2583, "IQ_TOTAL_REV",IQ_FY)/I2592))</f>
        <v>9.6957758894484734</v>
      </c>
      <c r="E2592" s="16">
        <f t="shared" si="691"/>
        <v>-1.3210032380146322E-2</v>
      </c>
      <c r="F2592" s="15">
        <f>IF(A2591=A2592,_xll.ciqfunctions.udf.CIQ(A2583,"IQ_DILUT_EPS_EXCL",IQ_FY-1), _xll.ciqfunctions.udf.CIQ(A2583, "IQ_DILUT_EPS_EXCL",IQ_FY))</f>
        <v>0.65</v>
      </c>
      <c r="G2592" s="15">
        <f>IF(A2591=A2592,_xll.ciqfunctions.udf.CIQ(A2583,"IQ_EBITDA_MARGIN",IQ_FY-1), _xll.ciqfunctions.udf.CIQ(A2583, "IQ_EBITDA_MARGIN",IQ_FY))</f>
        <v>14.555199999999999</v>
      </c>
      <c r="H2592" s="15">
        <f>IF(A2591=A2592,_xll.ciqfunctions.udf.CIQ(A2583,"IQ_TOTAL_DIV_PAID_CF",IQ_FY-1)/-I2592, _xll.ciqfunctions.udf.CIQ(A2583, "IQ_TOTAL_DIV_PAID_CF",IQ_FY)/-I2592)</f>
        <v>0</v>
      </c>
      <c r="I2592" s="17">
        <f>IF(A2591=A2592,_xll.ciqfunctions.udf.CIQ(A2583,"IQ_TOTAL_OUTSTANDING_FILING_DATE",IQ_FY-1), _xll.ciqfunctions.udf.CIQ(A2583, "IQ_TOTAL_OUTSTANDING_FILING_DATE",IQ_FY))</f>
        <v>77.140500000000003</v>
      </c>
      <c r="J2592" s="17">
        <f>IF(A2591=A2592,_xll.ciqfunctions.udf.CIQ(A2583,"IQ_CASH_OPER",IQ_FY-1), _xll.ciqfunctions.udf.CIQ(A2583, "IQ_CASH_OPER",IQ_FY))</f>
        <v>131.786</v>
      </c>
      <c r="K2592" s="17">
        <f>IF(A2591=A2592,_xll.ciqfunctions.udf.CIQ(A2583,"IQ_CAPEX",IQ_FY-1), _xll.ciqfunctions.udf.CIQ(A2583, "IQ_CAPEX",IQ_FY))</f>
        <v>-65.254000000000005</v>
      </c>
      <c r="L2592" s="15">
        <f t="shared" si="688"/>
        <v>0.86247820535257091</v>
      </c>
      <c r="M2592" s="17">
        <f>IF(A2591=A2592,_xll.ciqfunctions.udf.CIQ(A2583,"IQ_TOTAL_DEBT_ISSUED",IQ_FY-1), _xll.ciqfunctions.udf.CIQ(A2583, "IQ_TOTAL_DEBT_ISSUED",IQ_FY))</f>
        <v>0</v>
      </c>
      <c r="N2592" s="17">
        <f>IF(A2591=A2592,_xll.ciqfunctions.udf.CIQ(A2583,"IQ_TOTAL_DEBT_REPAID",IQ_FY-1), _xll.ciqfunctions.udf.CIQ(A2583, "IQ_TOTAL_DEBT_REPAID",IQ_FY))</f>
        <v>-8.3979999999999997</v>
      </c>
      <c r="O2592" s="15">
        <f t="shared" si="689"/>
        <v>-0.10886628943291785</v>
      </c>
      <c r="P2592" s="15">
        <f t="shared" si="690"/>
        <v>0.75361191591965304</v>
      </c>
      <c r="Q2592" s="25" t="s">
        <v>44</v>
      </c>
      <c r="R2592" s="38" t="s">
        <v>35</v>
      </c>
      <c r="S2592" s="1">
        <f>_xll.ciqfunctions.udf.CIQ(A2583,"IQ_TEV_EBITDA")</f>
        <v>59.649059999999999</v>
      </c>
      <c r="U2592" s="25" t="s">
        <v>55</v>
      </c>
      <c r="V2592" s="38" t="s">
        <v>53</v>
      </c>
      <c r="W2592" s="1">
        <f>V2582/(AVERAGE(D2588:D2593)/_xlfn.STDEV.P(E2588:E2593))</f>
        <v>0.42606971949899819</v>
      </c>
      <c r="Y2592" s="25" t="s">
        <v>57</v>
      </c>
      <c r="Z2592" s="38" t="s">
        <v>53</v>
      </c>
      <c r="AA2592" s="1">
        <f>Z2582/(AVERAGE(D2588:D2593)/_xlfn.STDEV.P(E2588:E2593))</f>
        <v>0.42606971949899819</v>
      </c>
    </row>
    <row r="2593" spans="1:27">
      <c r="B2593" s="13">
        <v>11</v>
      </c>
      <c r="C2593" s="20" t="s">
        <v>36</v>
      </c>
      <c r="D2593" s="21" cm="1">
        <f t="array" ref="D2593">_xlfn.SINGLE(IF(A2591=A2592,_xll.ciqfunctions.udf.CIQ(A2583,"IQ_TOTAL_REV",IQ_FY)/I2593, _xll.ciqfunctions.udf.CIQ(A2583, "IQ_TOTAL_REV",IQ_LTM)/I2593))</f>
        <v>8.4906091827034249</v>
      </c>
      <c r="E2593" s="22">
        <f t="shared" si="691"/>
        <v>-0.12429811914862671</v>
      </c>
      <c r="F2593" s="21">
        <f>IF(A2591=A2592,_xll.ciqfunctions.udf.CIQ(A2583,"IQ_DILUT_EPS_EXCL",IQ_FY), _xll.ciqfunctions.udf.CIQ(A2583, "IQ_DILUT_EPS_EXCL",IQ_LTM))</f>
        <v>-9.4640000000000002E-2</v>
      </c>
      <c r="G2593" s="21">
        <f>IF(A2591=A2592,_xll.ciqfunctions.udf.CIQ(A2583,"IQ_EBITDA_MARGIN",IQ_FY), _xll.ciqfunctions.udf.CIQ(A2583, "IQ_EBITDA_MARGIN",IQ_LTM))</f>
        <v>5.2862</v>
      </c>
      <c r="H2593" s="21">
        <f>IF(A2591=A2592,_xll.ciqfunctions.udf.CIQ(A2583,"IQ_TOTAL_DIV_PAID_CF",IQ_FY)/-I2593, _xll.ciqfunctions.udf.CIQ(A2583, "IQ_TOTAL_DIV_PAID_CF",IQ_LTM)/-I2593)</f>
        <v>0</v>
      </c>
      <c r="I2593" s="23">
        <f>IF(A2591=A2592,_xll.ciqfunctions.udf.CIQ(A2583,"IQ_TOTAL_OUTSTANDING_FILING_DATE",IQ_FY),_xll.ciqfunctions.udf.CIQ(A2583,"IQ_sharesoutstanding"))</f>
        <v>77.841999999999999</v>
      </c>
      <c r="J2593" s="23">
        <f>IF(A2591=A2592,_xll.ciqfunctions.udf.CIQ(A2583,"IQ_CASH_OPER",IQ_FY), _xll.ciqfunctions.udf.CIQ(A2583, "IQ_CASH_OPER",IQ_LTM))</f>
        <v>76.09</v>
      </c>
      <c r="K2593" s="23">
        <f>IF(A2591=A2592,_xll.ciqfunctions.udf.CIQ(A2583,"IQ_CAPEX",IQ_FY), _xll.ciqfunctions.udf.CIQ(A2583, "IQ_CAPEX",IQ_LTM))</f>
        <v>-72.323999999999998</v>
      </c>
      <c r="L2593" s="21">
        <f t="shared" si="688"/>
        <v>4.8380051900002642E-2</v>
      </c>
      <c r="M2593" s="23">
        <f>IF(A2591=A2592,_xll.ciqfunctions.udf.CIQ(A2583,"IQ_TOTAL_DEBT_ISSUED",IQ_FY), _xll.ciqfunctions.udf.CIQ(A2583, "IQ_TOTAL_DEBT_ISSUED",IQ_LTM))</f>
        <v>0</v>
      </c>
      <c r="N2593" s="23">
        <f>IF(A2591=A2592,_xll.ciqfunctions.udf.CIQ(A2583,"IQ_TOTAL_DEBT_REPAID",IQ_FY), _xll.ciqfunctions.udf.CIQ(A2583, "IQ_TOTAL_DEBT_REPAID",IQ_LTM))</f>
        <v>-2.758</v>
      </c>
      <c r="O2593" s="21">
        <f t="shared" si="689"/>
        <v>-3.5430744328254674E-2</v>
      </c>
      <c r="P2593" s="21">
        <f t="shared" si="690"/>
        <v>1.2949307571747969E-2</v>
      </c>
      <c r="Q2593" s="25" t="s">
        <v>45</v>
      </c>
      <c r="S2593" s="45"/>
      <c r="U2593" s="25"/>
      <c r="W2593" s="45"/>
      <c r="Y2593" s="25"/>
      <c r="AA2593" s="45"/>
    </row>
    <row r="2594" spans="1:27">
      <c r="B2594" s="24"/>
      <c r="C2594" s="25" t="s">
        <v>37</v>
      </c>
      <c r="E2594" s="26">
        <f>((D2593/D2588)^(1/5))-1</f>
        <v>3.6076924284569323E-2</v>
      </c>
      <c r="F2594" s="27">
        <f>((F2593/F2588)^(1/5))-1</f>
        <v>-1.5851121669836097</v>
      </c>
      <c r="G2594" s="28"/>
      <c r="H2594" s="27" t="e">
        <f>((H2593/H2588)^(1/5))-1</f>
        <v>#DIV/0!</v>
      </c>
      <c r="I2594" s="27">
        <f>((I2593/I2588)^(1/5))-1</f>
        <v>8.873399152742989E-3</v>
      </c>
      <c r="J2594" s="27"/>
      <c r="K2594" s="27"/>
      <c r="L2594" s="26">
        <f>((L2593/L2588)^(1/5))-1</f>
        <v>-0.40625458588857399</v>
      </c>
      <c r="M2594" s="26"/>
      <c r="N2594" s="26"/>
      <c r="O2594" s="26"/>
      <c r="P2594" s="26">
        <f>((P2593/P2588)^(1/5))-1</f>
        <v>-0.3379205077863372</v>
      </c>
      <c r="Q2594" s="18"/>
      <c r="R2594" s="36"/>
      <c r="S2594" s="45"/>
      <c r="U2594" s="18"/>
      <c r="V2594" s="36"/>
      <c r="W2594" s="45"/>
      <c r="Y2594" s="18"/>
      <c r="Z2594" s="36"/>
      <c r="AA2594" s="45"/>
    </row>
    <row r="2595" spans="1:27">
      <c r="A2595" s="29"/>
      <c r="B2595" s="30"/>
      <c r="C2595" s="31" t="s">
        <v>38</v>
      </c>
      <c r="D2595" s="29"/>
      <c r="E2595" s="32">
        <f>((D2593/D2583)^(1/10))-1</f>
        <v>7.3422450331470213E-2</v>
      </c>
      <c r="F2595" s="33">
        <f>((F2593/F2583)^(1/10))-1</f>
        <v>-0.2149343710101187</v>
      </c>
      <c r="G2595" s="34"/>
      <c r="H2595" s="33" t="e">
        <f>((H2593/H2583)^(1/10))-1</f>
        <v>#DIV/0!</v>
      </c>
      <c r="I2595" s="33">
        <f>((I2593/I2583)^(1/10))-1</f>
        <v>3.4625837093878564E-2</v>
      </c>
      <c r="J2595" s="33"/>
      <c r="K2595" s="33"/>
      <c r="L2595" s="32" t="e">
        <f>((L2593/L2583)^(1/10))-1</f>
        <v>#NUM!</v>
      </c>
      <c r="M2595" s="32"/>
      <c r="N2595" s="32"/>
      <c r="O2595" s="32"/>
      <c r="P2595" s="32" t="e">
        <f>((P2593/P2583)^(1/10))-1</f>
        <v>#NUM!</v>
      </c>
      <c r="Q2595" s="40"/>
      <c r="R2595" s="41"/>
      <c r="S2595" s="46"/>
      <c r="U2595" s="40"/>
      <c r="V2595" s="41"/>
      <c r="W2595" s="46"/>
      <c r="Y2595" s="40"/>
      <c r="Z2595" s="41"/>
      <c r="AA2595" s="46"/>
    </row>
    <row r="2596" spans="1:27">
      <c r="B2596" s="24"/>
      <c r="C2596" s="25"/>
      <c r="E2596" s="26"/>
      <c r="F2596" s="27"/>
      <c r="G2596" s="28"/>
      <c r="H2596" s="27"/>
      <c r="I2596" s="27"/>
      <c r="J2596" s="27"/>
      <c r="K2596" s="27"/>
      <c r="L2596" s="26"/>
      <c r="M2596" s="17"/>
      <c r="N2596" s="17"/>
      <c r="O2596" s="17"/>
      <c r="P2596" s="35"/>
      <c r="Q2596" s="18"/>
      <c r="R2596" s="36"/>
    </row>
    <row r="2597" spans="1:27">
      <c r="A2597" s="9" t="s">
        <v>0</v>
      </c>
      <c r="B2597" s="10"/>
      <c r="C2597" s="9" t="s">
        <v>1</v>
      </c>
      <c r="D2597" s="9" t="s">
        <v>2</v>
      </c>
      <c r="E2597" s="9" t="s">
        <v>3</v>
      </c>
      <c r="F2597" s="11" t="s">
        <v>4</v>
      </c>
      <c r="G2597" s="11" t="s">
        <v>5</v>
      </c>
      <c r="H2597" s="9" t="s">
        <v>6</v>
      </c>
      <c r="I2597" s="11" t="s">
        <v>7</v>
      </c>
      <c r="J2597" s="11" t="s">
        <v>8</v>
      </c>
      <c r="K2597" s="11" t="s">
        <v>9</v>
      </c>
      <c r="L2597" s="11" t="s">
        <v>10</v>
      </c>
      <c r="M2597" s="11" t="s">
        <v>11</v>
      </c>
      <c r="N2597" s="11" t="s">
        <v>12</v>
      </c>
      <c r="O2597" s="11" t="s">
        <v>13</v>
      </c>
      <c r="P2597" s="11" t="s">
        <v>14</v>
      </c>
      <c r="Q2597" s="37" t="s">
        <v>15</v>
      </c>
      <c r="R2597" s="42">
        <f>_xll.ciqfunctions.udf.CIQ(A2598,("IQ_LASTSALEPRICE"))</f>
        <v>27.04</v>
      </c>
      <c r="S2597" s="44"/>
      <c r="U2597" s="37" t="s">
        <v>15</v>
      </c>
      <c r="V2597" s="42">
        <f>_xll.ciqfunctions.udf.CIQ(A2598,("IQ_LASTSALEPRICE"))</f>
        <v>27.04</v>
      </c>
      <c r="W2597" s="44"/>
      <c r="Y2597" s="37" t="s">
        <v>15</v>
      </c>
      <c r="Z2597" s="42">
        <f>_xll.ciqfunctions.udf.CIQ(A2598,("IQ_LASTSALEPRICE"))</f>
        <v>27.04</v>
      </c>
      <c r="AA2597" s="44"/>
    </row>
    <row r="2598" spans="1:27">
      <c r="A2598" s="12" t="str">
        <f>Analysis!B175</f>
        <v>NasdaqGS:ICHR</v>
      </c>
      <c r="B2598" s="13">
        <v>1</v>
      </c>
      <c r="C2598" s="14" t="s">
        <v>16</v>
      </c>
      <c r="D2598" s="15" t="e">
        <f>IF(A2606=A2607,_xll.ciqfunctions.udf.CIQ(A2598,"IQ_TOTAL_REV",IQ_FY-10)/I2598,_xll.ciqfunctions.udf.CIQ(A2598, "IQ_TOTAL_REV",IQ_FY-9)/I2598)</f>
        <v>#DIV/0!</v>
      </c>
      <c r="E2598" s="16"/>
      <c r="F2598" s="15">
        <f>IF(A2606=A2607,_xll.ciqfunctions.udf.CIQ(A2598,"IQ_DILUT_EPS_EXCL",IQ_FY-10), _xll.ciqfunctions.udf.CIQ(A2598, "IQ_DILUT_EPS_EXCL",IQ_FY-9))</f>
        <v>0</v>
      </c>
      <c r="G2598" s="15">
        <f>IF(A2606=A2607,_xll.ciqfunctions.udf.CIQ(A2598,"IQ_EBITDA_MARGIN",IQ_FY-10), _xll.ciqfunctions.udf.CIQ(A2598, "IQ_EBITDA_MARGIN",IQ_FY-9))</f>
        <v>4.9513999999999996</v>
      </c>
      <c r="H2598" s="15" t="e">
        <f>IF(A2606=A2607,_xll.ciqfunctions.udf.CIQ(A2598,"IQ_TOTAL_DIV_PAID_CF",IQ_FY-10)/-I2598, _xll.ciqfunctions.udf.CIQ(A2598, "IQ_TOTAL_DIV_PAID_CF",IQ_FY-9)/-I2598)</f>
        <v>#DIV/0!</v>
      </c>
      <c r="I2598" s="17">
        <f>IF(A2606=A2607,_xll.ciqfunctions.udf.CIQ(A2598,"IQ_TOTAL_OUTSTANDING_FILING_DATE",IQ_FY-10), _xll.ciqfunctions.udf.CIQ(A2598, "IQ_TOTAL_OUTSTANDING_FILING_DATE",IQ_FY-9))</f>
        <v>0</v>
      </c>
      <c r="J2598" s="17">
        <f>IF(A2606=A2607,_xll.ciqfunctions.udf.CIQ(A2598,"IQ_CASH_OPER",IQ_FY-10), _xll.ciqfunctions.udf.CIQ(A2598, "IQ_CASH_OPER",IQ_FY-9))</f>
        <v>11.461</v>
      </c>
      <c r="K2598" s="17">
        <f>IF(A2606=A2607,_xll.ciqfunctions.udf.CIQ(A2598,"IQ_CAPEX",IQ_FY-10), _xll.ciqfunctions.udf.CIQ(A2598, "IQ_CAPEX",IQ_FY-9))</f>
        <v>-2.2759999999999998</v>
      </c>
      <c r="L2598" s="15" t="e">
        <f t="shared" ref="L2598:L2608" si="692">(J2598+K2598)/I2598</f>
        <v>#DIV/0!</v>
      </c>
      <c r="M2598" s="17">
        <f>IF(A2606=A2607,_xll.ciqfunctions.udf.CIQ(A2598,"IQ_TOTAL_DEBT_ISSUED",IQ_FY-10), _xll.ciqfunctions.udf.CIQ(A2598, "IQ_TOTAL_DEBT_ISSUED",IQ_FY-9))</f>
        <v>4.4180000000000001</v>
      </c>
      <c r="N2598" s="17">
        <f>IF(A2606=A2607,_xll.ciqfunctions.udf.CIQ(A2598,"IQ_TOTAL_DEBT_REPAID",IQ_FY-10), _xll.ciqfunctions.udf.CIQ(A2598, "IQ_TOTAL_DEBT_REPAID",IQ_FY-9))</f>
        <v>-5.766</v>
      </c>
      <c r="O2598" s="15" t="e">
        <f t="shared" ref="O2598:O2608" si="693">(M2598+N2598)/I2598</f>
        <v>#DIV/0!</v>
      </c>
      <c r="P2598" s="15" t="e">
        <f t="shared" ref="P2598:P2608" si="694">L2598+O2598</f>
        <v>#DIV/0!</v>
      </c>
      <c r="W2598" s="43"/>
      <c r="AA2598" s="43"/>
    </row>
    <row r="2599" spans="1:27">
      <c r="A2599" s="18" t="str">
        <f>_xll.ciqfunctions.udf.CIQ(A2598,"IQ_COMPANY_NAME")</f>
        <v>Ichor Holdings, Ltd.</v>
      </c>
      <c r="B2599" s="13">
        <v>2</v>
      </c>
      <c r="C2599" s="14" t="s">
        <v>17</v>
      </c>
      <c r="D2599" s="15">
        <f>IF(A2606=A2607,_xll.ciqfunctions.udf.CIQ(A2598,"IQ_TOTAL_REV",IQ_FY-9)/I2599, _xll.ciqfunctions.udf.CIQ(A2598, "IQ_TOTAL_REV",IQ_FY-8)/I2599)</f>
        <v>11129.892761394101</v>
      </c>
      <c r="E2599" s="16" t="e">
        <f t="shared" ref="E2599:E2608" si="695">(D2599-D2598)/D2598</f>
        <v>#DIV/0!</v>
      </c>
      <c r="F2599" s="15">
        <f>IF(A2606=A2607,_xll.ciqfunctions.udf.CIQ(A2598,"IQ_DILUT_EPS_EXCL",IQ_FY-9), _xll.ciqfunctions.udf.CIQ(A2598, "IQ_DILUT_EPS_EXCL",IQ_FY-8))</f>
        <v>0</v>
      </c>
      <c r="G2599" s="15">
        <f>IF(A2606=A2607,_xll.ciqfunctions.udf.CIQ(A2598,"IQ_EBITDA_MARGIN",IQ_FY-9), _xll.ciqfunctions.udf.CIQ(A2598, "IQ_EBITDA_MARGIN",IQ_FY-8))</f>
        <v>4.8296000000000001</v>
      </c>
      <c r="H2599" s="15">
        <f>IF(A2606=A2607,_xll.ciqfunctions.udf.CIQ(A2598,"IQ_TOTAL_DIV_PAID_CF",IQ_FY-9)/-I2599, _xll.ciqfunctions.udf.CIQ(A2598, "IQ_TOTAL_DIV_PAID_CF",IQ_FY-8)/-I2599)</f>
        <v>0</v>
      </c>
      <c r="I2599" s="17">
        <f>IF(A2606=A2607,_xll.ciqfunctions.udf.CIQ(A2598,"IQ_TOTAL_OUTSTANDING_FILING_DATE",IQ_FY-9), _xll.ciqfunctions.udf.CIQ(A2598, "IQ_TOTAL_OUTSTANDING_FILING_DATE",IQ_FY-8))</f>
        <v>2.2380000000000001E-2</v>
      </c>
      <c r="J2599" s="17">
        <f>IF(A2606=A2607,_xll.ciqfunctions.udf.CIQ(A2598,"IQ_CASH_OPER",IQ_FY-9), _xll.ciqfunctions.udf.CIQ(A2598, "IQ_CASH_OPER",IQ_FY-8))</f>
        <v>8.0909999999999993</v>
      </c>
      <c r="K2599" s="17">
        <f>IF(A2606=A2607,_xll.ciqfunctions.udf.CIQ(A2598,"IQ_CAPEX",IQ_FY-9), _xll.ciqfunctions.udf.CIQ(A2598, "IQ_CAPEX",IQ_FY-8))</f>
        <v>-3.468</v>
      </c>
      <c r="L2599" s="15">
        <f t="shared" si="692"/>
        <v>206.56836461126002</v>
      </c>
      <c r="M2599" s="17">
        <f>IF(A2606=A2607,_xll.ciqfunctions.udf.CIQ(A2598,"IQ_TOTAL_DEBT_ISSUED",IQ_FY-9), _xll.ciqfunctions.udf.CIQ(A2598, "IQ_TOTAL_DEBT_ISSUED",IQ_FY-8))</f>
        <v>9</v>
      </c>
      <c r="N2599" s="17">
        <f>IF(A2606=A2607,_xll.ciqfunctions.udf.CIQ(A2598,"IQ_TOTAL_DEBT_REPAID",IQ_FY-9), _xll.ciqfunctions.udf.CIQ(A2598, "IQ_TOTAL_DEBT_REPAID",IQ_FY-8))</f>
        <v>-12.25</v>
      </c>
      <c r="O2599" s="15">
        <f t="shared" si="693"/>
        <v>-145.21894548704199</v>
      </c>
      <c r="P2599" s="15">
        <f t="shared" si="694"/>
        <v>61.349419124218031</v>
      </c>
      <c r="Q2599" s="25" t="s">
        <v>18</v>
      </c>
      <c r="R2599" s="39" t="s">
        <v>19</v>
      </c>
      <c r="S2599" s="1">
        <f>R2597/((AVERAGE(P2603:P2608))*(1+E2609)^3)</f>
        <v>19.226221619763276</v>
      </c>
      <c r="U2599" s="25" t="s">
        <v>48</v>
      </c>
      <c r="V2599" s="39" t="s">
        <v>19</v>
      </c>
      <c r="W2599" s="1">
        <f>V2597/((AVERAGE(P2603:P2608))*(1+E2609)^3)</f>
        <v>19.226221619763276</v>
      </c>
      <c r="Y2599" s="25" t="s">
        <v>39</v>
      </c>
      <c r="Z2599" s="39" t="s">
        <v>19</v>
      </c>
      <c r="AA2599" s="1">
        <f>Z2597/((AVERAGE(P2603:P2608))*(1+E2609)^3)</f>
        <v>19.226221619763276</v>
      </c>
    </row>
    <row r="2600" spans="1:27">
      <c r="B2600" s="13">
        <v>3</v>
      </c>
      <c r="C2600" s="14" t="s">
        <v>20</v>
      </c>
      <c r="D2600" s="15" cm="1">
        <f t="array" ref="D2600">_xlfn.SINGLE(IF(A2606=A2607,_xll.ciqfunctions.udf.CIQ(A2598,"IQ_TOTAL_REV",IQ_FY-8)/I2600, _xll.ciqfunctions.udf.CIQ(A2598, "IQ_TOTAL_REV",IQ_FY-7)/I2600))</f>
        <v>4443.372573001071</v>
      </c>
      <c r="E2600" s="16">
        <f t="shared" si="695"/>
        <v>-0.6007713040673982</v>
      </c>
      <c r="F2600" s="15">
        <f>IF(A2606=A2607,_xll.ciqfunctions.udf.CIQ(A2598,"IQ_DILUT_EPS_EXCL",IQ_FY-8), _xll.ciqfunctions.udf.CIQ(A2598, "IQ_DILUT_EPS_EXCL",IQ_FY-7))</f>
        <v>-292.39215999999999</v>
      </c>
      <c r="G2600" s="15">
        <f>IF(A2606=A2607,_xll.ciqfunctions.udf.CIQ(A2598,"IQ_EBITDA_MARGIN",IQ_FY-8), _xll.ciqfunctions.udf.CIQ(A2598, "IQ_EBITDA_MARGIN",IQ_FY-7))</f>
        <v>7.3609</v>
      </c>
      <c r="H2600" s="15">
        <f>IF(A2606=A2607,_xll.ciqfunctions.udf.CIQ(A2598,"IQ_TOTAL_DIV_PAID_CF",IQ_FY-8)/-I2600, _xll.ciqfunctions.udf.CIQ(A2598, "IQ_TOTAL_DIV_PAID_CF",IQ_FY-7)/-I2600)</f>
        <v>338.28160831677116</v>
      </c>
      <c r="I2600" s="17">
        <f>IF(A2606=A2607,_xll.ciqfunctions.udf.CIQ(A2598,"IQ_TOTAL_OUTSTANDING_FILING_DATE",IQ_FY-8), _xll.ciqfunctions.udf.CIQ(A2598, "IQ_TOTAL_OUTSTANDING_FILING_DATE",IQ_FY-7))</f>
        <v>6.5409999999999996E-2</v>
      </c>
      <c r="J2600" s="17">
        <f>IF(A2606=A2607,_xll.ciqfunctions.udf.CIQ(A2598,"IQ_CASH_OPER",IQ_FY-8), _xll.ciqfunctions.udf.CIQ(A2598, "IQ_CASH_OPER",IQ_FY-7))</f>
        <v>26.69</v>
      </c>
      <c r="K2600" s="17">
        <f>IF(A2606=A2607,_xll.ciqfunctions.udf.CIQ(A2598,"IQ_CAPEX",IQ_FY-8), _xll.ciqfunctions.udf.CIQ(A2598, "IQ_CAPEX",IQ_FY-7))</f>
        <v>-1.367</v>
      </c>
      <c r="L2600" s="15">
        <f t="shared" si="692"/>
        <v>387.1426387402538</v>
      </c>
      <c r="M2600" s="17">
        <f>IF(A2606=A2607,_xll.ciqfunctions.udf.CIQ(A2598,"IQ_TOTAL_DEBT_ISSUED",IQ_FY-8), _xll.ciqfunctions.udf.CIQ(A2598, "IQ_TOTAL_DEBT_ISSUED",IQ_FY-7))</f>
        <v>79</v>
      </c>
      <c r="N2600" s="17">
        <f>IF(A2606=A2607,_xll.ciqfunctions.udf.CIQ(A2598,"IQ_TOTAL_DEBT_REPAID",IQ_FY-8), _xll.ciqfunctions.udf.CIQ(A2598, "IQ_TOTAL_DEBT_REPAID",IQ_FY-7))</f>
        <v>-69.75</v>
      </c>
      <c r="O2600" s="15">
        <f t="shared" si="693"/>
        <v>141.41568567497325</v>
      </c>
      <c r="P2600" s="15">
        <f t="shared" si="694"/>
        <v>528.55832441522705</v>
      </c>
      <c r="Q2600" s="25" t="s">
        <v>21</v>
      </c>
      <c r="R2600" s="38" t="s">
        <v>49</v>
      </c>
      <c r="S2600" s="2">
        <f>(R2597*I2608)/1000</f>
        <v>0.79443601120000007</v>
      </c>
      <c r="U2600" s="25" t="s">
        <v>59</v>
      </c>
      <c r="V2600" s="38" t="s">
        <v>49</v>
      </c>
      <c r="W2600" s="2">
        <f>(V2597*I2608)/1000</f>
        <v>0.79443601120000007</v>
      </c>
      <c r="Y2600" s="25" t="s">
        <v>46</v>
      </c>
      <c r="Z2600" s="38" t="s">
        <v>49</v>
      </c>
      <c r="AA2600" s="2">
        <f>(Z2597*I2608)/1000</f>
        <v>0.79443601120000007</v>
      </c>
    </row>
    <row r="2601" spans="1:27">
      <c r="A2601" s="18"/>
      <c r="B2601" s="13">
        <v>4</v>
      </c>
      <c r="C2601" s="14" t="s">
        <v>22</v>
      </c>
      <c r="D2601" s="15" cm="1">
        <f t="array" ref="D2601">_xlfn.SINGLE(IF(A2606=A2607,_xll.ciqfunctions.udf.CIQ(A2598,"IQ_TOTAL_REV",IQ_FY-7)/I2601, _xll.ciqfunctions.udf.CIQ(A2598, "IQ_TOTAL_REV",IQ_FY-6)/I2601))</f>
        <v>16.389897850695917</v>
      </c>
      <c r="E2601" s="16">
        <f t="shared" si="695"/>
        <v>-0.9963113833959627</v>
      </c>
      <c r="F2601" s="15">
        <f>IF(A2606=A2607,_xll.ciqfunctions.udf.CIQ(A2598,"IQ_DILUT_EPS_EXCL",IQ_FY-7), _xll.ciqfunctions.udf.CIQ(A2598, "IQ_DILUT_EPS_EXCL",IQ_FY-6))</f>
        <v>2.7920500000000001</v>
      </c>
      <c r="G2601" s="15">
        <f>IF(A2606=A2607,_xll.ciqfunctions.udf.CIQ(A2598,"IQ_EBITDA_MARGIN",IQ_FY-7), _xll.ciqfunctions.udf.CIQ(A2598, "IQ_EBITDA_MARGIN",IQ_FY-6))</f>
        <v>8.5935000000000006</v>
      </c>
      <c r="H2601" s="15">
        <f>IF(A2606=A2607,_xll.ciqfunctions.udf.CIQ(A2598,"IQ_TOTAL_DIV_PAID_CF",IQ_FY-7)/-I2601, _xll.ciqfunctions.udf.CIQ(A2598, "IQ_TOTAL_DIV_PAID_CF",IQ_FY-6)/-I2601)</f>
        <v>0</v>
      </c>
      <c r="I2601" s="17">
        <f>IF(A2606=A2607,_xll.ciqfunctions.udf.CIQ(A2598,"IQ_TOTAL_OUTSTANDING_FILING_DATE",IQ_FY-7), _xll.ciqfunctions.udf.CIQ(A2598, "IQ_TOTAL_OUTSTANDING_FILING_DATE",IQ_FY-6))</f>
        <v>24.75592</v>
      </c>
      <c r="J2601" s="17">
        <f>IF(A2606=A2607,_xll.ciqfunctions.udf.CIQ(A2598,"IQ_CASH_OPER",IQ_FY-7), _xll.ciqfunctions.udf.CIQ(A2598, "IQ_CASH_OPER",IQ_FY-6))</f>
        <v>27.73</v>
      </c>
      <c r="K2601" s="17">
        <f>IF(A2606=A2607,_xll.ciqfunctions.udf.CIQ(A2598,"IQ_CAPEX",IQ_FY-7), _xll.ciqfunctions.udf.CIQ(A2598, "IQ_CAPEX",IQ_FY-6))</f>
        <v>-4.2679999999999998</v>
      </c>
      <c r="L2601" s="15">
        <f t="shared" si="692"/>
        <v>0.9477329059069507</v>
      </c>
      <c r="M2601" s="17">
        <f>IF(A2606=A2607,_xll.ciqfunctions.udf.CIQ(A2598,"IQ_TOTAL_DEBT_ISSUED",IQ_FY-7), _xll.ciqfunctions.udf.CIQ(A2598, "IQ_TOTAL_DEBT_ISSUED",IQ_FY-6))</f>
        <v>27</v>
      </c>
      <c r="N2601" s="17">
        <f>IF(A2606=A2607,_xll.ciqfunctions.udf.CIQ(A2598,"IQ_TOTAL_DEBT_REPAID",IQ_FY-7), _xll.ciqfunctions.udf.CIQ(A2598, "IQ_TOTAL_DEBT_REPAID",IQ_FY-6))</f>
        <v>-52.170999999999999</v>
      </c>
      <c r="O2601" s="15">
        <f t="shared" si="693"/>
        <v>-1.0167668985842577</v>
      </c>
      <c r="P2601" s="15">
        <f t="shared" si="694"/>
        <v>-6.9033992677307032E-2</v>
      </c>
      <c r="Q2601" s="25" t="s">
        <v>23</v>
      </c>
      <c r="R2601" s="38" t="s">
        <v>24</v>
      </c>
      <c r="S2601" s="1" t="e">
        <f>R2597/(AVERAGE(H2603:H2608)*(1+H2609)/(0.5-H2609))</f>
        <v>#DIV/0!</v>
      </c>
      <c r="U2601" s="25" t="s">
        <v>40</v>
      </c>
      <c r="V2601" s="38" t="s">
        <v>24</v>
      </c>
      <c r="W2601" s="1" t="e">
        <f>V2597/(AVERAGE(H2603:H2608)*(1+H2609)/(0.5-H2609))</f>
        <v>#DIV/0!</v>
      </c>
      <c r="Y2601" s="25" t="s">
        <v>47</v>
      </c>
      <c r="Z2601" s="38" t="s">
        <v>24</v>
      </c>
      <c r="AA2601" s="1" t="e">
        <f>Z2597/(AVERAGE(H2603:H2608)*(1+H2609)/(0.5-H2609))</f>
        <v>#DIV/0!</v>
      </c>
    </row>
    <row r="2602" spans="1:27">
      <c r="B2602" s="13">
        <v>5</v>
      </c>
      <c r="C2602" s="14" t="s">
        <v>25</v>
      </c>
      <c r="D2602" s="15" cm="1">
        <f t="array" ref="D2602">_xlfn.SINGLE(IF(A2606=A2607,_xll.ciqfunctions.udf.CIQ(A2598,"IQ_TOTAL_REV",IQ_FY-6)/I2602, _xll.ciqfunctions.udf.CIQ(A2598, "IQ_TOTAL_REV",IQ_FY-5)/I2602))</f>
        <v>24.981736714650165</v>
      </c>
      <c r="E2602" s="16">
        <f t="shared" si="695"/>
        <v>0.52421552240421299</v>
      </c>
      <c r="F2602" s="15">
        <f>IF(A2606=A2607,_xll.ciqfunctions.udf.CIQ(A2598,"IQ_DILUT_EPS_EXCL",IQ_FY-6), _xll.ciqfunctions.udf.CIQ(A2598, "IQ_DILUT_EPS_EXCL",IQ_FY-5))</f>
        <v>2.17</v>
      </c>
      <c r="G2602" s="15">
        <f>IF(A2606=A2607,_xll.ciqfunctions.udf.CIQ(A2598,"IQ_EBITDA_MARGIN",IQ_FY-6), _xll.ciqfunctions.udf.CIQ(A2598, "IQ_EBITDA_MARGIN",IQ_FY-5))</f>
        <v>10.420999999999999</v>
      </c>
      <c r="H2602" s="15">
        <f>IF(A2606=A2607,_xll.ciqfunctions.udf.CIQ(A2598,"IQ_TOTAL_DIV_PAID_CF",IQ_FY-6)/-I2602, _xll.ciqfunctions.udf.CIQ(A2598, "IQ_TOTAL_DIV_PAID_CF",IQ_FY-5)/-I2602)</f>
        <v>0</v>
      </c>
      <c r="I2602" s="17">
        <f>IF(A2606=A2607,_xll.ciqfunctions.udf.CIQ(A2598,"IQ_TOTAL_OUTSTANDING_FILING_DATE",IQ_FY-6), _xll.ciqfunctions.udf.CIQ(A2598, "IQ_TOTAL_OUTSTANDING_FILING_DATE",IQ_FY-5))</f>
        <v>26.254860000000001</v>
      </c>
      <c r="J2602" s="17">
        <f>IF(A2606=A2607,_xll.ciqfunctions.udf.CIQ(A2598,"IQ_CASH_OPER",IQ_FY-6), _xll.ciqfunctions.udf.CIQ(A2598, "IQ_CASH_OPER",IQ_FY-5))</f>
        <v>38.802999999999997</v>
      </c>
      <c r="K2602" s="17">
        <f>IF(A2606=A2607,_xll.ciqfunctions.udf.CIQ(A2598,"IQ_CAPEX",IQ_FY-6), _xll.ciqfunctions.udf.CIQ(A2598, "IQ_CAPEX",IQ_FY-5))</f>
        <v>-8.2260000000000009</v>
      </c>
      <c r="L2602" s="15">
        <f t="shared" si="692"/>
        <v>1.1646224737058204</v>
      </c>
      <c r="M2602" s="17">
        <f>IF(A2606=A2607,_xll.ciqfunctions.udf.CIQ(A2598,"IQ_TOTAL_DEBT_ISSUED",IQ_FY-6), _xll.ciqfunctions.udf.CIQ(A2598, "IQ_TOTAL_DEBT_ISSUED",IQ_FY-5))</f>
        <v>150</v>
      </c>
      <c r="N2602" s="17">
        <f>IF(A2606=A2607,_xll.ciqfunctions.udf.CIQ(A2598,"IQ_TOTAL_DEBT_REPAID",IQ_FY-6), _xll.ciqfunctions.udf.CIQ(A2598, "IQ_TOTAL_DEBT_REPAID",IQ_FY-5))</f>
        <v>-0.29499999999999998</v>
      </c>
      <c r="O2602" s="15">
        <f t="shared" si="693"/>
        <v>5.7019919359691889</v>
      </c>
      <c r="P2602" s="15">
        <f t="shared" si="694"/>
        <v>6.8666144096750088</v>
      </c>
      <c r="Q2602" s="18"/>
      <c r="R2602" s="38" t="s">
        <v>50</v>
      </c>
      <c r="S2602" s="3">
        <f>I2609</f>
        <v>5.6040537452104022E-2</v>
      </c>
      <c r="U2602" s="18"/>
      <c r="V2602" s="38" t="s">
        <v>50</v>
      </c>
      <c r="W2602" s="3">
        <f>I2609</f>
        <v>5.6040537452104022E-2</v>
      </c>
      <c r="Y2602" s="18"/>
      <c r="Z2602" s="38" t="s">
        <v>50</v>
      </c>
      <c r="AA2602" s="3">
        <f>I2609</f>
        <v>5.6040537452104022E-2</v>
      </c>
    </row>
    <row r="2603" spans="1:27">
      <c r="B2603" s="13">
        <v>6</v>
      </c>
      <c r="C2603" s="14" t="s">
        <v>26</v>
      </c>
      <c r="D2603" s="15" cm="1">
        <f t="array" ref="D2603">_xlfn.SINGLE(IF(A2606=A2607,_xll.ciqfunctions.udf.CIQ(A2598,"IQ_TOTAL_REV",IQ_FY-5)/I2603, _xll.ciqfunctions.udf.CIQ(A2598, "IQ_TOTAL_REV",IQ_FY-4)/I2603))</f>
        <v>36.819073062263456</v>
      </c>
      <c r="E2603" s="16">
        <f t="shared" si="695"/>
        <v>0.47383960862382574</v>
      </c>
      <c r="F2603" s="15">
        <f>IF(A2606=A2607,_xll.ciqfunctions.udf.CIQ(A2598,"IQ_DILUT_EPS_EXCL",IQ_FY-5), _xll.ciqfunctions.udf.CIQ(A2598, "IQ_DILUT_EPS_EXCL",IQ_FY-4))</f>
        <v>2.2999999999999998</v>
      </c>
      <c r="G2603" s="15">
        <f>IF(A2606=A2607,_xll.ciqfunctions.udf.CIQ(A2598,"IQ_EBITDA_MARGIN",IQ_FY-5), _xll.ciqfunctions.udf.CIQ(A2598, "IQ_EBITDA_MARGIN",IQ_FY-4))</f>
        <v>11.154199999999999</v>
      </c>
      <c r="H2603" s="15">
        <f>IF(A2606=A2607,_xll.ciqfunctions.udf.CIQ(A2598,"IQ_TOTAL_DIV_PAID_CF",IQ_FY-5)/-I2603, _xll.ciqfunctions.udf.CIQ(A2598, "IQ_TOTAL_DIV_PAID_CF",IQ_FY-4)/-I2603)</f>
        <v>0</v>
      </c>
      <c r="I2603" s="17">
        <f>IF(A2606=A2607,_xll.ciqfunctions.udf.CIQ(A2598,"IQ_TOTAL_OUTSTANDING_FILING_DATE",IQ_FY-5), _xll.ciqfunctions.udf.CIQ(A2598, "IQ_TOTAL_OUTSTANDING_FILING_DATE",IQ_FY-4))</f>
        <v>22.369140000000002</v>
      </c>
      <c r="J2603" s="17">
        <f>IF(A2606=A2607,_xll.ciqfunctions.udf.CIQ(A2598,"IQ_CASH_OPER",IQ_FY-5), _xll.ciqfunctions.udf.CIQ(A2598, "IQ_CASH_OPER",IQ_FY-4))</f>
        <v>60.475000000000001</v>
      </c>
      <c r="K2603" s="17">
        <f>IF(A2606=A2607,_xll.ciqfunctions.udf.CIQ(A2598,"IQ_CAPEX",IQ_FY-5), _xll.ciqfunctions.udf.CIQ(A2598, "IQ_CAPEX",IQ_FY-4))</f>
        <v>-13.92</v>
      </c>
      <c r="L2603" s="15">
        <f t="shared" si="692"/>
        <v>2.0812154602277957</v>
      </c>
      <c r="M2603" s="17">
        <f>IF(A2606=A2607,_xll.ciqfunctions.udf.CIQ(A2598,"IQ_TOTAL_DEBT_ISSUED",IQ_FY-5), _xll.ciqfunctions.udf.CIQ(A2598, "IQ_TOTAL_DEBT_ISSUED",IQ_FY-4))</f>
        <v>44.161999999999999</v>
      </c>
      <c r="N2603" s="17">
        <f>IF(A2606=A2607,_xll.ciqfunctions.udf.CIQ(A2598,"IQ_TOTAL_DEBT_REPAID",IQ_FY-5), _xll.ciqfunctions.udf.CIQ(A2598, "IQ_TOTAL_DEBT_REPAID",IQ_FY-4))</f>
        <v>-28.91</v>
      </c>
      <c r="O2603" s="15">
        <f t="shared" si="693"/>
        <v>0.68183220275790657</v>
      </c>
      <c r="P2603" s="15">
        <f t="shared" si="694"/>
        <v>2.7630476629857021</v>
      </c>
      <c r="Q2603" s="25" t="s">
        <v>27</v>
      </c>
      <c r="R2603" s="38" t="s">
        <v>51</v>
      </c>
      <c r="S2603" s="4">
        <f>AVERAGE(F2603:F2608)/AVERAGE(D2603:D2608)</f>
        <v>4.0773649739980322E-2</v>
      </c>
      <c r="U2603" s="25" t="s">
        <v>58</v>
      </c>
      <c r="V2603" s="38" t="s">
        <v>51</v>
      </c>
      <c r="W2603" s="4">
        <f>AVERAGE(F2603:F2608)/AVERAGE(D2603:D2608)</f>
        <v>4.0773649739980322E-2</v>
      </c>
      <c r="Y2603" s="25" t="s">
        <v>56</v>
      </c>
      <c r="Z2603" s="38" t="s">
        <v>51</v>
      </c>
      <c r="AA2603" s="4">
        <f>AVERAGE(F2603:F2608)/AVERAGE(D2603:D2608)</f>
        <v>4.0773649739980322E-2</v>
      </c>
    </row>
    <row r="2604" spans="1:27">
      <c r="A2604" s="18"/>
      <c r="B2604" s="13">
        <v>7</v>
      </c>
      <c r="C2604" s="14" t="s">
        <v>28</v>
      </c>
      <c r="D2604" s="15" cm="1">
        <f t="array" ref="D2604">_xlfn.SINGLE(IF(A2606=A2607,_xll.ciqfunctions.udf.CIQ(A2598,"IQ_TOTAL_REV",IQ_FY-4)/I2604, _xll.ciqfunctions.udf.CIQ(A2598, "IQ_TOTAL_REV",IQ_FY-3)/I2604))</f>
        <v>27.223197623023278</v>
      </c>
      <c r="E2604" s="16">
        <f t="shared" si="695"/>
        <v>-0.26062240684367383</v>
      </c>
      <c r="F2604" s="15">
        <f>IF(A2606=A2607,_xll.ciqfunctions.udf.CIQ(A2598,"IQ_DILUT_EPS_EXCL",IQ_FY-4), _xll.ciqfunctions.udf.CIQ(A2598, "IQ_DILUT_EPS_EXCL",IQ_FY-3))</f>
        <v>0.47</v>
      </c>
      <c r="G2604" s="15">
        <f>IF(A2606=A2607,_xll.ciqfunctions.udf.CIQ(A2598,"IQ_EBITDA_MARGIN",IQ_FY-4), _xll.ciqfunctions.udf.CIQ(A2598, "IQ_EBITDA_MARGIN",IQ_FY-3))</f>
        <v>5.9348000000000001</v>
      </c>
      <c r="H2604" s="15">
        <f>IF(A2606=A2607,_xll.ciqfunctions.udf.CIQ(A2598,"IQ_TOTAL_DIV_PAID_CF",IQ_FY-4)/-I2604, _xll.ciqfunctions.udf.CIQ(A2598, "IQ_TOTAL_DIV_PAID_CF",IQ_FY-3)/-I2604)</f>
        <v>0</v>
      </c>
      <c r="I2604" s="17">
        <f>IF(A2606=A2607,_xll.ciqfunctions.udf.CIQ(A2598,"IQ_TOTAL_OUTSTANDING_FILING_DATE",IQ_FY-4), _xll.ciqfunctions.udf.CIQ(A2598, "IQ_TOTAL_OUTSTANDING_FILING_DATE",IQ_FY-3))</f>
        <v>22.805440000000001</v>
      </c>
      <c r="J2604" s="17">
        <f>IF(A2606=A2607,_xll.ciqfunctions.udf.CIQ(A2598,"IQ_CASH_OPER",IQ_FY-4), _xll.ciqfunctions.udf.CIQ(A2598, "IQ_CASH_OPER",IQ_FY-3))</f>
        <v>57.15</v>
      </c>
      <c r="K2604" s="17">
        <f>IF(A2606=A2607,_xll.ciqfunctions.udf.CIQ(A2598,"IQ_CAPEX",IQ_FY-4), _xll.ciqfunctions.udf.CIQ(A2598, "IQ_CAPEX",IQ_FY-3))</f>
        <v>-12.343</v>
      </c>
      <c r="L2604" s="15">
        <f t="shared" si="692"/>
        <v>1.9647505156664375</v>
      </c>
      <c r="M2604" s="17">
        <f>IF(A2606=A2607,_xll.ciqfunctions.udf.CIQ(A2598,"IQ_TOTAL_DEBT_ISSUED",IQ_FY-4), _xll.ciqfunctions.udf.CIQ(A2598, "IQ_TOTAL_DEBT_ISSUED",IQ_FY-3))</f>
        <v>13</v>
      </c>
      <c r="N2604" s="17">
        <f>IF(A2606=A2607,_xll.ciqfunctions.udf.CIQ(A2598,"IQ_TOTAL_DEBT_REPAID",IQ_FY-4), _xll.ciqfunctions.udf.CIQ(A2598, "IQ_TOTAL_DEBT_REPAID",IQ_FY-3))</f>
        <v>-36.75</v>
      </c>
      <c r="O2604" s="15">
        <f t="shared" si="693"/>
        <v>-1.0414181879411228</v>
      </c>
      <c r="P2604" s="15">
        <f t="shared" si="694"/>
        <v>0.92333232772531471</v>
      </c>
      <c r="Q2604" s="18"/>
      <c r="R2604" s="38" t="s">
        <v>29</v>
      </c>
      <c r="S2604" s="4">
        <f>(AVERAGE(P2603:P2608)/_xlfn.STDEV.P(P2603:P2608))/(IF(A2606=A2607,(_xlfn.SINGLE(_xll.ciqfunctions.udf.CIQ(A2598,"IQ_total_assets",IQ_FY)) - _xlfn.SINGLE(_xll.ciqfunctions.udf.CIQ(A2598,"iq_gw_intan", IQ_FY)))/I2608, (_xlfn.SINGLE(_xll.ciqfunctions.udf.CIQ(A2598, "IQ_total_assets",IQ_LTM))-_xlfn.SINGLE(_xll.ciqfunctions.udf.CIQ(A2598,"iq_gw_intan",IQ_LTM)))/I2608))</f>
        <v>7.4144924482661412E-2</v>
      </c>
      <c r="U2604" s="18"/>
      <c r="V2604" s="38" t="s">
        <v>29</v>
      </c>
      <c r="W2604" s="4">
        <f>(AVERAGE(P2603:P2608)/_xlfn.STDEV.P(P2603:P2608))/(IF(A2606=A2607,(_xlfn.SINGLE(_xll.ciqfunctions.udf.CIQ(A2598,"IQ_total_assets",IQ_FY)) - _xlfn.SINGLE(_xll.ciqfunctions.udf.CIQ(A2598,"iq_gw_intan", IQ_FY)))/I2608, (_xlfn.SINGLE(_xll.ciqfunctions.udf.CIQ(A2598, "IQ_total_assets",IQ_LTM))-_xlfn.SINGLE(_xll.ciqfunctions.udf.CIQ(A2598,"iq_gw_intan",IQ_LTM)))/I2608))</f>
        <v>7.4144924482661412E-2</v>
      </c>
      <c r="Y2604" s="18"/>
      <c r="Z2604" s="38" t="s">
        <v>29</v>
      </c>
      <c r="AA2604" s="4">
        <f>(AVERAGE(P2603:P2608)/_xlfn.STDEV.P(P2603:P2608))/(IF(A2606=A2607,(_xlfn.SINGLE(_xll.ciqfunctions.udf.CIQ(A2598,"IQ_total_assets",IQ_FY)) - _xlfn.SINGLE(_xll.ciqfunctions.udf.CIQ(A2598,"iq_gw_intan", IQ_FY)))/I2608, (_xlfn.SINGLE(_xll.ciqfunctions.udf.CIQ(A2598, "IQ_total_assets",IQ_LTM))-_xlfn.SINGLE(_xll.ciqfunctions.udf.CIQ(A2598,"iq_gw_intan",IQ_LTM)))/I2608))</f>
        <v>7.4144924482661412E-2</v>
      </c>
    </row>
    <row r="2605" spans="1:27">
      <c r="A2605" s="18"/>
      <c r="B2605" s="13">
        <v>8</v>
      </c>
      <c r="C2605" s="14" t="s">
        <v>30</v>
      </c>
      <c r="D2605" s="15" cm="1">
        <f t="array" ref="D2605">_xlfn.SINGLE(IF(A2606=A2607,_xll.ciqfunctions.udf.CIQ(A2598,"IQ_TOTAL_REV",IQ_FY-3)/I2605, _xll.ciqfunctions.udf.CIQ(A2598, "IQ_TOTAL_REV",IQ_FY-2)/I2605))</f>
        <v>32.582664295945293</v>
      </c>
      <c r="E2605" s="16">
        <f t="shared" si="695"/>
        <v>0.19687131347088305</v>
      </c>
      <c r="F2605" s="15">
        <f>IF(A2606=A2607,_xll.ciqfunctions.udf.CIQ(A2598,"IQ_DILUT_EPS_EXCL",IQ_FY-3), _xll.ciqfunctions.udf.CIQ(A2598, "IQ_DILUT_EPS_EXCL",IQ_FY-2))</f>
        <v>1.42</v>
      </c>
      <c r="G2605" s="15">
        <f>IF(A2606=A2607,_xll.ciqfunctions.udf.CIQ(A2598,"IQ_EBITDA_MARGIN",IQ_FY-3), _xll.ciqfunctions.udf.CIQ(A2598, "IQ_EBITDA_MARGIN",IQ_FY-2))</f>
        <v>7.1970000000000001</v>
      </c>
      <c r="H2605" s="15">
        <f>IF(A2606=A2607,_xll.ciqfunctions.udf.CIQ(A2598,"IQ_TOTAL_DIV_PAID_CF",IQ_FY-3)/-I2605, _xll.ciqfunctions.udf.CIQ(A2598, "IQ_TOTAL_DIV_PAID_CF",IQ_FY-2)/-I2605)</f>
        <v>0</v>
      </c>
      <c r="I2605" s="17">
        <f>IF(A2606=A2607,_xll.ciqfunctions.udf.CIQ(A2598,"IQ_TOTAL_OUTSTANDING_FILING_DATE",IQ_FY-3), _xll.ciqfunctions.udf.CIQ(A2598, "IQ_TOTAL_OUTSTANDING_FILING_DATE",IQ_FY-2))</f>
        <v>28.058969999999999</v>
      </c>
      <c r="J2605" s="17">
        <f>IF(A2606=A2607,_xll.ciqfunctions.udf.CIQ(A2598,"IQ_CASH_OPER",IQ_FY-3), _xll.ciqfunctions.udf.CIQ(A2598, "IQ_CASH_OPER",IQ_FY-2))</f>
        <v>38.259</v>
      </c>
      <c r="K2605" s="17">
        <f>IF(A2606=A2607,_xll.ciqfunctions.udf.CIQ(A2598,"IQ_CAPEX",IQ_FY-3), _xll.ciqfunctions.udf.CIQ(A2598, "IQ_CAPEX",IQ_FY-2))</f>
        <v>-10.301</v>
      </c>
      <c r="L2605" s="15">
        <f t="shared" si="692"/>
        <v>0.99640150725418641</v>
      </c>
      <c r="M2605" s="17">
        <f>IF(A2606=A2607,_xll.ciqfunctions.udf.CIQ(A2598,"IQ_TOTAL_DEBT_ISSUED",IQ_FY-3), _xll.ciqfunctions.udf.CIQ(A2598, "IQ_TOTAL_DEBT_ISSUED",IQ_FY-2))</f>
        <v>30</v>
      </c>
      <c r="N2605" s="17">
        <f>IF(A2606=A2607,_xll.ciqfunctions.udf.CIQ(A2598,"IQ_TOTAL_DEBT_REPAID",IQ_FY-3), _xll.ciqfunctions.udf.CIQ(A2598, "IQ_TOTAL_DEBT_REPAID",IQ_FY-2))</f>
        <v>-8.75</v>
      </c>
      <c r="O2605" s="15">
        <f t="shared" si="693"/>
        <v>0.75733357282893854</v>
      </c>
      <c r="P2605" s="15">
        <f t="shared" si="694"/>
        <v>1.7537350800831248</v>
      </c>
      <c r="Q2605" s="18"/>
      <c r="R2605" s="39" t="s">
        <v>31</v>
      </c>
      <c r="S2605" s="5" t="e">
        <f>IF(NOT(D2598&gt;0),FALSE,SLOPE(G2598:G2608,B2598:B2608))</f>
        <v>#DIV/0!</v>
      </c>
      <c r="U2605" s="18"/>
      <c r="V2605" s="39" t="s">
        <v>31</v>
      </c>
      <c r="W2605" s="5" t="e">
        <f>IF(NOT(D2598&gt;0),FALSE,SLOPE(G2598:G2608,B2598:B2608))</f>
        <v>#DIV/0!</v>
      </c>
      <c r="Y2605" s="18"/>
      <c r="Z2605" s="39" t="s">
        <v>31</v>
      </c>
      <c r="AA2605" s="5" t="e">
        <f>IF(NOT(L2598&gt;0),FALSE,SLOPE(O2598:O2608,J2598:J2608))</f>
        <v>#DIV/0!</v>
      </c>
    </row>
    <row r="2606" spans="1:27">
      <c r="A2606" s="19">
        <f>_xll.ciqfunctions.udf.CIQ(A2598,"IQ_TOTAL_REV",IQ_FY)</f>
        <v>1280.069</v>
      </c>
      <c r="B2606" s="13">
        <v>9</v>
      </c>
      <c r="C2606" s="14" t="s">
        <v>32</v>
      </c>
      <c r="D2606" s="15" cm="1">
        <f t="array" ref="D2606">_xlfn.SINGLE(IF(A2606=A2607,_xll.ciqfunctions.udf.CIQ(A2598,"IQ_TOTAL_REV",IQ_FY-2)/I2606, _xll.ciqfunctions.udf.CIQ(A2598, "IQ_TOTAL_REV",IQ_FY-1)/I2606))</f>
        <v>38.363627270384008</v>
      </c>
      <c r="E2606" s="16">
        <f t="shared" si="695"/>
        <v>0.17742450162855833</v>
      </c>
      <c r="F2606" s="15">
        <f>IF(A2606=A2607,_xll.ciqfunctions.udf.CIQ(A2598,"IQ_DILUT_EPS_EXCL",IQ_FY-2), _xll.ciqfunctions.udf.CIQ(A2598, "IQ_DILUT_EPS_EXCL",IQ_FY-1))</f>
        <v>2.4500000000000002</v>
      </c>
      <c r="G2606" s="15">
        <f>IF(A2606=A2607,_xll.ciqfunctions.udf.CIQ(A2598,"IQ_EBITDA_MARGIN",IQ_FY-2), _xll.ciqfunctions.udf.CIQ(A2598, "IQ_EBITDA_MARGIN",IQ_FY-1))</f>
        <v>10.5436</v>
      </c>
      <c r="H2606" s="15">
        <f>IF(A2606=A2607,_xll.ciqfunctions.udf.CIQ(A2598,"IQ_TOTAL_DIV_PAID_CF",IQ_FY-2)/-I2606, _xll.ciqfunctions.udf.CIQ(A2598, "IQ_TOTAL_DIV_PAID_CF",IQ_FY-1)/-I2606)</f>
        <v>0</v>
      </c>
      <c r="I2606" s="17">
        <f>IF(A2606=A2607,_xll.ciqfunctions.udf.CIQ(A2598,"IQ_TOTAL_OUTSTANDING_FILING_DATE",IQ_FY-2), _xll.ciqfunctions.udf.CIQ(A2598, "IQ_TOTAL_OUTSTANDING_FILING_DATE",IQ_FY-1))</f>
        <v>28.59263</v>
      </c>
      <c r="J2606" s="17">
        <f>IF(A2606=A2607,_xll.ciqfunctions.udf.CIQ(A2598,"IQ_CASH_OPER",IQ_FY-2), _xll.ciqfunctions.udf.CIQ(A2598, "IQ_CASH_OPER",IQ_FY-1))</f>
        <v>15.272</v>
      </c>
      <c r="K2606" s="17">
        <f>IF(A2606=A2607,_xll.ciqfunctions.udf.CIQ(A2598,"IQ_CAPEX",IQ_FY-2), _xll.ciqfunctions.udf.CIQ(A2598, "IQ_CAPEX",IQ_FY-1))</f>
        <v>-20.838999999999999</v>
      </c>
      <c r="L2606" s="15">
        <f t="shared" si="692"/>
        <v>-0.19470052247729566</v>
      </c>
      <c r="M2606" s="17">
        <f>IF(A2606=A2607,_xll.ciqfunctions.udf.CIQ(A2598,"IQ_TOTAL_DEBT_ISSUED",IQ_FY-2), _xll.ciqfunctions.udf.CIQ(A2598, "IQ_TOTAL_DEBT_ISSUED",IQ_FY-1))</f>
        <v>231.76599999999999</v>
      </c>
      <c r="N2606" s="17">
        <f>IF(A2606=A2607,_xll.ciqfunctions.udf.CIQ(A2598,"IQ_TOTAL_DEBT_REPAID",IQ_FY-2), _xll.ciqfunctions.udf.CIQ(A2598, "IQ_TOTAL_DEBT_REPAID",IQ_FY-1))</f>
        <v>-139.053</v>
      </c>
      <c r="O2606" s="15">
        <f t="shared" si="693"/>
        <v>3.2425488666135291</v>
      </c>
      <c r="P2606" s="15">
        <f t="shared" si="694"/>
        <v>3.0478483441362334</v>
      </c>
      <c r="Q2606" s="25" t="s">
        <v>33</v>
      </c>
      <c r="R2606" s="38" t="s">
        <v>52</v>
      </c>
      <c r="S2606" s="4">
        <f>(AVERAGE(O2603:O2608)/AVERAGE(P2603:P2608))</f>
        <v>0.33455600881825798</v>
      </c>
      <c r="U2606" s="25" t="s">
        <v>54</v>
      </c>
      <c r="V2606" s="38" t="s">
        <v>52</v>
      </c>
      <c r="W2606" s="4">
        <f>(AVERAGE(O2603:O2608)/AVERAGE(P2603:P2608))</f>
        <v>0.33455600881825798</v>
      </c>
      <c r="Y2606" s="25" t="s">
        <v>60</v>
      </c>
      <c r="Z2606" s="38" t="s">
        <v>52</v>
      </c>
      <c r="AA2606" s="4">
        <f>(AVERAGE(O2603:O2608)/AVERAGE(P2603:P2608))</f>
        <v>0.33455600881825798</v>
      </c>
    </row>
    <row r="2607" spans="1:27">
      <c r="A2607" s="19">
        <f>_xll.ciqfunctions.udf.CIQ(A2598,"IQ_TOTAL_REV",IQ_LTM)</f>
        <v>909.35900000000004</v>
      </c>
      <c r="B2607" s="13">
        <v>10</v>
      </c>
      <c r="C2607" s="14" t="s">
        <v>34</v>
      </c>
      <c r="D2607" s="15" cm="1">
        <f t="array" ref="D2607">_xlfn.SINGLE(IF(A2606=A2607,_xll.ciqfunctions.udf.CIQ(A2598,"IQ_TOTAL_REV",IQ_FY-1)/I2607, _xll.ciqfunctions.udf.CIQ(A2598, "IQ_TOTAL_REV",IQ_FY)/I2607))</f>
        <v>44.132518672565389</v>
      </c>
      <c r="E2607" s="16">
        <f t="shared" si="695"/>
        <v>0.15037398214518824</v>
      </c>
      <c r="F2607" s="15">
        <f>IF(A2606=A2607,_xll.ciqfunctions.udf.CIQ(A2598,"IQ_DILUT_EPS_EXCL",IQ_FY-1), _xll.ciqfunctions.udf.CIQ(A2598, "IQ_DILUT_EPS_EXCL",IQ_FY))</f>
        <v>2.5099999999999998</v>
      </c>
      <c r="G2607" s="15">
        <f>IF(A2606=A2607,_xll.ciqfunctions.udf.CIQ(A2598,"IQ_EBITDA_MARGIN",IQ_FY-1), _xll.ciqfunctions.udf.CIQ(A2598, "IQ_EBITDA_MARGIN",IQ_FY))</f>
        <v>9.9882000000000009</v>
      </c>
      <c r="H2607" s="15">
        <f>IF(A2606=A2607,_xll.ciqfunctions.udf.CIQ(A2598,"IQ_TOTAL_DIV_PAID_CF",IQ_FY-1)/-I2607, _xll.ciqfunctions.udf.CIQ(A2598, "IQ_TOTAL_DIV_PAID_CF",IQ_FY)/-I2607)</f>
        <v>0</v>
      </c>
      <c r="I2607" s="17">
        <f>IF(A2606=A2607,_xll.ciqfunctions.udf.CIQ(A2598,"IQ_TOTAL_OUTSTANDING_FILING_DATE",IQ_FY-1), _xll.ciqfunctions.udf.CIQ(A2598, "IQ_TOTAL_OUTSTANDING_FILING_DATE",IQ_FY))</f>
        <v>29.005120000000002</v>
      </c>
      <c r="J2607" s="17">
        <f>IF(A2606=A2607,_xll.ciqfunctions.udf.CIQ(A2598,"IQ_CASH_OPER",IQ_FY-1), _xll.ciqfunctions.udf.CIQ(A2598, "IQ_CASH_OPER",IQ_FY))</f>
        <v>31.452999999999999</v>
      </c>
      <c r="K2607" s="17">
        <f>IF(A2606=A2607,_xll.ciqfunctions.udf.CIQ(A2598,"IQ_CAPEX",IQ_FY-1), _xll.ciqfunctions.udf.CIQ(A2598, "IQ_CAPEX",IQ_FY))</f>
        <v>-29.433</v>
      </c>
      <c r="L2607" s="15">
        <f t="shared" si="692"/>
        <v>6.9642876843812387E-2</v>
      </c>
      <c r="M2607" s="17">
        <f>IF(A2606=A2607,_xll.ciqfunctions.udf.CIQ(A2598,"IQ_TOTAL_DEBT_ISSUED",IQ_FY-1), _xll.ciqfunctions.udf.CIQ(A2598, "IQ_TOTAL_DEBT_ISSUED",IQ_FY))</f>
        <v>25</v>
      </c>
      <c r="N2607" s="17">
        <f>IF(A2606=A2607,_xll.ciqfunctions.udf.CIQ(A2598,"IQ_TOTAL_DEBT_REPAID",IQ_FY-1), _xll.ciqfunctions.udf.CIQ(A2598, "IQ_TOTAL_DEBT_REPAID",IQ_FY))</f>
        <v>-17.5</v>
      </c>
      <c r="O2607" s="15">
        <f t="shared" si="693"/>
        <v>0.25857503778643215</v>
      </c>
      <c r="P2607" s="15">
        <f t="shared" si="694"/>
        <v>0.32821791463024452</v>
      </c>
      <c r="Q2607" s="25" t="s">
        <v>44</v>
      </c>
      <c r="R2607" s="38" t="s">
        <v>35</v>
      </c>
      <c r="S2607" s="1">
        <f>_xll.ciqfunctions.udf.CIQ(A2598,"IQ_TEV_EBITDA")</f>
        <v>16.6996</v>
      </c>
      <c r="U2607" s="25" t="s">
        <v>55</v>
      </c>
      <c r="V2607" s="38" t="s">
        <v>53</v>
      </c>
      <c r="W2607" s="1">
        <f>V2597/(AVERAGE(D2603:D2608)/_xlfn.STDEV.P(E2603:E2608))</f>
        <v>0.20969812280382089</v>
      </c>
      <c r="Y2607" s="25" t="s">
        <v>57</v>
      </c>
      <c r="Z2607" s="38" t="s">
        <v>53</v>
      </c>
      <c r="AA2607" s="1">
        <f>Z2597/(AVERAGE(D2603:D2608)/_xlfn.STDEV.P(E2603:E2608))</f>
        <v>0.20969812280382089</v>
      </c>
    </row>
    <row r="2608" spans="1:27">
      <c r="B2608" s="13">
        <v>11</v>
      </c>
      <c r="C2608" s="20" t="s">
        <v>36</v>
      </c>
      <c r="D2608" s="21" cm="1">
        <f t="array" ref="D2608">_xlfn.SINGLE(IF(A2606=A2607,_xll.ciqfunctions.udf.CIQ(A2598,"IQ_TOTAL_REV",IQ_FY)/I2608, _xll.ciqfunctions.udf.CIQ(A2598, "IQ_TOTAL_REV",IQ_LTM)/I2608))</f>
        <v>30.951602159698272</v>
      </c>
      <c r="E2608" s="22">
        <f t="shared" si="695"/>
        <v>-0.29866676340548232</v>
      </c>
      <c r="F2608" s="21">
        <f>IF(A2606=A2607,_xll.ciqfunctions.udf.CIQ(A2598,"IQ_DILUT_EPS_EXCL",IQ_FY), _xll.ciqfunctions.udf.CIQ(A2598, "IQ_DILUT_EPS_EXCL",IQ_LTM))</f>
        <v>-0.58457000000000003</v>
      </c>
      <c r="G2608" s="21">
        <f>IF(A2606=A2607,_xll.ciqfunctions.udf.CIQ(A2598,"IQ_EBITDA_MARGIN",IQ_FY), _xll.ciqfunctions.udf.CIQ(A2598, "IQ_EBITDA_MARGIN",IQ_LTM))</f>
        <v>5.6448999999999998</v>
      </c>
      <c r="H2608" s="21">
        <f>IF(A2606=A2607,_xll.ciqfunctions.udf.CIQ(A2598,"IQ_TOTAL_DIV_PAID_CF",IQ_FY)/-I2608, _xll.ciqfunctions.udf.CIQ(A2598, "IQ_TOTAL_DIV_PAID_CF",IQ_LTM)/-I2608)</f>
        <v>0</v>
      </c>
      <c r="I2608" s="23">
        <f>IF(A2606=A2607,_xll.ciqfunctions.udf.CIQ(A2598,"IQ_TOTAL_OUTSTANDING_FILING_DATE",IQ_FY),_xll.ciqfunctions.udf.CIQ(A2598,"IQ_sharesoutstanding"))</f>
        <v>29.380030000000001</v>
      </c>
      <c r="J2608" s="23">
        <f>IF(A2606=A2607,_xll.ciqfunctions.udf.CIQ(A2598,"IQ_CASH_OPER",IQ_FY), _xll.ciqfunctions.udf.CIQ(A2598, "IQ_CASH_OPER",IQ_LTM))</f>
        <v>58.832000000000001</v>
      </c>
      <c r="K2608" s="23">
        <f>IF(A2606=A2607,_xll.ciqfunctions.udf.CIQ(A2598,"IQ_CAPEX",IQ_FY), _xll.ciqfunctions.udf.CIQ(A2598, "IQ_CAPEX",IQ_LTM))</f>
        <v>-20.213999999999999</v>
      </c>
      <c r="L2608" s="21">
        <f t="shared" si="692"/>
        <v>1.3144302439446114</v>
      </c>
      <c r="M2608" s="23">
        <f>IF(A2606=A2607,_xll.ciqfunctions.udf.CIQ(A2598,"IQ_TOTAL_DEBT_ISSUED",IQ_FY), _xll.ciqfunctions.udf.CIQ(A2598, "IQ_TOTAL_DEBT_ISSUED",IQ_LTM))</f>
        <v>0</v>
      </c>
      <c r="N2608" s="23">
        <f>IF(A2606=A2607,_xll.ciqfunctions.udf.CIQ(A2598,"IQ_TOTAL_DEBT_REPAID",IQ_FY), _xll.ciqfunctions.udf.CIQ(A2598, "IQ_TOTAL_DEBT_REPAID",IQ_LTM))</f>
        <v>-22.5</v>
      </c>
      <c r="O2608" s="21">
        <f t="shared" si="693"/>
        <v>-0.76582631127333767</v>
      </c>
      <c r="P2608" s="21">
        <f t="shared" si="694"/>
        <v>0.54860393267127372</v>
      </c>
      <c r="Q2608" s="25" t="s">
        <v>45</v>
      </c>
      <c r="S2608" s="45"/>
      <c r="U2608" s="25"/>
      <c r="W2608" s="45"/>
      <c r="Y2608" s="25"/>
      <c r="AA2608" s="45"/>
    </row>
    <row r="2609" spans="1:27">
      <c r="B2609" s="24"/>
      <c r="C2609" s="25" t="s">
        <v>37</v>
      </c>
      <c r="E2609" s="26">
        <f>((D2608/D2603)^(1/5))-1</f>
        <v>-3.4122483534446135E-2</v>
      </c>
      <c r="F2609" s="27">
        <f>((F2608/F2603)^(1/5))-1</f>
        <v>-1.7603643341440582</v>
      </c>
      <c r="G2609" s="28"/>
      <c r="H2609" s="27" t="e">
        <f>((H2608/H2603)^(1/5))-1</f>
        <v>#DIV/0!</v>
      </c>
      <c r="I2609" s="27">
        <f>((I2608/I2603)^(1/5))-1</f>
        <v>5.6040537452104022E-2</v>
      </c>
      <c r="J2609" s="27"/>
      <c r="K2609" s="27"/>
      <c r="L2609" s="26">
        <f>((L2608/L2603)^(1/5))-1</f>
        <v>-8.7812535042904649E-2</v>
      </c>
      <c r="M2609" s="26"/>
      <c r="N2609" s="26"/>
      <c r="O2609" s="26"/>
      <c r="P2609" s="26">
        <f>((P2608/P2603)^(1/5))-1</f>
        <v>-0.27627411172198058</v>
      </c>
      <c r="Q2609" s="18"/>
      <c r="R2609" s="36"/>
      <c r="S2609" s="45"/>
      <c r="U2609" s="18"/>
      <c r="V2609" s="36"/>
      <c r="W2609" s="45"/>
      <c r="Y2609" s="18"/>
      <c r="Z2609" s="36"/>
      <c r="AA2609" s="45"/>
    </row>
    <row r="2610" spans="1:27">
      <c r="A2610" s="29"/>
      <c r="B2610" s="30"/>
      <c r="C2610" s="31" t="s">
        <v>38</v>
      </c>
      <c r="D2610" s="29"/>
      <c r="E2610" s="32" t="e">
        <f>((D2608/D2598)^(1/10))-1</f>
        <v>#DIV/0!</v>
      </c>
      <c r="F2610" s="33" t="e">
        <f>((F2608/F2598)^(1/10))-1</f>
        <v>#DIV/0!</v>
      </c>
      <c r="G2610" s="34"/>
      <c r="H2610" s="33" t="e">
        <f>((H2608/H2598)^(1/10))-1</f>
        <v>#DIV/0!</v>
      </c>
      <c r="I2610" s="33" t="e">
        <f>((I2608/I2598)^(1/10))-1</f>
        <v>#DIV/0!</v>
      </c>
      <c r="J2610" s="33"/>
      <c r="K2610" s="33"/>
      <c r="L2610" s="32" t="e">
        <f>((L2608/L2598)^(1/10))-1</f>
        <v>#DIV/0!</v>
      </c>
      <c r="M2610" s="32"/>
      <c r="N2610" s="32"/>
      <c r="O2610" s="32"/>
      <c r="P2610" s="32" t="e">
        <f>((P2608/P2598)^(1/10))-1</f>
        <v>#DIV/0!</v>
      </c>
      <c r="Q2610" s="40"/>
      <c r="R2610" s="41"/>
      <c r="S2610" s="46"/>
      <c r="U2610" s="40"/>
      <c r="V2610" s="41"/>
      <c r="W2610" s="46"/>
      <c r="Y2610" s="40"/>
      <c r="Z2610" s="41"/>
      <c r="AA2610" s="46"/>
    </row>
    <row r="2611" spans="1:27">
      <c r="B2611" s="24"/>
      <c r="C2611" s="25"/>
      <c r="E2611" s="26"/>
      <c r="F2611" s="27"/>
      <c r="G2611" s="28"/>
      <c r="H2611" s="27"/>
      <c r="I2611" s="27"/>
      <c r="J2611" s="27"/>
      <c r="K2611" s="27"/>
      <c r="L2611" s="26"/>
      <c r="M2611" s="17"/>
      <c r="N2611" s="17"/>
      <c r="O2611" s="17"/>
      <c r="P2611" s="35"/>
      <c r="Q2611" s="18"/>
      <c r="R2611" s="36"/>
    </row>
    <row r="2612" spans="1:27">
      <c r="A2612" s="9" t="s">
        <v>0</v>
      </c>
      <c r="B2612" s="10"/>
      <c r="C2612" s="9" t="s">
        <v>1</v>
      </c>
      <c r="D2612" s="9" t="s">
        <v>2</v>
      </c>
      <c r="E2612" s="9" t="s">
        <v>3</v>
      </c>
      <c r="F2612" s="11" t="s">
        <v>4</v>
      </c>
      <c r="G2612" s="11" t="s">
        <v>5</v>
      </c>
      <c r="H2612" s="9" t="s">
        <v>6</v>
      </c>
      <c r="I2612" s="11" t="s">
        <v>7</v>
      </c>
      <c r="J2612" s="11" t="s">
        <v>8</v>
      </c>
      <c r="K2612" s="11" t="s">
        <v>9</v>
      </c>
      <c r="L2612" s="11" t="s">
        <v>10</v>
      </c>
      <c r="M2612" s="11" t="s">
        <v>11</v>
      </c>
      <c r="N2612" s="11" t="s">
        <v>12</v>
      </c>
      <c r="O2612" s="11" t="s">
        <v>13</v>
      </c>
      <c r="P2612" s="11" t="s">
        <v>14</v>
      </c>
      <c r="Q2612" s="37" t="s">
        <v>15</v>
      </c>
      <c r="R2612" s="42">
        <f>_xll.ciqfunctions.udf.CIQ(A2613,("IQ_LASTSALEPRICE"))</f>
        <v>76.45</v>
      </c>
      <c r="S2612" s="44"/>
      <c r="U2612" s="37" t="s">
        <v>15</v>
      </c>
      <c r="V2612" s="42">
        <f>_xll.ciqfunctions.udf.CIQ(A2613,("IQ_LASTSALEPRICE"))</f>
        <v>76.45</v>
      </c>
      <c r="W2612" s="44"/>
      <c r="Y2612" s="37" t="s">
        <v>15</v>
      </c>
      <c r="Z2612" s="42">
        <f>_xll.ciqfunctions.udf.CIQ(A2613,("IQ_LASTSALEPRICE"))</f>
        <v>76.45</v>
      </c>
      <c r="AA2612" s="44"/>
    </row>
    <row r="2613" spans="1:27">
      <c r="A2613" s="12" t="str">
        <f>Analysis!B176</f>
        <v>NasdaqGS:POWI</v>
      </c>
      <c r="B2613" s="13">
        <v>1</v>
      </c>
      <c r="C2613" s="14" t="s">
        <v>16</v>
      </c>
      <c r="D2613" s="15">
        <f>IF(A2621=A2622,_xll.ciqfunctions.udf.CIQ(A2613,"IQ_TOTAL_REV",IQ_FY-10)/I2613,_xll.ciqfunctions.udf.CIQ(A2613, "IQ_TOTAL_REV",IQ_FY-9)/I2613)</f>
        <v>5.7360658430664451</v>
      </c>
      <c r="E2613" s="16"/>
      <c r="F2613" s="15">
        <f>IF(A2621=A2622,_xll.ciqfunctions.udf.CIQ(A2613,"IQ_DILUT_EPS_EXCL",IQ_FY-10), _xll.ciqfunctions.udf.CIQ(A2613, "IQ_DILUT_EPS_EXCL",IQ_FY-9))</f>
        <v>0.94</v>
      </c>
      <c r="G2613" s="15">
        <f>IF(A2621=A2622,_xll.ciqfunctions.udf.CIQ(A2613,"IQ_EBITDA_MARGIN",IQ_FY-10), _xll.ciqfunctions.udf.CIQ(A2613, "IQ_EBITDA_MARGIN",IQ_FY-9))</f>
        <v>22.345199999999998</v>
      </c>
      <c r="H2613" s="15">
        <f>IF(A2621=A2622,_xll.ciqfunctions.udf.CIQ(A2613,"IQ_TOTAL_DIV_PAID_CF",IQ_FY-10)/-I2613, _xll.ciqfunctions.udf.CIQ(A2613, "IQ_TOTAL_DIV_PAID_CF",IQ_FY-9)/-I2613)</f>
        <v>0.15610658348033396</v>
      </c>
      <c r="I2613" s="17">
        <f>IF(A2621=A2622,_xll.ciqfunctions.udf.CIQ(A2613,"IQ_TOTAL_OUTSTANDING_FILING_DATE",IQ_FY-10), _xll.ciqfunctions.udf.CIQ(A2613, "IQ_TOTAL_OUTSTANDING_FILING_DATE",IQ_FY-9))</f>
        <v>60.50994</v>
      </c>
      <c r="J2613" s="17">
        <f>IF(A2621=A2622,_xll.ciqfunctions.udf.CIQ(A2613,"IQ_CASH_OPER",IQ_FY-10), _xll.ciqfunctions.udf.CIQ(A2613, "IQ_CASH_OPER",IQ_FY-9))</f>
        <v>98.671000000000006</v>
      </c>
      <c r="K2613" s="17">
        <f>IF(A2621=A2622,_xll.ciqfunctions.udf.CIQ(A2613,"IQ_CAPEX",IQ_FY-10), _xll.ciqfunctions.udf.CIQ(A2613, "IQ_CAPEX",IQ_FY-9))</f>
        <v>-13.96</v>
      </c>
      <c r="L2613" s="15">
        <f t="shared" ref="L2613:L2623" si="696">(J2613+K2613)/I2613</f>
        <v>1.3999518095704608</v>
      </c>
      <c r="M2613" s="17">
        <f>IF(A2621=A2622,_xll.ciqfunctions.udf.CIQ(A2613,"IQ_TOTAL_DEBT_ISSUED",IQ_FY-10), _xll.ciqfunctions.udf.CIQ(A2613, "IQ_TOTAL_DEBT_ISSUED",IQ_FY-9))</f>
        <v>0</v>
      </c>
      <c r="N2613" s="17">
        <f>IF(A2621=A2622,_xll.ciqfunctions.udf.CIQ(A2613,"IQ_TOTAL_DEBT_REPAID",IQ_FY-10), _xll.ciqfunctions.udf.CIQ(A2613, "IQ_TOTAL_DEBT_REPAID",IQ_FY-9))</f>
        <v>0</v>
      </c>
      <c r="O2613" s="15">
        <f t="shared" ref="O2613:O2623" si="697">(M2613+N2613)/I2613</f>
        <v>0</v>
      </c>
      <c r="P2613" s="15">
        <f t="shared" ref="P2613:P2623" si="698">L2613+O2613</f>
        <v>1.3999518095704608</v>
      </c>
      <c r="W2613" s="43"/>
      <c r="AA2613" s="43"/>
    </row>
    <row r="2614" spans="1:27">
      <c r="A2614" s="18" t="str">
        <f>_xll.ciqfunctions.udf.CIQ(A2613,"IQ_COMPANY_NAME")</f>
        <v>Power Integrations, Inc.</v>
      </c>
      <c r="B2614" s="13">
        <v>2</v>
      </c>
      <c r="C2614" s="14" t="s">
        <v>17</v>
      </c>
      <c r="D2614" s="15">
        <f>IF(A2621=A2622,_xll.ciqfunctions.udf.CIQ(A2613,"IQ_TOTAL_REV",IQ_FY-9)/I2614, _xll.ciqfunctions.udf.CIQ(A2613, "IQ_TOTAL_REV",IQ_FY-8)/I2614)</f>
        <v>5.9458490099343244</v>
      </c>
      <c r="E2614" s="16">
        <f t="shared" ref="E2614:E2623" si="699">(D2614-D2613)/D2613</f>
        <v>3.6572656696655229E-2</v>
      </c>
      <c r="F2614" s="15">
        <f>IF(A2621=A2622,_xll.ciqfunctions.udf.CIQ(A2613,"IQ_DILUT_EPS_EXCL",IQ_FY-9), _xll.ciqfunctions.udf.CIQ(A2613, "IQ_DILUT_EPS_EXCL",IQ_FY-8))</f>
        <v>0.96499999999999997</v>
      </c>
      <c r="G2614" s="15">
        <f>IF(A2621=A2622,_xll.ciqfunctions.udf.CIQ(A2613,"IQ_EBITDA_MARGIN",IQ_FY-9), _xll.ciqfunctions.udf.CIQ(A2613, "IQ_EBITDA_MARGIN",IQ_FY-8))</f>
        <v>22.520800000000001</v>
      </c>
      <c r="H2614" s="15">
        <f>IF(A2621=A2622,_xll.ciqfunctions.udf.CIQ(A2613,"IQ_TOTAL_DIV_PAID_CF",IQ_FY-9)/-I2614, _xll.ciqfunctions.udf.CIQ(A2613, "IQ_TOTAL_DIV_PAID_CF",IQ_FY-8)/-I2614)</f>
        <v>0.22442022785684904</v>
      </c>
      <c r="I2614" s="17">
        <f>IF(A2621=A2622,_xll.ciqfunctions.udf.CIQ(A2613,"IQ_TOTAL_OUTSTANDING_FILING_DATE",IQ_FY-9), _xll.ciqfunctions.udf.CIQ(A2613, "IQ_TOTAL_OUTSTANDING_FILING_DATE",IQ_FY-8))</f>
        <v>58.662269999999999</v>
      </c>
      <c r="J2614" s="17">
        <f>IF(A2621=A2622,_xll.ciqfunctions.udf.CIQ(A2613,"IQ_CASH_OPER",IQ_FY-9), _xll.ciqfunctions.udf.CIQ(A2613, "IQ_CASH_OPER",IQ_FY-8))</f>
        <v>85.561999999999998</v>
      </c>
      <c r="K2614" s="17">
        <f>IF(A2621=A2622,_xll.ciqfunctions.udf.CIQ(A2613,"IQ_CAPEX",IQ_FY-9), _xll.ciqfunctions.udf.CIQ(A2613, "IQ_CAPEX",IQ_FY-8))</f>
        <v>-23.071000000000002</v>
      </c>
      <c r="L2614" s="15">
        <f t="shared" si="696"/>
        <v>1.0652673345235362</v>
      </c>
      <c r="M2614" s="17">
        <f>IF(A2621=A2622,_xll.ciqfunctions.udf.CIQ(A2613,"IQ_TOTAL_DEBT_ISSUED",IQ_FY-9), _xll.ciqfunctions.udf.CIQ(A2613, "IQ_TOTAL_DEBT_ISSUED",IQ_FY-8))</f>
        <v>0</v>
      </c>
      <c r="N2614" s="17">
        <f>IF(A2621=A2622,_xll.ciqfunctions.udf.CIQ(A2613,"IQ_TOTAL_DEBT_REPAID",IQ_FY-9), _xll.ciqfunctions.udf.CIQ(A2613, "IQ_TOTAL_DEBT_REPAID",IQ_FY-8))</f>
        <v>0</v>
      </c>
      <c r="O2614" s="15">
        <f t="shared" si="697"/>
        <v>0</v>
      </c>
      <c r="P2614" s="15">
        <f t="shared" si="698"/>
        <v>1.0652673345235362</v>
      </c>
      <c r="Q2614" s="25" t="s">
        <v>18</v>
      </c>
      <c r="R2614" s="39" t="s">
        <v>19</v>
      </c>
      <c r="S2614" s="1">
        <f>R2612/((AVERAGE(P2618:P2623))*(1+E2624)^3)</f>
        <v>33.662495597184098</v>
      </c>
      <c r="U2614" s="25" t="s">
        <v>48</v>
      </c>
      <c r="V2614" s="39" t="s">
        <v>19</v>
      </c>
      <c r="W2614" s="1">
        <f>V2612/((AVERAGE(P2618:P2623))*(1+E2624)^3)</f>
        <v>33.662495597184098</v>
      </c>
      <c r="Y2614" s="25" t="s">
        <v>39</v>
      </c>
      <c r="Z2614" s="39" t="s">
        <v>19</v>
      </c>
      <c r="AA2614" s="1">
        <f>Z2612/((AVERAGE(P2618:P2623))*(1+E2624)^3)</f>
        <v>33.662495597184098</v>
      </c>
    </row>
    <row r="2615" spans="1:27">
      <c r="B2615" s="13">
        <v>3</v>
      </c>
      <c r="C2615" s="14" t="s">
        <v>20</v>
      </c>
      <c r="D2615" s="15" cm="1">
        <f t="array" ref="D2615">_xlfn.SINGLE(IF(A2621=A2622,_xll.ciqfunctions.udf.CIQ(A2613,"IQ_TOTAL_REV",IQ_FY-8)/I2615, _xll.ciqfunctions.udf.CIQ(A2613, "IQ_TOTAL_REV",IQ_FY-7)/I2615))</f>
        <v>5.9991093835736624</v>
      </c>
      <c r="E2615" s="16">
        <f t="shared" si="699"/>
        <v>8.9575725098889267E-3</v>
      </c>
      <c r="F2615" s="15">
        <f>IF(A2621=A2622,_xll.ciqfunctions.udf.CIQ(A2613,"IQ_DILUT_EPS_EXCL",IQ_FY-8), _xll.ciqfunctions.udf.CIQ(A2613, "IQ_DILUT_EPS_EXCL",IQ_FY-7))</f>
        <v>0.66</v>
      </c>
      <c r="G2615" s="15">
        <f>IF(A2621=A2622,_xll.ciqfunctions.udf.CIQ(A2613,"IQ_EBITDA_MARGIN",IQ_FY-8), _xll.ciqfunctions.udf.CIQ(A2613, "IQ_EBITDA_MARGIN",IQ_FY-7))</f>
        <v>18.11</v>
      </c>
      <c r="H2615" s="15">
        <f>IF(A2621=A2622,_xll.ciqfunctions.udf.CIQ(A2613,"IQ_TOTAL_DIV_PAID_CF",IQ_FY-8)/-I2615, _xll.ciqfunctions.udf.CIQ(A2613, "IQ_TOTAL_DIV_PAID_CF",IQ_FY-7)/-I2615)</f>
        <v>0.24225602402087901</v>
      </c>
      <c r="I2615" s="17">
        <f>IF(A2621=A2622,_xll.ciqfunctions.udf.CIQ(A2613,"IQ_TOTAL_OUTSTANDING_FILING_DATE",IQ_FY-8), _xll.ciqfunctions.udf.CIQ(A2613, "IQ_TOTAL_OUTSTANDING_FILING_DATE",IQ_FY-7))</f>
        <v>57.443359999999998</v>
      </c>
      <c r="J2615" s="17">
        <f>IF(A2621=A2622,_xll.ciqfunctions.udf.CIQ(A2613,"IQ_CASH_OPER",IQ_FY-8), _xll.ciqfunctions.udf.CIQ(A2613, "IQ_CASH_OPER",IQ_FY-7))</f>
        <v>92.186999999999998</v>
      </c>
      <c r="K2615" s="17">
        <f>IF(A2621=A2622,_xll.ciqfunctions.udf.CIQ(A2613,"IQ_CAPEX",IQ_FY-8), _xll.ciqfunctions.udf.CIQ(A2613, "IQ_CAPEX",IQ_FY-7))</f>
        <v>-11.359</v>
      </c>
      <c r="L2615" s="15">
        <f t="shared" si="696"/>
        <v>1.4070903930410756</v>
      </c>
      <c r="M2615" s="17">
        <f>IF(A2621=A2622,_xll.ciqfunctions.udf.CIQ(A2613,"IQ_TOTAL_DEBT_ISSUED",IQ_FY-8), _xll.ciqfunctions.udf.CIQ(A2613, "IQ_TOTAL_DEBT_ISSUED",IQ_FY-7))</f>
        <v>0</v>
      </c>
      <c r="N2615" s="17">
        <f>IF(A2621=A2622,_xll.ciqfunctions.udf.CIQ(A2613,"IQ_TOTAL_DEBT_REPAID",IQ_FY-8), _xll.ciqfunctions.udf.CIQ(A2613, "IQ_TOTAL_DEBT_REPAID",IQ_FY-7))</f>
        <v>0</v>
      </c>
      <c r="O2615" s="15">
        <f t="shared" si="697"/>
        <v>0</v>
      </c>
      <c r="P2615" s="15">
        <f t="shared" si="698"/>
        <v>1.4070903930410756</v>
      </c>
      <c r="Q2615" s="25" t="s">
        <v>21</v>
      </c>
      <c r="R2615" s="38" t="s">
        <v>49</v>
      </c>
      <c r="S2615" s="2">
        <f>(R2612*I2623)/1000</f>
        <v>4.3871596999999998</v>
      </c>
      <c r="U2615" s="25" t="s">
        <v>59</v>
      </c>
      <c r="V2615" s="38" t="s">
        <v>49</v>
      </c>
      <c r="W2615" s="2">
        <f>(V2612*I2623)/1000</f>
        <v>4.3871596999999998</v>
      </c>
      <c r="Y2615" s="25" t="s">
        <v>46</v>
      </c>
      <c r="Z2615" s="38" t="s">
        <v>49</v>
      </c>
      <c r="AA2615" s="2">
        <f>(Z2612*I2623)/1000</f>
        <v>4.3871596999999998</v>
      </c>
    </row>
    <row r="2616" spans="1:27">
      <c r="A2616" s="18"/>
      <c r="B2616" s="13">
        <v>4</v>
      </c>
      <c r="C2616" s="14" t="s">
        <v>22</v>
      </c>
      <c r="D2616" s="15" cm="1">
        <f t="array" ref="D2616">_xlfn.SINGLE(IF(A2621=A2622,_xll.ciqfunctions.udf.CIQ(A2613,"IQ_TOTAL_REV",IQ_FY-7)/I2616, _xll.ciqfunctions.udf.CIQ(A2613, "IQ_TOTAL_REV",IQ_FY-6)/I2616))</f>
        <v>6.6236161420769299</v>
      </c>
      <c r="E2616" s="16">
        <f t="shared" si="699"/>
        <v>0.10409991193246915</v>
      </c>
      <c r="F2616" s="15">
        <f>IF(A2621=A2622,_xll.ciqfunctions.udf.CIQ(A2613,"IQ_DILUT_EPS_EXCL",IQ_FY-7), _xll.ciqfunctions.udf.CIQ(A2613, "IQ_DILUT_EPS_EXCL",IQ_FY-6))</f>
        <v>0.82499999999999996</v>
      </c>
      <c r="G2616" s="15">
        <f>IF(A2621=A2622,_xll.ciqfunctions.udf.CIQ(A2613,"IQ_EBITDA_MARGIN",IQ_FY-7), _xll.ciqfunctions.udf.CIQ(A2613, "IQ_EBITDA_MARGIN",IQ_FY-6))</f>
        <v>18.566800000000001</v>
      </c>
      <c r="H2616" s="15">
        <f>IF(A2621=A2622,_xll.ciqfunctions.udf.CIQ(A2613,"IQ_TOTAL_DIV_PAID_CF",IQ_FY-7)/-I2616, _xll.ciqfunctions.udf.CIQ(A2613, "IQ_TOTAL_DIV_PAID_CF",IQ_FY-6)/-I2616)</f>
        <v>0.25588941715210411</v>
      </c>
      <c r="I2616" s="17">
        <f>IF(A2621=A2622,_xll.ciqfunctions.udf.CIQ(A2613,"IQ_TOTAL_OUTSTANDING_FILING_DATE",IQ_FY-7), _xll.ciqfunctions.udf.CIQ(A2613, "IQ_TOTAL_OUTSTANDING_FILING_DATE",IQ_FY-6))</f>
        <v>58.830100000000002</v>
      </c>
      <c r="J2616" s="17">
        <f>IF(A2621=A2622,_xll.ciqfunctions.udf.CIQ(A2613,"IQ_CASH_OPER",IQ_FY-7), _xll.ciqfunctions.udf.CIQ(A2613, "IQ_CASH_OPER",IQ_FY-6))</f>
        <v>97.900999999999996</v>
      </c>
      <c r="K2616" s="17">
        <f>IF(A2621=A2622,_xll.ciqfunctions.udf.CIQ(A2613,"IQ_CAPEX",IQ_FY-7), _xll.ciqfunctions.udf.CIQ(A2613, "IQ_CAPEX",IQ_FY-6))</f>
        <v>-12.198</v>
      </c>
      <c r="L2616" s="15">
        <f t="shared" si="696"/>
        <v>1.4567882767494871</v>
      </c>
      <c r="M2616" s="17">
        <f>IF(A2621=A2622,_xll.ciqfunctions.udf.CIQ(A2613,"IQ_TOTAL_DEBT_ISSUED",IQ_FY-7), _xll.ciqfunctions.udf.CIQ(A2613, "IQ_TOTAL_DEBT_ISSUED",IQ_FY-6))</f>
        <v>0</v>
      </c>
      <c r="N2616" s="17">
        <f>IF(A2621=A2622,_xll.ciqfunctions.udf.CIQ(A2613,"IQ_TOTAL_DEBT_REPAID",IQ_FY-7), _xll.ciqfunctions.udf.CIQ(A2613, "IQ_TOTAL_DEBT_REPAID",IQ_FY-6))</f>
        <v>0</v>
      </c>
      <c r="O2616" s="15">
        <f t="shared" si="697"/>
        <v>0</v>
      </c>
      <c r="P2616" s="15">
        <f t="shared" si="698"/>
        <v>1.4567882767494871</v>
      </c>
      <c r="Q2616" s="25" t="s">
        <v>23</v>
      </c>
      <c r="R2616" s="38" t="s">
        <v>24</v>
      </c>
      <c r="S2616" s="1">
        <f>R2612/(AVERAGE(H2618:H2623)*(1+H2624)/(0.5-H2624))</f>
        <v>39.746565372331354</v>
      </c>
      <c r="U2616" s="25" t="s">
        <v>40</v>
      </c>
      <c r="V2616" s="38" t="s">
        <v>24</v>
      </c>
      <c r="W2616" s="1">
        <f>V2612/(AVERAGE(H2618:H2623)*(1+H2624)/(0.5-H2624))</f>
        <v>39.746565372331354</v>
      </c>
      <c r="Y2616" s="25" t="s">
        <v>47</v>
      </c>
      <c r="Z2616" s="38" t="s">
        <v>24</v>
      </c>
      <c r="AA2616" s="1">
        <f>Z2612/(AVERAGE(H2618:H2623)*(1+H2624)/(0.5-H2624))</f>
        <v>39.746565372331354</v>
      </c>
    </row>
    <row r="2617" spans="1:27">
      <c r="B2617" s="13">
        <v>5</v>
      </c>
      <c r="C2617" s="14" t="s">
        <v>25</v>
      </c>
      <c r="D2617" s="15" cm="1">
        <f t="array" ref="D2617">_xlfn.SINGLE(IF(A2621=A2622,_xll.ciqfunctions.udf.CIQ(A2613,"IQ_TOTAL_REV",IQ_FY-6)/I2617, _xll.ciqfunctions.udf.CIQ(A2613, "IQ_TOTAL_REV",IQ_FY-5)/I2617))</f>
        <v>7.2358125249919647</v>
      </c>
      <c r="E2617" s="16">
        <f t="shared" si="699"/>
        <v>9.24263075914106E-2</v>
      </c>
      <c r="F2617" s="15">
        <f>IF(A2621=A2622,_xll.ciqfunctions.udf.CIQ(A2613,"IQ_DILUT_EPS_EXCL",IQ_FY-6), _xll.ciqfunctions.udf.CIQ(A2613, "IQ_DILUT_EPS_EXCL",IQ_FY-5))</f>
        <v>0.45</v>
      </c>
      <c r="G2617" s="15">
        <f>IF(A2621=A2622,_xll.ciqfunctions.udf.CIQ(A2613,"IQ_EBITDA_MARGIN",IQ_FY-6), _xll.ciqfunctions.udf.CIQ(A2613, "IQ_EBITDA_MARGIN",IQ_FY-5))</f>
        <v>19.013999999999999</v>
      </c>
      <c r="H2617" s="15">
        <f>IF(A2621=A2622,_xll.ciqfunctions.udf.CIQ(A2613,"IQ_TOTAL_DIV_PAID_CF",IQ_FY-6)/-I2617, _xll.ciqfunctions.udf.CIQ(A2613, "IQ_TOTAL_DIV_PAID_CF",IQ_FY-5)/-I2617)</f>
        <v>0.27877038028677453</v>
      </c>
      <c r="I2617" s="17">
        <f>IF(A2621=A2622,_xll.ciqfunctions.udf.CIQ(A2613,"IQ_TOTAL_OUTSTANDING_FILING_DATE",IQ_FY-6), _xll.ciqfunctions.udf.CIQ(A2613, "IQ_TOTAL_OUTSTANDING_FILING_DATE",IQ_FY-5))</f>
        <v>59.669179999999997</v>
      </c>
      <c r="J2617" s="17">
        <f>IF(A2621=A2622,_xll.ciqfunctions.udf.CIQ(A2613,"IQ_CASH_OPER",IQ_FY-6), _xll.ciqfunctions.udf.CIQ(A2613, "IQ_CASH_OPER",IQ_FY-5))</f>
        <v>82.039000000000001</v>
      </c>
      <c r="K2617" s="17">
        <f>IF(A2621=A2622,_xll.ciqfunctions.udf.CIQ(A2613,"IQ_CAPEX",IQ_FY-6), _xll.ciqfunctions.udf.CIQ(A2613, "IQ_CAPEX",IQ_FY-5))</f>
        <v>-32.496000000000002</v>
      </c>
      <c r="L2617" s="15">
        <f t="shared" si="696"/>
        <v>0.83029463451651253</v>
      </c>
      <c r="M2617" s="17">
        <f>IF(A2621=A2622,_xll.ciqfunctions.udf.CIQ(A2613,"IQ_TOTAL_DEBT_ISSUED",IQ_FY-6), _xll.ciqfunctions.udf.CIQ(A2613, "IQ_TOTAL_DEBT_ISSUED",IQ_FY-5))</f>
        <v>5</v>
      </c>
      <c r="N2617" s="17">
        <f>IF(A2621=A2622,_xll.ciqfunctions.udf.CIQ(A2613,"IQ_TOTAL_DEBT_REPAID",IQ_FY-6), _xll.ciqfunctions.udf.CIQ(A2613, "IQ_TOTAL_DEBT_REPAID",IQ_FY-5))</f>
        <v>-5</v>
      </c>
      <c r="O2617" s="15">
        <f t="shared" si="697"/>
        <v>0</v>
      </c>
      <c r="P2617" s="15">
        <f t="shared" si="698"/>
        <v>0.83029463451651253</v>
      </c>
      <c r="Q2617" s="18"/>
      <c r="R2617" s="38" t="s">
        <v>50</v>
      </c>
      <c r="S2617" s="3">
        <f>I2624</f>
        <v>-1.4475661292978614E-3</v>
      </c>
      <c r="U2617" s="18"/>
      <c r="V2617" s="38" t="s">
        <v>50</v>
      </c>
      <c r="W2617" s="3">
        <f>I2624</f>
        <v>-1.4475661292978614E-3</v>
      </c>
      <c r="Y2617" s="18"/>
      <c r="Z2617" s="38" t="s">
        <v>50</v>
      </c>
      <c r="AA2617" s="3">
        <f>I2624</f>
        <v>-1.4475661292978614E-3</v>
      </c>
    </row>
    <row r="2618" spans="1:27">
      <c r="B2618" s="13">
        <v>6</v>
      </c>
      <c r="C2618" s="14" t="s">
        <v>26</v>
      </c>
      <c r="D2618" s="15" cm="1">
        <f t="array" ref="D2618">_xlfn.SINGLE(IF(A2621=A2622,_xll.ciqfunctions.udf.CIQ(A2613,"IQ_TOTAL_REV",IQ_FY-5)/I2618, _xll.ciqfunctions.udf.CIQ(A2613, "IQ_TOTAL_REV",IQ_FY-4)/I2618))</f>
        <v>7.1960598693912239</v>
      </c>
      <c r="E2618" s="16">
        <f t="shared" si="699"/>
        <v>-5.4938758381920571E-3</v>
      </c>
      <c r="F2618" s="15">
        <f>IF(A2621=A2622,_xll.ciqfunctions.udf.CIQ(A2613,"IQ_DILUT_EPS_EXCL",IQ_FY-5), _xll.ciqfunctions.udf.CIQ(A2613, "IQ_DILUT_EPS_EXCL",IQ_FY-4))</f>
        <v>1.1599999999999999</v>
      </c>
      <c r="G2618" s="15">
        <f>IF(A2621=A2622,_xll.ciqfunctions.udf.CIQ(A2613,"IQ_EBITDA_MARGIN",IQ_FY-5), _xll.ciqfunctions.udf.CIQ(A2613, "IQ_EBITDA_MARGIN",IQ_FY-4))</f>
        <v>19.192699999999999</v>
      </c>
      <c r="H2618" s="15">
        <f>IF(A2621=A2622,_xll.ciqfunctions.udf.CIQ(A2613,"IQ_TOTAL_DIV_PAID_CF",IQ_FY-5)/-I2618, _xll.ciqfunctions.udf.CIQ(A2613, "IQ_TOTAL_DIV_PAID_CF",IQ_FY-4)/-I2618)</f>
        <v>0.32563963631054083</v>
      </c>
      <c r="I2618" s="17">
        <f>IF(A2621=A2622,_xll.ciqfunctions.udf.CIQ(A2613,"IQ_TOTAL_OUTSTANDING_FILING_DATE",IQ_FY-5), _xll.ciqfunctions.udf.CIQ(A2613, "IQ_TOTAL_OUTSTANDING_FILING_DATE",IQ_FY-4))</f>
        <v>57.803159999999998</v>
      </c>
      <c r="J2618" s="17">
        <f>IF(A2621=A2622,_xll.ciqfunctions.udf.CIQ(A2613,"IQ_CASH_OPER",IQ_FY-5), _xll.ciqfunctions.udf.CIQ(A2613, "IQ_CASH_OPER",IQ_FY-4))</f>
        <v>83.963999999999999</v>
      </c>
      <c r="K2618" s="17">
        <f>IF(A2621=A2622,_xll.ciqfunctions.udf.CIQ(A2613,"IQ_CAPEX",IQ_FY-5), _xll.ciqfunctions.udf.CIQ(A2613, "IQ_CAPEX",IQ_FY-4))</f>
        <v>-24.677</v>
      </c>
      <c r="L2618" s="15">
        <f t="shared" si="696"/>
        <v>1.0256705688754733</v>
      </c>
      <c r="M2618" s="17">
        <f>IF(A2621=A2622,_xll.ciqfunctions.udf.CIQ(A2613,"IQ_TOTAL_DEBT_ISSUED",IQ_FY-5), _xll.ciqfunctions.udf.CIQ(A2613, "IQ_TOTAL_DEBT_ISSUED",IQ_FY-4))</f>
        <v>8</v>
      </c>
      <c r="N2618" s="17">
        <f>IF(A2621=A2622,_xll.ciqfunctions.udf.CIQ(A2613,"IQ_TOTAL_DEBT_REPAID",IQ_FY-5), _xll.ciqfunctions.udf.CIQ(A2613, "IQ_TOTAL_DEBT_REPAID",IQ_FY-4))</f>
        <v>-8</v>
      </c>
      <c r="O2618" s="15">
        <f t="shared" si="697"/>
        <v>0</v>
      </c>
      <c r="P2618" s="15">
        <f t="shared" si="698"/>
        <v>1.0256705688754733</v>
      </c>
      <c r="Q2618" s="25" t="s">
        <v>27</v>
      </c>
      <c r="R2618" s="38" t="s">
        <v>51</v>
      </c>
      <c r="S2618" s="4">
        <f>AVERAGE(F2618:F2623)/AVERAGE(D2618:D2623)</f>
        <v>0.22713212177613623</v>
      </c>
      <c r="U2618" s="25" t="s">
        <v>58</v>
      </c>
      <c r="V2618" s="38" t="s">
        <v>51</v>
      </c>
      <c r="W2618" s="4">
        <f>AVERAGE(F2618:F2623)/AVERAGE(D2618:D2623)</f>
        <v>0.22713212177613623</v>
      </c>
      <c r="Y2618" s="25" t="s">
        <v>56</v>
      </c>
      <c r="Z2618" s="38" t="s">
        <v>51</v>
      </c>
      <c r="AA2618" s="4">
        <f>AVERAGE(F2618:F2623)/AVERAGE(D2618:D2623)</f>
        <v>0.22713212177613623</v>
      </c>
    </row>
    <row r="2619" spans="1:27">
      <c r="A2619" s="18"/>
      <c r="B2619" s="13">
        <v>7</v>
      </c>
      <c r="C2619" s="14" t="s">
        <v>28</v>
      </c>
      <c r="D2619" s="15" cm="1">
        <f t="array" ref="D2619">_xlfn.SINGLE(IF(A2621=A2622,_xll.ciqfunctions.udf.CIQ(A2613,"IQ_TOTAL_REV",IQ_FY-4)/I2619, _xll.ciqfunctions.udf.CIQ(A2613, "IQ_TOTAL_REV",IQ_FY-3)/I2619))</f>
        <v>7.1207381602868143</v>
      </c>
      <c r="E2619" s="16">
        <f t="shared" si="699"/>
        <v>-1.0467076493456372E-2</v>
      </c>
      <c r="F2619" s="15">
        <f>IF(A2621=A2622,_xll.ciqfunctions.udf.CIQ(A2613,"IQ_DILUT_EPS_EXCL",IQ_FY-4), _xll.ciqfunctions.udf.CIQ(A2613, "IQ_DILUT_EPS_EXCL",IQ_FY-3))</f>
        <v>3.24</v>
      </c>
      <c r="G2619" s="15">
        <f>IF(A2621=A2622,_xll.ciqfunctions.udf.CIQ(A2613,"IQ_EBITDA_MARGIN",IQ_FY-4), _xll.ciqfunctions.udf.CIQ(A2613, "IQ_EBITDA_MARGIN",IQ_FY-3))</f>
        <v>17.2239</v>
      </c>
      <c r="H2619" s="15">
        <f>IF(A2621=A2622,_xll.ciqfunctions.udf.CIQ(A2613,"IQ_TOTAL_DIV_PAID_CF",IQ_FY-4)/-I2619, _xll.ciqfunctions.udf.CIQ(A2613, "IQ_TOTAL_DIV_PAID_CF",IQ_FY-3)/-I2619)</f>
        <v>0.34710866908386739</v>
      </c>
      <c r="I2619" s="17">
        <f>IF(A2621=A2622,_xll.ciqfunctions.udf.CIQ(A2613,"IQ_TOTAL_OUTSTANDING_FILING_DATE",IQ_FY-4), _xll.ciqfunctions.udf.CIQ(A2613, "IQ_TOTAL_OUTSTANDING_FILING_DATE",IQ_FY-3))</f>
        <v>59.076599999999999</v>
      </c>
      <c r="J2619" s="17">
        <f>IF(A2621=A2622,_xll.ciqfunctions.udf.CIQ(A2613,"IQ_CASH_OPER",IQ_FY-4), _xll.ciqfunctions.udf.CIQ(A2613, "IQ_CASH_OPER",IQ_FY-3))</f>
        <v>224.499</v>
      </c>
      <c r="K2619" s="17">
        <f>IF(A2621=A2622,_xll.ciqfunctions.udf.CIQ(A2613,"IQ_CAPEX",IQ_FY-4), _xll.ciqfunctions.udf.CIQ(A2613, "IQ_CAPEX",IQ_FY-3))</f>
        <v>-24.114000000000001</v>
      </c>
      <c r="L2619" s="15">
        <f t="shared" si="696"/>
        <v>3.3919521434882847</v>
      </c>
      <c r="M2619" s="17">
        <f>IF(A2621=A2622,_xll.ciqfunctions.udf.CIQ(A2613,"IQ_TOTAL_DEBT_ISSUED",IQ_FY-4), _xll.ciqfunctions.udf.CIQ(A2613, "IQ_TOTAL_DEBT_ISSUED",IQ_FY-3))</f>
        <v>0</v>
      </c>
      <c r="N2619" s="17">
        <f>IF(A2621=A2622,_xll.ciqfunctions.udf.CIQ(A2613,"IQ_TOTAL_DEBT_REPAID",IQ_FY-4), _xll.ciqfunctions.udf.CIQ(A2613, "IQ_TOTAL_DEBT_REPAID",IQ_FY-3))</f>
        <v>0</v>
      </c>
      <c r="O2619" s="15">
        <f t="shared" si="697"/>
        <v>0</v>
      </c>
      <c r="P2619" s="15">
        <f t="shared" si="698"/>
        <v>3.3919521434882847</v>
      </c>
      <c r="Q2619" s="18"/>
      <c r="R2619" s="38" t="s">
        <v>29</v>
      </c>
      <c r="S2619" s="4">
        <f>(AVERAGE(P2618:P2623)/_xlfn.STDEV.P(P2618:P2623))/(IF(A2621=A2622,(_xlfn.SINGLE(_xll.ciqfunctions.udf.CIQ(A2613,"IQ_total_assets",IQ_FY)) - _xlfn.SINGLE(_xll.ciqfunctions.udf.CIQ(A2613,"iq_gw_intan", IQ_FY)))/I2623, (_xlfn.SINGLE(_xll.ciqfunctions.udf.CIQ(A2613, "IQ_total_assets",IQ_LTM))-_xlfn.SINGLE(_xll.ciqfunctions.udf.CIQ(A2613,"iq_gw_intan",IQ_LTM)))/I2623))</f>
        <v>0.13777439639737335</v>
      </c>
      <c r="U2619" s="18"/>
      <c r="V2619" s="38" t="s">
        <v>29</v>
      </c>
      <c r="W2619" s="4">
        <f>(AVERAGE(P2618:P2623)/_xlfn.STDEV.P(P2618:P2623))/(IF(A2621=A2622,(_xlfn.SINGLE(_xll.ciqfunctions.udf.CIQ(A2613,"IQ_total_assets",IQ_FY)) - _xlfn.SINGLE(_xll.ciqfunctions.udf.CIQ(A2613,"iq_gw_intan", IQ_FY)))/I2623, (_xlfn.SINGLE(_xll.ciqfunctions.udf.CIQ(A2613, "IQ_total_assets",IQ_LTM))-_xlfn.SINGLE(_xll.ciqfunctions.udf.CIQ(A2613,"iq_gw_intan",IQ_LTM)))/I2623))</f>
        <v>0.13777439639737335</v>
      </c>
      <c r="Y2619" s="18"/>
      <c r="Z2619" s="38" t="s">
        <v>29</v>
      </c>
      <c r="AA2619" s="4">
        <f>(AVERAGE(P2618:P2623)/_xlfn.STDEV.P(P2618:P2623))/(IF(A2621=A2622,(_xlfn.SINGLE(_xll.ciqfunctions.udf.CIQ(A2613,"IQ_total_assets",IQ_FY)) - _xlfn.SINGLE(_xll.ciqfunctions.udf.CIQ(A2613,"iq_gw_intan", IQ_FY)))/I2623, (_xlfn.SINGLE(_xll.ciqfunctions.udf.CIQ(A2613, "IQ_total_assets",IQ_LTM))-_xlfn.SINGLE(_xll.ciqfunctions.udf.CIQ(A2613,"iq_gw_intan",IQ_LTM)))/I2623))</f>
        <v>0.13777439639737335</v>
      </c>
    </row>
    <row r="2620" spans="1:27">
      <c r="A2620" s="18"/>
      <c r="B2620" s="13">
        <v>8</v>
      </c>
      <c r="C2620" s="14" t="s">
        <v>30</v>
      </c>
      <c r="D2620" s="15" cm="1">
        <f t="array" ref="D2620">_xlfn.SINGLE(IF(A2621=A2622,_xll.ciqfunctions.udf.CIQ(A2613,"IQ_TOTAL_REV",IQ_FY-3)/I2620, _xll.ciqfunctions.udf.CIQ(A2613, "IQ_TOTAL_REV",IQ_FY-2)/I2620))</f>
        <v>8.1313341057510709</v>
      </c>
      <c r="E2620" s="16">
        <f t="shared" si="699"/>
        <v>0.14192291904517257</v>
      </c>
      <c r="F2620" s="15">
        <f>IF(A2621=A2622,_xll.ciqfunctions.udf.CIQ(A2613,"IQ_DILUT_EPS_EXCL",IQ_FY-3), _xll.ciqfunctions.udf.CIQ(A2613, "IQ_DILUT_EPS_EXCL",IQ_FY-2))</f>
        <v>1.17</v>
      </c>
      <c r="G2620" s="15">
        <f>IF(A2621=A2622,_xll.ciqfunctions.udf.CIQ(A2613,"IQ_EBITDA_MARGIN",IQ_FY-3), _xll.ciqfunctions.udf.CIQ(A2613, "IQ_EBITDA_MARGIN",IQ_FY-2))</f>
        <v>20.189499999999999</v>
      </c>
      <c r="H2620" s="15">
        <f>IF(A2621=A2622,_xll.ciqfunctions.udf.CIQ(A2613,"IQ_TOTAL_DIV_PAID_CF",IQ_FY-3)/-I2620, _xll.ciqfunctions.udf.CIQ(A2613, "IQ_TOTAL_DIV_PAID_CF",IQ_FY-2)/-I2620)</f>
        <v>0.41764176357689581</v>
      </c>
      <c r="I2620" s="17">
        <f>IF(A2621=A2622,_xll.ciqfunctions.udf.CIQ(A2613,"IQ_TOTAL_OUTSTANDING_FILING_DATE",IQ_FY-3), _xll.ciqfunctions.udf.CIQ(A2613, "IQ_TOTAL_OUTSTANDING_FILING_DATE",IQ_FY-2))</f>
        <v>60.05386</v>
      </c>
      <c r="J2620" s="17">
        <f>IF(A2621=A2622,_xll.ciqfunctions.udf.CIQ(A2613,"IQ_CASH_OPER",IQ_FY-3), _xll.ciqfunctions.udf.CIQ(A2613, "IQ_CASH_OPER",IQ_FY-2))</f>
        <v>125.639</v>
      </c>
      <c r="K2620" s="17">
        <f>IF(A2621=A2622,_xll.ciqfunctions.udf.CIQ(A2613,"IQ_CAPEX",IQ_FY-3), _xll.ciqfunctions.udf.CIQ(A2613, "IQ_CAPEX",IQ_FY-2))</f>
        <v>-70.597999999999999</v>
      </c>
      <c r="L2620" s="15">
        <f t="shared" si="696"/>
        <v>0.91652726402599261</v>
      </c>
      <c r="M2620" s="17">
        <f>IF(A2621=A2622,_xll.ciqfunctions.udf.CIQ(A2613,"IQ_TOTAL_DEBT_ISSUED",IQ_FY-3), _xll.ciqfunctions.udf.CIQ(A2613, "IQ_TOTAL_DEBT_ISSUED",IQ_FY-2))</f>
        <v>0</v>
      </c>
      <c r="N2620" s="17">
        <f>IF(A2621=A2622,_xll.ciqfunctions.udf.CIQ(A2613,"IQ_TOTAL_DEBT_REPAID",IQ_FY-3), _xll.ciqfunctions.udf.CIQ(A2613, "IQ_TOTAL_DEBT_REPAID",IQ_FY-2))</f>
        <v>0</v>
      </c>
      <c r="O2620" s="15">
        <f t="shared" si="697"/>
        <v>0</v>
      </c>
      <c r="P2620" s="15">
        <f t="shared" si="698"/>
        <v>0.91652726402599261</v>
      </c>
      <c r="Q2620" s="18"/>
      <c r="R2620" s="39" t="s">
        <v>31</v>
      </c>
      <c r="S2620" s="5">
        <f>IF(NOT(D2613&gt;0),FALSE,SLOPE(G2613:G2623,B2613:B2623))</f>
        <v>0.61587090909090925</v>
      </c>
      <c r="U2620" s="18"/>
      <c r="V2620" s="39" t="s">
        <v>31</v>
      </c>
      <c r="W2620" s="5">
        <f>IF(NOT(D2613&gt;0),FALSE,SLOPE(G2613:G2623,B2613:B2623))</f>
        <v>0.61587090909090925</v>
      </c>
      <c r="Y2620" s="18"/>
      <c r="Z2620" s="39" t="s">
        <v>31</v>
      </c>
      <c r="AA2620" s="5">
        <f>IF(NOT(L2613&gt;0),FALSE,SLOPE(O2613:O2623,J2613:J2623))</f>
        <v>0</v>
      </c>
    </row>
    <row r="2621" spans="1:27">
      <c r="A2621" s="19">
        <f>_xll.ciqfunctions.udf.CIQ(A2613,"IQ_TOTAL_REV",IQ_FY)</f>
        <v>651.13800000000003</v>
      </c>
      <c r="B2621" s="13">
        <v>9</v>
      </c>
      <c r="C2621" s="14" t="s">
        <v>32</v>
      </c>
      <c r="D2621" s="15" cm="1">
        <f t="array" ref="D2621">_xlfn.SINGLE(IF(A2621=A2622,_xll.ciqfunctions.udf.CIQ(A2613,"IQ_TOTAL_REV",IQ_FY-2)/I2621, _xll.ciqfunctions.udf.CIQ(A2613, "IQ_TOTAL_REV",IQ_FY-1)/I2621))</f>
        <v>11.887962473852136</v>
      </c>
      <c r="E2621" s="16">
        <f t="shared" si="699"/>
        <v>0.46199409829244437</v>
      </c>
      <c r="F2621" s="15">
        <f>IF(A2621=A2622,_xll.ciqfunctions.udf.CIQ(A2613,"IQ_DILUT_EPS_EXCL",IQ_FY-2), _xll.ciqfunctions.udf.CIQ(A2613, "IQ_DILUT_EPS_EXCL",IQ_FY-1))</f>
        <v>2.67</v>
      </c>
      <c r="G2621" s="15">
        <f>IF(A2621=A2622,_xll.ciqfunctions.udf.CIQ(A2613,"IQ_EBITDA_MARGIN",IQ_FY-2), _xll.ciqfunctions.udf.CIQ(A2613, "IQ_EBITDA_MARGIN",IQ_FY-1))</f>
        <v>29.861000000000001</v>
      </c>
      <c r="H2621" s="15">
        <f>IF(A2621=A2622,_xll.ciqfunctions.udf.CIQ(A2613,"IQ_TOTAL_DIV_PAID_CF",IQ_FY-2)/-I2621, _xll.ciqfunctions.udf.CIQ(A2613, "IQ_TOTAL_DIV_PAID_CF",IQ_FY-1)/-I2621)</f>
        <v>0.55104274515604201</v>
      </c>
      <c r="I2621" s="17">
        <f>IF(A2621=A2622,_xll.ciqfunctions.udf.CIQ(A2613,"IQ_TOTAL_OUTSTANDING_FILING_DATE",IQ_FY-2), _xll.ciqfunctions.udf.CIQ(A2613, "IQ_TOTAL_OUTSTANDING_FILING_DATE",IQ_FY-1))</f>
        <v>59.158749999999998</v>
      </c>
      <c r="J2621" s="17">
        <f>IF(A2621=A2622,_xll.ciqfunctions.udf.CIQ(A2613,"IQ_CASH_OPER",IQ_FY-2), _xll.ciqfunctions.udf.CIQ(A2613, "IQ_CASH_OPER",IQ_FY-1))</f>
        <v>230.86799999999999</v>
      </c>
      <c r="K2621" s="17">
        <f>IF(A2621=A2622,_xll.ciqfunctions.udf.CIQ(A2613,"IQ_CAPEX",IQ_FY-2), _xll.ciqfunctions.udf.CIQ(A2613, "IQ_CAPEX",IQ_FY-1))</f>
        <v>-47.271999999999998</v>
      </c>
      <c r="L2621" s="15">
        <f t="shared" si="696"/>
        <v>3.1034462357639403</v>
      </c>
      <c r="M2621" s="17">
        <f>IF(A2621=A2622,_xll.ciqfunctions.udf.CIQ(A2613,"IQ_TOTAL_DEBT_ISSUED",IQ_FY-2), _xll.ciqfunctions.udf.CIQ(A2613, "IQ_TOTAL_DEBT_ISSUED",IQ_FY-1))</f>
        <v>0</v>
      </c>
      <c r="N2621" s="17">
        <f>IF(A2621=A2622,_xll.ciqfunctions.udf.CIQ(A2613,"IQ_TOTAL_DEBT_REPAID",IQ_FY-2), _xll.ciqfunctions.udf.CIQ(A2613, "IQ_TOTAL_DEBT_REPAID",IQ_FY-1))</f>
        <v>0</v>
      </c>
      <c r="O2621" s="15">
        <f t="shared" si="697"/>
        <v>0</v>
      </c>
      <c r="P2621" s="15">
        <f t="shared" si="698"/>
        <v>3.1034462357639403</v>
      </c>
      <c r="Q2621" s="25" t="s">
        <v>33</v>
      </c>
      <c r="R2621" s="38" t="s">
        <v>52</v>
      </c>
      <c r="S2621" s="4">
        <f>(AVERAGE(O2618:O2623)/AVERAGE(P2618:P2623))</f>
        <v>0</v>
      </c>
      <c r="U2621" s="25" t="s">
        <v>54</v>
      </c>
      <c r="V2621" s="38" t="s">
        <v>52</v>
      </c>
      <c r="W2621" s="4">
        <f>(AVERAGE(O2618:O2623)/AVERAGE(P2618:P2623))</f>
        <v>0</v>
      </c>
      <c r="Y2621" s="25" t="s">
        <v>60</v>
      </c>
      <c r="Z2621" s="38" t="s">
        <v>52</v>
      </c>
      <c r="AA2621" s="4">
        <f>(AVERAGE(O2618:O2623)/AVERAGE(P2618:P2623))</f>
        <v>0</v>
      </c>
    </row>
    <row r="2622" spans="1:27">
      <c r="A2622" s="19">
        <f>_xll.ciqfunctions.udf.CIQ(A2613,"IQ_TOTAL_REV",IQ_LTM)</f>
        <v>479.80099999999999</v>
      </c>
      <c r="B2622" s="13">
        <v>10</v>
      </c>
      <c r="C2622" s="14" t="s">
        <v>34</v>
      </c>
      <c r="D2622" s="15" cm="1">
        <f t="array" ref="D2622">_xlfn.SINGLE(IF(A2621=A2622,_xll.ciqfunctions.udf.CIQ(A2613,"IQ_TOTAL_REV",IQ_FY-1)/I2622, _xll.ciqfunctions.udf.CIQ(A2613, "IQ_TOTAL_REV",IQ_FY)/I2622))</f>
        <v>11.42613176328388</v>
      </c>
      <c r="E2622" s="16">
        <f t="shared" si="699"/>
        <v>-3.8848600976329098E-2</v>
      </c>
      <c r="F2622" s="15">
        <f>IF(A2621=A2622,_xll.ciqfunctions.udf.CIQ(A2613,"IQ_DILUT_EPS_EXCL",IQ_FY-1), _xll.ciqfunctions.udf.CIQ(A2613, "IQ_DILUT_EPS_EXCL",IQ_FY))</f>
        <v>2.93</v>
      </c>
      <c r="G2622" s="15">
        <f>IF(A2621=A2622,_xll.ciqfunctions.udf.CIQ(A2613,"IQ_EBITDA_MARGIN",IQ_FY-1), _xll.ciqfunctions.udf.CIQ(A2613, "IQ_EBITDA_MARGIN",IQ_FY))</f>
        <v>33.626800000000003</v>
      </c>
      <c r="H2622" s="15">
        <f>IF(A2621=A2622,_xll.ciqfunctions.udf.CIQ(A2613,"IQ_TOTAL_DIV_PAID_CF",IQ_FY-1)/-I2622, _xll.ciqfunctions.udf.CIQ(A2613, "IQ_TOTAL_DIV_PAID_CF",IQ_FY)/-I2622)</f>
        <v>0.72809920342872747</v>
      </c>
      <c r="I2622" s="17">
        <f>IF(A2621=A2622,_xll.ciqfunctions.udf.CIQ(A2613,"IQ_TOTAL_OUTSTANDING_FILING_DATE",IQ_FY-1), _xll.ciqfunctions.udf.CIQ(A2613, "IQ_TOTAL_OUTSTANDING_FILING_DATE",IQ_FY))</f>
        <v>56.986739999999998</v>
      </c>
      <c r="J2622" s="17">
        <f>IF(A2621=A2622,_xll.ciqfunctions.udf.CIQ(A2613,"IQ_CASH_OPER",IQ_FY-1), _xll.ciqfunctions.udf.CIQ(A2613, "IQ_CASH_OPER",IQ_FY))</f>
        <v>215.34299999999999</v>
      </c>
      <c r="K2622" s="17">
        <f>IF(A2621=A2622,_xll.ciqfunctions.udf.CIQ(A2613,"IQ_CAPEX",IQ_FY-1), _xll.ciqfunctions.udf.CIQ(A2613, "IQ_CAPEX",IQ_FY))</f>
        <v>-39.210999999999999</v>
      </c>
      <c r="L2622" s="15">
        <f t="shared" si="696"/>
        <v>3.0907540947244923</v>
      </c>
      <c r="M2622" s="17">
        <f>IF(A2621=A2622,_xll.ciqfunctions.udf.CIQ(A2613,"IQ_TOTAL_DEBT_ISSUED",IQ_FY-1), _xll.ciqfunctions.udf.CIQ(A2613, "IQ_TOTAL_DEBT_ISSUED",IQ_FY))</f>
        <v>0</v>
      </c>
      <c r="N2622" s="17">
        <f>IF(A2621=A2622,_xll.ciqfunctions.udf.CIQ(A2613,"IQ_TOTAL_DEBT_REPAID",IQ_FY-1), _xll.ciqfunctions.udf.CIQ(A2613, "IQ_TOTAL_DEBT_REPAID",IQ_FY))</f>
        <v>0</v>
      </c>
      <c r="O2622" s="15">
        <f t="shared" si="697"/>
        <v>0</v>
      </c>
      <c r="P2622" s="15">
        <f t="shared" si="698"/>
        <v>3.0907540947244923</v>
      </c>
      <c r="Q2622" s="25" t="s">
        <v>44</v>
      </c>
      <c r="R2622" s="38" t="s">
        <v>35</v>
      </c>
      <c r="S2622" s="1">
        <f>_xll.ciqfunctions.udf.CIQ(A2613,"IQ_TEV_EBITDA")</f>
        <v>41.679290000000002</v>
      </c>
      <c r="U2622" s="25" t="s">
        <v>55</v>
      </c>
      <c r="V2622" s="38" t="s">
        <v>53</v>
      </c>
      <c r="W2622" s="1">
        <f>V2612/(AVERAGE(D2618:D2623)/_xlfn.STDEV.P(E2618:E2623))</f>
        <v>1.8761996548514432</v>
      </c>
      <c r="Y2622" s="25" t="s">
        <v>57</v>
      </c>
      <c r="Z2622" s="38" t="s">
        <v>53</v>
      </c>
      <c r="AA2622" s="1">
        <f>Z2612/(AVERAGE(D2618:D2623)/_xlfn.STDEV.P(E2618:E2623))</f>
        <v>1.8761996548514432</v>
      </c>
    </row>
    <row r="2623" spans="1:27">
      <c r="B2623" s="13">
        <v>11</v>
      </c>
      <c r="C2623" s="20" t="s">
        <v>36</v>
      </c>
      <c r="D2623" s="21" cm="1">
        <f t="array" ref="D2623">_xlfn.SINGLE(IF(A2621=A2622,_xll.ciqfunctions.udf.CIQ(A2613,"IQ_TOTAL_REV",IQ_FY)/I2623, _xll.ciqfunctions.udf.CIQ(A2613, "IQ_TOTAL_REV",IQ_LTM)/I2623))</f>
        <v>8.3609416930958762</v>
      </c>
      <c r="E2623" s="22">
        <f t="shared" si="699"/>
        <v>-0.26826139709306712</v>
      </c>
      <c r="F2623" s="21">
        <f>IF(A2621=A2622,_xll.ciqfunctions.udf.CIQ(A2613,"IQ_DILUT_EPS_EXCL",IQ_FY), _xll.ciqfunctions.udf.CIQ(A2613, "IQ_DILUT_EPS_EXCL",IQ_LTM))</f>
        <v>1.1231100000000001</v>
      </c>
      <c r="G2623" s="21">
        <f>IF(A2621=A2622,_xll.ciqfunctions.udf.CIQ(A2613,"IQ_EBITDA_MARGIN",IQ_FY), _xll.ciqfunctions.udf.CIQ(A2613, "IQ_EBITDA_MARGIN",IQ_LTM))</f>
        <v>19.667899999999999</v>
      </c>
      <c r="H2623" s="21">
        <f>IF(A2621=A2622,_xll.ciqfunctions.udf.CIQ(A2613,"IQ_TOTAL_DIV_PAID_CF",IQ_FY)/-I2623, _xll.ciqfunctions.udf.CIQ(A2613, "IQ_TOTAL_DIV_PAID_CF",IQ_LTM)/-I2623)</f>
        <v>0.74805701739100117</v>
      </c>
      <c r="I2623" s="23">
        <f>IF(A2621=A2622,_xll.ciqfunctions.udf.CIQ(A2613,"IQ_TOTAL_OUTSTANDING_FILING_DATE",IQ_FY),_xll.ciqfunctions.udf.CIQ(A2613,"IQ_sharesoutstanding"))</f>
        <v>57.386000000000003</v>
      </c>
      <c r="J2623" s="23">
        <f>IF(A2621=A2622,_xll.ciqfunctions.udf.CIQ(A2613,"IQ_CASH_OPER",IQ_FY), _xll.ciqfunctions.udf.CIQ(A2613, "IQ_CASH_OPER",IQ_LTM))</f>
        <v>73.59</v>
      </c>
      <c r="K2623" s="23">
        <f>IF(A2621=A2622,_xll.ciqfunctions.udf.CIQ(A2613,"IQ_CAPEX",IQ_FY), _xll.ciqfunctions.udf.CIQ(A2613, "IQ_CAPEX",IQ_LTM))</f>
        <v>-20.507999999999999</v>
      </c>
      <c r="L2623" s="21">
        <f t="shared" si="696"/>
        <v>0.92499912870735035</v>
      </c>
      <c r="M2623" s="23">
        <f>IF(A2621=A2622,_xll.ciqfunctions.udf.CIQ(A2613,"IQ_TOTAL_DEBT_ISSUED",IQ_FY), _xll.ciqfunctions.udf.CIQ(A2613, "IQ_TOTAL_DEBT_ISSUED",IQ_LTM))</f>
        <v>0</v>
      </c>
      <c r="N2623" s="23">
        <f>IF(A2621=A2622,_xll.ciqfunctions.udf.CIQ(A2613,"IQ_TOTAL_DEBT_REPAID",IQ_FY), _xll.ciqfunctions.udf.CIQ(A2613, "IQ_TOTAL_DEBT_REPAID",IQ_LTM))</f>
        <v>0</v>
      </c>
      <c r="O2623" s="21">
        <f t="shared" si="697"/>
        <v>0</v>
      </c>
      <c r="P2623" s="21">
        <f t="shared" si="698"/>
        <v>0.92499912870735035</v>
      </c>
      <c r="Q2623" s="25" t="s">
        <v>45</v>
      </c>
      <c r="S2623" s="45"/>
      <c r="U2623" s="25"/>
      <c r="W2623" s="45"/>
      <c r="Y2623" s="25"/>
      <c r="AA2623" s="45"/>
    </row>
    <row r="2624" spans="1:27">
      <c r="B2624" s="24"/>
      <c r="C2624" s="25" t="s">
        <v>37</v>
      </c>
      <c r="E2624" s="26">
        <f>((D2623/D2618)^(1/5))-1</f>
        <v>3.0462247470139925E-2</v>
      </c>
      <c r="F2624" s="27">
        <f>((F2623/F2618)^(1/5))-1</f>
        <v>-6.4428318274110108E-3</v>
      </c>
      <c r="G2624" s="28"/>
      <c r="H2624" s="27">
        <f>((H2623/H2618)^(1/5))-1</f>
        <v>0.18097169309003425</v>
      </c>
      <c r="I2624" s="27">
        <f>((I2623/I2618)^(1/5))-1</f>
        <v>-1.4475661292978614E-3</v>
      </c>
      <c r="J2624" s="27"/>
      <c r="K2624" s="27"/>
      <c r="L2624" s="26">
        <f>((L2623/L2618)^(1/5))-1</f>
        <v>-2.0449826304357877E-2</v>
      </c>
      <c r="M2624" s="26"/>
      <c r="N2624" s="26"/>
      <c r="O2624" s="26"/>
      <c r="P2624" s="26">
        <f>((P2623/P2618)^(1/5))-1</f>
        <v>-2.0449826304357877E-2</v>
      </c>
      <c r="Q2624" s="18"/>
      <c r="R2624" s="36"/>
      <c r="S2624" s="45"/>
      <c r="U2624" s="18"/>
      <c r="V2624" s="36"/>
      <c r="W2624" s="45"/>
      <c r="Y2624" s="18"/>
      <c r="Z2624" s="36"/>
      <c r="AA2624" s="45"/>
    </row>
    <row r="2625" spans="1:27">
      <c r="A2625" s="29"/>
      <c r="B2625" s="30"/>
      <c r="C2625" s="31" t="s">
        <v>38</v>
      </c>
      <c r="D2625" s="29"/>
      <c r="E2625" s="32">
        <f>((D2623/D2613)^(1/10))-1</f>
        <v>3.8398630521875532E-2</v>
      </c>
      <c r="F2625" s="33">
        <f>((F2623/F2613)^(1/10))-1</f>
        <v>1.795702555951717E-2</v>
      </c>
      <c r="G2625" s="34"/>
      <c r="H2625" s="33">
        <f>((H2623/H2613)^(1/10))-1</f>
        <v>0.16963767342275182</v>
      </c>
      <c r="I2625" s="33">
        <f>((I2623/I2613)^(1/10))-1</f>
        <v>-5.2867037250953208E-3</v>
      </c>
      <c r="J2625" s="33"/>
      <c r="K2625" s="33"/>
      <c r="L2625" s="32">
        <f>((L2623/L2613)^(1/10))-1</f>
        <v>-4.0593130533234656E-2</v>
      </c>
      <c r="M2625" s="32"/>
      <c r="N2625" s="32"/>
      <c r="O2625" s="32"/>
      <c r="P2625" s="32">
        <f>((P2623/P2613)^(1/10))-1</f>
        <v>-4.0593130533234656E-2</v>
      </c>
      <c r="Q2625" s="40"/>
      <c r="R2625" s="41"/>
      <c r="S2625" s="46"/>
      <c r="U2625" s="40"/>
      <c r="V2625" s="41"/>
      <c r="W2625" s="46"/>
      <c r="Y2625" s="40"/>
      <c r="Z2625" s="41"/>
      <c r="AA2625" s="46"/>
    </row>
    <row r="2626" spans="1:27">
      <c r="B2626" s="24"/>
      <c r="C2626" s="25"/>
      <c r="E2626" s="26"/>
      <c r="F2626" s="27"/>
      <c r="G2626" s="28"/>
      <c r="H2626" s="27"/>
      <c r="I2626" s="27"/>
      <c r="J2626" s="27"/>
      <c r="K2626" s="27"/>
      <c r="L2626" s="26"/>
      <c r="M2626" s="17"/>
      <c r="N2626" s="17"/>
      <c r="O2626" s="17"/>
      <c r="P2626" s="35"/>
      <c r="Q2626" s="18"/>
      <c r="R2626" s="36"/>
    </row>
    <row r="2627" spans="1:27">
      <c r="A2627" s="9" t="s">
        <v>0</v>
      </c>
      <c r="B2627" s="10"/>
      <c r="C2627" s="9" t="s">
        <v>1</v>
      </c>
      <c r="D2627" s="9" t="s">
        <v>2</v>
      </c>
      <c r="E2627" s="9" t="s">
        <v>3</v>
      </c>
      <c r="F2627" s="11" t="s">
        <v>4</v>
      </c>
      <c r="G2627" s="11" t="s">
        <v>5</v>
      </c>
      <c r="H2627" s="9" t="s">
        <v>6</v>
      </c>
      <c r="I2627" s="11" t="s">
        <v>7</v>
      </c>
      <c r="J2627" s="11" t="s">
        <v>8</v>
      </c>
      <c r="K2627" s="11" t="s">
        <v>9</v>
      </c>
      <c r="L2627" s="11" t="s">
        <v>10</v>
      </c>
      <c r="M2627" s="11" t="s">
        <v>11</v>
      </c>
      <c r="N2627" s="11" t="s">
        <v>12</v>
      </c>
      <c r="O2627" s="11" t="s">
        <v>13</v>
      </c>
      <c r="P2627" s="11" t="s">
        <v>14</v>
      </c>
      <c r="Q2627" s="37" t="s">
        <v>15</v>
      </c>
      <c r="R2627" s="42">
        <f>_xll.ciqfunctions.udf.CIQ(A2628,("IQ_LASTSALEPRICE"))</f>
        <v>27.34</v>
      </c>
      <c r="S2627" s="44"/>
      <c r="U2627" s="37" t="s">
        <v>15</v>
      </c>
      <c r="V2627" s="42">
        <f>_xll.ciqfunctions.udf.CIQ(A2628,("IQ_LASTSALEPRICE"))</f>
        <v>27.34</v>
      </c>
      <c r="W2627" s="44"/>
      <c r="Y2627" s="37" t="s">
        <v>15</v>
      </c>
      <c r="Z2627" s="42">
        <f>_xll.ciqfunctions.udf.CIQ(A2628,("IQ_LASTSALEPRICE"))</f>
        <v>27.34</v>
      </c>
      <c r="AA2627" s="44"/>
    </row>
    <row r="2628" spans="1:27">
      <c r="A2628" s="12" t="str">
        <f>Analysis!B177</f>
        <v>NasdaqGS:UCTT</v>
      </c>
      <c r="B2628" s="13">
        <v>1</v>
      </c>
      <c r="C2628" s="14" t="s">
        <v>16</v>
      </c>
      <c r="D2628" s="15">
        <f>IF(A2636=A2637,_xll.ciqfunctions.udf.CIQ(A2628,"IQ_TOTAL_REV",IQ_FY-10)/I2628,_xll.ciqfunctions.udf.CIQ(A2628, "IQ_TOTAL_REV",IQ_FY-9)/I2628)</f>
        <v>15.000084455750255</v>
      </c>
      <c r="E2628" s="16"/>
      <c r="F2628" s="15">
        <f>IF(A2636=A2637,_xll.ciqfunctions.udf.CIQ(A2628,"IQ_DILUT_EPS_EXCL",IQ_FY-10), _xll.ciqfunctions.udf.CIQ(A2628, "IQ_DILUT_EPS_EXCL",IQ_FY-9))</f>
        <v>0.36</v>
      </c>
      <c r="G2628" s="15">
        <f>IF(A2636=A2637,_xll.ciqfunctions.udf.CIQ(A2628,"IQ_EBITDA_MARGIN",IQ_FY-10), _xll.ciqfunctions.udf.CIQ(A2628, "IQ_EBITDA_MARGIN",IQ_FY-9))</f>
        <v>5.6349999999999998</v>
      </c>
      <c r="H2628" s="15">
        <f>IF(A2636=A2637,_xll.ciqfunctions.udf.CIQ(A2628,"IQ_TOTAL_DIV_PAID_CF",IQ_FY-10)/-I2628, _xll.ciqfunctions.udf.CIQ(A2628, "IQ_TOTAL_DIV_PAID_CF",IQ_FY-9)/-I2628)</f>
        <v>0</v>
      </c>
      <c r="I2628" s="17">
        <f>IF(A2636=A2637,_xll.ciqfunctions.udf.CIQ(A2628,"IQ_TOTAL_OUTSTANDING_FILING_DATE",IQ_FY-10), _xll.ciqfunctions.udf.CIQ(A2628, "IQ_TOTAL_OUTSTANDING_FILING_DATE",IQ_FY-9))</f>
        <v>29.601299999999998</v>
      </c>
      <c r="J2628" s="17">
        <f>IF(A2636=A2637,_xll.ciqfunctions.udf.CIQ(A2628,"IQ_CASH_OPER",IQ_FY-10), _xll.ciqfunctions.udf.CIQ(A2628, "IQ_CASH_OPER",IQ_FY-9))</f>
        <v>29.931000000000001</v>
      </c>
      <c r="K2628" s="17">
        <f>IF(A2636=A2637,_xll.ciqfunctions.udf.CIQ(A2628,"IQ_CAPEX",IQ_FY-10), _xll.ciqfunctions.udf.CIQ(A2628, "IQ_CAPEX",IQ_FY-9))</f>
        <v>-2.9630000000000001</v>
      </c>
      <c r="L2628" s="15">
        <f t="shared" ref="L2628:L2638" si="700">(J2628+K2628)/I2628</f>
        <v>0.91104106914223371</v>
      </c>
      <c r="M2628" s="17">
        <f>IF(A2636=A2637,_xll.ciqfunctions.udf.CIQ(A2628,"IQ_TOTAL_DEBT_ISSUED",IQ_FY-10), _xll.ciqfunctions.udf.CIQ(A2628, "IQ_TOTAL_DEBT_ISSUED",IQ_FY-9))</f>
        <v>63</v>
      </c>
      <c r="N2628" s="17">
        <f>IF(A2636=A2637,_xll.ciqfunctions.udf.CIQ(A2628,"IQ_TOTAL_DEBT_REPAID",IQ_FY-10), _xll.ciqfunctions.udf.CIQ(A2628, "IQ_TOTAL_DEBT_REPAID",IQ_FY-9))</f>
        <v>-84</v>
      </c>
      <c r="O2628" s="15">
        <f t="shared" ref="O2628:O2638" si="701">(M2628+N2628)/I2628</f>
        <v>-0.70942830213537922</v>
      </c>
      <c r="P2628" s="15">
        <f t="shared" ref="P2628:P2638" si="702">L2628+O2628</f>
        <v>0.20161276700685449</v>
      </c>
      <c r="W2628" s="43"/>
      <c r="AA2628" s="43"/>
    </row>
    <row r="2629" spans="1:27">
      <c r="A2629" s="18" t="str">
        <f>_xll.ciqfunctions.udf.CIQ(A2628,"IQ_COMPANY_NAME")</f>
        <v>Ultra Clean Holdings, Inc.</v>
      </c>
      <c r="B2629" s="13">
        <v>2</v>
      </c>
      <c r="C2629" s="14" t="s">
        <v>17</v>
      </c>
      <c r="D2629" s="15">
        <f>IF(A2636=A2637,_xll.ciqfunctions.udf.CIQ(A2628,"IQ_TOTAL_REV",IQ_FY-9)/I2629, _xll.ciqfunctions.udf.CIQ(A2628, "IQ_TOTAL_REV",IQ_FY-8)/I2629)</f>
        <v>16.176728867301325</v>
      </c>
      <c r="E2629" s="16">
        <f t="shared" ref="E2629:E2638" si="703">(D2629-D2628)/D2628</f>
        <v>7.8442519108617798E-2</v>
      </c>
      <c r="F2629" s="15">
        <f>IF(A2636=A2637,_xll.ciqfunctions.udf.CIQ(A2628,"IQ_DILUT_EPS_EXCL",IQ_FY-9), _xll.ciqfunctions.udf.CIQ(A2628, "IQ_DILUT_EPS_EXCL",IQ_FY-8))</f>
        <v>0.38</v>
      </c>
      <c r="G2629" s="15">
        <f>IF(A2636=A2637,_xll.ciqfunctions.udf.CIQ(A2628,"IQ_EBITDA_MARGIN",IQ_FY-9), _xll.ciqfunctions.udf.CIQ(A2628, "IQ_EBITDA_MARGIN",IQ_FY-8))</f>
        <v>5.0727000000000002</v>
      </c>
      <c r="H2629" s="15">
        <f>IF(A2636=A2637,_xll.ciqfunctions.udf.CIQ(A2628,"IQ_TOTAL_DIV_PAID_CF",IQ_FY-9)/-I2629, _xll.ciqfunctions.udf.CIQ(A2628, "IQ_TOTAL_DIV_PAID_CF",IQ_FY-8)/-I2629)</f>
        <v>0</v>
      </c>
      <c r="I2629" s="17">
        <f>IF(A2636=A2637,_xll.ciqfunctions.udf.CIQ(A2628,"IQ_TOTAL_OUTSTANDING_FILING_DATE",IQ_FY-9), _xll.ciqfunctions.udf.CIQ(A2628, "IQ_TOTAL_OUTSTANDING_FILING_DATE",IQ_FY-8))</f>
        <v>31.771380000000001</v>
      </c>
      <c r="J2629" s="17">
        <f>IF(A2636=A2637,_xll.ciqfunctions.udf.CIQ(A2628,"IQ_CASH_OPER",IQ_FY-9), _xll.ciqfunctions.udf.CIQ(A2628, "IQ_CASH_OPER",IQ_FY-8))</f>
        <v>30.359000000000002</v>
      </c>
      <c r="K2629" s="17">
        <f>IF(A2636=A2637,_xll.ciqfunctions.udf.CIQ(A2628,"IQ_CAPEX",IQ_FY-9), _xll.ciqfunctions.udf.CIQ(A2628, "IQ_CAPEX",IQ_FY-8))</f>
        <v>-5.3339999999999996</v>
      </c>
      <c r="L2629" s="15">
        <f t="shared" si="700"/>
        <v>0.78765857825502072</v>
      </c>
      <c r="M2629" s="17">
        <f>IF(A2636=A2637,_xll.ciqfunctions.udf.CIQ(A2628,"IQ_TOTAL_DEBT_ISSUED",IQ_FY-9), _xll.ciqfunctions.udf.CIQ(A2628, "IQ_TOTAL_DEBT_ISSUED",IQ_FY-8))</f>
        <v>48.5</v>
      </c>
      <c r="N2629" s="17">
        <f>IF(A2636=A2637,_xll.ciqfunctions.udf.CIQ(A2628,"IQ_TOTAL_DEBT_REPAID",IQ_FY-9), _xll.ciqfunctions.udf.CIQ(A2628, "IQ_TOTAL_DEBT_REPAID",IQ_FY-8))</f>
        <v>-56</v>
      </c>
      <c r="O2629" s="15">
        <f t="shared" si="701"/>
        <v>-0.23606151196454167</v>
      </c>
      <c r="P2629" s="15">
        <f t="shared" si="702"/>
        <v>0.551597066290479</v>
      </c>
      <c r="Q2629" s="25" t="s">
        <v>18</v>
      </c>
      <c r="R2629" s="39" t="s">
        <v>19</v>
      </c>
      <c r="S2629" s="1">
        <f>R2627/((AVERAGE(P2633:P2638))*(1+E2639)^3)</f>
        <v>8.2222826472257058</v>
      </c>
      <c r="U2629" s="25" t="s">
        <v>48</v>
      </c>
      <c r="V2629" s="39" t="s">
        <v>19</v>
      </c>
      <c r="W2629" s="1">
        <f>V2627/((AVERAGE(P2633:P2638))*(1+E2639)^3)</f>
        <v>8.2222826472257058</v>
      </c>
      <c r="Y2629" s="25" t="s">
        <v>39</v>
      </c>
      <c r="Z2629" s="39" t="s">
        <v>19</v>
      </c>
      <c r="AA2629" s="1">
        <f>Z2627/((AVERAGE(P2633:P2638))*(1+E2639)^3)</f>
        <v>8.2222826472257058</v>
      </c>
    </row>
    <row r="2630" spans="1:27">
      <c r="B2630" s="13">
        <v>3</v>
      </c>
      <c r="C2630" s="14" t="s">
        <v>20</v>
      </c>
      <c r="D2630" s="15" cm="1">
        <f t="array" ref="D2630">_xlfn.SINGLE(IF(A2636=A2637,_xll.ciqfunctions.udf.CIQ(A2628,"IQ_TOTAL_REV",IQ_FY-8)/I2630, _xll.ciqfunctions.udf.CIQ(A2628, "IQ_TOTAL_REV",IQ_FY-7)/I2630))</f>
        <v>14.478304441209232</v>
      </c>
      <c r="E2630" s="16">
        <f t="shared" si="703"/>
        <v>-0.10499183364105127</v>
      </c>
      <c r="F2630" s="15">
        <f>IF(A2636=A2637,_xll.ciqfunctions.udf.CIQ(A2628,"IQ_DILUT_EPS_EXCL",IQ_FY-8), _xll.ciqfunctions.udf.CIQ(A2628, "IQ_DILUT_EPS_EXCL",IQ_FY-7))</f>
        <v>-0.34000999999999998</v>
      </c>
      <c r="G2630" s="15">
        <f>IF(A2636=A2637,_xll.ciqfunctions.udf.CIQ(A2628,"IQ_EBITDA_MARGIN",IQ_FY-8), _xll.ciqfunctions.udf.CIQ(A2628, "IQ_EBITDA_MARGIN",IQ_FY-7))</f>
        <v>3.8083</v>
      </c>
      <c r="H2630" s="15">
        <f>IF(A2636=A2637,_xll.ciqfunctions.udf.CIQ(A2628,"IQ_TOTAL_DIV_PAID_CF",IQ_FY-8)/-I2630, _xll.ciqfunctions.udf.CIQ(A2628, "IQ_TOTAL_DIV_PAID_CF",IQ_FY-7)/-I2630)</f>
        <v>0</v>
      </c>
      <c r="I2630" s="17">
        <f>IF(A2636=A2637,_xll.ciqfunctions.udf.CIQ(A2628,"IQ_TOTAL_OUTSTANDING_FILING_DATE",IQ_FY-8), _xll.ciqfunctions.udf.CIQ(A2628, "IQ_TOTAL_OUTSTANDING_FILING_DATE",IQ_FY-7))</f>
        <v>32.400410000000001</v>
      </c>
      <c r="J2630" s="17">
        <f>IF(A2636=A2637,_xll.ciqfunctions.udf.CIQ(A2628,"IQ_CASH_OPER",IQ_FY-8), _xll.ciqfunctions.udf.CIQ(A2628, "IQ_CASH_OPER",IQ_FY-7))</f>
        <v>0.92600000000000005</v>
      </c>
      <c r="K2630" s="17">
        <f>IF(A2636=A2637,_xll.ciqfunctions.udf.CIQ(A2628,"IQ_CAPEX",IQ_FY-8), _xll.ciqfunctions.udf.CIQ(A2628, "IQ_CAPEX",IQ_FY-7))</f>
        <v>-10.151999999999999</v>
      </c>
      <c r="L2630" s="15">
        <f t="shared" si="700"/>
        <v>-0.28474948310839271</v>
      </c>
      <c r="M2630" s="17">
        <f>IF(A2636=A2637,_xll.ciqfunctions.udf.CIQ(A2628,"IQ_TOTAL_DEBT_ISSUED",IQ_FY-8), _xll.ciqfunctions.udf.CIQ(A2628, "IQ_TOTAL_DEBT_ISSUED",IQ_FY-7))</f>
        <v>79.212000000000003</v>
      </c>
      <c r="N2630" s="17">
        <f>IF(A2636=A2637,_xll.ciqfunctions.udf.CIQ(A2628,"IQ_TOTAL_DEBT_REPAID",IQ_FY-8), _xll.ciqfunctions.udf.CIQ(A2628, "IQ_TOTAL_DEBT_REPAID",IQ_FY-7))</f>
        <v>-55.204999999999998</v>
      </c>
      <c r="O2630" s="15">
        <f t="shared" si="701"/>
        <v>0.740947413937046</v>
      </c>
      <c r="P2630" s="15">
        <f t="shared" si="702"/>
        <v>0.45619793082865329</v>
      </c>
      <c r="Q2630" s="25" t="s">
        <v>21</v>
      </c>
      <c r="R2630" s="38" t="s">
        <v>49</v>
      </c>
      <c r="S2630" s="2">
        <f>(R2627*I2638)/1000</f>
        <v>1.2256735251999999</v>
      </c>
      <c r="U2630" s="25" t="s">
        <v>59</v>
      </c>
      <c r="V2630" s="38" t="s">
        <v>49</v>
      </c>
      <c r="W2630" s="2">
        <f>(V2627*I2638)/1000</f>
        <v>1.2256735251999999</v>
      </c>
      <c r="Y2630" s="25" t="s">
        <v>46</v>
      </c>
      <c r="Z2630" s="38" t="s">
        <v>49</v>
      </c>
      <c r="AA2630" s="2">
        <f>(Z2627*I2638)/1000</f>
        <v>1.2256735251999999</v>
      </c>
    </row>
    <row r="2631" spans="1:27">
      <c r="A2631" s="18"/>
      <c r="B2631" s="13">
        <v>4</v>
      </c>
      <c r="C2631" s="14" t="s">
        <v>22</v>
      </c>
      <c r="D2631" s="15" cm="1">
        <f t="array" ref="D2631">_xlfn.SINGLE(IF(A2636=A2637,_xll.ciqfunctions.udf.CIQ(A2628,"IQ_TOTAL_REV",IQ_FY-7)/I2631, _xll.ciqfunctions.udf.CIQ(A2628, "IQ_TOTAL_REV",IQ_FY-6)/I2631))</f>
        <v>16.847830968138275</v>
      </c>
      <c r="E2631" s="16">
        <f t="shared" si="703"/>
        <v>0.16366049882089229</v>
      </c>
      <c r="F2631" s="15">
        <f>IF(A2636=A2637,_xll.ciqfunctions.udf.CIQ(A2628,"IQ_DILUT_EPS_EXCL",IQ_FY-7), _xll.ciqfunctions.udf.CIQ(A2628, "IQ_DILUT_EPS_EXCL",IQ_FY-6))</f>
        <v>0.3</v>
      </c>
      <c r="G2631" s="15">
        <f>IF(A2636=A2637,_xll.ciqfunctions.udf.CIQ(A2628,"IQ_EBITDA_MARGIN",IQ_FY-7), _xll.ciqfunctions.udf.CIQ(A2628, "IQ_EBITDA_MARGIN",IQ_FY-6))</f>
        <v>6.0647000000000002</v>
      </c>
      <c r="H2631" s="15">
        <f>IF(A2636=A2637,_xll.ciqfunctions.udf.CIQ(A2628,"IQ_TOTAL_DIV_PAID_CF",IQ_FY-7)/-I2631, _xll.ciqfunctions.udf.CIQ(A2628, "IQ_TOTAL_DIV_PAID_CF",IQ_FY-6)/-I2631)</f>
        <v>0</v>
      </c>
      <c r="I2631" s="17">
        <f>IF(A2636=A2637,_xll.ciqfunctions.udf.CIQ(A2628,"IQ_TOTAL_OUTSTANDING_FILING_DATE",IQ_FY-7), _xll.ciqfunctions.udf.CIQ(A2628, "IQ_TOTAL_OUTSTANDING_FILING_DATE",IQ_FY-6))</f>
        <v>33.402459999999998</v>
      </c>
      <c r="J2631" s="17">
        <f>IF(A2636=A2637,_xll.ciqfunctions.udf.CIQ(A2628,"IQ_CASH_OPER",IQ_FY-7), _xll.ciqfunctions.udf.CIQ(A2628, "IQ_CASH_OPER",IQ_FY-6))</f>
        <v>17.577000000000002</v>
      </c>
      <c r="K2631" s="17">
        <f>IF(A2636=A2637,_xll.ciqfunctions.udf.CIQ(A2628,"IQ_CAPEX",IQ_FY-7), _xll.ciqfunctions.udf.CIQ(A2628, "IQ_CAPEX",IQ_FY-6))</f>
        <v>-7.2779999999999996</v>
      </c>
      <c r="L2631" s="15">
        <f t="shared" si="700"/>
        <v>0.30833058403482866</v>
      </c>
      <c r="M2631" s="17">
        <f>IF(A2636=A2637,_xll.ciqfunctions.udf.CIQ(A2628,"IQ_TOTAL_DEBT_ISSUED",IQ_FY-7), _xll.ciqfunctions.udf.CIQ(A2628, "IQ_TOTAL_DEBT_ISSUED",IQ_FY-6))</f>
        <v>6.657</v>
      </c>
      <c r="N2631" s="17">
        <f>IF(A2636=A2637,_xll.ciqfunctions.udf.CIQ(A2628,"IQ_TOTAL_DEBT_REPAID",IQ_FY-7), _xll.ciqfunctions.udf.CIQ(A2628, "IQ_TOTAL_DEBT_REPAID",IQ_FY-6))</f>
        <v>-14.340999999999999</v>
      </c>
      <c r="O2631" s="15">
        <f t="shared" si="701"/>
        <v>-0.23004293695733788</v>
      </c>
      <c r="P2631" s="15">
        <f t="shared" si="702"/>
        <v>7.828764707749078E-2</v>
      </c>
      <c r="Q2631" s="25" t="s">
        <v>23</v>
      </c>
      <c r="R2631" s="38" t="s">
        <v>24</v>
      </c>
      <c r="S2631" s="1" t="e">
        <f>R2627/(AVERAGE(H2633:H2638)*(1+H2639)/(0.5-H2639))</f>
        <v>#DIV/0!</v>
      </c>
      <c r="U2631" s="25" t="s">
        <v>40</v>
      </c>
      <c r="V2631" s="38" t="s">
        <v>24</v>
      </c>
      <c r="W2631" s="1" t="e">
        <f>V2627/(AVERAGE(H2633:H2638)*(1+H2639)/(0.5-H2639))</f>
        <v>#DIV/0!</v>
      </c>
      <c r="Y2631" s="25" t="s">
        <v>47</v>
      </c>
      <c r="Z2631" s="38" t="s">
        <v>24</v>
      </c>
      <c r="AA2631" s="1" t="e">
        <f>Z2627/(AVERAGE(H2633:H2638)*(1+H2639)/(0.5-H2639))</f>
        <v>#DIV/0!</v>
      </c>
    </row>
    <row r="2632" spans="1:27">
      <c r="B2632" s="13">
        <v>5</v>
      </c>
      <c r="C2632" s="14" t="s">
        <v>25</v>
      </c>
      <c r="D2632" s="15" cm="1">
        <f t="array" ref="D2632">_xlfn.SINGLE(IF(A2636=A2637,_xll.ciqfunctions.udf.CIQ(A2628,"IQ_TOTAL_REV",IQ_FY-6)/I2632, _xll.ciqfunctions.udf.CIQ(A2628, "IQ_TOTAL_REV",IQ_FY-5)/I2632))</f>
        <v>24.029288489752457</v>
      </c>
      <c r="E2632" s="16">
        <f t="shared" si="703"/>
        <v>0.42625412940071472</v>
      </c>
      <c r="F2632" s="15">
        <f>IF(A2636=A2637,_xll.ciqfunctions.udf.CIQ(A2628,"IQ_DILUT_EPS_EXCL",IQ_FY-6), _xll.ciqfunctions.udf.CIQ(A2628, "IQ_DILUT_EPS_EXCL",IQ_FY-5))</f>
        <v>2.19</v>
      </c>
      <c r="G2632" s="15">
        <f>IF(A2636=A2637,_xll.ciqfunctions.udf.CIQ(A2628,"IQ_EBITDA_MARGIN",IQ_FY-6), _xll.ciqfunctions.udf.CIQ(A2628, "IQ_EBITDA_MARGIN",IQ_FY-5))</f>
        <v>10.839399999999999</v>
      </c>
      <c r="H2632" s="15">
        <f>IF(A2636=A2637,_xll.ciqfunctions.udf.CIQ(A2628,"IQ_TOTAL_DIV_PAID_CF",IQ_FY-6)/-I2632, _xll.ciqfunctions.udf.CIQ(A2628, "IQ_TOTAL_DIV_PAID_CF",IQ_FY-5)/-I2632)</f>
        <v>0</v>
      </c>
      <c r="I2632" s="17">
        <f>IF(A2636=A2637,_xll.ciqfunctions.udf.CIQ(A2628,"IQ_TOTAL_OUTSTANDING_FILING_DATE",IQ_FY-6), _xll.ciqfunctions.udf.CIQ(A2628, "IQ_TOTAL_OUTSTANDING_FILING_DATE",IQ_FY-5))</f>
        <v>38.469720000000002</v>
      </c>
      <c r="J2632" s="17">
        <f>IF(A2636=A2637,_xll.ciqfunctions.udf.CIQ(A2628,"IQ_CASH_OPER",IQ_FY-6), _xll.ciqfunctions.udf.CIQ(A2628, "IQ_CASH_OPER",IQ_FY-5))</f>
        <v>48.9</v>
      </c>
      <c r="K2632" s="17">
        <f>IF(A2636=A2637,_xll.ciqfunctions.udf.CIQ(A2628,"IQ_CAPEX",IQ_FY-6), _xll.ciqfunctions.udf.CIQ(A2628, "IQ_CAPEX",IQ_FY-5))</f>
        <v>-16.100000000000001</v>
      </c>
      <c r="L2632" s="15">
        <f t="shared" si="700"/>
        <v>0.85261863096482104</v>
      </c>
      <c r="M2632" s="17">
        <f>IF(A2636=A2637,_xll.ciqfunctions.udf.CIQ(A2628,"IQ_TOTAL_DEBT_ISSUED",IQ_FY-6), _xll.ciqfunctions.udf.CIQ(A2628, "IQ_TOTAL_DEBT_ISSUED",IQ_FY-5))</f>
        <v>15</v>
      </c>
      <c r="N2632" s="17">
        <f>IF(A2636=A2637,_xll.ciqfunctions.udf.CIQ(A2628,"IQ_TOTAL_DEBT_REPAID",IQ_FY-6), _xll.ciqfunctions.udf.CIQ(A2628, "IQ_TOTAL_DEBT_REPAID",IQ_FY-5))</f>
        <v>-31.2</v>
      </c>
      <c r="O2632" s="15">
        <f t="shared" si="701"/>
        <v>-0.42111042139116162</v>
      </c>
      <c r="P2632" s="15">
        <f t="shared" si="702"/>
        <v>0.43150820957365943</v>
      </c>
      <c r="Q2632" s="18"/>
      <c r="R2632" s="38" t="s">
        <v>50</v>
      </c>
      <c r="S2632" s="3">
        <f>I2639</f>
        <v>2.7676089895247724E-2</v>
      </c>
      <c r="U2632" s="18"/>
      <c r="V2632" s="38" t="s">
        <v>50</v>
      </c>
      <c r="W2632" s="3">
        <f>I2639</f>
        <v>2.7676089895247724E-2</v>
      </c>
      <c r="Y2632" s="18"/>
      <c r="Z2632" s="38" t="s">
        <v>50</v>
      </c>
      <c r="AA2632" s="3">
        <f>I2639</f>
        <v>2.7676089895247724E-2</v>
      </c>
    </row>
    <row r="2633" spans="1:27">
      <c r="B2633" s="13">
        <v>6</v>
      </c>
      <c r="C2633" s="14" t="s">
        <v>26</v>
      </c>
      <c r="D2633" s="15" cm="1">
        <f t="array" ref="D2633">_xlfn.SINGLE(IF(A2636=A2637,_xll.ciqfunctions.udf.CIQ(A2628,"IQ_TOTAL_REV",IQ_FY-5)/I2633, _xll.ciqfunctions.udf.CIQ(A2628, "IQ_TOTAL_REV",IQ_FY-4)/I2633))</f>
        <v>28.03584189984058</v>
      </c>
      <c r="E2633" s="16">
        <f t="shared" si="703"/>
        <v>0.16673624821628658</v>
      </c>
      <c r="F2633" s="15">
        <f>IF(A2636=A2637,_xll.ciqfunctions.udf.CIQ(A2628,"IQ_DILUT_EPS_EXCL",IQ_FY-5), _xll.ciqfunctions.udf.CIQ(A2628, "IQ_DILUT_EPS_EXCL",IQ_FY-4))</f>
        <v>0.94</v>
      </c>
      <c r="G2633" s="15">
        <f>IF(A2636=A2637,_xll.ciqfunctions.udf.CIQ(A2628,"IQ_EBITDA_MARGIN",IQ_FY-5), _xll.ciqfunctions.udf.CIQ(A2628, "IQ_EBITDA_MARGIN",IQ_FY-4))</f>
        <v>7.4600999999999997</v>
      </c>
      <c r="H2633" s="15">
        <f>IF(A2636=A2637,_xll.ciqfunctions.udf.CIQ(A2628,"IQ_TOTAL_DIV_PAID_CF",IQ_FY-5)/-I2633, _xll.ciqfunctions.udf.CIQ(A2628, "IQ_TOTAL_DIV_PAID_CF",IQ_FY-4)/-I2633)</f>
        <v>0</v>
      </c>
      <c r="I2633" s="17">
        <f>IF(A2636=A2637,_xll.ciqfunctions.udf.CIQ(A2628,"IQ_TOTAL_OUTSTANDING_FILING_DATE",IQ_FY-5), _xll.ciqfunctions.udf.CIQ(A2628, "IQ_TOTAL_OUTSTANDING_FILING_DATE",IQ_FY-4))</f>
        <v>39.11065</v>
      </c>
      <c r="J2633" s="17">
        <f>IF(A2636=A2637,_xll.ciqfunctions.udf.CIQ(A2628,"IQ_CASH_OPER",IQ_FY-5), _xll.ciqfunctions.udf.CIQ(A2628, "IQ_CASH_OPER",IQ_FY-4))</f>
        <v>41.7</v>
      </c>
      <c r="K2633" s="17">
        <f>IF(A2636=A2637,_xll.ciqfunctions.udf.CIQ(A2628,"IQ_CAPEX",IQ_FY-5), _xll.ciqfunctions.udf.CIQ(A2628, "IQ_CAPEX",IQ_FY-4))</f>
        <v>-26.1</v>
      </c>
      <c r="L2633" s="15">
        <f t="shared" si="700"/>
        <v>0.39886833893070051</v>
      </c>
      <c r="M2633" s="17">
        <f>IF(A2636=A2637,_xll.ciqfunctions.udf.CIQ(A2628,"IQ_TOTAL_DEBT_ISSUED",IQ_FY-5), _xll.ciqfunctions.udf.CIQ(A2628, "IQ_TOTAL_DEBT_ISSUED",IQ_FY-4))</f>
        <v>387.1</v>
      </c>
      <c r="N2633" s="17">
        <f>IF(A2636=A2637,_xll.ciqfunctions.udf.CIQ(A2628,"IQ_TOTAL_DEBT_REPAID",IQ_FY-5), _xll.ciqfunctions.udf.CIQ(A2628, "IQ_TOTAL_DEBT_REPAID",IQ_FY-4))</f>
        <v>-86.4</v>
      </c>
      <c r="O2633" s="15">
        <f t="shared" si="701"/>
        <v>7.6884429177219005</v>
      </c>
      <c r="P2633" s="15">
        <f t="shared" si="702"/>
        <v>8.0873112566526011</v>
      </c>
      <c r="Q2633" s="25" t="s">
        <v>27</v>
      </c>
      <c r="R2633" s="38" t="s">
        <v>51</v>
      </c>
      <c r="S2633" s="4">
        <f>AVERAGE(F2633:F2638)/AVERAGE(D2633:D2638)</f>
        <v>2.6747814749260006E-2</v>
      </c>
      <c r="U2633" s="25" t="s">
        <v>58</v>
      </c>
      <c r="V2633" s="38" t="s">
        <v>51</v>
      </c>
      <c r="W2633" s="4">
        <f>AVERAGE(F2633:F2638)/AVERAGE(D2633:D2638)</f>
        <v>2.6747814749260006E-2</v>
      </c>
      <c r="Y2633" s="25" t="s">
        <v>56</v>
      </c>
      <c r="Z2633" s="38" t="s">
        <v>51</v>
      </c>
      <c r="AA2633" s="4">
        <f>AVERAGE(F2633:F2638)/AVERAGE(D2633:D2638)</f>
        <v>2.6747814749260006E-2</v>
      </c>
    </row>
    <row r="2634" spans="1:27">
      <c r="A2634" s="18"/>
      <c r="B2634" s="13">
        <v>7</v>
      </c>
      <c r="C2634" s="14" t="s">
        <v>28</v>
      </c>
      <c r="D2634" s="15" cm="1">
        <f t="array" ref="D2634">_xlfn.SINGLE(IF(A2636=A2637,_xll.ciqfunctions.udf.CIQ(A2628,"IQ_TOTAL_REV",IQ_FY-4)/I2634, _xll.ciqfunctions.udf.CIQ(A2628, "IQ_TOTAL_REV",IQ_FY-3)/I2634))</f>
        <v>26.729334278628869</v>
      </c>
      <c r="E2634" s="16">
        <f t="shared" si="703"/>
        <v>-4.660133360286714E-2</v>
      </c>
      <c r="F2634" s="15">
        <f>IF(A2636=A2637,_xll.ciqfunctions.udf.CIQ(A2628,"IQ_DILUT_EPS_EXCL",IQ_FY-4), _xll.ciqfunctions.udf.CIQ(A2628, "IQ_DILUT_EPS_EXCL",IQ_FY-3))</f>
        <v>-0.24</v>
      </c>
      <c r="G2634" s="15">
        <f>IF(A2636=A2637,_xll.ciqfunctions.udf.CIQ(A2628,"IQ_EBITDA_MARGIN",IQ_FY-4), _xll.ciqfunctions.udf.CIQ(A2628, "IQ_EBITDA_MARGIN",IQ_FY-3))</f>
        <v>7.8878000000000004</v>
      </c>
      <c r="H2634" s="15">
        <f>IF(A2636=A2637,_xll.ciqfunctions.udf.CIQ(A2628,"IQ_TOTAL_DIV_PAID_CF",IQ_FY-4)/-I2634, _xll.ciqfunctions.udf.CIQ(A2628, "IQ_TOTAL_DIV_PAID_CF",IQ_FY-3)/-I2634)</f>
        <v>0</v>
      </c>
      <c r="I2634" s="17">
        <f>IF(A2636=A2637,_xll.ciqfunctions.udf.CIQ(A2628,"IQ_TOTAL_OUTSTANDING_FILING_DATE",IQ_FY-4), _xll.ciqfunctions.udf.CIQ(A2628, "IQ_TOTAL_OUTSTANDING_FILING_DATE",IQ_FY-3))</f>
        <v>39.888759999999998</v>
      </c>
      <c r="J2634" s="17">
        <f>IF(A2636=A2637,_xll.ciqfunctions.udf.CIQ(A2628,"IQ_CASH_OPER",IQ_FY-4), _xll.ciqfunctions.udf.CIQ(A2628, "IQ_CASH_OPER",IQ_FY-3))</f>
        <v>121</v>
      </c>
      <c r="K2634" s="17">
        <f>IF(A2636=A2637,_xll.ciqfunctions.udf.CIQ(A2628,"IQ_CAPEX",IQ_FY-4), _xll.ciqfunctions.udf.CIQ(A2628, "IQ_CAPEX",IQ_FY-3))</f>
        <v>-26.3</v>
      </c>
      <c r="L2634" s="15">
        <f t="shared" si="700"/>
        <v>2.3741023787152074</v>
      </c>
      <c r="M2634" s="17">
        <f>IF(A2636=A2637,_xll.ciqfunctions.udf.CIQ(A2628,"IQ_TOTAL_DEBT_ISSUED",IQ_FY-4), _xll.ciqfunctions.udf.CIQ(A2628, "IQ_TOTAL_DEBT_ISSUED",IQ_FY-3))</f>
        <v>41.8</v>
      </c>
      <c r="N2634" s="17">
        <f>IF(A2636=A2637,_xll.ciqfunctions.udf.CIQ(A2628,"IQ_TOTAL_DEBT_REPAID",IQ_FY-4), _xll.ciqfunctions.udf.CIQ(A2628, "IQ_TOTAL_DEBT_REPAID",IQ_FY-3))</f>
        <v>-93</v>
      </c>
      <c r="O2634" s="15">
        <f t="shared" si="701"/>
        <v>-1.283569607077282</v>
      </c>
      <c r="P2634" s="15">
        <f t="shared" si="702"/>
        <v>1.0905327716379254</v>
      </c>
      <c r="Q2634" s="18"/>
      <c r="R2634" s="38" t="s">
        <v>29</v>
      </c>
      <c r="S2634" s="4">
        <f>(AVERAGE(P2633:P2638)/_xlfn.STDEV.P(P2633:P2638))/(IF(A2636=A2637,(_xlfn.SINGLE(_xll.ciqfunctions.udf.CIQ(A2628,"IQ_total_assets",IQ_FY)) - _xlfn.SINGLE(_xll.ciqfunctions.udf.CIQ(A2628,"iq_gw_intan", IQ_FY)))/I2638, (_xlfn.SINGLE(_xll.ciqfunctions.udf.CIQ(A2628, "IQ_total_assets",IQ_LTM))-_xlfn.SINGLE(_xll.ciqfunctions.udf.CIQ(A2628,"iq_gw_intan",IQ_LTM)))/I2638))</f>
        <v>1.7973450735314929E-2</v>
      </c>
      <c r="U2634" s="18"/>
      <c r="V2634" s="38" t="s">
        <v>29</v>
      </c>
      <c r="W2634" s="4">
        <f>(AVERAGE(P2633:P2638)/_xlfn.STDEV.P(P2633:P2638))/(IF(A2636=A2637,(_xlfn.SINGLE(_xll.ciqfunctions.udf.CIQ(A2628,"IQ_total_assets",IQ_FY)) - _xlfn.SINGLE(_xll.ciqfunctions.udf.CIQ(A2628,"iq_gw_intan", IQ_FY)))/I2638, (_xlfn.SINGLE(_xll.ciqfunctions.udf.CIQ(A2628, "IQ_total_assets",IQ_LTM))-_xlfn.SINGLE(_xll.ciqfunctions.udf.CIQ(A2628,"iq_gw_intan",IQ_LTM)))/I2638))</f>
        <v>1.7973450735314929E-2</v>
      </c>
      <c r="Y2634" s="18"/>
      <c r="Z2634" s="38" t="s">
        <v>29</v>
      </c>
      <c r="AA2634" s="4">
        <f>(AVERAGE(P2633:P2638)/_xlfn.STDEV.P(P2633:P2638))/(IF(A2636=A2637,(_xlfn.SINGLE(_xll.ciqfunctions.udf.CIQ(A2628,"IQ_total_assets",IQ_FY)) - _xlfn.SINGLE(_xll.ciqfunctions.udf.CIQ(A2628,"iq_gw_intan", IQ_FY)))/I2638, (_xlfn.SINGLE(_xll.ciqfunctions.udf.CIQ(A2628, "IQ_total_assets",IQ_LTM))-_xlfn.SINGLE(_xll.ciqfunctions.udf.CIQ(A2628,"iq_gw_intan",IQ_LTM)))/I2638))</f>
        <v>1.7973450735314929E-2</v>
      </c>
    </row>
    <row r="2635" spans="1:27">
      <c r="A2635" s="18"/>
      <c r="B2635" s="13">
        <v>8</v>
      </c>
      <c r="C2635" s="14" t="s">
        <v>30</v>
      </c>
      <c r="D2635" s="15" cm="1">
        <f t="array" ref="D2635">_xlfn.SINGLE(IF(A2636=A2637,_xll.ciqfunctions.udf.CIQ(A2628,"IQ_TOTAL_REV",IQ_FY-3)/I2635, _xll.ciqfunctions.udf.CIQ(A2628, "IQ_TOTAL_REV",IQ_FY-2)/I2635))</f>
        <v>34.437308512338312</v>
      </c>
      <c r="E2635" s="16">
        <f t="shared" si="703"/>
        <v>0.2883713508672105</v>
      </c>
      <c r="F2635" s="15">
        <f>IF(A2636=A2637,_xll.ciqfunctions.udf.CIQ(A2628,"IQ_DILUT_EPS_EXCL",IQ_FY-3), _xll.ciqfunctions.udf.CIQ(A2628, "IQ_DILUT_EPS_EXCL",IQ_FY-2))</f>
        <v>1.89</v>
      </c>
      <c r="G2635" s="15">
        <f>IF(A2636=A2637,_xll.ciqfunctions.udf.CIQ(A2628,"IQ_EBITDA_MARGIN",IQ_FY-3), _xll.ciqfunctions.udf.CIQ(A2628, "IQ_EBITDA_MARGIN",IQ_FY-2))</f>
        <v>11.8833</v>
      </c>
      <c r="H2635" s="15">
        <f>IF(A2636=A2637,_xll.ciqfunctions.udf.CIQ(A2628,"IQ_TOTAL_DIV_PAID_CF",IQ_FY-3)/-I2635, _xll.ciqfunctions.udf.CIQ(A2628, "IQ_TOTAL_DIV_PAID_CF",IQ_FY-2)/-I2635)</f>
        <v>0</v>
      </c>
      <c r="I2635" s="17">
        <f>IF(A2636=A2637,_xll.ciqfunctions.udf.CIQ(A2628,"IQ_TOTAL_OUTSTANDING_FILING_DATE",IQ_FY-3), _xll.ciqfunctions.udf.CIQ(A2628, "IQ_TOTAL_OUTSTANDING_FILING_DATE",IQ_FY-2))</f>
        <v>40.612929999999999</v>
      </c>
      <c r="J2635" s="17">
        <f>IF(A2636=A2637,_xll.ciqfunctions.udf.CIQ(A2628,"IQ_CASH_OPER",IQ_FY-3), _xll.ciqfunctions.udf.CIQ(A2628, "IQ_CASH_OPER",IQ_FY-2))</f>
        <v>97.3</v>
      </c>
      <c r="K2635" s="17">
        <f>IF(A2636=A2637,_xll.ciqfunctions.udf.CIQ(A2628,"IQ_CAPEX",IQ_FY-3), _xll.ciqfunctions.udf.CIQ(A2628, "IQ_CAPEX",IQ_FY-2))</f>
        <v>-36.4</v>
      </c>
      <c r="L2635" s="15">
        <f t="shared" si="700"/>
        <v>1.499522442729446</v>
      </c>
      <c r="M2635" s="17">
        <f>IF(A2636=A2637,_xll.ciqfunctions.udf.CIQ(A2628,"IQ_TOTAL_DEBT_ISSUED",IQ_FY-3), _xll.ciqfunctions.udf.CIQ(A2628, "IQ_TOTAL_DEBT_ISSUED",IQ_FY-2))</f>
        <v>76.7</v>
      </c>
      <c r="N2635" s="17">
        <f>IF(A2636=A2637,_xll.ciqfunctions.udf.CIQ(A2628,"IQ_TOTAL_DEBT_REPAID",IQ_FY-3), _xll.ciqfunctions.udf.CIQ(A2628, "IQ_TOTAL_DEBT_REPAID",IQ_FY-2))</f>
        <v>-105.5</v>
      </c>
      <c r="O2635" s="15">
        <f t="shared" si="701"/>
        <v>-0.70913376601983646</v>
      </c>
      <c r="P2635" s="15">
        <f t="shared" si="702"/>
        <v>0.79038867670960955</v>
      </c>
      <c r="Q2635" s="18"/>
      <c r="R2635" s="39" t="s">
        <v>31</v>
      </c>
      <c r="S2635" s="5">
        <f>IF(NOT(D2628&gt;0),FALSE,SLOPE(G2628:G2638,B2628:B2638))</f>
        <v>0.61409363636363645</v>
      </c>
      <c r="U2635" s="18"/>
      <c r="V2635" s="39" t="s">
        <v>31</v>
      </c>
      <c r="W2635" s="5">
        <f>IF(NOT(D2628&gt;0),FALSE,SLOPE(G2628:G2638,B2628:B2638))</f>
        <v>0.61409363636363645</v>
      </c>
      <c r="Y2635" s="18"/>
      <c r="Z2635" s="39" t="s">
        <v>31</v>
      </c>
      <c r="AA2635" s="5">
        <f>IF(NOT(L2628&gt;0),FALSE,SLOPE(O2628:O2638,J2628:J2638))</f>
        <v>1.9073081028586358E-2</v>
      </c>
    </row>
    <row r="2636" spans="1:27">
      <c r="A2636" s="19">
        <f>_xll.ciqfunctions.udf.CIQ(A2628,"IQ_TOTAL_REV",IQ_FY)</f>
        <v>2374.3000000000002</v>
      </c>
      <c r="B2636" s="13">
        <v>9</v>
      </c>
      <c r="C2636" s="14" t="s">
        <v>32</v>
      </c>
      <c r="D2636" s="15" cm="1">
        <f t="array" ref="D2636">_xlfn.SINGLE(IF(A2636=A2637,_xll.ciqfunctions.udf.CIQ(A2628,"IQ_TOTAL_REV",IQ_FY-2)/I2636, _xll.ciqfunctions.udf.CIQ(A2628, "IQ_TOTAL_REV",IQ_FY-1)/I2636))</f>
        <v>46.754212906974779</v>
      </c>
      <c r="E2636" s="16">
        <f t="shared" si="703"/>
        <v>0.3576616444988297</v>
      </c>
      <c r="F2636" s="15">
        <f>IF(A2636=A2637,_xll.ciqfunctions.udf.CIQ(A2628,"IQ_DILUT_EPS_EXCL",IQ_FY-2), _xll.ciqfunctions.udf.CIQ(A2628, "IQ_DILUT_EPS_EXCL",IQ_FY-1))</f>
        <v>2.69</v>
      </c>
      <c r="G2636" s="15">
        <f>IF(A2636=A2637,_xll.ciqfunctions.udf.CIQ(A2628,"IQ_EBITDA_MARGIN",IQ_FY-2), _xll.ciqfunctions.udf.CIQ(A2628, "IQ_EBITDA_MARGIN",IQ_FY-1))</f>
        <v>12.5237</v>
      </c>
      <c r="H2636" s="15">
        <f>IF(A2636=A2637,_xll.ciqfunctions.udf.CIQ(A2628,"IQ_TOTAL_DIV_PAID_CF",IQ_FY-2)/-I2636, _xll.ciqfunctions.udf.CIQ(A2628, "IQ_TOTAL_DIV_PAID_CF",IQ_FY-1)/-I2636)</f>
        <v>0</v>
      </c>
      <c r="I2636" s="17">
        <f>IF(A2636=A2637,_xll.ciqfunctions.udf.CIQ(A2628,"IQ_TOTAL_OUTSTANDING_FILING_DATE",IQ_FY-2), _xll.ciqfunctions.udf.CIQ(A2628, "IQ_TOTAL_OUTSTANDING_FILING_DATE",IQ_FY-1))</f>
        <v>44.949959999999997</v>
      </c>
      <c r="J2636" s="17">
        <f>IF(A2636=A2637,_xll.ciqfunctions.udf.CIQ(A2628,"IQ_CASH_OPER",IQ_FY-2), _xll.ciqfunctions.udf.CIQ(A2628, "IQ_CASH_OPER",IQ_FY-1))</f>
        <v>211.6</v>
      </c>
      <c r="K2636" s="17">
        <f>IF(A2636=A2637,_xll.ciqfunctions.udf.CIQ(A2628,"IQ_CAPEX",IQ_FY-2), _xll.ciqfunctions.udf.CIQ(A2628, "IQ_CAPEX",IQ_FY-1))</f>
        <v>-59.3</v>
      </c>
      <c r="L2636" s="15">
        <f t="shared" si="700"/>
        <v>3.388212136340055</v>
      </c>
      <c r="M2636" s="17">
        <f>IF(A2636=A2637,_xll.ciqfunctions.udf.CIQ(A2628,"IQ_TOTAL_DEBT_ISSUED",IQ_FY-2), _xll.ciqfunctions.udf.CIQ(A2628, "IQ_TOTAL_DEBT_ISSUED",IQ_FY-1))</f>
        <v>415.2</v>
      </c>
      <c r="N2636" s="17">
        <f>IF(A2636=A2637,_xll.ciqfunctions.udf.CIQ(A2628,"IQ_TOTAL_DEBT_REPAID",IQ_FY-2), _xll.ciqfunctions.udf.CIQ(A2628, "IQ_TOTAL_DEBT_REPAID",IQ_FY-1))</f>
        <v>-131.80000000000001</v>
      </c>
      <c r="O2636" s="15">
        <f t="shared" si="701"/>
        <v>6.3047887028153085</v>
      </c>
      <c r="P2636" s="15">
        <f t="shared" si="702"/>
        <v>9.6930008391553635</v>
      </c>
      <c r="Q2636" s="25" t="s">
        <v>33</v>
      </c>
      <c r="R2636" s="38" t="s">
        <v>52</v>
      </c>
      <c r="S2636" s="4">
        <f>(AVERAGE(O2633:O2638)/AVERAGE(P2633:P2638))</f>
        <v>0.6314363557880841</v>
      </c>
      <c r="U2636" s="25" t="s">
        <v>54</v>
      </c>
      <c r="V2636" s="38" t="s">
        <v>52</v>
      </c>
      <c r="W2636" s="4">
        <f>(AVERAGE(O2633:O2638)/AVERAGE(P2633:P2638))</f>
        <v>0.6314363557880841</v>
      </c>
      <c r="Y2636" s="25" t="s">
        <v>60</v>
      </c>
      <c r="Z2636" s="38" t="s">
        <v>52</v>
      </c>
      <c r="AA2636" s="4">
        <f>(AVERAGE(O2633:O2638)/AVERAGE(P2633:P2638))</f>
        <v>0.6314363557880841</v>
      </c>
    </row>
    <row r="2637" spans="1:27">
      <c r="A2637" s="19">
        <f>_xll.ciqfunctions.udf.CIQ(A2628,"IQ_TOTAL_REV",IQ_LTM)</f>
        <v>1856.2</v>
      </c>
      <c r="B2637" s="13">
        <v>10</v>
      </c>
      <c r="C2637" s="14" t="s">
        <v>34</v>
      </c>
      <c r="D2637" s="15" cm="1">
        <f t="array" ref="D2637">_xlfn.SINGLE(IF(A2636=A2637,_xll.ciqfunctions.udf.CIQ(A2628,"IQ_TOTAL_REV",IQ_FY-1)/I2637, _xll.ciqfunctions.udf.CIQ(A2628, "IQ_TOTAL_REV",IQ_FY)/I2637))</f>
        <v>53.014169115713031</v>
      </c>
      <c r="E2637" s="16">
        <f t="shared" si="703"/>
        <v>0.13389074095191097</v>
      </c>
      <c r="F2637" s="15">
        <f>IF(A2636=A2637,_xll.ciqfunctions.udf.CIQ(A2628,"IQ_DILUT_EPS_EXCL",IQ_FY-1), _xll.ciqfunctions.udf.CIQ(A2628, "IQ_DILUT_EPS_EXCL",IQ_FY))</f>
        <v>0.88</v>
      </c>
      <c r="G2637" s="15">
        <f>IF(A2636=A2637,_xll.ciqfunctions.udf.CIQ(A2628,"IQ_EBITDA_MARGIN",IQ_FY-1), _xll.ciqfunctions.udf.CIQ(A2628, "IQ_EBITDA_MARGIN",IQ_FY))</f>
        <v>11.2117</v>
      </c>
      <c r="H2637" s="15">
        <f>IF(A2636=A2637,_xll.ciqfunctions.udf.CIQ(A2628,"IQ_TOTAL_DIV_PAID_CF",IQ_FY-1)/-I2637, _xll.ciqfunctions.udf.CIQ(A2628, "IQ_TOTAL_DIV_PAID_CF",IQ_FY)/-I2637)</f>
        <v>0</v>
      </c>
      <c r="I2637" s="17">
        <f>IF(A2636=A2637,_xll.ciqfunctions.udf.CIQ(A2628,"IQ_TOTAL_OUTSTANDING_FILING_DATE",IQ_FY-1), _xll.ciqfunctions.udf.CIQ(A2628, "IQ_TOTAL_OUTSTANDING_FILING_DATE",IQ_FY))</f>
        <v>44.786140000000003</v>
      </c>
      <c r="J2637" s="17">
        <f>IF(A2636=A2637,_xll.ciqfunctions.udf.CIQ(A2628,"IQ_CASH_OPER",IQ_FY-1), _xll.ciqfunctions.udf.CIQ(A2628, "IQ_CASH_OPER",IQ_FY))</f>
        <v>47.2</v>
      </c>
      <c r="K2637" s="17">
        <f>IF(A2636=A2637,_xll.ciqfunctions.udf.CIQ(A2628,"IQ_CAPEX",IQ_FY-1), _xll.ciqfunctions.udf.CIQ(A2628, "IQ_CAPEX",IQ_FY))</f>
        <v>-100.1</v>
      </c>
      <c r="L2637" s="15">
        <f t="shared" si="700"/>
        <v>-1.1811689955865807</v>
      </c>
      <c r="M2637" s="17">
        <f>IF(A2636=A2637,_xll.ciqfunctions.udf.CIQ(A2628,"IQ_TOTAL_DEBT_ISSUED",IQ_FY-1), _xll.ciqfunctions.udf.CIQ(A2628, "IQ_TOTAL_DEBT_ISSUED",IQ_FY))</f>
        <v>0</v>
      </c>
      <c r="N2637" s="17">
        <f>IF(A2636=A2637,_xll.ciqfunctions.udf.CIQ(A2628,"IQ_TOTAL_DEBT_REPAID",IQ_FY-1), _xll.ciqfunctions.udf.CIQ(A2628, "IQ_TOTAL_DEBT_REPAID",IQ_FY))</f>
        <v>-39.700000000000003</v>
      </c>
      <c r="O2637" s="15">
        <f t="shared" si="701"/>
        <v>-0.8864349550999483</v>
      </c>
      <c r="P2637" s="15">
        <f t="shared" si="702"/>
        <v>-2.0676039506865291</v>
      </c>
      <c r="Q2637" s="25" t="s">
        <v>44</v>
      </c>
      <c r="R2637" s="38" t="s">
        <v>35</v>
      </c>
      <c r="S2637" s="1">
        <f>_xll.ciqfunctions.udf.CIQ(A2628,"IQ_TEV_EBITDA")</f>
        <v>9.5418299999999991</v>
      </c>
      <c r="U2637" s="25" t="s">
        <v>55</v>
      </c>
      <c r="V2637" s="38" t="s">
        <v>53</v>
      </c>
      <c r="W2637" s="1">
        <f>V2627/(AVERAGE(D2633:D2638)/_xlfn.STDEV.P(E2633:E2638))</f>
        <v>0.13929942406809515</v>
      </c>
      <c r="Y2637" s="25" t="s">
        <v>57</v>
      </c>
      <c r="Z2637" s="38" t="s">
        <v>53</v>
      </c>
      <c r="AA2637" s="1">
        <f>Z2627/(AVERAGE(D2633:D2638)/_xlfn.STDEV.P(E2633:E2638))</f>
        <v>0.13929942406809515</v>
      </c>
    </row>
    <row r="2638" spans="1:27">
      <c r="B2638" s="13">
        <v>11</v>
      </c>
      <c r="C2638" s="20" t="s">
        <v>36</v>
      </c>
      <c r="D2638" s="21" cm="1">
        <f t="array" ref="D2638">_xlfn.SINGLE(IF(A2636=A2637,_xll.ciqfunctions.udf.CIQ(A2628,"IQ_TOTAL_REV",IQ_FY)/I2638, _xll.ciqfunctions.udf.CIQ(A2628, "IQ_TOTAL_REV",IQ_LTM)/I2638))</f>
        <v>41.40458854385313</v>
      </c>
      <c r="E2638" s="22">
        <f t="shared" si="703"/>
        <v>-0.21899014481430215</v>
      </c>
      <c r="F2638" s="21">
        <f>IF(A2636=A2637,_xll.ciqfunctions.udf.CIQ(A2628,"IQ_DILUT_EPS_EXCL",IQ_FY), _xll.ciqfunctions.udf.CIQ(A2628, "IQ_DILUT_EPS_EXCL",IQ_LTM))</f>
        <v>2.0400000000000001E-3</v>
      </c>
      <c r="G2638" s="21">
        <f>IF(A2636=A2637,_xll.ciqfunctions.udf.CIQ(A2628,"IQ_EBITDA_MARGIN",IQ_FY), _xll.ciqfunctions.udf.CIQ(A2628, "IQ_EBITDA_MARGIN",IQ_LTM))</f>
        <v>7.2675000000000001</v>
      </c>
      <c r="H2638" s="21">
        <f>IF(A2636=A2637,_xll.ciqfunctions.udf.CIQ(A2628,"IQ_TOTAL_DIV_PAID_CF",IQ_FY)/-I2638, _xll.ciqfunctions.udf.CIQ(A2628, "IQ_TOTAL_DIV_PAID_CF",IQ_LTM)/-I2638)</f>
        <v>0</v>
      </c>
      <c r="I2638" s="23">
        <f>IF(A2636=A2637,_xll.ciqfunctions.udf.CIQ(A2628,"IQ_TOTAL_OUTSTANDING_FILING_DATE",IQ_FY),_xll.ciqfunctions.udf.CIQ(A2628,"IQ_sharesoutstanding"))</f>
        <v>44.830779999999997</v>
      </c>
      <c r="J2638" s="23">
        <f>IF(A2636=A2637,_xll.ciqfunctions.udf.CIQ(A2628,"IQ_CASH_OPER",IQ_FY), _xll.ciqfunctions.udf.CIQ(A2628, "IQ_CASH_OPER",IQ_LTM))</f>
        <v>61.8</v>
      </c>
      <c r="K2638" s="23">
        <f>IF(A2636=A2637,_xll.ciqfunctions.udf.CIQ(A2628,"IQ_CAPEX",IQ_FY), _xll.ciqfunctions.udf.CIQ(A2628, "IQ_CAPEX",IQ_LTM))</f>
        <v>-91.4</v>
      </c>
      <c r="L2638" s="21">
        <f t="shared" si="700"/>
        <v>-0.66026065127575317</v>
      </c>
      <c r="M2638" s="23">
        <f>IF(A2636=A2637,_xll.ciqfunctions.udf.CIQ(A2628,"IQ_TOTAL_DEBT_ISSUED",IQ_FY), _xll.ciqfunctions.udf.CIQ(A2628, "IQ_TOTAL_DEBT_ISSUED",IQ_LTM))</f>
        <v>-4.7</v>
      </c>
      <c r="N2638" s="23">
        <f>IF(A2636=A2637,_xll.ciqfunctions.udf.CIQ(A2628,"IQ_TOTAL_DEBT_REPAID",IQ_FY), _xll.ciqfunctions.udf.CIQ(A2628, "IQ_TOTAL_DEBT_REPAID",IQ_LTM))</f>
        <v>-46.6</v>
      </c>
      <c r="O2638" s="21">
        <f t="shared" si="701"/>
        <v>-1.1443030881907477</v>
      </c>
      <c r="P2638" s="21">
        <f t="shared" si="702"/>
        <v>-1.8045637394665008</v>
      </c>
      <c r="Q2638" s="25" t="s">
        <v>45</v>
      </c>
      <c r="S2638" s="45"/>
      <c r="U2638" s="25"/>
      <c r="W2638" s="45"/>
      <c r="Y2638" s="25"/>
      <c r="AA2638" s="45"/>
    </row>
    <row r="2639" spans="1:27">
      <c r="B2639" s="24"/>
      <c r="C2639" s="25" t="s">
        <v>37</v>
      </c>
      <c r="E2639" s="26">
        <f>((D2638/D2633)^(1/5))-1</f>
        <v>8.1102755308148256E-2</v>
      </c>
      <c r="F2639" s="27">
        <f>((F2638/F2633)^(1/5))-1</f>
        <v>-0.70670783407999438</v>
      </c>
      <c r="G2639" s="28"/>
      <c r="H2639" s="27" t="e">
        <f>((H2638/H2633)^(1/5))-1</f>
        <v>#DIV/0!</v>
      </c>
      <c r="I2639" s="27">
        <f>((I2638/I2633)^(1/5))-1</f>
        <v>2.7676089895247724E-2</v>
      </c>
      <c r="J2639" s="27"/>
      <c r="K2639" s="27"/>
      <c r="L2639" s="26">
        <f>((L2638/L2633)^(1/5))-1</f>
        <v>-2.1060561382053331</v>
      </c>
      <c r="M2639" s="26"/>
      <c r="N2639" s="26"/>
      <c r="O2639" s="26"/>
      <c r="P2639" s="26">
        <f>((P2638/P2633)^(1/5))-1</f>
        <v>-1.7408215610524413</v>
      </c>
      <c r="Q2639" s="18"/>
      <c r="R2639" s="36"/>
      <c r="S2639" s="45"/>
      <c r="U2639" s="18"/>
      <c r="V2639" s="36"/>
      <c r="W2639" s="45"/>
      <c r="Y2639" s="18"/>
      <c r="Z2639" s="36"/>
      <c r="AA2639" s="45"/>
    </row>
    <row r="2640" spans="1:27">
      <c r="A2640" s="29"/>
      <c r="B2640" s="30"/>
      <c r="C2640" s="31" t="s">
        <v>38</v>
      </c>
      <c r="D2640" s="29"/>
      <c r="E2640" s="32">
        <f>((D2638/D2628)^(1/10))-1</f>
        <v>0.10686709495531099</v>
      </c>
      <c r="F2640" s="33">
        <f>((F2638/F2628)^(1/10))-1</f>
        <v>-0.40388127119942296</v>
      </c>
      <c r="G2640" s="34"/>
      <c r="H2640" s="33" t="e">
        <f>((H2638/H2628)^(1/10))-1</f>
        <v>#DIV/0!</v>
      </c>
      <c r="I2640" s="33">
        <f>((I2638/I2628)^(1/10))-1</f>
        <v>4.2381154569635315E-2</v>
      </c>
      <c r="J2640" s="33"/>
      <c r="K2640" s="33"/>
      <c r="L2640" s="32" t="e">
        <f>((L2638/L2628)^(1/10))-1</f>
        <v>#NUM!</v>
      </c>
      <c r="M2640" s="32"/>
      <c r="N2640" s="32"/>
      <c r="O2640" s="32"/>
      <c r="P2640" s="32" t="e">
        <f>((P2638/P2628)^(1/10))-1</f>
        <v>#NUM!</v>
      </c>
      <c r="Q2640" s="40"/>
      <c r="R2640" s="41"/>
      <c r="S2640" s="46"/>
      <c r="U2640" s="40"/>
      <c r="V2640" s="41"/>
      <c r="W2640" s="46"/>
      <c r="Y2640" s="40"/>
      <c r="Z2640" s="41"/>
      <c r="AA2640" s="46"/>
    </row>
    <row r="2641" spans="1:27">
      <c r="B2641" s="24"/>
      <c r="C2641" s="25"/>
      <c r="E2641" s="26"/>
      <c r="F2641" s="27"/>
      <c r="G2641" s="28"/>
      <c r="H2641" s="27"/>
      <c r="I2641" s="27"/>
      <c r="J2641" s="27"/>
      <c r="K2641" s="27"/>
      <c r="L2641" s="26"/>
      <c r="M2641" s="17"/>
      <c r="N2641" s="17"/>
      <c r="O2641" s="17"/>
      <c r="P2641" s="35"/>
      <c r="Q2641" s="18"/>
      <c r="R2641" s="36"/>
    </row>
    <row r="2642" spans="1:27">
      <c r="A2642" s="9" t="s">
        <v>0</v>
      </c>
      <c r="B2642" s="10"/>
      <c r="C2642" s="9" t="s">
        <v>1</v>
      </c>
      <c r="D2642" s="9" t="s">
        <v>2</v>
      </c>
      <c r="E2642" s="9" t="s">
        <v>3</v>
      </c>
      <c r="F2642" s="11" t="s">
        <v>4</v>
      </c>
      <c r="G2642" s="11" t="s">
        <v>5</v>
      </c>
      <c r="H2642" s="9" t="s">
        <v>6</v>
      </c>
      <c r="I2642" s="11" t="s">
        <v>7</v>
      </c>
      <c r="J2642" s="11" t="s">
        <v>8</v>
      </c>
      <c r="K2642" s="11" t="s">
        <v>9</v>
      </c>
      <c r="L2642" s="11" t="s">
        <v>10</v>
      </c>
      <c r="M2642" s="11" t="s">
        <v>11</v>
      </c>
      <c r="N2642" s="11" t="s">
        <v>12</v>
      </c>
      <c r="O2642" s="11" t="s">
        <v>13</v>
      </c>
      <c r="P2642" s="11" t="s">
        <v>14</v>
      </c>
      <c r="Q2642" s="37" t="s">
        <v>15</v>
      </c>
      <c r="R2642" s="42">
        <f>_xll.ciqfunctions.udf.CIQ(A2643,("IQ_LASTSALEPRICE"))</f>
        <v>18.0823</v>
      </c>
      <c r="S2642" s="44"/>
      <c r="U2642" s="37" t="s">
        <v>15</v>
      </c>
      <c r="V2642" s="42">
        <f>_xll.ciqfunctions.udf.CIQ(A2643,("IQ_LASTSALEPRICE"))</f>
        <v>18.0823</v>
      </c>
      <c r="W2642" s="44"/>
      <c r="Y2642" s="37" t="s">
        <v>15</v>
      </c>
      <c r="Z2642" s="42">
        <f>_xll.ciqfunctions.udf.CIQ(A2643,("IQ_LASTSALEPRICE"))</f>
        <v>18.0823</v>
      </c>
      <c r="AA2642" s="44"/>
    </row>
    <row r="2643" spans="1:27">
      <c r="A2643" s="12" t="str">
        <f>Analysis!B178</f>
        <v>NasdaqGS:MXL</v>
      </c>
      <c r="B2643" s="13">
        <v>1</v>
      </c>
      <c r="C2643" s="14" t="s">
        <v>16</v>
      </c>
      <c r="D2643" s="15">
        <f>IF(A2651=A2652,_xll.ciqfunctions.udf.CIQ(A2643,"IQ_TOTAL_REV",IQ_FY-10)/I2643,_xll.ciqfunctions.udf.CIQ(A2643, "IQ_TOTAL_REV",IQ_FY-9)/I2643)</f>
        <v>3.3846857158375769</v>
      </c>
      <c r="E2643" s="16"/>
      <c r="F2643" s="15">
        <f>IF(A2651=A2652,_xll.ciqfunctions.udf.CIQ(A2643,"IQ_DILUT_EPS_EXCL",IQ_FY-10), _xll.ciqfunctions.udf.CIQ(A2643, "IQ_DILUT_EPS_EXCL",IQ_FY-9))</f>
        <v>-0.37436999999999998</v>
      </c>
      <c r="G2643" s="15">
        <f>IF(A2651=A2652,_xll.ciqfunctions.udf.CIQ(A2643,"IQ_EBITDA_MARGIN",IQ_FY-10), _xll.ciqfunctions.udf.CIQ(A2643, "IQ_EBITDA_MARGIN",IQ_FY-9))</f>
        <v>-4.9603999999999999</v>
      </c>
      <c r="H2643" s="15">
        <f>IF(A2651=A2652,_xll.ciqfunctions.udf.CIQ(A2643,"IQ_TOTAL_DIV_PAID_CF",IQ_FY-10)/-I2643, _xll.ciqfunctions.udf.CIQ(A2643, "IQ_TOTAL_DIV_PAID_CF",IQ_FY-9)/-I2643)</f>
        <v>0</v>
      </c>
      <c r="I2643" s="17">
        <f>IF(A2651=A2652,_xll.ciqfunctions.udf.CIQ(A2643,"IQ_TOTAL_OUTSTANDING_FILING_DATE",IQ_FY-10), _xll.ciqfunctions.udf.CIQ(A2643, "IQ_TOTAL_OUTSTANDING_FILING_DATE",IQ_FY-9))</f>
        <v>35.349220000000003</v>
      </c>
      <c r="J2643" s="17">
        <f>IF(A2651=A2652,_xll.ciqfunctions.udf.CIQ(A2643,"IQ_CASH_OPER",IQ_FY-10), _xll.ciqfunctions.udf.CIQ(A2643, "IQ_CASH_OPER",IQ_FY-9))</f>
        <v>12.89</v>
      </c>
      <c r="K2643" s="17">
        <f>IF(A2651=A2652,_xll.ciqfunctions.udf.CIQ(A2643,"IQ_CAPEX",IQ_FY-10), _xll.ciqfunctions.udf.CIQ(A2643, "IQ_CAPEX",IQ_FY-9))</f>
        <v>-3.1619999999999999</v>
      </c>
      <c r="L2643" s="15">
        <f t="shared" ref="L2643:L2653" si="704">(J2643+K2643)/I2643</f>
        <v>0.27519701990595552</v>
      </c>
      <c r="M2643" s="17">
        <f>IF(A2651=A2652,_xll.ciqfunctions.udf.CIQ(A2643,"IQ_TOTAL_DEBT_ISSUED",IQ_FY-10), _xll.ciqfunctions.udf.CIQ(A2643, "IQ_TOTAL_DEBT_ISSUED",IQ_FY-9))</f>
        <v>0</v>
      </c>
      <c r="N2643" s="17">
        <f>IF(A2651=A2652,_xll.ciqfunctions.udf.CIQ(A2643,"IQ_TOTAL_DEBT_REPAID",IQ_FY-10), _xll.ciqfunctions.udf.CIQ(A2643, "IQ_TOTAL_DEBT_REPAID",IQ_FY-9))</f>
        <v>-2E-3</v>
      </c>
      <c r="O2643" s="15">
        <f t="shared" ref="O2643:O2653" si="705">(M2643+N2643)/I2643</f>
        <v>-5.6578334684612557E-5</v>
      </c>
      <c r="P2643" s="15">
        <f t="shared" ref="P2643:P2653" si="706">L2643+O2643</f>
        <v>0.27514044157127093</v>
      </c>
      <c r="W2643" s="43"/>
      <c r="AA2643" s="43"/>
    </row>
    <row r="2644" spans="1:27">
      <c r="A2644" s="18" t="str">
        <f>_xll.ciqfunctions.udf.CIQ(A2643,"IQ_COMPANY_NAME")</f>
        <v>MaxLinear, Inc.</v>
      </c>
      <c r="B2644" s="13">
        <v>2</v>
      </c>
      <c r="C2644" s="14" t="s">
        <v>17</v>
      </c>
      <c r="D2644" s="15">
        <f>IF(A2651=A2652,_xll.ciqfunctions.udf.CIQ(A2643,"IQ_TOTAL_REV",IQ_FY-9)/I2644, _xll.ciqfunctions.udf.CIQ(A2643, "IQ_TOTAL_REV",IQ_FY-8)/I2644)</f>
        <v>3.5061361069435781</v>
      </c>
      <c r="E2644" s="16">
        <f t="shared" ref="E2644:E2653" si="707">(D2644-D2643)/D2643</f>
        <v>3.5882324476305766E-2</v>
      </c>
      <c r="F2644" s="15">
        <f>IF(A2651=A2652,_xll.ciqfunctions.udf.CIQ(A2643,"IQ_DILUT_EPS_EXCL",IQ_FY-9), _xll.ciqfunctions.udf.CIQ(A2643, "IQ_DILUT_EPS_EXCL",IQ_FY-8))</f>
        <v>-0.19305</v>
      </c>
      <c r="G2644" s="15">
        <f>IF(A2651=A2652,_xll.ciqfunctions.udf.CIQ(A2643,"IQ_EBITDA_MARGIN",IQ_FY-9), _xll.ciqfunctions.udf.CIQ(A2643, "IQ_EBITDA_MARGIN",IQ_FY-8))</f>
        <v>-2.8178999999999998</v>
      </c>
      <c r="H2644" s="15">
        <f>IF(A2651=A2652,_xll.ciqfunctions.udf.CIQ(A2643,"IQ_TOTAL_DIV_PAID_CF",IQ_FY-9)/-I2644, _xll.ciqfunctions.udf.CIQ(A2643, "IQ_TOTAL_DIV_PAID_CF",IQ_FY-8)/-I2644)</f>
        <v>0</v>
      </c>
      <c r="I2644" s="17">
        <f>IF(A2651=A2652,_xll.ciqfunctions.udf.CIQ(A2643,"IQ_TOTAL_OUTSTANDING_FILING_DATE",IQ_FY-9), _xll.ciqfunctions.udf.CIQ(A2643, "IQ_TOTAL_OUTSTANDING_FILING_DATE",IQ_FY-8))</f>
        <v>37.965440000000001</v>
      </c>
      <c r="J2644" s="17">
        <f>IF(A2651=A2652,_xll.ciqfunctions.udf.CIQ(A2643,"IQ_CASH_OPER",IQ_FY-9), _xll.ciqfunctions.udf.CIQ(A2643, "IQ_CASH_OPER",IQ_FY-8))</f>
        <v>12.234</v>
      </c>
      <c r="K2644" s="17">
        <f>IF(A2651=A2652,_xll.ciqfunctions.udf.CIQ(A2643,"IQ_CAPEX",IQ_FY-9), _xll.ciqfunctions.udf.CIQ(A2643, "IQ_CAPEX",IQ_FY-8))</f>
        <v>-8.8000000000000007</v>
      </c>
      <c r="L2644" s="15">
        <f t="shared" si="704"/>
        <v>9.0450683569056473E-2</v>
      </c>
      <c r="M2644" s="17">
        <f>IF(A2651=A2652,_xll.ciqfunctions.udf.CIQ(A2643,"IQ_TOTAL_DEBT_ISSUED",IQ_FY-9), _xll.ciqfunctions.udf.CIQ(A2643, "IQ_TOTAL_DEBT_ISSUED",IQ_FY-8))</f>
        <v>0</v>
      </c>
      <c r="N2644" s="17">
        <f>IF(A2651=A2652,_xll.ciqfunctions.udf.CIQ(A2643,"IQ_TOTAL_DEBT_REPAID",IQ_FY-9), _xll.ciqfunctions.udf.CIQ(A2643, "IQ_TOTAL_DEBT_REPAID",IQ_FY-8))</f>
        <v>0</v>
      </c>
      <c r="O2644" s="15">
        <f t="shared" si="705"/>
        <v>0</v>
      </c>
      <c r="P2644" s="15">
        <f t="shared" si="706"/>
        <v>9.0450683569056473E-2</v>
      </c>
      <c r="Q2644" s="25" t="s">
        <v>18</v>
      </c>
      <c r="R2644" s="39" t="s">
        <v>19</v>
      </c>
      <c r="S2644" s="1">
        <f>R2642/((AVERAGE(P2648:P2653))*(1+E2654)^3)</f>
        <v>10.776602308424939</v>
      </c>
      <c r="U2644" s="25" t="s">
        <v>48</v>
      </c>
      <c r="V2644" s="39" t="s">
        <v>19</v>
      </c>
      <c r="W2644" s="1">
        <f>V2642/((AVERAGE(P2648:P2653))*(1+E2654)^3)</f>
        <v>10.776602308424939</v>
      </c>
      <c r="Y2644" s="25" t="s">
        <v>39</v>
      </c>
      <c r="Z2644" s="39" t="s">
        <v>19</v>
      </c>
      <c r="AA2644" s="1">
        <f>Z2642/((AVERAGE(P2648:P2653))*(1+E2654)^3)</f>
        <v>10.776602308424939</v>
      </c>
    </row>
    <row r="2645" spans="1:27">
      <c r="B2645" s="13">
        <v>3</v>
      </c>
      <c r="C2645" s="14" t="s">
        <v>20</v>
      </c>
      <c r="D2645" s="15" cm="1">
        <f t="array" ref="D2645">_xlfn.SINGLE(IF(A2651=A2652,_xll.ciqfunctions.udf.CIQ(A2643,"IQ_TOTAL_REV",IQ_FY-8)/I2645, _xll.ciqfunctions.udf.CIQ(A2643, "IQ_TOTAL_REV",IQ_FY-7)/I2645))</f>
        <v>4.8121050492337183</v>
      </c>
      <c r="E2645" s="16">
        <f t="shared" si="707"/>
        <v>0.3724809597961099</v>
      </c>
      <c r="F2645" s="15">
        <f>IF(A2651=A2652,_xll.ciqfunctions.udf.CIQ(A2643,"IQ_DILUT_EPS_EXCL",IQ_FY-8), _xll.ciqfunctions.udf.CIQ(A2643, "IQ_DILUT_EPS_EXCL",IQ_FY-7))</f>
        <v>-0.79303999999999997</v>
      </c>
      <c r="G2645" s="15">
        <f>IF(A2651=A2652,_xll.ciqfunctions.udf.CIQ(A2643,"IQ_EBITDA_MARGIN",IQ_FY-8), _xll.ciqfunctions.udf.CIQ(A2643, "IQ_EBITDA_MARGIN",IQ_FY-7))</f>
        <v>15.6652</v>
      </c>
      <c r="H2645" s="15">
        <f>IF(A2651=A2652,_xll.ciqfunctions.udf.CIQ(A2643,"IQ_TOTAL_DIV_PAID_CF",IQ_FY-8)/-I2645, _xll.ciqfunctions.udf.CIQ(A2643, "IQ_TOTAL_DIV_PAID_CF",IQ_FY-7)/-I2645)</f>
        <v>0</v>
      </c>
      <c r="I2645" s="17">
        <f>IF(A2651=A2652,_xll.ciqfunctions.udf.CIQ(A2643,"IQ_TOTAL_OUTSTANDING_FILING_DATE",IQ_FY-8), _xll.ciqfunctions.udf.CIQ(A2643, "IQ_TOTAL_OUTSTANDING_FILING_DATE",IQ_FY-7))</f>
        <v>62.417589999999997</v>
      </c>
      <c r="J2645" s="17">
        <f>IF(A2651=A2652,_xll.ciqfunctions.udf.CIQ(A2643,"IQ_CASH_OPER",IQ_FY-8), _xll.ciqfunctions.udf.CIQ(A2643, "IQ_CASH_OPER",IQ_FY-7))</f>
        <v>55.040999999999997</v>
      </c>
      <c r="K2645" s="17">
        <f>IF(A2651=A2652,_xll.ciqfunctions.udf.CIQ(A2643,"IQ_CAPEX",IQ_FY-8), _xll.ciqfunctions.udf.CIQ(A2643, "IQ_CAPEX",IQ_FY-7))</f>
        <v>-2.996</v>
      </c>
      <c r="L2645" s="15">
        <f t="shared" si="704"/>
        <v>0.83381944096207494</v>
      </c>
      <c r="M2645" s="17">
        <f>IF(A2651=A2652,_xll.ciqfunctions.udf.CIQ(A2643,"IQ_TOTAL_DEBT_ISSUED",IQ_FY-8), _xll.ciqfunctions.udf.CIQ(A2643, "IQ_TOTAL_DEBT_ISSUED",IQ_FY-7))</f>
        <v>0</v>
      </c>
      <c r="N2645" s="17">
        <f>IF(A2651=A2652,_xll.ciqfunctions.udf.CIQ(A2643,"IQ_TOTAL_DEBT_REPAID",IQ_FY-8), _xll.ciqfunctions.udf.CIQ(A2643, "IQ_TOTAL_DEBT_REPAID",IQ_FY-7))</f>
        <v>0</v>
      </c>
      <c r="O2645" s="15">
        <f t="shared" si="705"/>
        <v>0</v>
      </c>
      <c r="P2645" s="15">
        <f t="shared" si="706"/>
        <v>0.83381944096207494</v>
      </c>
      <c r="Q2645" s="25" t="s">
        <v>21</v>
      </c>
      <c r="R2645" s="38" t="s">
        <v>49</v>
      </c>
      <c r="S2645" s="2">
        <f>(R2642*I2653)/1000</f>
        <v>1.4748050456099999</v>
      </c>
      <c r="U2645" s="25" t="s">
        <v>59</v>
      </c>
      <c r="V2645" s="38" t="s">
        <v>49</v>
      </c>
      <c r="W2645" s="2">
        <f>(V2642*I2653)/1000</f>
        <v>1.4748050456099999</v>
      </c>
      <c r="Y2645" s="25" t="s">
        <v>46</v>
      </c>
      <c r="Z2645" s="38" t="s">
        <v>49</v>
      </c>
      <c r="AA2645" s="2">
        <f>(Z2642*I2653)/1000</f>
        <v>1.4748050456099999</v>
      </c>
    </row>
    <row r="2646" spans="1:27">
      <c r="A2646" s="18"/>
      <c r="B2646" s="13">
        <v>4</v>
      </c>
      <c r="C2646" s="14" t="s">
        <v>22</v>
      </c>
      <c r="D2646" s="15" cm="1">
        <f t="array" ref="D2646">_xlfn.SINGLE(IF(A2651=A2652,_xll.ciqfunctions.udf.CIQ(A2643,"IQ_TOTAL_REV",IQ_FY-7)/I2646, _xll.ciqfunctions.udf.CIQ(A2643, "IQ_TOTAL_REV",IQ_FY-6)/I2646))</f>
        <v>5.9562666719088133</v>
      </c>
      <c r="E2646" s="16">
        <f t="shared" si="707"/>
        <v>0.23776738266702882</v>
      </c>
      <c r="F2646" s="15">
        <f>IF(A2651=A2652,_xll.ciqfunctions.udf.CIQ(A2643,"IQ_DILUT_EPS_EXCL",IQ_FY-7), _xll.ciqfunctions.udf.CIQ(A2643, "IQ_DILUT_EPS_EXCL",IQ_FY-6))</f>
        <v>0.91</v>
      </c>
      <c r="G2646" s="15">
        <f>IF(A2651=A2652,_xll.ciqfunctions.udf.CIQ(A2643,"IQ_EBITDA_MARGIN",IQ_FY-7), _xll.ciqfunctions.udf.CIQ(A2643, "IQ_EBITDA_MARGIN",IQ_FY-6))</f>
        <v>25.819099999999999</v>
      </c>
      <c r="H2646" s="15">
        <f>IF(A2651=A2652,_xll.ciqfunctions.udf.CIQ(A2643,"IQ_TOTAL_DIV_PAID_CF",IQ_FY-7)/-I2646, _xll.ciqfunctions.udf.CIQ(A2643, "IQ_TOTAL_DIV_PAID_CF",IQ_FY-6)/-I2646)</f>
        <v>0</v>
      </c>
      <c r="I2646" s="17">
        <f>IF(A2651=A2652,_xll.ciqfunctions.udf.CIQ(A2643,"IQ_TOTAL_OUTSTANDING_FILING_DATE",IQ_FY-7), _xll.ciqfunctions.udf.CIQ(A2643, "IQ_TOTAL_OUTSTANDING_FILING_DATE",IQ_FY-6))</f>
        <v>65.11327</v>
      </c>
      <c r="J2646" s="17">
        <f>IF(A2651=A2652,_xll.ciqfunctions.udf.CIQ(A2643,"IQ_CASH_OPER",IQ_FY-7), _xll.ciqfunctions.udf.CIQ(A2643, "IQ_CASH_OPER",IQ_FY-6))</f>
        <v>117.31699999999999</v>
      </c>
      <c r="K2646" s="17">
        <f>IF(A2651=A2652,_xll.ciqfunctions.udf.CIQ(A2643,"IQ_CAPEX",IQ_FY-7), _xll.ciqfunctions.udf.CIQ(A2643, "IQ_CAPEX",IQ_FY-6))</f>
        <v>-8.5120000000000005</v>
      </c>
      <c r="L2646" s="15">
        <f t="shared" si="704"/>
        <v>1.6710111471901195</v>
      </c>
      <c r="M2646" s="17">
        <f>IF(A2651=A2652,_xll.ciqfunctions.udf.CIQ(A2643,"IQ_TOTAL_DEBT_ISSUED",IQ_FY-7), _xll.ciqfunctions.udf.CIQ(A2643, "IQ_TOTAL_DEBT_ISSUED",IQ_FY-6))</f>
        <v>0</v>
      </c>
      <c r="N2646" s="17">
        <f>IF(A2651=A2652,_xll.ciqfunctions.udf.CIQ(A2643,"IQ_TOTAL_DEBT_REPAID",IQ_FY-7), _xll.ciqfunctions.udf.CIQ(A2643, "IQ_TOTAL_DEBT_REPAID",IQ_FY-6))</f>
        <v>0</v>
      </c>
      <c r="O2646" s="15">
        <f t="shared" si="705"/>
        <v>0</v>
      </c>
      <c r="P2646" s="15">
        <f t="shared" si="706"/>
        <v>1.6710111471901195</v>
      </c>
      <c r="Q2646" s="25" t="s">
        <v>23</v>
      </c>
      <c r="R2646" s="38" t="s">
        <v>24</v>
      </c>
      <c r="S2646" s="1" t="e">
        <f>R2642/(AVERAGE(H2648:H2653)*(1+H2654)/(0.5-H2654))</f>
        <v>#DIV/0!</v>
      </c>
      <c r="U2646" s="25" t="s">
        <v>40</v>
      </c>
      <c r="V2646" s="38" t="s">
        <v>24</v>
      </c>
      <c r="W2646" s="1" t="e">
        <f>V2642/(AVERAGE(H2648:H2653)*(1+H2654)/(0.5-H2654))</f>
        <v>#DIV/0!</v>
      </c>
      <c r="Y2646" s="25" t="s">
        <v>47</v>
      </c>
      <c r="Z2646" s="38" t="s">
        <v>24</v>
      </c>
      <c r="AA2646" s="1" t="e">
        <f>Z2642/(AVERAGE(H2648:H2653)*(1+H2654)/(0.5-H2654))</f>
        <v>#DIV/0!</v>
      </c>
    </row>
    <row r="2647" spans="1:27">
      <c r="B2647" s="13">
        <v>5</v>
      </c>
      <c r="C2647" s="14" t="s">
        <v>25</v>
      </c>
      <c r="D2647" s="15" cm="1">
        <f t="array" ref="D2647">_xlfn.SINGLE(IF(A2651=A2652,_xll.ciqfunctions.udf.CIQ(A2643,"IQ_TOTAL_REV",IQ_FY-6)/I2647, _xll.ciqfunctions.udf.CIQ(A2643, "IQ_TOTAL_REV",IQ_FY-5)/I2647))</f>
        <v>6.2352664205006425</v>
      </c>
      <c r="E2647" s="16">
        <f t="shared" si="707"/>
        <v>4.6841379669526742E-2</v>
      </c>
      <c r="F2647" s="15">
        <f>IF(A2651=A2652,_xll.ciqfunctions.udf.CIQ(A2643,"IQ_DILUT_EPS_EXCL",IQ_FY-6), _xll.ciqfunctions.udf.CIQ(A2643, "IQ_DILUT_EPS_EXCL",IQ_FY-5))</f>
        <v>-0.14000000000000001</v>
      </c>
      <c r="G2647" s="15">
        <f>IF(A2651=A2652,_xll.ciqfunctions.udf.CIQ(A2643,"IQ_EBITDA_MARGIN",IQ_FY-6), _xll.ciqfunctions.udf.CIQ(A2643, "IQ_EBITDA_MARGIN",IQ_FY-5))</f>
        <v>19.5442</v>
      </c>
      <c r="H2647" s="15">
        <f>IF(A2651=A2652,_xll.ciqfunctions.udf.CIQ(A2643,"IQ_TOTAL_DIV_PAID_CF",IQ_FY-6)/-I2647, _xll.ciqfunctions.udf.CIQ(A2643, "IQ_TOTAL_DIV_PAID_CF",IQ_FY-5)/-I2647)</f>
        <v>0</v>
      </c>
      <c r="I2647" s="17">
        <f>IF(A2651=A2652,_xll.ciqfunctions.udf.CIQ(A2643,"IQ_TOTAL_OUTSTANDING_FILING_DATE",IQ_FY-6), _xll.ciqfunctions.udf.CIQ(A2643, "IQ_TOTAL_OUTSTANDING_FILING_DATE",IQ_FY-5))</f>
        <v>67.409790000000001</v>
      </c>
      <c r="J2647" s="17">
        <f>IF(A2651=A2652,_xll.ciqfunctions.udf.CIQ(A2643,"IQ_CASH_OPER",IQ_FY-6), _xll.ciqfunctions.udf.CIQ(A2643, "IQ_CASH_OPER",IQ_FY-5))</f>
        <v>75.063999999999993</v>
      </c>
      <c r="K2647" s="17">
        <f>IF(A2651=A2652,_xll.ciqfunctions.udf.CIQ(A2643,"IQ_CAPEX",IQ_FY-6), _xll.ciqfunctions.udf.CIQ(A2643, "IQ_CAPEX",IQ_FY-5))</f>
        <v>-7.468</v>
      </c>
      <c r="L2647" s="15">
        <f t="shared" si="704"/>
        <v>1.0027623584052108</v>
      </c>
      <c r="M2647" s="17">
        <f>IF(A2651=A2652,_xll.ciqfunctions.udf.CIQ(A2643,"IQ_TOTAL_DEBT_ISSUED",IQ_FY-6), _xll.ciqfunctions.udf.CIQ(A2643, "IQ_TOTAL_DEBT_ISSUED",IQ_FY-5))</f>
        <v>416.846</v>
      </c>
      <c r="N2647" s="17">
        <f>IF(A2651=A2652,_xll.ciqfunctions.udf.CIQ(A2643,"IQ_TOTAL_DEBT_REPAID",IQ_FY-6), _xll.ciqfunctions.udf.CIQ(A2643, "IQ_TOTAL_DEBT_REPAID",IQ_FY-5))</f>
        <v>-70</v>
      </c>
      <c r="O2647" s="15">
        <f t="shared" si="705"/>
        <v>5.145335714589824</v>
      </c>
      <c r="P2647" s="15">
        <f t="shared" si="706"/>
        <v>6.148098072995035</v>
      </c>
      <c r="Q2647" s="18"/>
      <c r="R2647" s="38" t="s">
        <v>50</v>
      </c>
      <c r="S2647" s="3">
        <f>I2654</f>
        <v>3.2351536023069505E-2</v>
      </c>
      <c r="U2647" s="18"/>
      <c r="V2647" s="38" t="s">
        <v>50</v>
      </c>
      <c r="W2647" s="3">
        <f>I2654</f>
        <v>3.2351536023069505E-2</v>
      </c>
      <c r="Y2647" s="18"/>
      <c r="Z2647" s="38" t="s">
        <v>50</v>
      </c>
      <c r="AA2647" s="3">
        <f>I2654</f>
        <v>3.2351536023069505E-2</v>
      </c>
    </row>
    <row r="2648" spans="1:27">
      <c r="B2648" s="13">
        <v>6</v>
      </c>
      <c r="C2648" s="14" t="s">
        <v>26</v>
      </c>
      <c r="D2648" s="15" cm="1">
        <f t="array" ref="D2648">_xlfn.SINGLE(IF(A2651=A2652,_xll.ciqfunctions.udf.CIQ(A2643,"IQ_TOTAL_REV",IQ_FY-5)/I2648, _xll.ciqfunctions.udf.CIQ(A2643, "IQ_TOTAL_REV",IQ_FY-4)/I2648))</f>
        <v>5.5349594356195109</v>
      </c>
      <c r="E2648" s="16">
        <f t="shared" si="707"/>
        <v>-0.11231388326545677</v>
      </c>
      <c r="F2648" s="15">
        <f>IF(A2651=A2652,_xll.ciqfunctions.udf.CIQ(A2643,"IQ_DILUT_EPS_EXCL",IQ_FY-5), _xll.ciqfunctions.udf.CIQ(A2643, "IQ_DILUT_EPS_EXCL",IQ_FY-4))</f>
        <v>-0.38252000000000003</v>
      </c>
      <c r="G2648" s="15">
        <f>IF(A2651=A2652,_xll.ciqfunctions.udf.CIQ(A2643,"IQ_EBITDA_MARGIN",IQ_FY-5), _xll.ciqfunctions.udf.CIQ(A2643, "IQ_EBITDA_MARGIN",IQ_FY-4))</f>
        <v>17.1341</v>
      </c>
      <c r="H2648" s="15">
        <f>IF(A2651=A2652,_xll.ciqfunctions.udf.CIQ(A2643,"IQ_TOTAL_DIV_PAID_CF",IQ_FY-5)/-I2648, _xll.ciqfunctions.udf.CIQ(A2643, "IQ_TOTAL_DIV_PAID_CF",IQ_FY-4)/-I2648)</f>
        <v>0</v>
      </c>
      <c r="I2648" s="17">
        <f>IF(A2651=A2652,_xll.ciqfunctions.udf.CIQ(A2643,"IQ_TOTAL_OUTSTANDING_FILING_DATE",IQ_FY-5), _xll.ciqfunctions.udf.CIQ(A2643, "IQ_TOTAL_OUTSTANDING_FILING_DATE",IQ_FY-4))</f>
        <v>69.557329999999993</v>
      </c>
      <c r="J2648" s="17">
        <f>IF(A2651=A2652,_xll.ciqfunctions.udf.CIQ(A2643,"IQ_CASH_OPER",IQ_FY-5), _xll.ciqfunctions.udf.CIQ(A2643, "IQ_CASH_OPER",IQ_FY-4))</f>
        <v>102.68899999999999</v>
      </c>
      <c r="K2648" s="17">
        <f>IF(A2651=A2652,_xll.ciqfunctions.udf.CIQ(A2643,"IQ_CAPEX",IQ_FY-5), _xll.ciqfunctions.udf.CIQ(A2643, "IQ_CAPEX",IQ_FY-4))</f>
        <v>-7.8250000000000002</v>
      </c>
      <c r="L2648" s="15">
        <f t="shared" si="704"/>
        <v>1.363824632141573</v>
      </c>
      <c r="M2648" s="17">
        <f>IF(A2651=A2652,_xll.ciqfunctions.udf.CIQ(A2643,"IQ_TOTAL_DEBT_ISSUED",IQ_FY-5), _xll.ciqfunctions.udf.CIQ(A2643, "IQ_TOTAL_DEBT_ISSUED",IQ_FY-4))</f>
        <v>0</v>
      </c>
      <c r="N2648" s="17">
        <f>IF(A2651=A2652,_xll.ciqfunctions.udf.CIQ(A2643,"IQ_TOTAL_DEBT_REPAID",IQ_FY-5), _xll.ciqfunctions.udf.CIQ(A2643, "IQ_TOTAL_DEBT_REPAID",IQ_FY-4))</f>
        <v>-93</v>
      </c>
      <c r="O2648" s="15">
        <f t="shared" si="705"/>
        <v>-1.3370265937464823</v>
      </c>
      <c r="P2648" s="15">
        <f t="shared" si="706"/>
        <v>2.6798038395090762E-2</v>
      </c>
      <c r="Q2648" s="25" t="s">
        <v>27</v>
      </c>
      <c r="R2648" s="38" t="s">
        <v>51</v>
      </c>
      <c r="S2648" s="4">
        <f>AVERAGE(F2648:F2653)/AVERAGE(D2648:D2653)</f>
        <v>4.2929291602946431E-4</v>
      </c>
      <c r="U2648" s="25" t="s">
        <v>58</v>
      </c>
      <c r="V2648" s="38" t="s">
        <v>51</v>
      </c>
      <c r="W2648" s="4">
        <f>AVERAGE(F2648:F2653)/AVERAGE(D2648:D2653)</f>
        <v>4.2929291602946431E-4</v>
      </c>
      <c r="Y2648" s="25" t="s">
        <v>56</v>
      </c>
      <c r="Z2648" s="38" t="s">
        <v>51</v>
      </c>
      <c r="AA2648" s="4">
        <f>AVERAGE(F2648:F2653)/AVERAGE(D2648:D2653)</f>
        <v>4.2929291602946431E-4</v>
      </c>
    </row>
    <row r="2649" spans="1:27">
      <c r="A2649" s="18"/>
      <c r="B2649" s="13">
        <v>7</v>
      </c>
      <c r="C2649" s="14" t="s">
        <v>28</v>
      </c>
      <c r="D2649" s="15" cm="1">
        <f t="array" ref="D2649">_xlfn.SINGLE(IF(A2651=A2652,_xll.ciqfunctions.udf.CIQ(A2643,"IQ_TOTAL_REV",IQ_FY-4)/I2649, _xll.ciqfunctions.udf.CIQ(A2643, "IQ_TOTAL_REV",IQ_FY-3)/I2649))</f>
        <v>4.408517425791648</v>
      </c>
      <c r="E2649" s="16">
        <f t="shared" si="707"/>
        <v>-0.20351404972885473</v>
      </c>
      <c r="F2649" s="15">
        <f>IF(A2651=A2652,_xll.ciqfunctions.udf.CIQ(A2643,"IQ_DILUT_EPS_EXCL",IQ_FY-4), _xll.ciqfunctions.udf.CIQ(A2643, "IQ_DILUT_EPS_EXCL",IQ_FY-3))</f>
        <v>-0.28022999999999998</v>
      </c>
      <c r="G2649" s="15">
        <f>IF(A2651=A2652,_xll.ciqfunctions.udf.CIQ(A2643,"IQ_EBITDA_MARGIN",IQ_FY-4), _xll.ciqfunctions.udf.CIQ(A2643, "IQ_EBITDA_MARGIN",IQ_FY-3))</f>
        <v>14.1541</v>
      </c>
      <c r="H2649" s="15">
        <f>IF(A2651=A2652,_xll.ciqfunctions.udf.CIQ(A2643,"IQ_TOTAL_DIV_PAID_CF",IQ_FY-4)/-I2649, _xll.ciqfunctions.udf.CIQ(A2643, "IQ_TOTAL_DIV_PAID_CF",IQ_FY-3)/-I2649)</f>
        <v>0</v>
      </c>
      <c r="I2649" s="17">
        <f>IF(A2651=A2652,_xll.ciqfunctions.udf.CIQ(A2643,"IQ_TOTAL_OUTSTANDING_FILING_DATE",IQ_FY-4), _xll.ciqfunctions.udf.CIQ(A2643, "IQ_TOTAL_OUTSTANDING_FILING_DATE",IQ_FY-3))</f>
        <v>71.947090000000003</v>
      </c>
      <c r="J2649" s="17">
        <f>IF(A2651=A2652,_xll.ciqfunctions.udf.CIQ(A2643,"IQ_CASH_OPER",IQ_FY-4), _xll.ciqfunctions.udf.CIQ(A2643, "IQ_CASH_OPER",IQ_FY-3))</f>
        <v>78.347999999999999</v>
      </c>
      <c r="K2649" s="17">
        <f>IF(A2651=A2652,_xll.ciqfunctions.udf.CIQ(A2643,"IQ_CAPEX",IQ_FY-4), _xll.ciqfunctions.udf.CIQ(A2643, "IQ_CAPEX",IQ_FY-3))</f>
        <v>-6.8869999999999996</v>
      </c>
      <c r="L2649" s="15">
        <f t="shared" si="704"/>
        <v>0.99324378512042666</v>
      </c>
      <c r="M2649" s="17">
        <f>IF(A2651=A2652,_xll.ciqfunctions.udf.CIQ(A2643,"IQ_TOTAL_DEBT_ISSUED",IQ_FY-4), _xll.ciqfunctions.udf.CIQ(A2643, "IQ_TOTAL_DEBT_ISSUED",IQ_FY-3))</f>
        <v>0</v>
      </c>
      <c r="N2649" s="17">
        <f>IF(A2651=A2652,_xll.ciqfunctions.udf.CIQ(A2643,"IQ_TOTAL_DEBT_REPAID",IQ_FY-4), _xll.ciqfunctions.udf.CIQ(A2643, "IQ_TOTAL_DEBT_REPAID",IQ_FY-3))</f>
        <v>-50</v>
      </c>
      <c r="O2649" s="15">
        <f t="shared" si="705"/>
        <v>-0.69495513995076097</v>
      </c>
      <c r="P2649" s="15">
        <f t="shared" si="706"/>
        <v>0.29828864516966569</v>
      </c>
      <c r="Q2649" s="18"/>
      <c r="R2649" s="38" t="s">
        <v>29</v>
      </c>
      <c r="S2649" s="4">
        <f>(AVERAGE(P2648:P2653)/_xlfn.STDEV.P(P2648:P2653))/(IF(A2651=A2652,(_xlfn.SINGLE(_xll.ciqfunctions.udf.CIQ(A2643,"IQ_total_assets",IQ_FY)) - _xlfn.SINGLE(_xll.ciqfunctions.udf.CIQ(A2643,"iq_gw_intan", IQ_FY)))/I2653, (_xlfn.SINGLE(_xll.ciqfunctions.udf.CIQ(A2643, "IQ_total_assets",IQ_LTM))-_xlfn.SINGLE(_xll.ciqfunctions.udf.CIQ(A2643,"iq_gw_intan",IQ_LTM)))/I2653))</f>
        <v>0.12866739137741323</v>
      </c>
      <c r="U2649" s="18"/>
      <c r="V2649" s="38" t="s">
        <v>29</v>
      </c>
      <c r="W2649" s="4">
        <f>(AVERAGE(P2648:P2653)/_xlfn.STDEV.P(P2648:P2653))/(IF(A2651=A2652,(_xlfn.SINGLE(_xll.ciqfunctions.udf.CIQ(A2643,"IQ_total_assets",IQ_FY)) - _xlfn.SINGLE(_xll.ciqfunctions.udf.CIQ(A2643,"iq_gw_intan", IQ_FY)))/I2653, (_xlfn.SINGLE(_xll.ciqfunctions.udf.CIQ(A2643, "IQ_total_assets",IQ_LTM))-_xlfn.SINGLE(_xll.ciqfunctions.udf.CIQ(A2643,"iq_gw_intan",IQ_LTM)))/I2653))</f>
        <v>0.12866739137741323</v>
      </c>
      <c r="Y2649" s="18"/>
      <c r="Z2649" s="38" t="s">
        <v>29</v>
      </c>
      <c r="AA2649" s="4">
        <f>(AVERAGE(P2648:P2653)/_xlfn.STDEV.P(P2648:P2653))/(IF(A2651=A2652,(_xlfn.SINGLE(_xll.ciqfunctions.udf.CIQ(A2643,"IQ_total_assets",IQ_FY)) - _xlfn.SINGLE(_xll.ciqfunctions.udf.CIQ(A2643,"iq_gw_intan", IQ_FY)))/I2653, (_xlfn.SINGLE(_xll.ciqfunctions.udf.CIQ(A2643, "IQ_total_assets",IQ_LTM))-_xlfn.SINGLE(_xll.ciqfunctions.udf.CIQ(A2643,"iq_gw_intan",IQ_LTM)))/I2653))</f>
        <v>0.12866739137741323</v>
      </c>
    </row>
    <row r="2650" spans="1:27">
      <c r="A2650" s="18"/>
      <c r="B2650" s="13">
        <v>8</v>
      </c>
      <c r="C2650" s="14" t="s">
        <v>30</v>
      </c>
      <c r="D2650" s="15" cm="1">
        <f t="array" ref="D2650">_xlfn.SINGLE(IF(A2651=A2652,_xll.ciqfunctions.udf.CIQ(A2643,"IQ_TOTAL_REV",IQ_FY-3)/I2650, _xll.ciqfunctions.udf.CIQ(A2643, "IQ_TOTAL_REV",IQ_FY-2)/I2650))</f>
        <v>6.4203413568148617</v>
      </c>
      <c r="E2650" s="16">
        <f t="shared" si="707"/>
        <v>0.45634932035273645</v>
      </c>
      <c r="F2650" s="15">
        <f>IF(A2651=A2652,_xll.ciqfunctions.udf.CIQ(A2643,"IQ_DILUT_EPS_EXCL",IQ_FY-3), _xll.ciqfunctions.udf.CIQ(A2643, "IQ_DILUT_EPS_EXCL",IQ_FY-2))</f>
        <v>-1.35</v>
      </c>
      <c r="G2650" s="15">
        <f>IF(A2651=A2652,_xll.ciqfunctions.udf.CIQ(A2643,"IQ_EBITDA_MARGIN",IQ_FY-3), _xll.ciqfunctions.udf.CIQ(A2643, "IQ_EBITDA_MARGIN",IQ_FY-2))</f>
        <v>1.7432000000000001</v>
      </c>
      <c r="H2650" s="15">
        <f>IF(A2651=A2652,_xll.ciqfunctions.udf.CIQ(A2643,"IQ_TOTAL_DIV_PAID_CF",IQ_FY-3)/-I2650, _xll.ciqfunctions.udf.CIQ(A2643, "IQ_TOTAL_DIV_PAID_CF",IQ_FY-2)/-I2650)</f>
        <v>0</v>
      </c>
      <c r="I2650" s="17">
        <f>IF(A2651=A2652,_xll.ciqfunctions.udf.CIQ(A2643,"IQ_TOTAL_OUTSTANDING_FILING_DATE",IQ_FY-3), _xll.ciqfunctions.udf.CIQ(A2643, "IQ_TOTAL_OUTSTANDING_FILING_DATE",IQ_FY-2))</f>
        <v>74.543700000000001</v>
      </c>
      <c r="J2650" s="17">
        <f>IF(A2651=A2652,_xll.ciqfunctions.udf.CIQ(A2643,"IQ_CASH_OPER",IQ_FY-3), _xll.ciqfunctions.udf.CIQ(A2643, "IQ_CASH_OPER",IQ_FY-2))</f>
        <v>73.593000000000004</v>
      </c>
      <c r="K2650" s="17">
        <f>IF(A2651=A2652,_xll.ciqfunctions.udf.CIQ(A2643,"IQ_CAPEX",IQ_FY-3), _xll.ciqfunctions.udf.CIQ(A2643, "IQ_CAPEX",IQ_FY-2))</f>
        <v>-12.487</v>
      </c>
      <c r="L2650" s="15">
        <f t="shared" si="704"/>
        <v>0.81973392788391242</v>
      </c>
      <c r="M2650" s="17">
        <f>IF(A2651=A2652,_xll.ciqfunctions.udf.CIQ(A2643,"IQ_TOTAL_DEBT_ISSUED",IQ_FY-3), _xll.ciqfunctions.udf.CIQ(A2643, "IQ_TOTAL_DEBT_ISSUED",IQ_FY-2))</f>
        <v>175</v>
      </c>
      <c r="N2650" s="17">
        <f>IF(A2651=A2652,_xll.ciqfunctions.udf.CIQ(A2643,"IQ_TOTAL_DEBT_REPAID",IQ_FY-3), _xll.ciqfunctions.udf.CIQ(A2643, "IQ_TOTAL_DEBT_REPAID",IQ_FY-2))</f>
        <v>-17.187999999999999</v>
      </c>
      <c r="O2650" s="15">
        <f t="shared" si="705"/>
        <v>2.1170400717968119</v>
      </c>
      <c r="P2650" s="15">
        <f t="shared" si="706"/>
        <v>2.9367739996807245</v>
      </c>
      <c r="Q2650" s="18"/>
      <c r="R2650" s="39" t="s">
        <v>31</v>
      </c>
      <c r="S2650" s="5">
        <f>IF(NOT(D2643&gt;0),FALSE,SLOPE(G2643:G2653,B2643:B2653))</f>
        <v>1.3735672727272727</v>
      </c>
      <c r="U2650" s="18"/>
      <c r="V2650" s="39" t="s">
        <v>31</v>
      </c>
      <c r="W2650" s="5">
        <f>IF(NOT(D2643&gt;0),FALSE,SLOPE(G2643:G2653,B2643:B2653))</f>
        <v>1.3735672727272727</v>
      </c>
      <c r="Y2650" s="18"/>
      <c r="Z2650" s="39" t="s">
        <v>31</v>
      </c>
      <c r="AA2650" s="5">
        <f>IF(NOT(L2643&gt;0),FALSE,SLOPE(O2643:O2653,J2643:J2653))</f>
        <v>-8.7526280559116088E-3</v>
      </c>
    </row>
    <row r="2651" spans="1:27">
      <c r="A2651" s="19">
        <f>_xll.ciqfunctions.udf.CIQ(A2643,"IQ_TOTAL_REV",IQ_FY)</f>
        <v>1120.252</v>
      </c>
      <c r="B2651" s="13">
        <v>9</v>
      </c>
      <c r="C2651" s="14" t="s">
        <v>32</v>
      </c>
      <c r="D2651" s="15" cm="1">
        <f t="array" ref="D2651">_xlfn.SINGLE(IF(A2651=A2652,_xll.ciqfunctions.udf.CIQ(A2643,"IQ_TOTAL_REV",IQ_FY-2)/I2651, _xll.ciqfunctions.udf.CIQ(A2643, "IQ_TOTAL_REV",IQ_FY-1)/I2651))</f>
        <v>11.622040094565381</v>
      </c>
      <c r="E2651" s="16">
        <f t="shared" si="707"/>
        <v>0.8101903697424413</v>
      </c>
      <c r="F2651" s="15">
        <f>IF(A2651=A2652,_xll.ciqfunctions.udf.CIQ(A2643,"IQ_DILUT_EPS_EXCL",IQ_FY-2), _xll.ciqfunctions.udf.CIQ(A2643, "IQ_DILUT_EPS_EXCL",IQ_FY-1))</f>
        <v>0.53</v>
      </c>
      <c r="G2651" s="15">
        <f>IF(A2651=A2652,_xll.ciqfunctions.udf.CIQ(A2643,"IQ_EBITDA_MARGIN",IQ_FY-2), _xll.ciqfunctions.udf.CIQ(A2643, "IQ_EBITDA_MARGIN",IQ_FY-1))</f>
        <v>17.0166</v>
      </c>
      <c r="H2651" s="15">
        <f>IF(A2651=A2652,_xll.ciqfunctions.udf.CIQ(A2643,"IQ_TOTAL_DIV_PAID_CF",IQ_FY-2)/-I2651, _xll.ciqfunctions.udf.CIQ(A2643, "IQ_TOTAL_DIV_PAID_CF",IQ_FY-1)/-I2651)</f>
        <v>0</v>
      </c>
      <c r="I2651" s="17">
        <f>IF(A2651=A2652,_xll.ciqfunctions.udf.CIQ(A2643,"IQ_TOTAL_OUTSTANDING_FILING_DATE",IQ_FY-2), _xll.ciqfunctions.udf.CIQ(A2643, "IQ_TOTAL_OUTSTANDING_FILING_DATE",IQ_FY-1))</f>
        <v>76.784970000000001</v>
      </c>
      <c r="J2651" s="17">
        <f>IF(A2651=A2652,_xll.ciqfunctions.udf.CIQ(A2643,"IQ_CASH_OPER",IQ_FY-2), _xll.ciqfunctions.udf.CIQ(A2643, "IQ_CASH_OPER",IQ_FY-1))</f>
        <v>168.233</v>
      </c>
      <c r="K2651" s="17">
        <f>IF(A2651=A2652,_xll.ciqfunctions.udf.CIQ(A2643,"IQ_CAPEX",IQ_FY-2), _xll.ciqfunctions.udf.CIQ(A2643, "IQ_CAPEX",IQ_FY-1))</f>
        <v>-39.176000000000002</v>
      </c>
      <c r="L2651" s="15">
        <f t="shared" si="704"/>
        <v>1.6807586172137596</v>
      </c>
      <c r="M2651" s="17">
        <f>IF(A2651=A2652,_xll.ciqfunctions.udf.CIQ(A2643,"IQ_TOTAL_DEBT_ISSUED",IQ_FY-2), _xll.ciqfunctions.udf.CIQ(A2643, "IQ_TOTAL_DEBT_ISSUED",IQ_FY-1))</f>
        <v>350</v>
      </c>
      <c r="N2651" s="17">
        <f>IF(A2651=A2652,_xll.ciqfunctions.udf.CIQ(A2643,"IQ_TOTAL_DEBT_REPAID",IQ_FY-2), _xll.ciqfunctions.udf.CIQ(A2643, "IQ_TOTAL_DEBT_REPAID",IQ_FY-1))</f>
        <v>-409.81299999999999</v>
      </c>
      <c r="O2651" s="15">
        <f t="shared" si="705"/>
        <v>-0.77896755055058287</v>
      </c>
      <c r="P2651" s="15">
        <f t="shared" si="706"/>
        <v>0.90179106666317677</v>
      </c>
      <c r="Q2651" s="25" t="s">
        <v>33</v>
      </c>
      <c r="R2651" s="38" t="s">
        <v>52</v>
      </c>
      <c r="S2651" s="4">
        <f>(AVERAGE(O2648:O2653)/AVERAGE(P2648:P2653))</f>
        <v>-0.53407479480944442</v>
      </c>
      <c r="U2651" s="25" t="s">
        <v>54</v>
      </c>
      <c r="V2651" s="38" t="s">
        <v>52</v>
      </c>
      <c r="W2651" s="4">
        <f>(AVERAGE(O2648:O2653)/AVERAGE(P2648:P2653))</f>
        <v>-0.53407479480944442</v>
      </c>
      <c r="Y2651" s="25" t="s">
        <v>60</v>
      </c>
      <c r="Z2651" s="38" t="s">
        <v>52</v>
      </c>
      <c r="AA2651" s="4">
        <f>(AVERAGE(O2648:O2653)/AVERAGE(P2648:P2653))</f>
        <v>-0.53407479480944442</v>
      </c>
    </row>
    <row r="2652" spans="1:27">
      <c r="A2652" s="19">
        <f>_xll.ciqfunctions.udf.CIQ(A2643,"IQ_TOTAL_REV",IQ_LTM)</f>
        <v>858.49599999999998</v>
      </c>
      <c r="B2652" s="13">
        <v>10</v>
      </c>
      <c r="C2652" s="14" t="s">
        <v>34</v>
      </c>
      <c r="D2652" s="15" cm="1">
        <f t="array" ref="D2652">_xlfn.SINGLE(IF(A2651=A2652,_xll.ciqfunctions.udf.CIQ(A2643,"IQ_TOTAL_REV",IQ_FY-1)/I2652, _xll.ciqfunctions.udf.CIQ(A2643, "IQ_TOTAL_REV",IQ_FY)/I2652))</f>
        <v>14.226171918901121</v>
      </c>
      <c r="E2652" s="16">
        <f t="shared" si="707"/>
        <v>0.22406839101798195</v>
      </c>
      <c r="F2652" s="15">
        <f>IF(A2651=A2652,_xll.ciqfunctions.udf.CIQ(A2643,"IQ_DILUT_EPS_EXCL",IQ_FY-1), _xll.ciqfunctions.udf.CIQ(A2643, "IQ_DILUT_EPS_EXCL",IQ_FY))</f>
        <v>1.55</v>
      </c>
      <c r="G2652" s="15">
        <f>IF(A2651=A2652,_xll.ciqfunctions.udf.CIQ(A2643,"IQ_EBITDA_MARGIN",IQ_FY-1), _xll.ciqfunctions.udf.CIQ(A2643, "IQ_EBITDA_MARGIN",IQ_FY))</f>
        <v>22.9605</v>
      </c>
      <c r="H2652" s="15">
        <f>IF(A2651=A2652,_xll.ciqfunctions.udf.CIQ(A2643,"IQ_TOTAL_DIV_PAID_CF",IQ_FY-1)/-I2652, _xll.ciqfunctions.udf.CIQ(A2643, "IQ_TOTAL_DIV_PAID_CF",IQ_FY)/-I2652)</f>
        <v>0</v>
      </c>
      <c r="I2652" s="17">
        <f>IF(A2651=A2652,_xll.ciqfunctions.udf.CIQ(A2643,"IQ_TOTAL_OUTSTANDING_FILING_DATE",IQ_FY-1), _xll.ciqfunctions.udf.CIQ(A2643, "IQ_TOTAL_OUTSTANDING_FILING_DATE",IQ_FY))</f>
        <v>78.745850000000004</v>
      </c>
      <c r="J2652" s="17">
        <f>IF(A2651=A2652,_xll.ciqfunctions.udf.CIQ(A2643,"IQ_CASH_OPER",IQ_FY-1), _xll.ciqfunctions.udf.CIQ(A2643, "IQ_CASH_OPER",IQ_FY))</f>
        <v>388.726</v>
      </c>
      <c r="K2652" s="17">
        <f>IF(A2651=A2652,_xll.ciqfunctions.udf.CIQ(A2643,"IQ_CAPEX",IQ_FY-1), _xll.ciqfunctions.udf.CIQ(A2643, "IQ_CAPEX",IQ_FY))</f>
        <v>-41.253</v>
      </c>
      <c r="L2652" s="15">
        <f t="shared" si="704"/>
        <v>4.4125880919438929</v>
      </c>
      <c r="M2652" s="17">
        <f>IF(A2651=A2652,_xll.ciqfunctions.udf.CIQ(A2643,"IQ_TOTAL_DEBT_ISSUED",IQ_FY-1), _xll.ciqfunctions.udf.CIQ(A2643, "IQ_TOTAL_DEBT_ISSUED",IQ_FY))</f>
        <v>0</v>
      </c>
      <c r="N2652" s="17">
        <f>IF(A2651=A2652,_xll.ciqfunctions.udf.CIQ(A2643,"IQ_TOTAL_DEBT_REPAID",IQ_FY-1), _xll.ciqfunctions.udf.CIQ(A2643, "IQ_TOTAL_DEBT_REPAID",IQ_FY))</f>
        <v>-185</v>
      </c>
      <c r="O2652" s="15">
        <f t="shared" si="705"/>
        <v>-2.3493301551764314</v>
      </c>
      <c r="P2652" s="15">
        <f t="shared" si="706"/>
        <v>2.0632579367674615</v>
      </c>
      <c r="Q2652" s="25" t="s">
        <v>44</v>
      </c>
      <c r="R2652" s="38" t="s">
        <v>35</v>
      </c>
      <c r="S2652" s="1">
        <f>_xll.ciqfunctions.udf.CIQ(A2643,"IQ_TEV_EBITDA")</f>
        <v>10.552659999999999</v>
      </c>
      <c r="U2652" s="25" t="s">
        <v>55</v>
      </c>
      <c r="V2652" s="38" t="s">
        <v>53</v>
      </c>
      <c r="W2652" s="1">
        <f>V2642/(AVERAGE(D2648:D2653)/_xlfn.STDEV.P(E2648:E2653))</f>
        <v>0.7954845283295755</v>
      </c>
      <c r="Y2652" s="25" t="s">
        <v>57</v>
      </c>
      <c r="Z2652" s="38" t="s">
        <v>53</v>
      </c>
      <c r="AA2652" s="1">
        <f>Z2642/(AVERAGE(D2648:D2653)/_xlfn.STDEV.P(E2648:E2653))</f>
        <v>0.7954845283295755</v>
      </c>
    </row>
    <row r="2653" spans="1:27">
      <c r="B2653" s="13">
        <v>11</v>
      </c>
      <c r="C2653" s="20" t="s">
        <v>36</v>
      </c>
      <c r="D2653" s="21" cm="1">
        <f t="array" ref="D2653">_xlfn.SINGLE(IF(A2651=A2652,_xll.ciqfunctions.udf.CIQ(A2643,"IQ_TOTAL_REV",IQ_FY)/I2653, _xll.ciqfunctions.udf.CIQ(A2643, "IQ_TOTAL_REV",IQ_LTM)/I2653))</f>
        <v>10.52585375064216</v>
      </c>
      <c r="E2653" s="22">
        <f t="shared" si="707"/>
        <v>-0.26010638626844229</v>
      </c>
      <c r="F2653" s="21">
        <f>IF(A2651=A2652,_xll.ciqfunctions.udf.CIQ(A2643,"IQ_DILUT_EPS_EXCL",IQ_FY), _xll.ciqfunctions.udf.CIQ(A2643, "IQ_DILUT_EPS_EXCL",IQ_LTM))</f>
        <v>-4.4609999999999997E-2</v>
      </c>
      <c r="G2653" s="21">
        <f>IF(A2651=A2652,_xll.ciqfunctions.udf.CIQ(A2643,"IQ_EBITDA_MARGIN",IQ_FY), _xll.ciqfunctions.udf.CIQ(A2643, "IQ_EBITDA_MARGIN",IQ_LTM))</f>
        <v>14.5329</v>
      </c>
      <c r="H2653" s="21">
        <f>IF(A2651=A2652,_xll.ciqfunctions.udf.CIQ(A2643,"IQ_TOTAL_DIV_PAID_CF",IQ_FY)/-I2653, _xll.ciqfunctions.udf.CIQ(A2643, "IQ_TOTAL_DIV_PAID_CF",IQ_LTM)/-I2653)</f>
        <v>0</v>
      </c>
      <c r="I2653" s="23">
        <f>IF(A2651=A2652,_xll.ciqfunctions.udf.CIQ(A2643,"IQ_TOTAL_OUTSTANDING_FILING_DATE",IQ_FY),_xll.ciqfunctions.udf.CIQ(A2643,"IQ_sharesoutstanding"))</f>
        <v>81.560699999999997</v>
      </c>
      <c r="J2653" s="23">
        <f>IF(A2651=A2652,_xll.ciqfunctions.udf.CIQ(A2643,"IQ_CASH_OPER",IQ_FY), _xll.ciqfunctions.udf.CIQ(A2643, "IQ_CASH_OPER",IQ_LTM))</f>
        <v>129.30199999999999</v>
      </c>
      <c r="K2653" s="23">
        <f>IF(A2651=A2652,_xll.ciqfunctions.udf.CIQ(A2643,"IQ_CAPEX",IQ_FY), _xll.ciqfunctions.udf.CIQ(A2643, "IQ_CAPEX",IQ_LTM))</f>
        <v>-28.808</v>
      </c>
      <c r="L2653" s="21">
        <f t="shared" si="704"/>
        <v>1.2321375368283991</v>
      </c>
      <c r="M2653" s="23">
        <f>IF(A2651=A2652,_xll.ciqfunctions.udf.CIQ(A2643,"IQ_TOTAL_DEBT_ISSUED",IQ_FY), _xll.ciqfunctions.udf.CIQ(A2643, "IQ_TOTAL_DEBT_ISSUED",IQ_LTM))</f>
        <v>0</v>
      </c>
      <c r="N2653" s="23">
        <f>IF(A2651=A2652,_xll.ciqfunctions.udf.CIQ(A2643,"IQ_TOTAL_DEBT_REPAID",IQ_FY), _xll.ciqfunctions.udf.CIQ(A2643, "IQ_TOTAL_DEBT_REPAID",IQ_LTM))</f>
        <v>-50</v>
      </c>
      <c r="O2653" s="21">
        <f t="shared" si="705"/>
        <v>-0.6130403490896964</v>
      </c>
      <c r="P2653" s="21">
        <f t="shared" si="706"/>
        <v>0.6190971877387027</v>
      </c>
      <c r="Q2653" s="25" t="s">
        <v>45</v>
      </c>
      <c r="S2653" s="45"/>
      <c r="U2653" s="25"/>
      <c r="W2653" s="45"/>
      <c r="Y2653" s="25"/>
      <c r="AA2653" s="45"/>
    </row>
    <row r="2654" spans="1:27">
      <c r="B2654" s="24"/>
      <c r="C2654" s="25" t="s">
        <v>37</v>
      </c>
      <c r="E2654" s="26">
        <f>((D2653/D2648)^(1/5))-1</f>
        <v>0.13717833684807412</v>
      </c>
      <c r="F2654" s="27">
        <f>((F2653/F2648)^(1/5))-1</f>
        <v>-0.34933774314081667</v>
      </c>
      <c r="G2654" s="28"/>
      <c r="H2654" s="27" t="e">
        <f>((H2653/H2648)^(1/5))-1</f>
        <v>#DIV/0!</v>
      </c>
      <c r="I2654" s="27">
        <f>((I2653/I2648)^(1/5))-1</f>
        <v>3.2351536023069505E-2</v>
      </c>
      <c r="J2654" s="27"/>
      <c r="K2654" s="27"/>
      <c r="L2654" s="26">
        <f>((L2653/L2648)^(1/5))-1</f>
        <v>-2.0103668685071296E-2</v>
      </c>
      <c r="M2654" s="26"/>
      <c r="N2654" s="26"/>
      <c r="O2654" s="26"/>
      <c r="P2654" s="26">
        <f>((P2653/P2648)^(1/5))-1</f>
        <v>0.87383421766775071</v>
      </c>
      <c r="Q2654" s="18"/>
      <c r="R2654" s="36"/>
      <c r="S2654" s="45"/>
      <c r="U2654" s="18"/>
      <c r="V2654" s="36"/>
      <c r="W2654" s="45"/>
      <c r="Y2654" s="18"/>
      <c r="Z2654" s="36"/>
      <c r="AA2654" s="45"/>
    </row>
    <row r="2655" spans="1:27">
      <c r="A2655" s="29"/>
      <c r="B2655" s="30"/>
      <c r="C2655" s="31" t="s">
        <v>38</v>
      </c>
      <c r="D2655" s="29"/>
      <c r="E2655" s="32">
        <f>((D2653/D2643)^(1/10))-1</f>
        <v>0.12014410664884401</v>
      </c>
      <c r="F2655" s="33">
        <f>((F2653/F2643)^(1/10))-1</f>
        <v>-0.19162454503784487</v>
      </c>
      <c r="G2655" s="34"/>
      <c r="H2655" s="33" t="e">
        <f>((H2653/H2643)^(1/10))-1</f>
        <v>#DIV/0!</v>
      </c>
      <c r="I2655" s="33">
        <f>((I2653/I2643)^(1/10))-1</f>
        <v>8.7201670236691342E-2</v>
      </c>
      <c r="J2655" s="33"/>
      <c r="K2655" s="33"/>
      <c r="L2655" s="32">
        <f>((L2653/L2643)^(1/10))-1</f>
        <v>0.16172021402946513</v>
      </c>
      <c r="M2655" s="32"/>
      <c r="N2655" s="32"/>
      <c r="O2655" s="32"/>
      <c r="P2655" s="32">
        <f>((P2653/P2643)^(1/10))-1</f>
        <v>8.4477235633840575E-2</v>
      </c>
      <c r="Q2655" s="40"/>
      <c r="R2655" s="41"/>
      <c r="S2655" s="46"/>
      <c r="U2655" s="40"/>
      <c r="V2655" s="41"/>
      <c r="W2655" s="46"/>
      <c r="Y2655" s="40"/>
      <c r="Z2655" s="41"/>
      <c r="AA2655" s="46"/>
    </row>
    <row r="2656" spans="1:27">
      <c r="B2656" s="24"/>
      <c r="C2656" s="25"/>
      <c r="E2656" s="26"/>
      <c r="F2656" s="27"/>
      <c r="G2656" s="28"/>
      <c r="H2656" s="27"/>
      <c r="I2656" s="27"/>
      <c r="J2656" s="27"/>
      <c r="K2656" s="27"/>
      <c r="L2656" s="26"/>
      <c r="M2656" s="17"/>
      <c r="N2656" s="17"/>
      <c r="O2656" s="17"/>
      <c r="P2656" s="35"/>
      <c r="Q2656" s="18"/>
      <c r="R2656" s="36"/>
    </row>
    <row r="2657" spans="1:27">
      <c r="A2657" s="9" t="s">
        <v>0</v>
      </c>
      <c r="B2657" s="10"/>
      <c r="C2657" s="9" t="s">
        <v>1</v>
      </c>
      <c r="D2657" s="9" t="s">
        <v>2</v>
      </c>
      <c r="E2657" s="9" t="s">
        <v>3</v>
      </c>
      <c r="F2657" s="11" t="s">
        <v>4</v>
      </c>
      <c r="G2657" s="11" t="s">
        <v>5</v>
      </c>
      <c r="H2657" s="9" t="s">
        <v>6</v>
      </c>
      <c r="I2657" s="11" t="s">
        <v>7</v>
      </c>
      <c r="J2657" s="11" t="s">
        <v>8</v>
      </c>
      <c r="K2657" s="11" t="s">
        <v>9</v>
      </c>
      <c r="L2657" s="11" t="s">
        <v>10</v>
      </c>
      <c r="M2657" s="11" t="s">
        <v>11</v>
      </c>
      <c r="N2657" s="11" t="s">
        <v>12</v>
      </c>
      <c r="O2657" s="11" t="s">
        <v>13</v>
      </c>
      <c r="P2657" s="11" t="s">
        <v>14</v>
      </c>
      <c r="Q2657" s="37" t="s">
        <v>15</v>
      </c>
      <c r="R2657" s="42">
        <f>_xll.ciqfunctions.udf.CIQ(A2658,("IQ_LASTSALEPRICE"))</f>
        <v>128.75</v>
      </c>
      <c r="S2657" s="44"/>
      <c r="U2657" s="37" t="s">
        <v>15</v>
      </c>
      <c r="V2657" s="42">
        <f>_xll.ciqfunctions.udf.CIQ(A2658,("IQ_LASTSALEPRICE"))</f>
        <v>128.75</v>
      </c>
      <c r="W2657" s="44"/>
      <c r="Y2657" s="37" t="s">
        <v>15</v>
      </c>
      <c r="Z2657" s="42">
        <f>_xll.ciqfunctions.udf.CIQ(A2658,("IQ_LASTSALEPRICE"))</f>
        <v>128.75</v>
      </c>
      <c r="AA2657" s="44"/>
    </row>
    <row r="2658" spans="1:27">
      <c r="A2658" s="12" t="str">
        <f>Analysis!B179</f>
        <v>NasdaqGS:ACLS</v>
      </c>
      <c r="B2658" s="13">
        <v>1</v>
      </c>
      <c r="C2658" s="14" t="s">
        <v>16</v>
      </c>
      <c r="D2658" s="15">
        <f>IF(A2666=A2667,_xll.ciqfunctions.udf.CIQ(A2658,"IQ_TOTAL_REV",IQ_FY-10)/I2658,_xll.ciqfunctions.udf.CIQ(A2658, "IQ_TOTAL_REV",IQ_FY-9)/I2658)</f>
        <v>7.0681918360563341</v>
      </c>
      <c r="E2658" s="16"/>
      <c r="F2658" s="15">
        <f>IF(A2666=A2667,_xll.ciqfunctions.udf.CIQ(A2658,"IQ_DILUT_EPS_EXCL",IQ_FY-10), _xll.ciqfunctions.udf.CIQ(A2658, "IQ_DILUT_EPS_EXCL",IQ_FY-9))</f>
        <v>-0.64</v>
      </c>
      <c r="G2658" s="15">
        <f>IF(A2666=A2667,_xll.ciqfunctions.udf.CIQ(A2658,"IQ_EBITDA_MARGIN",IQ_FY-10), _xll.ciqfunctions.udf.CIQ(A2658, "IQ_EBITDA_MARGIN",IQ_FY-9))</f>
        <v>-4.2815000000000003</v>
      </c>
      <c r="H2658" s="15">
        <f>IF(A2666=A2667,_xll.ciqfunctions.udf.CIQ(A2658,"IQ_TOTAL_DIV_PAID_CF",IQ_FY-10)/-I2658, _xll.ciqfunctions.udf.CIQ(A2658, "IQ_TOTAL_DIV_PAID_CF",IQ_FY-9)/-I2658)</f>
        <v>0</v>
      </c>
      <c r="I2658" s="17">
        <f>IF(A2666=A2667,_xll.ciqfunctions.udf.CIQ(A2658,"IQ_TOTAL_OUTSTANDING_FILING_DATE",IQ_FY-10), _xll.ciqfunctions.udf.CIQ(A2658, "IQ_TOTAL_OUTSTANDING_FILING_DATE",IQ_FY-9))</f>
        <v>27.677800000000001</v>
      </c>
      <c r="J2658" s="17">
        <f>IF(A2666=A2667,_xll.ciqfunctions.udf.CIQ(A2658,"IQ_CASH_OPER",IQ_FY-10), _xll.ciqfunctions.udf.CIQ(A2658, "IQ_CASH_OPER",IQ_FY-9))</f>
        <v>-15.042</v>
      </c>
      <c r="K2658" s="17">
        <f>IF(A2666=A2667,_xll.ciqfunctions.udf.CIQ(A2658,"IQ_CAPEX",IQ_FY-10), _xll.ciqfunctions.udf.CIQ(A2658, "IQ_CAPEX",IQ_FY-9))</f>
        <v>-0.82099999999999995</v>
      </c>
      <c r="L2658" s="15">
        <f t="shared" ref="L2658:L2668" si="708">(J2658+K2658)/I2658</f>
        <v>-0.57313081242006225</v>
      </c>
      <c r="M2658" s="17">
        <f>IF(A2666=A2667,_xll.ciqfunctions.udf.CIQ(A2658,"IQ_TOTAL_DEBT_ISSUED",IQ_FY-10), _xll.ciqfunctions.udf.CIQ(A2658, "IQ_TOTAL_DEBT_ISSUED",IQ_FY-9))</f>
        <v>15</v>
      </c>
      <c r="N2658" s="17">
        <f>IF(A2666=A2667,_xll.ciqfunctions.udf.CIQ(A2658,"IQ_TOTAL_DEBT_REPAID",IQ_FY-10), _xll.ciqfunctions.udf.CIQ(A2658, "IQ_TOTAL_DEBT_REPAID",IQ_FY-9))</f>
        <v>0</v>
      </c>
      <c r="O2658" s="15">
        <f t="shared" ref="O2658:O2668" si="709">(M2658+N2658)/I2658</f>
        <v>0.54195058855833911</v>
      </c>
      <c r="P2658" s="15">
        <f t="shared" ref="P2658:P2668" si="710">L2658+O2658</f>
        <v>-3.1180223861723144E-2</v>
      </c>
      <c r="W2658" s="43"/>
      <c r="AA2658" s="43"/>
    </row>
    <row r="2659" spans="1:27">
      <c r="A2659" s="18" t="str">
        <f>_xll.ciqfunctions.udf.CIQ(A2658,"IQ_COMPANY_NAME")</f>
        <v>Axcelis Technologies, Inc.</v>
      </c>
      <c r="B2659" s="13">
        <v>2</v>
      </c>
      <c r="C2659" s="14" t="s">
        <v>17</v>
      </c>
      <c r="D2659" s="15">
        <f>IF(A2666=A2667,_xll.ciqfunctions.udf.CIQ(A2658,"IQ_TOTAL_REV",IQ_FY-9)/I2659, _xll.ciqfunctions.udf.CIQ(A2658, "IQ_TOTAL_REV",IQ_FY-8)/I2659)</f>
        <v>7.1580787183841332</v>
      </c>
      <c r="E2659" s="16">
        <f t="shared" ref="E2659:E2668" si="711">(D2659-D2658)/D2658</f>
        <v>1.271709716044594E-2</v>
      </c>
      <c r="F2659" s="15">
        <f>IF(A2666=A2667,_xll.ciqfunctions.udf.CIQ(A2658,"IQ_DILUT_EPS_EXCL",IQ_FY-9), _xll.ciqfunctions.udf.CIQ(A2658, "IQ_DILUT_EPS_EXCL",IQ_FY-8))</f>
        <v>-0.40434999999999999</v>
      </c>
      <c r="G2659" s="15">
        <f>IF(A2666=A2667,_xll.ciqfunctions.udf.CIQ(A2658,"IQ_EBITDA_MARGIN",IQ_FY-9), _xll.ciqfunctions.udf.CIQ(A2658, "IQ_EBITDA_MARGIN",IQ_FY-8))</f>
        <v>-1.6995</v>
      </c>
      <c r="H2659" s="15">
        <f>IF(A2666=A2667,_xll.ciqfunctions.udf.CIQ(A2658,"IQ_TOTAL_DIV_PAID_CF",IQ_FY-9)/-I2659, _xll.ciqfunctions.udf.CIQ(A2658, "IQ_TOTAL_DIV_PAID_CF",IQ_FY-8)/-I2659)</f>
        <v>0</v>
      </c>
      <c r="I2659" s="17">
        <f>IF(A2666=A2667,_xll.ciqfunctions.udf.CIQ(A2658,"IQ_TOTAL_OUTSTANDING_FILING_DATE",IQ_FY-9), _xll.ciqfunctions.udf.CIQ(A2658, "IQ_TOTAL_OUTSTANDING_FILING_DATE",IQ_FY-8))</f>
        <v>28.366689999999998</v>
      </c>
      <c r="J2659" s="17">
        <f>IF(A2666=A2667,_xll.ciqfunctions.udf.CIQ(A2658,"IQ_CASH_OPER",IQ_FY-9), _xll.ciqfunctions.udf.CIQ(A2658, "IQ_CASH_OPER",IQ_FY-8))</f>
        <v>-16.045000000000002</v>
      </c>
      <c r="K2659" s="17">
        <f>IF(A2666=A2667,_xll.ciqfunctions.udf.CIQ(A2658,"IQ_CAPEX",IQ_FY-9), _xll.ciqfunctions.udf.CIQ(A2658, "IQ_CAPEX",IQ_FY-8))</f>
        <v>-0.89600000000000002</v>
      </c>
      <c r="L2659" s="15">
        <f t="shared" si="708"/>
        <v>-0.59721454988227396</v>
      </c>
      <c r="M2659" s="17">
        <f>IF(A2666=A2667,_xll.ciqfunctions.udf.CIQ(A2658,"IQ_TOTAL_DEBT_ISSUED",IQ_FY-9), _xll.ciqfunctions.udf.CIQ(A2658, "IQ_TOTAL_DEBT_ISSUED",IQ_FY-8))</f>
        <v>0</v>
      </c>
      <c r="N2659" s="17">
        <f>IF(A2666=A2667,_xll.ciqfunctions.udf.CIQ(A2658,"IQ_TOTAL_DEBT_REPAID",IQ_FY-9), _xll.ciqfunctions.udf.CIQ(A2658, "IQ_TOTAL_DEBT_REPAID",IQ_FY-8))</f>
        <v>-0.47</v>
      </c>
      <c r="O2659" s="15">
        <f t="shared" si="709"/>
        <v>-1.6568729026897391E-2</v>
      </c>
      <c r="P2659" s="15">
        <f t="shared" si="710"/>
        <v>-0.61378327890917139</v>
      </c>
      <c r="Q2659" s="25" t="s">
        <v>18</v>
      </c>
      <c r="R2659" s="39" t="s">
        <v>19</v>
      </c>
      <c r="S2659" s="1">
        <f>R2657/((AVERAGE(P2663:P2668))*(1+E2669)^3)</f>
        <v>23.888310611022785</v>
      </c>
      <c r="U2659" s="25" t="s">
        <v>48</v>
      </c>
      <c r="V2659" s="39" t="s">
        <v>19</v>
      </c>
      <c r="W2659" s="1">
        <f>V2657/((AVERAGE(P2663:P2668))*(1+E2669)^3)</f>
        <v>23.888310611022785</v>
      </c>
      <c r="Y2659" s="25" t="s">
        <v>39</v>
      </c>
      <c r="Z2659" s="39" t="s">
        <v>19</v>
      </c>
      <c r="AA2659" s="1">
        <f>Z2657/((AVERAGE(P2663:P2668))*(1+E2669)^3)</f>
        <v>23.888310611022785</v>
      </c>
    </row>
    <row r="2660" spans="1:27">
      <c r="B2660" s="13">
        <v>3</v>
      </c>
      <c r="C2660" s="14" t="s">
        <v>20</v>
      </c>
      <c r="D2660" s="15" cm="1">
        <f t="array" ref="D2660">_xlfn.SINGLE(IF(A2666=A2667,_xll.ciqfunctions.udf.CIQ(A2658,"IQ_TOTAL_REV",IQ_FY-8)/I2660, _xll.ciqfunctions.udf.CIQ(A2658, "IQ_TOTAL_REV",IQ_FY-7)/I2660))</f>
        <v>10.382749266738458</v>
      </c>
      <c r="E2660" s="16">
        <f t="shared" si="711"/>
        <v>0.45049386507477002</v>
      </c>
      <c r="F2660" s="15">
        <f>IF(A2666=A2667,_xll.ciqfunctions.udf.CIQ(A2658,"IQ_DILUT_EPS_EXCL",IQ_FY-8), _xll.ciqfunctions.udf.CIQ(A2658, "IQ_DILUT_EPS_EXCL",IQ_FY-7))</f>
        <v>0.49</v>
      </c>
      <c r="G2660" s="15">
        <f>IF(A2666=A2667,_xll.ciqfunctions.udf.CIQ(A2658,"IQ_EBITDA_MARGIN",IQ_FY-8), _xll.ciqfunctions.udf.CIQ(A2658, "IQ_EBITDA_MARGIN",IQ_FY-7))</f>
        <v>8.4925999999999995</v>
      </c>
      <c r="H2660" s="15">
        <f>IF(A2666=A2667,_xll.ciqfunctions.udf.CIQ(A2658,"IQ_TOTAL_DIV_PAID_CF",IQ_FY-8)/-I2660, _xll.ciqfunctions.udf.CIQ(A2658, "IQ_TOTAL_DIV_PAID_CF",IQ_FY-7)/-I2660)</f>
        <v>0</v>
      </c>
      <c r="I2660" s="17">
        <f>IF(A2666=A2667,_xll.ciqfunctions.udf.CIQ(A2658,"IQ_TOTAL_OUTSTANDING_FILING_DATE",IQ_FY-8), _xll.ciqfunctions.udf.CIQ(A2658, "IQ_TOTAL_OUTSTANDING_FILING_DATE",IQ_FY-7))</f>
        <v>29.038070000000001</v>
      </c>
      <c r="J2660" s="17">
        <f>IF(A2666=A2667,_xll.ciqfunctions.udf.CIQ(A2658,"IQ_CASH_OPER",IQ_FY-8), _xll.ciqfunctions.udf.CIQ(A2658, "IQ_CASH_OPER",IQ_FY-7))</f>
        <v>18.266999999999999</v>
      </c>
      <c r="K2660" s="17">
        <f>IF(A2666=A2667,_xll.ciqfunctions.udf.CIQ(A2658,"IQ_CAPEX",IQ_FY-8), _xll.ciqfunctions.udf.CIQ(A2658, "IQ_CAPEX",IQ_FY-7))</f>
        <v>-1.83</v>
      </c>
      <c r="L2660" s="15">
        <f t="shared" si="708"/>
        <v>0.56605001640949271</v>
      </c>
      <c r="M2660" s="17">
        <f>IF(A2666=A2667,_xll.ciqfunctions.udf.CIQ(A2658,"IQ_TOTAL_DEBT_ISSUED",IQ_FY-8), _xll.ciqfunctions.udf.CIQ(A2658, "IQ_TOTAL_DEBT_ISSUED",IQ_FY-7))</f>
        <v>48.94</v>
      </c>
      <c r="N2660" s="17">
        <f>IF(A2666=A2667,_xll.ciqfunctions.udf.CIQ(A2658,"IQ_TOTAL_DEBT_REPAID",IQ_FY-8), _xll.ciqfunctions.udf.CIQ(A2658, "IQ_TOTAL_DEBT_REPAID",IQ_FY-7))</f>
        <v>-14.922000000000001</v>
      </c>
      <c r="O2660" s="15">
        <f t="shared" si="709"/>
        <v>1.1714965905103196</v>
      </c>
      <c r="P2660" s="15">
        <f t="shared" si="710"/>
        <v>1.7375466069198122</v>
      </c>
      <c r="Q2660" s="25" t="s">
        <v>21</v>
      </c>
      <c r="R2660" s="38" t="s">
        <v>49</v>
      </c>
      <c r="S2660" s="2">
        <f>(R2657*I2668)/1000</f>
        <v>4.2162354749999995</v>
      </c>
      <c r="U2660" s="25" t="s">
        <v>59</v>
      </c>
      <c r="V2660" s="38" t="s">
        <v>49</v>
      </c>
      <c r="W2660" s="2">
        <f>(V2657*I2668)/1000</f>
        <v>4.2162354749999995</v>
      </c>
      <c r="Y2660" s="25" t="s">
        <v>46</v>
      </c>
      <c r="Z2660" s="38" t="s">
        <v>49</v>
      </c>
      <c r="AA2660" s="2">
        <f>(Z2657*I2668)/1000</f>
        <v>4.2162354749999995</v>
      </c>
    </row>
    <row r="2661" spans="1:27">
      <c r="A2661" s="18"/>
      <c r="B2661" s="13">
        <v>4</v>
      </c>
      <c r="C2661" s="14" t="s">
        <v>22</v>
      </c>
      <c r="D2661" s="15" cm="1">
        <f t="array" ref="D2661">_xlfn.SINGLE(IF(A2666=A2667,_xll.ciqfunctions.udf.CIQ(A2658,"IQ_TOTAL_REV",IQ_FY-7)/I2661, _xll.ciqfunctions.udf.CIQ(A2658, "IQ_TOTAL_REV",IQ_FY-6)/I2661))</f>
        <v>8.9240052331345403</v>
      </c>
      <c r="E2661" s="16">
        <f t="shared" si="711"/>
        <v>-0.14049689500612914</v>
      </c>
      <c r="F2661" s="15">
        <f>IF(A2666=A2667,_xll.ciqfunctions.udf.CIQ(A2658,"IQ_DILUT_EPS_EXCL",IQ_FY-7), _xll.ciqfunctions.udf.CIQ(A2658, "IQ_DILUT_EPS_EXCL",IQ_FY-6))</f>
        <v>0.36</v>
      </c>
      <c r="G2661" s="15">
        <f>IF(A2666=A2667,_xll.ciqfunctions.udf.CIQ(A2658,"IQ_EBITDA_MARGIN",IQ_FY-7), _xll.ciqfunctions.udf.CIQ(A2658, "IQ_EBITDA_MARGIN",IQ_FY-6))</f>
        <v>7.0278</v>
      </c>
      <c r="H2661" s="15">
        <f>IF(A2666=A2667,_xll.ciqfunctions.udf.CIQ(A2658,"IQ_TOTAL_DIV_PAID_CF",IQ_FY-7)/-I2661, _xll.ciqfunctions.udf.CIQ(A2658, "IQ_TOTAL_DIV_PAID_CF",IQ_FY-6)/-I2661)</f>
        <v>0</v>
      </c>
      <c r="I2661" s="17">
        <f>IF(A2666=A2667,_xll.ciqfunctions.udf.CIQ(A2658,"IQ_TOTAL_OUTSTANDING_FILING_DATE",IQ_FY-7), _xll.ciqfunctions.udf.CIQ(A2658, "IQ_TOTAL_OUTSTANDING_FILING_DATE",IQ_FY-6))</f>
        <v>29.917059999999999</v>
      </c>
      <c r="J2661" s="17">
        <f>IF(A2666=A2667,_xll.ciqfunctions.udf.CIQ(A2658,"IQ_CASH_OPER",IQ_FY-7), _xll.ciqfunctions.udf.CIQ(A2658, "IQ_CASH_OPER",IQ_FY-6))</f>
        <v>-8.7880000000000003</v>
      </c>
      <c r="K2661" s="17">
        <f>IF(A2666=A2667,_xll.ciqfunctions.udf.CIQ(A2658,"IQ_CAPEX",IQ_FY-7), _xll.ciqfunctions.udf.CIQ(A2658, "IQ_CAPEX",IQ_FY-6))</f>
        <v>-2.5059999999999998</v>
      </c>
      <c r="L2661" s="15">
        <f t="shared" si="708"/>
        <v>-0.3775103569668945</v>
      </c>
      <c r="M2661" s="17">
        <f>IF(A2666=A2667,_xll.ciqfunctions.udf.CIQ(A2658,"IQ_TOTAL_DEBT_ISSUED",IQ_FY-7), _xll.ciqfunctions.udf.CIQ(A2658, "IQ_TOTAL_DEBT_ISSUED",IQ_FY-6))</f>
        <v>0</v>
      </c>
      <c r="N2661" s="17">
        <f>IF(A2666=A2667,_xll.ciqfunctions.udf.CIQ(A2658,"IQ_TOTAL_DEBT_REPAID",IQ_FY-7), _xll.ciqfunctions.udf.CIQ(A2658, "IQ_TOTAL_DEBT_REPAID",IQ_FY-6))</f>
        <v>0</v>
      </c>
      <c r="O2661" s="15">
        <f t="shared" si="709"/>
        <v>0</v>
      </c>
      <c r="P2661" s="15">
        <f t="shared" si="710"/>
        <v>-0.3775103569668945</v>
      </c>
      <c r="Q2661" s="25" t="s">
        <v>23</v>
      </c>
      <c r="R2661" s="38" t="s">
        <v>24</v>
      </c>
      <c r="S2661" s="1" t="e">
        <f>R2657/(AVERAGE(H2663:H2668)*(1+H2669)/(0.5-H2669))</f>
        <v>#DIV/0!</v>
      </c>
      <c r="U2661" s="25" t="s">
        <v>40</v>
      </c>
      <c r="V2661" s="38" t="s">
        <v>24</v>
      </c>
      <c r="W2661" s="1" t="e">
        <f>V2657/(AVERAGE(H2663:H2668)*(1+H2669)/(0.5-H2669))</f>
        <v>#DIV/0!</v>
      </c>
      <c r="Y2661" s="25" t="s">
        <v>47</v>
      </c>
      <c r="Z2661" s="38" t="s">
        <v>24</v>
      </c>
      <c r="AA2661" s="1" t="e">
        <f>Z2657/(AVERAGE(H2663:H2668)*(1+H2669)/(0.5-H2669))</f>
        <v>#DIV/0!</v>
      </c>
    </row>
    <row r="2662" spans="1:27">
      <c r="B2662" s="13">
        <v>5</v>
      </c>
      <c r="C2662" s="14" t="s">
        <v>25</v>
      </c>
      <c r="D2662" s="15" cm="1">
        <f t="array" ref="D2662">_xlfn.SINGLE(IF(A2666=A2667,_xll.ciqfunctions.udf.CIQ(A2658,"IQ_TOTAL_REV",IQ_FY-6)/I2662, _xll.ciqfunctions.udf.CIQ(A2658, "IQ_TOTAL_REV",IQ_FY-5)/I2662))</f>
        <v>12.778589440882049</v>
      </c>
      <c r="E2662" s="16">
        <f t="shared" si="711"/>
        <v>0.4319343284824132</v>
      </c>
      <c r="F2662" s="15">
        <f>IF(A2666=A2667,_xll.ciqfunctions.udf.CIQ(A2658,"IQ_DILUT_EPS_EXCL",IQ_FY-6), _xll.ciqfunctions.udf.CIQ(A2658, "IQ_DILUT_EPS_EXCL",IQ_FY-5))</f>
        <v>3.8</v>
      </c>
      <c r="G2662" s="15">
        <f>IF(A2666=A2667,_xll.ciqfunctions.udf.CIQ(A2658,"IQ_EBITDA_MARGIN",IQ_FY-6), _xll.ciqfunctions.udf.CIQ(A2658, "IQ_EBITDA_MARGIN",IQ_FY-5))</f>
        <v>12.1891</v>
      </c>
      <c r="H2662" s="15">
        <f>IF(A2666=A2667,_xll.ciqfunctions.udf.CIQ(A2658,"IQ_TOTAL_DIV_PAID_CF",IQ_FY-6)/-I2662, _xll.ciqfunctions.udf.CIQ(A2658, "IQ_TOTAL_DIV_PAID_CF",IQ_FY-5)/-I2662)</f>
        <v>0</v>
      </c>
      <c r="I2662" s="17">
        <f>IF(A2666=A2667,_xll.ciqfunctions.udf.CIQ(A2658,"IQ_TOTAL_OUTSTANDING_FILING_DATE",IQ_FY-6), _xll.ciqfunctions.udf.CIQ(A2658, "IQ_TOTAL_OUTSTANDING_FILING_DATE",IQ_FY-5))</f>
        <v>32.128819999999997</v>
      </c>
      <c r="J2662" s="17">
        <f>IF(A2666=A2667,_xll.ciqfunctions.udf.CIQ(A2658,"IQ_CASH_OPER",IQ_FY-6), _xll.ciqfunctions.udf.CIQ(A2658, "IQ_CASH_OPER",IQ_FY-5))</f>
        <v>56.283999999999999</v>
      </c>
      <c r="K2662" s="17">
        <f>IF(A2666=A2667,_xll.ciqfunctions.udf.CIQ(A2658,"IQ_CAPEX",IQ_FY-6), _xll.ciqfunctions.udf.CIQ(A2658, "IQ_CAPEX",IQ_FY-5))</f>
        <v>-7.2850000000000001</v>
      </c>
      <c r="L2662" s="15">
        <f t="shared" si="708"/>
        <v>1.5250793524318664</v>
      </c>
      <c r="M2662" s="17">
        <f>IF(A2666=A2667,_xll.ciqfunctions.udf.CIQ(A2658,"IQ_TOTAL_DEBT_ISSUED",IQ_FY-6), _xll.ciqfunctions.udf.CIQ(A2658, "IQ_TOTAL_DEBT_ISSUED",IQ_FY-5))</f>
        <v>0</v>
      </c>
      <c r="N2662" s="17">
        <f>IF(A2666=A2667,_xll.ciqfunctions.udf.CIQ(A2658,"IQ_TOTAL_DEBT_REPAID",IQ_FY-6), _xll.ciqfunctions.udf.CIQ(A2658, "IQ_TOTAL_DEBT_REPAID",IQ_FY-5))</f>
        <v>0</v>
      </c>
      <c r="O2662" s="15">
        <f t="shared" si="709"/>
        <v>0</v>
      </c>
      <c r="P2662" s="15">
        <f t="shared" si="710"/>
        <v>1.5250793524318664</v>
      </c>
      <c r="Q2662" s="18"/>
      <c r="R2662" s="38" t="s">
        <v>50</v>
      </c>
      <c r="S2662" s="3">
        <f>I2669</f>
        <v>3.7503310658326683E-5</v>
      </c>
      <c r="U2662" s="18"/>
      <c r="V2662" s="38" t="s">
        <v>50</v>
      </c>
      <c r="W2662" s="3">
        <f>I2669</f>
        <v>3.7503310658326683E-5</v>
      </c>
      <c r="Y2662" s="18"/>
      <c r="Z2662" s="38" t="s">
        <v>50</v>
      </c>
      <c r="AA2662" s="3">
        <f>I2669</f>
        <v>3.7503310658326683E-5</v>
      </c>
    </row>
    <row r="2663" spans="1:27">
      <c r="B2663" s="13">
        <v>6</v>
      </c>
      <c r="C2663" s="14" t="s">
        <v>26</v>
      </c>
      <c r="D2663" s="15" cm="1">
        <f t="array" ref="D2663">_xlfn.SINGLE(IF(A2666=A2667,_xll.ciqfunctions.udf.CIQ(A2658,"IQ_TOTAL_REV",IQ_FY-5)/I2663, _xll.ciqfunctions.udf.CIQ(A2658, "IQ_TOTAL_REV",IQ_FY-4)/I2663))</f>
        <v>13.517323064555734</v>
      </c>
      <c r="E2663" s="16">
        <f t="shared" si="711"/>
        <v>5.781026357340216E-2</v>
      </c>
      <c r="F2663" s="15">
        <f>IF(A2666=A2667,_xll.ciqfunctions.udf.CIQ(A2658,"IQ_DILUT_EPS_EXCL",IQ_FY-5), _xll.ciqfunctions.udf.CIQ(A2658, "IQ_DILUT_EPS_EXCL",IQ_FY-4))</f>
        <v>1.35</v>
      </c>
      <c r="G2663" s="15">
        <f>IF(A2666=A2667,_xll.ciqfunctions.udf.CIQ(A2658,"IQ_EBITDA_MARGIN",IQ_FY-5), _xll.ciqfunctions.udf.CIQ(A2658, "IQ_EBITDA_MARGIN",IQ_FY-4))</f>
        <v>14.2644</v>
      </c>
      <c r="H2663" s="15">
        <f>IF(A2666=A2667,_xll.ciqfunctions.udf.CIQ(A2658,"IQ_TOTAL_DIV_PAID_CF",IQ_FY-5)/-I2663, _xll.ciqfunctions.udf.CIQ(A2658, "IQ_TOTAL_DIV_PAID_CF",IQ_FY-4)/-I2663)</f>
        <v>0</v>
      </c>
      <c r="I2663" s="17">
        <f>IF(A2666=A2667,_xll.ciqfunctions.udf.CIQ(A2658,"IQ_TOTAL_OUTSTANDING_FILING_DATE",IQ_FY-5), _xll.ciqfunctions.udf.CIQ(A2658, "IQ_TOTAL_OUTSTANDING_FILING_DATE",IQ_FY-4))</f>
        <v>32.741320000000002</v>
      </c>
      <c r="J2663" s="17">
        <f>IF(A2666=A2667,_xll.ciqfunctions.udf.CIQ(A2658,"IQ_CASH_OPER",IQ_FY-5), _xll.ciqfunctions.udf.CIQ(A2658, "IQ_CASH_OPER",IQ_FY-4))</f>
        <v>46.965000000000003</v>
      </c>
      <c r="K2663" s="17">
        <f>IF(A2666=A2667,_xll.ciqfunctions.udf.CIQ(A2658,"IQ_CAPEX",IQ_FY-5), _xll.ciqfunctions.udf.CIQ(A2658, "IQ_CAPEX",IQ_FY-4))</f>
        <v>-4.7149999999999999</v>
      </c>
      <c r="L2663" s="15">
        <f t="shared" si="708"/>
        <v>1.290418345992159</v>
      </c>
      <c r="M2663" s="17">
        <f>IF(A2666=A2667,_xll.ciqfunctions.udf.CIQ(A2658,"IQ_TOTAL_DEBT_ISSUED",IQ_FY-5), _xll.ciqfunctions.udf.CIQ(A2658, "IQ_TOTAL_DEBT_ISSUED",IQ_FY-4))</f>
        <v>0</v>
      </c>
      <c r="N2663" s="17">
        <f>IF(A2666=A2667,_xll.ciqfunctions.udf.CIQ(A2658,"IQ_TOTAL_DEBT_REPAID",IQ_FY-5), _xll.ciqfunctions.udf.CIQ(A2658, "IQ_TOTAL_DEBT_REPAID",IQ_FY-4))</f>
        <v>0</v>
      </c>
      <c r="O2663" s="15">
        <f t="shared" si="709"/>
        <v>0</v>
      </c>
      <c r="P2663" s="15">
        <f t="shared" si="710"/>
        <v>1.290418345992159</v>
      </c>
      <c r="Q2663" s="25" t="s">
        <v>27</v>
      </c>
      <c r="R2663" s="38" t="s">
        <v>51</v>
      </c>
      <c r="S2663" s="4">
        <f>AVERAGE(F2663:F2668)/AVERAGE(D2663:D2668)</f>
        <v>0.15644978047794741</v>
      </c>
      <c r="U2663" s="25" t="s">
        <v>58</v>
      </c>
      <c r="V2663" s="38" t="s">
        <v>51</v>
      </c>
      <c r="W2663" s="4">
        <f>AVERAGE(F2663:F2668)/AVERAGE(D2663:D2668)</f>
        <v>0.15644978047794741</v>
      </c>
      <c r="Y2663" s="25" t="s">
        <v>56</v>
      </c>
      <c r="Z2663" s="38" t="s">
        <v>51</v>
      </c>
      <c r="AA2663" s="4">
        <f>AVERAGE(F2663:F2668)/AVERAGE(D2663:D2668)</f>
        <v>0.15644978047794741</v>
      </c>
    </row>
    <row r="2664" spans="1:27">
      <c r="A2664" s="18"/>
      <c r="B2664" s="13">
        <v>7</v>
      </c>
      <c r="C2664" s="14" t="s">
        <v>28</v>
      </c>
      <c r="D2664" s="15" cm="1">
        <f t="array" ref="D2664">_xlfn.SINGLE(IF(A2666=A2667,_xll.ciqfunctions.udf.CIQ(A2658,"IQ_TOTAL_REV",IQ_FY-4)/I2664, _xll.ciqfunctions.udf.CIQ(A2658, "IQ_TOTAL_REV",IQ_FY-3)/I2664))</f>
        <v>10.364653834076929</v>
      </c>
      <c r="E2664" s="16">
        <f t="shared" si="711"/>
        <v>-0.23323177343785872</v>
      </c>
      <c r="F2664" s="15">
        <f>IF(A2666=A2667,_xll.ciqfunctions.udf.CIQ(A2658,"IQ_DILUT_EPS_EXCL",IQ_FY-4), _xll.ciqfunctions.udf.CIQ(A2658, "IQ_DILUT_EPS_EXCL",IQ_FY-3))</f>
        <v>0.5</v>
      </c>
      <c r="G2664" s="15">
        <f>IF(A2666=A2667,_xll.ciqfunctions.udf.CIQ(A2658,"IQ_EBITDA_MARGIN",IQ_FY-4), _xll.ciqfunctions.udf.CIQ(A2658, "IQ_EBITDA_MARGIN",IQ_FY-3))</f>
        <v>8.2181999999999995</v>
      </c>
      <c r="H2664" s="15">
        <f>IF(A2666=A2667,_xll.ciqfunctions.udf.CIQ(A2658,"IQ_TOTAL_DIV_PAID_CF",IQ_FY-4)/-I2664, _xll.ciqfunctions.udf.CIQ(A2658, "IQ_TOTAL_DIV_PAID_CF",IQ_FY-3)/-I2664)</f>
        <v>0</v>
      </c>
      <c r="I2664" s="17">
        <f>IF(A2666=A2667,_xll.ciqfunctions.udf.CIQ(A2658,"IQ_TOTAL_OUTSTANDING_FILING_DATE",IQ_FY-4), _xll.ciqfunctions.udf.CIQ(A2658, "IQ_TOTAL_OUTSTANDING_FILING_DATE",IQ_FY-3))</f>
        <v>33.089190000000002</v>
      </c>
      <c r="J2664" s="17">
        <f>IF(A2666=A2667,_xll.ciqfunctions.udf.CIQ(A2658,"IQ_CASH_OPER",IQ_FY-4), _xll.ciqfunctions.udf.CIQ(A2658, "IQ_CASH_OPER",IQ_FY-3))</f>
        <v>-13.593999999999999</v>
      </c>
      <c r="K2664" s="17">
        <f>IF(A2666=A2667,_xll.ciqfunctions.udf.CIQ(A2658,"IQ_CAPEX",IQ_FY-4), _xll.ciqfunctions.udf.CIQ(A2658, "IQ_CAPEX",IQ_FY-3))</f>
        <v>-11.968999999999999</v>
      </c>
      <c r="L2664" s="15">
        <f t="shared" si="708"/>
        <v>-0.77254837607085569</v>
      </c>
      <c r="M2664" s="17">
        <f>IF(A2666=A2667,_xll.ciqfunctions.udf.CIQ(A2658,"IQ_TOTAL_DEBT_ISSUED",IQ_FY-4), _xll.ciqfunctions.udf.CIQ(A2658, "IQ_TOTAL_DEBT_ISSUED",IQ_FY-3))</f>
        <v>0</v>
      </c>
      <c r="N2664" s="17">
        <f>IF(A2666=A2667,_xll.ciqfunctions.udf.CIQ(A2658,"IQ_TOTAL_DEBT_REPAID",IQ_FY-4), _xll.ciqfunctions.udf.CIQ(A2658, "IQ_TOTAL_DEBT_REPAID",IQ_FY-3))</f>
        <v>0</v>
      </c>
      <c r="O2664" s="15">
        <f t="shared" si="709"/>
        <v>0</v>
      </c>
      <c r="P2664" s="15">
        <f t="shared" si="710"/>
        <v>-0.77254837607085569</v>
      </c>
      <c r="Q2664" s="18"/>
      <c r="R2664" s="38" t="s">
        <v>29</v>
      </c>
      <c r="S2664" s="4">
        <f>(AVERAGE(P2663:P2668)/_xlfn.STDEV.P(P2663:P2668))/(IF(A2666=A2667,(_xlfn.SINGLE(_xll.ciqfunctions.udf.CIQ(A2658,"IQ_total_assets",IQ_FY)) - _xlfn.SINGLE(_xll.ciqfunctions.udf.CIQ(A2658,"iq_gw_intan", IQ_FY)))/I2668, (_xlfn.SINGLE(_xll.ciqfunctions.udf.CIQ(A2658, "IQ_total_assets",IQ_LTM))-_xlfn.SINGLE(_xll.ciqfunctions.udf.CIQ(A2658,"iq_gw_intan",IQ_LTM)))/I2668))</f>
        <v>3.3326932983797422E-2</v>
      </c>
      <c r="U2664" s="18"/>
      <c r="V2664" s="38" t="s">
        <v>29</v>
      </c>
      <c r="W2664" s="4">
        <f>(AVERAGE(P2663:P2668)/_xlfn.STDEV.P(P2663:P2668))/(IF(A2666=A2667,(_xlfn.SINGLE(_xll.ciqfunctions.udf.CIQ(A2658,"IQ_total_assets",IQ_FY)) - _xlfn.SINGLE(_xll.ciqfunctions.udf.CIQ(A2658,"iq_gw_intan", IQ_FY)))/I2668, (_xlfn.SINGLE(_xll.ciqfunctions.udf.CIQ(A2658, "IQ_total_assets",IQ_LTM))-_xlfn.SINGLE(_xll.ciqfunctions.udf.CIQ(A2658,"iq_gw_intan",IQ_LTM)))/I2668))</f>
        <v>3.3326932983797422E-2</v>
      </c>
      <c r="Y2664" s="18"/>
      <c r="Z2664" s="38" t="s">
        <v>29</v>
      </c>
      <c r="AA2664" s="4">
        <f>(AVERAGE(P2663:P2668)/_xlfn.STDEV.P(P2663:P2668))/(IF(A2666=A2667,(_xlfn.SINGLE(_xll.ciqfunctions.udf.CIQ(A2658,"IQ_total_assets",IQ_FY)) - _xlfn.SINGLE(_xll.ciqfunctions.udf.CIQ(A2658,"iq_gw_intan", IQ_FY)))/I2668, (_xlfn.SINGLE(_xll.ciqfunctions.udf.CIQ(A2658, "IQ_total_assets",IQ_LTM))-_xlfn.SINGLE(_xll.ciqfunctions.udf.CIQ(A2658,"iq_gw_intan",IQ_LTM)))/I2668))</f>
        <v>3.3326932983797422E-2</v>
      </c>
    </row>
    <row r="2665" spans="1:27">
      <c r="A2665" s="18"/>
      <c r="B2665" s="13">
        <v>8</v>
      </c>
      <c r="C2665" s="14" t="s">
        <v>30</v>
      </c>
      <c r="D2665" s="15" cm="1">
        <f t="array" ref="D2665">_xlfn.SINGLE(IF(A2666=A2667,_xll.ciqfunctions.udf.CIQ(A2658,"IQ_TOTAL_REV",IQ_FY-3)/I2665, _xll.ciqfunctions.udf.CIQ(A2658, "IQ_TOTAL_REV",IQ_FY-2)/I2665))</f>
        <v>14.068502722481767</v>
      </c>
      <c r="E2665" s="16">
        <f t="shared" si="711"/>
        <v>0.35735384391008956</v>
      </c>
      <c r="F2665" s="15">
        <f>IF(A2666=A2667,_xll.ciqfunctions.udf.CIQ(A2658,"IQ_DILUT_EPS_EXCL",IQ_FY-3), _xll.ciqfunctions.udf.CIQ(A2658, "IQ_DILUT_EPS_EXCL",IQ_FY-2))</f>
        <v>1.46</v>
      </c>
      <c r="G2665" s="15">
        <f>IF(A2666=A2667,_xll.ciqfunctions.udf.CIQ(A2658,"IQ_EBITDA_MARGIN",IQ_FY-3), _xll.ciqfunctions.udf.CIQ(A2658, "IQ_EBITDA_MARGIN",IQ_FY-2))</f>
        <v>13.228999999999999</v>
      </c>
      <c r="H2665" s="15">
        <f>IF(A2666=A2667,_xll.ciqfunctions.udf.CIQ(A2658,"IQ_TOTAL_DIV_PAID_CF",IQ_FY-3)/-I2665, _xll.ciqfunctions.udf.CIQ(A2658, "IQ_TOTAL_DIV_PAID_CF",IQ_FY-2)/-I2665)</f>
        <v>0</v>
      </c>
      <c r="I2665" s="17">
        <f>IF(A2666=A2667,_xll.ciqfunctions.udf.CIQ(A2658,"IQ_TOTAL_OUTSTANDING_FILING_DATE",IQ_FY-3), _xll.ciqfunctions.udf.CIQ(A2658, "IQ_TOTAL_OUTSTANDING_FILING_DATE",IQ_FY-2))</f>
        <v>33.732089999999999</v>
      </c>
      <c r="J2665" s="17">
        <f>IF(A2666=A2667,_xll.ciqfunctions.udf.CIQ(A2658,"IQ_CASH_OPER",IQ_FY-3), _xll.ciqfunctions.udf.CIQ(A2658, "IQ_CASH_OPER",IQ_FY-2))</f>
        <v>69.703000000000003</v>
      </c>
      <c r="K2665" s="17">
        <f>IF(A2666=A2667,_xll.ciqfunctions.udf.CIQ(A2658,"IQ_CAPEX",IQ_FY-3), _xll.ciqfunctions.udf.CIQ(A2658, "IQ_CAPEX",IQ_FY-2))</f>
        <v>-7.4340000000000002</v>
      </c>
      <c r="L2665" s="15">
        <f t="shared" si="708"/>
        <v>1.8459870111813412</v>
      </c>
      <c r="M2665" s="17">
        <f>IF(A2666=A2667,_xll.ciqfunctions.udf.CIQ(A2658,"IQ_TOTAL_DEBT_ISSUED",IQ_FY-3), _xll.ciqfunctions.udf.CIQ(A2658, "IQ_TOTAL_DEBT_ISSUED",IQ_FY-2))</f>
        <v>0</v>
      </c>
      <c r="N2665" s="17">
        <f>IF(A2666=A2667,_xll.ciqfunctions.udf.CIQ(A2658,"IQ_TOTAL_DEBT_REPAID",IQ_FY-3), _xll.ciqfunctions.udf.CIQ(A2658, "IQ_TOTAL_DEBT_REPAID",IQ_FY-2))</f>
        <v>-0.39900000000000002</v>
      </c>
      <c r="O2665" s="15">
        <f t="shared" si="709"/>
        <v>-1.1828499212470974E-2</v>
      </c>
      <c r="P2665" s="15">
        <f t="shared" si="710"/>
        <v>1.8341585119688704</v>
      </c>
      <c r="Q2665" s="18"/>
      <c r="R2665" s="39" t="s">
        <v>31</v>
      </c>
      <c r="S2665" s="5">
        <f>IF(NOT(D2658&gt;0),FALSE,SLOPE(G2658:G2668,B2658:B2668))</f>
        <v>2.5595618181818183</v>
      </c>
      <c r="U2665" s="18"/>
      <c r="V2665" s="39" t="s">
        <v>31</v>
      </c>
      <c r="W2665" s="5">
        <f>IF(NOT(D2658&gt;0),FALSE,SLOPE(G2658:G2668,B2658:B2668))</f>
        <v>2.5595618181818183</v>
      </c>
      <c r="Y2665" s="18"/>
      <c r="Z2665" s="39" t="s">
        <v>31</v>
      </c>
      <c r="AA2665" s="5" t="b">
        <f>IF(NOT(L2658&gt;0),FALSE,SLOPE(O2658:O2668,J2658:J2668))</f>
        <v>0</v>
      </c>
    </row>
    <row r="2666" spans="1:27">
      <c r="A2666" s="19">
        <f>_xll.ciqfunctions.udf.CIQ(A2658,"IQ_TOTAL_REV",IQ_FY)</f>
        <v>919.99800000000005</v>
      </c>
      <c r="B2666" s="13">
        <v>9</v>
      </c>
      <c r="C2666" s="14" t="s">
        <v>32</v>
      </c>
      <c r="D2666" s="15" cm="1">
        <f t="array" ref="D2666">_xlfn.SINGLE(IF(A2666=A2667,_xll.ciqfunctions.udf.CIQ(A2658,"IQ_TOTAL_REV",IQ_FY-2)/I2666, _xll.ciqfunctions.udf.CIQ(A2658, "IQ_TOTAL_REV",IQ_FY-1)/I2666))</f>
        <v>19.921879699067222</v>
      </c>
      <c r="E2666" s="16">
        <f t="shared" si="711"/>
        <v>0.41606253999095683</v>
      </c>
      <c r="F2666" s="15">
        <f>IF(A2666=A2667,_xll.ciqfunctions.udf.CIQ(A2658,"IQ_DILUT_EPS_EXCL",IQ_FY-2), _xll.ciqfunctions.udf.CIQ(A2658, "IQ_DILUT_EPS_EXCL",IQ_FY-1))</f>
        <v>2.88</v>
      </c>
      <c r="G2666" s="15">
        <f>IF(A2666=A2667,_xll.ciqfunctions.udf.CIQ(A2658,"IQ_EBITDA_MARGIN",IQ_FY-2), _xll.ciqfunctions.udf.CIQ(A2658, "IQ_EBITDA_MARGIN",IQ_FY-1))</f>
        <v>20.053899999999999</v>
      </c>
      <c r="H2666" s="15">
        <f>IF(A2666=A2667,_xll.ciqfunctions.udf.CIQ(A2658,"IQ_TOTAL_DIV_PAID_CF",IQ_FY-2)/-I2666, _xll.ciqfunctions.udf.CIQ(A2658, "IQ_TOTAL_DIV_PAID_CF",IQ_FY-1)/-I2666)</f>
        <v>0</v>
      </c>
      <c r="I2666" s="17">
        <f>IF(A2666=A2667,_xll.ciqfunctions.udf.CIQ(A2658,"IQ_TOTAL_OUTSTANDING_FILING_DATE",IQ_FY-2), _xll.ciqfunctions.udf.CIQ(A2658, "IQ_TOTAL_OUTSTANDING_FILING_DATE",IQ_FY-1))</f>
        <v>33.251280000000001</v>
      </c>
      <c r="J2666" s="17">
        <f>IF(A2666=A2667,_xll.ciqfunctions.udf.CIQ(A2658,"IQ_CASH_OPER",IQ_FY-2), _xll.ciqfunctions.udf.CIQ(A2658, "IQ_CASH_OPER",IQ_FY-1))</f>
        <v>150.19</v>
      </c>
      <c r="K2666" s="17">
        <f>IF(A2666=A2667,_xll.ciqfunctions.udf.CIQ(A2658,"IQ_CAPEX",IQ_FY-2), _xll.ciqfunctions.udf.CIQ(A2658, "IQ_CAPEX",IQ_FY-1))</f>
        <v>-8.718</v>
      </c>
      <c r="L2666" s="15">
        <f t="shared" si="708"/>
        <v>4.2546332050976687</v>
      </c>
      <c r="M2666" s="17">
        <f>IF(A2666=A2667,_xll.ciqfunctions.udf.CIQ(A2658,"IQ_TOTAL_DEBT_ISSUED",IQ_FY-2), _xll.ciqfunctions.udf.CIQ(A2658, "IQ_TOTAL_DEBT_ISSUED",IQ_FY-1))</f>
        <v>0</v>
      </c>
      <c r="N2666" s="17">
        <f>IF(A2666=A2667,_xll.ciqfunctions.udf.CIQ(A2658,"IQ_TOTAL_DEBT_REPAID",IQ_FY-2), _xll.ciqfunctions.udf.CIQ(A2658, "IQ_TOTAL_DEBT_REPAID",IQ_FY-1))</f>
        <v>-0.76300000000000001</v>
      </c>
      <c r="O2666" s="15">
        <f t="shared" si="709"/>
        <v>-2.2946485067642509E-2</v>
      </c>
      <c r="P2666" s="15">
        <f t="shared" si="710"/>
        <v>4.2316867200300265</v>
      </c>
      <c r="Q2666" s="25" t="s">
        <v>33</v>
      </c>
      <c r="R2666" s="38" t="s">
        <v>52</v>
      </c>
      <c r="S2666" s="4">
        <f>(AVERAGE(O2663:O2668)/AVERAGE(P2663:P2668))</f>
        <v>-5.3416263246947142E-3</v>
      </c>
      <c r="U2666" s="25" t="s">
        <v>54</v>
      </c>
      <c r="V2666" s="38" t="s">
        <v>52</v>
      </c>
      <c r="W2666" s="4">
        <f>(AVERAGE(O2663:O2668)/AVERAGE(P2663:P2668))</f>
        <v>-5.3416263246947142E-3</v>
      </c>
      <c r="Y2666" s="25" t="s">
        <v>60</v>
      </c>
      <c r="Z2666" s="38" t="s">
        <v>52</v>
      </c>
      <c r="AA2666" s="4">
        <f>(AVERAGE(O2663:O2668)/AVERAGE(P2663:P2668))</f>
        <v>-5.3416263246947142E-3</v>
      </c>
    </row>
    <row r="2667" spans="1:27">
      <c r="A2667" s="19">
        <f>_xll.ciqfunctions.udf.CIQ(A2658,"IQ_TOTAL_REV",IQ_LTM)</f>
        <v>1086.367</v>
      </c>
      <c r="B2667" s="13">
        <v>10</v>
      </c>
      <c r="C2667" s="14" t="s">
        <v>34</v>
      </c>
      <c r="D2667" s="15" cm="1">
        <f t="array" ref="D2667">_xlfn.SINGLE(IF(A2666=A2667,_xll.ciqfunctions.udf.CIQ(A2658,"IQ_TOTAL_REV",IQ_FY-1)/I2667, _xll.ciqfunctions.udf.CIQ(A2658, "IQ_TOTAL_REV",IQ_FY)/I2667))</f>
        <v>28.122403639291484</v>
      </c>
      <c r="E2667" s="16">
        <f t="shared" si="711"/>
        <v>0.41163404578776897</v>
      </c>
      <c r="F2667" s="15">
        <f>IF(A2666=A2667,_xll.ciqfunctions.udf.CIQ(A2658,"IQ_DILUT_EPS_EXCL",IQ_FY-1), _xll.ciqfunctions.udf.CIQ(A2658, "IQ_DILUT_EPS_EXCL",IQ_FY))</f>
        <v>5.46</v>
      </c>
      <c r="G2667" s="15">
        <f>IF(A2666=A2667,_xll.ciqfunctions.udf.CIQ(A2658,"IQ_EBITDA_MARGIN",IQ_FY-1), _xll.ciqfunctions.udf.CIQ(A2658, "IQ_EBITDA_MARGIN",IQ_FY))</f>
        <v>23.7791</v>
      </c>
      <c r="H2667" s="15">
        <f>IF(A2666=A2667,_xll.ciqfunctions.udf.CIQ(A2658,"IQ_TOTAL_DIV_PAID_CF",IQ_FY-1)/-I2667, _xll.ciqfunctions.udf.CIQ(A2658, "IQ_TOTAL_DIV_PAID_CF",IQ_FY)/-I2667)</f>
        <v>0</v>
      </c>
      <c r="I2667" s="17">
        <f>IF(A2666=A2667,_xll.ciqfunctions.udf.CIQ(A2658,"IQ_TOTAL_OUTSTANDING_FILING_DATE",IQ_FY-1), _xll.ciqfunctions.udf.CIQ(A2658, "IQ_TOTAL_OUTSTANDING_FILING_DATE",IQ_FY))</f>
        <v>32.714060000000003</v>
      </c>
      <c r="J2667" s="17">
        <f>IF(A2666=A2667,_xll.ciqfunctions.udf.CIQ(A2658,"IQ_CASH_OPER",IQ_FY-1), _xll.ciqfunctions.udf.CIQ(A2658, "IQ_CASH_OPER",IQ_FY))</f>
        <v>215.607</v>
      </c>
      <c r="K2667" s="17">
        <f>IF(A2666=A2667,_xll.ciqfunctions.udf.CIQ(A2658,"IQ_CAPEX",IQ_FY-1), _xll.ciqfunctions.udf.CIQ(A2658, "IQ_CAPEX",IQ_FY))</f>
        <v>-10.683</v>
      </c>
      <c r="L2667" s="15">
        <f t="shared" si="708"/>
        <v>6.2640956212710979</v>
      </c>
      <c r="M2667" s="17">
        <f>IF(A2666=A2667,_xll.ciqfunctions.udf.CIQ(A2658,"IQ_TOTAL_DEBT_ISSUED",IQ_FY-1), _xll.ciqfunctions.udf.CIQ(A2658, "IQ_TOTAL_DEBT_ISSUED",IQ_FY))</f>
        <v>0</v>
      </c>
      <c r="N2667" s="17">
        <f>IF(A2666=A2667,_xll.ciqfunctions.udf.CIQ(A2658,"IQ_TOTAL_DEBT_REPAID",IQ_FY-1), _xll.ciqfunctions.udf.CIQ(A2658, "IQ_TOTAL_DEBT_REPAID",IQ_FY))</f>
        <v>-0.98699999999999999</v>
      </c>
      <c r="O2667" s="15">
        <f t="shared" si="709"/>
        <v>-3.0170513840226492E-2</v>
      </c>
      <c r="P2667" s="15">
        <f t="shared" si="710"/>
        <v>6.2339251074308715</v>
      </c>
      <c r="Q2667" s="25" t="s">
        <v>44</v>
      </c>
      <c r="R2667" s="38" t="s">
        <v>35</v>
      </c>
      <c r="S2667" s="1">
        <f>_xll.ciqfunctions.udf.CIQ(A2658,"IQ_TEV_EBITDA")</f>
        <v>14.678710000000001</v>
      </c>
      <c r="U2667" s="25" t="s">
        <v>55</v>
      </c>
      <c r="V2667" s="38" t="s">
        <v>53</v>
      </c>
      <c r="W2667" s="1">
        <f>V2657/(AVERAGE(D2663:D2668)/_xlfn.STDEV.P(E2663:E2668))</f>
        <v>1.5076178254304551</v>
      </c>
      <c r="Y2667" s="25" t="s">
        <v>57</v>
      </c>
      <c r="Z2667" s="38" t="s">
        <v>53</v>
      </c>
      <c r="AA2667" s="1">
        <f>Z2657/(AVERAGE(D2663:D2668)/_xlfn.STDEV.P(E2663:E2668))</f>
        <v>1.5076178254304551</v>
      </c>
    </row>
    <row r="2668" spans="1:27">
      <c r="B2668" s="13">
        <v>11</v>
      </c>
      <c r="C2668" s="20" t="s">
        <v>36</v>
      </c>
      <c r="D2668" s="21" cm="1">
        <f t="array" ref="D2668">_xlfn.SINGLE(IF(A2666=A2667,_xll.ciqfunctions.udf.CIQ(A2658,"IQ_TOTAL_REV",IQ_FY)/I2668, _xll.ciqfunctions.udf.CIQ(A2658, "IQ_TOTAL_REV",IQ_LTM)/I2668))</f>
        <v>33.174084341197762</v>
      </c>
      <c r="E2668" s="22">
        <f t="shared" si="711"/>
        <v>0.1796318965726057</v>
      </c>
      <c r="F2668" s="21">
        <f>IF(A2666=A2667,_xll.ciqfunctions.udf.CIQ(A2658,"IQ_DILUT_EPS_EXCL",IQ_FY), _xll.ciqfunctions.udf.CIQ(A2658, "IQ_DILUT_EPS_EXCL",IQ_LTM))</f>
        <v>6.9939400000000003</v>
      </c>
      <c r="G2668" s="21">
        <f>IF(A2666=A2667,_xll.ciqfunctions.udf.CIQ(A2658,"IQ_EBITDA_MARGIN",IQ_FY), _xll.ciqfunctions.udf.CIQ(A2658, "IQ_EBITDA_MARGIN",IQ_LTM))</f>
        <v>23.0229</v>
      </c>
      <c r="H2668" s="21">
        <f>IF(A2666=A2667,_xll.ciqfunctions.udf.CIQ(A2658,"IQ_TOTAL_DIV_PAID_CF",IQ_FY)/-I2668, _xll.ciqfunctions.udf.CIQ(A2658, "IQ_TOTAL_DIV_PAID_CF",IQ_LTM)/-I2668)</f>
        <v>0</v>
      </c>
      <c r="I2668" s="23">
        <f>IF(A2666=A2667,_xll.ciqfunctions.udf.CIQ(A2658,"IQ_TOTAL_OUTSTANDING_FILING_DATE",IQ_FY),_xll.ciqfunctions.udf.CIQ(A2658,"IQ_sharesoutstanding"))</f>
        <v>32.747459999999997</v>
      </c>
      <c r="J2668" s="23">
        <f>IF(A2666=A2667,_xll.ciqfunctions.udf.CIQ(A2658,"IQ_CASH_OPER",IQ_FY), _xll.ciqfunctions.udf.CIQ(A2658, "IQ_CASH_OPER",IQ_LTM))</f>
        <v>213.678</v>
      </c>
      <c r="K2668" s="23">
        <f>IF(A2666=A2667,_xll.ciqfunctions.udf.CIQ(A2658,"IQ_CAPEX",IQ_FY), _xll.ciqfunctions.udf.CIQ(A2658, "IQ_CAPEX",IQ_LTM))</f>
        <v>-14.31</v>
      </c>
      <c r="L2668" s="21">
        <f t="shared" si="708"/>
        <v>6.0880446910997073</v>
      </c>
      <c r="M2668" s="23">
        <f>IF(A2666=A2667,_xll.ciqfunctions.udf.CIQ(A2658,"IQ_TOTAL_DEBT_ISSUED",IQ_FY), _xll.ciqfunctions.udf.CIQ(A2658, "IQ_TOTAL_DEBT_ISSUED",IQ_LTM))</f>
        <v>0</v>
      </c>
      <c r="N2668" s="23">
        <f>IF(A2666=A2667,_xll.ciqfunctions.udf.CIQ(A2658,"IQ_TOTAL_DEBT_REPAID",IQ_FY), _xll.ciqfunctions.udf.CIQ(A2658, "IQ_TOTAL_DEBT_REPAID",IQ_LTM))</f>
        <v>-1.1739999999999999</v>
      </c>
      <c r="O2668" s="21">
        <f t="shared" si="709"/>
        <v>-3.5850108680184664E-2</v>
      </c>
      <c r="P2668" s="21">
        <f t="shared" si="710"/>
        <v>6.0521945824195225</v>
      </c>
      <c r="Q2668" s="25" t="s">
        <v>45</v>
      </c>
      <c r="S2668" s="45"/>
      <c r="U2668" s="25"/>
      <c r="W2668" s="45"/>
      <c r="Y2668" s="25"/>
      <c r="AA2668" s="45"/>
    </row>
    <row r="2669" spans="1:27">
      <c r="B2669" s="24"/>
      <c r="C2669" s="25" t="s">
        <v>37</v>
      </c>
      <c r="E2669" s="26">
        <f>((D2668/D2663)^(1/5))-1</f>
        <v>0.19668996766452795</v>
      </c>
      <c r="F2669" s="27">
        <f>((F2668/F2663)^(1/5))-1</f>
        <v>0.3895610327296275</v>
      </c>
      <c r="G2669" s="28"/>
      <c r="H2669" s="27" t="e">
        <f>((H2668/H2663)^(1/5))-1</f>
        <v>#DIV/0!</v>
      </c>
      <c r="I2669" s="27">
        <f>((I2668/I2663)^(1/5))-1</f>
        <v>3.7503310658326683E-5</v>
      </c>
      <c r="J2669" s="27"/>
      <c r="K2669" s="27"/>
      <c r="L2669" s="26">
        <f>((L2668/L2663)^(1/5))-1</f>
        <v>0.36379615159162637</v>
      </c>
      <c r="M2669" s="26"/>
      <c r="N2669" s="26"/>
      <c r="O2669" s="26"/>
      <c r="P2669" s="26">
        <f>((P2668/P2663)^(1/5))-1</f>
        <v>0.36218618273601266</v>
      </c>
      <c r="Q2669" s="18"/>
      <c r="R2669" s="36"/>
      <c r="S2669" s="45"/>
      <c r="U2669" s="18"/>
      <c r="V2669" s="36"/>
      <c r="W2669" s="45"/>
      <c r="Y2669" s="18"/>
      <c r="Z2669" s="36"/>
      <c r="AA2669" s="45"/>
    </row>
    <row r="2670" spans="1:27">
      <c r="A2670" s="29"/>
      <c r="B2670" s="30"/>
      <c r="C2670" s="31" t="s">
        <v>38</v>
      </c>
      <c r="D2670" s="29"/>
      <c r="E2670" s="32">
        <f>((D2668/D2658)^(1/10))-1</f>
        <v>0.16721016648757914</v>
      </c>
      <c r="F2670" s="33" t="e">
        <f>((F2668/F2658)^(1/10))-1</f>
        <v>#NUM!</v>
      </c>
      <c r="G2670" s="34"/>
      <c r="H2670" s="33" t="e">
        <f>((H2668/H2658)^(1/10))-1</f>
        <v>#DIV/0!</v>
      </c>
      <c r="I2670" s="33">
        <f>((I2668/I2658)^(1/10))-1</f>
        <v>1.6961719145692777E-2</v>
      </c>
      <c r="J2670" s="33"/>
      <c r="K2670" s="33"/>
      <c r="L2670" s="32" t="e">
        <f>((L2668/L2658)^(1/10))-1</f>
        <v>#NUM!</v>
      </c>
      <c r="M2670" s="32"/>
      <c r="N2670" s="32"/>
      <c r="O2670" s="32"/>
      <c r="P2670" s="32" t="e">
        <f>((P2668/P2658)^(1/10))-1</f>
        <v>#NUM!</v>
      </c>
      <c r="Q2670" s="40"/>
      <c r="R2670" s="41"/>
      <c r="S2670" s="46"/>
      <c r="U2670" s="40"/>
      <c r="V2670" s="41"/>
      <c r="W2670" s="46"/>
      <c r="Y2670" s="40"/>
      <c r="Z2670" s="41"/>
      <c r="AA2670" s="46"/>
    </row>
    <row r="2671" spans="1:27">
      <c r="B2671" s="24"/>
      <c r="C2671" s="25"/>
      <c r="E2671" s="26"/>
      <c r="F2671" s="27"/>
      <c r="G2671" s="28"/>
      <c r="H2671" s="27"/>
      <c r="I2671" s="27"/>
      <c r="J2671" s="27"/>
      <c r="K2671" s="27"/>
      <c r="L2671" s="26"/>
      <c r="M2671" s="17"/>
      <c r="N2671" s="17"/>
      <c r="O2671" s="17"/>
      <c r="P2671" s="35"/>
      <c r="Q2671" s="18"/>
      <c r="R2671" s="36"/>
    </row>
    <row r="2672" spans="1:27">
      <c r="A2672" s="9" t="s">
        <v>0</v>
      </c>
      <c r="B2672" s="10"/>
      <c r="C2672" s="9" t="s">
        <v>1</v>
      </c>
      <c r="D2672" s="9" t="s">
        <v>2</v>
      </c>
      <c r="E2672" s="9" t="s">
        <v>3</v>
      </c>
      <c r="F2672" s="11" t="s">
        <v>4</v>
      </c>
      <c r="G2672" s="11" t="s">
        <v>5</v>
      </c>
      <c r="H2672" s="9" t="s">
        <v>6</v>
      </c>
      <c r="I2672" s="11" t="s">
        <v>7</v>
      </c>
      <c r="J2672" s="11" t="s">
        <v>8</v>
      </c>
      <c r="K2672" s="11" t="s">
        <v>9</v>
      </c>
      <c r="L2672" s="11" t="s">
        <v>10</v>
      </c>
      <c r="M2672" s="11" t="s">
        <v>11</v>
      </c>
      <c r="N2672" s="11" t="s">
        <v>12</v>
      </c>
      <c r="O2672" s="11" t="s">
        <v>13</v>
      </c>
      <c r="P2672" s="11" t="s">
        <v>14</v>
      </c>
      <c r="Q2672" s="37" t="s">
        <v>15</v>
      </c>
      <c r="R2672" s="42">
        <f>_xll.ciqfunctions.udf.CIQ(A2673,("IQ_LASTSALEPRICE"))</f>
        <v>29.1</v>
      </c>
      <c r="S2672" s="44"/>
      <c r="U2672" s="37" t="s">
        <v>15</v>
      </c>
      <c r="V2672" s="42">
        <f>_xll.ciqfunctions.udf.CIQ(A2673,("IQ_LASTSALEPRICE"))</f>
        <v>29.1</v>
      </c>
      <c r="W2672" s="44"/>
      <c r="Y2672" s="37" t="s">
        <v>15</v>
      </c>
      <c r="Z2672" s="42">
        <f>_xll.ciqfunctions.udf.CIQ(A2673,("IQ_LASTSALEPRICE"))</f>
        <v>29.1</v>
      </c>
      <c r="AA2672" s="44"/>
    </row>
    <row r="2673" spans="1:27">
      <c r="A2673" s="12" t="str">
        <f>Analysis!B180</f>
        <v>NasdaqGS:VECO</v>
      </c>
      <c r="B2673" s="13">
        <v>1</v>
      </c>
      <c r="C2673" s="14" t="s">
        <v>16</v>
      </c>
      <c r="D2673" s="15">
        <f>IF(A2681=A2682,_xll.ciqfunctions.udf.CIQ(A2673,"IQ_TOTAL_REV",IQ_FY-10)/I2673,_xll.ciqfunctions.udf.CIQ(A2673, "IQ_TOTAL_REV",IQ_FY-9)/I2673)</f>
        <v>8.3257291026706657</v>
      </c>
      <c r="E2673" s="16"/>
      <c r="F2673" s="15">
        <f>IF(A2681=A2682,_xll.ciqfunctions.udf.CIQ(A2673,"IQ_DILUT_EPS_EXCL",IQ_FY-10), _xll.ciqfunctions.udf.CIQ(A2673, "IQ_DILUT_EPS_EXCL",IQ_FY-9))</f>
        <v>-1.0900000000000001</v>
      </c>
      <c r="G2673" s="15">
        <f>IF(A2681=A2682,_xll.ciqfunctions.udf.CIQ(A2673,"IQ_EBITDA_MARGIN",IQ_FY-10), _xll.ciqfunctions.udf.CIQ(A2673, "IQ_EBITDA_MARGIN",IQ_FY-9))</f>
        <v>-15.073700000000001</v>
      </c>
      <c r="H2673" s="15">
        <f>IF(A2681=A2682,_xll.ciqfunctions.udf.CIQ(A2673,"IQ_TOTAL_DIV_PAID_CF",IQ_FY-10)/-I2673, _xll.ciqfunctions.udf.CIQ(A2673, "IQ_TOTAL_DIV_PAID_CF",IQ_FY-9)/-I2673)</f>
        <v>0</v>
      </c>
      <c r="I2673" s="17">
        <f>IF(A2681=A2682,_xll.ciqfunctions.udf.CIQ(A2673,"IQ_TOTAL_OUTSTANDING_FILING_DATE",IQ_FY-10), _xll.ciqfunctions.udf.CIQ(A2673, "IQ_TOTAL_OUTSTANDING_FILING_DATE",IQ_FY-9))</f>
        <v>39.846240000000002</v>
      </c>
      <c r="J2673" s="17">
        <f>IF(A2681=A2682,_xll.ciqfunctions.udf.CIQ(A2673,"IQ_CASH_OPER",IQ_FY-10), _xll.ciqfunctions.udf.CIQ(A2673, "IQ_CASH_OPER",IQ_FY-9))</f>
        <v>0.72699999999999998</v>
      </c>
      <c r="K2673" s="17">
        <f>IF(A2681=A2682,_xll.ciqfunctions.udf.CIQ(A2673,"IQ_CAPEX",IQ_FY-10), _xll.ciqfunctions.udf.CIQ(A2673, "IQ_CAPEX",IQ_FY-9))</f>
        <v>-9.1739999999999995</v>
      </c>
      <c r="L2673" s="15">
        <f t="shared" ref="L2673:L2683" si="712">(J2673+K2673)/I2673</f>
        <v>-0.21198988913383041</v>
      </c>
      <c r="M2673" s="17">
        <f>IF(A2681=A2682,_xll.ciqfunctions.udf.CIQ(A2673,"IQ_TOTAL_DEBT_ISSUED",IQ_FY-10), _xll.ciqfunctions.udf.CIQ(A2673, "IQ_TOTAL_DEBT_ISSUED",IQ_FY-9))</f>
        <v>0</v>
      </c>
      <c r="N2673" s="17">
        <f>IF(A2681=A2682,_xll.ciqfunctions.udf.CIQ(A2673,"IQ_TOTAL_DEBT_REPAID",IQ_FY-10), _xll.ciqfunctions.udf.CIQ(A2673, "IQ_TOTAL_DEBT_REPAID",IQ_FY-9))</f>
        <v>-0.26900000000000002</v>
      </c>
      <c r="O2673" s="15">
        <f t="shared" ref="O2673:O2683" si="713">(M2673+N2673)/I2673</f>
        <v>-6.7509506543151875E-3</v>
      </c>
      <c r="P2673" s="15">
        <f t="shared" ref="P2673:P2683" si="714">L2673+O2673</f>
        <v>-0.2187408397881456</v>
      </c>
      <c r="W2673" s="43"/>
      <c r="AA2673" s="43"/>
    </row>
    <row r="2674" spans="1:27">
      <c r="A2674" s="18" t="str">
        <f>_xll.ciqfunctions.udf.CIQ(A2673,"IQ_COMPANY_NAME")</f>
        <v>Veeco Instruments Inc.</v>
      </c>
      <c r="B2674" s="13">
        <v>2</v>
      </c>
      <c r="C2674" s="14" t="s">
        <v>17</v>
      </c>
      <c r="D2674" s="15">
        <f>IF(A2681=A2682,_xll.ciqfunctions.udf.CIQ(A2673,"IQ_TOTAL_REV",IQ_FY-9)/I2674, _xll.ciqfunctions.udf.CIQ(A2673, "IQ_TOTAL_REV",IQ_FY-8)/I2674)</f>
        <v>9.7337925799073179</v>
      </c>
      <c r="E2674" s="16">
        <f t="shared" ref="E2674:E2683" si="715">(D2674-D2673)/D2673</f>
        <v>0.16912194233955849</v>
      </c>
      <c r="F2674" s="15">
        <f>IF(A2681=A2682,_xll.ciqfunctions.udf.CIQ(A2673,"IQ_DILUT_EPS_EXCL",IQ_FY-9), _xll.ciqfunctions.udf.CIQ(A2673, "IQ_DILUT_EPS_EXCL",IQ_FY-8))</f>
        <v>-1.7011400000000001</v>
      </c>
      <c r="G2674" s="15">
        <f>IF(A2681=A2682,_xll.ciqfunctions.udf.CIQ(A2673,"IQ_EBITDA_MARGIN",IQ_FY-9), _xll.ciqfunctions.udf.CIQ(A2673, "IQ_EBITDA_MARGIN",IQ_FY-8))</f>
        <v>-5.3033999999999999</v>
      </c>
      <c r="H2674" s="15">
        <f>IF(A2681=A2682,_xll.ciqfunctions.udf.CIQ(A2673,"IQ_TOTAL_DIV_PAID_CF",IQ_FY-9)/-I2674, _xll.ciqfunctions.udf.CIQ(A2673, "IQ_TOTAL_DIV_PAID_CF",IQ_FY-8)/-I2674)</f>
        <v>0</v>
      </c>
      <c r="I2674" s="17">
        <f>IF(A2681=A2682,_xll.ciqfunctions.udf.CIQ(A2673,"IQ_TOTAL_OUTSTANDING_FILING_DATE",IQ_FY-9), _xll.ciqfunctions.udf.CIQ(A2673, "IQ_TOTAL_OUTSTANDING_FILING_DATE",IQ_FY-8))</f>
        <v>40.361759999999997</v>
      </c>
      <c r="J2674" s="17">
        <f>IF(A2681=A2682,_xll.ciqfunctions.udf.CIQ(A2673,"IQ_CASH_OPER",IQ_FY-9), _xll.ciqfunctions.udf.CIQ(A2673, "IQ_CASH_OPER",IQ_FY-8))</f>
        <v>42.069000000000003</v>
      </c>
      <c r="K2674" s="17">
        <f>IF(A2681=A2682,_xll.ciqfunctions.udf.CIQ(A2673,"IQ_CAPEX",IQ_FY-9), _xll.ciqfunctions.udf.CIQ(A2673, "IQ_CAPEX",IQ_FY-8))</f>
        <v>-15.587999999999999</v>
      </c>
      <c r="L2674" s="15">
        <f t="shared" si="712"/>
        <v>0.65609131019063593</v>
      </c>
      <c r="M2674" s="17">
        <f>IF(A2681=A2682,_xll.ciqfunctions.udf.CIQ(A2673,"IQ_TOTAL_DEBT_ISSUED",IQ_FY-9), _xll.ciqfunctions.udf.CIQ(A2673, "IQ_TOTAL_DEBT_ISSUED",IQ_FY-8))</f>
        <v>0</v>
      </c>
      <c r="N2674" s="17">
        <f>IF(A2681=A2682,_xll.ciqfunctions.udf.CIQ(A2673,"IQ_TOTAL_DEBT_REPAID",IQ_FY-9), _xll.ciqfunctions.udf.CIQ(A2673, "IQ_TOTAL_DEBT_REPAID",IQ_FY-8))</f>
        <v>-0.28999999999999998</v>
      </c>
      <c r="O2674" s="15">
        <f t="shared" si="713"/>
        <v>-7.1850186909589676E-3</v>
      </c>
      <c r="P2674" s="15">
        <f t="shared" si="714"/>
        <v>0.64890629149967693</v>
      </c>
      <c r="Q2674" s="25" t="s">
        <v>18</v>
      </c>
      <c r="R2674" s="39" t="s">
        <v>19</v>
      </c>
      <c r="S2674" s="1">
        <f>R2672/((AVERAGE(P2678:P2683))*(1+E2684)^3)</f>
        <v>205.44406389571432</v>
      </c>
      <c r="U2674" s="25" t="s">
        <v>48</v>
      </c>
      <c r="V2674" s="39" t="s">
        <v>19</v>
      </c>
      <c r="W2674" s="1">
        <f>V2672/((AVERAGE(P2678:P2683))*(1+E2684)^3)</f>
        <v>205.44406389571432</v>
      </c>
      <c r="Y2674" s="25" t="s">
        <v>39</v>
      </c>
      <c r="Z2674" s="39" t="s">
        <v>19</v>
      </c>
      <c r="AA2674" s="1">
        <f>Z2672/((AVERAGE(P2678:P2683))*(1+E2684)^3)</f>
        <v>205.44406389571432</v>
      </c>
    </row>
    <row r="2675" spans="1:27">
      <c r="B2675" s="13">
        <v>3</v>
      </c>
      <c r="C2675" s="14" t="s">
        <v>20</v>
      </c>
      <c r="D2675" s="15" cm="1">
        <f t="array" ref="D2675">_xlfn.SINGLE(IF(A2681=A2682,_xll.ciqfunctions.udf.CIQ(A2673,"IQ_TOTAL_REV",IQ_FY-8)/I2675, _xll.ciqfunctions.udf.CIQ(A2673, "IQ_TOTAL_REV",IQ_FY-7)/I2675))</f>
        <v>11.934295055817781</v>
      </c>
      <c r="E2675" s="16">
        <f t="shared" si="715"/>
        <v>0.22606835494448307</v>
      </c>
      <c r="F2675" s="15">
        <f>IF(A2681=A2682,_xll.ciqfunctions.udf.CIQ(A2673,"IQ_DILUT_EPS_EXCL",IQ_FY-8), _xll.ciqfunctions.udf.CIQ(A2673, "IQ_DILUT_EPS_EXCL",IQ_FY-7))</f>
        <v>-0.80464000000000002</v>
      </c>
      <c r="G2675" s="15">
        <f>IF(A2681=A2682,_xll.ciqfunctions.udf.CIQ(A2673,"IQ_EBITDA_MARGIN",IQ_FY-8), _xll.ciqfunctions.udf.CIQ(A2673, "IQ_EBITDA_MARGIN",IQ_FY-7))</f>
        <v>4.4908000000000001</v>
      </c>
      <c r="H2675" s="15">
        <f>IF(A2681=A2682,_xll.ciqfunctions.udf.CIQ(A2673,"IQ_TOTAL_DIV_PAID_CF",IQ_FY-8)/-I2675, _xll.ciqfunctions.udf.CIQ(A2673, "IQ_TOTAL_DIV_PAID_CF",IQ_FY-7)/-I2675)</f>
        <v>0</v>
      </c>
      <c r="I2675" s="17">
        <f>IF(A2681=A2682,_xll.ciqfunctions.udf.CIQ(A2673,"IQ_TOTAL_OUTSTANDING_FILING_DATE",IQ_FY-8), _xll.ciqfunctions.udf.CIQ(A2673, "IQ_TOTAL_OUTSTANDING_FILING_DATE",IQ_FY-7))</f>
        <v>39.972029999999997</v>
      </c>
      <c r="J2675" s="17">
        <f>IF(A2681=A2682,_xll.ciqfunctions.udf.CIQ(A2673,"IQ_CASH_OPER",IQ_FY-8), _xll.ciqfunctions.udf.CIQ(A2673, "IQ_CASH_OPER",IQ_FY-7))</f>
        <v>15.789</v>
      </c>
      <c r="K2675" s="17">
        <f>IF(A2681=A2682,_xll.ciqfunctions.udf.CIQ(A2673,"IQ_CAPEX",IQ_FY-8), _xll.ciqfunctions.udf.CIQ(A2673, "IQ_CAPEX",IQ_FY-7))</f>
        <v>-13.887</v>
      </c>
      <c r="L2675" s="15">
        <f t="shared" si="712"/>
        <v>4.7583272603367893E-2</v>
      </c>
      <c r="M2675" s="17">
        <f>IF(A2681=A2682,_xll.ciqfunctions.udf.CIQ(A2673,"IQ_TOTAL_DEBT_ISSUED",IQ_FY-8), _xll.ciqfunctions.udf.CIQ(A2673, "IQ_TOTAL_DEBT_ISSUED",IQ_FY-7))</f>
        <v>0</v>
      </c>
      <c r="N2675" s="17">
        <f>IF(A2681=A2682,_xll.ciqfunctions.udf.CIQ(A2673,"IQ_TOTAL_DEBT_REPAID",IQ_FY-8), _xll.ciqfunctions.udf.CIQ(A2673, "IQ_TOTAL_DEBT_REPAID",IQ_FY-7))</f>
        <v>-0.314</v>
      </c>
      <c r="O2675" s="15">
        <f t="shared" si="713"/>
        <v>-7.8554929534476996E-3</v>
      </c>
      <c r="P2675" s="15">
        <f t="shared" si="714"/>
        <v>3.9727779649920192E-2</v>
      </c>
      <c r="Q2675" s="25" t="s">
        <v>21</v>
      </c>
      <c r="R2675" s="38" t="s">
        <v>49</v>
      </c>
      <c r="S2675" s="2">
        <f>(R2672*I2683)/1000</f>
        <v>1.6395446340000002</v>
      </c>
      <c r="U2675" s="25" t="s">
        <v>59</v>
      </c>
      <c r="V2675" s="38" t="s">
        <v>49</v>
      </c>
      <c r="W2675" s="2">
        <f>(V2672*I2683)/1000</f>
        <v>1.6395446340000002</v>
      </c>
      <c r="Y2675" s="25" t="s">
        <v>46</v>
      </c>
      <c r="Z2675" s="38" t="s">
        <v>49</v>
      </c>
      <c r="AA2675" s="2">
        <f>(Z2672*I2683)/1000</f>
        <v>1.6395446340000002</v>
      </c>
    </row>
    <row r="2676" spans="1:27">
      <c r="A2676" s="18"/>
      <c r="B2676" s="13">
        <v>4</v>
      </c>
      <c r="C2676" s="14" t="s">
        <v>22</v>
      </c>
      <c r="D2676" s="15" cm="1">
        <f t="array" ref="D2676">_xlfn.SINGLE(IF(A2681=A2682,_xll.ciqfunctions.udf.CIQ(A2673,"IQ_TOTAL_REV",IQ_FY-7)/I2676, _xll.ciqfunctions.udf.CIQ(A2673, "IQ_TOTAL_REV",IQ_FY-6)/I2676))</f>
        <v>8.1709237571439726</v>
      </c>
      <c r="E2676" s="16">
        <f t="shared" si="715"/>
        <v>-0.31534089622153461</v>
      </c>
      <c r="F2676" s="15">
        <f>IF(A2681=A2682,_xll.ciqfunctions.udf.CIQ(A2673,"IQ_DILUT_EPS_EXCL",IQ_FY-7), _xll.ciqfunctions.udf.CIQ(A2673, "IQ_DILUT_EPS_EXCL",IQ_FY-6))</f>
        <v>-3.1018599999999998</v>
      </c>
      <c r="G2676" s="15">
        <f>IF(A2681=A2682,_xll.ciqfunctions.udf.CIQ(A2673,"IQ_EBITDA_MARGIN",IQ_FY-7), _xll.ciqfunctions.udf.CIQ(A2673, "IQ_EBITDA_MARGIN",IQ_FY-6))</f>
        <v>-3.9104000000000001</v>
      </c>
      <c r="H2676" s="15">
        <f>IF(A2681=A2682,_xll.ciqfunctions.udf.CIQ(A2673,"IQ_TOTAL_DIV_PAID_CF",IQ_FY-7)/-I2676, _xll.ciqfunctions.udf.CIQ(A2673, "IQ_TOTAL_DIV_PAID_CF",IQ_FY-6)/-I2676)</f>
        <v>0</v>
      </c>
      <c r="I2676" s="17">
        <f>IF(A2681=A2682,_xll.ciqfunctions.udf.CIQ(A2673,"IQ_TOTAL_OUTSTANDING_FILING_DATE",IQ_FY-7), _xll.ciqfunctions.udf.CIQ(A2673, "IQ_TOTAL_OUTSTANDING_FILING_DATE",IQ_FY-6))</f>
        <v>40.595410000000001</v>
      </c>
      <c r="J2676" s="17">
        <f>IF(A2681=A2682,_xll.ciqfunctions.udf.CIQ(A2673,"IQ_CASH_OPER",IQ_FY-7), _xll.ciqfunctions.udf.CIQ(A2673, "IQ_CASH_OPER",IQ_FY-6))</f>
        <v>-23.844000000000001</v>
      </c>
      <c r="K2676" s="17">
        <f>IF(A2681=A2682,_xll.ciqfunctions.udf.CIQ(A2673,"IQ_CAPEX",IQ_FY-7), _xll.ciqfunctions.udf.CIQ(A2673, "IQ_CAPEX",IQ_FY-6))</f>
        <v>-11.478999999999999</v>
      </c>
      <c r="L2676" s="15">
        <f t="shared" si="712"/>
        <v>-0.87012300159057387</v>
      </c>
      <c r="M2676" s="17">
        <f>IF(A2681=A2682,_xll.ciqfunctions.udf.CIQ(A2673,"IQ_TOTAL_DEBT_ISSUED",IQ_FY-7), _xll.ciqfunctions.udf.CIQ(A2673, "IQ_TOTAL_DEBT_ISSUED",IQ_FY-6))</f>
        <v>0</v>
      </c>
      <c r="N2676" s="17">
        <f>IF(A2681=A2682,_xll.ciqfunctions.udf.CIQ(A2673,"IQ_TOTAL_DEBT_REPAID",IQ_FY-7), _xll.ciqfunctions.udf.CIQ(A2673, "IQ_TOTAL_DEBT_REPAID",IQ_FY-6))</f>
        <v>-0.34</v>
      </c>
      <c r="O2676" s="15">
        <f t="shared" si="713"/>
        <v>-8.3753311027034826E-3</v>
      </c>
      <c r="P2676" s="15">
        <f t="shared" si="714"/>
        <v>-0.87849833269327737</v>
      </c>
      <c r="Q2676" s="25" t="s">
        <v>23</v>
      </c>
      <c r="R2676" s="38" t="s">
        <v>24</v>
      </c>
      <c r="S2676" s="1" t="e">
        <f>R2672/(AVERAGE(H2678:H2683)*(1+H2684)/(0.5-H2684))</f>
        <v>#DIV/0!</v>
      </c>
      <c r="U2676" s="25" t="s">
        <v>40</v>
      </c>
      <c r="V2676" s="38" t="s">
        <v>24</v>
      </c>
      <c r="W2676" s="1" t="e">
        <f>V2672/(AVERAGE(H2678:H2683)*(1+H2684)/(0.5-H2684))</f>
        <v>#DIV/0!</v>
      </c>
      <c r="Y2676" s="25" t="s">
        <v>47</v>
      </c>
      <c r="Z2676" s="38" t="s">
        <v>24</v>
      </c>
      <c r="AA2676" s="1" t="e">
        <f>Z2672/(AVERAGE(H2678:H2683)*(1+H2684)/(0.5-H2684))</f>
        <v>#DIV/0!</v>
      </c>
    </row>
    <row r="2677" spans="1:27">
      <c r="B2677" s="13">
        <v>5</v>
      </c>
      <c r="C2677" s="14" t="s">
        <v>25</v>
      </c>
      <c r="D2677" s="15" cm="1">
        <f t="array" ref="D2677">_xlfn.SINGLE(IF(A2681=A2682,_xll.ciqfunctions.udf.CIQ(A2673,"IQ_TOTAL_REV",IQ_FY-6)/I2677, _xll.ciqfunctions.udf.CIQ(A2673, "IQ_TOTAL_REV",IQ_FY-5)/I2677))</f>
        <v>9.8778429744291945</v>
      </c>
      <c r="E2677" s="16">
        <f t="shared" si="715"/>
        <v>0.20890162092050296</v>
      </c>
      <c r="F2677" s="15">
        <f>IF(A2681=A2682,_xll.ciqfunctions.udf.CIQ(A2673,"IQ_DILUT_EPS_EXCL",IQ_FY-6), _xll.ciqfunctions.udf.CIQ(A2673, "IQ_DILUT_EPS_EXCL",IQ_FY-5))</f>
        <v>-1.1634899999999999</v>
      </c>
      <c r="G2677" s="15">
        <f>IF(A2681=A2682,_xll.ciqfunctions.udf.CIQ(A2673,"IQ_EBITDA_MARGIN",IQ_FY-6), _xll.ciqfunctions.udf.CIQ(A2673, "IQ_EBITDA_MARGIN",IQ_FY-5))</f>
        <v>3.9119999999999999</v>
      </c>
      <c r="H2677" s="15">
        <f>IF(A2681=A2682,_xll.ciqfunctions.udf.CIQ(A2673,"IQ_TOTAL_DIV_PAID_CF",IQ_FY-6)/-I2677, _xll.ciqfunctions.udf.CIQ(A2673, "IQ_TOTAL_DIV_PAID_CF",IQ_FY-5)/-I2677)</f>
        <v>0</v>
      </c>
      <c r="I2677" s="17">
        <f>IF(A2681=A2682,_xll.ciqfunctions.udf.CIQ(A2673,"IQ_TOTAL_OUTSTANDING_FILING_DATE",IQ_FY-6), _xll.ciqfunctions.udf.CIQ(A2673, "IQ_TOTAL_OUTSTANDING_FILING_DATE",IQ_FY-5))</f>
        <v>48.156869999999998</v>
      </c>
      <c r="J2677" s="17">
        <f>IF(A2681=A2682,_xll.ciqfunctions.udf.CIQ(A2673,"IQ_CASH_OPER",IQ_FY-6), _xll.ciqfunctions.udf.CIQ(A2673, "IQ_CASH_OPER",IQ_FY-5))</f>
        <v>34.993000000000002</v>
      </c>
      <c r="K2677" s="17">
        <f>IF(A2681=A2682,_xll.ciqfunctions.udf.CIQ(A2673,"IQ_CAPEX",IQ_FY-6), _xll.ciqfunctions.udf.CIQ(A2673, "IQ_CAPEX",IQ_FY-5))</f>
        <v>-24.271999999999998</v>
      </c>
      <c r="L2677" s="15">
        <f t="shared" si="712"/>
        <v>0.22262659512547231</v>
      </c>
      <c r="M2677" s="17">
        <f>IF(A2681=A2682,_xll.ciqfunctions.udf.CIQ(A2673,"IQ_TOTAL_DEBT_ISSUED",IQ_FY-6), _xll.ciqfunctions.udf.CIQ(A2673, "IQ_TOTAL_DEBT_ISSUED",IQ_FY-5))</f>
        <v>335.75200000000001</v>
      </c>
      <c r="N2677" s="17">
        <f>IF(A2681=A2682,_xll.ciqfunctions.udf.CIQ(A2673,"IQ_TOTAL_DEBT_REPAID",IQ_FY-6), _xll.ciqfunctions.udf.CIQ(A2673, "IQ_TOTAL_DEBT_REPAID",IQ_FY-5))</f>
        <v>-1.194</v>
      </c>
      <c r="O2677" s="15">
        <f t="shared" si="713"/>
        <v>6.9472538393795116</v>
      </c>
      <c r="P2677" s="15">
        <f t="shared" si="714"/>
        <v>7.169880434504984</v>
      </c>
      <c r="Q2677" s="18"/>
      <c r="R2677" s="38" t="s">
        <v>50</v>
      </c>
      <c r="S2677" s="3">
        <f>I2684</f>
        <v>3.2400097390630656E-2</v>
      </c>
      <c r="U2677" s="18"/>
      <c r="V2677" s="38" t="s">
        <v>50</v>
      </c>
      <c r="W2677" s="3">
        <f>I2684</f>
        <v>3.2400097390630656E-2</v>
      </c>
      <c r="Y2677" s="18"/>
      <c r="Z2677" s="38" t="s">
        <v>50</v>
      </c>
      <c r="AA2677" s="3">
        <f>I2684</f>
        <v>3.2400097390630656E-2</v>
      </c>
    </row>
    <row r="2678" spans="1:27">
      <c r="B2678" s="13">
        <v>6</v>
      </c>
      <c r="C2678" s="14" t="s">
        <v>26</v>
      </c>
      <c r="D2678" s="15" cm="1">
        <f t="array" ref="D2678">_xlfn.SINGLE(IF(A2681=A2682,_xll.ciqfunctions.udf.CIQ(A2673,"IQ_TOTAL_REV",IQ_FY-5)/I2678, _xll.ciqfunctions.udf.CIQ(A2673, "IQ_TOTAL_REV",IQ_FY-4)/I2678))</f>
        <v>11.284307588673018</v>
      </c>
      <c r="E2678" s="16">
        <f t="shared" si="715"/>
        <v>0.14238580405506984</v>
      </c>
      <c r="F2678" s="15">
        <f>IF(A2681=A2682,_xll.ciqfunctions.udf.CIQ(A2673,"IQ_DILUT_EPS_EXCL",IQ_FY-5), _xll.ciqfunctions.udf.CIQ(A2673, "IQ_DILUT_EPS_EXCL",IQ_FY-4))</f>
        <v>-8.6337100000000007</v>
      </c>
      <c r="G2678" s="15">
        <f>IF(A2681=A2682,_xll.ciqfunctions.udf.CIQ(A2673,"IQ_EBITDA_MARGIN",IQ_FY-5), _xll.ciqfunctions.udf.CIQ(A2673, "IQ_EBITDA_MARGIN",IQ_FY-4))</f>
        <v>3.8473000000000002</v>
      </c>
      <c r="H2678" s="15">
        <f>IF(A2681=A2682,_xll.ciqfunctions.udf.CIQ(A2673,"IQ_TOTAL_DIV_PAID_CF",IQ_FY-5)/-I2678, _xll.ciqfunctions.udf.CIQ(A2673, "IQ_TOTAL_DIV_PAID_CF",IQ_FY-4)/-I2678)</f>
        <v>0</v>
      </c>
      <c r="I2678" s="17">
        <f>IF(A2681=A2682,_xll.ciqfunctions.udf.CIQ(A2673,"IQ_TOTAL_OUTSTANDING_FILING_DATE",IQ_FY-5), _xll.ciqfunctions.udf.CIQ(A2673, "IQ_TOTAL_OUTSTANDING_FILING_DATE",IQ_FY-4))</f>
        <v>48.03857</v>
      </c>
      <c r="J2678" s="17">
        <f>IF(A2681=A2682,_xll.ciqfunctions.udf.CIQ(A2673,"IQ_CASH_OPER",IQ_FY-5), _xll.ciqfunctions.udf.CIQ(A2673, "IQ_CASH_OPER",IQ_FY-4))</f>
        <v>-37.738</v>
      </c>
      <c r="K2678" s="17">
        <f>IF(A2681=A2682,_xll.ciqfunctions.udf.CIQ(A2673,"IQ_CAPEX",IQ_FY-5), _xll.ciqfunctions.udf.CIQ(A2673, "IQ_CAPEX",IQ_FY-4))</f>
        <v>-12.654</v>
      </c>
      <c r="L2678" s="15">
        <f t="shared" si="712"/>
        <v>-1.0489904258182539</v>
      </c>
      <c r="M2678" s="17">
        <f>IF(A2681=A2682,_xll.ciqfunctions.udf.CIQ(A2673,"IQ_TOTAL_DEBT_ISSUED",IQ_FY-5), _xll.ciqfunctions.udf.CIQ(A2673, "IQ_TOTAL_DEBT_ISSUED",IQ_FY-4))</f>
        <v>0</v>
      </c>
      <c r="N2678" s="17">
        <f>IF(A2681=A2682,_xll.ciqfunctions.udf.CIQ(A2673,"IQ_TOTAL_DEBT_REPAID",IQ_FY-5), _xll.ciqfunctions.udf.CIQ(A2673, "IQ_TOTAL_DEBT_REPAID",IQ_FY-4))</f>
        <v>0</v>
      </c>
      <c r="O2678" s="15">
        <f t="shared" si="713"/>
        <v>0</v>
      </c>
      <c r="P2678" s="15">
        <f t="shared" si="714"/>
        <v>-1.0489904258182539</v>
      </c>
      <c r="Q2678" s="25" t="s">
        <v>27</v>
      </c>
      <c r="R2678" s="38" t="s">
        <v>51</v>
      </c>
      <c r="S2678" s="4">
        <f>AVERAGE(F2678:F2683)/AVERAGE(D2678:D2683)</f>
        <v>-9.0722040739368778E-2</v>
      </c>
      <c r="U2678" s="25" t="s">
        <v>58</v>
      </c>
      <c r="V2678" s="38" t="s">
        <v>51</v>
      </c>
      <c r="W2678" s="4">
        <f>AVERAGE(F2678:F2683)/AVERAGE(D2678:D2683)</f>
        <v>-9.0722040739368778E-2</v>
      </c>
      <c r="Y2678" s="25" t="s">
        <v>56</v>
      </c>
      <c r="Z2678" s="38" t="s">
        <v>51</v>
      </c>
      <c r="AA2678" s="4">
        <f>AVERAGE(F2678:F2683)/AVERAGE(D2678:D2683)</f>
        <v>-9.0722040739368778E-2</v>
      </c>
    </row>
    <row r="2679" spans="1:27">
      <c r="A2679" s="18"/>
      <c r="B2679" s="13">
        <v>7</v>
      </c>
      <c r="C2679" s="14" t="s">
        <v>28</v>
      </c>
      <c r="D2679" s="15" cm="1">
        <f t="array" ref="D2679">_xlfn.SINGLE(IF(A2681=A2682,_xll.ciqfunctions.udf.CIQ(A2673,"IQ_TOTAL_REV",IQ_FY-4)/I2679, _xll.ciqfunctions.udf.CIQ(A2673, "IQ_TOTAL_REV",IQ_FY-3)/I2679))</f>
        <v>8.5581393640247487</v>
      </c>
      <c r="E2679" s="16">
        <f t="shared" si="715"/>
        <v>-0.24158932244852552</v>
      </c>
      <c r="F2679" s="15">
        <f>IF(A2681=A2682,_xll.ciqfunctions.udf.CIQ(A2673,"IQ_DILUT_EPS_EXCL",IQ_FY-4), _xll.ciqfunctions.udf.CIQ(A2673, "IQ_DILUT_EPS_EXCL",IQ_FY-3))</f>
        <v>-1.66</v>
      </c>
      <c r="G2679" s="15">
        <f>IF(A2681=A2682,_xll.ciqfunctions.udf.CIQ(A2673,"IQ_EBITDA_MARGIN",IQ_FY-4), _xll.ciqfunctions.udf.CIQ(A2673, "IQ_EBITDA_MARGIN",IQ_FY-3))</f>
        <v>1.2504999999999999</v>
      </c>
      <c r="H2679" s="15">
        <f>IF(A2681=A2682,_xll.ciqfunctions.udf.CIQ(A2673,"IQ_TOTAL_DIV_PAID_CF",IQ_FY-4)/-I2679, _xll.ciqfunctions.udf.CIQ(A2673, "IQ_TOTAL_DIV_PAID_CF",IQ_FY-3)/-I2679)</f>
        <v>0</v>
      </c>
      <c r="I2679" s="17">
        <f>IF(A2681=A2682,_xll.ciqfunctions.udf.CIQ(A2673,"IQ_TOTAL_OUTSTANDING_FILING_DATE",IQ_FY-4), _xll.ciqfunctions.udf.CIQ(A2673, "IQ_TOTAL_OUTSTANDING_FILING_DATE",IQ_FY-3))</f>
        <v>49.000019999999999</v>
      </c>
      <c r="J2679" s="17">
        <f>IF(A2681=A2682,_xll.ciqfunctions.udf.CIQ(A2673,"IQ_CASH_OPER",IQ_FY-4), _xll.ciqfunctions.udf.CIQ(A2673, "IQ_CASH_OPER",IQ_FY-3))</f>
        <v>-7.4160000000000004</v>
      </c>
      <c r="K2679" s="17">
        <f>IF(A2681=A2682,_xll.ciqfunctions.udf.CIQ(A2673,"IQ_CAPEX",IQ_FY-4), _xll.ciqfunctions.udf.CIQ(A2673, "IQ_CAPEX",IQ_FY-3))</f>
        <v>-10.872999999999999</v>
      </c>
      <c r="L2679" s="15">
        <f t="shared" si="712"/>
        <v>-0.37324474561438958</v>
      </c>
      <c r="M2679" s="17">
        <f>IF(A2681=A2682,_xll.ciqfunctions.udf.CIQ(A2673,"IQ_TOTAL_DEBT_ISSUED",IQ_FY-4), _xll.ciqfunctions.udf.CIQ(A2673, "IQ_TOTAL_DEBT_ISSUED",IQ_FY-3))</f>
        <v>0</v>
      </c>
      <c r="N2679" s="17">
        <f>IF(A2681=A2682,_xll.ciqfunctions.udf.CIQ(A2673,"IQ_TOTAL_DEBT_REPAID",IQ_FY-4), _xll.ciqfunctions.udf.CIQ(A2673, "IQ_TOTAL_DEBT_REPAID",IQ_FY-3))</f>
        <v>0</v>
      </c>
      <c r="O2679" s="15">
        <f t="shared" si="713"/>
        <v>0</v>
      </c>
      <c r="P2679" s="15">
        <f t="shared" si="714"/>
        <v>-0.37324474561438958</v>
      </c>
      <c r="Q2679" s="18"/>
      <c r="R2679" s="38" t="s">
        <v>29</v>
      </c>
      <c r="S2679" s="4">
        <f>(AVERAGE(P2678:P2683)/_xlfn.STDEV.P(P2678:P2683))/(IF(A2681=A2682,(_xlfn.SINGLE(_xll.ciqfunctions.udf.CIQ(A2673,"IQ_total_assets",IQ_FY)) - _xlfn.SINGLE(_xll.ciqfunctions.udf.CIQ(A2673,"iq_gw_intan", IQ_FY)))/I2683, (_xlfn.SINGLE(_xll.ciqfunctions.udf.CIQ(A2673, "IQ_total_assets",IQ_LTM))-_xlfn.SINGLE(_xll.ciqfunctions.udf.CIQ(A2673,"iq_gw_intan",IQ_LTM)))/I2683))</f>
        <v>6.2567758580600197E-3</v>
      </c>
      <c r="U2679" s="18"/>
      <c r="V2679" s="38" t="s">
        <v>29</v>
      </c>
      <c r="W2679" s="4">
        <f>(AVERAGE(P2678:P2683)/_xlfn.STDEV.P(P2678:P2683))/(IF(A2681=A2682,(_xlfn.SINGLE(_xll.ciqfunctions.udf.CIQ(A2673,"IQ_total_assets",IQ_FY)) - _xlfn.SINGLE(_xll.ciqfunctions.udf.CIQ(A2673,"iq_gw_intan", IQ_FY)))/I2683, (_xlfn.SINGLE(_xll.ciqfunctions.udf.CIQ(A2673, "IQ_total_assets",IQ_LTM))-_xlfn.SINGLE(_xll.ciqfunctions.udf.CIQ(A2673,"iq_gw_intan",IQ_LTM)))/I2683))</f>
        <v>6.2567758580600197E-3</v>
      </c>
      <c r="Y2679" s="18"/>
      <c r="Z2679" s="38" t="s">
        <v>29</v>
      </c>
      <c r="AA2679" s="4">
        <f>(AVERAGE(P2678:P2683)/_xlfn.STDEV.P(P2678:P2683))/(IF(A2681=A2682,(_xlfn.SINGLE(_xll.ciqfunctions.udf.CIQ(A2673,"IQ_total_assets",IQ_FY)) - _xlfn.SINGLE(_xll.ciqfunctions.udf.CIQ(A2673,"iq_gw_intan", IQ_FY)))/I2683, (_xlfn.SINGLE(_xll.ciqfunctions.udf.CIQ(A2673, "IQ_total_assets",IQ_LTM))-_xlfn.SINGLE(_xll.ciqfunctions.udf.CIQ(A2673,"iq_gw_intan",IQ_LTM)))/I2683))</f>
        <v>6.2567758580600197E-3</v>
      </c>
    </row>
    <row r="2680" spans="1:27">
      <c r="A2680" s="18"/>
      <c r="B2680" s="13">
        <v>8</v>
      </c>
      <c r="C2680" s="14" t="s">
        <v>30</v>
      </c>
      <c r="D2680" s="15" cm="1">
        <f t="array" ref="D2680">_xlfn.SINGLE(IF(A2681=A2682,_xll.ciqfunctions.udf.CIQ(A2673,"IQ_TOTAL_REV",IQ_FY-3)/I2680, _xll.ciqfunctions.udf.CIQ(A2673, "IQ_TOTAL_REV",IQ_FY-2)/I2680))</f>
        <v>9.1336595333047761</v>
      </c>
      <c r="E2680" s="16">
        <f t="shared" si="715"/>
        <v>6.7248281992146705E-2</v>
      </c>
      <c r="F2680" s="15">
        <f>IF(A2681=A2682,_xll.ciqfunctions.udf.CIQ(A2673,"IQ_DILUT_EPS_EXCL",IQ_FY-3), _xll.ciqfunctions.udf.CIQ(A2673, "IQ_DILUT_EPS_EXCL",IQ_FY-2))</f>
        <v>-0.17349999999999999</v>
      </c>
      <c r="G2680" s="15">
        <f>IF(A2681=A2682,_xll.ciqfunctions.udf.CIQ(A2673,"IQ_EBITDA_MARGIN",IQ_FY-3), _xll.ciqfunctions.udf.CIQ(A2673, "IQ_EBITDA_MARGIN",IQ_FY-2))</f>
        <v>12.030900000000001</v>
      </c>
      <c r="H2680" s="15">
        <f>IF(A2681=A2682,_xll.ciqfunctions.udf.CIQ(A2673,"IQ_TOTAL_DIV_PAID_CF",IQ_FY-3)/-I2680, _xll.ciqfunctions.udf.CIQ(A2673, "IQ_TOTAL_DIV_PAID_CF",IQ_FY-2)/-I2680)</f>
        <v>0</v>
      </c>
      <c r="I2680" s="17">
        <f>IF(A2681=A2682,_xll.ciqfunctions.udf.CIQ(A2673,"IQ_TOTAL_OUTSTANDING_FILING_DATE",IQ_FY-3), _xll.ciqfunctions.udf.CIQ(A2673, "IQ_TOTAL_OUTSTANDING_FILING_DATE",IQ_FY-2))</f>
        <v>49.7241</v>
      </c>
      <c r="J2680" s="17">
        <f>IF(A2681=A2682,_xll.ciqfunctions.udf.CIQ(A2673,"IQ_CASH_OPER",IQ_FY-3), _xll.ciqfunctions.udf.CIQ(A2673, "IQ_CASH_OPER",IQ_FY-2))</f>
        <v>43.021000000000001</v>
      </c>
      <c r="K2680" s="17">
        <f>IF(A2681=A2682,_xll.ciqfunctions.udf.CIQ(A2673,"IQ_CAPEX",IQ_FY-3), _xll.ciqfunctions.udf.CIQ(A2673, "IQ_CAPEX",IQ_FY-2))</f>
        <v>-6.8019999999999996</v>
      </c>
      <c r="L2680" s="15">
        <f t="shared" si="712"/>
        <v>0.72839930737811243</v>
      </c>
      <c r="M2680" s="17">
        <f>IF(A2681=A2682,_xll.ciqfunctions.udf.CIQ(A2673,"IQ_TOTAL_DEBT_ISSUED",IQ_FY-3), _xll.ciqfunctions.udf.CIQ(A2673, "IQ_TOTAL_DEBT_ISSUED",IQ_FY-2))</f>
        <v>120.095</v>
      </c>
      <c r="N2680" s="17">
        <f>IF(A2681=A2682,_xll.ciqfunctions.udf.CIQ(A2673,"IQ_TOTAL_DEBT_REPAID",IQ_FY-3), _xll.ciqfunctions.udf.CIQ(A2673, "IQ_TOTAL_DEBT_REPAID",IQ_FY-2))</f>
        <v>-81.239999999999995</v>
      </c>
      <c r="O2680" s="15">
        <f t="shared" si="713"/>
        <v>0.78141183048059204</v>
      </c>
      <c r="P2680" s="15">
        <f t="shared" si="714"/>
        <v>1.5098111378587045</v>
      </c>
      <c r="Q2680" s="18"/>
      <c r="R2680" s="39" t="s">
        <v>31</v>
      </c>
      <c r="S2680" s="5">
        <f>IF(NOT(D2673&gt;0),FALSE,SLOPE(G2673:G2683,B2673:B2683))</f>
        <v>2.5004163636363637</v>
      </c>
      <c r="U2680" s="18"/>
      <c r="V2680" s="39" t="s">
        <v>31</v>
      </c>
      <c r="W2680" s="5">
        <f>IF(NOT(D2673&gt;0),FALSE,SLOPE(G2673:G2683,B2673:B2683))</f>
        <v>2.5004163636363637</v>
      </c>
      <c r="Y2680" s="18"/>
      <c r="Z2680" s="39" t="s">
        <v>31</v>
      </c>
      <c r="AA2680" s="5" t="b">
        <f>IF(NOT(L2673&gt;0),FALSE,SLOPE(O2673:O2683,J2673:J2683))</f>
        <v>0</v>
      </c>
    </row>
    <row r="2681" spans="1:27">
      <c r="A2681" s="19">
        <f>_xll.ciqfunctions.udf.CIQ(A2673,"IQ_TOTAL_REV",IQ_FY)</f>
        <v>646.13699999999994</v>
      </c>
      <c r="B2681" s="13">
        <v>9</v>
      </c>
      <c r="C2681" s="14" t="s">
        <v>32</v>
      </c>
      <c r="D2681" s="15" cm="1">
        <f t="array" ref="D2681">_xlfn.SINGLE(IF(A2681=A2682,_xll.ciqfunctions.udf.CIQ(A2673,"IQ_TOTAL_REV",IQ_FY-2)/I2681, _xll.ciqfunctions.udf.CIQ(A2673, "IQ_TOTAL_REV",IQ_FY-1)/I2681))</f>
        <v>11.515061180493316</v>
      </c>
      <c r="E2681" s="16">
        <f t="shared" si="715"/>
        <v>0.26072809463775704</v>
      </c>
      <c r="F2681" s="15">
        <f>IF(A2681=A2682,_xll.ciqfunctions.udf.CIQ(A2673,"IQ_DILUT_EPS_EXCL",IQ_FY-2), _xll.ciqfunctions.udf.CIQ(A2673, "IQ_DILUT_EPS_EXCL",IQ_FY-1))</f>
        <v>0.49</v>
      </c>
      <c r="G2681" s="15">
        <f>IF(A2681=A2682,_xll.ciqfunctions.udf.CIQ(A2673,"IQ_EBITDA_MARGIN",IQ_FY-2), _xll.ciqfunctions.udf.CIQ(A2673, "IQ_EBITDA_MARGIN",IQ_FY-1))</f>
        <v>14.2469</v>
      </c>
      <c r="H2681" s="15">
        <f>IF(A2681=A2682,_xll.ciqfunctions.udf.CIQ(A2673,"IQ_TOTAL_DIV_PAID_CF",IQ_FY-2)/-I2681, _xll.ciqfunctions.udf.CIQ(A2673, "IQ_TOTAL_DIV_PAID_CF",IQ_FY-1)/-I2681)</f>
        <v>0</v>
      </c>
      <c r="I2681" s="17">
        <f>IF(A2681=A2682,_xll.ciqfunctions.udf.CIQ(A2673,"IQ_TOTAL_OUTSTANDING_FILING_DATE",IQ_FY-2), _xll.ciqfunctions.udf.CIQ(A2673, "IQ_TOTAL_OUTSTANDING_FILING_DATE",IQ_FY-1))</f>
        <v>50.653399999999998</v>
      </c>
      <c r="J2681" s="17">
        <f>IF(A2681=A2682,_xll.ciqfunctions.udf.CIQ(A2673,"IQ_CASH_OPER",IQ_FY-2), _xll.ciqfunctions.udf.CIQ(A2673, "IQ_CASH_OPER",IQ_FY-1))</f>
        <v>67.742000000000004</v>
      </c>
      <c r="K2681" s="17">
        <f>IF(A2681=A2682,_xll.ciqfunctions.udf.CIQ(A2673,"IQ_CAPEX",IQ_FY-2), _xll.ciqfunctions.udf.CIQ(A2673, "IQ_CAPEX",IQ_FY-1))</f>
        <v>-40.643000000000001</v>
      </c>
      <c r="L2681" s="15">
        <f t="shared" si="712"/>
        <v>0.53498876679551632</v>
      </c>
      <c r="M2681" s="17">
        <f>IF(A2681=A2682,_xll.ciqfunctions.udf.CIQ(A2673,"IQ_TOTAL_DEBT_ISSUED",IQ_FY-2), _xll.ciqfunctions.udf.CIQ(A2673, "IQ_TOTAL_DEBT_ISSUED",IQ_FY-1))</f>
        <v>0</v>
      </c>
      <c r="N2681" s="17">
        <f>IF(A2681=A2682,_xll.ciqfunctions.udf.CIQ(A2673,"IQ_TOTAL_DEBT_REPAID",IQ_FY-2), _xll.ciqfunctions.udf.CIQ(A2673, "IQ_TOTAL_DEBT_REPAID",IQ_FY-1))</f>
        <v>-115.604</v>
      </c>
      <c r="O2681" s="15">
        <f t="shared" si="713"/>
        <v>-2.282255485317866</v>
      </c>
      <c r="P2681" s="15">
        <f t="shared" si="714"/>
        <v>-1.7472667185223498</v>
      </c>
      <c r="Q2681" s="25" t="s">
        <v>33</v>
      </c>
      <c r="R2681" s="38" t="s">
        <v>52</v>
      </c>
      <c r="S2681" s="4">
        <f>(AVERAGE(O2678:O2683)/AVERAGE(P2678:P2683))</f>
        <v>-1.6946568617654729</v>
      </c>
      <c r="U2681" s="25" t="s">
        <v>54</v>
      </c>
      <c r="V2681" s="38" t="s">
        <v>52</v>
      </c>
      <c r="W2681" s="4">
        <f>(AVERAGE(O2678:O2683)/AVERAGE(P2678:P2683))</f>
        <v>-1.6946568617654729</v>
      </c>
      <c r="Y2681" s="25" t="s">
        <v>60</v>
      </c>
      <c r="Z2681" s="38" t="s">
        <v>52</v>
      </c>
      <c r="AA2681" s="4">
        <f>(AVERAGE(O2678:O2683)/AVERAGE(P2678:P2683))</f>
        <v>-1.6946568617654729</v>
      </c>
    </row>
    <row r="2682" spans="1:27">
      <c r="A2682" s="19">
        <f>_xll.ciqfunctions.udf.CIQ(A2673,"IQ_TOTAL_REV",IQ_LTM)</f>
        <v>646.30999999999995</v>
      </c>
      <c r="B2682" s="13">
        <v>10</v>
      </c>
      <c r="C2682" s="14" t="s">
        <v>34</v>
      </c>
      <c r="D2682" s="15" cm="1">
        <f t="array" ref="D2682">_xlfn.SINGLE(IF(A2681=A2682,_xll.ciqfunctions.udf.CIQ(A2673,"IQ_TOTAL_REV",IQ_FY-1)/I2682, _xll.ciqfunctions.udf.CIQ(A2673, "IQ_TOTAL_REV",IQ_FY)/I2682))</f>
        <v>12.50714507902704</v>
      </c>
      <c r="E2682" s="16">
        <f t="shared" si="715"/>
        <v>8.6155330222155449E-2</v>
      </c>
      <c r="F2682" s="15">
        <f>IF(A2681=A2682,_xll.ciqfunctions.udf.CIQ(A2673,"IQ_DILUT_EPS_EXCL",IQ_FY-1), _xll.ciqfunctions.udf.CIQ(A2673, "IQ_DILUT_EPS_EXCL",IQ_FY))</f>
        <v>2.7096800000000001</v>
      </c>
      <c r="G2682" s="15">
        <f>IF(A2681=A2682,_xll.ciqfunctions.udf.CIQ(A2673,"IQ_EBITDA_MARGIN",IQ_FY-1), _xll.ciqfunctions.udf.CIQ(A2673, "IQ_EBITDA_MARGIN",IQ_FY))</f>
        <v>13.454700000000001</v>
      </c>
      <c r="H2682" s="15">
        <f>IF(A2681=A2682,_xll.ciqfunctions.udf.CIQ(A2673,"IQ_TOTAL_DIV_PAID_CF",IQ_FY-1)/-I2682, _xll.ciqfunctions.udf.CIQ(A2673, "IQ_TOTAL_DIV_PAID_CF",IQ_FY)/-I2682)</f>
        <v>0</v>
      </c>
      <c r="I2682" s="17">
        <f>IF(A2681=A2682,_xll.ciqfunctions.udf.CIQ(A2673,"IQ_TOTAL_OUTSTANDING_FILING_DATE",IQ_FY-1), _xll.ciqfunctions.udf.CIQ(A2673, "IQ_TOTAL_OUTSTANDING_FILING_DATE",IQ_FY))</f>
        <v>51.661430000000003</v>
      </c>
      <c r="J2682" s="17">
        <f>IF(A2681=A2682,_xll.ciqfunctions.udf.CIQ(A2673,"IQ_CASH_OPER",IQ_FY-1), _xll.ciqfunctions.udf.CIQ(A2673, "IQ_CASH_OPER",IQ_FY))</f>
        <v>108.483</v>
      </c>
      <c r="K2682" s="17">
        <f>IF(A2681=A2682,_xll.ciqfunctions.udf.CIQ(A2673,"IQ_CAPEX",IQ_FY-1), _xll.ciqfunctions.udf.CIQ(A2673, "IQ_CAPEX",IQ_FY))</f>
        <v>-24.603999999999999</v>
      </c>
      <c r="L2682" s="15">
        <f t="shared" si="712"/>
        <v>1.6236290787924377</v>
      </c>
      <c r="M2682" s="17">
        <f>IF(A2681=A2682,_xll.ciqfunctions.udf.CIQ(A2673,"IQ_TOTAL_DEBT_ISSUED",IQ_FY-1), _xll.ciqfunctions.udf.CIQ(A2673, "IQ_TOTAL_DEBT_ISSUED",IQ_FY))</f>
        <v>0</v>
      </c>
      <c r="N2682" s="17">
        <f>IF(A2681=A2682,_xll.ciqfunctions.udf.CIQ(A2673,"IQ_TOTAL_DEBT_REPAID",IQ_FY-1), _xll.ciqfunctions.udf.CIQ(A2673, "IQ_TOTAL_DEBT_REPAID",IQ_FY))</f>
        <v>0</v>
      </c>
      <c r="O2682" s="15">
        <f t="shared" si="713"/>
        <v>0</v>
      </c>
      <c r="P2682" s="15">
        <f t="shared" si="714"/>
        <v>1.6236290787924377</v>
      </c>
      <c r="Q2682" s="25" t="s">
        <v>44</v>
      </c>
      <c r="R2682" s="38" t="s">
        <v>35</v>
      </c>
      <c r="S2682" s="1">
        <f>_xll.ciqfunctions.udf.CIQ(A2673,"IQ_TEV_EBITDA")</f>
        <v>17.902249999999999</v>
      </c>
      <c r="U2682" s="25" t="s">
        <v>55</v>
      </c>
      <c r="V2682" s="38" t="s">
        <v>53</v>
      </c>
      <c r="W2682" s="1">
        <f>V2672/(AVERAGE(D2678:D2683)/_xlfn.STDEV.P(E2678:E2683))</f>
        <v>0.43731475047504248</v>
      </c>
      <c r="Y2682" s="25" t="s">
        <v>57</v>
      </c>
      <c r="Z2682" s="38" t="s">
        <v>53</v>
      </c>
      <c r="AA2682" s="1">
        <f>Z2672/(AVERAGE(D2678:D2683)/_xlfn.STDEV.P(E2678:E2683))</f>
        <v>0.43731475047504248</v>
      </c>
    </row>
    <row r="2683" spans="1:27">
      <c r="B2683" s="13">
        <v>11</v>
      </c>
      <c r="C2683" s="20" t="s">
        <v>36</v>
      </c>
      <c r="D2683" s="21" cm="1">
        <f t="array" ref="D2683">_xlfn.SINGLE(IF(A2681=A2682,_xll.ciqfunctions.udf.CIQ(A2673,"IQ_TOTAL_REV",IQ_FY)/I2683, _xll.ciqfunctions.udf.CIQ(A2673, "IQ_TOTAL_REV",IQ_LTM)/I2683))</f>
        <v>11.471246716910056</v>
      </c>
      <c r="E2683" s="22">
        <f t="shared" si="715"/>
        <v>-8.282452594669748E-2</v>
      </c>
      <c r="F2683" s="21">
        <f>IF(A2681=A2682,_xll.ciqfunctions.udf.CIQ(A2673,"IQ_DILUT_EPS_EXCL",IQ_FY), _xll.ciqfunctions.udf.CIQ(A2673, "IQ_DILUT_EPS_EXCL",IQ_LTM))</f>
        <v>1.41872</v>
      </c>
      <c r="G2683" s="21">
        <f>IF(A2681=A2682,_xll.ciqfunctions.udf.CIQ(A2673,"IQ_EBITDA_MARGIN",IQ_FY), _xll.ciqfunctions.udf.CIQ(A2673, "IQ_EBITDA_MARGIN",IQ_LTM))</f>
        <v>13.2311</v>
      </c>
      <c r="H2683" s="21">
        <f>IF(A2681=A2682,_xll.ciqfunctions.udf.CIQ(A2673,"IQ_TOTAL_DIV_PAID_CF",IQ_FY)/-I2683, _xll.ciqfunctions.udf.CIQ(A2673, "IQ_TOTAL_DIV_PAID_CF",IQ_LTM)/-I2683)</f>
        <v>0</v>
      </c>
      <c r="I2683" s="23">
        <f>IF(A2681=A2682,_xll.ciqfunctions.udf.CIQ(A2673,"IQ_TOTAL_OUTSTANDING_FILING_DATE",IQ_FY),_xll.ciqfunctions.udf.CIQ(A2673,"IQ_sharesoutstanding"))</f>
        <v>56.341740000000001</v>
      </c>
      <c r="J2683" s="23">
        <f>IF(A2681=A2682,_xll.ciqfunctions.udf.CIQ(A2673,"IQ_CASH_OPER",IQ_FY), _xll.ciqfunctions.udf.CIQ(A2673, "IQ_CASH_OPER",IQ_LTM))</f>
        <v>65.298000000000002</v>
      </c>
      <c r="K2683" s="23">
        <f>IF(A2681=A2682,_xll.ciqfunctions.udf.CIQ(A2673,"IQ_CAPEX",IQ_FY), _xll.ciqfunctions.udf.CIQ(A2673, "IQ_CAPEX",IQ_LTM))</f>
        <v>-20.064</v>
      </c>
      <c r="L2683" s="21">
        <f t="shared" si="712"/>
        <v>0.80285060418794307</v>
      </c>
      <c r="M2683" s="23">
        <f>IF(A2681=A2682,_xll.ciqfunctions.udf.CIQ(A2673,"IQ_TOTAL_DEBT_ISSUED",IQ_FY), _xll.ciqfunctions.udf.CIQ(A2673, "IQ_TOTAL_DEBT_ISSUED",IQ_LTM))</f>
        <v>223.202</v>
      </c>
      <c r="N2683" s="23">
        <f>IF(A2681=A2682,_xll.ciqfunctions.udf.CIQ(A2673,"IQ_TOTAL_DEBT_REPAID",IQ_FY), _xll.ciqfunctions.udf.CIQ(A2673, "IQ_TOTAL_DEBT_REPAID",IQ_LTM))</f>
        <v>-218.99100000000001</v>
      </c>
      <c r="O2683" s="21">
        <f t="shared" si="713"/>
        <v>7.4740325733638757E-2</v>
      </c>
      <c r="P2683" s="21">
        <f t="shared" si="714"/>
        <v>0.87759092992158183</v>
      </c>
      <c r="Q2683" s="25" t="s">
        <v>45</v>
      </c>
      <c r="S2683" s="45"/>
      <c r="U2683" s="25"/>
      <c r="W2683" s="45"/>
      <c r="Y2683" s="25"/>
      <c r="AA2683" s="45"/>
    </row>
    <row r="2684" spans="1:27">
      <c r="B2684" s="24"/>
      <c r="C2684" s="25" t="s">
        <v>37</v>
      </c>
      <c r="E2684" s="26">
        <f>((D2683/D2678)^(1/5))-1</f>
        <v>3.2915186595543489E-3</v>
      </c>
      <c r="F2684" s="27">
        <f>((F2683/F2678)^(1/5))-1</f>
        <v>-1.6968508704084746</v>
      </c>
      <c r="G2684" s="28"/>
      <c r="H2684" s="27" t="e">
        <f>((H2683/H2678)^(1/5))-1</f>
        <v>#DIV/0!</v>
      </c>
      <c r="I2684" s="27">
        <f>((I2683/I2678)^(1/5))-1</f>
        <v>3.2400097390630656E-2</v>
      </c>
      <c r="J2684" s="27"/>
      <c r="K2684" s="27"/>
      <c r="L2684" s="26">
        <f>((L2683/L2678)^(1/5))-1</f>
        <v>-1.9479220874214151</v>
      </c>
      <c r="M2684" s="26"/>
      <c r="N2684" s="26"/>
      <c r="O2684" s="26"/>
      <c r="P2684" s="26">
        <f>((P2683/P2678)^(1/5))-1</f>
        <v>-1.9649484666387009</v>
      </c>
      <c r="Q2684" s="18"/>
      <c r="R2684" s="36"/>
      <c r="S2684" s="45"/>
      <c r="U2684" s="18"/>
      <c r="V2684" s="36"/>
      <c r="W2684" s="45"/>
      <c r="Y2684" s="18"/>
      <c r="Z2684" s="36"/>
      <c r="AA2684" s="45"/>
    </row>
    <row r="2685" spans="1:27">
      <c r="A2685" s="29"/>
      <c r="B2685" s="30"/>
      <c r="C2685" s="31" t="s">
        <v>38</v>
      </c>
      <c r="D2685" s="29"/>
      <c r="E2685" s="32">
        <f>((D2683/D2673)^(1/10))-1</f>
        <v>3.2568410397513681E-2</v>
      </c>
      <c r="F2685" s="33" t="e">
        <f>((F2683/F2673)^(1/10))-1</f>
        <v>#NUM!</v>
      </c>
      <c r="G2685" s="34"/>
      <c r="H2685" s="33" t="e">
        <f>((H2683/H2673)^(1/10))-1</f>
        <v>#DIV/0!</v>
      </c>
      <c r="I2685" s="33">
        <f>((I2683/I2673)^(1/10))-1</f>
        <v>3.5247739482043183E-2</v>
      </c>
      <c r="J2685" s="33"/>
      <c r="K2685" s="33"/>
      <c r="L2685" s="32" t="e">
        <f>((L2683/L2673)^(1/10))-1</f>
        <v>#NUM!</v>
      </c>
      <c r="M2685" s="32"/>
      <c r="N2685" s="32"/>
      <c r="O2685" s="32"/>
      <c r="P2685" s="32" t="e">
        <f>((P2683/P2673)^(1/10))-1</f>
        <v>#NUM!</v>
      </c>
      <c r="Q2685" s="40"/>
      <c r="R2685" s="41"/>
      <c r="S2685" s="46"/>
      <c r="U2685" s="40"/>
      <c r="V2685" s="41"/>
      <c r="W2685" s="46"/>
      <c r="Y2685" s="40"/>
      <c r="Z2685" s="41"/>
      <c r="AA2685" s="46"/>
    </row>
    <row r="2686" spans="1:27">
      <c r="B2686" s="24"/>
      <c r="C2686" s="25"/>
      <c r="E2686" s="26"/>
      <c r="F2686" s="27"/>
      <c r="G2686" s="28"/>
      <c r="H2686" s="27"/>
      <c r="I2686" s="27"/>
      <c r="J2686" s="27"/>
      <c r="K2686" s="27"/>
      <c r="L2686" s="26"/>
      <c r="M2686" s="17"/>
      <c r="N2686" s="17"/>
      <c r="O2686" s="17"/>
      <c r="P2686" s="35"/>
      <c r="Q2686" s="18"/>
      <c r="R2686" s="36"/>
    </row>
    <row r="2687" spans="1:27">
      <c r="A2687" s="9" t="s">
        <v>0</v>
      </c>
      <c r="B2687" s="10"/>
      <c r="C2687" s="9" t="s">
        <v>1</v>
      </c>
      <c r="D2687" s="9" t="s">
        <v>2</v>
      </c>
      <c r="E2687" s="9" t="s">
        <v>3</v>
      </c>
      <c r="F2687" s="11" t="s">
        <v>4</v>
      </c>
      <c r="G2687" s="11" t="s">
        <v>5</v>
      </c>
      <c r="H2687" s="9" t="s">
        <v>6</v>
      </c>
      <c r="I2687" s="11" t="s">
        <v>7</v>
      </c>
      <c r="J2687" s="11" t="s">
        <v>8</v>
      </c>
      <c r="K2687" s="11" t="s">
        <v>9</v>
      </c>
      <c r="L2687" s="11" t="s">
        <v>10</v>
      </c>
      <c r="M2687" s="11" t="s">
        <v>11</v>
      </c>
      <c r="N2687" s="11" t="s">
        <v>12</v>
      </c>
      <c r="O2687" s="11" t="s">
        <v>13</v>
      </c>
      <c r="P2687" s="11" t="s">
        <v>14</v>
      </c>
      <c r="Q2687" s="37" t="s">
        <v>15</v>
      </c>
      <c r="R2687" s="42">
        <f>_xll.ciqfunctions.udf.CIQ(A2688,("IQ_LASTSALEPRICE"))</f>
        <v>16.579999999999998</v>
      </c>
      <c r="S2687" s="44"/>
      <c r="U2687" s="37" t="s">
        <v>15</v>
      </c>
      <c r="V2687" s="42">
        <f>_xll.ciqfunctions.udf.CIQ(A2688,("IQ_LASTSALEPRICE"))</f>
        <v>16.579999999999998</v>
      </c>
      <c r="W2687" s="44"/>
      <c r="Y2687" s="37" t="s">
        <v>15</v>
      </c>
      <c r="Z2687" s="42">
        <f>_xll.ciqfunctions.udf.CIQ(A2688,("IQ_LASTSALEPRICE"))</f>
        <v>16.579999999999998</v>
      </c>
      <c r="AA2687" s="44"/>
    </row>
    <row r="2688" spans="1:27">
      <c r="A2688" s="12" t="str">
        <f>Analysis!B181</f>
        <v>NasdaqGS:SGH</v>
      </c>
      <c r="B2688" s="13">
        <v>1</v>
      </c>
      <c r="C2688" s="14" t="s">
        <v>16</v>
      </c>
      <c r="D2688" s="15">
        <f>IF(A2696=A2697,_xll.ciqfunctions.udf.CIQ(A2688,"IQ_TOTAL_REV",IQ_FY-10)/I2688,_xll.ciqfunctions.udf.CIQ(A2688, "IQ_TOTAL_REV",IQ_FY-9)/I2688)</f>
        <v>19.529564234673828</v>
      </c>
      <c r="E2688" s="16"/>
      <c r="F2688" s="15">
        <f>IF(A2696=A2697,_xll.ciqfunctions.udf.CIQ(A2688,"IQ_DILUT_EPS_EXCL",IQ_FY-10), _xll.ciqfunctions.udf.CIQ(A2688, "IQ_DILUT_EPS_EXCL",IQ_FY-9))</f>
        <v>-1.905</v>
      </c>
      <c r="G2688" s="15">
        <f>IF(A2696=A2697,_xll.ciqfunctions.udf.CIQ(A2688,"IQ_EBITDA_MARGIN",IQ_FY-10), _xll.ciqfunctions.udf.CIQ(A2688, "IQ_EBITDA_MARGIN",IQ_FY-9))</f>
        <v>9.7353000000000005</v>
      </c>
      <c r="H2688" s="15">
        <f>IF(A2696=A2697,_xll.ciqfunctions.udf.CIQ(A2688,"IQ_TOTAL_DIV_PAID_CF",IQ_FY-10)/-I2688, _xll.ciqfunctions.udf.CIQ(A2688, "IQ_TOTAL_DIV_PAID_CF",IQ_FY-9)/-I2688)</f>
        <v>8.3180303239175899</v>
      </c>
      <c r="I2688" s="17">
        <f>IF(A2696=A2697,_xll.ciqfunctions.udf.CIQ(A2688,"IQ_TOTAL_OUTSTANDING_FILING_DATE",IQ_FY-10), _xll.ciqfunctions.udf.CIQ(A2688, "IQ_TOTAL_OUTSTANDING_FILING_DATE",IQ_FY-9))</f>
        <v>27.129740000000002</v>
      </c>
      <c r="J2688" s="17">
        <f>IF(A2696=A2697,_xll.ciqfunctions.udf.CIQ(A2688,"IQ_CASH_OPER",IQ_FY-10), _xll.ciqfunctions.udf.CIQ(A2688, "IQ_CASH_OPER",IQ_FY-9))</f>
        <v>-7.9740000000000002</v>
      </c>
      <c r="K2688" s="17">
        <f>IF(A2696=A2697,_xll.ciqfunctions.udf.CIQ(A2688,"IQ_CAPEX",IQ_FY-10), _xll.ciqfunctions.udf.CIQ(A2688, "IQ_CAPEX",IQ_FY-9))</f>
        <v>-22.052</v>
      </c>
      <c r="L2688" s="15">
        <f t="shared" ref="L2688:L2698" si="716">(J2688+K2688)/I2688</f>
        <v>-1.1067559069862076</v>
      </c>
      <c r="M2688" s="17">
        <f>IF(A2696=A2697,_xll.ciqfunctions.udf.CIQ(A2688,"IQ_TOTAL_DEBT_ISSUED",IQ_FY-10), _xll.ciqfunctions.udf.CIQ(A2688, "IQ_TOTAL_DEBT_ISSUED",IQ_FY-9))</f>
        <v>0</v>
      </c>
      <c r="N2688" s="17">
        <f>IF(A2696=A2697,_xll.ciqfunctions.udf.CIQ(A2688,"IQ_TOTAL_DEBT_REPAID",IQ_FY-10), _xll.ciqfunctions.udf.CIQ(A2688, "IQ_TOTAL_DEBT_REPAID",IQ_FY-9))</f>
        <v>-8.1920000000000002</v>
      </c>
      <c r="O2688" s="15">
        <f t="shared" ref="O2688:O2698" si="717">(M2688+N2688)/I2688</f>
        <v>-0.30195645074372257</v>
      </c>
      <c r="P2688" s="15">
        <f t="shared" ref="P2688:P2698" si="718">L2688+O2688</f>
        <v>-1.4087123577299301</v>
      </c>
      <c r="W2688" s="43"/>
      <c r="AA2688" s="43"/>
    </row>
    <row r="2689" spans="1:27">
      <c r="A2689" s="18" t="str">
        <f>_xll.ciqfunctions.udf.CIQ(A2688,"IQ_COMPANY_NAME")</f>
        <v>SMART Global Holdings, Inc.</v>
      </c>
      <c r="B2689" s="13">
        <v>2</v>
      </c>
      <c r="C2689" s="14" t="s">
        <v>17</v>
      </c>
      <c r="D2689" s="15">
        <f>IF(A2696=A2697,_xll.ciqfunctions.udf.CIQ(A2688,"IQ_TOTAL_REV",IQ_FY-9)/I2689, _xll.ciqfunctions.udf.CIQ(A2688, "IQ_TOTAL_REV",IQ_FY-8)/I2689)</f>
        <v>26.114666951053525</v>
      </c>
      <c r="E2689" s="16">
        <f t="shared" ref="E2689:E2698" si="719">(D2689-D2688)/D2688</f>
        <v>0.33718636203301228</v>
      </c>
      <c r="F2689" s="15">
        <f>IF(A2696=A2697,_xll.ciqfunctions.udf.CIQ(A2688,"IQ_DILUT_EPS_EXCL",IQ_FY-9), _xll.ciqfunctions.udf.CIQ(A2688, "IQ_DILUT_EPS_EXCL",IQ_FY-8))</f>
        <v>-0.52500000000000002</v>
      </c>
      <c r="G2689" s="15">
        <f>IF(A2696=A2697,_xll.ciqfunctions.udf.CIQ(A2688,"IQ_EBITDA_MARGIN",IQ_FY-9), _xll.ciqfunctions.udf.CIQ(A2688, "IQ_EBITDA_MARGIN",IQ_FY-8))</f>
        <v>10.2346</v>
      </c>
      <c r="H2689" s="15">
        <f>IF(A2696=A2697,_xll.ciqfunctions.udf.CIQ(A2688,"IQ_TOTAL_DIV_PAID_CF",IQ_FY-9)/-I2689, _xll.ciqfunctions.udf.CIQ(A2688, "IQ_TOTAL_DIV_PAID_CF",IQ_FY-8)/-I2689)</f>
        <v>0.25056169417446772</v>
      </c>
      <c r="I2689" s="17">
        <f>IF(A2696=A2697,_xll.ciqfunctions.udf.CIQ(A2688,"IQ_TOTAL_OUTSTANDING_FILING_DATE",IQ_FY-9), _xll.ciqfunctions.udf.CIQ(A2688, "IQ_TOTAL_OUTSTANDING_FILING_DATE",IQ_FY-8))</f>
        <v>27.661850000000001</v>
      </c>
      <c r="J2689" s="17">
        <f>IF(A2696=A2697,_xll.ciqfunctions.udf.CIQ(A2688,"IQ_CASH_OPER",IQ_FY-9), _xll.ciqfunctions.udf.CIQ(A2688, "IQ_CASH_OPER",IQ_FY-8))</f>
        <v>41.302999999999997</v>
      </c>
      <c r="K2689" s="17">
        <f>IF(A2696=A2697,_xll.ciqfunctions.udf.CIQ(A2688,"IQ_CAPEX",IQ_FY-9), _xll.ciqfunctions.udf.CIQ(A2688, "IQ_CAPEX",IQ_FY-8))</f>
        <v>-43.206000000000003</v>
      </c>
      <c r="L2689" s="15">
        <f t="shared" si="716"/>
        <v>-6.8795109510029359E-2</v>
      </c>
      <c r="M2689" s="17">
        <f>IF(A2696=A2697,_xll.ciqfunctions.udf.CIQ(A2688,"IQ_TOTAL_DEBT_ISSUED",IQ_FY-9), _xll.ciqfunctions.udf.CIQ(A2688, "IQ_TOTAL_DEBT_ISSUED",IQ_FY-8))</f>
        <v>17.056999999999999</v>
      </c>
      <c r="N2689" s="17">
        <f>IF(A2696=A2697,_xll.ciqfunctions.udf.CIQ(A2688,"IQ_TOTAL_DEBT_REPAID",IQ_FY-9), _xll.ciqfunctions.udf.CIQ(A2688, "IQ_TOTAL_DEBT_REPAID",IQ_FY-8))</f>
        <v>-15.99</v>
      </c>
      <c r="O2689" s="15">
        <f t="shared" si="717"/>
        <v>3.8572980476721488E-2</v>
      </c>
      <c r="P2689" s="15">
        <f t="shared" si="718"/>
        <v>-3.0222129033307871E-2</v>
      </c>
      <c r="Q2689" s="25" t="s">
        <v>18</v>
      </c>
      <c r="R2689" s="39" t="s">
        <v>19</v>
      </c>
      <c r="S2689" s="1">
        <f>R2687/((AVERAGE(P2693:P2698))*(1+E2699)^3)</f>
        <v>5.2633609220851039</v>
      </c>
      <c r="U2689" s="25" t="s">
        <v>48</v>
      </c>
      <c r="V2689" s="39" t="s">
        <v>19</v>
      </c>
      <c r="W2689" s="1">
        <f>V2687/((AVERAGE(P2693:P2698))*(1+E2699)^3)</f>
        <v>5.2633609220851039</v>
      </c>
      <c r="Y2689" s="25" t="s">
        <v>39</v>
      </c>
      <c r="Z2689" s="39" t="s">
        <v>19</v>
      </c>
      <c r="AA2689" s="1">
        <f>Z2687/((AVERAGE(P2693:P2698))*(1+E2699)^3)</f>
        <v>5.2633609220851039</v>
      </c>
    </row>
    <row r="2690" spans="1:27">
      <c r="B2690" s="13">
        <v>3</v>
      </c>
      <c r="C2690" s="14" t="s">
        <v>20</v>
      </c>
      <c r="D2690" s="15" cm="1">
        <f t="array" ref="D2690">_xlfn.SINGLE(IF(A2696=A2697,_xll.ciqfunctions.udf.CIQ(A2688,"IQ_TOTAL_REV",IQ_FY-8)/I2690, _xll.ciqfunctions.udf.CIQ(A2688, "IQ_TOTAL_REV",IQ_FY-7)/I2690))</f>
        <v>23.253828031915837</v>
      </c>
      <c r="E2690" s="16">
        <f t="shared" si="719"/>
        <v>-0.10954912519082596</v>
      </c>
      <c r="F2690" s="15">
        <f>IF(A2696=A2697,_xll.ciqfunctions.udf.CIQ(A2688,"IQ_DILUT_EPS_EXCL",IQ_FY-8), _xll.ciqfunctions.udf.CIQ(A2688, "IQ_DILUT_EPS_EXCL",IQ_FY-7))</f>
        <v>-1.67899</v>
      </c>
      <c r="G2690" s="15">
        <f>IF(A2696=A2697,_xll.ciqfunctions.udf.CIQ(A2688,"IQ_EBITDA_MARGIN",IQ_FY-8), _xll.ciqfunctions.udf.CIQ(A2688, "IQ_EBITDA_MARGIN",IQ_FY-7))</f>
        <v>7.7892999999999999</v>
      </c>
      <c r="H2690" s="15">
        <f>IF(A2696=A2697,_xll.ciqfunctions.udf.CIQ(A2688,"IQ_TOTAL_DIV_PAID_CF",IQ_FY-8)/-I2690, _xll.ciqfunctions.udf.CIQ(A2688, "IQ_TOTAL_DIV_PAID_CF",IQ_FY-7)/-I2690)</f>
        <v>1.024085043364064</v>
      </c>
      <c r="I2690" s="17">
        <f>IF(A2696=A2697,_xll.ciqfunctions.udf.CIQ(A2688,"IQ_TOTAL_OUTSTANDING_FILING_DATE",IQ_FY-8), _xll.ciqfunctions.udf.CIQ(A2688, "IQ_TOTAL_OUTSTANDING_FILING_DATE",IQ_FY-7))</f>
        <v>27.671530000000001</v>
      </c>
      <c r="J2690" s="17">
        <f>IF(A2696=A2697,_xll.ciqfunctions.udf.CIQ(A2688,"IQ_CASH_OPER",IQ_FY-8), _xll.ciqfunctions.udf.CIQ(A2688, "IQ_CASH_OPER",IQ_FY-7))</f>
        <v>40.762</v>
      </c>
      <c r="K2690" s="17">
        <f>IF(A2696=A2697,_xll.ciqfunctions.udf.CIQ(A2688,"IQ_CAPEX",IQ_FY-8), _xll.ciqfunctions.udf.CIQ(A2688, "IQ_CAPEX",IQ_FY-7))</f>
        <v>-31.663</v>
      </c>
      <c r="L2690" s="15">
        <f t="shared" si="716"/>
        <v>0.32882171676087302</v>
      </c>
      <c r="M2690" s="17">
        <f>IF(A2696=A2697,_xll.ciqfunctions.udf.CIQ(A2688,"IQ_TOTAL_DEBT_ISSUED",IQ_FY-8), _xll.ciqfunctions.udf.CIQ(A2688, "IQ_TOTAL_DEBT_ISSUED",IQ_FY-7))</f>
        <v>371.06</v>
      </c>
      <c r="N2690" s="17">
        <f>IF(A2696=A2697,_xll.ciqfunctions.udf.CIQ(A2688,"IQ_TOTAL_DEBT_REPAID",IQ_FY-8), _xll.ciqfunctions.udf.CIQ(A2688, "IQ_TOTAL_DEBT_REPAID",IQ_FY-7))</f>
        <v>-370.25799999999998</v>
      </c>
      <c r="O2690" s="15">
        <f t="shared" si="717"/>
        <v>2.8982857109817236E-2</v>
      </c>
      <c r="P2690" s="15">
        <f t="shared" si="718"/>
        <v>0.35780457387069026</v>
      </c>
      <c r="Q2690" s="25" t="s">
        <v>21</v>
      </c>
      <c r="R2690" s="38" t="s">
        <v>49</v>
      </c>
      <c r="S2690" s="2">
        <f>(R2687*I2698)/1000</f>
        <v>0.86081353819999995</v>
      </c>
      <c r="U2690" s="25" t="s">
        <v>59</v>
      </c>
      <c r="V2690" s="38" t="s">
        <v>49</v>
      </c>
      <c r="W2690" s="2">
        <f>(V2687*I2698)/1000</f>
        <v>0.86081353819999995</v>
      </c>
      <c r="Y2690" s="25" t="s">
        <v>46</v>
      </c>
      <c r="Z2690" s="38" t="s">
        <v>49</v>
      </c>
      <c r="AA2690" s="2">
        <f>(Z2687*I2698)/1000</f>
        <v>0.86081353819999995</v>
      </c>
    </row>
    <row r="2691" spans="1:27">
      <c r="A2691" s="18"/>
      <c r="B2691" s="13">
        <v>4</v>
      </c>
      <c r="C2691" s="14" t="s">
        <v>22</v>
      </c>
      <c r="D2691" s="15" cm="1">
        <f t="array" ref="D2691">_xlfn.SINGLE(IF(A2696=A2697,_xll.ciqfunctions.udf.CIQ(A2688,"IQ_TOTAL_REV",IQ_FY-7)/I2691, _xll.ciqfunctions.udf.CIQ(A2688, "IQ_TOTAL_REV",IQ_FY-6)/I2691))</f>
        <v>19.266818083495565</v>
      </c>
      <c r="E2691" s="16">
        <f t="shared" si="719"/>
        <v>-0.17145606920925485</v>
      </c>
      <c r="F2691" s="15">
        <f>IF(A2696=A2697,_xll.ciqfunctions.udf.CIQ(A2688,"IQ_DILUT_EPS_EXCL",IQ_FY-7), _xll.ciqfunctions.udf.CIQ(A2688, "IQ_DILUT_EPS_EXCL",IQ_FY-6))</f>
        <v>-0.72104999999999997</v>
      </c>
      <c r="G2691" s="15">
        <f>IF(A2696=A2697,_xll.ciqfunctions.udf.CIQ(A2688,"IQ_EBITDA_MARGIN",IQ_FY-7), _xll.ciqfunctions.udf.CIQ(A2688, "IQ_EBITDA_MARGIN",IQ_FY-6))</f>
        <v>7.2601000000000004</v>
      </c>
      <c r="H2691" s="15">
        <f>IF(A2696=A2697,_xll.ciqfunctions.udf.CIQ(A2688,"IQ_TOTAL_DIV_PAID_CF",IQ_FY-7)/-I2691, _xll.ciqfunctions.udf.CIQ(A2688, "IQ_TOTAL_DIV_PAID_CF",IQ_FY-6)/-I2691)</f>
        <v>0</v>
      </c>
      <c r="I2691" s="17">
        <f>IF(A2696=A2697,_xll.ciqfunctions.udf.CIQ(A2688,"IQ_TOTAL_OUTSTANDING_FILING_DATE",IQ_FY-7), _xll.ciqfunctions.udf.CIQ(A2688, "IQ_TOTAL_OUTSTANDING_FILING_DATE",IQ_FY-6))</f>
        <v>27.738</v>
      </c>
      <c r="J2691" s="17">
        <f>IF(A2696=A2697,_xll.ciqfunctions.udf.CIQ(A2688,"IQ_CASH_OPER",IQ_FY-7), _xll.ciqfunctions.udf.CIQ(A2688, "IQ_CASH_OPER",IQ_FY-6))</f>
        <v>15.05</v>
      </c>
      <c r="K2691" s="17">
        <f>IF(A2696=A2697,_xll.ciqfunctions.udf.CIQ(A2688,"IQ_CAPEX",IQ_FY-7), _xll.ciqfunctions.udf.CIQ(A2688, "IQ_CAPEX",IQ_FY-6))</f>
        <v>-13.843999999999999</v>
      </c>
      <c r="L2691" s="15">
        <f t="shared" si="716"/>
        <v>4.3478260869565265E-2</v>
      </c>
      <c r="M2691" s="17">
        <f>IF(A2696=A2697,_xll.ciqfunctions.udf.CIQ(A2688,"IQ_TOTAL_DEBT_ISSUED",IQ_FY-7), _xll.ciqfunctions.udf.CIQ(A2688, "IQ_TOTAL_DEBT_ISSUED",IQ_FY-6))</f>
        <v>284.971</v>
      </c>
      <c r="N2691" s="17">
        <f>IF(A2696=A2697,_xll.ciqfunctions.udf.CIQ(A2688,"IQ_TOTAL_DEBT_REPAID",IQ_FY-7), _xll.ciqfunctions.udf.CIQ(A2688, "IQ_TOTAL_DEBT_REPAID",IQ_FY-6))</f>
        <v>-295.89400000000001</v>
      </c>
      <c r="O2691" s="15">
        <f t="shared" si="717"/>
        <v>-0.39379191001514174</v>
      </c>
      <c r="P2691" s="15">
        <f t="shared" si="718"/>
        <v>-0.3503136491455765</v>
      </c>
      <c r="Q2691" s="25" t="s">
        <v>23</v>
      </c>
      <c r="R2691" s="38" t="s">
        <v>24</v>
      </c>
      <c r="S2691" s="1" t="e">
        <f>R2687/(AVERAGE(H2693:H2698)*(1+H2699)/(0.5-H2699))</f>
        <v>#DIV/0!</v>
      </c>
      <c r="U2691" s="25" t="s">
        <v>40</v>
      </c>
      <c r="V2691" s="38" t="s">
        <v>24</v>
      </c>
      <c r="W2691" s="1" t="e">
        <f>V2687/(AVERAGE(H2693:H2698)*(1+H2699)/(0.5-H2699))</f>
        <v>#DIV/0!</v>
      </c>
      <c r="Y2691" s="25" t="s">
        <v>47</v>
      </c>
      <c r="Z2691" s="38" t="s">
        <v>24</v>
      </c>
      <c r="AA2691" s="1" t="e">
        <f>Z2687/(AVERAGE(H2693:H2698)*(1+H2699)/(0.5-H2699))</f>
        <v>#DIV/0!</v>
      </c>
    </row>
    <row r="2692" spans="1:27">
      <c r="B2692" s="13">
        <v>5</v>
      </c>
      <c r="C2692" s="14" t="s">
        <v>25</v>
      </c>
      <c r="D2692" s="15" cm="1">
        <f t="array" ref="D2692">_xlfn.SINGLE(IF(A2696=A2697,_xll.ciqfunctions.udf.CIQ(A2688,"IQ_TOTAL_REV",IQ_FY-6)/I2692, _xll.ciqfunctions.udf.CIQ(A2688, "IQ_TOTAL_REV",IQ_FY-5)/I2692))</f>
        <v>17.479858203220164</v>
      </c>
      <c r="E2692" s="16">
        <f t="shared" si="719"/>
        <v>-9.2748053805841182E-2</v>
      </c>
      <c r="F2692" s="15">
        <f>IF(A2696=A2697,_xll.ciqfunctions.udf.CIQ(A2688,"IQ_DILUT_EPS_EXCL",IQ_FY-6), _xll.ciqfunctions.udf.CIQ(A2688, "IQ_DILUT_EPS_EXCL",IQ_FY-5))</f>
        <v>-0.24690999999999999</v>
      </c>
      <c r="G2692" s="15">
        <f>IF(A2696=A2697,_xll.ciqfunctions.udf.CIQ(A2688,"IQ_EBITDA_MARGIN",IQ_FY-6), _xll.ciqfunctions.udf.CIQ(A2688, "IQ_EBITDA_MARGIN",IQ_FY-5))</f>
        <v>11.551500000000001</v>
      </c>
      <c r="H2692" s="15">
        <f>IF(A2696=A2697,_xll.ciqfunctions.udf.CIQ(A2688,"IQ_TOTAL_DIV_PAID_CF",IQ_FY-6)/-I2692, _xll.ciqfunctions.udf.CIQ(A2688, "IQ_TOTAL_DIV_PAID_CF",IQ_FY-5)/-I2692)</f>
        <v>0</v>
      </c>
      <c r="I2692" s="17">
        <f>IF(A2696=A2697,_xll.ciqfunctions.udf.CIQ(A2688,"IQ_TOTAL_OUTSTANDING_FILING_DATE",IQ_FY-6), _xll.ciqfunctions.udf.CIQ(A2688, "IQ_TOTAL_OUTSTANDING_FILING_DATE",IQ_FY-5))</f>
        <v>43.55247</v>
      </c>
      <c r="J2692" s="17">
        <f>IF(A2696=A2697,_xll.ciqfunctions.udf.CIQ(A2688,"IQ_CASH_OPER",IQ_FY-6), _xll.ciqfunctions.udf.CIQ(A2688, "IQ_CASH_OPER",IQ_FY-5))</f>
        <v>-0.93300000000000005</v>
      </c>
      <c r="K2692" s="17">
        <f>IF(A2696=A2697,_xll.ciqfunctions.udf.CIQ(A2688,"IQ_CAPEX",IQ_FY-6), _xll.ciqfunctions.udf.CIQ(A2688, "IQ_CAPEX",IQ_FY-5))</f>
        <v>-18.678000000000001</v>
      </c>
      <c r="L2692" s="15">
        <f t="shared" si="716"/>
        <v>-0.45028444999789913</v>
      </c>
      <c r="M2692" s="17">
        <f>IF(A2696=A2697,_xll.ciqfunctions.udf.CIQ(A2688,"IQ_TOTAL_DEBT_ISSUED",IQ_FY-6), _xll.ciqfunctions.udf.CIQ(A2688, "IQ_TOTAL_DEBT_ISSUED",IQ_FY-5))</f>
        <v>614.71199999999999</v>
      </c>
      <c r="N2692" s="17">
        <f>IF(A2696=A2697,_xll.ciqfunctions.udf.CIQ(A2688,"IQ_TOTAL_DEBT_REPAID",IQ_FY-6), _xll.ciqfunctions.udf.CIQ(A2688, "IQ_TOTAL_DEBT_REPAID",IQ_FY-5))</f>
        <v>-690.52099999999996</v>
      </c>
      <c r="O2692" s="15">
        <f t="shared" si="717"/>
        <v>-1.7406360649579684</v>
      </c>
      <c r="P2692" s="15">
        <f t="shared" si="718"/>
        <v>-2.1909205149558675</v>
      </c>
      <c r="Q2692" s="18"/>
      <c r="R2692" s="38" t="s">
        <v>50</v>
      </c>
      <c r="S2692" s="3">
        <f>I2699</f>
        <v>2.8053930287154305E-2</v>
      </c>
      <c r="U2692" s="18"/>
      <c r="V2692" s="38" t="s">
        <v>50</v>
      </c>
      <c r="W2692" s="3">
        <f>I2699</f>
        <v>2.8053930287154305E-2</v>
      </c>
      <c r="Y2692" s="18"/>
      <c r="Z2692" s="38" t="s">
        <v>50</v>
      </c>
      <c r="AA2692" s="3">
        <f>I2699</f>
        <v>2.8053930287154305E-2</v>
      </c>
    </row>
    <row r="2693" spans="1:27">
      <c r="B2693" s="13">
        <v>6</v>
      </c>
      <c r="C2693" s="14" t="s">
        <v>26</v>
      </c>
      <c r="D2693" s="15" cm="1">
        <f t="array" ref="D2693">_xlfn.SINGLE(IF(A2696=A2697,_xll.ciqfunctions.udf.CIQ(A2688,"IQ_TOTAL_REV",IQ_FY-5)/I2693, _xll.ciqfunctions.udf.CIQ(A2688, "IQ_TOTAL_REV",IQ_FY-4)/I2693))</f>
        <v>28.5067383894663</v>
      </c>
      <c r="E2693" s="16">
        <f t="shared" si="719"/>
        <v>0.6308335032268596</v>
      </c>
      <c r="F2693" s="15">
        <f>IF(A2696=A2697,_xll.ciqfunctions.udf.CIQ(A2688,"IQ_DILUT_EPS_EXCL",IQ_FY-5), _xll.ciqfunctions.udf.CIQ(A2688, "IQ_DILUT_EPS_EXCL",IQ_FY-4))</f>
        <v>2.585</v>
      </c>
      <c r="G2693" s="15">
        <f>IF(A2696=A2697,_xll.ciqfunctions.udf.CIQ(A2688,"IQ_EBITDA_MARGIN",IQ_FY-5), _xll.ciqfunctions.udf.CIQ(A2688, "IQ_EBITDA_MARGIN",IQ_FY-4))</f>
        <v>15.293200000000001</v>
      </c>
      <c r="H2693" s="15">
        <f>IF(A2696=A2697,_xll.ciqfunctions.udf.CIQ(A2688,"IQ_TOTAL_DIV_PAID_CF",IQ_FY-5)/-I2693, _xll.ciqfunctions.udf.CIQ(A2688, "IQ_TOTAL_DIV_PAID_CF",IQ_FY-4)/-I2693)</f>
        <v>0</v>
      </c>
      <c r="I2693" s="17">
        <f>IF(A2696=A2697,_xll.ciqfunctions.udf.CIQ(A2688,"IQ_TOTAL_OUTSTANDING_FILING_DATE",IQ_FY-5), _xll.ciqfunctions.udf.CIQ(A2688, "IQ_TOTAL_OUTSTANDING_FILING_DATE",IQ_FY-4))</f>
        <v>45.211100000000002</v>
      </c>
      <c r="J2693" s="17">
        <f>IF(A2696=A2697,_xll.ciqfunctions.udf.CIQ(A2688,"IQ_CASH_OPER",IQ_FY-5), _xll.ciqfunctions.udf.CIQ(A2688, "IQ_CASH_OPER",IQ_FY-4))</f>
        <v>67.906999999999996</v>
      </c>
      <c r="K2693" s="17">
        <f>IF(A2696=A2697,_xll.ciqfunctions.udf.CIQ(A2688,"IQ_CAPEX",IQ_FY-5), _xll.ciqfunctions.udf.CIQ(A2688, "IQ_CAPEX",IQ_FY-4))</f>
        <v>-25.738</v>
      </c>
      <c r="L2693" s="15">
        <f t="shared" si="716"/>
        <v>0.93271342657002365</v>
      </c>
      <c r="M2693" s="17">
        <f>IF(A2696=A2697,_xll.ciqfunctions.udf.CIQ(A2688,"IQ_TOTAL_DEBT_ISSUED",IQ_FY-5), _xll.ciqfunctions.udf.CIQ(A2688, "IQ_TOTAL_DEBT_ISSUED",IQ_FY-4))</f>
        <v>488.76</v>
      </c>
      <c r="N2693" s="17">
        <f>IF(A2696=A2697,_xll.ciqfunctions.udf.CIQ(A2688,"IQ_TOTAL_DEBT_REPAID",IQ_FY-5), _xll.ciqfunctions.udf.CIQ(A2688, "IQ_TOTAL_DEBT_REPAID",IQ_FY-4))</f>
        <v>-485.95299999999997</v>
      </c>
      <c r="O2693" s="15">
        <f t="shared" si="717"/>
        <v>6.2086522999883133E-2</v>
      </c>
      <c r="P2693" s="15">
        <f t="shared" si="718"/>
        <v>0.99479994956990681</v>
      </c>
      <c r="Q2693" s="25" t="s">
        <v>27</v>
      </c>
      <c r="R2693" s="38" t="s">
        <v>51</v>
      </c>
      <c r="S2693" s="4">
        <f>AVERAGE(F2693:F2698)/AVERAGE(D2693:D2698)</f>
        <v>2.1441798885273693E-2</v>
      </c>
      <c r="U2693" s="25" t="s">
        <v>58</v>
      </c>
      <c r="V2693" s="38" t="s">
        <v>51</v>
      </c>
      <c r="W2693" s="4">
        <f>AVERAGE(F2693:F2698)/AVERAGE(D2693:D2698)</f>
        <v>2.1441798885273693E-2</v>
      </c>
      <c r="Y2693" s="25" t="s">
        <v>56</v>
      </c>
      <c r="Z2693" s="38" t="s">
        <v>51</v>
      </c>
      <c r="AA2693" s="4">
        <f>AVERAGE(F2693:F2698)/AVERAGE(D2693:D2698)</f>
        <v>2.1441798885273693E-2</v>
      </c>
    </row>
    <row r="2694" spans="1:27">
      <c r="A2694" s="18"/>
      <c r="B2694" s="13">
        <v>7</v>
      </c>
      <c r="C2694" s="14" t="s">
        <v>28</v>
      </c>
      <c r="D2694" s="15" cm="1">
        <f t="array" ref="D2694">_xlfn.SINGLE(IF(A2696=A2697,_xll.ciqfunctions.udf.CIQ(A2688,"IQ_TOTAL_REV",IQ_FY-4)/I2694, _xll.ciqfunctions.udf.CIQ(A2688, "IQ_TOTAL_REV",IQ_FY-3)/I2694))</f>
        <v>25.519351875305439</v>
      </c>
      <c r="E2694" s="16">
        <f t="shared" si="719"/>
        <v>-0.10479580207831661</v>
      </c>
      <c r="F2694" s="15">
        <f>IF(A2696=A2697,_xll.ciqfunctions.udf.CIQ(A2688,"IQ_DILUT_EPS_EXCL",IQ_FY-4), _xll.ciqfunctions.udf.CIQ(A2688, "IQ_DILUT_EPS_EXCL",IQ_FY-3))</f>
        <v>1.095</v>
      </c>
      <c r="G2694" s="15">
        <f>IF(A2696=A2697,_xll.ciqfunctions.udf.CIQ(A2688,"IQ_EBITDA_MARGIN",IQ_FY-4), _xll.ciqfunctions.udf.CIQ(A2688, "IQ_EBITDA_MARGIN",IQ_FY-3))</f>
        <v>9.6606000000000005</v>
      </c>
      <c r="H2694" s="15">
        <f>IF(A2696=A2697,_xll.ciqfunctions.udf.CIQ(A2688,"IQ_TOTAL_DIV_PAID_CF",IQ_FY-4)/-I2694, _xll.ciqfunctions.udf.CIQ(A2688, "IQ_TOTAL_DIV_PAID_CF",IQ_FY-3)/-I2694)</f>
        <v>0</v>
      </c>
      <c r="I2694" s="17">
        <f>IF(A2696=A2697,_xll.ciqfunctions.udf.CIQ(A2688,"IQ_TOTAL_OUTSTANDING_FILING_DATE",IQ_FY-4), _xll.ciqfunctions.udf.CIQ(A2688, "IQ_TOTAL_OUTSTANDING_FILING_DATE",IQ_FY-3))</f>
        <v>47.49333</v>
      </c>
      <c r="J2694" s="17">
        <f>IF(A2696=A2697,_xll.ciqfunctions.udf.CIQ(A2688,"IQ_CASH_OPER",IQ_FY-4), _xll.ciqfunctions.udf.CIQ(A2688, "IQ_CASH_OPER",IQ_FY-3))</f>
        <v>169.65700000000001</v>
      </c>
      <c r="K2694" s="17">
        <f>IF(A2696=A2697,_xll.ciqfunctions.udf.CIQ(A2688,"IQ_CAPEX",IQ_FY-4), _xll.ciqfunctions.udf.CIQ(A2688, "IQ_CAPEX",IQ_FY-3))</f>
        <v>-33.433</v>
      </c>
      <c r="L2694" s="15">
        <f t="shared" si="716"/>
        <v>2.8682764506089597</v>
      </c>
      <c r="M2694" s="17">
        <f>IF(A2696=A2697,_xll.ciqfunctions.udf.CIQ(A2688,"IQ_TOTAL_DEBT_ISSUED",IQ_FY-4), _xll.ciqfunctions.udf.CIQ(A2688, "IQ_TOTAL_DEBT_ISSUED",IQ_FY-3))</f>
        <v>254.5</v>
      </c>
      <c r="N2694" s="17">
        <f>IF(A2696=A2697,_xll.ciqfunctions.udf.CIQ(A2688,"IQ_TOTAL_DEBT_REPAID",IQ_FY-4), _xll.ciqfunctions.udf.CIQ(A2688, "IQ_TOTAL_DEBT_REPAID",IQ_FY-3))</f>
        <v>-261.25299999999999</v>
      </c>
      <c r="O2694" s="15">
        <f t="shared" si="717"/>
        <v>-0.14218838729564731</v>
      </c>
      <c r="P2694" s="15">
        <f t="shared" si="718"/>
        <v>2.7260880633133127</v>
      </c>
      <c r="Q2694" s="18"/>
      <c r="R2694" s="38" t="s">
        <v>29</v>
      </c>
      <c r="S2694" s="4">
        <f>(AVERAGE(P2693:P2698)/_xlfn.STDEV.P(P2693:P2698))/(IF(A2696=A2697,(_xlfn.SINGLE(_xll.ciqfunctions.udf.CIQ(A2688,"IQ_total_assets",IQ_FY)) - _xlfn.SINGLE(_xll.ciqfunctions.udf.CIQ(A2688,"iq_gw_intan", IQ_FY)))/I2698, (_xlfn.SINGLE(_xll.ciqfunctions.udf.CIQ(A2688, "IQ_total_assets",IQ_LTM))-_xlfn.SINGLE(_xll.ciqfunctions.udf.CIQ(A2688,"iq_gw_intan",IQ_LTM)))/I2698))</f>
        <v>8.209599504085853E-2</v>
      </c>
      <c r="U2694" s="18"/>
      <c r="V2694" s="38" t="s">
        <v>29</v>
      </c>
      <c r="W2694" s="4">
        <f>(AVERAGE(P2693:P2698)/_xlfn.STDEV.P(P2693:P2698))/(IF(A2696=A2697,(_xlfn.SINGLE(_xll.ciqfunctions.udf.CIQ(A2688,"IQ_total_assets",IQ_FY)) - _xlfn.SINGLE(_xll.ciqfunctions.udf.CIQ(A2688,"iq_gw_intan", IQ_FY)))/I2698, (_xlfn.SINGLE(_xll.ciqfunctions.udf.CIQ(A2688, "IQ_total_assets",IQ_LTM))-_xlfn.SINGLE(_xll.ciqfunctions.udf.CIQ(A2688,"iq_gw_intan",IQ_LTM)))/I2698))</f>
        <v>8.209599504085853E-2</v>
      </c>
      <c r="Y2694" s="18"/>
      <c r="Z2694" s="38" t="s">
        <v>29</v>
      </c>
      <c r="AA2694" s="4">
        <f>(AVERAGE(P2693:P2698)/_xlfn.STDEV.P(P2693:P2698))/(IF(A2696=A2697,(_xlfn.SINGLE(_xll.ciqfunctions.udf.CIQ(A2688,"IQ_total_assets",IQ_FY)) - _xlfn.SINGLE(_xll.ciqfunctions.udf.CIQ(A2688,"iq_gw_intan", IQ_FY)))/I2698, (_xlfn.SINGLE(_xll.ciqfunctions.udf.CIQ(A2688, "IQ_total_assets",IQ_LTM))-_xlfn.SINGLE(_xll.ciqfunctions.udf.CIQ(A2688,"iq_gw_intan",IQ_LTM)))/I2698))</f>
        <v>8.209599504085853E-2</v>
      </c>
    </row>
    <row r="2695" spans="1:27">
      <c r="A2695" s="18"/>
      <c r="B2695" s="13">
        <v>8</v>
      </c>
      <c r="C2695" s="14" t="s">
        <v>30</v>
      </c>
      <c r="D2695" s="15" cm="1">
        <f t="array" ref="D2695">_xlfn.SINGLE(IF(A2696=A2697,_xll.ciqfunctions.udf.CIQ(A2688,"IQ_TOTAL_REV",IQ_FY-3)/I2695, _xll.ciqfunctions.udf.CIQ(A2688, "IQ_TOTAL_REV",IQ_FY-2)/I2695))</f>
        <v>22.980899090819001</v>
      </c>
      <c r="E2695" s="16">
        <f t="shared" si="719"/>
        <v>-9.9471679253063133E-2</v>
      </c>
      <c r="F2695" s="15">
        <f>IF(A2696=A2697,_xll.ciqfunctions.udf.CIQ(A2688,"IQ_DILUT_EPS_EXCL",IQ_FY-3), _xll.ciqfunctions.udf.CIQ(A2688, "IQ_DILUT_EPS_EXCL",IQ_FY-2))</f>
        <v>-2.3820000000000001E-2</v>
      </c>
      <c r="G2695" s="15">
        <f>IF(A2696=A2697,_xll.ciqfunctions.udf.CIQ(A2688,"IQ_EBITDA_MARGIN",IQ_FY-3), _xll.ciqfunctions.udf.CIQ(A2688, "IQ_EBITDA_MARGIN",IQ_FY-2))</f>
        <v>7.0260999999999996</v>
      </c>
      <c r="H2695" s="15">
        <f>IF(A2696=A2697,_xll.ciqfunctions.udf.CIQ(A2688,"IQ_TOTAL_DIV_PAID_CF",IQ_FY-3)/-I2695, _xll.ciqfunctions.udf.CIQ(A2688, "IQ_TOTAL_DIV_PAID_CF",IQ_FY-2)/-I2695)</f>
        <v>0</v>
      </c>
      <c r="I2695" s="17">
        <f>IF(A2696=A2697,_xll.ciqfunctions.udf.CIQ(A2688,"IQ_TOTAL_OUTSTANDING_FILING_DATE",IQ_FY-3), _xll.ciqfunctions.udf.CIQ(A2688, "IQ_TOTAL_OUTSTANDING_FILING_DATE",IQ_FY-2))</f>
        <v>48.839559999999999</v>
      </c>
      <c r="J2695" s="17">
        <f>IF(A2696=A2697,_xll.ciqfunctions.udf.CIQ(A2688,"IQ_CASH_OPER",IQ_FY-3), _xll.ciqfunctions.udf.CIQ(A2688, "IQ_CASH_OPER",IQ_FY-2))</f>
        <v>87.204999999999998</v>
      </c>
      <c r="K2695" s="17">
        <f>IF(A2696=A2697,_xll.ciqfunctions.udf.CIQ(A2688,"IQ_CAPEX",IQ_FY-3), _xll.ciqfunctions.udf.CIQ(A2688, "IQ_CAPEX",IQ_FY-2))</f>
        <v>-32.445</v>
      </c>
      <c r="L2695" s="15">
        <f t="shared" si="716"/>
        <v>1.1212222223132231</v>
      </c>
      <c r="M2695" s="17">
        <f>IF(A2696=A2697,_xll.ciqfunctions.udf.CIQ(A2688,"IQ_TOTAL_DEBT_ISSUED",IQ_FY-3), _xll.ciqfunctions.udf.CIQ(A2688, "IQ_TOTAL_DEBT_ISSUED",IQ_FY-2))</f>
        <v>346.125</v>
      </c>
      <c r="N2695" s="17">
        <f>IF(A2696=A2697,_xll.ciqfunctions.udf.CIQ(A2688,"IQ_TOTAL_DEBT_REPAID",IQ_FY-3), _xll.ciqfunctions.udf.CIQ(A2688, "IQ_TOTAL_DEBT_REPAID",IQ_FY-2))</f>
        <v>-316.43599999999998</v>
      </c>
      <c r="O2695" s="15">
        <f t="shared" si="717"/>
        <v>0.60788835935458918</v>
      </c>
      <c r="P2695" s="15">
        <f t="shared" si="718"/>
        <v>1.7291105816678123</v>
      </c>
      <c r="Q2695" s="18"/>
      <c r="R2695" s="39" t="s">
        <v>31</v>
      </c>
      <c r="S2695" s="5">
        <f>IF(NOT(D2688&gt;0),FALSE,SLOPE(G2688:G2698,B2688:B2698))</f>
        <v>7.127272727272721E-2</v>
      </c>
      <c r="U2695" s="18"/>
      <c r="V2695" s="39" t="s">
        <v>31</v>
      </c>
      <c r="W2695" s="5">
        <f>IF(NOT(D2688&gt;0),FALSE,SLOPE(G2688:G2698,B2688:B2698))</f>
        <v>7.127272727272721E-2</v>
      </c>
      <c r="Y2695" s="18"/>
      <c r="Z2695" s="39" t="s">
        <v>31</v>
      </c>
      <c r="AA2695" s="5" t="b">
        <f>IF(NOT(L2688&gt;0),FALSE,SLOPE(O2688:O2698,J2688:J2698))</f>
        <v>0</v>
      </c>
    </row>
    <row r="2696" spans="1:27">
      <c r="A2696" s="19">
        <f>_xll.ciqfunctions.udf.CIQ(A2688,"IQ_TOTAL_REV",IQ_FY)</f>
        <v>1441.25</v>
      </c>
      <c r="B2696" s="13">
        <v>9</v>
      </c>
      <c r="C2696" s="14" t="s">
        <v>32</v>
      </c>
      <c r="D2696" s="15" cm="1">
        <f t="array" ref="D2696">_xlfn.SINGLE(IF(A2696=A2697,_xll.ciqfunctions.udf.CIQ(A2688,"IQ_TOTAL_REV",IQ_FY-2)/I2696, _xll.ciqfunctions.udf.CIQ(A2688, "IQ_TOTAL_REV",IQ_FY-1)/I2696))</f>
        <v>21.649723053193682</v>
      </c>
      <c r="E2696" s="16">
        <f t="shared" si="719"/>
        <v>-5.7925324521229518E-2</v>
      </c>
      <c r="F2696" s="15">
        <f>IF(A2696=A2697,_xll.ciqfunctions.udf.CIQ(A2688,"IQ_DILUT_EPS_EXCL",IQ_FY-2), _xll.ciqfunctions.udf.CIQ(A2688, "IQ_DILUT_EPS_EXCL",IQ_FY-1))</f>
        <v>-0.89</v>
      </c>
      <c r="G2696" s="15">
        <f>IF(A2696=A2697,_xll.ciqfunctions.udf.CIQ(A2688,"IQ_EBITDA_MARGIN",IQ_FY-2), _xll.ciqfunctions.udf.CIQ(A2688, "IQ_EBITDA_MARGIN",IQ_FY-1))</f>
        <v>6.3670999999999998</v>
      </c>
      <c r="H2696" s="15">
        <f>IF(A2696=A2697,_xll.ciqfunctions.udf.CIQ(A2688,"IQ_TOTAL_DIV_PAID_CF",IQ_FY-2)/-I2696, _xll.ciqfunctions.udf.CIQ(A2688, "IQ_TOTAL_DIV_PAID_CF",IQ_FY-1)/-I2696)</f>
        <v>0</v>
      </c>
      <c r="I2696" s="17">
        <f>IF(A2696=A2697,_xll.ciqfunctions.udf.CIQ(A2688,"IQ_TOTAL_OUTSTANDING_FILING_DATE",IQ_FY-2), _xll.ciqfunctions.udf.CIQ(A2688, "IQ_TOTAL_OUTSTANDING_FILING_DATE",IQ_FY-1))</f>
        <v>48.754849999999998</v>
      </c>
      <c r="J2696" s="17">
        <f>IF(A2696=A2697,_xll.ciqfunctions.udf.CIQ(A2688,"IQ_CASH_OPER",IQ_FY-2), _xll.ciqfunctions.udf.CIQ(A2688, "IQ_CASH_OPER",IQ_FY-1))</f>
        <v>153.35</v>
      </c>
      <c r="K2696" s="17">
        <f>IF(A2696=A2697,_xll.ciqfunctions.udf.CIQ(A2688,"IQ_CAPEX",IQ_FY-2), _xll.ciqfunctions.udf.CIQ(A2688, "IQ_CAPEX",IQ_FY-1))</f>
        <v>-16.669</v>
      </c>
      <c r="L2696" s="15">
        <f t="shared" si="716"/>
        <v>2.80343391477976</v>
      </c>
      <c r="M2696" s="17">
        <f>IF(A2696=A2697,_xll.ciqfunctions.udf.CIQ(A2688,"IQ_TOTAL_DEBT_ISSUED",IQ_FY-2), _xll.ciqfunctions.udf.CIQ(A2688, "IQ_TOTAL_DEBT_ISSUED",IQ_FY-1))</f>
        <v>172.5</v>
      </c>
      <c r="N2696" s="17">
        <f>IF(A2696=A2697,_xll.ciqfunctions.udf.CIQ(A2688,"IQ_TOTAL_DEBT_REPAID",IQ_FY-2), _xll.ciqfunctions.udf.CIQ(A2688, "IQ_TOTAL_DEBT_REPAID",IQ_FY-1))</f>
        <v>-147.5</v>
      </c>
      <c r="O2696" s="15">
        <f t="shared" si="717"/>
        <v>0.5127694988293473</v>
      </c>
      <c r="P2696" s="15">
        <f t="shared" si="718"/>
        <v>3.3162034136091072</v>
      </c>
      <c r="Q2696" s="25" t="s">
        <v>33</v>
      </c>
      <c r="R2696" s="38" t="s">
        <v>52</v>
      </c>
      <c r="S2696" s="4">
        <f>(AVERAGE(O2693:O2698)/AVERAGE(P2693:P2698))</f>
        <v>0.44197253388048452</v>
      </c>
      <c r="U2696" s="25" t="s">
        <v>54</v>
      </c>
      <c r="V2696" s="38" t="s">
        <v>52</v>
      </c>
      <c r="W2696" s="4">
        <f>(AVERAGE(O2693:O2698)/AVERAGE(P2693:P2698))</f>
        <v>0.44197253388048452</v>
      </c>
      <c r="Y2696" s="25" t="s">
        <v>60</v>
      </c>
      <c r="Z2696" s="38" t="s">
        <v>52</v>
      </c>
      <c r="AA2696" s="4">
        <f>(AVERAGE(O2693:O2698)/AVERAGE(P2693:P2698))</f>
        <v>0.44197253388048452</v>
      </c>
    </row>
    <row r="2697" spans="1:27">
      <c r="A2697" s="19">
        <f>_xll.ciqfunctions.udf.CIQ(A2688,"IQ_TOTAL_REV",IQ_LTM)</f>
        <v>1441.25</v>
      </c>
      <c r="B2697" s="13">
        <v>10</v>
      </c>
      <c r="C2697" s="14" t="s">
        <v>34</v>
      </c>
      <c r="D2697" s="15" cm="1">
        <f t="array" ref="D2697">_xlfn.SINGLE(IF(A2696=A2697,_xll.ciqfunctions.udf.CIQ(A2688,"IQ_TOTAL_REV",IQ_FY-1)/I2697, _xll.ciqfunctions.udf.CIQ(A2688, "IQ_TOTAL_REV",IQ_FY)/I2697))</f>
        <v>28.709565227406742</v>
      </c>
      <c r="E2697" s="16">
        <f t="shared" si="719"/>
        <v>0.3260938792088437</v>
      </c>
      <c r="F2697" s="15">
        <f>IF(A2696=A2697,_xll.ciqfunctions.udf.CIQ(A2688,"IQ_DILUT_EPS_EXCL",IQ_FY-1), _xll.ciqfunctions.udf.CIQ(A2688, "IQ_DILUT_EPS_EXCL",IQ_FY))</f>
        <v>0.41</v>
      </c>
      <c r="G2697" s="15">
        <f>IF(A2696=A2697,_xll.ciqfunctions.udf.CIQ(A2688,"IQ_EBITDA_MARGIN",IQ_FY-1), _xll.ciqfunctions.udf.CIQ(A2688, "IQ_EBITDA_MARGIN",IQ_FY))</f>
        <v>11.640599999999999</v>
      </c>
      <c r="H2697" s="15">
        <f>IF(A2696=A2697,_xll.ciqfunctions.udf.CIQ(A2688,"IQ_TOTAL_DIV_PAID_CF",IQ_FY-1)/-I2697, _xll.ciqfunctions.udf.CIQ(A2688, "IQ_TOTAL_DIV_PAID_CF",IQ_FY)/-I2697)</f>
        <v>0</v>
      </c>
      <c r="I2697" s="17">
        <f>IF(A2696=A2697,_xll.ciqfunctions.udf.CIQ(A2688,"IQ_TOTAL_OUTSTANDING_FILING_DATE",IQ_FY-1), _xll.ciqfunctions.udf.CIQ(A2688, "IQ_TOTAL_OUTSTANDING_FILING_DATE",IQ_FY))</f>
        <v>48.62059</v>
      </c>
      <c r="J2697" s="17">
        <f>IF(A2696=A2697,_xll.ciqfunctions.udf.CIQ(A2688,"IQ_CASH_OPER",IQ_FY-1), _xll.ciqfunctions.udf.CIQ(A2688, "IQ_CASH_OPER",IQ_FY))</f>
        <v>104.931</v>
      </c>
      <c r="K2697" s="17">
        <f>IF(A2696=A2697,_xll.ciqfunctions.udf.CIQ(A2688,"IQ_CAPEX",IQ_FY-1), _xll.ciqfunctions.udf.CIQ(A2688, "IQ_CAPEX",IQ_FY))</f>
        <v>-20.359000000000002</v>
      </c>
      <c r="L2697" s="15">
        <f t="shared" si="716"/>
        <v>1.7394276786851004</v>
      </c>
      <c r="M2697" s="17">
        <f>IF(A2696=A2697,_xll.ciqfunctions.udf.CIQ(A2688,"IQ_TOTAL_DEBT_ISSUED",IQ_FY-1), _xll.ciqfunctions.udf.CIQ(A2688, "IQ_TOTAL_DEBT_ISSUED",IQ_FY))</f>
        <v>354.77499999999998</v>
      </c>
      <c r="N2697" s="17">
        <f>IF(A2696=A2697,_xll.ciqfunctions.udf.CIQ(A2688,"IQ_TOTAL_DEBT_REPAID",IQ_FY-1), _xll.ciqfunctions.udf.CIQ(A2688, "IQ_TOTAL_DEBT_REPAID",IQ_FY))</f>
        <v>-235.71899999999999</v>
      </c>
      <c r="O2697" s="15">
        <f t="shared" si="717"/>
        <v>2.4486745224605455</v>
      </c>
      <c r="P2697" s="15">
        <f t="shared" si="718"/>
        <v>4.1881022011456457</v>
      </c>
      <c r="Q2697" s="25" t="s">
        <v>44</v>
      </c>
      <c r="R2697" s="38" t="s">
        <v>35</v>
      </c>
      <c r="S2697" s="1">
        <f>_xll.ciqfunctions.udf.CIQ(A2688,"IQ_TEV_EBITDA")</f>
        <v>7.12995</v>
      </c>
      <c r="U2697" s="25" t="s">
        <v>55</v>
      </c>
      <c r="V2697" s="38" t="s">
        <v>53</v>
      </c>
      <c r="W2697" s="1">
        <f>V2687/(AVERAGE(D2693:D2698)/_xlfn.STDEV.P(E2693:E2698))</f>
        <v>0.17691640841336997</v>
      </c>
      <c r="Y2697" s="25" t="s">
        <v>57</v>
      </c>
      <c r="Z2697" s="38" t="s">
        <v>53</v>
      </c>
      <c r="AA2697" s="1">
        <f>Z2687/(AVERAGE(D2693:D2698)/_xlfn.STDEV.P(E2693:E2698))</f>
        <v>0.17691640841336997</v>
      </c>
    </row>
    <row r="2698" spans="1:27">
      <c r="B2698" s="13">
        <v>11</v>
      </c>
      <c r="C2698" s="20" t="s">
        <v>36</v>
      </c>
      <c r="D2698" s="21" cm="1">
        <f t="array" ref="D2698">_xlfn.SINGLE(IF(A2696=A2697,_xll.ciqfunctions.udf.CIQ(A2688,"IQ_TOTAL_REV",IQ_FY)/I2698, _xll.ciqfunctions.udf.CIQ(A2688, "IQ_TOTAL_REV",IQ_LTM)/I2698))</f>
        <v>27.759699330435087</v>
      </c>
      <c r="E2698" s="22">
        <f t="shared" si="719"/>
        <v>-3.3085345927318106E-2</v>
      </c>
      <c r="F2698" s="21">
        <f>IF(A2696=A2697,_xll.ciqfunctions.udf.CIQ(A2688,"IQ_DILUT_EPS_EXCL",IQ_FY), _xll.ciqfunctions.udf.CIQ(A2688, "IQ_DILUT_EPS_EXCL",IQ_LTM))</f>
        <v>0.15</v>
      </c>
      <c r="G2698" s="21">
        <f>IF(A2696=A2697,_xll.ciqfunctions.udf.CIQ(A2688,"IQ_EBITDA_MARGIN",IQ_FY), _xll.ciqfunctions.udf.CIQ(A2688, "IQ_EBITDA_MARGIN",IQ_LTM))</f>
        <v>11.5036</v>
      </c>
      <c r="H2698" s="21">
        <f>IF(A2696=A2697,_xll.ciqfunctions.udf.CIQ(A2688,"IQ_TOTAL_DIV_PAID_CF",IQ_FY)/-I2698, _xll.ciqfunctions.udf.CIQ(A2688, "IQ_TOTAL_DIV_PAID_CF",IQ_LTM)/-I2698)</f>
        <v>0</v>
      </c>
      <c r="I2698" s="23">
        <f>IF(A2696=A2697,_xll.ciqfunctions.udf.CIQ(A2688,"IQ_TOTAL_OUTSTANDING_FILING_DATE",IQ_FY),_xll.ciqfunctions.udf.CIQ(A2688,"IQ_sharesoutstanding"))</f>
        <v>51.918790000000001</v>
      </c>
      <c r="J2698" s="23">
        <f>IF(A2696=A2697,_xll.ciqfunctions.udf.CIQ(A2688,"IQ_CASH_OPER",IQ_FY), _xll.ciqfunctions.udf.CIQ(A2688, "IQ_CASH_OPER",IQ_LTM))</f>
        <v>104.387</v>
      </c>
      <c r="K2698" s="23">
        <f>IF(A2696=A2697,_xll.ciqfunctions.udf.CIQ(A2688,"IQ_CAPEX",IQ_FY), _xll.ciqfunctions.udf.CIQ(A2688, "IQ_CAPEX",IQ_LTM))</f>
        <v>-39.420999999999999</v>
      </c>
      <c r="L2698" s="21">
        <f t="shared" si="716"/>
        <v>1.2513003481013329</v>
      </c>
      <c r="M2698" s="23">
        <f>IF(A2696=A2697,_xll.ciqfunctions.udf.CIQ(A2688,"IQ_TOTAL_DEBT_ISSUED",IQ_FY), _xll.ciqfunctions.udf.CIQ(A2688, "IQ_TOTAL_DEBT_ISSUED",IQ_LTM))</f>
        <v>295.28699999999998</v>
      </c>
      <c r="N2698" s="23">
        <f>IF(A2696=A2697,_xll.ciqfunctions.udf.CIQ(A2688,"IQ_TOTAL_DEBT_REPAID",IQ_FY), _xll.ciqfunctions.udf.CIQ(A2688, "IQ_TOTAL_DEBT_REPAID",IQ_LTM))</f>
        <v>-35.774999999999999</v>
      </c>
      <c r="O2698" s="21">
        <f t="shared" si="717"/>
        <v>4.9984215733841255</v>
      </c>
      <c r="P2698" s="21">
        <f t="shared" si="718"/>
        <v>6.2497219214854587</v>
      </c>
      <c r="Q2698" s="25" t="s">
        <v>45</v>
      </c>
      <c r="S2698" s="45"/>
      <c r="U2698" s="25"/>
      <c r="W2698" s="45"/>
      <c r="Y2698" s="25"/>
      <c r="AA2698" s="45"/>
    </row>
    <row r="2699" spans="1:27">
      <c r="B2699" s="24"/>
      <c r="C2699" s="25" t="s">
        <v>37</v>
      </c>
      <c r="E2699" s="26">
        <f>((D2698/D2693)^(1/5))-1</f>
        <v>-5.2969592738146831E-3</v>
      </c>
      <c r="F2699" s="27">
        <f>((F2698/F2693)^(1/5))-1</f>
        <v>-0.43411765791847579</v>
      </c>
      <c r="G2699" s="28"/>
      <c r="H2699" s="27" t="e">
        <f>((H2698/H2693)^(1/5))-1</f>
        <v>#DIV/0!</v>
      </c>
      <c r="I2699" s="27">
        <f>((I2698/I2693)^(1/5))-1</f>
        <v>2.8053930287154305E-2</v>
      </c>
      <c r="J2699" s="27"/>
      <c r="K2699" s="27"/>
      <c r="L2699" s="26">
        <f>((L2698/L2693)^(1/5))-1</f>
        <v>6.0529289705253175E-2</v>
      </c>
      <c r="M2699" s="26"/>
      <c r="N2699" s="26"/>
      <c r="O2699" s="26"/>
      <c r="P2699" s="26">
        <f>((P2698/P2693)^(1/5))-1</f>
        <v>0.44419217614510997</v>
      </c>
      <c r="Q2699" s="18"/>
      <c r="R2699" s="36"/>
      <c r="S2699" s="45"/>
      <c r="U2699" s="18"/>
      <c r="V2699" s="36"/>
      <c r="W2699" s="45"/>
      <c r="Y2699" s="18"/>
      <c r="Z2699" s="36"/>
      <c r="AA2699" s="45"/>
    </row>
    <row r="2700" spans="1:27">
      <c r="A2700" s="29"/>
      <c r="B2700" s="30"/>
      <c r="C2700" s="31" t="s">
        <v>38</v>
      </c>
      <c r="D2700" s="29"/>
      <c r="E2700" s="32">
        <f>((D2698/D2688)^(1/10))-1</f>
        <v>3.5791208419672316E-2</v>
      </c>
      <c r="F2700" s="33" t="e">
        <f>((F2698/F2688)^(1/10))-1</f>
        <v>#NUM!</v>
      </c>
      <c r="G2700" s="34"/>
      <c r="H2700" s="33">
        <f>((H2698/H2688)^(1/10))-1</f>
        <v>-1</v>
      </c>
      <c r="I2700" s="33">
        <f>((I2698/I2688)^(1/10))-1</f>
        <v>6.7057672983861671E-2</v>
      </c>
      <c r="J2700" s="33"/>
      <c r="K2700" s="33"/>
      <c r="L2700" s="32" t="e">
        <f>((L2698/L2688)^(1/10))-1</f>
        <v>#NUM!</v>
      </c>
      <c r="M2700" s="32"/>
      <c r="N2700" s="32"/>
      <c r="O2700" s="32"/>
      <c r="P2700" s="32" t="e">
        <f>((P2698/P2688)^(1/10))-1</f>
        <v>#NUM!</v>
      </c>
      <c r="Q2700" s="40"/>
      <c r="R2700" s="41"/>
      <c r="S2700" s="46"/>
      <c r="U2700" s="40"/>
      <c r="V2700" s="41"/>
      <c r="W2700" s="46"/>
      <c r="Y2700" s="40"/>
      <c r="Z2700" s="41"/>
      <c r="AA2700" s="46"/>
    </row>
    <row r="2701" spans="1:27">
      <c r="B2701" s="24"/>
      <c r="C2701" s="25"/>
      <c r="E2701" s="26"/>
      <c r="F2701" s="27"/>
      <c r="G2701" s="28"/>
      <c r="H2701" s="27"/>
      <c r="I2701" s="27"/>
      <c r="J2701" s="27"/>
      <c r="K2701" s="27"/>
      <c r="L2701" s="26"/>
      <c r="M2701" s="17"/>
      <c r="N2701" s="17"/>
      <c r="O2701" s="17"/>
      <c r="P2701" s="35"/>
      <c r="Q2701" s="18"/>
      <c r="R2701" s="36"/>
    </row>
    <row r="2702" spans="1:27">
      <c r="A2702" s="9" t="s">
        <v>0</v>
      </c>
      <c r="B2702" s="10"/>
      <c r="C2702" s="9" t="s">
        <v>1</v>
      </c>
      <c r="D2702" s="9" t="s">
        <v>2</v>
      </c>
      <c r="E2702" s="9" t="s">
        <v>3</v>
      </c>
      <c r="F2702" s="11" t="s">
        <v>4</v>
      </c>
      <c r="G2702" s="11" t="s">
        <v>5</v>
      </c>
      <c r="H2702" s="9" t="s">
        <v>6</v>
      </c>
      <c r="I2702" s="11" t="s">
        <v>7</v>
      </c>
      <c r="J2702" s="11" t="s">
        <v>8</v>
      </c>
      <c r="K2702" s="11" t="s">
        <v>9</v>
      </c>
      <c r="L2702" s="11" t="s">
        <v>10</v>
      </c>
      <c r="M2702" s="11" t="s">
        <v>11</v>
      </c>
      <c r="N2702" s="11" t="s">
        <v>12</v>
      </c>
      <c r="O2702" s="11" t="s">
        <v>13</v>
      </c>
      <c r="P2702" s="11" t="s">
        <v>14</v>
      </c>
      <c r="Q2702" s="37" t="s">
        <v>15</v>
      </c>
      <c r="R2702" s="42">
        <f>_xll.ciqfunctions.udf.CIQ(A2703,("IQ_LASTSALEPRICE"))</f>
        <v>17.2</v>
      </c>
      <c r="S2702" s="44"/>
      <c r="U2702" s="37" t="s">
        <v>15</v>
      </c>
      <c r="V2702" s="42">
        <f>_xll.ciqfunctions.udf.CIQ(A2703,("IQ_LASTSALEPRICE"))</f>
        <v>17.2</v>
      </c>
      <c r="W2702" s="44"/>
      <c r="Y2702" s="37" t="s">
        <v>15</v>
      </c>
      <c r="Z2702" s="42">
        <f>_xll.ciqfunctions.udf.CIQ(A2703,("IQ_LASTSALEPRICE"))</f>
        <v>17.2</v>
      </c>
      <c r="AA2702" s="44"/>
    </row>
    <row r="2703" spans="1:27">
      <c r="A2703" s="12" t="str">
        <f>Analysis!B182</f>
        <v>NasdaqGM:ACMR</v>
      </c>
      <c r="B2703" s="13">
        <v>1</v>
      </c>
      <c r="C2703" s="14" t="s">
        <v>16</v>
      </c>
      <c r="D2703" s="15" t="e">
        <f>IF(A2711=A2712,_xll.ciqfunctions.udf.CIQ(A2703,"IQ_TOTAL_REV",IQ_FY-10)/I2703,_xll.ciqfunctions.udf.CIQ(A2703, "IQ_TOTAL_REV",IQ_FY-9)/I2703)</f>
        <v>#DIV/0!</v>
      </c>
      <c r="E2703" s="16"/>
      <c r="F2703" s="15">
        <f>IF(A2711=A2712,_xll.ciqfunctions.udf.CIQ(A2703,"IQ_DILUT_EPS_EXCL",IQ_FY-10), _xll.ciqfunctions.udf.CIQ(A2703, "IQ_DILUT_EPS_EXCL",IQ_FY-9))</f>
        <v>0</v>
      </c>
      <c r="G2703" s="15">
        <f>IF(A2711=A2712,_xll.ciqfunctions.udf.CIQ(A2703,"IQ_EBITDA_MARGIN",IQ_FY-10), _xll.ciqfunctions.udf.CIQ(A2703, "IQ_EBITDA_MARGIN",IQ_FY-9))</f>
        <v>0</v>
      </c>
      <c r="H2703" s="15" t="e">
        <f>IF(A2711=A2712,_xll.ciqfunctions.udf.CIQ(A2703,"IQ_TOTAL_DIV_PAID_CF",IQ_FY-10)/-I2703, _xll.ciqfunctions.udf.CIQ(A2703, "IQ_TOTAL_DIV_PAID_CF",IQ_FY-9)/-I2703)</f>
        <v>#DIV/0!</v>
      </c>
      <c r="I2703" s="17">
        <f>IF(A2711=A2712,_xll.ciqfunctions.udf.CIQ(A2703,"IQ_TOTAL_OUTSTANDING_FILING_DATE",IQ_FY-10), _xll.ciqfunctions.udf.CIQ(A2703, "IQ_TOTAL_OUTSTANDING_FILING_DATE",IQ_FY-9))</f>
        <v>0</v>
      </c>
      <c r="J2703" s="17">
        <f>IF(A2711=A2712,_xll.ciqfunctions.udf.CIQ(A2703,"IQ_CASH_OPER",IQ_FY-10), _xll.ciqfunctions.udf.CIQ(A2703, "IQ_CASH_OPER",IQ_FY-9))</f>
        <v>0</v>
      </c>
      <c r="K2703" s="17">
        <f>IF(A2711=A2712,_xll.ciqfunctions.udf.CIQ(A2703,"IQ_CAPEX",IQ_FY-10), _xll.ciqfunctions.udf.CIQ(A2703, "IQ_CAPEX",IQ_FY-9))</f>
        <v>0</v>
      </c>
      <c r="L2703" s="15" t="e">
        <f t="shared" ref="L2703:L2713" si="720">(J2703+K2703)/I2703</f>
        <v>#DIV/0!</v>
      </c>
      <c r="M2703" s="17">
        <f>IF(A2711=A2712,_xll.ciqfunctions.udf.CIQ(A2703,"IQ_TOTAL_DEBT_ISSUED",IQ_FY-10), _xll.ciqfunctions.udf.CIQ(A2703, "IQ_TOTAL_DEBT_ISSUED",IQ_FY-9))</f>
        <v>0</v>
      </c>
      <c r="N2703" s="17">
        <f>IF(A2711=A2712,_xll.ciqfunctions.udf.CIQ(A2703,"IQ_TOTAL_DEBT_REPAID",IQ_FY-10), _xll.ciqfunctions.udf.CIQ(A2703, "IQ_TOTAL_DEBT_REPAID",IQ_FY-9))</f>
        <v>0</v>
      </c>
      <c r="O2703" s="15" t="e">
        <f t="shared" ref="O2703:O2713" si="721">(M2703+N2703)/I2703</f>
        <v>#DIV/0!</v>
      </c>
      <c r="P2703" s="15" t="e">
        <f t="shared" ref="P2703:P2713" si="722">L2703+O2703</f>
        <v>#DIV/0!</v>
      </c>
      <c r="W2703" s="43"/>
      <c r="AA2703" s="43"/>
    </row>
    <row r="2704" spans="1:27">
      <c r="A2704" s="18" t="str">
        <f>_xll.ciqfunctions.udf.CIQ(A2703,"IQ_COMPANY_NAME")</f>
        <v>ACM Research, Inc.</v>
      </c>
      <c r="B2704" s="13">
        <v>2</v>
      </c>
      <c r="C2704" s="14" t="s">
        <v>17</v>
      </c>
      <c r="D2704" s="15" t="e">
        <f>IF(A2711=A2712,_xll.ciqfunctions.udf.CIQ(A2703,"IQ_TOTAL_REV",IQ_FY-9)/I2704, _xll.ciqfunctions.udf.CIQ(A2703, "IQ_TOTAL_REV",IQ_FY-8)/I2704)</f>
        <v>#DIV/0!</v>
      </c>
      <c r="E2704" s="16" t="e">
        <f t="shared" ref="E2704:E2713" si="723">(D2704-D2703)/D2703</f>
        <v>#DIV/0!</v>
      </c>
      <c r="F2704" s="15">
        <f>IF(A2711=A2712,_xll.ciqfunctions.udf.CIQ(A2703,"IQ_DILUT_EPS_EXCL",IQ_FY-9), _xll.ciqfunctions.udf.CIQ(A2703, "IQ_DILUT_EPS_EXCL",IQ_FY-8))</f>
        <v>0</v>
      </c>
      <c r="G2704" s="15">
        <f>IF(A2711=A2712,_xll.ciqfunctions.udf.CIQ(A2703,"IQ_EBITDA_MARGIN",IQ_FY-9), _xll.ciqfunctions.udf.CIQ(A2703, "IQ_EBITDA_MARGIN",IQ_FY-8))</f>
        <v>0</v>
      </c>
      <c r="H2704" s="15" t="e">
        <f>IF(A2711=A2712,_xll.ciqfunctions.udf.CIQ(A2703,"IQ_TOTAL_DIV_PAID_CF",IQ_FY-9)/-I2704, _xll.ciqfunctions.udf.CIQ(A2703, "IQ_TOTAL_DIV_PAID_CF",IQ_FY-8)/-I2704)</f>
        <v>#DIV/0!</v>
      </c>
      <c r="I2704" s="17">
        <f>IF(A2711=A2712,_xll.ciqfunctions.udf.CIQ(A2703,"IQ_TOTAL_OUTSTANDING_FILING_DATE",IQ_FY-9), _xll.ciqfunctions.udf.CIQ(A2703, "IQ_TOTAL_OUTSTANDING_FILING_DATE",IQ_FY-8))</f>
        <v>0</v>
      </c>
      <c r="J2704" s="17">
        <f>IF(A2711=A2712,_xll.ciqfunctions.udf.CIQ(A2703,"IQ_CASH_OPER",IQ_FY-9), _xll.ciqfunctions.udf.CIQ(A2703, "IQ_CASH_OPER",IQ_FY-8))</f>
        <v>0</v>
      </c>
      <c r="K2704" s="17">
        <f>IF(A2711=A2712,_xll.ciqfunctions.udf.CIQ(A2703,"IQ_CAPEX",IQ_FY-9), _xll.ciqfunctions.udf.CIQ(A2703, "IQ_CAPEX",IQ_FY-8))</f>
        <v>0</v>
      </c>
      <c r="L2704" s="15" t="e">
        <f t="shared" si="720"/>
        <v>#DIV/0!</v>
      </c>
      <c r="M2704" s="17">
        <f>IF(A2711=A2712,_xll.ciqfunctions.udf.CIQ(A2703,"IQ_TOTAL_DEBT_ISSUED",IQ_FY-9), _xll.ciqfunctions.udf.CIQ(A2703, "IQ_TOTAL_DEBT_ISSUED",IQ_FY-8))</f>
        <v>0</v>
      </c>
      <c r="N2704" s="17">
        <f>IF(A2711=A2712,_xll.ciqfunctions.udf.CIQ(A2703,"IQ_TOTAL_DEBT_REPAID",IQ_FY-9), _xll.ciqfunctions.udf.CIQ(A2703, "IQ_TOTAL_DEBT_REPAID",IQ_FY-8))</f>
        <v>0</v>
      </c>
      <c r="O2704" s="15" t="e">
        <f t="shared" si="721"/>
        <v>#DIV/0!</v>
      </c>
      <c r="P2704" s="15" t="e">
        <f t="shared" si="722"/>
        <v>#DIV/0!</v>
      </c>
      <c r="Q2704" s="25" t="s">
        <v>18</v>
      </c>
      <c r="R2704" s="39" t="s">
        <v>19</v>
      </c>
      <c r="S2704" s="1">
        <f>R2702/((AVERAGE(P2708:P2713))*(1+E2714)^3)</f>
        <v>-7.0585415137248191</v>
      </c>
      <c r="U2704" s="25" t="s">
        <v>48</v>
      </c>
      <c r="V2704" s="39" t="s">
        <v>19</v>
      </c>
      <c r="W2704" s="1">
        <f>V2702/((AVERAGE(P2708:P2713))*(1+E2714)^3)</f>
        <v>-7.0585415137248191</v>
      </c>
      <c r="Y2704" s="25" t="s">
        <v>39</v>
      </c>
      <c r="Z2704" s="39" t="s">
        <v>19</v>
      </c>
      <c r="AA2704" s="1">
        <f>Z2702/((AVERAGE(P2708:P2713))*(1+E2714)^3)</f>
        <v>-7.0585415137248191</v>
      </c>
    </row>
    <row r="2705" spans="1:27">
      <c r="B2705" s="13">
        <v>3</v>
      </c>
      <c r="C2705" s="14" t="s">
        <v>20</v>
      </c>
      <c r="D2705" s="15" cm="1">
        <f t="array" ref="D2705">_xlfn.SINGLE(IF(A2711=A2712,_xll.ciqfunctions.udf.CIQ(A2703,"IQ_TOTAL_REV",IQ_FY-8)/I2705, _xll.ciqfunctions.udf.CIQ(A2703, "IQ_TOTAL_REV",IQ_FY-7)/I2705))</f>
        <v>5.0805817450070903</v>
      </c>
      <c r="E2705" s="16" t="e">
        <f t="shared" si="723"/>
        <v>#DIV/0!</v>
      </c>
      <c r="F2705" s="15">
        <f>IF(A2711=A2712,_xll.ciqfunctions.udf.CIQ(A2703,"IQ_DILUT_EPS_EXCL",IQ_FY-8), _xll.ciqfunctions.udf.CIQ(A2703, "IQ_DILUT_EPS_EXCL",IQ_FY-7))</f>
        <v>0.32329999999999998</v>
      </c>
      <c r="G2705" s="15">
        <f>IF(A2711=A2712,_xll.ciqfunctions.udf.CIQ(A2703,"IQ_EBITDA_MARGIN",IQ_FY-8), _xll.ciqfunctions.udf.CIQ(A2703, "IQ_EBITDA_MARGIN",IQ_FY-7))</f>
        <v>16.0321</v>
      </c>
      <c r="H2705" s="15">
        <f>IF(A2711=A2712,_xll.ciqfunctions.udf.CIQ(A2703,"IQ_TOTAL_DIV_PAID_CF",IQ_FY-8)/-I2705, _xll.ciqfunctions.udf.CIQ(A2703, "IQ_TOTAL_DIV_PAID_CF",IQ_FY-7)/-I2705)</f>
        <v>0</v>
      </c>
      <c r="I2705" s="17">
        <f>IF(A2711=A2712,_xll.ciqfunctions.udf.CIQ(A2703,"IQ_TOTAL_OUTSTANDING_FILING_DATE",IQ_FY-8), _xll.ciqfunctions.udf.CIQ(A2703, "IQ_TOTAL_OUTSTANDING_FILING_DATE",IQ_FY-7))</f>
        <v>6.1422100000000004</v>
      </c>
      <c r="J2705" s="17">
        <f>IF(A2711=A2712,_xll.ciqfunctions.udf.CIQ(A2703,"IQ_CASH_OPER",IQ_FY-8), _xll.ciqfunctions.udf.CIQ(A2703, "IQ_CASH_OPER",IQ_FY-7))</f>
        <v>2.702</v>
      </c>
      <c r="K2705" s="17">
        <f>IF(A2711=A2712,_xll.ciqfunctions.udf.CIQ(A2703,"IQ_CAPEX",IQ_FY-8), _xll.ciqfunctions.udf.CIQ(A2703, "IQ_CAPEX",IQ_FY-7))</f>
        <v>-1.371</v>
      </c>
      <c r="L2705" s="15">
        <f t="shared" si="720"/>
        <v>0.216697247407692</v>
      </c>
      <c r="M2705" s="17">
        <f>IF(A2711=A2712,_xll.ciqfunctions.udf.CIQ(A2703,"IQ_TOTAL_DEBT_ISSUED",IQ_FY-8), _xll.ciqfunctions.udf.CIQ(A2703, "IQ_TOTAL_DEBT_ISSUED",IQ_FY-7))</f>
        <v>11.879</v>
      </c>
      <c r="N2705" s="17">
        <f>IF(A2711=A2712,_xll.ciqfunctions.udf.CIQ(A2703,"IQ_TOTAL_DEBT_REPAID",IQ_FY-8), _xll.ciqfunctions.udf.CIQ(A2703, "IQ_TOTAL_DEBT_REPAID",IQ_FY-7))</f>
        <v>-9.6050000000000004</v>
      </c>
      <c r="O2705" s="15">
        <f t="shared" si="721"/>
        <v>0.37022504929007621</v>
      </c>
      <c r="P2705" s="15">
        <f t="shared" si="722"/>
        <v>0.58692229669776819</v>
      </c>
      <c r="Q2705" s="25" t="s">
        <v>21</v>
      </c>
      <c r="R2705" s="38" t="s">
        <v>49</v>
      </c>
      <c r="S2705" s="2">
        <f>(R2702*I2713)/1000</f>
        <v>1.0424541599999999</v>
      </c>
      <c r="U2705" s="25" t="s">
        <v>59</v>
      </c>
      <c r="V2705" s="38" t="s">
        <v>49</v>
      </c>
      <c r="W2705" s="2">
        <f>(V2702*I2713)/1000</f>
        <v>1.0424541599999999</v>
      </c>
      <c r="Y2705" s="25" t="s">
        <v>46</v>
      </c>
      <c r="Z2705" s="38" t="s">
        <v>49</v>
      </c>
      <c r="AA2705" s="2">
        <f>(Z2702*I2713)/1000</f>
        <v>1.0424541599999999</v>
      </c>
    </row>
    <row r="2706" spans="1:27">
      <c r="A2706" s="18"/>
      <c r="B2706" s="13">
        <v>4</v>
      </c>
      <c r="C2706" s="14" t="s">
        <v>22</v>
      </c>
      <c r="D2706" s="15" cm="1">
        <f t="array" ref="D2706">_xlfn.SINGLE(IF(A2711=A2712,_xll.ciqfunctions.udf.CIQ(A2703,"IQ_TOTAL_REV",IQ_FY-7)/I2706, _xll.ciqfunctions.udf.CIQ(A2703, "IQ_TOTAL_REV",IQ_FY-6)/I2706))</f>
        <v>1.9669532310535855</v>
      </c>
      <c r="E2706" s="16">
        <f t="shared" si="723"/>
        <v>-0.61284881736494123</v>
      </c>
      <c r="F2706" s="15">
        <f>IF(A2711=A2712,_xll.ciqfunctions.udf.CIQ(A2703,"IQ_DILUT_EPS_EXCL",IQ_FY-7), _xll.ciqfunctions.udf.CIQ(A2703, "IQ_DILUT_EPS_EXCL",IQ_FY-6))</f>
        <v>0.06</v>
      </c>
      <c r="G2706" s="15">
        <f>IF(A2711=A2712,_xll.ciqfunctions.udf.CIQ(A2703,"IQ_EBITDA_MARGIN",IQ_FY-7), _xll.ciqfunctions.udf.CIQ(A2703, "IQ_EBITDA_MARGIN",IQ_FY-6))</f>
        <v>13.408300000000001</v>
      </c>
      <c r="H2706" s="15">
        <f>IF(A2711=A2712,_xll.ciqfunctions.udf.CIQ(A2703,"IQ_TOTAL_DIV_PAID_CF",IQ_FY-7)/-I2706, _xll.ciqfunctions.udf.CIQ(A2703, "IQ_TOTAL_DIV_PAID_CF",IQ_FY-6)/-I2706)</f>
        <v>0</v>
      </c>
      <c r="I2706" s="17">
        <f>IF(A2711=A2712,_xll.ciqfunctions.udf.CIQ(A2703,"IQ_TOTAL_OUTSTANDING_FILING_DATE",IQ_FY-7), _xll.ciqfunctions.udf.CIQ(A2703, "IQ_TOTAL_OUTSTANDING_FILING_DATE",IQ_FY-6))</f>
        <v>13.915430000000001</v>
      </c>
      <c r="J2706" s="17">
        <f>IF(A2711=A2712,_xll.ciqfunctions.udf.CIQ(A2703,"IQ_CASH_OPER",IQ_FY-7), _xll.ciqfunctions.udf.CIQ(A2703, "IQ_CASH_OPER",IQ_FY-6))</f>
        <v>-3.702</v>
      </c>
      <c r="K2706" s="17">
        <f>IF(A2711=A2712,_xll.ciqfunctions.udf.CIQ(A2703,"IQ_CAPEX",IQ_FY-7), _xll.ciqfunctions.udf.CIQ(A2703, "IQ_CAPEX",IQ_FY-6))</f>
        <v>-0.79500000000000004</v>
      </c>
      <c r="L2706" s="15">
        <f t="shared" si="720"/>
        <v>-0.3231664418562703</v>
      </c>
      <c r="M2706" s="17">
        <f>IF(A2711=A2712,_xll.ciqfunctions.udf.CIQ(A2703,"IQ_TOTAL_DEBT_ISSUED",IQ_FY-7), _xll.ciqfunctions.udf.CIQ(A2703, "IQ_TOTAL_DEBT_ISSUED",IQ_FY-6))</f>
        <v>5.9180000000000001</v>
      </c>
      <c r="N2706" s="17">
        <f>IF(A2711=A2712,_xll.ciqfunctions.udf.CIQ(A2703,"IQ_TOTAL_DEBT_REPAID",IQ_FY-7), _xll.ciqfunctions.udf.CIQ(A2703, "IQ_TOTAL_DEBT_REPAID",IQ_FY-6))</f>
        <v>-7.7160000000000002</v>
      </c>
      <c r="O2706" s="15">
        <f t="shared" si="721"/>
        <v>-0.12920908660386349</v>
      </c>
      <c r="P2706" s="15">
        <f t="shared" si="722"/>
        <v>-0.45237552846013379</v>
      </c>
      <c r="Q2706" s="25" t="s">
        <v>23</v>
      </c>
      <c r="R2706" s="38" t="s">
        <v>24</v>
      </c>
      <c r="S2706" s="1" t="e">
        <f>R2702/(AVERAGE(H2708:H2713)*(1+H2714)/(0.5-H2714))</f>
        <v>#DIV/0!</v>
      </c>
      <c r="U2706" s="25" t="s">
        <v>40</v>
      </c>
      <c r="V2706" s="38" t="s">
        <v>24</v>
      </c>
      <c r="W2706" s="1" t="e">
        <f>V2702/(AVERAGE(H2708:H2713)*(1+H2714)/(0.5-H2714))</f>
        <v>#DIV/0!</v>
      </c>
      <c r="Y2706" s="25" t="s">
        <v>47</v>
      </c>
      <c r="Z2706" s="38" t="s">
        <v>24</v>
      </c>
      <c r="AA2706" s="1" t="e">
        <f>Z2702/(AVERAGE(H2708:H2713)*(1+H2714)/(0.5-H2714))</f>
        <v>#DIV/0!</v>
      </c>
    </row>
    <row r="2707" spans="1:27">
      <c r="B2707" s="13">
        <v>5</v>
      </c>
      <c r="C2707" s="14" t="s">
        <v>25</v>
      </c>
      <c r="D2707" s="15" cm="1">
        <f t="array" ref="D2707">_xlfn.SINGLE(IF(A2711=A2712,_xll.ciqfunctions.udf.CIQ(A2703,"IQ_TOTAL_REV",IQ_FY-6)/I2707, _xll.ciqfunctions.udf.CIQ(A2703, "IQ_TOTAL_REV",IQ_FY-5)/I2707))</f>
        <v>0.79299068008953888</v>
      </c>
      <c r="E2707" s="16">
        <f t="shared" si="723"/>
        <v>-0.59684314422423834</v>
      </c>
      <c r="F2707" s="15">
        <f>IF(A2711=A2712,_xll.ciqfunctions.udf.CIQ(A2703,"IQ_DILUT_EPS_EXCL",IQ_FY-6), _xll.ciqfunctions.udf.CIQ(A2703, "IQ_DILUT_EPS_EXCL",IQ_FY-5))</f>
        <v>-1.67E-2</v>
      </c>
      <c r="G2707" s="15">
        <f>IF(A2711=A2712,_xll.ciqfunctions.udf.CIQ(A2703,"IQ_EBITDA_MARGIN",IQ_FY-6), _xll.ciqfunctions.udf.CIQ(A2703, "IQ_EBITDA_MARGIN",IQ_FY-5))</f>
        <v>2.5831</v>
      </c>
      <c r="H2707" s="15">
        <f>IF(A2711=A2712,_xll.ciqfunctions.udf.CIQ(A2703,"IQ_TOTAL_DIV_PAID_CF",IQ_FY-6)/-I2707, _xll.ciqfunctions.udf.CIQ(A2703, "IQ_TOTAL_DIV_PAID_CF",IQ_FY-5)/-I2707)</f>
        <v>0</v>
      </c>
      <c r="I2707" s="17">
        <f>IF(A2711=A2712,_xll.ciqfunctions.udf.CIQ(A2703,"IQ_TOTAL_OUTSTANDING_FILING_DATE",IQ_FY-6), _xll.ciqfunctions.udf.CIQ(A2703, "IQ_TOTAL_OUTSTANDING_FILING_DATE",IQ_FY-5))</f>
        <v>46.035850000000003</v>
      </c>
      <c r="J2707" s="17">
        <f>IF(A2711=A2712,_xll.ciqfunctions.udf.CIQ(A2703,"IQ_CASH_OPER",IQ_FY-6), _xll.ciqfunctions.udf.CIQ(A2703, "IQ_CASH_OPER",IQ_FY-5))</f>
        <v>-8.1010000000000009</v>
      </c>
      <c r="K2707" s="17">
        <f>IF(A2711=A2712,_xll.ciqfunctions.udf.CIQ(A2703,"IQ_CAPEX",IQ_FY-6), _xll.ciqfunctions.udf.CIQ(A2703, "IQ_CAPEX",IQ_FY-5))</f>
        <v>-0.65100000000000002</v>
      </c>
      <c r="L2707" s="15">
        <f t="shared" si="720"/>
        <v>-0.19011270564136429</v>
      </c>
      <c r="M2707" s="17">
        <f>IF(A2711=A2712,_xll.ciqfunctions.udf.CIQ(A2703,"IQ_TOTAL_DEBT_ISSUED",IQ_FY-6), _xll.ciqfunctions.udf.CIQ(A2703, "IQ_TOTAL_DEBT_ISSUED",IQ_FY-5))</f>
        <v>11.154</v>
      </c>
      <c r="N2707" s="17">
        <f>IF(A2711=A2712,_xll.ciqfunctions.udf.CIQ(A2703,"IQ_TOTAL_DEBT_REPAID",IQ_FY-6), _xll.ciqfunctions.udf.CIQ(A2703, "IQ_TOTAL_DEBT_REPAID",IQ_FY-5))</f>
        <v>-11.11</v>
      </c>
      <c r="O2707" s="15">
        <f t="shared" si="721"/>
        <v>9.5577685651509591E-4</v>
      </c>
      <c r="P2707" s="15">
        <f t="shared" si="722"/>
        <v>-0.18915692878484919</v>
      </c>
      <c r="Q2707" s="18"/>
      <c r="R2707" s="38" t="s">
        <v>50</v>
      </c>
      <c r="S2707" s="3">
        <f>I2714</f>
        <v>4.6768498125566493E-2</v>
      </c>
      <c r="U2707" s="18"/>
      <c r="V2707" s="38" t="s">
        <v>50</v>
      </c>
      <c r="W2707" s="3">
        <f>I2714</f>
        <v>4.6768498125566493E-2</v>
      </c>
      <c r="Y2707" s="18"/>
      <c r="Z2707" s="38" t="s">
        <v>50</v>
      </c>
      <c r="AA2707" s="3">
        <f>I2714</f>
        <v>4.6768498125566493E-2</v>
      </c>
    </row>
    <row r="2708" spans="1:27">
      <c r="B2708" s="13">
        <v>6</v>
      </c>
      <c r="C2708" s="14" t="s">
        <v>26</v>
      </c>
      <c r="D2708" s="15" cm="1">
        <f t="array" ref="D2708">_xlfn.SINGLE(IF(A2711=A2712,_xll.ciqfunctions.udf.CIQ(A2703,"IQ_TOTAL_REV",IQ_FY-5)/I2708, _xll.ciqfunctions.udf.CIQ(A2703, "IQ_TOTAL_REV",IQ_FY-4)/I2708))</f>
        <v>1.5477962415609718</v>
      </c>
      <c r="E2708" s="16">
        <f t="shared" si="723"/>
        <v>0.95184669936625943</v>
      </c>
      <c r="F2708" s="15">
        <f>IF(A2711=A2712,_xll.ciqfunctions.udf.CIQ(A2703,"IQ_DILUT_EPS_EXCL",IQ_FY-5), _xll.ciqfunctions.udf.CIQ(A2703, "IQ_DILUT_EPS_EXCL",IQ_FY-4))</f>
        <v>0.12330000000000001</v>
      </c>
      <c r="G2708" s="15">
        <f>IF(A2711=A2712,_xll.ciqfunctions.udf.CIQ(A2703,"IQ_EBITDA_MARGIN",IQ_FY-5), _xll.ciqfunctions.udf.CIQ(A2703, "IQ_EBITDA_MARGIN",IQ_FY-4))</f>
        <v>9.2279</v>
      </c>
      <c r="H2708" s="15">
        <f>IF(A2711=A2712,_xll.ciqfunctions.udf.CIQ(A2703,"IQ_TOTAL_DIV_PAID_CF",IQ_FY-5)/-I2708, _xll.ciqfunctions.udf.CIQ(A2703, "IQ_TOTAL_DIV_PAID_CF",IQ_FY-4)/-I2708)</f>
        <v>0</v>
      </c>
      <c r="I2708" s="17">
        <f>IF(A2711=A2712,_xll.ciqfunctions.udf.CIQ(A2703,"IQ_TOTAL_OUTSTANDING_FILING_DATE",IQ_FY-5), _xll.ciqfunctions.udf.CIQ(A2703, "IQ_TOTAL_OUTSTANDING_FILING_DATE",IQ_FY-4))</f>
        <v>48.225340000000003</v>
      </c>
      <c r="J2708" s="17">
        <f>IF(A2711=A2712,_xll.ciqfunctions.udf.CIQ(A2703,"IQ_CASH_OPER",IQ_FY-5), _xll.ciqfunctions.udf.CIQ(A2703, "IQ_CASH_OPER",IQ_FY-4))</f>
        <v>6.9089999999999998</v>
      </c>
      <c r="K2708" s="17">
        <f>IF(A2711=A2712,_xll.ciqfunctions.udf.CIQ(A2703,"IQ_CAPEX",IQ_FY-5), _xll.ciqfunctions.udf.CIQ(A2703, "IQ_CAPEX",IQ_FY-4))</f>
        <v>-1.83</v>
      </c>
      <c r="L2708" s="15">
        <f t="shared" si="720"/>
        <v>0.10531807551797456</v>
      </c>
      <c r="M2708" s="17">
        <f>IF(A2711=A2712,_xll.ciqfunctions.udf.CIQ(A2703,"IQ_TOTAL_DEBT_ISSUED",IQ_FY-5), _xll.ciqfunctions.udf.CIQ(A2703, "IQ_TOTAL_DEBT_ISSUED",IQ_FY-4))</f>
        <v>17.725999999999999</v>
      </c>
      <c r="N2708" s="17">
        <f>IF(A2711=A2712,_xll.ciqfunctions.udf.CIQ(A2703,"IQ_TOTAL_DEBT_REPAID",IQ_FY-5), _xll.ciqfunctions.udf.CIQ(A2703, "IQ_TOTAL_DEBT_REPAID",IQ_FY-4))</f>
        <v>-13.131</v>
      </c>
      <c r="O2708" s="15">
        <f t="shared" si="721"/>
        <v>9.5281858043924597E-2</v>
      </c>
      <c r="P2708" s="15">
        <f t="shared" si="722"/>
        <v>0.20059993356189915</v>
      </c>
      <c r="Q2708" s="25" t="s">
        <v>27</v>
      </c>
      <c r="R2708" s="38" t="s">
        <v>51</v>
      </c>
      <c r="S2708" s="4">
        <f>AVERAGE(F2708:F2713)/AVERAGE(D2708:D2713)</f>
        <v>0.11808001145428519</v>
      </c>
      <c r="U2708" s="25" t="s">
        <v>58</v>
      </c>
      <c r="V2708" s="38" t="s">
        <v>51</v>
      </c>
      <c r="W2708" s="4">
        <f>AVERAGE(F2708:F2713)/AVERAGE(D2708:D2713)</f>
        <v>0.11808001145428519</v>
      </c>
      <c r="Y2708" s="25" t="s">
        <v>56</v>
      </c>
      <c r="Z2708" s="38" t="s">
        <v>51</v>
      </c>
      <c r="AA2708" s="4">
        <f>AVERAGE(F2708:F2713)/AVERAGE(D2708:D2713)</f>
        <v>0.11808001145428519</v>
      </c>
    </row>
    <row r="2709" spans="1:27">
      <c r="A2709" s="18"/>
      <c r="B2709" s="13">
        <v>7</v>
      </c>
      <c r="C2709" s="14" t="s">
        <v>28</v>
      </c>
      <c r="D2709" s="15" cm="1">
        <f t="array" ref="D2709">_xlfn.SINGLE(IF(A2711=A2712,_xll.ciqfunctions.udf.CIQ(A2703,"IQ_TOTAL_REV",IQ_FY-4)/I2709, _xll.ciqfunctions.udf.CIQ(A2703, "IQ_TOTAL_REV",IQ_FY-3)/I2709))</f>
        <v>1.9762385998782173</v>
      </c>
      <c r="E2709" s="16">
        <f t="shared" si="723"/>
        <v>0.27680798467707607</v>
      </c>
      <c r="F2709" s="15">
        <f>IF(A2711=A2712,_xll.ciqfunctions.udf.CIQ(A2703,"IQ_DILUT_EPS_EXCL",IQ_FY-4), _xll.ciqfunctions.udf.CIQ(A2703, "IQ_DILUT_EPS_EXCL",IQ_FY-3))</f>
        <v>0.33</v>
      </c>
      <c r="G2709" s="15">
        <f>IF(A2711=A2712,_xll.ciqfunctions.udf.CIQ(A2703,"IQ_EBITDA_MARGIN",IQ_FY-4), _xll.ciqfunctions.udf.CIQ(A2703, "IQ_EBITDA_MARGIN",IQ_FY-3))</f>
        <v>17.2789</v>
      </c>
      <c r="H2709" s="15">
        <f>IF(A2711=A2712,_xll.ciqfunctions.udf.CIQ(A2703,"IQ_TOTAL_DIV_PAID_CF",IQ_FY-4)/-I2709, _xll.ciqfunctions.udf.CIQ(A2703, "IQ_TOTAL_DIV_PAID_CF",IQ_FY-3)/-I2709)</f>
        <v>0</v>
      </c>
      <c r="I2709" s="17">
        <f>IF(A2711=A2712,_xll.ciqfunctions.udf.CIQ(A2703,"IQ_TOTAL_OUTSTANDING_FILING_DATE",IQ_FY-4), _xll.ciqfunctions.udf.CIQ(A2703, "IQ_TOTAL_OUTSTANDING_FILING_DATE",IQ_FY-3))</f>
        <v>54.408410000000003</v>
      </c>
      <c r="J2709" s="17">
        <f>IF(A2711=A2712,_xll.ciqfunctions.udf.CIQ(A2703,"IQ_CASH_OPER",IQ_FY-4), _xll.ciqfunctions.udf.CIQ(A2703, "IQ_CASH_OPER",IQ_FY-3))</f>
        <v>9.4030000000000005</v>
      </c>
      <c r="K2709" s="17">
        <f>IF(A2711=A2712,_xll.ciqfunctions.udf.CIQ(A2703,"IQ_CAPEX",IQ_FY-4), _xll.ciqfunctions.udf.CIQ(A2703, "IQ_CAPEX",IQ_FY-3))</f>
        <v>-0.97099999999999997</v>
      </c>
      <c r="L2709" s="15">
        <f t="shared" si="720"/>
        <v>0.15497604138771928</v>
      </c>
      <c r="M2709" s="17">
        <f>IF(A2711=A2712,_xll.ciqfunctions.udf.CIQ(A2703,"IQ_TOTAL_DEBT_ISSUED",IQ_FY-4), _xll.ciqfunctions.udf.CIQ(A2703, "IQ_TOTAL_DEBT_ISSUED",IQ_FY-3))</f>
        <v>18.422999999999998</v>
      </c>
      <c r="N2709" s="17">
        <f>IF(A2711=A2712,_xll.ciqfunctions.udf.CIQ(A2703,"IQ_TOTAL_DEBT_REPAID",IQ_FY-4), _xll.ciqfunctions.udf.CIQ(A2703, "IQ_TOTAL_DEBT_REPAID",IQ_FY-3))</f>
        <v>-14.005000000000001</v>
      </c>
      <c r="O2709" s="15">
        <f t="shared" si="721"/>
        <v>8.1200682026914536E-2</v>
      </c>
      <c r="P2709" s="15">
        <f t="shared" si="722"/>
        <v>0.2361767234146338</v>
      </c>
      <c r="Q2709" s="18"/>
      <c r="R2709" s="38" t="s">
        <v>29</v>
      </c>
      <c r="S2709" s="4">
        <f>(AVERAGE(P2708:P2713)/_xlfn.STDEV.P(P2708:P2713))/(IF(A2711=A2712,(_xlfn.SINGLE(_xll.ciqfunctions.udf.CIQ(A2703,"IQ_total_assets",IQ_FY)) - _xlfn.SINGLE(_xll.ciqfunctions.udf.CIQ(A2703,"iq_gw_intan", IQ_FY)))/I2713, (_xlfn.SINGLE(_xll.ciqfunctions.udf.CIQ(A2703, "IQ_total_assets",IQ_LTM))-_xlfn.SINGLE(_xll.ciqfunctions.udf.CIQ(A2703,"iq_gw_intan",IQ_LTM)))/I2713))</f>
        <v>-3.9174017764087701E-2</v>
      </c>
      <c r="U2709" s="18"/>
      <c r="V2709" s="38" t="s">
        <v>29</v>
      </c>
      <c r="W2709" s="4">
        <f>(AVERAGE(P2708:P2713)/_xlfn.STDEV.P(P2708:P2713))/(IF(A2711=A2712,(_xlfn.SINGLE(_xll.ciqfunctions.udf.CIQ(A2703,"IQ_total_assets",IQ_FY)) - _xlfn.SINGLE(_xll.ciqfunctions.udf.CIQ(A2703,"iq_gw_intan", IQ_FY)))/I2713, (_xlfn.SINGLE(_xll.ciqfunctions.udf.CIQ(A2703, "IQ_total_assets",IQ_LTM))-_xlfn.SINGLE(_xll.ciqfunctions.udf.CIQ(A2703,"iq_gw_intan",IQ_LTM)))/I2713))</f>
        <v>-3.9174017764087701E-2</v>
      </c>
      <c r="Y2709" s="18"/>
      <c r="Z2709" s="38" t="s">
        <v>29</v>
      </c>
      <c r="AA2709" s="4">
        <f>(AVERAGE(P2708:P2713)/_xlfn.STDEV.P(P2708:P2713))/(IF(A2711=A2712,(_xlfn.SINGLE(_xll.ciqfunctions.udf.CIQ(A2703,"IQ_total_assets",IQ_FY)) - _xlfn.SINGLE(_xll.ciqfunctions.udf.CIQ(A2703,"iq_gw_intan", IQ_FY)))/I2713, (_xlfn.SINGLE(_xll.ciqfunctions.udf.CIQ(A2703, "IQ_total_assets",IQ_LTM))-_xlfn.SINGLE(_xll.ciqfunctions.udf.CIQ(A2703,"iq_gw_intan",IQ_LTM)))/I2713))</f>
        <v>-3.9174017764087701E-2</v>
      </c>
    </row>
    <row r="2710" spans="1:27">
      <c r="A2710" s="18"/>
      <c r="B2710" s="13">
        <v>8</v>
      </c>
      <c r="C2710" s="14" t="s">
        <v>30</v>
      </c>
      <c r="D2710" s="15" cm="1">
        <f t="array" ref="D2710">_xlfn.SINGLE(IF(A2711=A2712,_xll.ciqfunctions.udf.CIQ(A2703,"IQ_TOTAL_REV",IQ_FY-3)/I2710, _xll.ciqfunctions.udf.CIQ(A2703, "IQ_TOTAL_REV",IQ_FY-2)/I2710))</f>
        <v>2.7854616204065152</v>
      </c>
      <c r="E2710" s="16">
        <f t="shared" si="723"/>
        <v>0.4094763762726652</v>
      </c>
      <c r="F2710" s="15">
        <f>IF(A2711=A2712,_xll.ciqfunctions.udf.CIQ(A2703,"IQ_DILUT_EPS_EXCL",IQ_FY-3), _xll.ciqfunctions.udf.CIQ(A2703, "IQ_DILUT_EPS_EXCL",IQ_FY-2))</f>
        <v>0.3</v>
      </c>
      <c r="G2710" s="15">
        <f>IF(A2711=A2712,_xll.ciqfunctions.udf.CIQ(A2703,"IQ_EBITDA_MARGIN",IQ_FY-3), _xll.ciqfunctions.udf.CIQ(A2703, "IQ_EBITDA_MARGIN",IQ_FY-2))</f>
        <v>14.3956</v>
      </c>
      <c r="H2710" s="15">
        <f>IF(A2711=A2712,_xll.ciqfunctions.udf.CIQ(A2703,"IQ_TOTAL_DIV_PAID_CF",IQ_FY-3)/-I2710, _xll.ciqfunctions.udf.CIQ(A2703, "IQ_TOTAL_DIV_PAID_CF",IQ_FY-2)/-I2710)</f>
        <v>0</v>
      </c>
      <c r="I2710" s="17">
        <f>IF(A2711=A2712,_xll.ciqfunctions.udf.CIQ(A2703,"IQ_TOTAL_OUTSTANDING_FILING_DATE",IQ_FY-3), _xll.ciqfunctions.udf.CIQ(A2703, "IQ_TOTAL_OUTSTANDING_FILING_DATE",IQ_FY-2))</f>
        <v>56.229100000000003</v>
      </c>
      <c r="J2710" s="17">
        <f>IF(A2711=A2712,_xll.ciqfunctions.udf.CIQ(A2703,"IQ_CASH_OPER",IQ_FY-3), _xll.ciqfunctions.udf.CIQ(A2703, "IQ_CASH_OPER",IQ_FY-2))</f>
        <v>-13.547000000000001</v>
      </c>
      <c r="K2710" s="17">
        <f>IF(A2711=A2712,_xll.ciqfunctions.udf.CIQ(A2703,"IQ_CAPEX",IQ_FY-3), _xll.ciqfunctions.udf.CIQ(A2703, "IQ_CAPEX",IQ_FY-2))</f>
        <v>-45.417000000000002</v>
      </c>
      <c r="L2710" s="15">
        <f t="shared" si="720"/>
        <v>-1.0486385163554102</v>
      </c>
      <c r="M2710" s="17">
        <f>IF(A2711=A2712,_xll.ciqfunctions.udf.CIQ(A2703,"IQ_TOTAL_DEBT_ISSUED",IQ_FY-3), _xll.ciqfunctions.udf.CIQ(A2703, "IQ_TOTAL_DEBT_ISSUED",IQ_FY-2))</f>
        <v>52.271999999999998</v>
      </c>
      <c r="N2710" s="17">
        <f>IF(A2711=A2712,_xll.ciqfunctions.udf.CIQ(A2703,"IQ_TOTAL_DEBT_REPAID",IQ_FY-3), _xll.ciqfunctions.udf.CIQ(A2703, "IQ_TOTAL_DEBT_REPAID",IQ_FY-2))</f>
        <v>-22.183</v>
      </c>
      <c r="O2710" s="15">
        <f t="shared" si="721"/>
        <v>0.5351143802764049</v>
      </c>
      <c r="P2710" s="15">
        <f t="shared" si="722"/>
        <v>-0.51352413607900527</v>
      </c>
      <c r="Q2710" s="18"/>
      <c r="R2710" s="39" t="s">
        <v>31</v>
      </c>
      <c r="S2710" s="5" t="e">
        <f>IF(NOT(D2703&gt;0),FALSE,SLOPE(G2703:G2713,B2703:B2713))</f>
        <v>#DIV/0!</v>
      </c>
      <c r="U2710" s="18"/>
      <c r="V2710" s="39" t="s">
        <v>31</v>
      </c>
      <c r="W2710" s="5" t="e">
        <f>IF(NOT(D2703&gt;0),FALSE,SLOPE(G2703:G2713,B2703:B2713))</f>
        <v>#DIV/0!</v>
      </c>
      <c r="Y2710" s="18"/>
      <c r="Z2710" s="39" t="s">
        <v>31</v>
      </c>
      <c r="AA2710" s="5" t="e">
        <f>IF(NOT(L2703&gt;0),FALSE,SLOPE(O2703:O2713,J2703:J2713))</f>
        <v>#DIV/0!</v>
      </c>
    </row>
    <row r="2711" spans="1:27">
      <c r="A2711" s="19">
        <f>_xll.ciqfunctions.udf.CIQ(A2703,"IQ_TOTAL_REV",IQ_FY)</f>
        <v>388.83199999999999</v>
      </c>
      <c r="B2711" s="13">
        <v>9</v>
      </c>
      <c r="C2711" s="14" t="s">
        <v>32</v>
      </c>
      <c r="D2711" s="15" cm="1">
        <f t="array" ref="D2711">_xlfn.SINGLE(IF(A2711=A2712,_xll.ciqfunctions.udf.CIQ(A2703,"IQ_TOTAL_REV",IQ_FY-2)/I2711, _xll.ciqfunctions.udf.CIQ(A2703, "IQ_TOTAL_REV",IQ_FY-1)/I2711))</f>
        <v>4.4223180893480167</v>
      </c>
      <c r="E2711" s="16">
        <f t="shared" si="723"/>
        <v>0.58764280108896838</v>
      </c>
      <c r="F2711" s="15">
        <f>IF(A2711=A2712,_xll.ciqfunctions.udf.CIQ(A2703,"IQ_DILUT_EPS_EXCL",IQ_FY-2), _xll.ciqfunctions.udf.CIQ(A2703, "IQ_DILUT_EPS_EXCL",IQ_FY-1))</f>
        <v>0.57604999999999995</v>
      </c>
      <c r="G2711" s="15">
        <f>IF(A2711=A2712,_xll.ciqfunctions.udf.CIQ(A2703,"IQ_EBITDA_MARGIN",IQ_FY-2), _xll.ciqfunctions.udf.CIQ(A2703, "IQ_EBITDA_MARGIN",IQ_FY-1))</f>
        <v>15.8055</v>
      </c>
      <c r="H2711" s="15">
        <f>IF(A2711=A2712,_xll.ciqfunctions.udf.CIQ(A2703,"IQ_TOTAL_DIV_PAID_CF",IQ_FY-2)/-I2711, _xll.ciqfunctions.udf.CIQ(A2703, "IQ_TOTAL_DIV_PAID_CF",IQ_FY-1)/-I2711)</f>
        <v>0</v>
      </c>
      <c r="I2711" s="17">
        <f>IF(A2711=A2712,_xll.ciqfunctions.udf.CIQ(A2703,"IQ_TOTAL_OUTSTANDING_FILING_DATE",IQ_FY-2), _xll.ciqfunctions.udf.CIQ(A2703, "IQ_TOTAL_OUTSTANDING_FILING_DATE",IQ_FY-1))</f>
        <v>58.73639</v>
      </c>
      <c r="J2711" s="17">
        <f>IF(A2711=A2712,_xll.ciqfunctions.udf.CIQ(A2703,"IQ_CASH_OPER",IQ_FY-2), _xll.ciqfunctions.udf.CIQ(A2703, "IQ_CASH_OPER",IQ_FY-1))</f>
        <v>-40.093000000000004</v>
      </c>
      <c r="K2711" s="17">
        <f>IF(A2711=A2712,_xll.ciqfunctions.udf.CIQ(A2703,"IQ_CAPEX",IQ_FY-2), _xll.ciqfunctions.udf.CIQ(A2703, "IQ_CAPEX",IQ_FY-1))</f>
        <v>-9.1530000000000005</v>
      </c>
      <c r="L2711" s="15">
        <f t="shared" si="720"/>
        <v>-0.83842401618485585</v>
      </c>
      <c r="M2711" s="17">
        <f>IF(A2711=A2712,_xll.ciqfunctions.udf.CIQ(A2703,"IQ_TOTAL_DEBT_ISSUED",IQ_FY-2), _xll.ciqfunctions.udf.CIQ(A2703, "IQ_TOTAL_DEBT_ISSUED",IQ_FY-1))</f>
        <v>29.94</v>
      </c>
      <c r="N2711" s="17">
        <f>IF(A2711=A2712,_xll.ciqfunctions.udf.CIQ(A2703,"IQ_TOTAL_DEBT_REPAID",IQ_FY-2), _xll.ciqfunctions.udf.CIQ(A2703, "IQ_TOTAL_DEBT_REPAID",IQ_FY-1))</f>
        <v>-41.936</v>
      </c>
      <c r="O2711" s="15">
        <f t="shared" si="721"/>
        <v>-0.20423454693078683</v>
      </c>
      <c r="P2711" s="15">
        <f t="shared" si="722"/>
        <v>-1.0426585631156426</v>
      </c>
      <c r="Q2711" s="25" t="s">
        <v>33</v>
      </c>
      <c r="R2711" s="38" t="s">
        <v>52</v>
      </c>
      <c r="S2711" s="4">
        <f>(AVERAGE(O2708:O2713)/AVERAGE(P2708:P2713))</f>
        <v>-0.27868614424313698</v>
      </c>
      <c r="U2711" s="25" t="s">
        <v>54</v>
      </c>
      <c r="V2711" s="38" t="s">
        <v>52</v>
      </c>
      <c r="W2711" s="4">
        <f>(AVERAGE(O2708:O2713)/AVERAGE(P2708:P2713))</f>
        <v>-0.27868614424313698</v>
      </c>
      <c r="Y2711" s="25" t="s">
        <v>60</v>
      </c>
      <c r="Z2711" s="38" t="s">
        <v>52</v>
      </c>
      <c r="AA2711" s="4">
        <f>(AVERAGE(O2708:O2713)/AVERAGE(P2708:P2713))</f>
        <v>-0.27868614424313698</v>
      </c>
    </row>
    <row r="2712" spans="1:27">
      <c r="A2712" s="19">
        <f>_xll.ciqfunctions.udf.CIQ(A2703,"IQ_TOTAL_REV",IQ_LTM)</f>
        <v>495.94400000000002</v>
      </c>
      <c r="B2712" s="13">
        <v>10</v>
      </c>
      <c r="C2712" s="14" t="s">
        <v>34</v>
      </c>
      <c r="D2712" s="15" cm="1">
        <f t="array" ref="D2712">_xlfn.SINGLE(IF(A2711=A2712,_xll.ciqfunctions.udf.CIQ(A2703,"IQ_TOTAL_REV",IQ_FY-1)/I2712, _xll.ciqfunctions.udf.CIQ(A2703, "IQ_TOTAL_REV",IQ_FY)/I2712))</f>
        <v>6.512763916495417</v>
      </c>
      <c r="E2712" s="16">
        <f t="shared" si="723"/>
        <v>0.47270363300700402</v>
      </c>
      <c r="F2712" s="15">
        <f>IF(A2711=A2712,_xll.ciqfunctions.udf.CIQ(A2703,"IQ_DILUT_EPS_EXCL",IQ_FY-1), _xll.ciqfunctions.udf.CIQ(A2703, "IQ_DILUT_EPS_EXCL",IQ_FY))</f>
        <v>0.59194999999999998</v>
      </c>
      <c r="G2712" s="15">
        <f>IF(A2711=A2712,_xll.ciqfunctions.udf.CIQ(A2703,"IQ_EBITDA_MARGIN",IQ_FY-1), _xll.ciqfunctions.udf.CIQ(A2703, "IQ_EBITDA_MARGIN",IQ_FY))</f>
        <v>16.5626</v>
      </c>
      <c r="H2712" s="15">
        <f>IF(A2711=A2712,_xll.ciqfunctions.udf.CIQ(A2703,"IQ_TOTAL_DIV_PAID_CF",IQ_FY-1)/-I2712, _xll.ciqfunctions.udf.CIQ(A2703, "IQ_TOTAL_DIV_PAID_CF",IQ_FY)/-I2712)</f>
        <v>0</v>
      </c>
      <c r="I2712" s="17">
        <f>IF(A2711=A2712,_xll.ciqfunctions.udf.CIQ(A2703,"IQ_TOTAL_OUTSTANDING_FILING_DATE",IQ_FY-1), _xll.ciqfunctions.udf.CIQ(A2703, "IQ_TOTAL_OUTSTANDING_FILING_DATE",IQ_FY))</f>
        <v>59.703069999999997</v>
      </c>
      <c r="J2712" s="17">
        <f>IF(A2711=A2712,_xll.ciqfunctions.udf.CIQ(A2703,"IQ_CASH_OPER",IQ_FY-1), _xll.ciqfunctions.udf.CIQ(A2703, "IQ_CASH_OPER",IQ_FY))</f>
        <v>-62.194000000000003</v>
      </c>
      <c r="K2712" s="17">
        <f>IF(A2711=A2712,_xll.ciqfunctions.udf.CIQ(A2703,"IQ_CAPEX",IQ_FY-1), _xll.ciqfunctions.udf.CIQ(A2703, "IQ_CAPEX",IQ_FY))</f>
        <v>-91.093999999999994</v>
      </c>
      <c r="L2712" s="15">
        <f t="shared" si="720"/>
        <v>-2.5675061600684859</v>
      </c>
      <c r="M2712" s="17">
        <f>IF(A2711=A2712,_xll.ciqfunctions.udf.CIQ(A2703,"IQ_TOTAL_DEBT_ISSUED",IQ_FY-1), _xll.ciqfunctions.udf.CIQ(A2703, "IQ_TOTAL_DEBT_ISSUED",IQ_FY))</f>
        <v>56.003999999999998</v>
      </c>
      <c r="N2712" s="17">
        <f>IF(A2711=A2712,_xll.ciqfunctions.udf.CIQ(A2703,"IQ_TOTAL_DEBT_REPAID",IQ_FY-1), _xll.ciqfunctions.udf.CIQ(A2703, "IQ_TOTAL_DEBT_REPAID",IQ_FY))</f>
        <v>-11.446999999999999</v>
      </c>
      <c r="O2712" s="15">
        <f t="shared" si="721"/>
        <v>0.74631003062321588</v>
      </c>
      <c r="P2712" s="15">
        <f t="shared" si="722"/>
        <v>-1.8211961294452701</v>
      </c>
      <c r="Q2712" s="25" t="s">
        <v>44</v>
      </c>
      <c r="R2712" s="38" t="s">
        <v>35</v>
      </c>
      <c r="S2712" s="1">
        <f>_xll.ciqfunctions.udf.CIQ(A2703,"IQ_TEV_EBITDA")</f>
        <v>9.0990099999999998</v>
      </c>
      <c r="U2712" s="25" t="s">
        <v>55</v>
      </c>
      <c r="V2712" s="38" t="s">
        <v>53</v>
      </c>
      <c r="W2712" s="1">
        <f>V2702/(AVERAGE(D2708:D2713)/_xlfn.STDEV.P(E2708:E2713))</f>
        <v>0.95123393523641198</v>
      </c>
      <c r="Y2712" s="25" t="s">
        <v>57</v>
      </c>
      <c r="Z2712" s="38" t="s">
        <v>53</v>
      </c>
      <c r="AA2712" s="1">
        <f>Z2702/(AVERAGE(D2708:D2713)/_xlfn.STDEV.P(E2708:E2713))</f>
        <v>0.95123393523641198</v>
      </c>
    </row>
    <row r="2713" spans="1:27">
      <c r="B2713" s="13">
        <v>11</v>
      </c>
      <c r="C2713" s="20" t="s">
        <v>36</v>
      </c>
      <c r="D2713" s="21" cm="1">
        <f t="array" ref="D2713">_xlfn.SINGLE(IF(A2711=A2712,_xll.ciqfunctions.udf.CIQ(A2703,"IQ_TOTAL_REV",IQ_FY)/I2713, _xll.ciqfunctions.udf.CIQ(A2703, "IQ_TOTAL_REV",IQ_LTM)/I2713))</f>
        <v>8.1828411524589253</v>
      </c>
      <c r="E2713" s="22">
        <f t="shared" si="723"/>
        <v>0.25643141028551109</v>
      </c>
      <c r="F2713" s="21">
        <f>IF(A2711=A2712,_xll.ciqfunctions.udf.CIQ(A2703,"IQ_DILUT_EPS_EXCL",IQ_FY), _xll.ciqfunctions.udf.CIQ(A2703, "IQ_DILUT_EPS_EXCL",IQ_LTM))</f>
        <v>1.08117</v>
      </c>
      <c r="G2713" s="21">
        <f>IF(A2711=A2712,_xll.ciqfunctions.udf.CIQ(A2703,"IQ_EBITDA_MARGIN",IQ_FY), _xll.ciqfunctions.udf.CIQ(A2703, "IQ_EBITDA_MARGIN",IQ_LTM))</f>
        <v>19.441299999999998</v>
      </c>
      <c r="H2713" s="21">
        <f>IF(A2711=A2712,_xll.ciqfunctions.udf.CIQ(A2703,"IQ_TOTAL_DIV_PAID_CF",IQ_FY)/-I2713, _xll.ciqfunctions.udf.CIQ(A2703, "IQ_TOTAL_DIV_PAID_CF",IQ_LTM)/-I2713)</f>
        <v>6.5189629057646054E-2</v>
      </c>
      <c r="I2713" s="23">
        <f>IF(A2711=A2712,_xll.ciqfunctions.udf.CIQ(A2703,"IQ_TOTAL_OUTSTANDING_FILING_DATE",IQ_FY),_xll.ciqfunctions.udf.CIQ(A2703,"IQ_sharesoutstanding"))</f>
        <v>60.607799999999997</v>
      </c>
      <c r="J2713" s="23">
        <f>IF(A2711=A2712,_xll.ciqfunctions.udf.CIQ(A2703,"IQ_CASH_OPER",IQ_FY), _xll.ciqfunctions.udf.CIQ(A2703, "IQ_CASH_OPER",IQ_LTM))</f>
        <v>-42.914000000000001</v>
      </c>
      <c r="K2713" s="23">
        <f>IF(A2711=A2712,_xll.ciqfunctions.udf.CIQ(A2703,"IQ_CAPEX",IQ_FY), _xll.ciqfunctions.udf.CIQ(A2703, "IQ_CAPEX",IQ_LTM))</f>
        <v>-120.07899999999999</v>
      </c>
      <c r="L2713" s="21">
        <f t="shared" si="720"/>
        <v>-2.6893073168800057</v>
      </c>
      <c r="M2713" s="23">
        <f>IF(A2711=A2712,_xll.ciqfunctions.udf.CIQ(A2703,"IQ_TOTAL_DEBT_ISSUED",IQ_FY), _xll.ciqfunctions.udf.CIQ(A2703, "IQ_TOTAL_DEBT_ISSUED",IQ_LTM))</f>
        <v>62.49</v>
      </c>
      <c r="N2713" s="23">
        <f>IF(A2711=A2712,_xll.ciqfunctions.udf.CIQ(A2703,"IQ_TOTAL_DEBT_REPAID",IQ_FY), _xll.ciqfunctions.udf.CIQ(A2703, "IQ_TOTAL_DEBT_REPAID",IQ_LTM))</f>
        <v>-47.545000000000002</v>
      </c>
      <c r="O2713" s="21">
        <f t="shared" si="721"/>
        <v>0.24658542299835995</v>
      </c>
      <c r="P2713" s="21">
        <f t="shared" si="722"/>
        <v>-2.4427218938816457</v>
      </c>
      <c r="Q2713" s="25" t="s">
        <v>45</v>
      </c>
      <c r="S2713" s="45"/>
      <c r="U2713" s="25"/>
      <c r="W2713" s="45"/>
      <c r="Y2713" s="25"/>
      <c r="AA2713" s="45"/>
    </row>
    <row r="2714" spans="1:27">
      <c r="B2714" s="24"/>
      <c r="C2714" s="25" t="s">
        <v>37</v>
      </c>
      <c r="E2714" s="26">
        <f>((D2713/D2708)^(1/5))-1</f>
        <v>0.39520513685487946</v>
      </c>
      <c r="F2714" s="27">
        <f>((F2713/F2708)^(1/5))-1</f>
        <v>0.54378274326265075</v>
      </c>
      <c r="G2714" s="28"/>
      <c r="H2714" s="27" t="e">
        <f>((H2713/H2708)^(1/5))-1</f>
        <v>#DIV/0!</v>
      </c>
      <c r="I2714" s="27">
        <f>((I2713/I2708)^(1/5))-1</f>
        <v>4.6768498125566493E-2</v>
      </c>
      <c r="J2714" s="27"/>
      <c r="K2714" s="27"/>
      <c r="L2714" s="26">
        <f>((L2713/L2708)^(1/5))-1</f>
        <v>-2.9117341745827647</v>
      </c>
      <c r="M2714" s="26"/>
      <c r="N2714" s="26"/>
      <c r="O2714" s="26"/>
      <c r="P2714" s="26">
        <f>((P2713/P2708)^(1/5))-1</f>
        <v>-2.6485747660651242</v>
      </c>
      <c r="Q2714" s="18"/>
      <c r="R2714" s="36"/>
      <c r="S2714" s="45"/>
      <c r="U2714" s="18"/>
      <c r="V2714" s="36"/>
      <c r="W2714" s="45"/>
      <c r="Y2714" s="18"/>
      <c r="Z2714" s="36"/>
      <c r="AA2714" s="45"/>
    </row>
    <row r="2715" spans="1:27">
      <c r="A2715" s="29"/>
      <c r="B2715" s="30"/>
      <c r="C2715" s="31" t="s">
        <v>38</v>
      </c>
      <c r="D2715" s="29"/>
      <c r="E2715" s="32" t="e">
        <f>((D2713/D2703)^(1/10))-1</f>
        <v>#DIV/0!</v>
      </c>
      <c r="F2715" s="33" t="e">
        <f>((F2713/F2703)^(1/10))-1</f>
        <v>#DIV/0!</v>
      </c>
      <c r="G2715" s="34"/>
      <c r="H2715" s="33" t="e">
        <f>((H2713/H2703)^(1/10))-1</f>
        <v>#DIV/0!</v>
      </c>
      <c r="I2715" s="33" t="e">
        <f>((I2713/I2703)^(1/10))-1</f>
        <v>#DIV/0!</v>
      </c>
      <c r="J2715" s="33"/>
      <c r="K2715" s="33"/>
      <c r="L2715" s="32" t="e">
        <f>((L2713/L2703)^(1/10))-1</f>
        <v>#DIV/0!</v>
      </c>
      <c r="M2715" s="32"/>
      <c r="N2715" s="32"/>
      <c r="O2715" s="32"/>
      <c r="P2715" s="32" t="e">
        <f>((P2713/P2703)^(1/10))-1</f>
        <v>#DIV/0!</v>
      </c>
      <c r="Q2715" s="40"/>
      <c r="R2715" s="41"/>
      <c r="S2715" s="46"/>
      <c r="U2715" s="40"/>
      <c r="V2715" s="41"/>
      <c r="W2715" s="46"/>
      <c r="Y2715" s="40"/>
      <c r="Z2715" s="41"/>
      <c r="AA2715" s="46"/>
    </row>
    <row r="2716" spans="1:27">
      <c r="B2716" s="24"/>
      <c r="C2716" s="25"/>
      <c r="E2716" s="26"/>
      <c r="F2716" s="27"/>
      <c r="G2716" s="28"/>
      <c r="H2716" s="27"/>
      <c r="I2716" s="27"/>
      <c r="J2716" s="27"/>
      <c r="K2716" s="27"/>
      <c r="L2716" s="26"/>
      <c r="M2716" s="17"/>
      <c r="N2716" s="17"/>
      <c r="O2716" s="17"/>
      <c r="P2716" s="35"/>
      <c r="Q2716" s="18"/>
      <c r="R2716" s="36"/>
    </row>
    <row r="2717" spans="1:27">
      <c r="A2717" s="9" t="s">
        <v>0</v>
      </c>
      <c r="B2717" s="10"/>
      <c r="C2717" s="9" t="s">
        <v>1</v>
      </c>
      <c r="D2717" s="9" t="s">
        <v>2</v>
      </c>
      <c r="E2717" s="9" t="s">
        <v>3</v>
      </c>
      <c r="F2717" s="11" t="s">
        <v>4</v>
      </c>
      <c r="G2717" s="11" t="s">
        <v>5</v>
      </c>
      <c r="H2717" s="9" t="s">
        <v>6</v>
      </c>
      <c r="I2717" s="11" t="s">
        <v>7</v>
      </c>
      <c r="J2717" s="11" t="s">
        <v>8</v>
      </c>
      <c r="K2717" s="11" t="s">
        <v>9</v>
      </c>
      <c r="L2717" s="11" t="s">
        <v>10</v>
      </c>
      <c r="M2717" s="11" t="s">
        <v>11</v>
      </c>
      <c r="N2717" s="11" t="s">
        <v>12</v>
      </c>
      <c r="O2717" s="11" t="s">
        <v>13</v>
      </c>
      <c r="P2717" s="11" t="s">
        <v>14</v>
      </c>
      <c r="Q2717" s="37" t="s">
        <v>15</v>
      </c>
      <c r="R2717" s="42">
        <f>_xll.ciqfunctions.udf.CIQ(A2718,("IQ_LASTSALEPRICE"))</f>
        <v>55.63</v>
      </c>
      <c r="S2717" s="44"/>
      <c r="U2717" s="37" t="s">
        <v>15</v>
      </c>
      <c r="V2717" s="42">
        <f>_xll.ciqfunctions.udf.CIQ(A2718,("IQ_LASTSALEPRICE"))</f>
        <v>55.63</v>
      </c>
      <c r="W2717" s="44"/>
      <c r="Y2717" s="37" t="s">
        <v>15</v>
      </c>
      <c r="Z2717" s="42">
        <f>_xll.ciqfunctions.udf.CIQ(A2718,("IQ_LASTSALEPRICE"))</f>
        <v>55.63</v>
      </c>
      <c r="AA2717" s="44"/>
    </row>
    <row r="2718" spans="1:27">
      <c r="A2718" s="12" t="str">
        <f>Analysis!B183</f>
        <v>NasdaqGS:AMBA</v>
      </c>
      <c r="B2718" s="13">
        <v>1</v>
      </c>
      <c r="C2718" s="14" t="s">
        <v>16</v>
      </c>
      <c r="D2718" s="15">
        <f>IF(A2726=A2727,_xll.ciqfunctions.udf.CIQ(A2718,"IQ_TOTAL_REV",IQ_FY-10)/I2718,_xll.ciqfunctions.udf.CIQ(A2718, "IQ_TOTAL_REV",IQ_FY-9)/I2718)</f>
        <v>5.4823015175395176</v>
      </c>
      <c r="E2718" s="16"/>
      <c r="F2718" s="15">
        <f>IF(A2726=A2727,_xll.ciqfunctions.udf.CIQ(A2718,"IQ_DILUT_EPS_EXCL",IQ_FY-10), _xll.ciqfunctions.udf.CIQ(A2718, "IQ_DILUT_EPS_EXCL",IQ_FY-9))</f>
        <v>0.84928000000000003</v>
      </c>
      <c r="G2718" s="15">
        <f>IF(A2726=A2727,_xll.ciqfunctions.udf.CIQ(A2718,"IQ_EBITDA_MARGIN",IQ_FY-10), _xll.ciqfunctions.udf.CIQ(A2718, "IQ_EBITDA_MARGIN",IQ_FY-9))</f>
        <v>18.408300000000001</v>
      </c>
      <c r="H2718" s="15">
        <f>IF(A2726=A2727,_xll.ciqfunctions.udf.CIQ(A2718,"IQ_TOTAL_DIV_PAID_CF",IQ_FY-10)/-I2718, _xll.ciqfunctions.udf.CIQ(A2718, "IQ_TOTAL_DIV_PAID_CF",IQ_FY-9)/-I2718)</f>
        <v>0</v>
      </c>
      <c r="I2718" s="17">
        <f>IF(A2726=A2727,_xll.ciqfunctions.udf.CIQ(A2718,"IQ_TOTAL_OUTSTANDING_FILING_DATE",IQ_FY-10), _xll.ciqfunctions.udf.CIQ(A2718, "IQ_TOTAL_OUTSTANDING_FILING_DATE",IQ_FY-9))</f>
        <v>28.74851</v>
      </c>
      <c r="J2718" s="17">
        <f>IF(A2726=A2727,_xll.ciqfunctions.udf.CIQ(A2718,"IQ_CASH_OPER",IQ_FY-10), _xll.ciqfunctions.udf.CIQ(A2718, "IQ_CASH_OPER",IQ_FY-9))</f>
        <v>34.35</v>
      </c>
      <c r="K2718" s="17">
        <f>IF(A2726=A2727,_xll.ciqfunctions.udf.CIQ(A2718,"IQ_CAPEX",IQ_FY-10), _xll.ciqfunctions.udf.CIQ(A2718, "IQ_CAPEX",IQ_FY-9))</f>
        <v>-1.7010000000000001</v>
      </c>
      <c r="L2718" s="15">
        <f t="shared" ref="L2718:L2728" si="724">(J2718+K2718)/I2718</f>
        <v>1.1356762489603809</v>
      </c>
      <c r="M2718" s="17">
        <f>IF(A2726=A2727,_xll.ciqfunctions.udf.CIQ(A2718,"IQ_TOTAL_DEBT_ISSUED",IQ_FY-10), _xll.ciqfunctions.udf.CIQ(A2718, "IQ_TOTAL_DEBT_ISSUED",IQ_FY-9))</f>
        <v>0</v>
      </c>
      <c r="N2718" s="17">
        <f>IF(A2726=A2727,_xll.ciqfunctions.udf.CIQ(A2718,"IQ_TOTAL_DEBT_REPAID",IQ_FY-10), _xll.ciqfunctions.udf.CIQ(A2718, "IQ_TOTAL_DEBT_REPAID",IQ_FY-9))</f>
        <v>0</v>
      </c>
      <c r="O2718" s="15">
        <f t="shared" ref="O2718:O2728" si="725">(M2718+N2718)/I2718</f>
        <v>0</v>
      </c>
      <c r="P2718" s="15">
        <f t="shared" ref="P2718:P2728" si="726">L2718+O2718</f>
        <v>1.1356762489603809</v>
      </c>
      <c r="W2718" s="43"/>
      <c r="AA2718" s="43"/>
    </row>
    <row r="2719" spans="1:27">
      <c r="A2719" s="18" t="str">
        <f>_xll.ciqfunctions.udf.CIQ(A2718,"IQ_COMPANY_NAME")</f>
        <v>Ambarella, Inc.</v>
      </c>
      <c r="B2719" s="13">
        <v>2</v>
      </c>
      <c r="C2719" s="14" t="s">
        <v>17</v>
      </c>
      <c r="D2719" s="15">
        <f>IF(A2726=A2727,_xll.ciqfunctions.udf.CIQ(A2718,"IQ_TOTAL_REV",IQ_FY-9)/I2719, _xll.ciqfunctions.udf.CIQ(A2718, "IQ_TOTAL_REV",IQ_FY-8)/I2719)</f>
        <v>7.0783230693249424</v>
      </c>
      <c r="E2719" s="16">
        <f t="shared" ref="E2719:E2728" si="727">(D2719-D2718)/D2718</f>
        <v>0.29112254163315826</v>
      </c>
      <c r="F2719" s="15">
        <f>IF(A2726=A2727,_xll.ciqfunctions.udf.CIQ(A2718,"IQ_DILUT_EPS_EXCL",IQ_FY-9), _xll.ciqfunctions.udf.CIQ(A2718, "IQ_DILUT_EPS_EXCL",IQ_FY-8))</f>
        <v>1.5664199999999999</v>
      </c>
      <c r="G2719" s="15">
        <f>IF(A2726=A2727,_xll.ciqfunctions.udf.CIQ(A2718,"IQ_EBITDA_MARGIN",IQ_FY-9), _xll.ciqfunctions.udf.CIQ(A2718, "IQ_EBITDA_MARGIN",IQ_FY-8))</f>
        <v>24.370699999999999</v>
      </c>
      <c r="H2719" s="15">
        <f>IF(A2726=A2727,_xll.ciqfunctions.udf.CIQ(A2718,"IQ_TOTAL_DIV_PAID_CF",IQ_FY-9)/-I2719, _xll.ciqfunctions.udf.CIQ(A2718, "IQ_TOTAL_DIV_PAID_CF",IQ_FY-8)/-I2719)</f>
        <v>0</v>
      </c>
      <c r="I2719" s="17">
        <f>IF(A2726=A2727,_xll.ciqfunctions.udf.CIQ(A2718,"IQ_TOTAL_OUTSTANDING_FILING_DATE",IQ_FY-9), _xll.ciqfunctions.udf.CIQ(A2718, "IQ_TOTAL_OUTSTANDING_FILING_DATE",IQ_FY-8))</f>
        <v>30.837530000000001</v>
      </c>
      <c r="J2719" s="17">
        <f>IF(A2726=A2727,_xll.ciqfunctions.udf.CIQ(A2718,"IQ_CASH_OPER",IQ_FY-9), _xll.ciqfunctions.udf.CIQ(A2718, "IQ_CASH_OPER",IQ_FY-8))</f>
        <v>52.258000000000003</v>
      </c>
      <c r="K2719" s="17">
        <f>IF(A2726=A2727,_xll.ciqfunctions.udf.CIQ(A2718,"IQ_CAPEX",IQ_FY-9), _xll.ciqfunctions.udf.CIQ(A2718, "IQ_CAPEX",IQ_FY-8))</f>
        <v>-1.361</v>
      </c>
      <c r="L2719" s="15">
        <f t="shared" si="724"/>
        <v>1.6504888685961556</v>
      </c>
      <c r="M2719" s="17">
        <f>IF(A2726=A2727,_xll.ciqfunctions.udf.CIQ(A2718,"IQ_TOTAL_DEBT_ISSUED",IQ_FY-9), _xll.ciqfunctions.udf.CIQ(A2718, "IQ_TOTAL_DEBT_ISSUED",IQ_FY-8))</f>
        <v>0</v>
      </c>
      <c r="N2719" s="17">
        <f>IF(A2726=A2727,_xll.ciqfunctions.udf.CIQ(A2718,"IQ_TOTAL_DEBT_REPAID",IQ_FY-9), _xll.ciqfunctions.udf.CIQ(A2718, "IQ_TOTAL_DEBT_REPAID",IQ_FY-8))</f>
        <v>0</v>
      </c>
      <c r="O2719" s="15">
        <f t="shared" si="725"/>
        <v>0</v>
      </c>
      <c r="P2719" s="15">
        <f t="shared" si="726"/>
        <v>1.6504888685961556</v>
      </c>
      <c r="Q2719" s="25" t="s">
        <v>18</v>
      </c>
      <c r="R2719" s="39" t="s">
        <v>19</v>
      </c>
      <c r="S2719" s="1">
        <f>R2717/((AVERAGE(P2723:P2728))*(1+E2729)^3)</f>
        <v>76.20536704046161</v>
      </c>
      <c r="U2719" s="25" t="s">
        <v>48</v>
      </c>
      <c r="V2719" s="39" t="s">
        <v>19</v>
      </c>
      <c r="W2719" s="1">
        <f>V2717/((AVERAGE(P2723:P2728))*(1+E2729)^3)</f>
        <v>76.20536704046161</v>
      </c>
      <c r="Y2719" s="25" t="s">
        <v>39</v>
      </c>
      <c r="Z2719" s="39" t="s">
        <v>19</v>
      </c>
      <c r="AA2719" s="1">
        <f>Z2717/((AVERAGE(P2723:P2728))*(1+E2729)^3)</f>
        <v>76.20536704046161</v>
      </c>
    </row>
    <row r="2720" spans="1:27">
      <c r="B2720" s="13">
        <v>3</v>
      </c>
      <c r="C2720" s="14" t="s">
        <v>20</v>
      </c>
      <c r="D2720" s="15" cm="1">
        <f t="array" ref="D2720">_xlfn.SINGLE(IF(A2726=A2727,_xll.ciqfunctions.udf.CIQ(A2718,"IQ_TOTAL_REV",IQ_FY-8)/I2720, _xll.ciqfunctions.udf.CIQ(A2718, "IQ_TOTAL_REV",IQ_FY-7)/I2720))</f>
        <v>9.7847238888875143</v>
      </c>
      <c r="E2720" s="16">
        <f t="shared" si="727"/>
        <v>0.38235056425881403</v>
      </c>
      <c r="F2720" s="15">
        <f>IF(A2726=A2727,_xll.ciqfunctions.udf.CIQ(A2718,"IQ_DILUT_EPS_EXCL",IQ_FY-8), _xll.ciqfunctions.udf.CIQ(A2718, "IQ_DILUT_EPS_EXCL",IQ_FY-7))</f>
        <v>2.27</v>
      </c>
      <c r="G2720" s="15">
        <f>IF(A2726=A2727,_xll.ciqfunctions.udf.CIQ(A2718,"IQ_EBITDA_MARGIN",IQ_FY-8), _xll.ciqfunctions.udf.CIQ(A2718, "IQ_EBITDA_MARGIN",IQ_FY-7))</f>
        <v>27.520900000000001</v>
      </c>
      <c r="H2720" s="15">
        <f>IF(A2726=A2727,_xll.ciqfunctions.udf.CIQ(A2718,"IQ_TOTAL_DIV_PAID_CF",IQ_FY-8)/-I2720, _xll.ciqfunctions.udf.CIQ(A2718, "IQ_TOTAL_DIV_PAID_CF",IQ_FY-7)/-I2720)</f>
        <v>0</v>
      </c>
      <c r="I2720" s="17">
        <f>IF(A2726=A2727,_xll.ciqfunctions.udf.CIQ(A2718,"IQ_TOTAL_OUTSTANDING_FILING_DATE",IQ_FY-8), _xll.ciqfunctions.udf.CIQ(A2718, "IQ_TOTAL_OUTSTANDING_FILING_DATE",IQ_FY-7))</f>
        <v>32.333359999999999</v>
      </c>
      <c r="J2720" s="17">
        <f>IF(A2726=A2727,_xll.ciqfunctions.udf.CIQ(A2718,"IQ_CASH_OPER",IQ_FY-8), _xll.ciqfunctions.udf.CIQ(A2718, "IQ_CASH_OPER",IQ_FY-7))</f>
        <v>123.56100000000001</v>
      </c>
      <c r="K2720" s="17">
        <f>IF(A2726=A2727,_xll.ciqfunctions.udf.CIQ(A2718,"IQ_CAPEX",IQ_FY-8), _xll.ciqfunctions.udf.CIQ(A2718, "IQ_CAPEX",IQ_FY-7))</f>
        <v>-2.085</v>
      </c>
      <c r="L2720" s="15">
        <f t="shared" si="724"/>
        <v>3.7569865921760068</v>
      </c>
      <c r="M2720" s="17">
        <f>IF(A2726=A2727,_xll.ciqfunctions.udf.CIQ(A2718,"IQ_TOTAL_DEBT_ISSUED",IQ_FY-8), _xll.ciqfunctions.udf.CIQ(A2718, "IQ_TOTAL_DEBT_ISSUED",IQ_FY-7))</f>
        <v>0</v>
      </c>
      <c r="N2720" s="17">
        <f>IF(A2726=A2727,_xll.ciqfunctions.udf.CIQ(A2718,"IQ_TOTAL_DEBT_REPAID",IQ_FY-8), _xll.ciqfunctions.udf.CIQ(A2718, "IQ_TOTAL_DEBT_REPAID",IQ_FY-7))</f>
        <v>0</v>
      </c>
      <c r="O2720" s="15">
        <f t="shared" si="725"/>
        <v>0</v>
      </c>
      <c r="P2720" s="15">
        <f t="shared" si="726"/>
        <v>3.7569865921760068</v>
      </c>
      <c r="Q2720" s="25" t="s">
        <v>21</v>
      </c>
      <c r="R2720" s="38" t="s">
        <v>49</v>
      </c>
      <c r="S2720" s="2">
        <f>(R2717*I2728)/1000</f>
        <v>2.2184259349000004</v>
      </c>
      <c r="U2720" s="25" t="s">
        <v>59</v>
      </c>
      <c r="V2720" s="38" t="s">
        <v>49</v>
      </c>
      <c r="W2720" s="2">
        <f>(V2717*I2728)/1000</f>
        <v>2.2184259349000004</v>
      </c>
      <c r="Y2720" s="25" t="s">
        <v>46</v>
      </c>
      <c r="Z2720" s="38" t="s">
        <v>49</v>
      </c>
      <c r="AA2720" s="2">
        <f>(Z2717*I2728)/1000</f>
        <v>2.2184259349000004</v>
      </c>
    </row>
    <row r="2721" spans="1:27">
      <c r="A2721" s="18"/>
      <c r="B2721" s="13">
        <v>4</v>
      </c>
      <c r="C2721" s="14" t="s">
        <v>22</v>
      </c>
      <c r="D2721" s="15" cm="1">
        <f t="array" ref="D2721">_xlfn.SINGLE(IF(A2726=A2727,_xll.ciqfunctions.udf.CIQ(A2718,"IQ_TOTAL_REV",IQ_FY-7)/I2721, _xll.ciqfunctions.udf.CIQ(A2718, "IQ_TOTAL_REV",IQ_FY-6)/I2721))</f>
        <v>9.2558388710809965</v>
      </c>
      <c r="E2721" s="16">
        <f t="shared" si="727"/>
        <v>-5.4052114685338361E-2</v>
      </c>
      <c r="F2721" s="15">
        <f>IF(A2726=A2727,_xll.ciqfunctions.udf.CIQ(A2718,"IQ_DILUT_EPS_EXCL",IQ_FY-7), _xll.ciqfunctions.udf.CIQ(A2718, "IQ_DILUT_EPS_EXCL",IQ_FY-6))</f>
        <v>1.68</v>
      </c>
      <c r="G2721" s="15">
        <f>IF(A2726=A2727,_xll.ciqfunctions.udf.CIQ(A2718,"IQ_EBITDA_MARGIN",IQ_FY-7), _xll.ciqfunctions.udf.CIQ(A2718, "IQ_EBITDA_MARGIN",IQ_FY-6))</f>
        <v>19.947900000000001</v>
      </c>
      <c r="H2721" s="15">
        <f>IF(A2726=A2727,_xll.ciqfunctions.udf.CIQ(A2718,"IQ_TOTAL_DIV_PAID_CF",IQ_FY-7)/-I2721, _xll.ciqfunctions.udf.CIQ(A2718, "IQ_TOTAL_DIV_PAID_CF",IQ_FY-6)/-I2721)</f>
        <v>0</v>
      </c>
      <c r="I2721" s="17">
        <f>IF(A2726=A2727,_xll.ciqfunctions.udf.CIQ(A2718,"IQ_TOTAL_OUTSTANDING_FILING_DATE",IQ_FY-7), _xll.ciqfunctions.udf.CIQ(A2718, "IQ_TOTAL_OUTSTANDING_FILING_DATE",IQ_FY-6))</f>
        <v>33.524459999999998</v>
      </c>
      <c r="J2721" s="17">
        <f>IF(A2726=A2727,_xll.ciqfunctions.udf.CIQ(A2718,"IQ_CASH_OPER",IQ_FY-7), _xll.ciqfunctions.udf.CIQ(A2718, "IQ_CASH_OPER",IQ_FY-6))</f>
        <v>113.316</v>
      </c>
      <c r="K2721" s="17">
        <f>IF(A2726=A2727,_xll.ciqfunctions.udf.CIQ(A2718,"IQ_CAPEX",IQ_FY-7), _xll.ciqfunctions.udf.CIQ(A2718, "IQ_CAPEX",IQ_FY-6))</f>
        <v>-2.7010000000000001</v>
      </c>
      <c r="L2721" s="15">
        <f t="shared" si="724"/>
        <v>3.2995311483018672</v>
      </c>
      <c r="M2721" s="17">
        <f>IF(A2726=A2727,_xll.ciqfunctions.udf.CIQ(A2718,"IQ_TOTAL_DEBT_ISSUED",IQ_FY-7), _xll.ciqfunctions.udf.CIQ(A2718, "IQ_TOTAL_DEBT_ISSUED",IQ_FY-6))</f>
        <v>0</v>
      </c>
      <c r="N2721" s="17">
        <f>IF(A2726=A2727,_xll.ciqfunctions.udf.CIQ(A2718,"IQ_TOTAL_DEBT_REPAID",IQ_FY-7), _xll.ciqfunctions.udf.CIQ(A2718, "IQ_TOTAL_DEBT_REPAID",IQ_FY-6))</f>
        <v>0</v>
      </c>
      <c r="O2721" s="15">
        <f t="shared" si="725"/>
        <v>0</v>
      </c>
      <c r="P2721" s="15">
        <f t="shared" si="726"/>
        <v>3.2995311483018672</v>
      </c>
      <c r="Q2721" s="25" t="s">
        <v>23</v>
      </c>
      <c r="R2721" s="38" t="s">
        <v>24</v>
      </c>
      <c r="S2721" s="1" t="e">
        <f>R2717/(AVERAGE(H2723:H2728)*(1+H2729)/(0.5-H2729))</f>
        <v>#DIV/0!</v>
      </c>
      <c r="U2721" s="25" t="s">
        <v>40</v>
      </c>
      <c r="V2721" s="38" t="s">
        <v>24</v>
      </c>
      <c r="W2721" s="1" t="e">
        <f>V2717/(AVERAGE(H2723:H2728)*(1+H2729)/(0.5-H2729))</f>
        <v>#DIV/0!</v>
      </c>
      <c r="Y2721" s="25" t="s">
        <v>47</v>
      </c>
      <c r="Z2721" s="38" t="s">
        <v>24</v>
      </c>
      <c r="AA2721" s="1" t="e">
        <f>Z2717/(AVERAGE(H2723:H2728)*(1+H2729)/(0.5-H2729))</f>
        <v>#DIV/0!</v>
      </c>
    </row>
    <row r="2722" spans="1:27">
      <c r="B2722" s="13">
        <v>5</v>
      </c>
      <c r="C2722" s="14" t="s">
        <v>25</v>
      </c>
      <c r="D2722" s="15" cm="1">
        <f t="array" ref="D2722">_xlfn.SINGLE(IF(A2726=A2727,_xll.ciqfunctions.udf.CIQ(A2718,"IQ_TOTAL_REV",IQ_FY-6)/I2722, _xll.ciqfunctions.udf.CIQ(A2718, "IQ_TOTAL_REV",IQ_FY-5)/I2722))</f>
        <v>8.7824967273974881</v>
      </c>
      <c r="E2722" s="16">
        <f t="shared" si="727"/>
        <v>-5.1139842674057523E-2</v>
      </c>
      <c r="F2722" s="15">
        <f>IF(A2726=A2727,_xll.ciqfunctions.udf.CIQ(A2718,"IQ_DILUT_EPS_EXCL",IQ_FY-6), _xll.ciqfunctions.udf.CIQ(A2718, "IQ_DILUT_EPS_EXCL",IQ_FY-5))</f>
        <v>0.55000000000000004</v>
      </c>
      <c r="G2722" s="15">
        <f>IF(A2726=A2727,_xll.ciqfunctions.udf.CIQ(A2718,"IQ_EBITDA_MARGIN",IQ_FY-6), _xll.ciqfunctions.udf.CIQ(A2718, "IQ_EBITDA_MARGIN",IQ_FY-5))</f>
        <v>8.8696000000000002</v>
      </c>
      <c r="H2722" s="15">
        <f>IF(A2726=A2727,_xll.ciqfunctions.udf.CIQ(A2718,"IQ_TOTAL_DIV_PAID_CF",IQ_FY-6)/-I2722, _xll.ciqfunctions.udf.CIQ(A2718, "IQ_TOTAL_DIV_PAID_CF",IQ_FY-5)/-I2722)</f>
        <v>0</v>
      </c>
      <c r="I2722" s="17">
        <f>IF(A2726=A2727,_xll.ciqfunctions.udf.CIQ(A2718,"IQ_TOTAL_OUTSTANDING_FILING_DATE",IQ_FY-6), _xll.ciqfunctions.udf.CIQ(A2718, "IQ_TOTAL_OUTSTANDING_FILING_DATE",IQ_FY-5))</f>
        <v>33.635309999999997</v>
      </c>
      <c r="J2722" s="17">
        <f>IF(A2726=A2727,_xll.ciqfunctions.udf.CIQ(A2718,"IQ_CASH_OPER",IQ_FY-6), _xll.ciqfunctions.udf.CIQ(A2718, "IQ_CASH_OPER",IQ_FY-5))</f>
        <v>85.403999999999996</v>
      </c>
      <c r="K2722" s="17">
        <f>IF(A2726=A2727,_xll.ciqfunctions.udf.CIQ(A2718,"IQ_CAPEX",IQ_FY-6), _xll.ciqfunctions.udf.CIQ(A2718, "IQ_CAPEX",IQ_FY-5))</f>
        <v>-3.6869999999999998</v>
      </c>
      <c r="L2722" s="15">
        <f t="shared" si="724"/>
        <v>2.4295004267836391</v>
      </c>
      <c r="M2722" s="17">
        <f>IF(A2726=A2727,_xll.ciqfunctions.udf.CIQ(A2718,"IQ_TOTAL_DEBT_ISSUED",IQ_FY-6), _xll.ciqfunctions.udf.CIQ(A2718, "IQ_TOTAL_DEBT_ISSUED",IQ_FY-5))</f>
        <v>0</v>
      </c>
      <c r="N2722" s="17">
        <f>IF(A2726=A2727,_xll.ciqfunctions.udf.CIQ(A2718,"IQ_TOTAL_DEBT_REPAID",IQ_FY-6), _xll.ciqfunctions.udf.CIQ(A2718, "IQ_TOTAL_DEBT_REPAID",IQ_FY-5))</f>
        <v>0</v>
      </c>
      <c r="O2722" s="15">
        <f t="shared" si="725"/>
        <v>0</v>
      </c>
      <c r="P2722" s="15">
        <f t="shared" si="726"/>
        <v>2.4295004267836391</v>
      </c>
      <c r="Q2722" s="18"/>
      <c r="R2722" s="38" t="s">
        <v>50</v>
      </c>
      <c r="S2722" s="3">
        <f>I2729</f>
        <v>4.0331625771860224E-2</v>
      </c>
      <c r="U2722" s="18"/>
      <c r="V2722" s="38" t="s">
        <v>50</v>
      </c>
      <c r="W2722" s="3">
        <f>I2729</f>
        <v>4.0331625771860224E-2</v>
      </c>
      <c r="Y2722" s="18"/>
      <c r="Z2722" s="38" t="s">
        <v>50</v>
      </c>
      <c r="AA2722" s="3">
        <f>I2729</f>
        <v>4.0331625771860224E-2</v>
      </c>
    </row>
    <row r="2723" spans="1:27">
      <c r="B2723" s="13">
        <v>6</v>
      </c>
      <c r="C2723" s="14" t="s">
        <v>26</v>
      </c>
      <c r="D2723" s="15" cm="1">
        <f t="array" ref="D2723">_xlfn.SINGLE(IF(A2726=A2727,_xll.ciqfunctions.udf.CIQ(A2718,"IQ_TOTAL_REV",IQ_FY-5)/I2723, _xll.ciqfunctions.udf.CIQ(A2718, "IQ_TOTAL_REV",IQ_FY-4)/I2723))</f>
        <v>6.9601057791356338</v>
      </c>
      <c r="E2723" s="16">
        <f t="shared" si="727"/>
        <v>-0.20750260487735842</v>
      </c>
      <c r="F2723" s="15">
        <f>IF(A2726=A2727,_xll.ciqfunctions.udf.CIQ(A2718,"IQ_DILUT_EPS_EXCL",IQ_FY-5), _xll.ciqfunctions.udf.CIQ(A2718, "IQ_DILUT_EPS_EXCL",IQ_FY-4))</f>
        <v>-0.93071000000000004</v>
      </c>
      <c r="G2723" s="15">
        <f>IF(A2726=A2727,_xll.ciqfunctions.udf.CIQ(A2718,"IQ_EBITDA_MARGIN",IQ_FY-5), _xll.ciqfunctions.udf.CIQ(A2718, "IQ_EBITDA_MARGIN",IQ_FY-4))</f>
        <v>-16.639199999999999</v>
      </c>
      <c r="H2723" s="15">
        <f>IF(A2726=A2727,_xll.ciqfunctions.udf.CIQ(A2718,"IQ_TOTAL_DIV_PAID_CF",IQ_FY-5)/-I2723, _xll.ciqfunctions.udf.CIQ(A2718, "IQ_TOTAL_DIV_PAID_CF",IQ_FY-4)/-I2723)</f>
        <v>0</v>
      </c>
      <c r="I2723" s="17">
        <f>IF(A2726=A2727,_xll.ciqfunctions.udf.CIQ(A2718,"IQ_TOTAL_OUTSTANDING_FILING_DATE",IQ_FY-5), _xll.ciqfunctions.udf.CIQ(A2718, "IQ_TOTAL_OUTSTANDING_FILING_DATE",IQ_FY-4))</f>
        <v>32.724789999999999</v>
      </c>
      <c r="J2723" s="17">
        <f>IF(A2726=A2727,_xll.ciqfunctions.udf.CIQ(A2718,"IQ_CASH_OPER",IQ_FY-5), _xll.ciqfunctions.udf.CIQ(A2718, "IQ_CASH_OPER",IQ_FY-4))</f>
        <v>24.472000000000001</v>
      </c>
      <c r="K2723" s="17">
        <f>IF(A2726=A2727,_xll.ciqfunctions.udf.CIQ(A2718,"IQ_CAPEX",IQ_FY-5), _xll.ciqfunctions.udf.CIQ(A2718, "IQ_CAPEX",IQ_FY-4))</f>
        <v>-2.94</v>
      </c>
      <c r="L2723" s="15">
        <f t="shared" si="724"/>
        <v>0.65797213671959398</v>
      </c>
      <c r="M2723" s="17">
        <f>IF(A2726=A2727,_xll.ciqfunctions.udf.CIQ(A2718,"IQ_TOTAL_DEBT_ISSUED",IQ_FY-5), _xll.ciqfunctions.udf.CIQ(A2718, "IQ_TOTAL_DEBT_ISSUED",IQ_FY-4))</f>
        <v>0</v>
      </c>
      <c r="N2723" s="17">
        <f>IF(A2726=A2727,_xll.ciqfunctions.udf.CIQ(A2718,"IQ_TOTAL_DEBT_REPAID",IQ_FY-5), _xll.ciqfunctions.udf.CIQ(A2718, "IQ_TOTAL_DEBT_REPAID",IQ_FY-4))</f>
        <v>0</v>
      </c>
      <c r="O2723" s="15">
        <f t="shared" si="725"/>
        <v>0</v>
      </c>
      <c r="P2723" s="15">
        <f t="shared" si="726"/>
        <v>0.65797213671959398</v>
      </c>
      <c r="Q2723" s="25" t="s">
        <v>27</v>
      </c>
      <c r="R2723" s="38" t="s">
        <v>51</v>
      </c>
      <c r="S2723" s="4">
        <f>AVERAGE(F2723:F2728)/AVERAGE(D2723:D2728)</f>
        <v>-0.20162962085510872</v>
      </c>
      <c r="U2723" s="25" t="s">
        <v>58</v>
      </c>
      <c r="V2723" s="38" t="s">
        <v>51</v>
      </c>
      <c r="W2723" s="4">
        <f>AVERAGE(F2723:F2728)/AVERAGE(D2723:D2728)</f>
        <v>-0.20162962085510872</v>
      </c>
      <c r="Y2723" s="25" t="s">
        <v>56</v>
      </c>
      <c r="Z2723" s="38" t="s">
        <v>51</v>
      </c>
      <c r="AA2723" s="4">
        <f>AVERAGE(F2723:F2728)/AVERAGE(D2723:D2728)</f>
        <v>-0.20162962085510872</v>
      </c>
    </row>
    <row r="2724" spans="1:27">
      <c r="A2724" s="18"/>
      <c r="B2724" s="13">
        <v>7</v>
      </c>
      <c r="C2724" s="14" t="s">
        <v>28</v>
      </c>
      <c r="D2724" s="15" cm="1">
        <f t="array" ref="D2724">_xlfn.SINGLE(IF(A2726=A2727,_xll.ciqfunctions.udf.CIQ(A2718,"IQ_TOTAL_REV",IQ_FY-4)/I2724, _xll.ciqfunctions.udf.CIQ(A2718, "IQ_TOTAL_REV",IQ_FY-3)/I2724))</f>
        <v>6.6863985757946471</v>
      </c>
      <c r="E2724" s="16">
        <f t="shared" si="727"/>
        <v>-3.9325149936870349E-2</v>
      </c>
      <c r="F2724" s="15">
        <f>IF(A2726=A2727,_xll.ciqfunctions.udf.CIQ(A2718,"IQ_DILUT_EPS_EXCL",IQ_FY-4), _xll.ciqfunctions.udf.CIQ(A2718, "IQ_DILUT_EPS_EXCL",IQ_FY-3))</f>
        <v>-1.3539000000000001</v>
      </c>
      <c r="G2724" s="15">
        <f>IF(A2726=A2727,_xll.ciqfunctions.udf.CIQ(A2718,"IQ_EBITDA_MARGIN",IQ_FY-4), _xll.ciqfunctions.udf.CIQ(A2718, "IQ_EBITDA_MARGIN",IQ_FY-3))</f>
        <v>-19.200600000000001</v>
      </c>
      <c r="H2724" s="15">
        <f>IF(A2726=A2727,_xll.ciqfunctions.udf.CIQ(A2718,"IQ_TOTAL_DIV_PAID_CF",IQ_FY-4)/-I2724, _xll.ciqfunctions.udf.CIQ(A2718, "IQ_TOTAL_DIV_PAID_CF",IQ_FY-3)/-I2724)</f>
        <v>0</v>
      </c>
      <c r="I2724" s="17">
        <f>IF(A2726=A2727,_xll.ciqfunctions.udf.CIQ(A2718,"IQ_TOTAL_OUTSTANDING_FILING_DATE",IQ_FY-4), _xll.ciqfunctions.udf.CIQ(A2718, "IQ_TOTAL_OUTSTANDING_FILING_DATE",IQ_FY-3))</f>
        <v>34.208550000000002</v>
      </c>
      <c r="J2724" s="17">
        <f>IF(A2726=A2727,_xll.ciqfunctions.udf.CIQ(A2718,"IQ_CASH_OPER",IQ_FY-4), _xll.ciqfunctions.udf.CIQ(A2718, "IQ_CASH_OPER",IQ_FY-3))</f>
        <v>39.414000000000001</v>
      </c>
      <c r="K2724" s="17">
        <f>IF(A2726=A2727,_xll.ciqfunctions.udf.CIQ(A2718,"IQ_CAPEX",IQ_FY-4), _xll.ciqfunctions.udf.CIQ(A2718, "IQ_CAPEX",IQ_FY-3))</f>
        <v>-1.821</v>
      </c>
      <c r="L2724" s="15">
        <f t="shared" si="724"/>
        <v>1.0989357923676977</v>
      </c>
      <c r="M2724" s="17">
        <f>IF(A2726=A2727,_xll.ciqfunctions.udf.CIQ(A2718,"IQ_TOTAL_DEBT_ISSUED",IQ_FY-4), _xll.ciqfunctions.udf.CIQ(A2718, "IQ_TOTAL_DEBT_ISSUED",IQ_FY-3))</f>
        <v>0</v>
      </c>
      <c r="N2724" s="17">
        <f>IF(A2726=A2727,_xll.ciqfunctions.udf.CIQ(A2718,"IQ_TOTAL_DEBT_REPAID",IQ_FY-4), _xll.ciqfunctions.udf.CIQ(A2718, "IQ_TOTAL_DEBT_REPAID",IQ_FY-3))</f>
        <v>0</v>
      </c>
      <c r="O2724" s="15">
        <f t="shared" si="725"/>
        <v>0</v>
      </c>
      <c r="P2724" s="15">
        <f t="shared" si="726"/>
        <v>1.0989357923676977</v>
      </c>
      <c r="Q2724" s="18"/>
      <c r="R2724" s="38" t="s">
        <v>29</v>
      </c>
      <c r="S2724" s="4">
        <f>(AVERAGE(P2723:P2728)/_xlfn.STDEV.P(P2723:P2728))/(IF(A2726=A2727,(_xlfn.SINGLE(_xll.ciqfunctions.udf.CIQ(A2718,"IQ_total_assets",IQ_FY)) - _xlfn.SINGLE(_xll.ciqfunctions.udf.CIQ(A2718,"iq_gw_intan", IQ_FY)))/I2728, (_xlfn.SINGLE(_xll.ciqfunctions.udf.CIQ(A2718, "IQ_total_assets",IQ_LTM))-_xlfn.SINGLE(_xll.ciqfunctions.udf.CIQ(A2718,"iq_gw_intan",IQ_LTM)))/I2728))</f>
        <v>0.36488071241146197</v>
      </c>
      <c r="U2724" s="18"/>
      <c r="V2724" s="38" t="s">
        <v>29</v>
      </c>
      <c r="W2724" s="4">
        <f>(AVERAGE(P2723:P2728)/_xlfn.STDEV.P(P2723:P2728))/(IF(A2726=A2727,(_xlfn.SINGLE(_xll.ciqfunctions.udf.CIQ(A2718,"IQ_total_assets",IQ_FY)) - _xlfn.SINGLE(_xll.ciqfunctions.udf.CIQ(A2718,"iq_gw_intan", IQ_FY)))/I2728, (_xlfn.SINGLE(_xll.ciqfunctions.udf.CIQ(A2718, "IQ_total_assets",IQ_LTM))-_xlfn.SINGLE(_xll.ciqfunctions.udf.CIQ(A2718,"iq_gw_intan",IQ_LTM)))/I2728))</f>
        <v>0.36488071241146197</v>
      </c>
      <c r="Y2724" s="18"/>
      <c r="Z2724" s="38" t="s">
        <v>29</v>
      </c>
      <c r="AA2724" s="4">
        <f>(AVERAGE(P2723:P2728)/_xlfn.STDEV.P(P2723:P2728))/(IF(A2726=A2727,(_xlfn.SINGLE(_xll.ciqfunctions.udf.CIQ(A2718,"IQ_total_assets",IQ_FY)) - _xlfn.SINGLE(_xll.ciqfunctions.udf.CIQ(A2718,"iq_gw_intan", IQ_FY)))/I2728, (_xlfn.SINGLE(_xll.ciqfunctions.udf.CIQ(A2718, "IQ_total_assets",IQ_LTM))-_xlfn.SINGLE(_xll.ciqfunctions.udf.CIQ(A2718,"iq_gw_intan",IQ_LTM)))/I2728))</f>
        <v>0.36488071241146197</v>
      </c>
    </row>
    <row r="2725" spans="1:27">
      <c r="A2725" s="18"/>
      <c r="B2725" s="13">
        <v>8</v>
      </c>
      <c r="C2725" s="14" t="s">
        <v>30</v>
      </c>
      <c r="D2725" s="15" cm="1">
        <f t="array" ref="D2725">_xlfn.SINGLE(IF(A2726=A2727,_xll.ciqfunctions.udf.CIQ(A2718,"IQ_TOTAL_REV",IQ_FY-3)/I2725, _xll.ciqfunctions.udf.CIQ(A2718, "IQ_TOTAL_REV",IQ_FY-2)/I2725))</f>
        <v>6.1516637962212748</v>
      </c>
      <c r="E2725" s="16">
        <f t="shared" si="727"/>
        <v>-7.9973512424036372E-2</v>
      </c>
      <c r="F2725" s="15">
        <f>IF(A2726=A2727,_xll.ciqfunctions.udf.CIQ(A2718,"IQ_DILUT_EPS_EXCL",IQ_FY-3), _xll.ciqfunctions.udf.CIQ(A2718, "IQ_DILUT_EPS_EXCL",IQ_FY-2))</f>
        <v>-1.7239500000000001</v>
      </c>
      <c r="G2725" s="15">
        <f>IF(A2726=A2727,_xll.ciqfunctions.udf.CIQ(A2718,"IQ_EBITDA_MARGIN",IQ_FY-3), _xll.ciqfunctions.udf.CIQ(A2718, "IQ_EBITDA_MARGIN",IQ_FY-2))</f>
        <v>-24.978200000000001</v>
      </c>
      <c r="H2725" s="15">
        <f>IF(A2726=A2727,_xll.ciqfunctions.udf.CIQ(A2718,"IQ_TOTAL_DIV_PAID_CF",IQ_FY-3)/-I2725, _xll.ciqfunctions.udf.CIQ(A2718, "IQ_TOTAL_DIV_PAID_CF",IQ_FY-2)/-I2725)</f>
        <v>0</v>
      </c>
      <c r="I2725" s="17">
        <f>IF(A2726=A2727,_xll.ciqfunctions.udf.CIQ(A2718,"IQ_TOTAL_OUTSTANDING_FILING_DATE",IQ_FY-3), _xll.ciqfunctions.udf.CIQ(A2718, "IQ_TOTAL_OUTSTANDING_FILING_DATE",IQ_FY-2))</f>
        <v>36.248730000000002</v>
      </c>
      <c r="J2725" s="17">
        <f>IF(A2726=A2727,_xll.ciqfunctions.udf.CIQ(A2718,"IQ_CASH_OPER",IQ_FY-3), _xll.ciqfunctions.udf.CIQ(A2718, "IQ_CASH_OPER",IQ_FY-2))</f>
        <v>30.8</v>
      </c>
      <c r="K2725" s="17">
        <f>IF(A2726=A2727,_xll.ciqfunctions.udf.CIQ(A2718,"IQ_CAPEX",IQ_FY-3), _xll.ciqfunctions.udf.CIQ(A2718, "IQ_CAPEX",IQ_FY-2))</f>
        <v>-4.9420000000000002</v>
      </c>
      <c r="L2725" s="15">
        <f t="shared" si="724"/>
        <v>0.71334912974882148</v>
      </c>
      <c r="M2725" s="17">
        <f>IF(A2726=A2727,_xll.ciqfunctions.udf.CIQ(A2718,"IQ_TOTAL_DEBT_ISSUED",IQ_FY-3), _xll.ciqfunctions.udf.CIQ(A2718, "IQ_TOTAL_DEBT_ISSUED",IQ_FY-2))</f>
        <v>0</v>
      </c>
      <c r="N2725" s="17">
        <f>IF(A2726=A2727,_xll.ciqfunctions.udf.CIQ(A2718,"IQ_TOTAL_DEBT_REPAID",IQ_FY-3), _xll.ciqfunctions.udf.CIQ(A2718, "IQ_TOTAL_DEBT_REPAID",IQ_FY-2))</f>
        <v>0</v>
      </c>
      <c r="O2725" s="15">
        <f t="shared" si="725"/>
        <v>0</v>
      </c>
      <c r="P2725" s="15">
        <f t="shared" si="726"/>
        <v>0.71334912974882148</v>
      </c>
      <c r="Q2725" s="18"/>
      <c r="R2725" s="39" t="s">
        <v>31</v>
      </c>
      <c r="S2725" s="5">
        <f>IF(NOT(D2718&gt;0),FALSE,SLOPE(G2718:G2728,B2718:B2728))</f>
        <v>-5.8855681818181811</v>
      </c>
      <c r="U2725" s="18"/>
      <c r="V2725" s="39" t="s">
        <v>31</v>
      </c>
      <c r="W2725" s="5">
        <f>IF(NOT(D2718&gt;0),FALSE,SLOPE(G2718:G2728,B2718:B2728))</f>
        <v>-5.8855681818181811</v>
      </c>
      <c r="Y2725" s="18"/>
      <c r="Z2725" s="39" t="s">
        <v>31</v>
      </c>
      <c r="AA2725" s="5">
        <f>IF(NOT(L2718&gt;0),FALSE,SLOPE(O2718:O2728,J2718:J2728))</f>
        <v>0</v>
      </c>
    </row>
    <row r="2726" spans="1:27">
      <c r="A2726" s="19">
        <f>_xll.ciqfunctions.udf.CIQ(A2718,"IQ_TOTAL_REV",IQ_FY)</f>
        <v>337.60599999999999</v>
      </c>
      <c r="B2726" s="13">
        <v>9</v>
      </c>
      <c r="C2726" s="14" t="s">
        <v>32</v>
      </c>
      <c r="D2726" s="15" cm="1">
        <f t="array" ref="D2726">_xlfn.SINGLE(IF(A2726=A2727,_xll.ciqfunctions.udf.CIQ(A2718,"IQ_TOTAL_REV",IQ_FY-2)/I2726, _xll.ciqfunctions.udf.CIQ(A2718, "IQ_TOTAL_REV",IQ_FY-1)/I2726))</f>
        <v>8.7180713142941197</v>
      </c>
      <c r="E2726" s="16">
        <f t="shared" si="727"/>
        <v>0.41718917078161655</v>
      </c>
      <c r="F2726" s="15">
        <f>IF(A2726=A2727,_xll.ciqfunctions.udf.CIQ(A2718,"IQ_DILUT_EPS_EXCL",IQ_FY-2), _xll.ciqfunctions.udf.CIQ(A2718, "IQ_DILUT_EPS_EXCL",IQ_FY-1))</f>
        <v>-0.72206000000000004</v>
      </c>
      <c r="G2726" s="15">
        <f>IF(A2726=A2727,_xll.ciqfunctions.udf.CIQ(A2718,"IQ_EBITDA_MARGIN",IQ_FY-2), _xll.ciqfunctions.udf.CIQ(A2718, "IQ_EBITDA_MARGIN",IQ_FY-1))</f>
        <v>-5.3577000000000004</v>
      </c>
      <c r="H2726" s="15">
        <f>IF(A2726=A2727,_xll.ciqfunctions.udf.CIQ(A2718,"IQ_TOTAL_DIV_PAID_CF",IQ_FY-2)/-I2726, _xll.ciqfunctions.udf.CIQ(A2718, "IQ_TOTAL_DIV_PAID_CF",IQ_FY-1)/-I2726)</f>
        <v>0</v>
      </c>
      <c r="I2726" s="17">
        <f>IF(A2726=A2727,_xll.ciqfunctions.udf.CIQ(A2718,"IQ_TOTAL_OUTSTANDING_FILING_DATE",IQ_FY-2), _xll.ciqfunctions.udf.CIQ(A2718, "IQ_TOTAL_OUTSTANDING_FILING_DATE",IQ_FY-1))</f>
        <v>38.065300000000001</v>
      </c>
      <c r="J2726" s="17">
        <f>IF(A2726=A2727,_xll.ciqfunctions.udf.CIQ(A2718,"IQ_CASH_OPER",IQ_FY-2), _xll.ciqfunctions.udf.CIQ(A2718, "IQ_CASH_OPER",IQ_FY-1))</f>
        <v>38.795000000000002</v>
      </c>
      <c r="K2726" s="17">
        <f>IF(A2726=A2727,_xll.ciqfunctions.udf.CIQ(A2718,"IQ_CAPEX",IQ_FY-2), _xll.ciqfunctions.udf.CIQ(A2718, "IQ_CAPEX",IQ_FY-1))</f>
        <v>-9.6790000000000003</v>
      </c>
      <c r="L2726" s="15">
        <f t="shared" si="724"/>
        <v>0.76489611273259372</v>
      </c>
      <c r="M2726" s="17">
        <f>IF(A2726=A2727,_xll.ciqfunctions.udf.CIQ(A2718,"IQ_TOTAL_DEBT_ISSUED",IQ_FY-2), _xll.ciqfunctions.udf.CIQ(A2718, "IQ_TOTAL_DEBT_ISSUED",IQ_FY-1))</f>
        <v>0</v>
      </c>
      <c r="N2726" s="17">
        <f>IF(A2726=A2727,_xll.ciqfunctions.udf.CIQ(A2718,"IQ_TOTAL_DEBT_REPAID",IQ_FY-2), _xll.ciqfunctions.udf.CIQ(A2718, "IQ_TOTAL_DEBT_REPAID",IQ_FY-1))</f>
        <v>0</v>
      </c>
      <c r="O2726" s="15">
        <f t="shared" si="725"/>
        <v>0</v>
      </c>
      <c r="P2726" s="15">
        <f t="shared" si="726"/>
        <v>0.76489611273259372</v>
      </c>
      <c r="Q2726" s="25" t="s">
        <v>33</v>
      </c>
      <c r="R2726" s="38" t="s">
        <v>52</v>
      </c>
      <c r="S2726" s="4">
        <f>(AVERAGE(O2723:O2728)/AVERAGE(P2723:P2728))</f>
        <v>0</v>
      </c>
      <c r="U2726" s="25" t="s">
        <v>54</v>
      </c>
      <c r="V2726" s="38" t="s">
        <v>52</v>
      </c>
      <c r="W2726" s="4">
        <f>(AVERAGE(O2723:O2728)/AVERAGE(P2723:P2728))</f>
        <v>0</v>
      </c>
      <c r="Y2726" s="25" t="s">
        <v>60</v>
      </c>
      <c r="Z2726" s="38" t="s">
        <v>52</v>
      </c>
      <c r="AA2726" s="4">
        <f>(AVERAGE(O2723:O2728)/AVERAGE(P2723:P2728))</f>
        <v>0</v>
      </c>
    </row>
    <row r="2727" spans="1:27">
      <c r="A2727" s="19">
        <f>_xll.ciqfunctions.udf.CIQ(A2718,"IQ_TOTAL_REV",IQ_LTM)</f>
        <v>290.68</v>
      </c>
      <c r="B2727" s="13">
        <v>10</v>
      </c>
      <c r="C2727" s="14" t="s">
        <v>34</v>
      </c>
      <c r="D2727" s="15" cm="1">
        <f t="array" ref="D2727">_xlfn.SINGLE(IF(A2726=A2727,_xll.ciqfunctions.udf.CIQ(A2718,"IQ_TOTAL_REV",IQ_FY-1)/I2727, _xll.ciqfunctions.udf.CIQ(A2718, "IQ_TOTAL_REV",IQ_FY)/I2727))</f>
        <v>8.5293758002463758</v>
      </c>
      <c r="E2727" s="16">
        <f t="shared" si="727"/>
        <v>-2.1644181063116504E-2</v>
      </c>
      <c r="F2727" s="15">
        <f>IF(A2726=A2727,_xll.ciqfunctions.udf.CIQ(A2718,"IQ_DILUT_EPS_EXCL",IQ_FY-1), _xll.ciqfunctions.udf.CIQ(A2718, "IQ_DILUT_EPS_EXCL",IQ_FY))</f>
        <v>-1.7043699999999999</v>
      </c>
      <c r="G2727" s="15">
        <f>IF(A2726=A2727,_xll.ciqfunctions.udf.CIQ(A2718,"IQ_EBITDA_MARGIN",IQ_FY-1), _xll.ciqfunctions.udf.CIQ(A2718, "IQ_EBITDA_MARGIN",IQ_FY))</f>
        <v>-17.636500000000002</v>
      </c>
      <c r="H2727" s="15">
        <f>IF(A2726=A2727,_xll.ciqfunctions.udf.CIQ(A2718,"IQ_TOTAL_DIV_PAID_CF",IQ_FY-1)/-I2727, _xll.ciqfunctions.udf.CIQ(A2718, "IQ_TOTAL_DIV_PAID_CF",IQ_FY)/-I2727)</f>
        <v>0</v>
      </c>
      <c r="I2727" s="17">
        <f>IF(A2726=A2727,_xll.ciqfunctions.udf.CIQ(A2718,"IQ_TOTAL_OUTSTANDING_FILING_DATE",IQ_FY-1), _xll.ciqfunctions.udf.CIQ(A2718, "IQ_TOTAL_OUTSTANDING_FILING_DATE",IQ_FY))</f>
        <v>39.581560000000003</v>
      </c>
      <c r="J2727" s="17">
        <f>IF(A2726=A2727,_xll.ciqfunctions.udf.CIQ(A2718,"IQ_CASH_OPER",IQ_FY-1), _xll.ciqfunctions.udf.CIQ(A2718, "IQ_CASH_OPER",IQ_FY))</f>
        <v>44.093000000000004</v>
      </c>
      <c r="K2727" s="17">
        <f>IF(A2726=A2727,_xll.ciqfunctions.udf.CIQ(A2718,"IQ_CAPEX",IQ_FY-1), _xll.ciqfunctions.udf.CIQ(A2718, "IQ_CAPEX",IQ_FY))</f>
        <v>-15.051</v>
      </c>
      <c r="L2727" s="15">
        <f t="shared" si="724"/>
        <v>0.73372550248145851</v>
      </c>
      <c r="M2727" s="17">
        <f>IF(A2726=A2727,_xll.ciqfunctions.udf.CIQ(A2718,"IQ_TOTAL_DEBT_ISSUED",IQ_FY-1), _xll.ciqfunctions.udf.CIQ(A2718, "IQ_TOTAL_DEBT_ISSUED",IQ_FY))</f>
        <v>0</v>
      </c>
      <c r="N2727" s="17">
        <f>IF(A2726=A2727,_xll.ciqfunctions.udf.CIQ(A2718,"IQ_TOTAL_DEBT_REPAID",IQ_FY-1), _xll.ciqfunctions.udf.CIQ(A2718, "IQ_TOTAL_DEBT_REPAID",IQ_FY))</f>
        <v>0</v>
      </c>
      <c r="O2727" s="15">
        <f t="shared" si="725"/>
        <v>0</v>
      </c>
      <c r="P2727" s="15">
        <f t="shared" si="726"/>
        <v>0.73372550248145851</v>
      </c>
      <c r="Q2727" s="25" t="s">
        <v>44</v>
      </c>
      <c r="R2727" s="38" t="s">
        <v>35</v>
      </c>
      <c r="S2727" s="1" t="str">
        <f>_xll.ciqfunctions.udf.CIQ(A2718,"IQ_TEV_EBITDA")</f>
        <v>NM</v>
      </c>
      <c r="U2727" s="25" t="s">
        <v>55</v>
      </c>
      <c r="V2727" s="38" t="s">
        <v>53</v>
      </c>
      <c r="W2727" s="1">
        <f>V2717/(AVERAGE(D2723:D2728)/_xlfn.STDEV.P(E2723:E2728))</f>
        <v>1.5234289361967346</v>
      </c>
      <c r="Y2727" s="25" t="s">
        <v>57</v>
      </c>
      <c r="Z2727" s="38" t="s">
        <v>53</v>
      </c>
      <c r="AA2727" s="1">
        <f>Z2717/(AVERAGE(D2723:D2728)/_xlfn.STDEV.P(E2723:E2728))</f>
        <v>1.5234289361967346</v>
      </c>
    </row>
    <row r="2728" spans="1:27">
      <c r="B2728" s="13">
        <v>11</v>
      </c>
      <c r="C2728" s="20" t="s">
        <v>36</v>
      </c>
      <c r="D2728" s="21" cm="1">
        <f t="array" ref="D2728">_xlfn.SINGLE(IF(A2726=A2727,_xll.ciqfunctions.udf.CIQ(A2718,"IQ_TOTAL_REV",IQ_FY)/I2728, _xll.ciqfunctions.udf.CIQ(A2718, "IQ_TOTAL_REV",IQ_LTM)/I2728))</f>
        <v>7.2891901170137192</v>
      </c>
      <c r="E2728" s="22">
        <f t="shared" si="727"/>
        <v>-0.14540169319269919</v>
      </c>
      <c r="F2728" s="21">
        <f>IF(A2726=A2727,_xll.ciqfunctions.udf.CIQ(A2718,"IQ_DILUT_EPS_EXCL",IQ_FY), _xll.ciqfunctions.udf.CIQ(A2718, "IQ_DILUT_EPS_EXCL",IQ_LTM))</f>
        <v>-2.5042200000000001</v>
      </c>
      <c r="G2728" s="21">
        <f>IF(A2726=A2727,_xll.ciqfunctions.udf.CIQ(A2718,"IQ_EBITDA_MARGIN",IQ_FY), _xll.ciqfunctions.udf.CIQ(A2718, "IQ_EBITDA_MARGIN",IQ_LTM))</f>
        <v>-34.156799999999997</v>
      </c>
      <c r="H2728" s="21">
        <f>IF(A2726=A2727,_xll.ciqfunctions.udf.CIQ(A2718,"IQ_TOTAL_DIV_PAID_CF",IQ_FY)/-I2728, _xll.ciqfunctions.udf.CIQ(A2718, "IQ_TOTAL_DIV_PAID_CF",IQ_LTM)/-I2728)</f>
        <v>0</v>
      </c>
      <c r="I2728" s="23">
        <f>IF(A2726=A2727,_xll.ciqfunctions.udf.CIQ(A2718,"IQ_TOTAL_OUTSTANDING_FILING_DATE",IQ_FY),_xll.ciqfunctions.udf.CIQ(A2718,"IQ_sharesoutstanding"))</f>
        <v>39.878230000000002</v>
      </c>
      <c r="J2728" s="23">
        <f>IF(A2726=A2727,_xll.ciqfunctions.udf.CIQ(A2718,"IQ_CASH_OPER",IQ_FY), _xll.ciqfunctions.udf.CIQ(A2718, "IQ_CASH_OPER",IQ_LTM))</f>
        <v>26.277000000000001</v>
      </c>
      <c r="K2728" s="23">
        <f>IF(A2726=A2727,_xll.ciqfunctions.udf.CIQ(A2718,"IQ_CAPEX",IQ_FY), _xll.ciqfunctions.udf.CIQ(A2718, "IQ_CAPEX",IQ_LTM))</f>
        <v>-14.657</v>
      </c>
      <c r="L2728" s="21">
        <f t="shared" si="724"/>
        <v>0.29138705504231255</v>
      </c>
      <c r="M2728" s="23">
        <f>IF(A2726=A2727,_xll.ciqfunctions.udf.CIQ(A2718,"IQ_TOTAL_DEBT_ISSUED",IQ_FY), _xll.ciqfunctions.udf.CIQ(A2718, "IQ_TOTAL_DEBT_ISSUED",IQ_LTM))</f>
        <v>0</v>
      </c>
      <c r="N2728" s="23">
        <f>IF(A2726=A2727,_xll.ciqfunctions.udf.CIQ(A2718,"IQ_TOTAL_DEBT_REPAID",IQ_FY), _xll.ciqfunctions.udf.CIQ(A2718, "IQ_TOTAL_DEBT_REPAID",IQ_LTM))</f>
        <v>0</v>
      </c>
      <c r="O2728" s="21">
        <f t="shared" si="725"/>
        <v>0</v>
      </c>
      <c r="P2728" s="21">
        <f t="shared" si="726"/>
        <v>0.29138705504231255</v>
      </c>
      <c r="Q2728" s="25" t="s">
        <v>45</v>
      </c>
      <c r="S2728" s="45"/>
      <c r="U2728" s="25"/>
      <c r="W2728" s="45"/>
      <c r="Y2728" s="25"/>
      <c r="AA2728" s="45"/>
    </row>
    <row r="2729" spans="1:27">
      <c r="B2729" s="24"/>
      <c r="C2729" s="25" t="s">
        <v>37</v>
      </c>
      <c r="E2729" s="26">
        <f>((D2728/D2723)^(1/5))-1</f>
        <v>9.2823709315583702E-3</v>
      </c>
      <c r="F2729" s="27">
        <f>((F2728/F2723)^(1/5))-1</f>
        <v>0.21890994349825177</v>
      </c>
      <c r="G2729" s="28"/>
      <c r="H2729" s="27" t="e">
        <f>((H2728/H2723)^(1/5))-1</f>
        <v>#DIV/0!</v>
      </c>
      <c r="I2729" s="27">
        <f>((I2728/I2723)^(1/5))-1</f>
        <v>4.0331625771860224E-2</v>
      </c>
      <c r="J2729" s="27"/>
      <c r="K2729" s="27"/>
      <c r="L2729" s="26">
        <f>((L2728/L2723)^(1/5))-1</f>
        <v>-0.15032556720863688</v>
      </c>
      <c r="M2729" s="26"/>
      <c r="N2729" s="26"/>
      <c r="O2729" s="26"/>
      <c r="P2729" s="26">
        <f>((P2728/P2723)^(1/5))-1</f>
        <v>-0.15032556720863688</v>
      </c>
      <c r="Q2729" s="18"/>
      <c r="R2729" s="36"/>
      <c r="S2729" s="45"/>
      <c r="U2729" s="18"/>
      <c r="V2729" s="36"/>
      <c r="W2729" s="45"/>
      <c r="Y2729" s="18"/>
      <c r="Z2729" s="36"/>
      <c r="AA2729" s="45"/>
    </row>
    <row r="2730" spans="1:27">
      <c r="A2730" s="29"/>
      <c r="B2730" s="30"/>
      <c r="C2730" s="31" t="s">
        <v>38</v>
      </c>
      <c r="D2730" s="29"/>
      <c r="E2730" s="32">
        <f>((D2728/D2718)^(1/10))-1</f>
        <v>2.889637241876164E-2</v>
      </c>
      <c r="F2730" s="33" t="e">
        <f>((F2728/F2718)^(1/10))-1</f>
        <v>#NUM!</v>
      </c>
      <c r="G2730" s="34"/>
      <c r="H2730" s="33" t="e">
        <f>((H2728/H2718)^(1/10))-1</f>
        <v>#DIV/0!</v>
      </c>
      <c r="I2730" s="33">
        <f>((I2728/I2718)^(1/10))-1</f>
        <v>3.3265796141809911E-2</v>
      </c>
      <c r="J2730" s="33"/>
      <c r="K2730" s="33"/>
      <c r="L2730" s="32">
        <f>((L2728/L2718)^(1/10))-1</f>
        <v>-0.12718626659965415</v>
      </c>
      <c r="M2730" s="32"/>
      <c r="N2730" s="32"/>
      <c r="O2730" s="32"/>
      <c r="P2730" s="32">
        <f>((P2728/P2718)^(1/10))-1</f>
        <v>-0.12718626659965415</v>
      </c>
      <c r="Q2730" s="40"/>
      <c r="R2730" s="41"/>
      <c r="S2730" s="46"/>
      <c r="U2730" s="40"/>
      <c r="V2730" s="41"/>
      <c r="W2730" s="46"/>
      <c r="Y2730" s="40"/>
      <c r="Z2730" s="41"/>
      <c r="AA2730" s="46"/>
    </row>
    <row r="2731" spans="1:27">
      <c r="B2731" s="24"/>
      <c r="C2731" s="25"/>
      <c r="E2731" s="26"/>
      <c r="F2731" s="27"/>
      <c r="G2731" s="28"/>
      <c r="H2731" s="27"/>
      <c r="I2731" s="27"/>
      <c r="J2731" s="27"/>
      <c r="K2731" s="27"/>
      <c r="L2731" s="26"/>
      <c r="M2731" s="17"/>
      <c r="N2731" s="17"/>
      <c r="O2731" s="17"/>
      <c r="P2731" s="35"/>
      <c r="Q2731" s="18"/>
      <c r="R2731" s="36"/>
    </row>
    <row r="2732" spans="1:27">
      <c r="A2732" s="9" t="s">
        <v>0</v>
      </c>
      <c r="B2732" s="10"/>
      <c r="C2732" s="9" t="s">
        <v>1</v>
      </c>
      <c r="D2732" s="9" t="s">
        <v>2</v>
      </c>
      <c r="E2732" s="9" t="s">
        <v>3</v>
      </c>
      <c r="F2732" s="11" t="s">
        <v>4</v>
      </c>
      <c r="G2732" s="11" t="s">
        <v>5</v>
      </c>
      <c r="H2732" s="9" t="s">
        <v>6</v>
      </c>
      <c r="I2732" s="11" t="s">
        <v>7</v>
      </c>
      <c r="J2732" s="11" t="s">
        <v>8</v>
      </c>
      <c r="K2732" s="11" t="s">
        <v>9</v>
      </c>
      <c r="L2732" s="11" t="s">
        <v>10</v>
      </c>
      <c r="M2732" s="11" t="s">
        <v>11</v>
      </c>
      <c r="N2732" s="11" t="s">
        <v>12</v>
      </c>
      <c r="O2732" s="11" t="s">
        <v>13</v>
      </c>
      <c r="P2732" s="11" t="s">
        <v>14</v>
      </c>
      <c r="Q2732" s="37" t="s">
        <v>15</v>
      </c>
      <c r="R2732" s="42">
        <f>_xll.ciqfunctions.udf.CIQ(A2733,("IQ_LASTSALEPRICE"))</f>
        <v>30.79</v>
      </c>
      <c r="S2732" s="44"/>
      <c r="U2732" s="37" t="s">
        <v>15</v>
      </c>
      <c r="V2732" s="42">
        <f>_xll.ciqfunctions.udf.CIQ(A2733,("IQ_LASTSALEPRICE"))</f>
        <v>30.79</v>
      </c>
      <c r="W2732" s="44"/>
      <c r="Y2732" s="37" t="s">
        <v>15</v>
      </c>
      <c r="Z2732" s="42">
        <f>_xll.ciqfunctions.udf.CIQ(A2733,("IQ_LASTSALEPRICE"))</f>
        <v>30.79</v>
      </c>
      <c r="AA2732" s="44"/>
    </row>
    <row r="2733" spans="1:27">
      <c r="A2733" s="12" t="str">
        <f>Analysis!B184</f>
        <v>NasdaqGS:PDFS</v>
      </c>
      <c r="B2733" s="13">
        <v>1</v>
      </c>
      <c r="C2733" s="14" t="s">
        <v>16</v>
      </c>
      <c r="D2733" s="15">
        <f>IF(A2741=A2742,_xll.ciqfunctions.udf.CIQ(A2733,"IQ_TOTAL_REV",IQ_FY-10)/I2733,_xll.ciqfunctions.udf.CIQ(A2733, "IQ_TOTAL_REV",IQ_FY-9)/I2733)</f>
        <v>3.3170943831760118</v>
      </c>
      <c r="E2733" s="16"/>
      <c r="F2733" s="15">
        <f>IF(A2741=A2742,_xll.ciqfunctions.udf.CIQ(A2733,"IQ_DILUT_EPS_EXCL",IQ_FY-10), _xll.ciqfunctions.udf.CIQ(A2733, "IQ_DILUT_EPS_EXCL",IQ_FY-9))</f>
        <v>0.67</v>
      </c>
      <c r="G2733" s="15">
        <f>IF(A2741=A2742,_xll.ciqfunctions.udf.CIQ(A2733,"IQ_EBITDA_MARGIN",IQ_FY-10), _xll.ciqfunctions.udf.CIQ(A2733, "IQ_EBITDA_MARGIN",IQ_FY-9))</f>
        <v>32.555900000000001</v>
      </c>
      <c r="H2733" s="15">
        <f>IF(A2741=A2742,_xll.ciqfunctions.udf.CIQ(A2733,"IQ_TOTAL_DIV_PAID_CF",IQ_FY-10)/-I2733, _xll.ciqfunctions.udf.CIQ(A2733, "IQ_TOTAL_DIV_PAID_CF",IQ_FY-9)/-I2733)</f>
        <v>0</v>
      </c>
      <c r="I2733" s="17">
        <f>IF(A2741=A2742,_xll.ciqfunctions.udf.CIQ(A2733,"IQ_TOTAL_OUTSTANDING_FILING_DATE",IQ_FY-10), _xll.ciqfunctions.udf.CIQ(A2733, "IQ_TOTAL_OUTSTANDING_FILING_DATE",IQ_FY-9))</f>
        <v>30.584900000000001</v>
      </c>
      <c r="J2733" s="17">
        <f>IF(A2741=A2742,_xll.ciqfunctions.udf.CIQ(A2733,"IQ_CASH_OPER",IQ_FY-10), _xll.ciqfunctions.udf.CIQ(A2733, "IQ_CASH_OPER",IQ_FY-9))</f>
        <v>25.363</v>
      </c>
      <c r="K2733" s="17">
        <f>IF(A2741=A2742,_xll.ciqfunctions.udf.CIQ(A2733,"IQ_CAPEX",IQ_FY-10), _xll.ciqfunctions.udf.CIQ(A2733, "IQ_CAPEX",IQ_FY-9))</f>
        <v>-4.6280000000000001</v>
      </c>
      <c r="L2733" s="15">
        <f t="shared" ref="L2733:L2743" si="728">(J2733+K2733)/I2733</f>
        <v>0.67794892250751182</v>
      </c>
      <c r="M2733" s="17">
        <f>IF(A2741=A2742,_xll.ciqfunctions.udf.CIQ(A2733,"IQ_TOTAL_DEBT_ISSUED",IQ_FY-10), _xll.ciqfunctions.udf.CIQ(A2733, "IQ_TOTAL_DEBT_ISSUED",IQ_FY-9))</f>
        <v>0</v>
      </c>
      <c r="N2733" s="17">
        <f>IF(A2741=A2742,_xll.ciqfunctions.udf.CIQ(A2733,"IQ_TOTAL_DEBT_REPAID",IQ_FY-10), _xll.ciqfunctions.udf.CIQ(A2733, "IQ_TOTAL_DEBT_REPAID",IQ_FY-9))</f>
        <v>0</v>
      </c>
      <c r="O2733" s="15">
        <f t="shared" ref="O2733:O2743" si="729">(M2733+N2733)/I2733</f>
        <v>0</v>
      </c>
      <c r="P2733" s="15">
        <f t="shared" ref="P2733:P2743" si="730">L2733+O2733</f>
        <v>0.67794892250751182</v>
      </c>
      <c r="W2733" s="43"/>
      <c r="AA2733" s="43"/>
    </row>
    <row r="2734" spans="1:27">
      <c r="A2734" s="18" t="str">
        <f>_xll.ciqfunctions.udf.CIQ(A2733,"IQ_COMPANY_NAME")</f>
        <v>PDF Solutions, Inc.</v>
      </c>
      <c r="B2734" s="13">
        <v>2</v>
      </c>
      <c r="C2734" s="14" t="s">
        <v>17</v>
      </c>
      <c r="D2734" s="15">
        <f>IF(A2741=A2742,_xll.ciqfunctions.udf.CIQ(A2733,"IQ_TOTAL_REV",IQ_FY-9)/I2734, _xll.ciqfunctions.udf.CIQ(A2733, "IQ_TOTAL_REV",IQ_FY-8)/I2734)</f>
        <v>3.1757632098090602</v>
      </c>
      <c r="E2734" s="16">
        <f t="shared" ref="E2734:E2743" si="731">(D2734-D2733)/D2733</f>
        <v>-4.2606919502734042E-2</v>
      </c>
      <c r="F2734" s="15">
        <f>IF(A2741=A2742,_xll.ciqfunctions.udf.CIQ(A2733,"IQ_DILUT_EPS_EXCL",IQ_FY-9), _xll.ciqfunctions.udf.CIQ(A2733, "IQ_DILUT_EPS_EXCL",IQ_FY-8))</f>
        <v>0.57999999999999996</v>
      </c>
      <c r="G2734" s="15">
        <f>IF(A2741=A2742,_xll.ciqfunctions.udf.CIQ(A2733,"IQ_EBITDA_MARGIN",IQ_FY-9), _xll.ciqfunctions.udf.CIQ(A2733, "IQ_EBITDA_MARGIN",IQ_FY-8))</f>
        <v>29.889199999999999</v>
      </c>
      <c r="H2734" s="15">
        <f>IF(A2741=A2742,_xll.ciqfunctions.udf.CIQ(A2733,"IQ_TOTAL_DIV_PAID_CF",IQ_FY-9)/-I2734, _xll.ciqfunctions.udf.CIQ(A2733, "IQ_TOTAL_DIV_PAID_CF",IQ_FY-8)/-I2734)</f>
        <v>0</v>
      </c>
      <c r="I2734" s="17">
        <f>IF(A2741=A2742,_xll.ciqfunctions.udf.CIQ(A2733,"IQ_TOTAL_OUTSTANDING_FILING_DATE",IQ_FY-9), _xll.ciqfunctions.udf.CIQ(A2733, "IQ_TOTAL_OUTSTANDING_FILING_DATE",IQ_FY-8))</f>
        <v>31.539819999999999</v>
      </c>
      <c r="J2734" s="17">
        <f>IF(A2741=A2742,_xll.ciqfunctions.udf.CIQ(A2733,"IQ_CASH_OPER",IQ_FY-9), _xll.ciqfunctions.udf.CIQ(A2733, "IQ_CASH_OPER",IQ_FY-8))</f>
        <v>28.666</v>
      </c>
      <c r="K2734" s="17">
        <f>IF(A2741=A2742,_xll.ciqfunctions.udf.CIQ(A2733,"IQ_CAPEX",IQ_FY-9), _xll.ciqfunctions.udf.CIQ(A2733, "IQ_CAPEX",IQ_FY-8))</f>
        <v>-3.9580000000000002</v>
      </c>
      <c r="L2734" s="15">
        <f t="shared" si="728"/>
        <v>0.78339064712480921</v>
      </c>
      <c r="M2734" s="17">
        <f>IF(A2741=A2742,_xll.ciqfunctions.udf.CIQ(A2733,"IQ_TOTAL_DEBT_ISSUED",IQ_FY-9), _xll.ciqfunctions.udf.CIQ(A2733, "IQ_TOTAL_DEBT_ISSUED",IQ_FY-8))</f>
        <v>0</v>
      </c>
      <c r="N2734" s="17">
        <f>IF(A2741=A2742,_xll.ciqfunctions.udf.CIQ(A2733,"IQ_TOTAL_DEBT_REPAID",IQ_FY-9), _xll.ciqfunctions.udf.CIQ(A2733, "IQ_TOTAL_DEBT_REPAID",IQ_FY-8))</f>
        <v>0</v>
      </c>
      <c r="O2734" s="15">
        <f t="shared" si="729"/>
        <v>0</v>
      </c>
      <c r="P2734" s="15">
        <f t="shared" si="730"/>
        <v>0.78339064712480921</v>
      </c>
      <c r="Q2734" s="25" t="s">
        <v>18</v>
      </c>
      <c r="R2734" s="39" t="s">
        <v>19</v>
      </c>
      <c r="S2734" s="1">
        <f>R2732/((AVERAGE(P2738:P2743))*(1+E2744)^3)</f>
        <v>63.670573729464564</v>
      </c>
      <c r="U2734" s="25" t="s">
        <v>48</v>
      </c>
      <c r="V2734" s="39" t="s">
        <v>19</v>
      </c>
      <c r="W2734" s="1">
        <f>V2732/((AVERAGE(P2738:P2743))*(1+E2744)^3)</f>
        <v>63.670573729464564</v>
      </c>
      <c r="Y2734" s="25" t="s">
        <v>39</v>
      </c>
      <c r="Z2734" s="39" t="s">
        <v>19</v>
      </c>
      <c r="AA2734" s="1">
        <f>Z2732/((AVERAGE(P2738:P2743))*(1+E2744)^3)</f>
        <v>63.670573729464564</v>
      </c>
    </row>
    <row r="2735" spans="1:27">
      <c r="B2735" s="13">
        <v>3</v>
      </c>
      <c r="C2735" s="14" t="s">
        <v>20</v>
      </c>
      <c r="D2735" s="15" cm="1">
        <f t="array" ref="D2735">_xlfn.SINGLE(IF(A2741=A2742,_xll.ciqfunctions.udf.CIQ(A2733,"IQ_TOTAL_REV",IQ_FY-8)/I2735, _xll.ciqfunctions.udf.CIQ(A2733, "IQ_TOTAL_REV",IQ_FY-7)/I2735))</f>
        <v>3.13910123735254</v>
      </c>
      <c r="E2735" s="16">
        <f t="shared" si="731"/>
        <v>-1.1544302907496846E-2</v>
      </c>
      <c r="F2735" s="15">
        <f>IF(A2741=A2742,_xll.ciqfunctions.udf.CIQ(A2733,"IQ_DILUT_EPS_EXCL",IQ_FY-8), _xll.ciqfunctions.udf.CIQ(A2733, "IQ_DILUT_EPS_EXCL",IQ_FY-7))</f>
        <v>0.39</v>
      </c>
      <c r="G2735" s="15">
        <f>IF(A2741=A2742,_xll.ciqfunctions.udf.CIQ(A2733,"IQ_EBITDA_MARGIN",IQ_FY-8), _xll.ciqfunctions.udf.CIQ(A2733, "IQ_EBITDA_MARGIN",IQ_FY-7))</f>
        <v>22.538900000000002</v>
      </c>
      <c r="H2735" s="15">
        <f>IF(A2741=A2742,_xll.ciqfunctions.udf.CIQ(A2733,"IQ_TOTAL_DIV_PAID_CF",IQ_FY-8)/-I2735, _xll.ciqfunctions.udf.CIQ(A2733, "IQ_TOTAL_DIV_PAID_CF",IQ_FY-7)/-I2735)</f>
        <v>0</v>
      </c>
      <c r="I2735" s="17">
        <f>IF(A2741=A2742,_xll.ciqfunctions.udf.CIQ(A2733,"IQ_TOTAL_OUTSTANDING_FILING_DATE",IQ_FY-8), _xll.ciqfunctions.udf.CIQ(A2733, "IQ_TOTAL_OUTSTANDING_FILING_DATE",IQ_FY-7))</f>
        <v>31.2118</v>
      </c>
      <c r="J2735" s="17">
        <f>IF(A2741=A2742,_xll.ciqfunctions.udf.CIQ(A2733,"IQ_CASH_OPER",IQ_FY-8), _xll.ciqfunctions.udf.CIQ(A2733, "IQ_CASH_OPER",IQ_FY-7))</f>
        <v>30.335999999999999</v>
      </c>
      <c r="K2735" s="17">
        <f>IF(A2741=A2742,_xll.ciqfunctions.udf.CIQ(A2733,"IQ_CAPEX",IQ_FY-8), _xll.ciqfunctions.udf.CIQ(A2733, "IQ_CAPEX",IQ_FY-7))</f>
        <v>-4.7839999999999998</v>
      </c>
      <c r="L2735" s="15">
        <f t="shared" si="728"/>
        <v>0.81866473577300891</v>
      </c>
      <c r="M2735" s="17">
        <f>IF(A2741=A2742,_xll.ciqfunctions.udf.CIQ(A2733,"IQ_TOTAL_DEBT_ISSUED",IQ_FY-8), _xll.ciqfunctions.udf.CIQ(A2733, "IQ_TOTAL_DEBT_ISSUED",IQ_FY-7))</f>
        <v>0</v>
      </c>
      <c r="N2735" s="17">
        <f>IF(A2741=A2742,_xll.ciqfunctions.udf.CIQ(A2733,"IQ_TOTAL_DEBT_REPAID",IQ_FY-8), _xll.ciqfunctions.udf.CIQ(A2733, "IQ_TOTAL_DEBT_REPAID",IQ_FY-7))</f>
        <v>-0.34699999999999998</v>
      </c>
      <c r="O2735" s="15">
        <f t="shared" si="729"/>
        <v>-1.1117590142189812E-2</v>
      </c>
      <c r="P2735" s="15">
        <f t="shared" si="730"/>
        <v>0.80754714563081909</v>
      </c>
      <c r="Q2735" s="25" t="s">
        <v>21</v>
      </c>
      <c r="R2735" s="38" t="s">
        <v>49</v>
      </c>
      <c r="S2735" s="2">
        <f>(R2732*I2743)/1000</f>
        <v>1.178068506</v>
      </c>
      <c r="U2735" s="25" t="s">
        <v>59</v>
      </c>
      <c r="V2735" s="38" t="s">
        <v>49</v>
      </c>
      <c r="W2735" s="2">
        <f>(V2732*I2743)/1000</f>
        <v>1.178068506</v>
      </c>
      <c r="Y2735" s="25" t="s">
        <v>46</v>
      </c>
      <c r="Z2735" s="38" t="s">
        <v>49</v>
      </c>
      <c r="AA2735" s="2">
        <f>(Z2732*I2743)/1000</f>
        <v>1.178068506</v>
      </c>
    </row>
    <row r="2736" spans="1:27">
      <c r="A2736" s="18"/>
      <c r="B2736" s="13">
        <v>4</v>
      </c>
      <c r="C2736" s="14" t="s">
        <v>22</v>
      </c>
      <c r="D2736" s="15" cm="1">
        <f t="array" ref="D2736">_xlfn.SINGLE(IF(A2741=A2742,_xll.ciqfunctions.udf.CIQ(A2733,"IQ_TOTAL_REV",IQ_FY-7)/I2736, _xll.ciqfunctions.udf.CIQ(A2733, "IQ_TOTAL_REV",IQ_FY-6)/I2736))</f>
        <v>3.3527185595861706</v>
      </c>
      <c r="E2736" s="16">
        <f t="shared" si="731"/>
        <v>6.8050472438344015E-2</v>
      </c>
      <c r="F2736" s="15">
        <f>IF(A2741=A2742,_xll.ciqfunctions.udf.CIQ(A2733,"IQ_DILUT_EPS_EXCL",IQ_FY-7), _xll.ciqfunctions.udf.CIQ(A2733, "IQ_DILUT_EPS_EXCL",IQ_FY-6))</f>
        <v>0.28000000000000003</v>
      </c>
      <c r="G2736" s="15">
        <f>IF(A2741=A2742,_xll.ciqfunctions.udf.CIQ(A2733,"IQ_EBITDA_MARGIN",IQ_FY-7), _xll.ciqfunctions.udf.CIQ(A2733, "IQ_EBITDA_MARGIN",IQ_FY-6))</f>
        <v>15.802</v>
      </c>
      <c r="H2736" s="15">
        <f>IF(A2741=A2742,_xll.ciqfunctions.udf.CIQ(A2733,"IQ_TOTAL_DIV_PAID_CF",IQ_FY-7)/-I2736, _xll.ciqfunctions.udf.CIQ(A2733, "IQ_TOTAL_DIV_PAID_CF",IQ_FY-6)/-I2736)</f>
        <v>0</v>
      </c>
      <c r="I2736" s="17">
        <f>IF(A2741=A2742,_xll.ciqfunctions.udf.CIQ(A2733,"IQ_TOTAL_OUTSTANDING_FILING_DATE",IQ_FY-7), _xll.ciqfunctions.udf.CIQ(A2733, "IQ_TOTAL_OUTSTANDING_FILING_DATE",IQ_FY-6))</f>
        <v>32.051900000000003</v>
      </c>
      <c r="J2736" s="17">
        <f>IF(A2741=A2742,_xll.ciqfunctions.udf.CIQ(A2733,"IQ_CASH_OPER",IQ_FY-7), _xll.ciqfunctions.udf.CIQ(A2733, "IQ_CASH_OPER",IQ_FY-6))</f>
        <v>2</v>
      </c>
      <c r="K2736" s="17">
        <f>IF(A2741=A2742,_xll.ciqfunctions.udf.CIQ(A2733,"IQ_CAPEX",IQ_FY-7), _xll.ciqfunctions.udf.CIQ(A2733, "IQ_CAPEX",IQ_FY-6))</f>
        <v>-11.282</v>
      </c>
      <c r="L2736" s="15">
        <f t="shared" si="728"/>
        <v>-0.28959281665049497</v>
      </c>
      <c r="M2736" s="17">
        <f>IF(A2741=A2742,_xll.ciqfunctions.udf.CIQ(A2733,"IQ_TOTAL_DEBT_ISSUED",IQ_FY-7), _xll.ciqfunctions.udf.CIQ(A2733, "IQ_TOTAL_DEBT_ISSUED",IQ_FY-6))</f>
        <v>0</v>
      </c>
      <c r="N2736" s="17">
        <f>IF(A2741=A2742,_xll.ciqfunctions.udf.CIQ(A2733,"IQ_TOTAL_DEBT_REPAID",IQ_FY-7), _xll.ciqfunctions.udf.CIQ(A2733, "IQ_TOTAL_DEBT_REPAID",IQ_FY-6))</f>
        <v>0</v>
      </c>
      <c r="O2736" s="15">
        <f t="shared" si="729"/>
        <v>0</v>
      </c>
      <c r="P2736" s="15">
        <f t="shared" si="730"/>
        <v>-0.28959281665049497</v>
      </c>
      <c r="Q2736" s="25" t="s">
        <v>23</v>
      </c>
      <c r="R2736" s="38" t="s">
        <v>24</v>
      </c>
      <c r="S2736" s="1" t="e">
        <f>R2732/(AVERAGE(H2738:H2743)*(1+H2744)/(0.5-H2744))</f>
        <v>#DIV/0!</v>
      </c>
      <c r="U2736" s="25" t="s">
        <v>40</v>
      </c>
      <c r="V2736" s="38" t="s">
        <v>24</v>
      </c>
      <c r="W2736" s="1" t="e">
        <f>V2732/(AVERAGE(H2738:H2743)*(1+H2744)/(0.5-H2744))</f>
        <v>#DIV/0!</v>
      </c>
      <c r="Y2736" s="25" t="s">
        <v>47</v>
      </c>
      <c r="Z2736" s="38" t="s">
        <v>24</v>
      </c>
      <c r="AA2736" s="1" t="e">
        <f>Z2732/(AVERAGE(H2738:H2743)*(1+H2744)/(0.5-H2744))</f>
        <v>#DIV/0!</v>
      </c>
    </row>
    <row r="2737" spans="1:27">
      <c r="B2737" s="13">
        <v>5</v>
      </c>
      <c r="C2737" s="14" t="s">
        <v>25</v>
      </c>
      <c r="D2737" s="15" cm="1">
        <f t="array" ref="D2737">_xlfn.SINGLE(IF(A2741=A2742,_xll.ciqfunctions.udf.CIQ(A2733,"IQ_TOTAL_REV",IQ_FY-6)/I2737, _xll.ciqfunctions.udf.CIQ(A2733, "IQ_TOTAL_REV",IQ_FY-5)/I2737))</f>
        <v>3.1723654708520175</v>
      </c>
      <c r="E2737" s="16">
        <f t="shared" si="731"/>
        <v>-5.3793089258411919E-2</v>
      </c>
      <c r="F2737" s="15">
        <f>IF(A2741=A2742,_xll.ciqfunctions.udf.CIQ(A2733,"IQ_DILUT_EPS_EXCL",IQ_FY-6), _xll.ciqfunctions.udf.CIQ(A2733, "IQ_DILUT_EPS_EXCL",IQ_FY-5))</f>
        <v>-4.1730000000000003E-2</v>
      </c>
      <c r="G2737" s="15">
        <f>IF(A2741=A2742,_xll.ciqfunctions.udf.CIQ(A2733,"IQ_EBITDA_MARGIN",IQ_FY-6), _xll.ciqfunctions.udf.CIQ(A2733, "IQ_EBITDA_MARGIN",IQ_FY-5))</f>
        <v>5.2782</v>
      </c>
      <c r="H2737" s="15">
        <f>IF(A2741=A2742,_xll.ciqfunctions.udf.CIQ(A2733,"IQ_TOTAL_DIV_PAID_CF",IQ_FY-6)/-I2737, _xll.ciqfunctions.udf.CIQ(A2733, "IQ_TOTAL_DIV_PAID_CF",IQ_FY-5)/-I2737)</f>
        <v>0</v>
      </c>
      <c r="I2737" s="17">
        <f>IF(A2741=A2742,_xll.ciqfunctions.udf.CIQ(A2733,"IQ_TOTAL_OUTSTANDING_FILING_DATE",IQ_FY-6), _xll.ciqfunctions.udf.CIQ(A2733, "IQ_TOTAL_OUTSTANDING_FILING_DATE",IQ_FY-5))</f>
        <v>32.112000000000002</v>
      </c>
      <c r="J2737" s="17">
        <f>IF(A2741=A2742,_xll.ciqfunctions.udf.CIQ(A2733,"IQ_CASH_OPER",IQ_FY-6), _xll.ciqfunctions.udf.CIQ(A2733, "IQ_CASH_OPER",IQ_FY-5))</f>
        <v>10.545</v>
      </c>
      <c r="K2737" s="17">
        <f>IF(A2741=A2742,_xll.ciqfunctions.udf.CIQ(A2733,"IQ_CAPEX",IQ_FY-6), _xll.ciqfunctions.udf.CIQ(A2733, "IQ_CAPEX",IQ_FY-5))</f>
        <v>-10.255000000000001</v>
      </c>
      <c r="L2737" s="15">
        <f t="shared" si="728"/>
        <v>9.0308918784254844E-3</v>
      </c>
      <c r="M2737" s="17">
        <f>IF(A2741=A2742,_xll.ciqfunctions.udf.CIQ(A2733,"IQ_TOTAL_DEBT_ISSUED",IQ_FY-6), _xll.ciqfunctions.udf.CIQ(A2733, "IQ_TOTAL_DEBT_ISSUED",IQ_FY-5))</f>
        <v>0</v>
      </c>
      <c r="N2737" s="17">
        <f>IF(A2741=A2742,_xll.ciqfunctions.udf.CIQ(A2733,"IQ_TOTAL_DEBT_REPAID",IQ_FY-6), _xll.ciqfunctions.udf.CIQ(A2733, "IQ_TOTAL_DEBT_REPAID",IQ_FY-5))</f>
        <v>0</v>
      </c>
      <c r="O2737" s="15">
        <f t="shared" si="729"/>
        <v>0</v>
      </c>
      <c r="P2737" s="15">
        <f t="shared" si="730"/>
        <v>9.0308918784254844E-3</v>
      </c>
      <c r="Q2737" s="18"/>
      <c r="R2737" s="38" t="s">
        <v>50</v>
      </c>
      <c r="S2737" s="3">
        <f>I2744</f>
        <v>3.2571314017958208E-2</v>
      </c>
      <c r="U2737" s="18"/>
      <c r="V2737" s="38" t="s">
        <v>50</v>
      </c>
      <c r="W2737" s="3">
        <f>I2744</f>
        <v>3.2571314017958208E-2</v>
      </c>
      <c r="Y2737" s="18"/>
      <c r="Z2737" s="38" t="s">
        <v>50</v>
      </c>
      <c r="AA2737" s="3">
        <f>I2744</f>
        <v>3.2571314017958208E-2</v>
      </c>
    </row>
    <row r="2738" spans="1:27">
      <c r="B2738" s="13">
        <v>6</v>
      </c>
      <c r="C2738" s="14" t="s">
        <v>26</v>
      </c>
      <c r="D2738" s="15" cm="1">
        <f t="array" ref="D2738">_xlfn.SINGLE(IF(A2741=A2742,_xll.ciqfunctions.udf.CIQ(A2733,"IQ_TOTAL_REV",IQ_FY-5)/I2738, _xll.ciqfunctions.udf.CIQ(A2733, "IQ_TOTAL_REV",IQ_FY-4)/I2738))</f>
        <v>2.6320633506484898</v>
      </c>
      <c r="E2738" s="16">
        <f t="shared" si="731"/>
        <v>-0.17031521909057221</v>
      </c>
      <c r="F2738" s="15">
        <f>IF(A2741=A2742,_xll.ciqfunctions.udf.CIQ(A2733,"IQ_DILUT_EPS_EXCL",IQ_FY-5), _xll.ciqfunctions.udf.CIQ(A2733, "IQ_DILUT_EPS_EXCL",IQ_FY-4))</f>
        <v>-0.24</v>
      </c>
      <c r="G2738" s="15">
        <f>IF(A2741=A2742,_xll.ciqfunctions.udf.CIQ(A2733,"IQ_EBITDA_MARGIN",IQ_FY-5), _xll.ciqfunctions.udf.CIQ(A2733, "IQ_EBITDA_MARGIN",IQ_FY-4))</f>
        <v>-4.6319999999999997</v>
      </c>
      <c r="H2738" s="15">
        <f>IF(A2741=A2742,_xll.ciqfunctions.udf.CIQ(A2733,"IQ_TOTAL_DIV_PAID_CF",IQ_FY-5)/-I2738, _xll.ciqfunctions.udf.CIQ(A2733, "IQ_TOTAL_DIV_PAID_CF",IQ_FY-4)/-I2738)</f>
        <v>0</v>
      </c>
      <c r="I2738" s="17">
        <f>IF(A2741=A2742,_xll.ciqfunctions.udf.CIQ(A2733,"IQ_TOTAL_OUTSTANDING_FILING_DATE",IQ_FY-5), _xll.ciqfunctions.udf.CIQ(A2733, "IQ_TOTAL_OUTSTANDING_FILING_DATE",IQ_FY-4))</f>
        <v>32.59572</v>
      </c>
      <c r="J2738" s="17">
        <f>IF(A2741=A2742,_xll.ciqfunctions.udf.CIQ(A2733,"IQ_CASH_OPER",IQ_FY-5), _xll.ciqfunctions.udf.CIQ(A2733, "IQ_CASH_OPER",IQ_FY-4))</f>
        <v>13.337999999999999</v>
      </c>
      <c r="K2738" s="17">
        <f>IF(A2741=A2742,_xll.ciqfunctions.udf.CIQ(A2733,"IQ_CAPEX",IQ_FY-5), _xll.ciqfunctions.udf.CIQ(A2733, "IQ_CAPEX",IQ_FY-4))</f>
        <v>-13.116</v>
      </c>
      <c r="L2738" s="15">
        <f t="shared" si="728"/>
        <v>6.8107101177700483E-3</v>
      </c>
      <c r="M2738" s="17">
        <f>IF(A2741=A2742,_xll.ciqfunctions.udf.CIQ(A2733,"IQ_TOTAL_DEBT_ISSUED",IQ_FY-5), _xll.ciqfunctions.udf.CIQ(A2733, "IQ_TOTAL_DEBT_ISSUED",IQ_FY-4))</f>
        <v>0</v>
      </c>
      <c r="N2738" s="17">
        <f>IF(A2741=A2742,_xll.ciqfunctions.udf.CIQ(A2733,"IQ_TOTAL_DEBT_REPAID",IQ_FY-5), _xll.ciqfunctions.udf.CIQ(A2733, "IQ_TOTAL_DEBT_REPAID",IQ_FY-4))</f>
        <v>0</v>
      </c>
      <c r="O2738" s="15">
        <f t="shared" si="729"/>
        <v>0</v>
      </c>
      <c r="P2738" s="15">
        <f t="shared" si="730"/>
        <v>6.8107101177700483E-3</v>
      </c>
      <c r="Q2738" s="25" t="s">
        <v>27</v>
      </c>
      <c r="R2738" s="38" t="s">
        <v>51</v>
      </c>
      <c r="S2738" s="4">
        <f>AVERAGE(F2738:F2743)/AVERAGE(D2738:D2743)</f>
        <v>-0.11605663568749486</v>
      </c>
      <c r="U2738" s="25" t="s">
        <v>58</v>
      </c>
      <c r="V2738" s="38" t="s">
        <v>51</v>
      </c>
      <c r="W2738" s="4">
        <f>AVERAGE(F2738:F2743)/AVERAGE(D2738:D2743)</f>
        <v>-0.11605663568749486</v>
      </c>
      <c r="Y2738" s="25" t="s">
        <v>56</v>
      </c>
      <c r="Z2738" s="38" t="s">
        <v>51</v>
      </c>
      <c r="AA2738" s="4">
        <f>AVERAGE(F2738:F2743)/AVERAGE(D2738:D2743)</f>
        <v>-0.11605663568749486</v>
      </c>
    </row>
    <row r="2739" spans="1:27">
      <c r="A2739" s="18"/>
      <c r="B2739" s="13">
        <v>7</v>
      </c>
      <c r="C2739" s="14" t="s">
        <v>28</v>
      </c>
      <c r="D2739" s="15" cm="1">
        <f t="array" ref="D2739">_xlfn.SINGLE(IF(A2741=A2742,_xll.ciqfunctions.udf.CIQ(A2733,"IQ_TOTAL_REV",IQ_FY-4)/I2739, _xll.ciqfunctions.udf.CIQ(A2733, "IQ_TOTAL_REV",IQ_FY-3)/I2739))</f>
        <v>2.6107657442886349</v>
      </c>
      <c r="E2739" s="16">
        <f t="shared" si="731"/>
        <v>-8.0916009694856211E-3</v>
      </c>
      <c r="F2739" s="15">
        <f>IF(A2741=A2742,_xll.ciqfunctions.udf.CIQ(A2733,"IQ_DILUT_EPS_EXCL",IQ_FY-4), _xll.ciqfunctions.udf.CIQ(A2733, "IQ_DILUT_EPS_EXCL",IQ_FY-3))</f>
        <v>-0.17</v>
      </c>
      <c r="G2739" s="15">
        <f>IF(A2741=A2742,_xll.ciqfunctions.udf.CIQ(A2733,"IQ_EBITDA_MARGIN",IQ_FY-4), _xll.ciqfunctions.udf.CIQ(A2733, "IQ_EBITDA_MARGIN",IQ_FY-3))</f>
        <v>-0.38790000000000002</v>
      </c>
      <c r="H2739" s="15">
        <f>IF(A2741=A2742,_xll.ciqfunctions.udf.CIQ(A2733,"IQ_TOTAL_DIV_PAID_CF",IQ_FY-4)/-I2739, _xll.ciqfunctions.udf.CIQ(A2733, "IQ_TOTAL_DIV_PAID_CF",IQ_FY-3)/-I2739)</f>
        <v>0</v>
      </c>
      <c r="I2739" s="17">
        <f>IF(A2741=A2742,_xll.ciqfunctions.udf.CIQ(A2733,"IQ_TOTAL_OUTSTANDING_FILING_DATE",IQ_FY-4), _xll.ciqfunctions.udf.CIQ(A2733, "IQ_TOTAL_OUTSTANDING_FILING_DATE",IQ_FY-3))</f>
        <v>32.781570000000002</v>
      </c>
      <c r="J2739" s="17">
        <f>IF(A2741=A2742,_xll.ciqfunctions.udf.CIQ(A2733,"IQ_CASH_OPER",IQ_FY-4), _xll.ciqfunctions.udf.CIQ(A2733, "IQ_CASH_OPER",IQ_FY-3))</f>
        <v>24.59</v>
      </c>
      <c r="K2739" s="17">
        <f>IF(A2741=A2742,_xll.ciqfunctions.udf.CIQ(A2733,"IQ_CAPEX",IQ_FY-4), _xll.ciqfunctions.udf.CIQ(A2733, "IQ_CAPEX",IQ_FY-3))</f>
        <v>-10.552</v>
      </c>
      <c r="L2739" s="15">
        <f t="shared" si="728"/>
        <v>0.42822842225067315</v>
      </c>
      <c r="M2739" s="17">
        <f>IF(A2741=A2742,_xll.ciqfunctions.udf.CIQ(A2733,"IQ_TOTAL_DEBT_ISSUED",IQ_FY-4), _xll.ciqfunctions.udf.CIQ(A2733, "IQ_TOTAL_DEBT_ISSUED",IQ_FY-3))</f>
        <v>0</v>
      </c>
      <c r="N2739" s="17">
        <f>IF(A2741=A2742,_xll.ciqfunctions.udf.CIQ(A2733,"IQ_TOTAL_DEBT_REPAID",IQ_FY-4), _xll.ciqfunctions.udf.CIQ(A2733, "IQ_TOTAL_DEBT_REPAID",IQ_FY-3))</f>
        <v>0</v>
      </c>
      <c r="O2739" s="15">
        <f t="shared" si="729"/>
        <v>0</v>
      </c>
      <c r="P2739" s="15">
        <f t="shared" si="730"/>
        <v>0.42822842225067315</v>
      </c>
      <c r="Q2739" s="18"/>
      <c r="R2739" s="38" t="s">
        <v>29</v>
      </c>
      <c r="S2739" s="4">
        <f>(AVERAGE(P2738:P2743)/_xlfn.STDEV.P(P2738:P2743))/(IF(A2741=A2742,(_xlfn.SINGLE(_xll.ciqfunctions.udf.CIQ(A2733,"IQ_total_assets",IQ_FY)) - _xlfn.SINGLE(_xll.ciqfunctions.udf.CIQ(A2733,"iq_gw_intan", IQ_FY)))/I2743, (_xlfn.SINGLE(_xll.ciqfunctions.udf.CIQ(A2733, "IQ_total_assets",IQ_LTM))-_xlfn.SINGLE(_xll.ciqfunctions.udf.CIQ(A2733,"iq_gw_intan",IQ_LTM)))/I2743))</f>
        <v>0.20311243765184697</v>
      </c>
      <c r="U2739" s="18"/>
      <c r="V2739" s="38" t="s">
        <v>29</v>
      </c>
      <c r="W2739" s="4">
        <f>(AVERAGE(P2738:P2743)/_xlfn.STDEV.P(P2738:P2743))/(IF(A2741=A2742,(_xlfn.SINGLE(_xll.ciqfunctions.udf.CIQ(A2733,"IQ_total_assets",IQ_FY)) - _xlfn.SINGLE(_xll.ciqfunctions.udf.CIQ(A2733,"iq_gw_intan", IQ_FY)))/I2743, (_xlfn.SINGLE(_xll.ciqfunctions.udf.CIQ(A2733, "IQ_total_assets",IQ_LTM))-_xlfn.SINGLE(_xll.ciqfunctions.udf.CIQ(A2733,"iq_gw_intan",IQ_LTM)))/I2743))</f>
        <v>0.20311243765184697</v>
      </c>
      <c r="Y2739" s="18"/>
      <c r="Z2739" s="38" t="s">
        <v>29</v>
      </c>
      <c r="AA2739" s="4">
        <f>(AVERAGE(P2738:P2743)/_xlfn.STDEV.P(P2738:P2743))/(IF(A2741=A2742,(_xlfn.SINGLE(_xll.ciqfunctions.udf.CIQ(A2733,"IQ_total_assets",IQ_FY)) - _xlfn.SINGLE(_xll.ciqfunctions.udf.CIQ(A2733,"iq_gw_intan", IQ_FY)))/I2743, (_xlfn.SINGLE(_xll.ciqfunctions.udf.CIQ(A2733, "IQ_total_assets",IQ_LTM))-_xlfn.SINGLE(_xll.ciqfunctions.udf.CIQ(A2733,"iq_gw_intan",IQ_LTM)))/I2743))</f>
        <v>0.20311243765184697</v>
      </c>
    </row>
    <row r="2740" spans="1:27">
      <c r="A2740" s="18"/>
      <c r="B2740" s="13">
        <v>8</v>
      </c>
      <c r="C2740" s="14" t="s">
        <v>30</v>
      </c>
      <c r="D2740" s="15" cm="1">
        <f t="array" ref="D2740">_xlfn.SINGLE(IF(A2741=A2742,_xll.ciqfunctions.udf.CIQ(A2733,"IQ_TOTAL_REV",IQ_FY-3)/I2740, _xll.ciqfunctions.udf.CIQ(A2733, "IQ_TOTAL_REV",IQ_FY-2)/I2740))</f>
        <v>2.370324185162362</v>
      </c>
      <c r="E2740" s="16">
        <f t="shared" si="731"/>
        <v>-9.2096182758743442E-2</v>
      </c>
      <c r="F2740" s="15">
        <f>IF(A2741=A2742,_xll.ciqfunctions.udf.CIQ(A2733,"IQ_DILUT_EPS_EXCL",IQ_FY-3), _xll.ciqfunctions.udf.CIQ(A2733, "IQ_DILUT_EPS_EXCL",IQ_FY-2))</f>
        <v>-1.17137</v>
      </c>
      <c r="G2740" s="15">
        <f>IF(A2741=A2742,_xll.ciqfunctions.udf.CIQ(A2733,"IQ_EBITDA_MARGIN",IQ_FY-3), _xll.ciqfunctions.udf.CIQ(A2733, "IQ_EBITDA_MARGIN",IQ_FY-2))</f>
        <v>-9.7903000000000002</v>
      </c>
      <c r="H2740" s="15">
        <f>IF(A2741=A2742,_xll.ciqfunctions.udf.CIQ(A2733,"IQ_TOTAL_DIV_PAID_CF",IQ_FY-3)/-I2740, _xll.ciqfunctions.udf.CIQ(A2733, "IQ_TOTAL_DIV_PAID_CF",IQ_FY-2)/-I2740)</f>
        <v>0</v>
      </c>
      <c r="I2740" s="17">
        <f>IF(A2741=A2742,_xll.ciqfunctions.udf.CIQ(A2733,"IQ_TOTAL_OUTSTANDING_FILING_DATE",IQ_FY-3), _xll.ciqfunctions.udf.CIQ(A2733, "IQ_TOTAL_OUTSTANDING_FILING_DATE",IQ_FY-2))</f>
        <v>37.145130000000002</v>
      </c>
      <c r="J2740" s="17">
        <f>IF(A2741=A2742,_xll.ciqfunctions.udf.CIQ(A2733,"IQ_CASH_OPER",IQ_FY-3), _xll.ciqfunctions.udf.CIQ(A2733, "IQ_CASH_OPER",IQ_FY-2))</f>
        <v>21.783000000000001</v>
      </c>
      <c r="K2740" s="17">
        <f>IF(A2741=A2742,_xll.ciqfunctions.udf.CIQ(A2733,"IQ_CAPEX",IQ_FY-3), _xll.ciqfunctions.udf.CIQ(A2733, "IQ_CAPEX",IQ_FY-2))</f>
        <v>-6.968</v>
      </c>
      <c r="L2740" s="15">
        <f t="shared" si="728"/>
        <v>0.39884097861550089</v>
      </c>
      <c r="M2740" s="17">
        <f>IF(A2741=A2742,_xll.ciqfunctions.udf.CIQ(A2733,"IQ_TOTAL_DEBT_ISSUED",IQ_FY-3), _xll.ciqfunctions.udf.CIQ(A2733, "IQ_TOTAL_DEBT_ISSUED",IQ_FY-2))</f>
        <v>0</v>
      </c>
      <c r="N2740" s="17">
        <f>IF(A2741=A2742,_xll.ciqfunctions.udf.CIQ(A2733,"IQ_TOTAL_DEBT_REPAID",IQ_FY-3), _xll.ciqfunctions.udf.CIQ(A2733, "IQ_TOTAL_DEBT_REPAID",IQ_FY-2))</f>
        <v>0</v>
      </c>
      <c r="O2740" s="15">
        <f t="shared" si="729"/>
        <v>0</v>
      </c>
      <c r="P2740" s="15">
        <f t="shared" si="730"/>
        <v>0.39884097861550089</v>
      </c>
      <c r="Q2740" s="18"/>
      <c r="R2740" s="39" t="s">
        <v>31</v>
      </c>
      <c r="S2740" s="5">
        <f>IF(NOT(D2733&gt;0),FALSE,SLOPE(G2733:G2743,B2733:B2743))</f>
        <v>-3.3884245454545452</v>
      </c>
      <c r="U2740" s="18"/>
      <c r="V2740" s="39" t="s">
        <v>31</v>
      </c>
      <c r="W2740" s="5">
        <f>IF(NOT(D2733&gt;0),FALSE,SLOPE(G2733:G2743,B2733:B2743))</f>
        <v>-3.3884245454545452</v>
      </c>
      <c r="Y2740" s="18"/>
      <c r="Z2740" s="39" t="s">
        <v>31</v>
      </c>
      <c r="AA2740" s="5">
        <f>IF(NOT(L2733&gt;0),FALSE,SLOPE(O2733:O2743,J2733:J2743))</f>
        <v>-7.6665719779708802E-5</v>
      </c>
    </row>
    <row r="2741" spans="1:27">
      <c r="A2741" s="19">
        <f>_xll.ciqfunctions.udf.CIQ(A2733,"IQ_TOTAL_REV",IQ_FY)</f>
        <v>148.54900000000001</v>
      </c>
      <c r="B2741" s="13">
        <v>9</v>
      </c>
      <c r="C2741" s="14" t="s">
        <v>32</v>
      </c>
      <c r="D2741" s="15" cm="1">
        <f t="array" ref="D2741">_xlfn.SINGLE(IF(A2741=A2742,_xll.ciqfunctions.udf.CIQ(A2733,"IQ_TOTAL_REV",IQ_FY-2)/I2741, _xll.ciqfunctions.udf.CIQ(A2733, "IQ_TOTAL_REV",IQ_FY-1)/I2741))</f>
        <v>2.9453331215253571</v>
      </c>
      <c r="E2741" s="16">
        <f t="shared" si="731"/>
        <v>0.2425866216791811</v>
      </c>
      <c r="F2741" s="15">
        <f>IF(A2741=A2742,_xll.ciqfunctions.udf.CIQ(A2733,"IQ_DILUT_EPS_EXCL",IQ_FY-2), _xll.ciqfunctions.udf.CIQ(A2733, "IQ_DILUT_EPS_EXCL",IQ_FY-1))</f>
        <v>-0.57999999999999996</v>
      </c>
      <c r="G2741" s="15">
        <f>IF(A2741=A2742,_xll.ciqfunctions.udf.CIQ(A2733,"IQ_EBITDA_MARGIN",IQ_FY-2), _xll.ciqfunctions.udf.CIQ(A2733, "IQ_EBITDA_MARGIN",IQ_FY-1))</f>
        <v>-5.641</v>
      </c>
      <c r="H2741" s="15">
        <f>IF(A2741=A2742,_xll.ciqfunctions.udf.CIQ(A2733,"IQ_TOTAL_DIV_PAID_CF",IQ_FY-2)/-I2741, _xll.ciqfunctions.udf.CIQ(A2733, "IQ_TOTAL_DIV_PAID_CF",IQ_FY-1)/-I2741)</f>
        <v>0</v>
      </c>
      <c r="I2741" s="17">
        <f>IF(A2741=A2742,_xll.ciqfunctions.udf.CIQ(A2733,"IQ_TOTAL_OUTSTANDING_FILING_DATE",IQ_FY-2), _xll.ciqfunctions.udf.CIQ(A2733, "IQ_TOTAL_OUTSTANDING_FILING_DATE",IQ_FY-1))</f>
        <v>37.70711</v>
      </c>
      <c r="J2741" s="17">
        <f>IF(A2741=A2742,_xll.ciqfunctions.udf.CIQ(A2733,"IQ_CASH_OPER",IQ_FY-2), _xll.ciqfunctions.udf.CIQ(A2733, "IQ_CASH_OPER",IQ_FY-1))</f>
        <v>4.2430000000000003</v>
      </c>
      <c r="K2741" s="17">
        <f>IF(A2741=A2742,_xll.ciqfunctions.udf.CIQ(A2733,"IQ_CAPEX",IQ_FY-2), _xll.ciqfunctions.udf.CIQ(A2733, "IQ_CAPEX",IQ_FY-1))</f>
        <v>-4.0529999999999999</v>
      </c>
      <c r="L2741" s="15">
        <f t="shared" si="728"/>
        <v>5.0388375030597779E-3</v>
      </c>
      <c r="M2741" s="17">
        <f>IF(A2741=A2742,_xll.ciqfunctions.udf.CIQ(A2733,"IQ_TOTAL_DEBT_ISSUED",IQ_FY-2), _xll.ciqfunctions.udf.CIQ(A2733, "IQ_TOTAL_DEBT_ISSUED",IQ_FY-1))</f>
        <v>0</v>
      </c>
      <c r="N2741" s="17">
        <f>IF(A2741=A2742,_xll.ciqfunctions.udf.CIQ(A2733,"IQ_TOTAL_DEBT_REPAID",IQ_FY-2), _xll.ciqfunctions.udf.CIQ(A2733, "IQ_TOTAL_DEBT_REPAID",IQ_FY-1))</f>
        <v>0</v>
      </c>
      <c r="O2741" s="15">
        <f t="shared" si="729"/>
        <v>0</v>
      </c>
      <c r="P2741" s="15">
        <f t="shared" si="730"/>
        <v>5.0388375030597779E-3</v>
      </c>
      <c r="Q2741" s="25" t="s">
        <v>33</v>
      </c>
      <c r="R2741" s="38" t="s">
        <v>52</v>
      </c>
      <c r="S2741" s="4">
        <f>(AVERAGE(O2738:O2743)/AVERAGE(P2738:P2743))</f>
        <v>0</v>
      </c>
      <c r="U2741" s="25" t="s">
        <v>54</v>
      </c>
      <c r="V2741" s="38" t="s">
        <v>52</v>
      </c>
      <c r="W2741" s="4">
        <f>(AVERAGE(O2738:O2743)/AVERAGE(P2738:P2743))</f>
        <v>0</v>
      </c>
      <c r="Y2741" s="25" t="s">
        <v>60</v>
      </c>
      <c r="Z2741" s="38" t="s">
        <v>52</v>
      </c>
      <c r="AA2741" s="4">
        <f>(AVERAGE(O2738:O2743)/AVERAGE(P2738:P2743))</f>
        <v>0</v>
      </c>
    </row>
    <row r="2742" spans="1:27">
      <c r="A2742" s="19">
        <f>_xll.ciqfunctions.udf.CIQ(A2733,"IQ_TOTAL_REV",IQ_LTM)</f>
        <v>165.233</v>
      </c>
      <c r="B2742" s="13">
        <v>10</v>
      </c>
      <c r="C2742" s="14" t="s">
        <v>34</v>
      </c>
      <c r="D2742" s="15" cm="1">
        <f t="array" ref="D2742">_xlfn.SINGLE(IF(A2741=A2742,_xll.ciqfunctions.udf.CIQ(A2733,"IQ_TOTAL_REV",IQ_FY-1)/I2742, _xll.ciqfunctions.udf.CIQ(A2733, "IQ_TOTAL_REV",IQ_FY)/I2742))</f>
        <v>3.9331963743919793</v>
      </c>
      <c r="E2742" s="16">
        <f t="shared" si="731"/>
        <v>0.3353994988366607</v>
      </c>
      <c r="F2742" s="15">
        <f>IF(A2741=A2742,_xll.ciqfunctions.udf.CIQ(A2733,"IQ_DILUT_EPS_EXCL",IQ_FY-1), _xll.ciqfunctions.udf.CIQ(A2733, "IQ_DILUT_EPS_EXCL",IQ_FY))</f>
        <v>-9.1910000000000006E-2</v>
      </c>
      <c r="G2742" s="15">
        <f>IF(A2741=A2742,_xll.ciqfunctions.udf.CIQ(A2733,"IQ_EBITDA_MARGIN",IQ_FY-1), _xll.ciqfunctions.udf.CIQ(A2733, "IQ_EBITDA_MARGIN",IQ_FY))</f>
        <v>4.657</v>
      </c>
      <c r="H2742" s="15">
        <f>IF(A2741=A2742,_xll.ciqfunctions.udf.CIQ(A2733,"IQ_TOTAL_DIV_PAID_CF",IQ_FY-1)/-I2742, _xll.ciqfunctions.udf.CIQ(A2733, "IQ_TOTAL_DIV_PAID_CF",IQ_FY)/-I2742)</f>
        <v>0</v>
      </c>
      <c r="I2742" s="17">
        <f>IF(A2741=A2742,_xll.ciqfunctions.udf.CIQ(A2733,"IQ_TOTAL_OUTSTANDING_FILING_DATE",IQ_FY-1), _xll.ciqfunctions.udf.CIQ(A2733, "IQ_TOTAL_OUTSTANDING_FILING_DATE",IQ_FY))</f>
        <v>37.768009999999997</v>
      </c>
      <c r="J2742" s="17">
        <f>IF(A2741=A2742,_xll.ciqfunctions.udf.CIQ(A2733,"IQ_CASH_OPER",IQ_FY-1), _xll.ciqfunctions.udf.CIQ(A2733, "IQ_CASH_OPER",IQ_FY))</f>
        <v>32.298000000000002</v>
      </c>
      <c r="K2742" s="17">
        <f>IF(A2741=A2742,_xll.ciqfunctions.udf.CIQ(A2733,"IQ_CAPEX",IQ_FY-1), _xll.ciqfunctions.udf.CIQ(A2733, "IQ_CAPEX",IQ_FY))</f>
        <v>-8.43</v>
      </c>
      <c r="L2742" s="15">
        <f t="shared" si="728"/>
        <v>0.63196339971314364</v>
      </c>
      <c r="M2742" s="17">
        <f>IF(A2741=A2742,_xll.ciqfunctions.udf.CIQ(A2733,"IQ_TOTAL_DEBT_ISSUED",IQ_FY-1), _xll.ciqfunctions.udf.CIQ(A2733, "IQ_TOTAL_DEBT_ISSUED",IQ_FY))</f>
        <v>0</v>
      </c>
      <c r="N2742" s="17">
        <f>IF(A2741=A2742,_xll.ciqfunctions.udf.CIQ(A2733,"IQ_TOTAL_DEBT_REPAID",IQ_FY-1), _xll.ciqfunctions.udf.CIQ(A2733, "IQ_TOTAL_DEBT_REPAID",IQ_FY))</f>
        <v>0</v>
      </c>
      <c r="O2742" s="15">
        <f t="shared" si="729"/>
        <v>0</v>
      </c>
      <c r="P2742" s="15">
        <f t="shared" si="730"/>
        <v>0.63196339971314364</v>
      </c>
      <c r="Q2742" s="25" t="s">
        <v>44</v>
      </c>
      <c r="R2742" s="38" t="s">
        <v>35</v>
      </c>
      <c r="S2742" s="1">
        <f>_xll.ciqfunctions.udf.CIQ(A2733,"IQ_TEV_EBITDA")</f>
        <v>80.198030000000003</v>
      </c>
      <c r="U2742" s="25" t="s">
        <v>55</v>
      </c>
      <c r="V2742" s="38" t="s">
        <v>53</v>
      </c>
      <c r="W2742" s="1">
        <f>V2732/(AVERAGE(D2738:D2743)/_xlfn.STDEV.P(E2738:E2743))</f>
        <v>1.7527347544758023</v>
      </c>
      <c r="Y2742" s="25" t="s">
        <v>57</v>
      </c>
      <c r="Z2742" s="38" t="s">
        <v>53</v>
      </c>
      <c r="AA2742" s="1">
        <f>Z2732/(AVERAGE(D2738:D2743)/_xlfn.STDEV.P(E2738:E2743))</f>
        <v>1.7527347544758023</v>
      </c>
    </row>
    <row r="2743" spans="1:27">
      <c r="B2743" s="13">
        <v>11</v>
      </c>
      <c r="C2743" s="20" t="s">
        <v>36</v>
      </c>
      <c r="D2743" s="21" cm="1">
        <f t="array" ref="D2743">_xlfn.SINGLE(IF(A2741=A2742,_xll.ciqfunctions.udf.CIQ(A2733,"IQ_TOTAL_REV",IQ_FY)/I2743, _xll.ciqfunctions.udf.CIQ(A2733, "IQ_TOTAL_REV",IQ_LTM)/I2743))</f>
        <v>4.3185299021990833</v>
      </c>
      <c r="E2743" s="22">
        <f t="shared" si="731"/>
        <v>9.7969562444405398E-2</v>
      </c>
      <c r="F2743" s="21">
        <f>IF(A2741=A2742,_xll.ciqfunctions.udf.CIQ(A2733,"IQ_DILUT_EPS_EXCL",IQ_FY), _xll.ciqfunctions.udf.CIQ(A2733, "IQ_DILUT_EPS_EXCL",IQ_LTM))</f>
        <v>7.0230000000000001E-2</v>
      </c>
      <c r="G2743" s="21">
        <f>IF(A2741=A2742,_xll.ciqfunctions.udf.CIQ(A2733,"IQ_EBITDA_MARGIN",IQ_FY), _xll.ciqfunctions.udf.CIQ(A2733, "IQ_EBITDA_MARGIN",IQ_LTM))</f>
        <v>6.4744000000000002</v>
      </c>
      <c r="H2743" s="21">
        <f>IF(A2741=A2742,_xll.ciqfunctions.udf.CIQ(A2733,"IQ_TOTAL_DIV_PAID_CF",IQ_FY)/-I2743, _xll.ciqfunctions.udf.CIQ(A2733, "IQ_TOTAL_DIV_PAID_CF",IQ_LTM)/-I2743)</f>
        <v>0</v>
      </c>
      <c r="I2743" s="23">
        <f>IF(A2741=A2742,_xll.ciqfunctions.udf.CIQ(A2733,"IQ_TOTAL_OUTSTANDING_FILING_DATE",IQ_FY),_xll.ciqfunctions.udf.CIQ(A2733,"IQ_sharesoutstanding"))</f>
        <v>38.261400000000002</v>
      </c>
      <c r="J2743" s="23">
        <f>IF(A2741=A2742,_xll.ciqfunctions.udf.CIQ(A2733,"IQ_CASH_OPER",IQ_FY), _xll.ciqfunctions.udf.CIQ(A2733, "IQ_CASH_OPER",IQ_LTM))</f>
        <v>36.845999999999997</v>
      </c>
      <c r="K2743" s="23">
        <f>IF(A2741=A2742,_xll.ciqfunctions.udf.CIQ(A2733,"IQ_CAPEX",IQ_FY), _xll.ciqfunctions.udf.CIQ(A2733, "IQ_CAPEX",IQ_LTM))</f>
        <v>-10.641999999999999</v>
      </c>
      <c r="L2743" s="21">
        <f t="shared" si="728"/>
        <v>0.68486777796944165</v>
      </c>
      <c r="M2743" s="23">
        <f>IF(A2741=A2742,_xll.ciqfunctions.udf.CIQ(A2733,"IQ_TOTAL_DEBT_ISSUED",IQ_FY), _xll.ciqfunctions.udf.CIQ(A2733, "IQ_TOTAL_DEBT_ISSUED",IQ_LTM))</f>
        <v>0</v>
      </c>
      <c r="N2743" s="23">
        <f>IF(A2741=A2742,_xll.ciqfunctions.udf.CIQ(A2733,"IQ_TOTAL_DEBT_REPAID",IQ_FY), _xll.ciqfunctions.udf.CIQ(A2733, "IQ_TOTAL_DEBT_REPAID",IQ_LTM))</f>
        <v>0</v>
      </c>
      <c r="O2743" s="21">
        <f t="shared" si="729"/>
        <v>0</v>
      </c>
      <c r="P2743" s="21">
        <f t="shared" si="730"/>
        <v>0.68486777796944165</v>
      </c>
      <c r="Q2743" s="25" t="s">
        <v>45</v>
      </c>
      <c r="S2743" s="45"/>
      <c r="U2743" s="25"/>
      <c r="W2743" s="45"/>
      <c r="Y2743" s="25"/>
      <c r="AA2743" s="45"/>
    </row>
    <row r="2744" spans="1:27">
      <c r="B2744" s="24"/>
      <c r="C2744" s="25" t="s">
        <v>37</v>
      </c>
      <c r="E2744" s="26">
        <f>((D2743/D2738)^(1/5))-1</f>
        <v>0.1040987510516882</v>
      </c>
      <c r="F2744" s="27">
        <f>((F2743/F2738)^(1/5))-1</f>
        <v>-1.7820999990148345</v>
      </c>
      <c r="G2744" s="28"/>
      <c r="H2744" s="27" t="e">
        <f>((H2743/H2738)^(1/5))-1</f>
        <v>#DIV/0!</v>
      </c>
      <c r="I2744" s="27">
        <f>((I2743/I2738)^(1/5))-1</f>
        <v>3.2571314017958208E-2</v>
      </c>
      <c r="J2744" s="27"/>
      <c r="K2744" s="27"/>
      <c r="L2744" s="26">
        <f>((L2743/L2738)^(1/5))-1</f>
        <v>1.5146808096901405</v>
      </c>
      <c r="M2744" s="26"/>
      <c r="N2744" s="26"/>
      <c r="O2744" s="26"/>
      <c r="P2744" s="26">
        <f>((P2743/P2738)^(1/5))-1</f>
        <v>1.5146808096901405</v>
      </c>
      <c r="Q2744" s="18"/>
      <c r="R2744" s="36"/>
      <c r="S2744" s="45"/>
      <c r="U2744" s="18"/>
      <c r="V2744" s="36"/>
      <c r="W2744" s="45"/>
      <c r="Y2744" s="18"/>
      <c r="Z2744" s="36"/>
      <c r="AA2744" s="45"/>
    </row>
    <row r="2745" spans="1:27">
      <c r="A2745" s="29"/>
      <c r="B2745" s="30"/>
      <c r="C2745" s="31" t="s">
        <v>38</v>
      </c>
      <c r="D2745" s="29"/>
      <c r="E2745" s="32">
        <f>((D2743/D2733)^(1/10))-1</f>
        <v>2.6733684193150697E-2</v>
      </c>
      <c r="F2745" s="33">
        <f>((F2743/F2733)^(1/10))-1</f>
        <v>-0.20192301537269552</v>
      </c>
      <c r="G2745" s="34"/>
      <c r="H2745" s="33" t="e">
        <f>((H2743/H2733)^(1/10))-1</f>
        <v>#DIV/0!</v>
      </c>
      <c r="I2745" s="33">
        <f>((I2743/I2733)^(1/10))-1</f>
        <v>2.264613004921312E-2</v>
      </c>
      <c r="J2745" s="33"/>
      <c r="K2745" s="33"/>
      <c r="L2745" s="32">
        <f>((L2743/L2733)^(1/10))-1</f>
        <v>1.0159001974350268E-3</v>
      </c>
      <c r="M2745" s="32"/>
      <c r="N2745" s="32"/>
      <c r="O2745" s="32"/>
      <c r="P2745" s="32">
        <f>((P2743/P2733)^(1/10))-1</f>
        <v>1.0159001974350268E-3</v>
      </c>
      <c r="Q2745" s="40"/>
      <c r="R2745" s="41"/>
      <c r="S2745" s="46"/>
      <c r="U2745" s="40"/>
      <c r="V2745" s="41"/>
      <c r="W2745" s="46"/>
      <c r="Y2745" s="40"/>
      <c r="Z2745" s="41"/>
      <c r="AA2745" s="46"/>
    </row>
    <row r="2746" spans="1:27">
      <c r="B2746" s="24"/>
      <c r="C2746" s="25"/>
      <c r="E2746" s="26"/>
      <c r="F2746" s="27"/>
      <c r="G2746" s="28"/>
      <c r="H2746" s="27"/>
      <c r="I2746" s="27"/>
      <c r="J2746" s="27"/>
      <c r="K2746" s="27"/>
      <c r="L2746" s="26"/>
      <c r="M2746" s="17"/>
      <c r="N2746" s="17"/>
      <c r="O2746" s="17"/>
      <c r="P2746" s="35"/>
      <c r="Q2746" s="18"/>
      <c r="R2746" s="36"/>
    </row>
    <row r="2747" spans="1:27">
      <c r="A2747" s="9" t="s">
        <v>0</v>
      </c>
      <c r="B2747" s="10"/>
      <c r="C2747" s="9" t="s">
        <v>1</v>
      </c>
      <c r="D2747" s="9" t="s">
        <v>2</v>
      </c>
      <c r="E2747" s="9" t="s">
        <v>3</v>
      </c>
      <c r="F2747" s="11" t="s">
        <v>4</v>
      </c>
      <c r="G2747" s="11" t="s">
        <v>5</v>
      </c>
      <c r="H2747" s="9" t="s">
        <v>6</v>
      </c>
      <c r="I2747" s="11" t="s">
        <v>7</v>
      </c>
      <c r="J2747" s="11" t="s">
        <v>8</v>
      </c>
      <c r="K2747" s="11" t="s">
        <v>9</v>
      </c>
      <c r="L2747" s="11" t="s">
        <v>10</v>
      </c>
      <c r="M2747" s="11" t="s">
        <v>11</v>
      </c>
      <c r="N2747" s="11" t="s">
        <v>12</v>
      </c>
      <c r="O2747" s="11" t="s">
        <v>13</v>
      </c>
      <c r="P2747" s="11" t="s">
        <v>14</v>
      </c>
      <c r="Q2747" s="37" t="s">
        <v>15</v>
      </c>
      <c r="R2747" s="42">
        <f>_xll.ciqfunctions.udf.CIQ(A2748,("IQ_LASTSALEPRICE"))</f>
        <v>16.27</v>
      </c>
      <c r="S2747" s="44"/>
      <c r="U2747" s="37" t="s">
        <v>15</v>
      </c>
      <c r="V2747" s="42">
        <f>_xll.ciqfunctions.udf.CIQ(A2748,("IQ_LASTSALEPRICE"))</f>
        <v>16.27</v>
      </c>
      <c r="W2747" s="44"/>
      <c r="Y2747" s="37" t="s">
        <v>15</v>
      </c>
      <c r="Z2747" s="42">
        <f>_xll.ciqfunctions.udf.CIQ(A2748,("IQ_LASTSALEPRICE"))</f>
        <v>16.27</v>
      </c>
      <c r="AA2747" s="44"/>
    </row>
    <row r="2748" spans="1:27">
      <c r="A2748" s="12" t="str">
        <f>Analysis!B185</f>
        <v>NasdaqGS:SMTC</v>
      </c>
      <c r="B2748" s="13">
        <v>1</v>
      </c>
      <c r="C2748" s="14" t="s">
        <v>16</v>
      </c>
      <c r="D2748" s="15">
        <f>IF(A2756=A2757,_xll.ciqfunctions.udf.CIQ(A2748,"IQ_TOTAL_REV",IQ_FY-10)/I2748,_xll.ciqfunctions.udf.CIQ(A2748, "IQ_TOTAL_REV",IQ_FY-9)/I2748)</f>
        <v>8.8260499288919227</v>
      </c>
      <c r="E2748" s="16"/>
      <c r="F2748" s="15">
        <f>IF(A2756=A2757,_xll.ciqfunctions.udf.CIQ(A2748,"IQ_DILUT_EPS_EXCL",IQ_FY-10), _xll.ciqfunctions.udf.CIQ(A2748, "IQ_DILUT_EPS_EXCL",IQ_FY-9))</f>
        <v>-2.44</v>
      </c>
      <c r="G2748" s="15">
        <f>IF(A2756=A2757,_xll.ciqfunctions.udf.CIQ(A2748,"IQ_EBITDA_MARGIN",IQ_FY-10), _xll.ciqfunctions.udf.CIQ(A2748, "IQ_EBITDA_MARGIN",IQ_FY-9))</f>
        <v>18.3536</v>
      </c>
      <c r="H2748" s="15">
        <f>IF(A2756=A2757,_xll.ciqfunctions.udf.CIQ(A2748,"IQ_TOTAL_DIV_PAID_CF",IQ_FY-10)/-I2748, _xll.ciqfunctions.udf.CIQ(A2748, "IQ_TOTAL_DIV_PAID_CF",IQ_FY-9)/-I2748)</f>
        <v>0</v>
      </c>
      <c r="I2748" s="17">
        <f>IF(A2756=A2757,_xll.ciqfunctions.udf.CIQ(A2748,"IQ_TOTAL_OUTSTANDING_FILING_DATE",IQ_FY-10), _xll.ciqfunctions.udf.CIQ(A2748, "IQ_TOTAL_OUTSTANDING_FILING_DATE",IQ_FY-9))</f>
        <v>67.411469999999994</v>
      </c>
      <c r="J2748" s="17">
        <f>IF(A2756=A2757,_xll.ciqfunctions.udf.CIQ(A2748,"IQ_CASH_OPER",IQ_FY-10), _xll.ciqfunctions.udf.CIQ(A2748, "IQ_CASH_OPER",IQ_FY-9))</f>
        <v>117.98099999999999</v>
      </c>
      <c r="K2748" s="17">
        <f>IF(A2756=A2757,_xll.ciqfunctions.udf.CIQ(A2748,"IQ_CAPEX",IQ_FY-10), _xll.ciqfunctions.udf.CIQ(A2748, "IQ_CAPEX",IQ_FY-9))</f>
        <v>-37.161000000000001</v>
      </c>
      <c r="L2748" s="15">
        <f t="shared" ref="L2748:L2758" si="732">(J2748+K2748)/I2748</f>
        <v>1.1989057648498096</v>
      </c>
      <c r="M2748" s="17">
        <f>IF(A2756=A2757,_xll.ciqfunctions.udf.CIQ(A2748,"IQ_TOTAL_DEBT_ISSUED",IQ_FY-10), _xll.ciqfunctions.udf.CIQ(A2748, "IQ_TOTAL_DEBT_ISSUED",IQ_FY-9))</f>
        <v>327.34399999999999</v>
      </c>
      <c r="N2748" s="17">
        <f>IF(A2756=A2757,_xll.ciqfunctions.udf.CIQ(A2748,"IQ_TOTAL_DEBT_REPAID",IQ_FY-10), _xll.ciqfunctions.udf.CIQ(A2748, "IQ_TOTAL_DEBT_REPAID",IQ_FY-9))</f>
        <v>-368.50099999999998</v>
      </c>
      <c r="O2748" s="15">
        <f t="shared" ref="O2748:O2758" si="733">(M2748+N2748)/I2748</f>
        <v>-0.61053408270135612</v>
      </c>
      <c r="P2748" s="15">
        <f t="shared" ref="P2748:P2758" si="734">L2748+O2748</f>
        <v>0.58837168214845348</v>
      </c>
      <c r="W2748" s="43"/>
      <c r="AA2748" s="43"/>
    </row>
    <row r="2749" spans="1:27">
      <c r="A2749" s="18" t="str">
        <f>_xll.ciqfunctions.udf.CIQ(A2748,"IQ_COMPANY_NAME")</f>
        <v>Semtech Corporation</v>
      </c>
      <c r="B2749" s="13">
        <v>2</v>
      </c>
      <c r="C2749" s="14" t="s">
        <v>17</v>
      </c>
      <c r="D2749" s="15">
        <f>IF(A2756=A2757,_xll.ciqfunctions.udf.CIQ(A2748,"IQ_TOTAL_REV",IQ_FY-9)/I2749, _xll.ciqfunctions.udf.CIQ(A2748, "IQ_TOTAL_REV",IQ_FY-8)/I2749)</f>
        <v>8.2260980012801728</v>
      </c>
      <c r="E2749" s="16">
        <f t="shared" ref="E2749:E2758" si="735">(D2749-D2748)/D2748</f>
        <v>-6.7975134113825678E-2</v>
      </c>
      <c r="F2749" s="15">
        <f>IF(A2756=A2757,_xll.ciqfunctions.udf.CIQ(A2748,"IQ_DILUT_EPS_EXCL",IQ_FY-9), _xll.ciqfunctions.udf.CIQ(A2748, "IQ_DILUT_EPS_EXCL",IQ_FY-8))</f>
        <v>0.41</v>
      </c>
      <c r="G2749" s="15">
        <f>IF(A2756=A2757,_xll.ciqfunctions.udf.CIQ(A2748,"IQ_EBITDA_MARGIN",IQ_FY-9), _xll.ciqfunctions.udf.CIQ(A2748, "IQ_EBITDA_MARGIN",IQ_FY-8))</f>
        <v>21.5703</v>
      </c>
      <c r="H2749" s="15">
        <f>IF(A2756=A2757,_xll.ciqfunctions.udf.CIQ(A2748,"IQ_TOTAL_DIV_PAID_CF",IQ_FY-9)/-I2749, _xll.ciqfunctions.udf.CIQ(A2748, "IQ_TOTAL_DIV_PAID_CF",IQ_FY-8)/-I2749)</f>
        <v>0</v>
      </c>
      <c r="I2749" s="17">
        <f>IF(A2756=A2757,_xll.ciqfunctions.udf.CIQ(A2748,"IQ_TOTAL_OUTSTANDING_FILING_DATE",IQ_FY-9), _xll.ciqfunctions.udf.CIQ(A2748, "IQ_TOTAL_OUTSTANDING_FILING_DATE",IQ_FY-8))</f>
        <v>67.818910000000002</v>
      </c>
      <c r="J2749" s="17">
        <f>IF(A2756=A2757,_xll.ciqfunctions.udf.CIQ(A2748,"IQ_CASH_OPER",IQ_FY-9), _xll.ciqfunctions.udf.CIQ(A2748, "IQ_CASH_OPER",IQ_FY-8))</f>
        <v>106.16</v>
      </c>
      <c r="K2749" s="17">
        <f>IF(A2756=A2757,_xll.ciqfunctions.udf.CIQ(A2748,"IQ_CAPEX",IQ_FY-9), _xll.ciqfunctions.udf.CIQ(A2748, "IQ_CAPEX",IQ_FY-8))</f>
        <v>-31.754999999999999</v>
      </c>
      <c r="L2749" s="15">
        <f t="shared" si="732"/>
        <v>1.0971128848871208</v>
      </c>
      <c r="M2749" s="17">
        <f>IF(A2756=A2757,_xll.ciqfunctions.udf.CIQ(A2748,"IQ_TOTAL_DEBT_ISSUED",IQ_FY-9), _xll.ciqfunctions.udf.CIQ(A2748, "IQ_TOTAL_DEBT_ISSUED",IQ_FY-8))</f>
        <v>5</v>
      </c>
      <c r="N2749" s="17">
        <f>IF(A2756=A2757,_xll.ciqfunctions.udf.CIQ(A2748,"IQ_TOTAL_DEBT_REPAID",IQ_FY-9), _xll.ciqfunctions.udf.CIQ(A2748, "IQ_TOTAL_DEBT_REPAID",IQ_FY-8))</f>
        <v>-43.749000000000002</v>
      </c>
      <c r="O2749" s="15">
        <f t="shared" si="733"/>
        <v>-0.57135981690062554</v>
      </c>
      <c r="P2749" s="15">
        <f t="shared" si="734"/>
        <v>0.52575306798649524</v>
      </c>
      <c r="Q2749" s="25" t="s">
        <v>18</v>
      </c>
      <c r="R2749" s="39" t="s">
        <v>19</v>
      </c>
      <c r="S2749" s="1">
        <f>R2747/((AVERAGE(P2753:P2758))*(1+E2759)^3)</f>
        <v>1.8229166808672139</v>
      </c>
      <c r="U2749" s="25" t="s">
        <v>48</v>
      </c>
      <c r="V2749" s="39" t="s">
        <v>19</v>
      </c>
      <c r="W2749" s="1">
        <f>V2747/((AVERAGE(P2753:P2758))*(1+E2759)^3)</f>
        <v>1.8229166808672139</v>
      </c>
      <c r="Y2749" s="25" t="s">
        <v>39</v>
      </c>
      <c r="Z2749" s="39" t="s">
        <v>19</v>
      </c>
      <c r="AA2749" s="1">
        <f>Z2747/((AVERAGE(P2753:P2758))*(1+E2759)^3)</f>
        <v>1.8229166808672139</v>
      </c>
    </row>
    <row r="2750" spans="1:27">
      <c r="B2750" s="13">
        <v>3</v>
      </c>
      <c r="C2750" s="14" t="s">
        <v>20</v>
      </c>
      <c r="D2750" s="15" cm="1">
        <f t="array" ref="D2750">_xlfn.SINGLE(IF(A2756=A2757,_xll.ciqfunctions.udf.CIQ(A2748,"IQ_TOTAL_REV",IQ_FY-8)/I2750, _xll.ciqfunctions.udf.CIQ(A2748, "IQ_TOTAL_REV",IQ_FY-7)/I2750))</f>
        <v>7.5178257732425156</v>
      </c>
      <c r="E2750" s="16">
        <f t="shared" si="735"/>
        <v>-8.6100630934306102E-2</v>
      </c>
      <c r="F2750" s="15">
        <f>IF(A2756=A2757,_xll.ciqfunctions.udf.CIQ(A2748,"IQ_DILUT_EPS_EXCL",IQ_FY-8), _xll.ciqfunctions.udf.CIQ(A2748, "IQ_DILUT_EPS_EXCL",IQ_FY-7))</f>
        <v>0.17</v>
      </c>
      <c r="G2750" s="15">
        <f>IF(A2756=A2757,_xll.ciqfunctions.udf.CIQ(A2748,"IQ_EBITDA_MARGIN",IQ_FY-8), _xll.ciqfunctions.udf.CIQ(A2748, "IQ_EBITDA_MARGIN",IQ_FY-7))</f>
        <v>13.6867</v>
      </c>
      <c r="H2750" s="15">
        <f>IF(A2756=A2757,_xll.ciqfunctions.udf.CIQ(A2748,"IQ_TOTAL_DIV_PAID_CF",IQ_FY-8)/-I2750, _xll.ciqfunctions.udf.CIQ(A2748, "IQ_TOTAL_DIV_PAID_CF",IQ_FY-7)/-I2750)</f>
        <v>0</v>
      </c>
      <c r="I2750" s="17">
        <f>IF(A2756=A2757,_xll.ciqfunctions.udf.CIQ(A2748,"IQ_TOTAL_OUTSTANDING_FILING_DATE",IQ_FY-8), _xll.ciqfunctions.udf.CIQ(A2748, "IQ_TOTAL_OUTSTANDING_FILING_DATE",IQ_FY-7))</f>
        <v>65.207549999999998</v>
      </c>
      <c r="J2750" s="17">
        <f>IF(A2756=A2757,_xll.ciqfunctions.udf.CIQ(A2748,"IQ_CASH_OPER",IQ_FY-8), _xll.ciqfunctions.udf.CIQ(A2748, "IQ_CASH_OPER",IQ_FY-7))</f>
        <v>102.07599999999999</v>
      </c>
      <c r="K2750" s="17">
        <f>IF(A2756=A2757,_xll.ciqfunctions.udf.CIQ(A2748,"IQ_CAPEX",IQ_FY-8), _xll.ciqfunctions.udf.CIQ(A2748, "IQ_CAPEX",IQ_FY-7))</f>
        <v>-13.026</v>
      </c>
      <c r="L2750" s="15">
        <f t="shared" si="732"/>
        <v>1.3656394083200489</v>
      </c>
      <c r="M2750" s="17">
        <f>IF(A2756=A2757,_xll.ciqfunctions.udf.CIQ(A2748,"IQ_TOTAL_DEBT_ISSUED",IQ_FY-8), _xll.ciqfunctions.udf.CIQ(A2748, "IQ_TOTAL_DEBT_ISSUED",IQ_FY-7))</f>
        <v>35</v>
      </c>
      <c r="N2750" s="17">
        <f>IF(A2756=A2757,_xll.ciqfunctions.udf.CIQ(A2748,"IQ_TOTAL_DEBT_REPAID",IQ_FY-8), _xll.ciqfunctions.udf.CIQ(A2748, "IQ_TOTAL_DEBT_REPAID",IQ_FY-7))</f>
        <v>-30.75</v>
      </c>
      <c r="O2750" s="15">
        <f t="shared" si="733"/>
        <v>6.5176501800788406E-2</v>
      </c>
      <c r="P2750" s="15">
        <f t="shared" si="734"/>
        <v>1.4308159101208373</v>
      </c>
      <c r="Q2750" s="25" t="s">
        <v>21</v>
      </c>
      <c r="R2750" s="38" t="s">
        <v>49</v>
      </c>
      <c r="S2750" s="2">
        <f>(R2747*I2758)/1000</f>
        <v>1.0441176506999998</v>
      </c>
      <c r="U2750" s="25" t="s">
        <v>59</v>
      </c>
      <c r="V2750" s="38" t="s">
        <v>49</v>
      </c>
      <c r="W2750" s="2">
        <f>(V2747*I2758)/1000</f>
        <v>1.0441176506999998</v>
      </c>
      <c r="Y2750" s="25" t="s">
        <v>46</v>
      </c>
      <c r="Z2750" s="38" t="s">
        <v>49</v>
      </c>
      <c r="AA2750" s="2">
        <f>(Z2747*I2758)/1000</f>
        <v>1.0441176506999998</v>
      </c>
    </row>
    <row r="2751" spans="1:27">
      <c r="A2751" s="18"/>
      <c r="B2751" s="13">
        <v>4</v>
      </c>
      <c r="C2751" s="14" t="s">
        <v>22</v>
      </c>
      <c r="D2751" s="15" cm="1">
        <f t="array" ref="D2751">_xlfn.SINGLE(IF(A2756=A2757,_xll.ciqfunctions.udf.CIQ(A2748,"IQ_TOTAL_REV",IQ_FY-7)/I2751, _xll.ciqfunctions.udf.CIQ(A2748, "IQ_TOTAL_REV",IQ_FY-6)/I2751))</f>
        <v>8.2498266355937027</v>
      </c>
      <c r="E2751" s="16">
        <f t="shared" si="735"/>
        <v>9.7368692016849917E-2</v>
      </c>
      <c r="F2751" s="15">
        <f>IF(A2756=A2757,_xll.ciqfunctions.udf.CIQ(A2748,"IQ_DILUT_EPS_EXCL",IQ_FY-7), _xll.ciqfunctions.udf.CIQ(A2748, "IQ_DILUT_EPS_EXCL",IQ_FY-6))</f>
        <v>0.83</v>
      </c>
      <c r="G2751" s="15">
        <f>IF(A2756=A2757,_xll.ciqfunctions.udf.CIQ(A2748,"IQ_EBITDA_MARGIN",IQ_FY-7), _xll.ciqfunctions.udf.CIQ(A2748, "IQ_EBITDA_MARGIN",IQ_FY-6))</f>
        <v>19.7864</v>
      </c>
      <c r="H2751" s="15">
        <f>IF(A2756=A2757,_xll.ciqfunctions.udf.CIQ(A2748,"IQ_TOTAL_DIV_PAID_CF",IQ_FY-7)/-I2751, _xll.ciqfunctions.udf.CIQ(A2748, "IQ_TOTAL_DIV_PAID_CF",IQ_FY-6)/-I2751)</f>
        <v>0</v>
      </c>
      <c r="I2751" s="17">
        <f>IF(A2756=A2757,_xll.ciqfunctions.udf.CIQ(A2748,"IQ_TOTAL_OUTSTANDING_FILING_DATE",IQ_FY-7), _xll.ciqfunctions.udf.CIQ(A2748, "IQ_TOTAL_OUTSTANDING_FILING_DATE",IQ_FY-6))</f>
        <v>65.973749999999995</v>
      </c>
      <c r="J2751" s="17">
        <f>IF(A2756=A2757,_xll.ciqfunctions.udf.CIQ(A2748,"IQ_CASH_OPER",IQ_FY-7), _xll.ciqfunctions.udf.CIQ(A2748, "IQ_CASH_OPER",IQ_FY-6))</f>
        <v>117.61199999999999</v>
      </c>
      <c r="K2751" s="17">
        <f>IF(A2756=A2757,_xll.ciqfunctions.udf.CIQ(A2748,"IQ_CAPEX",IQ_FY-7), _xll.ciqfunctions.udf.CIQ(A2748, "IQ_CAPEX",IQ_FY-6))</f>
        <v>-32.92</v>
      </c>
      <c r="L2751" s="15">
        <f t="shared" si="732"/>
        <v>1.2837226927376419</v>
      </c>
      <c r="M2751" s="17">
        <f>IF(A2756=A2757,_xll.ciqfunctions.udf.CIQ(A2748,"IQ_TOTAL_DEBT_ISSUED",IQ_FY-7), _xll.ciqfunctions.udf.CIQ(A2748, "IQ_TOTAL_DEBT_ISSUED",IQ_FY-6))</f>
        <v>247</v>
      </c>
      <c r="N2751" s="17">
        <f>IF(A2756=A2757,_xll.ciqfunctions.udf.CIQ(A2748,"IQ_TOTAL_DEBT_REPAID",IQ_FY-7), _xll.ciqfunctions.udf.CIQ(A2748, "IQ_TOTAL_DEBT_REPAID",IQ_FY-6))</f>
        <v>-261.875</v>
      </c>
      <c r="O2751" s="15">
        <f t="shared" si="733"/>
        <v>-0.22546846283559752</v>
      </c>
      <c r="P2751" s="15">
        <f t="shared" si="734"/>
        <v>1.0582542299020443</v>
      </c>
      <c r="Q2751" s="25" t="s">
        <v>23</v>
      </c>
      <c r="R2751" s="38" t="s">
        <v>24</v>
      </c>
      <c r="S2751" s="1" t="e">
        <f>R2747/(AVERAGE(H2753:H2758)*(1+H2759)/(0.5-H2759))</f>
        <v>#DIV/0!</v>
      </c>
      <c r="U2751" s="25" t="s">
        <v>40</v>
      </c>
      <c r="V2751" s="38" t="s">
        <v>24</v>
      </c>
      <c r="W2751" s="1" t="e">
        <f>V2747/(AVERAGE(H2753:H2758)*(1+H2759)/(0.5-H2759))</f>
        <v>#DIV/0!</v>
      </c>
      <c r="Y2751" s="25" t="s">
        <v>47</v>
      </c>
      <c r="Z2751" s="38" t="s">
        <v>24</v>
      </c>
      <c r="AA2751" s="1" t="e">
        <f>Z2747/(AVERAGE(H2753:H2758)*(1+H2759)/(0.5-H2759))</f>
        <v>#DIV/0!</v>
      </c>
    </row>
    <row r="2752" spans="1:27">
      <c r="B2752" s="13">
        <v>5</v>
      </c>
      <c r="C2752" s="14" t="s">
        <v>25</v>
      </c>
      <c r="D2752" s="15" cm="1">
        <f t="array" ref="D2752">_xlfn.SINGLE(IF(A2756=A2757,_xll.ciqfunctions.udf.CIQ(A2748,"IQ_TOTAL_REV",IQ_FY-6)/I2752, _xll.ciqfunctions.udf.CIQ(A2748, "IQ_TOTAL_REV",IQ_FY-5)/I2752))</f>
        <v>8.8369979338892666</v>
      </c>
      <c r="E2752" s="16">
        <f t="shared" si="735"/>
        <v>7.1173774217536373E-2</v>
      </c>
      <c r="F2752" s="15">
        <f>IF(A2756=A2757,_xll.ciqfunctions.udf.CIQ(A2748,"IQ_DILUT_EPS_EXCL",IQ_FY-6), _xll.ciqfunctions.udf.CIQ(A2748, "IQ_DILUT_EPS_EXCL",IQ_FY-5))</f>
        <v>0.51</v>
      </c>
      <c r="G2752" s="15">
        <f>IF(A2756=A2757,_xll.ciqfunctions.udf.CIQ(A2748,"IQ_EBITDA_MARGIN",IQ_FY-6), _xll.ciqfunctions.udf.CIQ(A2748, "IQ_EBITDA_MARGIN",IQ_FY-5))</f>
        <v>21.738299999999999</v>
      </c>
      <c r="H2752" s="15">
        <f>IF(A2756=A2757,_xll.ciqfunctions.udf.CIQ(A2748,"IQ_TOTAL_DIV_PAID_CF",IQ_FY-6)/-I2752, _xll.ciqfunctions.udf.CIQ(A2748, "IQ_TOTAL_DIV_PAID_CF",IQ_FY-5)/-I2752)</f>
        <v>0</v>
      </c>
      <c r="I2752" s="17">
        <f>IF(A2756=A2757,_xll.ciqfunctions.udf.CIQ(A2748,"IQ_TOTAL_OUTSTANDING_FILING_DATE",IQ_FY-6), _xll.ciqfunctions.udf.CIQ(A2748, "IQ_TOTAL_OUTSTANDING_FILING_DATE",IQ_FY-5))</f>
        <v>66.521119999999996</v>
      </c>
      <c r="J2752" s="17">
        <f>IF(A2756=A2757,_xll.ciqfunctions.udf.CIQ(A2748,"IQ_CASH_OPER",IQ_FY-6), _xll.ciqfunctions.udf.CIQ(A2748, "IQ_CASH_OPER",IQ_FY-5))</f>
        <v>111.485</v>
      </c>
      <c r="K2752" s="17">
        <f>IF(A2756=A2757,_xll.ciqfunctions.udf.CIQ(A2748,"IQ_CAPEX",IQ_FY-6), _xll.ciqfunctions.udf.CIQ(A2748, "IQ_CAPEX",IQ_FY-5))</f>
        <v>-35.460999999999999</v>
      </c>
      <c r="L2752" s="15">
        <f t="shared" si="732"/>
        <v>1.1428550812133049</v>
      </c>
      <c r="M2752" s="17">
        <f>IF(A2756=A2757,_xll.ciqfunctions.udf.CIQ(A2748,"IQ_TOTAL_DEBT_ISSUED",IQ_FY-6), _xll.ciqfunctions.udf.CIQ(A2748, "IQ_TOTAL_DEBT_ISSUED",IQ_FY-5))</f>
        <v>0</v>
      </c>
      <c r="N2752" s="17">
        <f>IF(A2756=A2757,_xll.ciqfunctions.udf.CIQ(A2748,"IQ_TOTAL_DEBT_REPAID",IQ_FY-6), _xll.ciqfunctions.udf.CIQ(A2748, "IQ_TOTAL_DEBT_REPAID",IQ_FY-5))</f>
        <v>-15</v>
      </c>
      <c r="O2752" s="15">
        <f t="shared" si="733"/>
        <v>-0.22549229477795926</v>
      </c>
      <c r="P2752" s="15">
        <f t="shared" si="734"/>
        <v>0.91736278643534563</v>
      </c>
      <c r="Q2752" s="18"/>
      <c r="R2752" s="38" t="s">
        <v>50</v>
      </c>
      <c r="S2752" s="3">
        <f>I2759</f>
        <v>-7.3882859796868816E-3</v>
      </c>
      <c r="U2752" s="18"/>
      <c r="V2752" s="38" t="s">
        <v>50</v>
      </c>
      <c r="W2752" s="3">
        <f>I2759</f>
        <v>-7.3882859796868816E-3</v>
      </c>
      <c r="Y2752" s="18"/>
      <c r="Z2752" s="38" t="s">
        <v>50</v>
      </c>
      <c r="AA2752" s="3">
        <f>I2759</f>
        <v>-7.3882859796868816E-3</v>
      </c>
    </row>
    <row r="2753" spans="1:27">
      <c r="B2753" s="13">
        <v>6</v>
      </c>
      <c r="C2753" s="14" t="s">
        <v>26</v>
      </c>
      <c r="D2753" s="15" cm="1">
        <f t="array" ref="D2753">_xlfn.SINGLE(IF(A2756=A2757,_xll.ciqfunctions.udf.CIQ(A2748,"IQ_TOTAL_REV",IQ_FY-5)/I2753, _xll.ciqfunctions.udf.CIQ(A2748, "IQ_TOTAL_REV",IQ_FY-4)/I2753))</f>
        <v>9.417559566218916</v>
      </c>
      <c r="E2753" s="16">
        <f t="shared" si="735"/>
        <v>6.569670341363737E-2</v>
      </c>
      <c r="F2753" s="15">
        <f>IF(A2756=A2757,_xll.ciqfunctions.udf.CIQ(A2748,"IQ_DILUT_EPS_EXCL",IQ_FY-5), _xll.ciqfunctions.udf.CIQ(A2748, "IQ_DILUT_EPS_EXCL",IQ_FY-4))</f>
        <v>1.02</v>
      </c>
      <c r="G2753" s="15">
        <f>IF(A2756=A2757,_xll.ciqfunctions.udf.CIQ(A2748,"IQ_EBITDA_MARGIN",IQ_FY-5), _xll.ciqfunctions.udf.CIQ(A2748, "IQ_EBITDA_MARGIN",IQ_FY-4))</f>
        <v>22.0686</v>
      </c>
      <c r="H2753" s="15">
        <f>IF(A2756=A2757,_xll.ciqfunctions.udf.CIQ(A2748,"IQ_TOTAL_DIV_PAID_CF",IQ_FY-5)/-I2753, _xll.ciqfunctions.udf.CIQ(A2748, "IQ_TOTAL_DIV_PAID_CF",IQ_FY-4)/-I2753)</f>
        <v>0</v>
      </c>
      <c r="I2753" s="17">
        <f>IF(A2756=A2757,_xll.ciqfunctions.udf.CIQ(A2748,"IQ_TOTAL_OUTSTANDING_FILING_DATE",IQ_FY-5), _xll.ciqfunctions.udf.CIQ(A2748, "IQ_TOTAL_OUTSTANDING_FILING_DATE",IQ_FY-4))</f>
        <v>66.598569999999995</v>
      </c>
      <c r="J2753" s="17">
        <f>IF(A2756=A2757,_xll.ciqfunctions.udf.CIQ(A2748,"IQ_CASH_OPER",IQ_FY-5), _xll.ciqfunctions.udf.CIQ(A2748, "IQ_CASH_OPER",IQ_FY-4))</f>
        <v>183.56299999999999</v>
      </c>
      <c r="K2753" s="17">
        <f>IF(A2756=A2757,_xll.ciqfunctions.udf.CIQ(A2748,"IQ_CAPEX",IQ_FY-5), _xll.ciqfunctions.udf.CIQ(A2748, "IQ_CAPEX",IQ_FY-4))</f>
        <v>-17.052</v>
      </c>
      <c r="L2753" s="15">
        <f t="shared" si="732"/>
        <v>2.5002188485428443</v>
      </c>
      <c r="M2753" s="17">
        <f>IF(A2756=A2757,_xll.ciqfunctions.udf.CIQ(A2748,"IQ_TOTAL_DEBT_ISSUED",IQ_FY-5), _xll.ciqfunctions.udf.CIQ(A2748, "IQ_TOTAL_DEBT_ISSUED",IQ_FY-4))</f>
        <v>0</v>
      </c>
      <c r="N2753" s="17">
        <f>IF(A2756=A2757,_xll.ciqfunctions.udf.CIQ(A2748,"IQ_TOTAL_DEBT_REPAID",IQ_FY-5), _xll.ciqfunctions.udf.CIQ(A2748, "IQ_TOTAL_DEBT_REPAID",IQ_FY-4))</f>
        <v>-15.938000000000001</v>
      </c>
      <c r="O2753" s="15">
        <f t="shared" si="733"/>
        <v>-0.23931444774264676</v>
      </c>
      <c r="P2753" s="15">
        <f t="shared" si="734"/>
        <v>2.2609044008001975</v>
      </c>
      <c r="Q2753" s="25" t="s">
        <v>27</v>
      </c>
      <c r="R2753" s="38" t="s">
        <v>51</v>
      </c>
      <c r="S2753" s="4">
        <f>AVERAGE(F2753:F2758)/AVERAGE(D2753:D2758)</f>
        <v>-2.5411139437513882E-2</v>
      </c>
      <c r="U2753" s="25" t="s">
        <v>58</v>
      </c>
      <c r="V2753" s="38" t="s">
        <v>51</v>
      </c>
      <c r="W2753" s="4">
        <f>AVERAGE(F2753:F2758)/AVERAGE(D2753:D2758)</f>
        <v>-2.5411139437513882E-2</v>
      </c>
      <c r="Y2753" s="25" t="s">
        <v>56</v>
      </c>
      <c r="Z2753" s="38" t="s">
        <v>51</v>
      </c>
      <c r="AA2753" s="4">
        <f>AVERAGE(F2753:F2758)/AVERAGE(D2753:D2758)</f>
        <v>-2.5411139437513882E-2</v>
      </c>
    </row>
    <row r="2754" spans="1:27">
      <c r="A2754" s="18"/>
      <c r="B2754" s="13">
        <v>7</v>
      </c>
      <c r="C2754" s="14" t="s">
        <v>28</v>
      </c>
      <c r="D2754" s="15" cm="1">
        <f t="array" ref="D2754">_xlfn.SINGLE(IF(A2756=A2757,_xll.ciqfunctions.udf.CIQ(A2748,"IQ_TOTAL_REV",IQ_FY-4)/I2754, _xll.ciqfunctions.udf.CIQ(A2748, "IQ_TOTAL_REV",IQ_FY-3)/I2754))</f>
        <v>8.3214618945433223</v>
      </c>
      <c r="E2754" s="16">
        <f t="shared" si="735"/>
        <v>-0.11638871662753594</v>
      </c>
      <c r="F2754" s="15">
        <f>IF(A2756=A2757,_xll.ciqfunctions.udf.CIQ(A2748,"IQ_DILUT_EPS_EXCL",IQ_FY-4), _xll.ciqfunctions.udf.CIQ(A2748, "IQ_DILUT_EPS_EXCL",IQ_FY-3))</f>
        <v>0.47</v>
      </c>
      <c r="G2754" s="15">
        <f>IF(A2756=A2757,_xll.ciqfunctions.udf.CIQ(A2748,"IQ_EBITDA_MARGIN",IQ_FY-4), _xll.ciqfunctions.udf.CIQ(A2748, "IQ_EBITDA_MARGIN",IQ_FY-3))</f>
        <v>16.763200000000001</v>
      </c>
      <c r="H2754" s="15">
        <f>IF(A2756=A2757,_xll.ciqfunctions.udf.CIQ(A2748,"IQ_TOTAL_DIV_PAID_CF",IQ_FY-4)/-I2754, _xll.ciqfunctions.udf.CIQ(A2748, "IQ_TOTAL_DIV_PAID_CF",IQ_FY-3)/-I2754)</f>
        <v>0</v>
      </c>
      <c r="I2754" s="17">
        <f>IF(A2756=A2757,_xll.ciqfunctions.udf.CIQ(A2748,"IQ_TOTAL_OUTSTANDING_FILING_DATE",IQ_FY-4), _xll.ciqfunctions.udf.CIQ(A2748, "IQ_TOTAL_OUTSTANDING_FILING_DATE",IQ_FY-3))</f>
        <v>65.795169999999999</v>
      </c>
      <c r="J2754" s="17">
        <f>IF(A2756=A2757,_xll.ciqfunctions.udf.CIQ(A2748,"IQ_CASH_OPER",IQ_FY-4), _xll.ciqfunctions.udf.CIQ(A2748, "IQ_CASH_OPER",IQ_FY-3))</f>
        <v>118.616</v>
      </c>
      <c r="K2754" s="17">
        <f>IF(A2756=A2757,_xll.ciqfunctions.udf.CIQ(A2748,"IQ_CAPEX",IQ_FY-4), _xll.ciqfunctions.udf.CIQ(A2748, "IQ_CAPEX",IQ_FY-3))</f>
        <v>-23.056000000000001</v>
      </c>
      <c r="L2754" s="15">
        <f t="shared" si="732"/>
        <v>1.4523862465892254</v>
      </c>
      <c r="M2754" s="17">
        <f>IF(A2756=A2757,_xll.ciqfunctions.udf.CIQ(A2748,"IQ_TOTAL_DEBT_ISSUED",IQ_FY-4), _xll.ciqfunctions.udf.CIQ(A2748, "IQ_TOTAL_DEBT_ISSUED",IQ_FY-3))</f>
        <v>201</v>
      </c>
      <c r="N2754" s="17">
        <f>IF(A2756=A2757,_xll.ciqfunctions.udf.CIQ(A2748,"IQ_TOTAL_DEBT_REPAID",IQ_FY-4), _xll.ciqfunctions.udf.CIQ(A2748, "IQ_TOTAL_DEBT_REPAID",IQ_FY-3))</f>
        <v>-216.31200000000001</v>
      </c>
      <c r="O2754" s="15">
        <f t="shared" si="733"/>
        <v>-0.23272224997670821</v>
      </c>
      <c r="P2754" s="15">
        <f t="shared" si="734"/>
        <v>1.2196639966125171</v>
      </c>
      <c r="Q2754" s="18"/>
      <c r="R2754" s="38" t="s">
        <v>29</v>
      </c>
      <c r="S2754" s="4">
        <f>(AVERAGE(P2753:P2758)/_xlfn.STDEV.P(P2753:P2758))/(IF(A2756=A2757,(_xlfn.SINGLE(_xll.ciqfunctions.udf.CIQ(A2748,"IQ_total_assets",IQ_FY)) - _xlfn.SINGLE(_xll.ciqfunctions.udf.CIQ(A2748,"iq_gw_intan", IQ_FY)))/I2758, (_xlfn.SINGLE(_xll.ciqfunctions.udf.CIQ(A2748, "IQ_total_assets",IQ_LTM))-_xlfn.SINGLE(_xll.ciqfunctions.udf.CIQ(A2748,"iq_gw_intan",IQ_LTM)))/I2758))</f>
        <v>6.4675414307478404E-2</v>
      </c>
      <c r="U2754" s="18"/>
      <c r="V2754" s="38" t="s">
        <v>29</v>
      </c>
      <c r="W2754" s="4">
        <f>(AVERAGE(P2753:P2758)/_xlfn.STDEV.P(P2753:P2758))/(IF(A2756=A2757,(_xlfn.SINGLE(_xll.ciqfunctions.udf.CIQ(A2748,"IQ_total_assets",IQ_FY)) - _xlfn.SINGLE(_xll.ciqfunctions.udf.CIQ(A2748,"iq_gw_intan", IQ_FY)))/I2758, (_xlfn.SINGLE(_xll.ciqfunctions.udf.CIQ(A2748, "IQ_total_assets",IQ_LTM))-_xlfn.SINGLE(_xll.ciqfunctions.udf.CIQ(A2748,"iq_gw_intan",IQ_LTM)))/I2758))</f>
        <v>6.4675414307478404E-2</v>
      </c>
      <c r="Y2754" s="18"/>
      <c r="Z2754" s="38" t="s">
        <v>29</v>
      </c>
      <c r="AA2754" s="4">
        <f>(AVERAGE(P2753:P2758)/_xlfn.STDEV.P(P2753:P2758))/(IF(A2756=A2757,(_xlfn.SINGLE(_xll.ciqfunctions.udf.CIQ(A2748,"IQ_total_assets",IQ_FY)) - _xlfn.SINGLE(_xll.ciqfunctions.udf.CIQ(A2748,"iq_gw_intan", IQ_FY)))/I2758, (_xlfn.SINGLE(_xll.ciqfunctions.udf.CIQ(A2748, "IQ_total_assets",IQ_LTM))-_xlfn.SINGLE(_xll.ciqfunctions.udf.CIQ(A2748,"iq_gw_intan",IQ_LTM)))/I2758))</f>
        <v>6.4675414307478404E-2</v>
      </c>
    </row>
    <row r="2755" spans="1:27">
      <c r="A2755" s="18"/>
      <c r="B2755" s="13">
        <v>8</v>
      </c>
      <c r="C2755" s="14" t="s">
        <v>30</v>
      </c>
      <c r="D2755" s="15" cm="1">
        <f t="array" ref="D2755">_xlfn.SINGLE(IF(A2756=A2757,_xll.ciqfunctions.udf.CIQ(A2748,"IQ_TOTAL_REV",IQ_FY-3)/I2755, _xll.ciqfunctions.udf.CIQ(A2748, "IQ_TOTAL_REV",IQ_FY-2)/I2755))</f>
        <v>9.1220293705320419</v>
      </c>
      <c r="E2755" s="16">
        <f t="shared" si="735"/>
        <v>9.6205148342225794E-2</v>
      </c>
      <c r="F2755" s="15">
        <f>IF(A2756=A2757,_xll.ciqfunctions.udf.CIQ(A2748,"IQ_DILUT_EPS_EXCL",IQ_FY-3), _xll.ciqfunctions.udf.CIQ(A2748, "IQ_DILUT_EPS_EXCL",IQ_FY-2))</f>
        <v>0.91</v>
      </c>
      <c r="G2755" s="15">
        <f>IF(A2756=A2757,_xll.ciqfunctions.udf.CIQ(A2748,"IQ_EBITDA_MARGIN",IQ_FY-3), _xll.ciqfunctions.udf.CIQ(A2748, "IQ_EBITDA_MARGIN",IQ_FY-2))</f>
        <v>17.904299999999999</v>
      </c>
      <c r="H2755" s="15">
        <f>IF(A2756=A2757,_xll.ciqfunctions.udf.CIQ(A2748,"IQ_TOTAL_DIV_PAID_CF",IQ_FY-3)/-I2755, _xll.ciqfunctions.udf.CIQ(A2748, "IQ_TOTAL_DIV_PAID_CF",IQ_FY-2)/-I2755)</f>
        <v>0</v>
      </c>
      <c r="I2755" s="17">
        <f>IF(A2756=A2757,_xll.ciqfunctions.udf.CIQ(A2748,"IQ_TOTAL_OUTSTANDING_FILING_DATE",IQ_FY-3), _xll.ciqfunctions.udf.CIQ(A2748, "IQ_TOTAL_OUTSTANDING_FILING_DATE",IQ_FY-2))</f>
        <v>65.239540000000005</v>
      </c>
      <c r="J2755" s="17">
        <f>IF(A2756=A2757,_xll.ciqfunctions.udf.CIQ(A2748,"IQ_CASH_OPER",IQ_FY-3), _xll.ciqfunctions.udf.CIQ(A2748, "IQ_CASH_OPER",IQ_FY-2))</f>
        <v>118.93</v>
      </c>
      <c r="K2755" s="17">
        <f>IF(A2756=A2757,_xll.ciqfunctions.udf.CIQ(A2748,"IQ_CAPEX",IQ_FY-3), _xll.ciqfunctions.udf.CIQ(A2748, "IQ_CAPEX",IQ_FY-2))</f>
        <v>-32.734000000000002</v>
      </c>
      <c r="L2755" s="15">
        <f t="shared" si="732"/>
        <v>1.3212232949527234</v>
      </c>
      <c r="M2755" s="17">
        <f>IF(A2756=A2757,_xll.ciqfunctions.udf.CIQ(A2748,"IQ_TOTAL_DEBT_ISSUED",IQ_FY-3), _xll.ciqfunctions.udf.CIQ(A2748, "IQ_TOTAL_DEBT_ISSUED",IQ_FY-2))</f>
        <v>0</v>
      </c>
      <c r="N2755" s="17">
        <f>IF(A2756=A2757,_xll.ciqfunctions.udf.CIQ(A2748,"IQ_TOTAL_DEBT_REPAID",IQ_FY-3), _xll.ciqfunctions.udf.CIQ(A2748, "IQ_TOTAL_DEBT_REPAID",IQ_FY-2))</f>
        <v>-16</v>
      </c>
      <c r="O2755" s="15">
        <f t="shared" si="733"/>
        <v>-0.24525004314867946</v>
      </c>
      <c r="P2755" s="15">
        <f t="shared" si="734"/>
        <v>1.0759732518040439</v>
      </c>
      <c r="Q2755" s="18"/>
      <c r="R2755" s="39" t="s">
        <v>31</v>
      </c>
      <c r="S2755" s="5">
        <f>IF(NOT(D2748&gt;0),FALSE,SLOPE(G2748:G2758,B2748:B2758))</f>
        <v>-0.65592000000000006</v>
      </c>
      <c r="U2755" s="18"/>
      <c r="V2755" s="39" t="s">
        <v>31</v>
      </c>
      <c r="W2755" s="5">
        <f>IF(NOT(D2748&gt;0),FALSE,SLOPE(G2748:G2758,B2748:B2758))</f>
        <v>-0.65592000000000006</v>
      </c>
      <c r="Y2755" s="18"/>
      <c r="Z2755" s="39" t="s">
        <v>31</v>
      </c>
      <c r="AA2755" s="5">
        <f>IF(NOT(L2748&gt;0),FALSE,SLOPE(O2748:O2758,J2748:J2758))</f>
        <v>-6.368004576709313E-2</v>
      </c>
    </row>
    <row r="2756" spans="1:27">
      <c r="A2756" s="19">
        <f>_xll.ciqfunctions.udf.CIQ(A2748,"IQ_TOTAL_REV",IQ_FY)</f>
        <v>756.53300000000002</v>
      </c>
      <c r="B2756" s="13">
        <v>9</v>
      </c>
      <c r="C2756" s="14" t="s">
        <v>32</v>
      </c>
      <c r="D2756" s="15" cm="1">
        <f t="array" ref="D2756">_xlfn.SINGLE(IF(A2756=A2757,_xll.ciqfunctions.udf.CIQ(A2748,"IQ_TOTAL_REV",IQ_FY-2)/I2756, _xll.ciqfunctions.udf.CIQ(A2748, "IQ_TOTAL_REV",IQ_FY-1)/I2756))</f>
        <v>11.556707669384235</v>
      </c>
      <c r="E2756" s="16">
        <f t="shared" si="735"/>
        <v>0.26690094933449993</v>
      </c>
      <c r="F2756" s="15">
        <f>IF(A2756=A2757,_xll.ciqfunctions.udf.CIQ(A2748,"IQ_DILUT_EPS_EXCL",IQ_FY-2), _xll.ciqfunctions.udf.CIQ(A2748, "IQ_DILUT_EPS_EXCL",IQ_FY-1))</f>
        <v>1.92</v>
      </c>
      <c r="G2756" s="15">
        <f>IF(A2756=A2757,_xll.ciqfunctions.udf.CIQ(A2748,"IQ_EBITDA_MARGIN",IQ_FY-2), _xll.ciqfunctions.udf.CIQ(A2748, "IQ_EBITDA_MARGIN",IQ_FY-1))</f>
        <v>23.7422</v>
      </c>
      <c r="H2756" s="15">
        <f>IF(A2756=A2757,_xll.ciqfunctions.udf.CIQ(A2748,"IQ_TOTAL_DIV_PAID_CF",IQ_FY-2)/-I2756, _xll.ciqfunctions.udf.CIQ(A2748, "IQ_TOTAL_DIV_PAID_CF",IQ_FY-1)/-I2756)</f>
        <v>0</v>
      </c>
      <c r="I2756" s="17">
        <f>IF(A2756=A2757,_xll.ciqfunctions.udf.CIQ(A2748,"IQ_TOTAL_OUTSTANDING_FILING_DATE",IQ_FY-2), _xll.ciqfunctions.udf.CIQ(A2748, "IQ_TOTAL_OUTSTANDING_FILING_DATE",IQ_FY-1))</f>
        <v>64.106319999999997</v>
      </c>
      <c r="J2756" s="17">
        <f>IF(A2756=A2757,_xll.ciqfunctions.udf.CIQ(A2748,"IQ_CASH_OPER",IQ_FY-2), _xll.ciqfunctions.udf.CIQ(A2748, "IQ_CASH_OPER",IQ_FY-1))</f>
        <v>203.12299999999999</v>
      </c>
      <c r="K2756" s="17">
        <f>IF(A2756=A2757,_xll.ciqfunctions.udf.CIQ(A2748,"IQ_CAPEX",IQ_FY-2), _xll.ciqfunctions.udf.CIQ(A2748, "IQ_CAPEX",IQ_FY-1))</f>
        <v>-26.181000000000001</v>
      </c>
      <c r="L2756" s="15">
        <f t="shared" si="732"/>
        <v>2.7601334782592417</v>
      </c>
      <c r="M2756" s="17">
        <f>IF(A2756=A2757,_xll.ciqfunctions.udf.CIQ(A2748,"IQ_TOTAL_DEBT_ISSUED",IQ_FY-2), _xll.ciqfunctions.udf.CIQ(A2748, "IQ_TOTAL_DEBT_ISSUED",IQ_FY-1))</f>
        <v>20</v>
      </c>
      <c r="N2756" s="17">
        <f>IF(A2756=A2757,_xll.ciqfunctions.udf.CIQ(A2748,"IQ_TOTAL_DEBT_REPAID",IQ_FY-2), _xll.ciqfunctions.udf.CIQ(A2748, "IQ_TOTAL_DEBT_REPAID",IQ_FY-1))</f>
        <v>-28</v>
      </c>
      <c r="O2756" s="15">
        <f t="shared" si="733"/>
        <v>-0.12479268814681611</v>
      </c>
      <c r="P2756" s="15">
        <f t="shared" si="734"/>
        <v>2.6353407901124255</v>
      </c>
      <c r="Q2756" s="25" t="s">
        <v>33</v>
      </c>
      <c r="R2756" s="38" t="s">
        <v>52</v>
      </c>
      <c r="S2756" s="4">
        <f>(AVERAGE(O2753:O2758)/AVERAGE(P2753:P2758))</f>
        <v>0.83289780082540965</v>
      </c>
      <c r="U2756" s="25" t="s">
        <v>54</v>
      </c>
      <c r="V2756" s="38" t="s">
        <v>52</v>
      </c>
      <c r="W2756" s="4">
        <f>(AVERAGE(O2753:O2758)/AVERAGE(P2753:P2758))</f>
        <v>0.83289780082540965</v>
      </c>
      <c r="Y2756" s="25" t="s">
        <v>60</v>
      </c>
      <c r="Z2756" s="38" t="s">
        <v>52</v>
      </c>
      <c r="AA2756" s="4">
        <f>(AVERAGE(O2753:O2758)/AVERAGE(P2753:P2758))</f>
        <v>0.83289780082540965</v>
      </c>
    </row>
    <row r="2757" spans="1:27">
      <c r="A2757" s="19">
        <f>_xll.ciqfunctions.udf.CIQ(A2748,"IQ_TOTAL_REV",IQ_LTM)</f>
        <v>820.04100000000005</v>
      </c>
      <c r="B2757" s="13">
        <v>10</v>
      </c>
      <c r="C2757" s="14" t="s">
        <v>34</v>
      </c>
      <c r="D2757" s="15" cm="1">
        <f t="array" ref="D2757">_xlfn.SINGLE(IF(A2756=A2757,_xll.ciqfunctions.udf.CIQ(A2748,"IQ_TOTAL_REV",IQ_FY-1)/I2757, _xll.ciqfunctions.udf.CIQ(A2748, "IQ_TOTAL_REV",IQ_FY)/I2757))</f>
        <v>11.844780492051271</v>
      </c>
      <c r="E2757" s="16">
        <f t="shared" si="735"/>
        <v>2.4926893619555014E-2</v>
      </c>
      <c r="F2757" s="15">
        <f>IF(A2756=A2757,_xll.ciqfunctions.udf.CIQ(A2748,"IQ_DILUT_EPS_EXCL",IQ_FY-1), _xll.ciqfunctions.udf.CIQ(A2748, "IQ_DILUT_EPS_EXCL",IQ_FY))</f>
        <v>0.96</v>
      </c>
      <c r="G2757" s="15">
        <f>IF(A2756=A2757,_xll.ciqfunctions.udf.CIQ(A2748,"IQ_EBITDA_MARGIN",IQ_FY-1), _xll.ciqfunctions.udf.CIQ(A2748, "IQ_EBITDA_MARGIN",IQ_FY))</f>
        <v>15.623200000000001</v>
      </c>
      <c r="H2757" s="15">
        <f>IF(A2756=A2757,_xll.ciqfunctions.udf.CIQ(A2748,"IQ_TOTAL_DIV_PAID_CF",IQ_FY-1)/-I2757, _xll.ciqfunctions.udf.CIQ(A2748, "IQ_TOTAL_DIV_PAID_CF",IQ_FY)/-I2757)</f>
        <v>0</v>
      </c>
      <c r="I2757" s="17">
        <f>IF(A2756=A2757,_xll.ciqfunctions.udf.CIQ(A2748,"IQ_TOTAL_OUTSTANDING_FILING_DATE",IQ_FY-1), _xll.ciqfunctions.udf.CIQ(A2748, "IQ_TOTAL_OUTSTANDING_FILING_DATE",IQ_FY))</f>
        <v>63.870579999999997</v>
      </c>
      <c r="J2757" s="17">
        <f>IF(A2756=A2757,_xll.ciqfunctions.udf.CIQ(A2748,"IQ_CASH_OPER",IQ_FY-1), _xll.ciqfunctions.udf.CIQ(A2748, "IQ_CASH_OPER",IQ_FY))</f>
        <v>126.711</v>
      </c>
      <c r="K2757" s="17">
        <f>IF(A2756=A2757,_xll.ciqfunctions.udf.CIQ(A2748,"IQ_CAPEX",IQ_FY-1), _xll.ciqfunctions.udf.CIQ(A2748, "IQ_CAPEX",IQ_FY))</f>
        <v>-28.323</v>
      </c>
      <c r="L2757" s="15">
        <f t="shared" si="732"/>
        <v>1.5404275333025004</v>
      </c>
      <c r="M2757" s="17">
        <f>IF(A2756=A2757,_xll.ciqfunctions.udf.CIQ(A2748,"IQ_TOTAL_DEBT_ISSUED",IQ_FY-1), _xll.ciqfunctions.udf.CIQ(A2748, "IQ_TOTAL_DEBT_ISSUED",IQ_FY))</f>
        <v>1224.5</v>
      </c>
      <c r="N2757" s="17">
        <f>IF(A2756=A2757,_xll.ciqfunctions.udf.CIQ(A2748,"IQ_TOTAL_DEBT_REPAID",IQ_FY-1), _xll.ciqfunctions.udf.CIQ(A2748, "IQ_TOTAL_DEBT_REPAID",IQ_FY))</f>
        <v>-33</v>
      </c>
      <c r="O2757" s="15">
        <f t="shared" si="733"/>
        <v>18.654911228299479</v>
      </c>
      <c r="P2757" s="15">
        <f t="shared" si="734"/>
        <v>20.195338761601981</v>
      </c>
      <c r="Q2757" s="25" t="s">
        <v>44</v>
      </c>
      <c r="R2757" s="38" t="s">
        <v>35</v>
      </c>
      <c r="S2757" s="1">
        <f>_xll.ciqfunctions.udf.CIQ(A2748,"IQ_TEV_EBITDA")</f>
        <v>50.955039999999997</v>
      </c>
      <c r="U2757" s="25" t="s">
        <v>55</v>
      </c>
      <c r="V2757" s="38" t="s">
        <v>53</v>
      </c>
      <c r="W2757" s="1">
        <f>V2747/(AVERAGE(D2753:D2758)/_xlfn.STDEV.P(E2753:E2758))</f>
        <v>0.17464982504239249</v>
      </c>
      <c r="Y2757" s="25" t="s">
        <v>57</v>
      </c>
      <c r="Z2757" s="38" t="s">
        <v>53</v>
      </c>
      <c r="AA2757" s="1">
        <f>Z2747/(AVERAGE(D2753:D2758)/_xlfn.STDEV.P(E2753:E2758))</f>
        <v>0.17464982504239249</v>
      </c>
    </row>
    <row r="2758" spans="1:27">
      <c r="B2758" s="13">
        <v>11</v>
      </c>
      <c r="C2758" s="20" t="s">
        <v>36</v>
      </c>
      <c r="D2758" s="21" cm="1">
        <f t="array" ref="D2758">_xlfn.SINGLE(IF(A2756=A2757,_xll.ciqfunctions.udf.CIQ(A2748,"IQ_TOTAL_REV",IQ_FY)/I2758, _xll.ciqfunctions.udf.CIQ(A2748, "IQ_TOTAL_REV",IQ_LTM)/I2758))</f>
        <v>12.778317712620968</v>
      </c>
      <c r="E2758" s="22">
        <f t="shared" si="735"/>
        <v>7.8814227177630689E-2</v>
      </c>
      <c r="F2758" s="21">
        <f>IF(A2756=A2757,_xll.ciqfunctions.udf.CIQ(A2748,"IQ_DILUT_EPS_EXCL",IQ_FY), _xll.ciqfunctions.udf.CIQ(A2748, "IQ_DILUT_EPS_EXCL",IQ_LTM))</f>
        <v>-6.8819400000000002</v>
      </c>
      <c r="G2758" s="21">
        <f>IF(A2756=A2757,_xll.ciqfunctions.udf.CIQ(A2748,"IQ_EBITDA_MARGIN",IQ_FY), _xll.ciqfunctions.udf.CIQ(A2748, "IQ_EBITDA_MARGIN",IQ_LTM))</f>
        <v>4.3956</v>
      </c>
      <c r="H2758" s="21">
        <f>IF(A2756=A2757,_xll.ciqfunctions.udf.CIQ(A2748,"IQ_TOTAL_DIV_PAID_CF",IQ_FY)/-I2758, _xll.ciqfunctions.udf.CIQ(A2748, "IQ_TOTAL_DIV_PAID_CF",IQ_LTM)/-I2758)</f>
        <v>0</v>
      </c>
      <c r="I2758" s="23">
        <f>IF(A2756=A2757,_xll.ciqfunctions.udf.CIQ(A2748,"IQ_TOTAL_OUTSTANDING_FILING_DATE",IQ_FY),_xll.ciqfunctions.udf.CIQ(A2748,"IQ_sharesoutstanding"))</f>
        <v>64.174409999999995</v>
      </c>
      <c r="J2758" s="23">
        <f>IF(A2756=A2757,_xll.ciqfunctions.udf.CIQ(A2748,"IQ_CASH_OPER",IQ_FY), _xll.ciqfunctions.udf.CIQ(A2748, "IQ_CASH_OPER",IQ_LTM))</f>
        <v>-102.61</v>
      </c>
      <c r="K2758" s="23">
        <f>IF(A2756=A2757,_xll.ciqfunctions.udf.CIQ(A2748,"IQ_CAPEX",IQ_FY), _xll.ciqfunctions.udf.CIQ(A2748, "IQ_CAPEX",IQ_LTM))</f>
        <v>-33.637</v>
      </c>
      <c r="L2758" s="21">
        <f t="shared" si="732"/>
        <v>-2.1230736675257322</v>
      </c>
      <c r="M2758" s="23">
        <f>IF(A2756=A2757,_xll.ciqfunctions.udf.CIQ(A2748,"IQ_TOTAL_DEBT_ISSUED",IQ_FY), _xll.ciqfunctions.udf.CIQ(A2748, "IQ_TOTAL_DEBT_ISSUED",IQ_LTM))</f>
        <v>1274.5</v>
      </c>
      <c r="N2758" s="23">
        <f>IF(A2756=A2757,_xll.ciqfunctions.udf.CIQ(A2748,"IQ_TOTAL_DEBT_REPAID",IQ_FY), _xll.ciqfunctions.udf.CIQ(A2748, "IQ_TOTAL_DEBT_REPAID",IQ_LTM))</f>
        <v>-34.186999999999998</v>
      </c>
      <c r="O2758" s="21">
        <f t="shared" si="733"/>
        <v>19.327220928092682</v>
      </c>
      <c r="P2758" s="21">
        <f t="shared" si="734"/>
        <v>17.204147260566948</v>
      </c>
      <c r="Q2758" s="25" t="s">
        <v>45</v>
      </c>
      <c r="S2758" s="45"/>
      <c r="U2758" s="25"/>
      <c r="W2758" s="45"/>
      <c r="Y2758" s="25"/>
      <c r="AA2758" s="45"/>
    </row>
    <row r="2759" spans="1:27">
      <c r="B2759" s="24"/>
      <c r="C2759" s="25" t="s">
        <v>37</v>
      </c>
      <c r="E2759" s="26">
        <f>((D2758/D2753)^(1/5))-1</f>
        <v>6.2935865507734112E-2</v>
      </c>
      <c r="F2759" s="27">
        <f>((F2758/F2753)^(1/5))-1</f>
        <v>-2.4649477734758865</v>
      </c>
      <c r="G2759" s="28"/>
      <c r="H2759" s="27" t="e">
        <f>((H2758/H2753)^(1/5))-1</f>
        <v>#DIV/0!</v>
      </c>
      <c r="I2759" s="27">
        <f>((I2758/I2753)^(1/5))-1</f>
        <v>-7.3882859796868816E-3</v>
      </c>
      <c r="J2759" s="27"/>
      <c r="K2759" s="27"/>
      <c r="L2759" s="26">
        <f>((L2758/L2753)^(1/5))-1</f>
        <v>-1.9678262737077605</v>
      </c>
      <c r="M2759" s="26"/>
      <c r="N2759" s="26"/>
      <c r="O2759" s="26"/>
      <c r="P2759" s="26">
        <f>((P2758/P2753)^(1/5))-1</f>
        <v>0.50061813435872238</v>
      </c>
      <c r="Q2759" s="18"/>
      <c r="R2759" s="36"/>
      <c r="S2759" s="45"/>
      <c r="U2759" s="18"/>
      <c r="V2759" s="36"/>
      <c r="W2759" s="45"/>
      <c r="Y2759" s="18"/>
      <c r="Z2759" s="36"/>
      <c r="AA2759" s="45"/>
    </row>
    <row r="2760" spans="1:27">
      <c r="A2760" s="29"/>
      <c r="B2760" s="30"/>
      <c r="C2760" s="31" t="s">
        <v>38</v>
      </c>
      <c r="D2760" s="29"/>
      <c r="E2760" s="32">
        <f>((D2758/D2748)^(1/10))-1</f>
        <v>3.769740386032927E-2</v>
      </c>
      <c r="F2760" s="33">
        <f>((F2758/F2748)^(1/10))-1</f>
        <v>0.10925681490546602</v>
      </c>
      <c r="G2760" s="34"/>
      <c r="H2760" s="33" t="e">
        <f>((H2758/H2748)^(1/10))-1</f>
        <v>#DIV/0!</v>
      </c>
      <c r="I2760" s="33">
        <f>((I2758/I2748)^(1/10))-1</f>
        <v>-4.9089762359024736E-3</v>
      </c>
      <c r="J2760" s="33"/>
      <c r="K2760" s="33"/>
      <c r="L2760" s="32" t="e">
        <f>((L2758/L2748)^(1/10))-1</f>
        <v>#NUM!</v>
      </c>
      <c r="M2760" s="32"/>
      <c r="N2760" s="32"/>
      <c r="O2760" s="32"/>
      <c r="P2760" s="32">
        <f>((P2758/P2748)^(1/10))-1</f>
        <v>0.40151625421658688</v>
      </c>
      <c r="Q2760" s="40"/>
      <c r="R2760" s="41"/>
      <c r="S2760" s="46"/>
      <c r="U2760" s="40"/>
      <c r="V2760" s="41"/>
      <c r="W2760" s="46"/>
      <c r="Y2760" s="40"/>
      <c r="Z2760" s="41"/>
      <c r="AA2760" s="46"/>
    </row>
    <row r="2761" spans="1:27">
      <c r="B2761" s="24"/>
      <c r="C2761" s="25"/>
      <c r="E2761" s="26"/>
      <c r="F2761" s="27"/>
      <c r="G2761" s="28"/>
      <c r="H2761" s="27"/>
      <c r="I2761" s="27"/>
      <c r="J2761" s="27"/>
      <c r="K2761" s="27"/>
      <c r="L2761" s="26"/>
      <c r="M2761" s="17"/>
      <c r="N2761" s="17"/>
      <c r="O2761" s="17"/>
      <c r="P2761" s="35"/>
      <c r="Q2761" s="18"/>
      <c r="R2761" s="36"/>
    </row>
    <row r="2762" spans="1:27">
      <c r="A2762" s="9" t="s">
        <v>0</v>
      </c>
      <c r="B2762" s="10"/>
      <c r="C2762" s="9" t="s">
        <v>1</v>
      </c>
      <c r="D2762" s="9" t="s">
        <v>2</v>
      </c>
      <c r="E2762" s="9" t="s">
        <v>3</v>
      </c>
      <c r="F2762" s="11" t="s">
        <v>4</v>
      </c>
      <c r="G2762" s="11" t="s">
        <v>5</v>
      </c>
      <c r="H2762" s="9" t="s">
        <v>6</v>
      </c>
      <c r="I2762" s="11" t="s">
        <v>7</v>
      </c>
      <c r="J2762" s="11" t="s">
        <v>8</v>
      </c>
      <c r="K2762" s="11" t="s">
        <v>9</v>
      </c>
      <c r="L2762" s="11" t="s">
        <v>10</v>
      </c>
      <c r="M2762" s="11" t="s">
        <v>11</v>
      </c>
      <c r="N2762" s="11" t="s">
        <v>12</v>
      </c>
      <c r="O2762" s="11" t="s">
        <v>13</v>
      </c>
      <c r="P2762" s="11" t="s">
        <v>14</v>
      </c>
      <c r="Q2762" s="37" t="s">
        <v>15</v>
      </c>
      <c r="R2762" s="42">
        <f>_xll.ciqfunctions.udf.CIQ(A2763,("IQ_LASTSALEPRICE"))</f>
        <v>7.2149999999999999</v>
      </c>
      <c r="S2762" s="44"/>
      <c r="U2762" s="37" t="s">
        <v>15</v>
      </c>
      <c r="V2762" s="42">
        <f>_xll.ciqfunctions.udf.CIQ(A2763,("IQ_LASTSALEPRICE"))</f>
        <v>7.2149999999999999</v>
      </c>
      <c r="W2762" s="44"/>
      <c r="Y2762" s="37" t="s">
        <v>15</v>
      </c>
      <c r="Z2762" s="42">
        <f>_xll.ciqfunctions.udf.CIQ(A2763,("IQ_LASTSALEPRICE"))</f>
        <v>7.2149999999999999</v>
      </c>
      <c r="AA2762" s="44"/>
    </row>
    <row r="2763" spans="1:27">
      <c r="A2763" s="12" t="str">
        <f>Analysis!B186</f>
        <v>NasdaqCM:INDI</v>
      </c>
      <c r="B2763" s="13">
        <v>1</v>
      </c>
      <c r="C2763" s="14" t="s">
        <v>16</v>
      </c>
      <c r="D2763" s="15" t="e">
        <f>IF(A2771=A2772,_xll.ciqfunctions.udf.CIQ(A2763,"IQ_TOTAL_REV",IQ_FY-10)/I2763,_xll.ciqfunctions.udf.CIQ(A2763, "IQ_TOTAL_REV",IQ_FY-9)/I2763)</f>
        <v>#DIV/0!</v>
      </c>
      <c r="E2763" s="16"/>
      <c r="F2763" s="15">
        <f>IF(A2771=A2772,_xll.ciqfunctions.udf.CIQ(A2763,"IQ_DILUT_EPS_EXCL",IQ_FY-10), _xll.ciqfunctions.udf.CIQ(A2763, "IQ_DILUT_EPS_EXCL",IQ_FY-9))</f>
        <v>0</v>
      </c>
      <c r="G2763" s="15">
        <f>IF(A2771=A2772,_xll.ciqfunctions.udf.CIQ(A2763,"IQ_EBITDA_MARGIN",IQ_FY-10), _xll.ciqfunctions.udf.CIQ(A2763, "IQ_EBITDA_MARGIN",IQ_FY-9))</f>
        <v>0</v>
      </c>
      <c r="H2763" s="15" t="e">
        <f>IF(A2771=A2772,_xll.ciqfunctions.udf.CIQ(A2763,"IQ_TOTAL_DIV_PAID_CF",IQ_FY-10)/-I2763, _xll.ciqfunctions.udf.CIQ(A2763, "IQ_TOTAL_DIV_PAID_CF",IQ_FY-9)/-I2763)</f>
        <v>#DIV/0!</v>
      </c>
      <c r="I2763" s="17">
        <f>IF(A2771=A2772,_xll.ciqfunctions.udf.CIQ(A2763,"IQ_TOTAL_OUTSTANDING_FILING_DATE",IQ_FY-10), _xll.ciqfunctions.udf.CIQ(A2763, "IQ_TOTAL_OUTSTANDING_FILING_DATE",IQ_FY-9))</f>
        <v>0</v>
      </c>
      <c r="J2763" s="17">
        <f>IF(A2771=A2772,_xll.ciqfunctions.udf.CIQ(A2763,"IQ_CASH_OPER",IQ_FY-10), _xll.ciqfunctions.udf.CIQ(A2763, "IQ_CASH_OPER",IQ_FY-9))</f>
        <v>0</v>
      </c>
      <c r="K2763" s="17">
        <f>IF(A2771=A2772,_xll.ciqfunctions.udf.CIQ(A2763,"IQ_CAPEX",IQ_FY-10), _xll.ciqfunctions.udf.CIQ(A2763, "IQ_CAPEX",IQ_FY-9))</f>
        <v>0</v>
      </c>
      <c r="L2763" s="15" t="e">
        <f t="shared" ref="L2763:L2773" si="736">(J2763+K2763)/I2763</f>
        <v>#DIV/0!</v>
      </c>
      <c r="M2763" s="17">
        <f>IF(A2771=A2772,_xll.ciqfunctions.udf.CIQ(A2763,"IQ_TOTAL_DEBT_ISSUED",IQ_FY-10), _xll.ciqfunctions.udf.CIQ(A2763, "IQ_TOTAL_DEBT_ISSUED",IQ_FY-9))</f>
        <v>0</v>
      </c>
      <c r="N2763" s="17">
        <f>IF(A2771=A2772,_xll.ciqfunctions.udf.CIQ(A2763,"IQ_TOTAL_DEBT_REPAID",IQ_FY-10), _xll.ciqfunctions.udf.CIQ(A2763, "IQ_TOTAL_DEBT_REPAID",IQ_FY-9))</f>
        <v>0</v>
      </c>
      <c r="O2763" s="15" t="e">
        <f t="shared" ref="O2763:O2773" si="737">(M2763+N2763)/I2763</f>
        <v>#DIV/0!</v>
      </c>
      <c r="P2763" s="15" t="e">
        <f t="shared" ref="P2763:P2773" si="738">L2763+O2763</f>
        <v>#DIV/0!</v>
      </c>
      <c r="W2763" s="43"/>
      <c r="AA2763" s="43"/>
    </row>
    <row r="2764" spans="1:27">
      <c r="A2764" s="18" t="str">
        <f>_xll.ciqfunctions.udf.CIQ(A2763,"IQ_COMPANY_NAME")</f>
        <v>indie Semiconductor, Inc.</v>
      </c>
      <c r="B2764" s="13">
        <v>2</v>
      </c>
      <c r="C2764" s="14" t="s">
        <v>17</v>
      </c>
      <c r="D2764" s="15" t="e">
        <f>IF(A2771=A2772,_xll.ciqfunctions.udf.CIQ(A2763,"IQ_TOTAL_REV",IQ_FY-9)/I2764, _xll.ciqfunctions.udf.CIQ(A2763, "IQ_TOTAL_REV",IQ_FY-8)/I2764)</f>
        <v>#DIV/0!</v>
      </c>
      <c r="E2764" s="16" t="e">
        <f t="shared" ref="E2764:E2773" si="739">(D2764-D2763)/D2763</f>
        <v>#DIV/0!</v>
      </c>
      <c r="F2764" s="15">
        <f>IF(A2771=A2772,_xll.ciqfunctions.udf.CIQ(A2763,"IQ_DILUT_EPS_EXCL",IQ_FY-9), _xll.ciqfunctions.udf.CIQ(A2763, "IQ_DILUT_EPS_EXCL",IQ_FY-8))</f>
        <v>0</v>
      </c>
      <c r="G2764" s="15">
        <f>IF(A2771=A2772,_xll.ciqfunctions.udf.CIQ(A2763,"IQ_EBITDA_MARGIN",IQ_FY-9), _xll.ciqfunctions.udf.CIQ(A2763, "IQ_EBITDA_MARGIN",IQ_FY-8))</f>
        <v>0</v>
      </c>
      <c r="H2764" s="15" t="e">
        <f>IF(A2771=A2772,_xll.ciqfunctions.udf.CIQ(A2763,"IQ_TOTAL_DIV_PAID_CF",IQ_FY-9)/-I2764, _xll.ciqfunctions.udf.CIQ(A2763, "IQ_TOTAL_DIV_PAID_CF",IQ_FY-8)/-I2764)</f>
        <v>#DIV/0!</v>
      </c>
      <c r="I2764" s="17">
        <f>IF(A2771=A2772,_xll.ciqfunctions.udf.CIQ(A2763,"IQ_TOTAL_OUTSTANDING_FILING_DATE",IQ_FY-9), _xll.ciqfunctions.udf.CIQ(A2763, "IQ_TOTAL_OUTSTANDING_FILING_DATE",IQ_FY-8))</f>
        <v>0</v>
      </c>
      <c r="J2764" s="17">
        <f>IF(A2771=A2772,_xll.ciqfunctions.udf.CIQ(A2763,"IQ_CASH_OPER",IQ_FY-9), _xll.ciqfunctions.udf.CIQ(A2763, "IQ_CASH_OPER",IQ_FY-8))</f>
        <v>0</v>
      </c>
      <c r="K2764" s="17">
        <f>IF(A2771=A2772,_xll.ciqfunctions.udf.CIQ(A2763,"IQ_CAPEX",IQ_FY-9), _xll.ciqfunctions.udf.CIQ(A2763, "IQ_CAPEX",IQ_FY-8))</f>
        <v>0</v>
      </c>
      <c r="L2764" s="15" t="e">
        <f t="shared" si="736"/>
        <v>#DIV/0!</v>
      </c>
      <c r="M2764" s="17">
        <f>IF(A2771=A2772,_xll.ciqfunctions.udf.CIQ(A2763,"IQ_TOTAL_DEBT_ISSUED",IQ_FY-9), _xll.ciqfunctions.udf.CIQ(A2763, "IQ_TOTAL_DEBT_ISSUED",IQ_FY-8))</f>
        <v>0</v>
      </c>
      <c r="N2764" s="17">
        <f>IF(A2771=A2772,_xll.ciqfunctions.udf.CIQ(A2763,"IQ_TOTAL_DEBT_REPAID",IQ_FY-9), _xll.ciqfunctions.udf.CIQ(A2763, "IQ_TOTAL_DEBT_REPAID",IQ_FY-8))</f>
        <v>0</v>
      </c>
      <c r="O2764" s="15" t="e">
        <f t="shared" si="737"/>
        <v>#DIV/0!</v>
      </c>
      <c r="P2764" s="15" t="e">
        <f t="shared" si="738"/>
        <v>#DIV/0!</v>
      </c>
      <c r="Q2764" s="25" t="s">
        <v>18</v>
      </c>
      <c r="R2764" s="39" t="s">
        <v>19</v>
      </c>
      <c r="S2764" s="1">
        <f>R2762/((AVERAGE(P2768:P2773))*(1+E2774)^3)</f>
        <v>-7.7364242259894089</v>
      </c>
      <c r="U2764" s="25" t="s">
        <v>48</v>
      </c>
      <c r="V2764" s="39" t="s">
        <v>19</v>
      </c>
      <c r="W2764" s="1">
        <f>V2762/((AVERAGE(P2768:P2773))*(1+E2774)^3)</f>
        <v>-7.7364242259894089</v>
      </c>
      <c r="Y2764" s="25" t="s">
        <v>39</v>
      </c>
      <c r="Z2764" s="39" t="s">
        <v>19</v>
      </c>
      <c r="AA2764" s="1">
        <f>Z2762/((AVERAGE(P2768:P2773))*(1+E2774)^3)</f>
        <v>-7.7364242259894089</v>
      </c>
    </row>
    <row r="2765" spans="1:27">
      <c r="B2765" s="13">
        <v>3</v>
      </c>
      <c r="C2765" s="14" t="s">
        <v>20</v>
      </c>
      <c r="D2765" s="15" t="e" cm="1">
        <f t="array" ref="D2765">_xlfn.SINGLE(IF(A2771=A2772,_xll.ciqfunctions.udf.CIQ(A2763,"IQ_TOTAL_REV",IQ_FY-8)/I2765, _xll.ciqfunctions.udf.CIQ(A2763, "IQ_TOTAL_REV",IQ_FY-7)/I2765))</f>
        <v>#DIV/0!</v>
      </c>
      <c r="E2765" s="16" t="e">
        <f t="shared" si="739"/>
        <v>#DIV/0!</v>
      </c>
      <c r="F2765" s="15">
        <f>IF(A2771=A2772,_xll.ciqfunctions.udf.CIQ(A2763,"IQ_DILUT_EPS_EXCL",IQ_FY-8), _xll.ciqfunctions.udf.CIQ(A2763, "IQ_DILUT_EPS_EXCL",IQ_FY-7))</f>
        <v>0</v>
      </c>
      <c r="G2765" s="15">
        <f>IF(A2771=A2772,_xll.ciqfunctions.udf.CIQ(A2763,"IQ_EBITDA_MARGIN",IQ_FY-8), _xll.ciqfunctions.udf.CIQ(A2763, "IQ_EBITDA_MARGIN",IQ_FY-7))</f>
        <v>0</v>
      </c>
      <c r="H2765" s="15" t="e">
        <f>IF(A2771=A2772,_xll.ciqfunctions.udf.CIQ(A2763,"IQ_TOTAL_DIV_PAID_CF",IQ_FY-8)/-I2765, _xll.ciqfunctions.udf.CIQ(A2763, "IQ_TOTAL_DIV_PAID_CF",IQ_FY-7)/-I2765)</f>
        <v>#DIV/0!</v>
      </c>
      <c r="I2765" s="17">
        <f>IF(A2771=A2772,_xll.ciqfunctions.udf.CIQ(A2763,"IQ_TOTAL_OUTSTANDING_FILING_DATE",IQ_FY-8), _xll.ciqfunctions.udf.CIQ(A2763, "IQ_TOTAL_OUTSTANDING_FILING_DATE",IQ_FY-7))</f>
        <v>0</v>
      </c>
      <c r="J2765" s="17">
        <f>IF(A2771=A2772,_xll.ciqfunctions.udf.CIQ(A2763,"IQ_CASH_OPER",IQ_FY-8), _xll.ciqfunctions.udf.CIQ(A2763, "IQ_CASH_OPER",IQ_FY-7))</f>
        <v>0</v>
      </c>
      <c r="K2765" s="17">
        <f>IF(A2771=A2772,_xll.ciqfunctions.udf.CIQ(A2763,"IQ_CAPEX",IQ_FY-8), _xll.ciqfunctions.udf.CIQ(A2763, "IQ_CAPEX",IQ_FY-7))</f>
        <v>0</v>
      </c>
      <c r="L2765" s="15" t="e">
        <f t="shared" si="736"/>
        <v>#DIV/0!</v>
      </c>
      <c r="M2765" s="17">
        <f>IF(A2771=A2772,_xll.ciqfunctions.udf.CIQ(A2763,"IQ_TOTAL_DEBT_ISSUED",IQ_FY-8), _xll.ciqfunctions.udf.CIQ(A2763, "IQ_TOTAL_DEBT_ISSUED",IQ_FY-7))</f>
        <v>0</v>
      </c>
      <c r="N2765" s="17">
        <f>IF(A2771=A2772,_xll.ciqfunctions.udf.CIQ(A2763,"IQ_TOTAL_DEBT_REPAID",IQ_FY-8), _xll.ciqfunctions.udf.CIQ(A2763, "IQ_TOTAL_DEBT_REPAID",IQ_FY-7))</f>
        <v>0</v>
      </c>
      <c r="O2765" s="15" t="e">
        <f t="shared" si="737"/>
        <v>#DIV/0!</v>
      </c>
      <c r="P2765" s="15" t="e">
        <f t="shared" si="738"/>
        <v>#DIV/0!</v>
      </c>
      <c r="Q2765" s="25" t="s">
        <v>21</v>
      </c>
      <c r="R2765" s="38" t="s">
        <v>49</v>
      </c>
      <c r="S2765" s="2">
        <f>(R2762*I2773)/1000</f>
        <v>1.1638092258000001</v>
      </c>
      <c r="U2765" s="25" t="s">
        <v>59</v>
      </c>
      <c r="V2765" s="38" t="s">
        <v>49</v>
      </c>
      <c r="W2765" s="2">
        <f>(V2762*I2773)/1000</f>
        <v>1.1638092258000001</v>
      </c>
      <c r="Y2765" s="25" t="s">
        <v>46</v>
      </c>
      <c r="Z2765" s="38" t="s">
        <v>49</v>
      </c>
      <c r="AA2765" s="2">
        <f>(Z2762*I2773)/1000</f>
        <v>1.1638092258000001</v>
      </c>
    </row>
    <row r="2766" spans="1:27">
      <c r="A2766" s="18"/>
      <c r="B2766" s="13">
        <v>4</v>
      </c>
      <c r="C2766" s="14" t="s">
        <v>22</v>
      </c>
      <c r="D2766" s="15" t="e" cm="1">
        <f t="array" ref="D2766">_xlfn.SINGLE(IF(A2771=A2772,_xll.ciqfunctions.udf.CIQ(A2763,"IQ_TOTAL_REV",IQ_FY-7)/I2766, _xll.ciqfunctions.udf.CIQ(A2763, "IQ_TOTAL_REV",IQ_FY-6)/I2766))</f>
        <v>#DIV/0!</v>
      </c>
      <c r="E2766" s="16" t="e">
        <f t="shared" si="739"/>
        <v>#DIV/0!</v>
      </c>
      <c r="F2766" s="15">
        <f>IF(A2771=A2772,_xll.ciqfunctions.udf.CIQ(A2763,"IQ_DILUT_EPS_EXCL",IQ_FY-7), _xll.ciqfunctions.udf.CIQ(A2763, "IQ_DILUT_EPS_EXCL",IQ_FY-6))</f>
        <v>0</v>
      </c>
      <c r="G2766" s="15">
        <f>IF(A2771=A2772,_xll.ciqfunctions.udf.CIQ(A2763,"IQ_EBITDA_MARGIN",IQ_FY-7), _xll.ciqfunctions.udf.CIQ(A2763, "IQ_EBITDA_MARGIN",IQ_FY-6))</f>
        <v>0</v>
      </c>
      <c r="H2766" s="15" t="e">
        <f>IF(A2771=A2772,_xll.ciqfunctions.udf.CIQ(A2763,"IQ_TOTAL_DIV_PAID_CF",IQ_FY-7)/-I2766, _xll.ciqfunctions.udf.CIQ(A2763, "IQ_TOTAL_DIV_PAID_CF",IQ_FY-6)/-I2766)</f>
        <v>#DIV/0!</v>
      </c>
      <c r="I2766" s="17">
        <f>IF(A2771=A2772,_xll.ciqfunctions.udf.CIQ(A2763,"IQ_TOTAL_OUTSTANDING_FILING_DATE",IQ_FY-7), _xll.ciqfunctions.udf.CIQ(A2763, "IQ_TOTAL_OUTSTANDING_FILING_DATE",IQ_FY-6))</f>
        <v>0</v>
      </c>
      <c r="J2766" s="17">
        <f>IF(A2771=A2772,_xll.ciqfunctions.udf.CIQ(A2763,"IQ_CASH_OPER",IQ_FY-7), _xll.ciqfunctions.udf.CIQ(A2763, "IQ_CASH_OPER",IQ_FY-6))</f>
        <v>0</v>
      </c>
      <c r="K2766" s="17">
        <f>IF(A2771=A2772,_xll.ciqfunctions.udf.CIQ(A2763,"IQ_CAPEX",IQ_FY-7), _xll.ciqfunctions.udf.CIQ(A2763, "IQ_CAPEX",IQ_FY-6))</f>
        <v>0</v>
      </c>
      <c r="L2766" s="15" t="e">
        <f t="shared" si="736"/>
        <v>#DIV/0!</v>
      </c>
      <c r="M2766" s="17">
        <f>IF(A2771=A2772,_xll.ciqfunctions.udf.CIQ(A2763,"IQ_TOTAL_DEBT_ISSUED",IQ_FY-7), _xll.ciqfunctions.udf.CIQ(A2763, "IQ_TOTAL_DEBT_ISSUED",IQ_FY-6))</f>
        <v>0</v>
      </c>
      <c r="N2766" s="17">
        <f>IF(A2771=A2772,_xll.ciqfunctions.udf.CIQ(A2763,"IQ_TOTAL_DEBT_REPAID",IQ_FY-7), _xll.ciqfunctions.udf.CIQ(A2763, "IQ_TOTAL_DEBT_REPAID",IQ_FY-6))</f>
        <v>0</v>
      </c>
      <c r="O2766" s="15" t="e">
        <f t="shared" si="737"/>
        <v>#DIV/0!</v>
      </c>
      <c r="P2766" s="15" t="e">
        <f t="shared" si="738"/>
        <v>#DIV/0!</v>
      </c>
      <c r="Q2766" s="25" t="s">
        <v>23</v>
      </c>
      <c r="R2766" s="38" t="s">
        <v>24</v>
      </c>
      <c r="S2766" s="1" t="e">
        <f>R2762/(AVERAGE(H2768:H2773)*(1+H2774)/(0.5-H2774))</f>
        <v>#DIV/0!</v>
      </c>
      <c r="U2766" s="25" t="s">
        <v>40</v>
      </c>
      <c r="V2766" s="38" t="s">
        <v>24</v>
      </c>
      <c r="W2766" s="1" t="e">
        <f>V2762/(AVERAGE(H2768:H2773)*(1+H2774)/(0.5-H2774))</f>
        <v>#DIV/0!</v>
      </c>
      <c r="Y2766" s="25" t="s">
        <v>47</v>
      </c>
      <c r="Z2766" s="38" t="s">
        <v>24</v>
      </c>
      <c r="AA2766" s="1" t="e">
        <f>Z2762/(AVERAGE(H2768:H2773)*(1+H2774)/(0.5-H2774))</f>
        <v>#DIV/0!</v>
      </c>
    </row>
    <row r="2767" spans="1:27">
      <c r="B2767" s="13">
        <v>5</v>
      </c>
      <c r="C2767" s="14" t="s">
        <v>25</v>
      </c>
      <c r="D2767" s="15" t="e" cm="1">
        <f t="array" ref="D2767">_xlfn.SINGLE(IF(A2771=A2772,_xll.ciqfunctions.udf.CIQ(A2763,"IQ_TOTAL_REV",IQ_FY-6)/I2767, _xll.ciqfunctions.udf.CIQ(A2763, "IQ_TOTAL_REV",IQ_FY-5)/I2767))</f>
        <v>#DIV/0!</v>
      </c>
      <c r="E2767" s="16" t="e">
        <f t="shared" si="739"/>
        <v>#DIV/0!</v>
      </c>
      <c r="F2767" s="15">
        <f>IF(A2771=A2772,_xll.ciqfunctions.udf.CIQ(A2763,"IQ_DILUT_EPS_EXCL",IQ_FY-6), _xll.ciqfunctions.udf.CIQ(A2763, "IQ_DILUT_EPS_EXCL",IQ_FY-5))</f>
        <v>0</v>
      </c>
      <c r="G2767" s="15">
        <f>IF(A2771=A2772,_xll.ciqfunctions.udf.CIQ(A2763,"IQ_EBITDA_MARGIN",IQ_FY-6), _xll.ciqfunctions.udf.CIQ(A2763, "IQ_EBITDA_MARGIN",IQ_FY-5))</f>
        <v>0</v>
      </c>
      <c r="H2767" s="15" t="e">
        <f>IF(A2771=A2772,_xll.ciqfunctions.udf.CIQ(A2763,"IQ_TOTAL_DIV_PAID_CF",IQ_FY-6)/-I2767, _xll.ciqfunctions.udf.CIQ(A2763, "IQ_TOTAL_DIV_PAID_CF",IQ_FY-5)/-I2767)</f>
        <v>#DIV/0!</v>
      </c>
      <c r="I2767" s="17">
        <f>IF(A2771=A2772,_xll.ciqfunctions.udf.CIQ(A2763,"IQ_TOTAL_OUTSTANDING_FILING_DATE",IQ_FY-6), _xll.ciqfunctions.udf.CIQ(A2763, "IQ_TOTAL_OUTSTANDING_FILING_DATE",IQ_FY-5))</f>
        <v>0</v>
      </c>
      <c r="J2767" s="17">
        <f>IF(A2771=A2772,_xll.ciqfunctions.udf.CIQ(A2763,"IQ_CASH_OPER",IQ_FY-6), _xll.ciqfunctions.udf.CIQ(A2763, "IQ_CASH_OPER",IQ_FY-5))</f>
        <v>0</v>
      </c>
      <c r="K2767" s="17">
        <f>IF(A2771=A2772,_xll.ciqfunctions.udf.CIQ(A2763,"IQ_CAPEX",IQ_FY-6), _xll.ciqfunctions.udf.CIQ(A2763, "IQ_CAPEX",IQ_FY-5))</f>
        <v>0</v>
      </c>
      <c r="L2767" s="15" t="e">
        <f t="shared" si="736"/>
        <v>#DIV/0!</v>
      </c>
      <c r="M2767" s="17">
        <f>IF(A2771=A2772,_xll.ciqfunctions.udf.CIQ(A2763,"IQ_TOTAL_DEBT_ISSUED",IQ_FY-6), _xll.ciqfunctions.udf.CIQ(A2763, "IQ_TOTAL_DEBT_ISSUED",IQ_FY-5))</f>
        <v>0</v>
      </c>
      <c r="N2767" s="17">
        <f>IF(A2771=A2772,_xll.ciqfunctions.udf.CIQ(A2763,"IQ_TOTAL_DEBT_REPAID",IQ_FY-6), _xll.ciqfunctions.udf.CIQ(A2763, "IQ_TOTAL_DEBT_REPAID",IQ_FY-5))</f>
        <v>0</v>
      </c>
      <c r="O2767" s="15" t="e">
        <f t="shared" si="737"/>
        <v>#DIV/0!</v>
      </c>
      <c r="P2767" s="15" t="e">
        <f t="shared" si="738"/>
        <v>#DIV/0!</v>
      </c>
      <c r="Q2767" s="18"/>
      <c r="R2767" s="38" t="s">
        <v>50</v>
      </c>
      <c r="S2767" s="3">
        <f>I2774</f>
        <v>1.7310081864331517</v>
      </c>
      <c r="U2767" s="18"/>
      <c r="V2767" s="38" t="s">
        <v>50</v>
      </c>
      <c r="W2767" s="3">
        <f>I2774</f>
        <v>1.7310081864331517</v>
      </c>
      <c r="Y2767" s="18"/>
      <c r="Z2767" s="38" t="s">
        <v>50</v>
      </c>
      <c r="AA2767" s="3">
        <f>I2774</f>
        <v>1.7310081864331517</v>
      </c>
    </row>
    <row r="2768" spans="1:27">
      <c r="B2768" s="13">
        <v>6</v>
      </c>
      <c r="C2768" s="14" t="s">
        <v>26</v>
      </c>
      <c r="D2768" s="15" cm="1">
        <f t="array" ref="D2768">_xlfn.SINGLE(IF(A2771=A2772,_xll.ciqfunctions.udf.CIQ(A2763,"IQ_TOTAL_REV",IQ_FY-5)/I2768, _xll.ciqfunctions.udf.CIQ(A2763, "IQ_TOTAL_REV",IQ_FY-4)/I2768))</f>
        <v>27.057649020032585</v>
      </c>
      <c r="E2768" s="16" t="e">
        <f t="shared" si="739"/>
        <v>#DIV/0!</v>
      </c>
      <c r="F2768" s="15">
        <f>IF(A2771=A2772,_xll.ciqfunctions.udf.CIQ(A2763,"IQ_DILUT_EPS_EXCL",IQ_FY-5), _xll.ciqfunctions.udf.CIQ(A2763, "IQ_DILUT_EPS_EXCL",IQ_FY-4))</f>
        <v>-9.6113499999999998</v>
      </c>
      <c r="G2768" s="15">
        <f>IF(A2771=A2772,_xll.ciqfunctions.udf.CIQ(A2763,"IQ_EBITDA_MARGIN",IQ_FY-5), _xll.ciqfunctions.udf.CIQ(A2763, "IQ_EBITDA_MARGIN",IQ_FY-4))</f>
        <v>-23.154299999999999</v>
      </c>
      <c r="H2768" s="15">
        <f>IF(A2771=A2772,_xll.ciqfunctions.udf.CIQ(A2763,"IQ_TOTAL_DIV_PAID_CF",IQ_FY-5)/-I2768, _xll.ciqfunctions.udf.CIQ(A2763, "IQ_TOTAL_DIV_PAID_CF",IQ_FY-4)/-I2768)</f>
        <v>0</v>
      </c>
      <c r="I2768" s="17">
        <f>IF(A2771=A2772,_xll.ciqfunctions.udf.CIQ(A2763,"IQ_TOTAL_OUTSTANDING_FILING_DATE",IQ_FY-5), _xll.ciqfunctions.udf.CIQ(A2763, "IQ_TOTAL_OUTSTANDING_FILING_DATE",IQ_FY-4))</f>
        <v>1.0617700000000001</v>
      </c>
      <c r="J2768" s="17">
        <f>IF(A2771=A2772,_xll.ciqfunctions.udf.CIQ(A2763,"IQ_CASH_OPER",IQ_FY-5), _xll.ciqfunctions.udf.CIQ(A2763, "IQ_CASH_OPER",IQ_FY-4))</f>
        <v>-14.734</v>
      </c>
      <c r="K2768" s="17">
        <f>IF(A2771=A2772,_xll.ciqfunctions.udf.CIQ(A2763,"IQ_CAPEX",IQ_FY-5), _xll.ciqfunctions.udf.CIQ(A2763, "IQ_CAPEX",IQ_FY-4))</f>
        <v>-0.84199999999999997</v>
      </c>
      <c r="L2768" s="15">
        <f t="shared" si="736"/>
        <v>-14.669843751471598</v>
      </c>
      <c r="M2768" s="17">
        <f>IF(A2771=A2772,_xll.ciqfunctions.udf.CIQ(A2763,"IQ_TOTAL_DEBT_ISSUED",IQ_FY-5), _xll.ciqfunctions.udf.CIQ(A2763, "IQ_TOTAL_DEBT_ISSUED",IQ_FY-4))</f>
        <v>15</v>
      </c>
      <c r="N2768" s="17">
        <f>IF(A2771=A2772,_xll.ciqfunctions.udf.CIQ(A2763,"IQ_TOTAL_DEBT_REPAID",IQ_FY-5), _xll.ciqfunctions.udf.CIQ(A2763, "IQ_TOTAL_DEBT_REPAID",IQ_FY-4))</f>
        <v>-3.5419999999999998</v>
      </c>
      <c r="O2768" s="15">
        <f t="shared" si="737"/>
        <v>10.79141433643821</v>
      </c>
      <c r="P2768" s="15">
        <f t="shared" si="738"/>
        <v>-3.8784294150333878</v>
      </c>
      <c r="Q2768" s="25" t="s">
        <v>27</v>
      </c>
      <c r="R2768" s="38" t="s">
        <v>51</v>
      </c>
      <c r="S2768" s="4">
        <f>AVERAGE(F2768:F2773)/AVERAGE(D2768:D2773)</f>
        <v>-0.48956629221037828</v>
      </c>
      <c r="U2768" s="25" t="s">
        <v>58</v>
      </c>
      <c r="V2768" s="38" t="s">
        <v>51</v>
      </c>
      <c r="W2768" s="4">
        <f>AVERAGE(F2768:F2773)/AVERAGE(D2768:D2773)</f>
        <v>-0.48956629221037828</v>
      </c>
      <c r="Y2768" s="25" t="s">
        <v>56</v>
      </c>
      <c r="Z2768" s="38" t="s">
        <v>51</v>
      </c>
      <c r="AA2768" s="4">
        <f>AVERAGE(F2768:F2773)/AVERAGE(D2768:D2773)</f>
        <v>-0.48956629221037828</v>
      </c>
    </row>
    <row r="2769" spans="1:27">
      <c r="A2769" s="18"/>
      <c r="B2769" s="13">
        <v>7</v>
      </c>
      <c r="C2769" s="14" t="s">
        <v>28</v>
      </c>
      <c r="D2769" s="15" cm="1">
        <f t="array" ref="D2769">_xlfn.SINGLE(IF(A2771=A2772,_xll.ciqfunctions.udf.CIQ(A2763,"IQ_TOTAL_REV",IQ_FY-4)/I2769, _xll.ciqfunctions.udf.CIQ(A2763, "IQ_TOTAL_REV",IQ_FY-3)/I2769))</f>
        <v>20.471035719758085</v>
      </c>
      <c r="E2769" s="16">
        <f t="shared" si="739"/>
        <v>-0.24342888383975972</v>
      </c>
      <c r="F2769" s="15">
        <f>IF(A2771=A2772,_xll.ciqfunctions.udf.CIQ(A2763,"IQ_DILUT_EPS_EXCL",IQ_FY-4), _xll.ciqfunctions.udf.CIQ(A2763, "IQ_DILUT_EPS_EXCL",IQ_FY-3))</f>
        <v>-18.587399999999999</v>
      </c>
      <c r="G2769" s="15">
        <f>IF(A2771=A2772,_xll.ciqfunctions.udf.CIQ(A2763,"IQ_EBITDA_MARGIN",IQ_FY-4), _xll.ciqfunctions.udf.CIQ(A2763, "IQ_EBITDA_MARGIN",IQ_FY-3))</f>
        <v>-65.709699999999998</v>
      </c>
      <c r="H2769" s="15">
        <f>IF(A2771=A2772,_xll.ciqfunctions.udf.CIQ(A2763,"IQ_TOTAL_DIV_PAID_CF",IQ_FY-4)/-I2769, _xll.ciqfunctions.udf.CIQ(A2763, "IQ_TOTAL_DIV_PAID_CF",IQ_FY-3)/-I2769)</f>
        <v>0</v>
      </c>
      <c r="I2769" s="17">
        <f>IF(A2771=A2772,_xll.ciqfunctions.udf.CIQ(A2763,"IQ_TOTAL_OUTSTANDING_FILING_DATE",IQ_FY-4), _xll.ciqfunctions.udf.CIQ(A2763, "IQ_TOTAL_OUTSTANDING_FILING_DATE",IQ_FY-3))</f>
        <v>1.10947</v>
      </c>
      <c r="J2769" s="17">
        <f>IF(A2771=A2772,_xll.ciqfunctions.udf.CIQ(A2763,"IQ_CASH_OPER",IQ_FY-4), _xll.ciqfunctions.udf.CIQ(A2763, "IQ_CASH_OPER",IQ_FY-3))</f>
        <v>-14.875</v>
      </c>
      <c r="K2769" s="17">
        <f>IF(A2771=A2772,_xll.ciqfunctions.udf.CIQ(A2763,"IQ_CAPEX",IQ_FY-4), _xll.ciqfunctions.udf.CIQ(A2763, "IQ_CAPEX",IQ_FY-3))</f>
        <v>-1.6559999999999999</v>
      </c>
      <c r="L2769" s="15">
        <f t="shared" si="736"/>
        <v>-14.899907162879572</v>
      </c>
      <c r="M2769" s="17">
        <f>IF(A2771=A2772,_xll.ciqfunctions.udf.CIQ(A2763,"IQ_TOTAL_DEBT_ISSUED",IQ_FY-4), _xll.ciqfunctions.udf.CIQ(A2763, "IQ_TOTAL_DEBT_ISSUED",IQ_FY-3))</f>
        <v>0.28499999999999998</v>
      </c>
      <c r="N2769" s="17">
        <f>IF(A2771=A2772,_xll.ciqfunctions.udf.CIQ(A2763,"IQ_TOTAL_DEBT_REPAID",IQ_FY-4), _xll.ciqfunctions.udf.CIQ(A2763, "IQ_TOTAL_DEBT_REPAID",IQ_FY-3))</f>
        <v>-2.0409999999999999</v>
      </c>
      <c r="O2769" s="15">
        <f t="shared" si="737"/>
        <v>-1.5827377035881998</v>
      </c>
      <c r="P2769" s="15">
        <f t="shared" si="738"/>
        <v>-16.482644866467773</v>
      </c>
      <c r="Q2769" s="18"/>
      <c r="R2769" s="38" t="s">
        <v>29</v>
      </c>
      <c r="S2769" s="4">
        <f>(AVERAGE(P2768:P2773)/_xlfn.STDEV.P(P2768:P2773))/(IF(A2771=A2772,(_xlfn.SINGLE(_xll.ciqfunctions.udf.CIQ(A2763,"IQ_total_assets",IQ_FY)) - _xlfn.SINGLE(_xll.ciqfunctions.udf.CIQ(A2763,"iq_gw_intan", IQ_FY)))/I2773, (_xlfn.SINGLE(_xll.ciqfunctions.udf.CIQ(A2763, "IQ_total_assets",IQ_LTM))-_xlfn.SINGLE(_xll.ciqfunctions.udf.CIQ(A2763,"iq_gw_intan",IQ_LTM)))/I2773))</f>
        <v>-0.42216752396414448</v>
      </c>
      <c r="U2769" s="18"/>
      <c r="V2769" s="38" t="s">
        <v>29</v>
      </c>
      <c r="W2769" s="4">
        <f>(AVERAGE(P2768:P2773)/_xlfn.STDEV.P(P2768:P2773))/(IF(A2771=A2772,(_xlfn.SINGLE(_xll.ciqfunctions.udf.CIQ(A2763,"IQ_total_assets",IQ_FY)) - _xlfn.SINGLE(_xll.ciqfunctions.udf.CIQ(A2763,"iq_gw_intan", IQ_FY)))/I2773, (_xlfn.SINGLE(_xll.ciqfunctions.udf.CIQ(A2763, "IQ_total_assets",IQ_LTM))-_xlfn.SINGLE(_xll.ciqfunctions.udf.CIQ(A2763,"iq_gw_intan",IQ_LTM)))/I2773))</f>
        <v>-0.42216752396414448</v>
      </c>
      <c r="Y2769" s="18"/>
      <c r="Z2769" s="38" t="s">
        <v>29</v>
      </c>
      <c r="AA2769" s="4">
        <f>(AVERAGE(P2768:P2773)/_xlfn.STDEV.P(P2768:P2773))/(IF(A2771=A2772,(_xlfn.SINGLE(_xll.ciqfunctions.udf.CIQ(A2763,"IQ_total_assets",IQ_FY)) - _xlfn.SINGLE(_xll.ciqfunctions.udf.CIQ(A2763,"iq_gw_intan", IQ_FY)))/I2773, (_xlfn.SINGLE(_xll.ciqfunctions.udf.CIQ(A2763, "IQ_total_assets",IQ_LTM))-_xlfn.SINGLE(_xll.ciqfunctions.udf.CIQ(A2763,"iq_gw_intan",IQ_LTM)))/I2773))</f>
        <v>-0.42216752396414448</v>
      </c>
    </row>
    <row r="2770" spans="1:27">
      <c r="A2770" s="18"/>
      <c r="B2770" s="13">
        <v>8</v>
      </c>
      <c r="C2770" s="14" t="s">
        <v>30</v>
      </c>
      <c r="D2770" s="15" cm="1">
        <f t="array" ref="D2770">_xlfn.SINGLE(IF(A2771=A2772,_xll.ciqfunctions.udf.CIQ(A2763,"IQ_TOTAL_REV",IQ_FY-3)/I2770, _xll.ciqfunctions.udf.CIQ(A2763, "IQ_TOTAL_REV",IQ_FY-2)/I2770))</f>
        <v>19.128595600676821</v>
      </c>
      <c r="E2770" s="16">
        <f t="shared" si="739"/>
        <v>-6.5577537817765486E-2</v>
      </c>
      <c r="F2770" s="15">
        <f>IF(A2771=A2772,_xll.ciqfunctions.udf.CIQ(A2763,"IQ_DILUT_EPS_EXCL",IQ_FY-3), _xll.ciqfunctions.udf.CIQ(A2763, "IQ_DILUT_EPS_EXCL",IQ_FY-2))</f>
        <v>-3.1204900000000002</v>
      </c>
      <c r="G2770" s="15">
        <f>IF(A2771=A2772,_xll.ciqfunctions.udf.CIQ(A2763,"IQ_EBITDA_MARGIN",IQ_FY-3), _xll.ciqfunctions.udf.CIQ(A2763, "IQ_EBITDA_MARGIN",IQ_FY-2))</f>
        <v>-73.370099999999994</v>
      </c>
      <c r="H2770" s="15">
        <f>IF(A2771=A2772,_xll.ciqfunctions.udf.CIQ(A2763,"IQ_TOTAL_DIV_PAID_CF",IQ_FY-3)/-I2770, _xll.ciqfunctions.udf.CIQ(A2763, "IQ_TOTAL_DIV_PAID_CF",IQ_FY-2)/-I2770)</f>
        <v>0</v>
      </c>
      <c r="I2770" s="17">
        <f>IF(A2771=A2772,_xll.ciqfunctions.udf.CIQ(A2763,"IQ_TOTAL_OUTSTANDING_FILING_DATE",IQ_FY-3), _xll.ciqfunctions.udf.CIQ(A2763, "IQ_TOTAL_OUTSTANDING_FILING_DATE",IQ_FY-2))</f>
        <v>1.1819999999999999</v>
      </c>
      <c r="J2770" s="17">
        <f>IF(A2771=A2772,_xll.ciqfunctions.udf.CIQ(A2763,"IQ_CASH_OPER",IQ_FY-3), _xll.ciqfunctions.udf.CIQ(A2763, "IQ_CASH_OPER",IQ_FY-2))</f>
        <v>-21.218</v>
      </c>
      <c r="K2770" s="17">
        <f>IF(A2771=A2772,_xll.ciqfunctions.udf.CIQ(A2763,"IQ_CAPEX",IQ_FY-3), _xll.ciqfunctions.udf.CIQ(A2763, "IQ_CAPEX",IQ_FY-2))</f>
        <v>-0.63700000000000001</v>
      </c>
      <c r="L2770" s="15">
        <f t="shared" si="736"/>
        <v>-18.48984771573604</v>
      </c>
      <c r="M2770" s="17">
        <f>IF(A2771=A2772,_xll.ciqfunctions.udf.CIQ(A2763,"IQ_TOTAL_DEBT_ISSUED",IQ_FY-3), _xll.ciqfunctions.udf.CIQ(A2763, "IQ_TOTAL_DEBT_ISSUED",IQ_FY-2))</f>
        <v>6.1120000000000001</v>
      </c>
      <c r="N2770" s="17">
        <f>IF(A2771=A2772,_xll.ciqfunctions.udf.CIQ(A2763,"IQ_TOTAL_DEBT_REPAID",IQ_FY-3), _xll.ciqfunctions.udf.CIQ(A2763, "IQ_TOTAL_DEBT_REPAID",IQ_FY-2))</f>
        <v>-4.1829999999999998</v>
      </c>
      <c r="O2770" s="15">
        <f t="shared" si="737"/>
        <v>1.6319796954314725</v>
      </c>
      <c r="P2770" s="15">
        <f t="shared" si="738"/>
        <v>-16.857868020304569</v>
      </c>
      <c r="Q2770" s="18"/>
      <c r="R2770" s="39" t="s">
        <v>31</v>
      </c>
      <c r="S2770" s="5" t="e">
        <f>IF(NOT(D2763&gt;0),FALSE,SLOPE(G2763:G2773,B2763:B2773))</f>
        <v>#DIV/0!</v>
      </c>
      <c r="U2770" s="18"/>
      <c r="V2770" s="39" t="s">
        <v>31</v>
      </c>
      <c r="W2770" s="5" t="e">
        <f>IF(NOT(D2763&gt;0),FALSE,SLOPE(G2763:G2773,B2763:B2773))</f>
        <v>#DIV/0!</v>
      </c>
      <c r="Y2770" s="18"/>
      <c r="Z2770" s="39" t="s">
        <v>31</v>
      </c>
      <c r="AA2770" s="5" t="e">
        <f>IF(NOT(L2763&gt;0),FALSE,SLOPE(O2763:O2773,J2763:J2773))</f>
        <v>#DIV/0!</v>
      </c>
    </row>
    <row r="2771" spans="1:27">
      <c r="A2771" s="19">
        <f>_xll.ciqfunctions.udf.CIQ(A2763,"IQ_TOTAL_REV",IQ_FY)</f>
        <v>110.797</v>
      </c>
      <c r="B2771" s="13">
        <v>9</v>
      </c>
      <c r="C2771" s="14" t="s">
        <v>32</v>
      </c>
      <c r="D2771" s="15" cm="1">
        <f t="array" ref="D2771">_xlfn.SINGLE(IF(A2771=A2772,_xll.ciqfunctions.udf.CIQ(A2763,"IQ_TOTAL_REV",IQ_FY-2)/I2771, _xll.ciqfunctions.udf.CIQ(A2763, "IQ_TOTAL_REV",IQ_FY-1)/I2771))</f>
        <v>0.42755166528953792</v>
      </c>
      <c r="E2771" s="16">
        <f t="shared" si="739"/>
        <v>-0.97764855955894581</v>
      </c>
      <c r="F2771" s="15">
        <f>IF(A2771=A2772,_xll.ciqfunctions.udf.CIQ(A2763,"IQ_DILUT_EPS_EXCL",IQ_FY-2), _xll.ciqfunctions.udf.CIQ(A2763, "IQ_DILUT_EPS_EXCL",IQ_FY-1))</f>
        <v>-1.26</v>
      </c>
      <c r="G2771" s="15">
        <f>IF(A2771=A2772,_xll.ciqfunctions.udf.CIQ(A2763,"IQ_EBITDA_MARGIN",IQ_FY-2), _xll.ciqfunctions.udf.CIQ(A2763, "IQ_EBITDA_MARGIN",IQ_FY-1))</f>
        <v>-138.02359999999999</v>
      </c>
      <c r="H2771" s="15">
        <f>IF(A2771=A2772,_xll.ciqfunctions.udf.CIQ(A2763,"IQ_TOTAL_DIV_PAID_CF",IQ_FY-2)/-I2771, _xll.ciqfunctions.udf.CIQ(A2763, "IQ_TOTAL_DIV_PAID_CF",IQ_FY-1)/-I2771)</f>
        <v>0</v>
      </c>
      <c r="I2771" s="17">
        <f>IF(A2771=A2772,_xll.ciqfunctions.udf.CIQ(A2763,"IQ_TOTAL_OUTSTANDING_FILING_DATE",IQ_FY-2), _xll.ciqfunctions.udf.CIQ(A2763, "IQ_TOTAL_OUTSTANDING_FILING_DATE",IQ_FY-1))</f>
        <v>113.23076</v>
      </c>
      <c r="J2771" s="17">
        <f>IF(A2771=A2772,_xll.ciqfunctions.udf.CIQ(A2763,"IQ_CASH_OPER",IQ_FY-2), _xll.ciqfunctions.udf.CIQ(A2763, "IQ_CASH_OPER",IQ_FY-1))</f>
        <v>-55.819000000000003</v>
      </c>
      <c r="K2771" s="17">
        <f>IF(A2771=A2772,_xll.ciqfunctions.udf.CIQ(A2763,"IQ_CAPEX",IQ_FY-2), _xll.ciqfunctions.udf.CIQ(A2763, "IQ_CAPEX",IQ_FY-1))</f>
        <v>-2.6819999999999999</v>
      </c>
      <c r="L2771" s="15">
        <f t="shared" si="736"/>
        <v>-0.51665289537931214</v>
      </c>
      <c r="M2771" s="17">
        <f>IF(A2771=A2772,_xll.ciqfunctions.udf.CIQ(A2763,"IQ_TOTAL_DEBT_ISSUED",IQ_FY-2), _xll.ciqfunctions.udf.CIQ(A2763, "IQ_TOTAL_DEBT_ISSUED",IQ_FY-1))</f>
        <v>0.77500000000000002</v>
      </c>
      <c r="N2771" s="17">
        <f>IF(A2771=A2772,_xll.ciqfunctions.udf.CIQ(A2763,"IQ_TOTAL_DEBT_REPAID",IQ_FY-2), _xll.ciqfunctions.udf.CIQ(A2763, "IQ_TOTAL_DEBT_REPAID",IQ_FY-1))</f>
        <v>-17.542999999999999</v>
      </c>
      <c r="O2771" s="15">
        <f t="shared" si="737"/>
        <v>-0.14808696859404635</v>
      </c>
      <c r="P2771" s="15">
        <f t="shared" si="738"/>
        <v>-0.66473986397335849</v>
      </c>
      <c r="Q2771" s="25" t="s">
        <v>33</v>
      </c>
      <c r="R2771" s="38" t="s">
        <v>52</v>
      </c>
      <c r="S2771" s="4">
        <f>(AVERAGE(O2768:O2773)/AVERAGE(P2768:P2773))</f>
        <v>-0.34319346474478041</v>
      </c>
      <c r="U2771" s="25" t="s">
        <v>54</v>
      </c>
      <c r="V2771" s="38" t="s">
        <v>52</v>
      </c>
      <c r="W2771" s="4">
        <f>(AVERAGE(O2768:O2773)/AVERAGE(P2768:P2773))</f>
        <v>-0.34319346474478041</v>
      </c>
      <c r="Y2771" s="25" t="s">
        <v>60</v>
      </c>
      <c r="Z2771" s="38" t="s">
        <v>52</v>
      </c>
      <c r="AA2771" s="4">
        <f>(AVERAGE(O2768:O2773)/AVERAGE(P2768:P2773))</f>
        <v>-0.34319346474478041</v>
      </c>
    </row>
    <row r="2772" spans="1:27">
      <c r="A2772" s="19">
        <f>_xll.ciqfunctions.udf.CIQ(A2763,"IQ_TOTAL_REV",IQ_LTM)</f>
        <v>186.06299999999999</v>
      </c>
      <c r="B2772" s="13">
        <v>10</v>
      </c>
      <c r="C2772" s="14" t="s">
        <v>34</v>
      </c>
      <c r="D2772" s="15" cm="1">
        <f t="array" ref="D2772">_xlfn.SINGLE(IF(A2771=A2772,_xll.ciqfunctions.udf.CIQ(A2763,"IQ_TOTAL_REV",IQ_FY-1)/I2772, _xll.ciqfunctions.udf.CIQ(A2763, "IQ_TOTAL_REV",IQ_FY)/I2772))</f>
        <v>0.78956981390019698</v>
      </c>
      <c r="E2772" s="16">
        <f t="shared" si="739"/>
        <v>0.84672374826443586</v>
      </c>
      <c r="F2772" s="15">
        <f>IF(A2771=A2772,_xll.ciqfunctions.udf.CIQ(A2763,"IQ_DILUT_EPS_EXCL",IQ_FY-1), _xll.ciqfunctions.udf.CIQ(A2763, "IQ_DILUT_EPS_EXCL",IQ_FY))</f>
        <v>-0.37</v>
      </c>
      <c r="G2772" s="15">
        <f>IF(A2771=A2772,_xll.ciqfunctions.udf.CIQ(A2763,"IQ_EBITDA_MARGIN",IQ_FY-1), _xll.ciqfunctions.udf.CIQ(A2763, "IQ_EBITDA_MARGIN",IQ_FY))</f>
        <v>-94.150499999999994</v>
      </c>
      <c r="H2772" s="15">
        <f>IF(A2771=A2772,_xll.ciqfunctions.udf.CIQ(A2763,"IQ_TOTAL_DIV_PAID_CF",IQ_FY-1)/-I2772, _xll.ciqfunctions.udf.CIQ(A2763, "IQ_TOTAL_DIV_PAID_CF",IQ_FY)/-I2772)</f>
        <v>0</v>
      </c>
      <c r="I2772" s="17">
        <f>IF(A2771=A2772,_xll.ciqfunctions.udf.CIQ(A2763,"IQ_TOTAL_OUTSTANDING_FILING_DATE",IQ_FY-1), _xll.ciqfunctions.udf.CIQ(A2763, "IQ_TOTAL_OUTSTANDING_FILING_DATE",IQ_FY))</f>
        <v>140.32578000000001</v>
      </c>
      <c r="J2772" s="17">
        <f>IF(A2771=A2772,_xll.ciqfunctions.udf.CIQ(A2763,"IQ_CASH_OPER",IQ_FY-1), _xll.ciqfunctions.udf.CIQ(A2763, "IQ_CASH_OPER",IQ_FY))</f>
        <v>-76.745000000000005</v>
      </c>
      <c r="K2772" s="17">
        <f>IF(A2771=A2772,_xll.ciqfunctions.udf.CIQ(A2763,"IQ_CAPEX",IQ_FY-1), _xll.ciqfunctions.udf.CIQ(A2763, "IQ_CAPEX",IQ_FY))</f>
        <v>-7.5679999999999996</v>
      </c>
      <c r="L2772" s="15">
        <f t="shared" si="736"/>
        <v>-0.60083756527132792</v>
      </c>
      <c r="M2772" s="17">
        <f>IF(A2771=A2772,_xll.ciqfunctions.udf.CIQ(A2763,"IQ_TOTAL_DEBT_ISSUED",IQ_FY-1), _xll.ciqfunctions.udf.CIQ(A2763, "IQ_TOTAL_DEBT_ISSUED",IQ_FY))</f>
        <v>161.50700000000001</v>
      </c>
      <c r="N2772" s="17">
        <f>IF(A2771=A2772,_xll.ciqfunctions.udf.CIQ(A2763,"IQ_TOTAL_DEBT_REPAID",IQ_FY-1), _xll.ciqfunctions.udf.CIQ(A2763, "IQ_TOTAL_DEBT_REPAID",IQ_FY))</f>
        <v>-2.1579999999999999</v>
      </c>
      <c r="O2772" s="15">
        <f t="shared" si="737"/>
        <v>1.1355646838378521</v>
      </c>
      <c r="P2772" s="15">
        <f t="shared" si="738"/>
        <v>0.53472711856652422</v>
      </c>
      <c r="Q2772" s="25" t="s">
        <v>44</v>
      </c>
      <c r="R2772" s="38" t="s">
        <v>35</v>
      </c>
      <c r="S2772" s="1" t="str">
        <f>_xll.ciqfunctions.udf.CIQ(A2763,"IQ_TEV_EBITDA")</f>
        <v>NM</v>
      </c>
      <c r="U2772" s="25" t="s">
        <v>55</v>
      </c>
      <c r="V2772" s="38" t="s">
        <v>53</v>
      </c>
      <c r="W2772" s="1" t="e">
        <f>V2762/(AVERAGE(D2768:D2773)/_xlfn.STDEV.P(E2768:E2773))</f>
        <v>#DIV/0!</v>
      </c>
      <c r="Y2772" s="25" t="s">
        <v>57</v>
      </c>
      <c r="Z2772" s="38" t="s">
        <v>53</v>
      </c>
      <c r="AA2772" s="1" t="e">
        <f>Z2762/(AVERAGE(D2768:D2773)/_xlfn.STDEV.P(E2768:E2773))</f>
        <v>#DIV/0!</v>
      </c>
    </row>
    <row r="2773" spans="1:27">
      <c r="B2773" s="13">
        <v>11</v>
      </c>
      <c r="C2773" s="20" t="s">
        <v>36</v>
      </c>
      <c r="D2773" s="21" cm="1">
        <f t="array" ref="D2773">_xlfn.SINGLE(IF(A2771=A2772,_xll.ciqfunctions.udf.CIQ(A2763,"IQ_TOTAL_REV",IQ_FY)/I2773, _xll.ciqfunctions.udf.CIQ(A2763, "IQ_TOTAL_REV",IQ_LTM)/I2773))</f>
        <v>1.1534919256867089</v>
      </c>
      <c r="E2773" s="22">
        <f t="shared" si="739"/>
        <v>0.46091188566197178</v>
      </c>
      <c r="F2773" s="21">
        <f>IF(A2771=A2772,_xll.ciqfunctions.udf.CIQ(A2763,"IQ_DILUT_EPS_EXCL",IQ_FY), _xll.ciqfunctions.udf.CIQ(A2763, "IQ_DILUT_EPS_EXCL",IQ_LTM))</f>
        <v>-0.84448999999999996</v>
      </c>
      <c r="G2773" s="21">
        <f>IF(A2771=A2772,_xll.ciqfunctions.udf.CIQ(A2763,"IQ_EBITDA_MARGIN",IQ_FY), _xll.ciqfunctions.udf.CIQ(A2763, "IQ_EBITDA_MARGIN",IQ_LTM))</f>
        <v>-60.568100000000001</v>
      </c>
      <c r="H2773" s="21">
        <f>IF(A2771=A2772,_xll.ciqfunctions.udf.CIQ(A2763,"IQ_TOTAL_DIV_PAID_CF",IQ_FY)/-I2773, _xll.ciqfunctions.udf.CIQ(A2763, "IQ_TOTAL_DIV_PAID_CF",IQ_LTM)/-I2773)</f>
        <v>0</v>
      </c>
      <c r="I2773" s="23">
        <f>IF(A2771=A2772,_xll.ciqfunctions.udf.CIQ(A2763,"IQ_TOTAL_OUTSTANDING_FILING_DATE",IQ_FY),_xll.ciqfunctions.udf.CIQ(A2763,"IQ_sharesoutstanding"))</f>
        <v>161.30412000000001</v>
      </c>
      <c r="J2773" s="23">
        <f>IF(A2771=A2772,_xll.ciqfunctions.udf.CIQ(A2763,"IQ_CASH_OPER",IQ_FY), _xll.ciqfunctions.udf.CIQ(A2763, "IQ_CASH_OPER",IQ_LTM))</f>
        <v>-105.907</v>
      </c>
      <c r="K2773" s="23">
        <f>IF(A2771=A2772,_xll.ciqfunctions.udf.CIQ(A2763,"IQ_CAPEX",IQ_FY), _xll.ciqfunctions.udf.CIQ(A2763, "IQ_CAPEX",IQ_LTM))</f>
        <v>-11.64</v>
      </c>
      <c r="L2773" s="21">
        <f t="shared" si="736"/>
        <v>-0.72872906160115436</v>
      </c>
      <c r="M2773" s="23">
        <f>IF(A2771=A2772,_xll.ciqfunctions.udf.CIQ(A2763,"IQ_TOTAL_DEBT_ISSUED",IQ_FY), _xll.ciqfunctions.udf.CIQ(A2763, "IQ_TOTAL_DEBT_ISSUED",IQ_LTM))</f>
        <v>162.16499999999999</v>
      </c>
      <c r="N2773" s="23">
        <f>IF(A2771=A2772,_xll.ciqfunctions.udf.CIQ(A2763,"IQ_TOTAL_DEBT_REPAID",IQ_FY), _xll.ciqfunctions.udf.CIQ(A2763, "IQ_TOTAL_DEBT_REPAID",IQ_LTM))</f>
        <v>-13.268000000000001</v>
      </c>
      <c r="O2773" s="21">
        <f t="shared" si="737"/>
        <v>0.92308243583610872</v>
      </c>
      <c r="P2773" s="21">
        <f t="shared" si="738"/>
        <v>0.19435337423495436</v>
      </c>
      <c r="Q2773" s="25" t="s">
        <v>45</v>
      </c>
      <c r="S2773" s="45"/>
      <c r="U2773" s="25"/>
      <c r="W2773" s="45"/>
      <c r="Y2773" s="25"/>
      <c r="AA2773" s="45"/>
    </row>
    <row r="2774" spans="1:27">
      <c r="B2774" s="24"/>
      <c r="C2774" s="25" t="s">
        <v>37</v>
      </c>
      <c r="E2774" s="26">
        <f>((D2773/D2768)^(1/5))-1</f>
        <v>-0.46795924635940278</v>
      </c>
      <c r="F2774" s="27">
        <f>((F2773/F2768)^(1/5))-1</f>
        <v>-0.38516012761465757</v>
      </c>
      <c r="G2774" s="28"/>
      <c r="H2774" s="27" t="e">
        <f>((H2773/H2768)^(1/5))-1</f>
        <v>#DIV/0!</v>
      </c>
      <c r="I2774" s="27">
        <f>((I2773/I2768)^(1/5))-1</f>
        <v>1.7310081864331517</v>
      </c>
      <c r="J2774" s="27"/>
      <c r="K2774" s="27"/>
      <c r="L2774" s="26">
        <f>((L2773/L2768)^(1/5))-1</f>
        <v>-0.45143496801923311</v>
      </c>
      <c r="M2774" s="26"/>
      <c r="N2774" s="26"/>
      <c r="O2774" s="26"/>
      <c r="P2774" s="26">
        <f>((P2773/P2768)^(1/5))-1</f>
        <v>-1.5495247262707572</v>
      </c>
      <c r="Q2774" s="18"/>
      <c r="R2774" s="36"/>
      <c r="S2774" s="45"/>
      <c r="U2774" s="18"/>
      <c r="V2774" s="36"/>
      <c r="W2774" s="45"/>
      <c r="Y2774" s="18"/>
      <c r="Z2774" s="36"/>
      <c r="AA2774" s="45"/>
    </row>
    <row r="2775" spans="1:27">
      <c r="A2775" s="29"/>
      <c r="B2775" s="30"/>
      <c r="C2775" s="31" t="s">
        <v>38</v>
      </c>
      <c r="D2775" s="29"/>
      <c r="E2775" s="32" t="e">
        <f>((D2773/D2763)^(1/10))-1</f>
        <v>#DIV/0!</v>
      </c>
      <c r="F2775" s="33" t="e">
        <f>((F2773/F2763)^(1/10))-1</f>
        <v>#DIV/0!</v>
      </c>
      <c r="G2775" s="34"/>
      <c r="H2775" s="33" t="e">
        <f>((H2773/H2763)^(1/10))-1</f>
        <v>#DIV/0!</v>
      </c>
      <c r="I2775" s="33" t="e">
        <f>((I2773/I2763)^(1/10))-1</f>
        <v>#DIV/0!</v>
      </c>
      <c r="J2775" s="33"/>
      <c r="K2775" s="33"/>
      <c r="L2775" s="32" t="e">
        <f>((L2773/L2763)^(1/10))-1</f>
        <v>#DIV/0!</v>
      </c>
      <c r="M2775" s="32"/>
      <c r="N2775" s="32"/>
      <c r="O2775" s="32"/>
      <c r="P2775" s="32" t="e">
        <f>((P2773/P2763)^(1/10))-1</f>
        <v>#DIV/0!</v>
      </c>
      <c r="Q2775" s="40"/>
      <c r="R2775" s="41"/>
      <c r="S2775" s="46"/>
      <c r="U2775" s="40"/>
      <c r="V2775" s="41"/>
      <c r="W2775" s="46"/>
      <c r="Y2775" s="40"/>
      <c r="Z2775" s="41"/>
      <c r="AA2775" s="46"/>
    </row>
    <row r="2776" spans="1:27">
      <c r="B2776" s="24"/>
      <c r="C2776" s="25"/>
      <c r="E2776" s="26"/>
      <c r="F2776" s="27"/>
      <c r="G2776" s="28"/>
      <c r="H2776" s="27"/>
      <c r="I2776" s="27"/>
      <c r="J2776" s="27"/>
      <c r="K2776" s="27"/>
      <c r="L2776" s="26"/>
      <c r="M2776" s="17"/>
      <c r="N2776" s="17"/>
      <c r="O2776" s="17"/>
      <c r="P2776" s="35"/>
      <c r="Q2776" s="18"/>
      <c r="R2776" s="36"/>
    </row>
    <row r="2777" spans="1:27">
      <c r="A2777" s="9" t="s">
        <v>0</v>
      </c>
      <c r="B2777" s="10"/>
      <c r="C2777" s="9" t="s">
        <v>1</v>
      </c>
      <c r="D2777" s="9" t="s">
        <v>2</v>
      </c>
      <c r="E2777" s="9" t="s">
        <v>3</v>
      </c>
      <c r="F2777" s="11" t="s">
        <v>4</v>
      </c>
      <c r="G2777" s="11" t="s">
        <v>5</v>
      </c>
      <c r="H2777" s="9" t="s">
        <v>6</v>
      </c>
      <c r="I2777" s="11" t="s">
        <v>7</v>
      </c>
      <c r="J2777" s="11" t="s">
        <v>8</v>
      </c>
      <c r="K2777" s="11" t="s">
        <v>9</v>
      </c>
      <c r="L2777" s="11" t="s">
        <v>10</v>
      </c>
      <c r="M2777" s="11" t="s">
        <v>11</v>
      </c>
      <c r="N2777" s="11" t="s">
        <v>12</v>
      </c>
      <c r="O2777" s="11" t="s">
        <v>13</v>
      </c>
      <c r="P2777" s="11" t="s">
        <v>14</v>
      </c>
      <c r="Q2777" s="37" t="s">
        <v>15</v>
      </c>
      <c r="R2777" s="42">
        <f>_xll.ciqfunctions.udf.CIQ(A2778,("IQ_LASTSALEPRICE"))</f>
        <v>101.44</v>
      </c>
      <c r="S2777" s="44"/>
      <c r="U2777" s="37" t="s">
        <v>15</v>
      </c>
      <c r="V2777" s="42">
        <f>_xll.ciqfunctions.udf.CIQ(A2778,("IQ_LASTSALEPRICE"))</f>
        <v>101.44</v>
      </c>
      <c r="W2777" s="44"/>
      <c r="Y2777" s="37" t="s">
        <v>15</v>
      </c>
      <c r="Z2777" s="42">
        <f>_xll.ciqfunctions.udf.CIQ(A2778,("IQ_LASTSALEPRICE"))</f>
        <v>101.44</v>
      </c>
      <c r="AA2777" s="44"/>
    </row>
    <row r="2778" spans="1:27">
      <c r="A2778" s="12" t="str">
        <f>Analysis!B187</f>
        <v>NasdaqGS:SLAB</v>
      </c>
      <c r="B2778" s="13">
        <v>1</v>
      </c>
      <c r="C2778" s="14" t="s">
        <v>16</v>
      </c>
      <c r="D2778" s="15">
        <f>IF(A2786=A2787,_xll.ciqfunctions.udf.CIQ(A2778,"IQ_TOTAL_REV",IQ_FY-10)/I2778,_xll.ciqfunctions.udf.CIQ(A2778, "IQ_TOTAL_REV",IQ_FY-9)/I2778)</f>
        <v>13.545022740550378</v>
      </c>
      <c r="E2778" s="16"/>
      <c r="F2778" s="15">
        <f>IF(A2786=A2787,_xll.ciqfunctions.udf.CIQ(A2778,"IQ_DILUT_EPS_EXCL",IQ_FY-10), _xll.ciqfunctions.udf.CIQ(A2778, "IQ_DILUT_EPS_EXCL",IQ_FY-9))</f>
        <v>1.1399999999999999</v>
      </c>
      <c r="G2778" s="15">
        <f>IF(A2786=A2787,_xll.ciqfunctions.udf.CIQ(A2778,"IQ_EBITDA_MARGIN",IQ_FY-10), _xll.ciqfunctions.udf.CIQ(A2778, "IQ_EBITDA_MARGIN",IQ_FY-9))</f>
        <v>16.5685</v>
      </c>
      <c r="H2778" s="15">
        <f>IF(A2786=A2787,_xll.ciqfunctions.udf.CIQ(A2778,"IQ_TOTAL_DIV_PAID_CF",IQ_FY-10)/-I2778, _xll.ciqfunctions.udf.CIQ(A2778, "IQ_TOTAL_DIV_PAID_CF",IQ_FY-9)/-I2778)</f>
        <v>0</v>
      </c>
      <c r="I2778" s="17">
        <f>IF(A2786=A2787,_xll.ciqfunctions.udf.CIQ(A2778,"IQ_TOTAL_OUTSTANDING_FILING_DATE",IQ_FY-10), _xll.ciqfunctions.udf.CIQ(A2778, "IQ_TOTAL_OUTSTANDING_FILING_DATE",IQ_FY-9))</f>
        <v>42.82658</v>
      </c>
      <c r="J2778" s="17">
        <f>IF(A2786=A2787,_xll.ciqfunctions.udf.CIQ(A2778,"IQ_CASH_OPER",IQ_FY-10), _xll.ciqfunctions.udf.CIQ(A2778, "IQ_CASH_OPER",IQ_FY-9))</f>
        <v>120.15</v>
      </c>
      <c r="K2778" s="17">
        <f>IF(A2786=A2787,_xll.ciqfunctions.udf.CIQ(A2778,"IQ_CAPEX",IQ_FY-10), _xll.ciqfunctions.udf.CIQ(A2778, "IQ_CAPEX",IQ_FY-9))</f>
        <v>-10.472</v>
      </c>
      <c r="L2778" s="15">
        <f t="shared" ref="L2778:L2788" si="740">(J2778+K2778)/I2778</f>
        <v>2.560979653290083</v>
      </c>
      <c r="M2778" s="17">
        <f>IF(A2786=A2787,_xll.ciqfunctions.udf.CIQ(A2778,"IQ_TOTAL_DEBT_ISSUED",IQ_FY-10), _xll.ciqfunctions.udf.CIQ(A2778, "IQ_TOTAL_DEBT_ISSUED",IQ_FY-9))</f>
        <v>0</v>
      </c>
      <c r="N2778" s="17">
        <f>IF(A2786=A2787,_xll.ciqfunctions.udf.CIQ(A2778,"IQ_TOTAL_DEBT_REPAID",IQ_FY-10), _xll.ciqfunctions.udf.CIQ(A2778, "IQ_TOTAL_DEBT_REPAID",IQ_FY-9))</f>
        <v>-13.433999999999999</v>
      </c>
      <c r="O2778" s="15">
        <f t="shared" ref="O2778:O2788" si="741">(M2778+N2778)/I2778</f>
        <v>-0.31368369830138199</v>
      </c>
      <c r="P2778" s="15">
        <f t="shared" ref="P2778:P2788" si="742">L2778+O2778</f>
        <v>2.2472959549887008</v>
      </c>
      <c r="W2778" s="43"/>
      <c r="AA2778" s="43"/>
    </row>
    <row r="2779" spans="1:27">
      <c r="A2779" s="18" t="str">
        <f>_xll.ciqfunctions.udf.CIQ(A2778,"IQ_COMPANY_NAME")</f>
        <v>Silicon Laboratories Inc.</v>
      </c>
      <c r="B2779" s="13">
        <v>2</v>
      </c>
      <c r="C2779" s="14" t="s">
        <v>17</v>
      </c>
      <c r="D2779" s="15">
        <f>IF(A2786=A2787,_xll.ciqfunctions.udf.CIQ(A2778,"IQ_TOTAL_REV",IQ_FY-9)/I2779, _xll.ciqfunctions.udf.CIQ(A2778, "IQ_TOTAL_REV",IQ_FY-8)/I2779)</f>
        <v>14.730442005339659</v>
      </c>
      <c r="E2779" s="16">
        <f t="shared" ref="E2779:E2788" si="743">(D2779-D2778)/D2778</f>
        <v>8.7516963795153752E-2</v>
      </c>
      <c r="F2779" s="15">
        <f>IF(A2786=A2787,_xll.ciqfunctions.udf.CIQ(A2778,"IQ_DILUT_EPS_EXCL",IQ_FY-9), _xll.ciqfunctions.udf.CIQ(A2778, "IQ_DILUT_EPS_EXCL",IQ_FY-8))</f>
        <v>0.87</v>
      </c>
      <c r="G2779" s="15">
        <f>IF(A2786=A2787,_xll.ciqfunctions.udf.CIQ(A2778,"IQ_EBITDA_MARGIN",IQ_FY-9), _xll.ciqfunctions.udf.CIQ(A2778, "IQ_EBITDA_MARGIN",IQ_FY-8))</f>
        <v>13.195499999999999</v>
      </c>
      <c r="H2779" s="15">
        <f>IF(A2786=A2787,_xll.ciqfunctions.udf.CIQ(A2778,"IQ_TOTAL_DIV_PAID_CF",IQ_FY-9)/-I2779, _xll.ciqfunctions.udf.CIQ(A2778, "IQ_TOTAL_DIV_PAID_CF",IQ_FY-8)/-I2779)</f>
        <v>0</v>
      </c>
      <c r="I2779" s="17">
        <f>IF(A2786=A2787,_xll.ciqfunctions.udf.CIQ(A2778,"IQ_TOTAL_OUTSTANDING_FILING_DATE",IQ_FY-9), _xll.ciqfunctions.udf.CIQ(A2778, "IQ_TOTAL_OUTSTANDING_FILING_DATE",IQ_FY-8))</f>
        <v>42.137500000000003</v>
      </c>
      <c r="J2779" s="17">
        <f>IF(A2786=A2787,_xll.ciqfunctions.udf.CIQ(A2778,"IQ_CASH_OPER",IQ_FY-9), _xll.ciqfunctions.udf.CIQ(A2778, "IQ_CASH_OPER",IQ_FY-8))</f>
        <v>137.44300000000001</v>
      </c>
      <c r="K2779" s="17">
        <f>IF(A2786=A2787,_xll.ciqfunctions.udf.CIQ(A2778,"IQ_CAPEX",IQ_FY-9), _xll.ciqfunctions.udf.CIQ(A2778, "IQ_CAPEX",IQ_FY-8))</f>
        <v>-11.225</v>
      </c>
      <c r="L2779" s="15">
        <f t="shared" si="740"/>
        <v>2.9953841590032635</v>
      </c>
      <c r="M2779" s="17">
        <f>IF(A2786=A2787,_xll.ciqfunctions.udf.CIQ(A2778,"IQ_TOTAL_DEBT_ISSUED",IQ_FY-9), _xll.ciqfunctions.udf.CIQ(A2778, "IQ_TOTAL_DEBT_ISSUED",IQ_FY-8))</f>
        <v>0</v>
      </c>
      <c r="N2779" s="17">
        <f>IF(A2786=A2787,_xll.ciqfunctions.udf.CIQ(A2778,"IQ_TOTAL_DEBT_REPAID",IQ_FY-9), _xll.ciqfunctions.udf.CIQ(A2778, "IQ_TOTAL_DEBT_REPAID",IQ_FY-8))</f>
        <v>-7.5</v>
      </c>
      <c r="O2779" s="15">
        <f t="shared" si="741"/>
        <v>-0.1779887273805992</v>
      </c>
      <c r="P2779" s="15">
        <f t="shared" si="742"/>
        <v>2.8173954316226641</v>
      </c>
      <c r="Q2779" s="25" t="s">
        <v>18</v>
      </c>
      <c r="R2779" s="39" t="s">
        <v>19</v>
      </c>
      <c r="S2779" s="1">
        <f>R2777/((AVERAGE(P2783:P2788))*(1+E2789)^3)</f>
        <v>-57.224542445198061</v>
      </c>
      <c r="U2779" s="25" t="s">
        <v>48</v>
      </c>
      <c r="V2779" s="39" t="s">
        <v>19</v>
      </c>
      <c r="W2779" s="1">
        <f>V2777/((AVERAGE(P2783:P2788))*(1+E2789)^3)</f>
        <v>-57.224542445198061</v>
      </c>
      <c r="Y2779" s="25" t="s">
        <v>39</v>
      </c>
      <c r="Z2779" s="39" t="s">
        <v>19</v>
      </c>
      <c r="AA2779" s="1">
        <f>Z2777/((AVERAGE(P2783:P2788))*(1+E2789)^3)</f>
        <v>-57.224542445198061</v>
      </c>
    </row>
    <row r="2780" spans="1:27">
      <c r="B2780" s="13">
        <v>3</v>
      </c>
      <c r="C2780" s="14" t="s">
        <v>20</v>
      </c>
      <c r="D2780" s="15" cm="1">
        <f t="array" ref="D2780">_xlfn.SINGLE(IF(A2786=A2787,_xll.ciqfunctions.udf.CIQ(A2778,"IQ_TOTAL_REV",IQ_FY-8)/I2780, _xll.ciqfunctions.udf.CIQ(A2778, "IQ_TOTAL_REV",IQ_FY-7)/I2780))</f>
        <v>15.517739275912955</v>
      </c>
      <c r="E2780" s="16">
        <f t="shared" si="743"/>
        <v>5.3446954971745411E-2</v>
      </c>
      <c r="F2780" s="15">
        <f>IF(A2786=A2787,_xll.ciqfunctions.udf.CIQ(A2778,"IQ_DILUT_EPS_EXCL",IQ_FY-8), _xll.ciqfunctions.udf.CIQ(A2778, "IQ_DILUT_EPS_EXCL",IQ_FY-7))</f>
        <v>0.69</v>
      </c>
      <c r="G2780" s="15">
        <f>IF(A2786=A2787,_xll.ciqfunctions.udf.CIQ(A2778,"IQ_EBITDA_MARGIN",IQ_FY-8), _xll.ciqfunctions.udf.CIQ(A2778, "IQ_EBITDA_MARGIN",IQ_FY-7))</f>
        <v>12.124499999999999</v>
      </c>
      <c r="H2780" s="15">
        <f>IF(A2786=A2787,_xll.ciqfunctions.udf.CIQ(A2778,"IQ_TOTAL_DIV_PAID_CF",IQ_FY-8)/-I2780, _xll.ciqfunctions.udf.CIQ(A2778, "IQ_TOTAL_DIV_PAID_CF",IQ_FY-7)/-I2780)</f>
        <v>0</v>
      </c>
      <c r="I2780" s="17">
        <f>IF(A2786=A2787,_xll.ciqfunctions.udf.CIQ(A2778,"IQ_TOTAL_OUTSTANDING_FILING_DATE",IQ_FY-8), _xll.ciqfunctions.udf.CIQ(A2778, "IQ_TOTAL_OUTSTANDING_FILING_DATE",IQ_FY-7))</f>
        <v>41.554119999999998</v>
      </c>
      <c r="J2780" s="17">
        <f>IF(A2786=A2787,_xll.ciqfunctions.udf.CIQ(A2778,"IQ_CASH_OPER",IQ_FY-8), _xll.ciqfunctions.udf.CIQ(A2778, "IQ_CASH_OPER",IQ_FY-7))</f>
        <v>105.447</v>
      </c>
      <c r="K2780" s="17">
        <f>IF(A2786=A2787,_xll.ciqfunctions.udf.CIQ(A2778,"IQ_CAPEX",IQ_FY-8), _xll.ciqfunctions.udf.CIQ(A2778, "IQ_CAPEX",IQ_FY-7))</f>
        <v>-11.268000000000001</v>
      </c>
      <c r="L2780" s="15">
        <f t="shared" si="740"/>
        <v>2.266417866627906</v>
      </c>
      <c r="M2780" s="17">
        <f>IF(A2786=A2787,_xll.ciqfunctions.udf.CIQ(A2778,"IQ_TOTAL_DEBT_ISSUED",IQ_FY-8), _xll.ciqfunctions.udf.CIQ(A2778, "IQ_TOTAL_DEBT_ISSUED",IQ_FY-7))</f>
        <v>81.238</v>
      </c>
      <c r="N2780" s="17">
        <f>IF(A2786=A2787,_xll.ciqfunctions.udf.CIQ(A2778,"IQ_TOTAL_DEBT_REPAID",IQ_FY-8), _xll.ciqfunctions.udf.CIQ(A2778, "IQ_TOTAL_DEBT_REPAID",IQ_FY-7))</f>
        <v>-94.706000000000003</v>
      </c>
      <c r="O2780" s="15">
        <f t="shared" si="741"/>
        <v>-0.32410745312378181</v>
      </c>
      <c r="P2780" s="15">
        <f t="shared" si="742"/>
        <v>1.9423104135041243</v>
      </c>
      <c r="Q2780" s="25" t="s">
        <v>21</v>
      </c>
      <c r="R2780" s="38" t="s">
        <v>49</v>
      </c>
      <c r="S2780" s="2">
        <f>(R2777*I2788)/1000</f>
        <v>3.2236962496000001</v>
      </c>
      <c r="U2780" s="25" t="s">
        <v>59</v>
      </c>
      <c r="V2780" s="38" t="s">
        <v>49</v>
      </c>
      <c r="W2780" s="2">
        <f>(V2777*I2788)/1000</f>
        <v>3.2236962496000001</v>
      </c>
      <c r="Y2780" s="25" t="s">
        <v>46</v>
      </c>
      <c r="Z2780" s="38" t="s">
        <v>49</v>
      </c>
      <c r="AA2780" s="2">
        <f>(Z2777*I2788)/1000</f>
        <v>3.2236962496000001</v>
      </c>
    </row>
    <row r="2781" spans="1:27">
      <c r="A2781" s="18"/>
      <c r="B2781" s="13">
        <v>4</v>
      </c>
      <c r="C2781" s="14" t="s">
        <v>22</v>
      </c>
      <c r="D2781" s="15" cm="1">
        <f t="array" ref="D2781">_xlfn.SINGLE(IF(A2786=A2787,_xll.ciqfunctions.udf.CIQ(A2778,"IQ_TOTAL_REV",IQ_FY-7)/I2781, _xll.ciqfunctions.udf.CIQ(A2778, "IQ_TOTAL_REV",IQ_FY-6)/I2781))</f>
        <v>16.653445781280322</v>
      </c>
      <c r="E2781" s="16">
        <f t="shared" si="743"/>
        <v>7.3187626443127582E-2</v>
      </c>
      <c r="F2781" s="15">
        <f>IF(A2786=A2787,_xll.ciqfunctions.udf.CIQ(A2778,"IQ_DILUT_EPS_EXCL",IQ_FY-7), _xll.ciqfunctions.udf.CIQ(A2778, "IQ_DILUT_EPS_EXCL",IQ_FY-6))</f>
        <v>1.45</v>
      </c>
      <c r="G2781" s="15">
        <f>IF(A2786=A2787,_xll.ciqfunctions.udf.CIQ(A2778,"IQ_EBITDA_MARGIN",IQ_FY-7), _xll.ciqfunctions.udf.CIQ(A2778, "IQ_EBITDA_MARGIN",IQ_FY-6))</f>
        <v>15.3675</v>
      </c>
      <c r="H2781" s="15">
        <f>IF(A2786=A2787,_xll.ciqfunctions.udf.CIQ(A2778,"IQ_TOTAL_DIV_PAID_CF",IQ_FY-7)/-I2781, _xll.ciqfunctions.udf.CIQ(A2778, "IQ_TOTAL_DIV_PAID_CF",IQ_FY-6)/-I2781)</f>
        <v>0</v>
      </c>
      <c r="I2781" s="17">
        <f>IF(A2786=A2787,_xll.ciqfunctions.udf.CIQ(A2778,"IQ_TOTAL_OUTSTANDING_FILING_DATE",IQ_FY-7), _xll.ciqfunctions.udf.CIQ(A2778, "IQ_TOTAL_OUTSTANDING_FILING_DATE",IQ_FY-6))</f>
        <v>41.890790000000003</v>
      </c>
      <c r="J2781" s="17">
        <f>IF(A2786=A2787,_xll.ciqfunctions.udf.CIQ(A2778,"IQ_CASH_OPER",IQ_FY-7), _xll.ciqfunctions.udf.CIQ(A2778, "IQ_CASH_OPER",IQ_FY-6))</f>
        <v>128.91</v>
      </c>
      <c r="K2781" s="17">
        <f>IF(A2786=A2787,_xll.ciqfunctions.udf.CIQ(A2778,"IQ_CAPEX",IQ_FY-7), _xll.ciqfunctions.udf.CIQ(A2778, "IQ_CAPEX",IQ_FY-6))</f>
        <v>-10.927</v>
      </c>
      <c r="L2781" s="15">
        <f t="shared" si="740"/>
        <v>2.8164424686189973</v>
      </c>
      <c r="M2781" s="17">
        <f>IF(A2786=A2787,_xll.ciqfunctions.udf.CIQ(A2778,"IQ_TOTAL_DEBT_ISSUED",IQ_FY-7), _xll.ciqfunctions.udf.CIQ(A2778, "IQ_TOTAL_DEBT_ISSUED",IQ_FY-6))</f>
        <v>0</v>
      </c>
      <c r="N2781" s="17">
        <f>IF(A2786=A2787,_xll.ciqfunctions.udf.CIQ(A2778,"IQ_TOTAL_DEBT_REPAID",IQ_FY-7), _xll.ciqfunctions.udf.CIQ(A2778, "IQ_TOTAL_DEBT_REPAID",IQ_FY-6))</f>
        <v>-5</v>
      </c>
      <c r="O2781" s="15">
        <f t="shared" si="741"/>
        <v>-0.11935797820953006</v>
      </c>
      <c r="P2781" s="15">
        <f t="shared" si="742"/>
        <v>2.6970844904094671</v>
      </c>
      <c r="Q2781" s="25" t="s">
        <v>23</v>
      </c>
      <c r="R2781" s="38" t="s">
        <v>24</v>
      </c>
      <c r="S2781" s="1" t="e">
        <f>R2777/(AVERAGE(H2783:H2788)*(1+H2789)/(0.5-H2789))</f>
        <v>#DIV/0!</v>
      </c>
      <c r="U2781" s="25" t="s">
        <v>40</v>
      </c>
      <c r="V2781" s="38" t="s">
        <v>24</v>
      </c>
      <c r="W2781" s="1" t="e">
        <f>V2777/(AVERAGE(H2783:H2788)*(1+H2789)/(0.5-H2789))</f>
        <v>#DIV/0!</v>
      </c>
      <c r="Y2781" s="25" t="s">
        <v>47</v>
      </c>
      <c r="Z2781" s="38" t="s">
        <v>24</v>
      </c>
      <c r="AA2781" s="1" t="e">
        <f>Z2777/(AVERAGE(H2783:H2788)*(1+H2789)/(0.5-H2789))</f>
        <v>#DIV/0!</v>
      </c>
    </row>
    <row r="2782" spans="1:27">
      <c r="B2782" s="13">
        <v>5</v>
      </c>
      <c r="C2782" s="14" t="s">
        <v>25</v>
      </c>
      <c r="D2782" s="15" cm="1">
        <f t="array" ref="D2782">_xlfn.SINGLE(IF(A2786=A2787,_xll.ciqfunctions.udf.CIQ(A2778,"IQ_TOTAL_REV",IQ_FY-6)/I2782, _xll.ciqfunctions.udf.CIQ(A2778, "IQ_TOTAL_REV",IQ_FY-5)/I2782))</f>
        <v>18.002643966455437</v>
      </c>
      <c r="E2782" s="16">
        <f t="shared" si="743"/>
        <v>8.1016157430416708E-2</v>
      </c>
      <c r="F2782" s="15">
        <f>IF(A2786=A2787,_xll.ciqfunctions.udf.CIQ(A2778,"IQ_DILUT_EPS_EXCL",IQ_FY-6), _xll.ciqfunctions.udf.CIQ(A2778, "IQ_DILUT_EPS_EXCL",IQ_FY-5))</f>
        <v>1.0900000000000001</v>
      </c>
      <c r="G2782" s="15">
        <f>IF(A2786=A2787,_xll.ciqfunctions.udf.CIQ(A2778,"IQ_EBITDA_MARGIN",IQ_FY-6), _xll.ciqfunctions.udf.CIQ(A2778, "IQ_EBITDA_MARGIN",IQ_FY-5))</f>
        <v>16.515899999999998</v>
      </c>
      <c r="H2782" s="15">
        <f>IF(A2786=A2787,_xll.ciqfunctions.udf.CIQ(A2778,"IQ_TOTAL_DIV_PAID_CF",IQ_FY-6)/-I2782, _xll.ciqfunctions.udf.CIQ(A2778, "IQ_TOTAL_DIV_PAID_CF",IQ_FY-5)/-I2782)</f>
        <v>0</v>
      </c>
      <c r="I2782" s="17">
        <f>IF(A2786=A2787,_xll.ciqfunctions.udf.CIQ(A2778,"IQ_TOTAL_OUTSTANDING_FILING_DATE",IQ_FY-6), _xll.ciqfunctions.udf.CIQ(A2778, "IQ_TOTAL_OUTSTANDING_FILING_DATE",IQ_FY-5))</f>
        <v>42.708559999999999</v>
      </c>
      <c r="J2782" s="17">
        <f>IF(A2786=A2787,_xll.ciqfunctions.udf.CIQ(A2778,"IQ_CASH_OPER",IQ_FY-6), _xll.ciqfunctions.udf.CIQ(A2778, "IQ_CASH_OPER",IQ_FY-5))</f>
        <v>189.52099999999999</v>
      </c>
      <c r="K2782" s="17">
        <f>IF(A2786=A2787,_xll.ciqfunctions.udf.CIQ(A2778,"IQ_CAPEX",IQ_FY-6), _xll.ciqfunctions.udf.CIQ(A2778, "IQ_CAPEX",IQ_FY-5))</f>
        <v>-12.252000000000001</v>
      </c>
      <c r="L2782" s="15">
        <f t="shared" si="740"/>
        <v>4.1506667515832891</v>
      </c>
      <c r="M2782" s="17">
        <f>IF(A2786=A2787,_xll.ciqfunctions.udf.CIQ(A2778,"IQ_TOTAL_DEBT_ISSUED",IQ_FY-6), _xll.ciqfunctions.udf.CIQ(A2778, "IQ_TOTAL_DEBT_ISSUED",IQ_FY-5))</f>
        <v>400</v>
      </c>
      <c r="N2782" s="17">
        <f>IF(A2786=A2787,_xll.ciqfunctions.udf.CIQ(A2778,"IQ_TOTAL_DEBT_REPAID",IQ_FY-6), _xll.ciqfunctions.udf.CIQ(A2778, "IQ_TOTAL_DEBT_REPAID",IQ_FY-5))</f>
        <v>-72.5</v>
      </c>
      <c r="O2782" s="15">
        <f t="shared" si="741"/>
        <v>7.668251985082148</v>
      </c>
      <c r="P2782" s="15">
        <f t="shared" si="742"/>
        <v>11.818918736665438</v>
      </c>
      <c r="Q2782" s="18"/>
      <c r="R2782" s="38" t="s">
        <v>50</v>
      </c>
      <c r="S2782" s="3">
        <f>I2789</f>
        <v>-5.9071858607775307E-2</v>
      </c>
      <c r="U2782" s="18"/>
      <c r="V2782" s="38" t="s">
        <v>50</v>
      </c>
      <c r="W2782" s="3">
        <f>I2789</f>
        <v>-5.9071858607775307E-2</v>
      </c>
      <c r="Y2782" s="18"/>
      <c r="Z2782" s="38" t="s">
        <v>50</v>
      </c>
      <c r="AA2782" s="3">
        <f>I2789</f>
        <v>-5.9071858607775307E-2</v>
      </c>
    </row>
    <row r="2783" spans="1:27">
      <c r="B2783" s="13">
        <v>6</v>
      </c>
      <c r="C2783" s="14" t="s">
        <v>26</v>
      </c>
      <c r="D2783" s="15" cm="1">
        <f t="array" ref="D2783">_xlfn.SINGLE(IF(A2786=A2787,_xll.ciqfunctions.udf.CIQ(A2778,"IQ_TOTAL_REV",IQ_FY-5)/I2783, _xll.ciqfunctions.udf.CIQ(A2778, "IQ_TOTAL_REV",IQ_FY-4)/I2783))</f>
        <v>20.150726572352518</v>
      </c>
      <c r="E2783" s="16">
        <f t="shared" si="743"/>
        <v>0.11932039593182152</v>
      </c>
      <c r="F2783" s="15">
        <f>IF(A2786=A2787,_xll.ciqfunctions.udf.CIQ(A2778,"IQ_DILUT_EPS_EXCL",IQ_FY-5), _xll.ciqfunctions.udf.CIQ(A2778, "IQ_DILUT_EPS_EXCL",IQ_FY-4))</f>
        <v>1.9</v>
      </c>
      <c r="G2783" s="15">
        <f>IF(A2786=A2787,_xll.ciqfunctions.udf.CIQ(A2778,"IQ_EBITDA_MARGIN",IQ_FY-5), _xll.ciqfunctions.udf.CIQ(A2778, "IQ_EBITDA_MARGIN",IQ_FY-4))</f>
        <v>16.7255</v>
      </c>
      <c r="H2783" s="15">
        <f>IF(A2786=A2787,_xll.ciqfunctions.udf.CIQ(A2778,"IQ_TOTAL_DIV_PAID_CF",IQ_FY-5)/-I2783, _xll.ciqfunctions.udf.CIQ(A2778, "IQ_TOTAL_DIV_PAID_CF",IQ_FY-4)/-I2783)</f>
        <v>0</v>
      </c>
      <c r="I2783" s="17">
        <f>IF(A2786=A2787,_xll.ciqfunctions.udf.CIQ(A2778,"IQ_TOTAL_OUTSTANDING_FILING_DATE",IQ_FY-5), _xll.ciqfunctions.udf.CIQ(A2778, "IQ_TOTAL_OUTSTANDING_FILING_DATE",IQ_FY-4))</f>
        <v>43.088619999999999</v>
      </c>
      <c r="J2783" s="17">
        <f>IF(A2786=A2787,_xll.ciqfunctions.udf.CIQ(A2778,"IQ_CASH_OPER",IQ_FY-5), _xll.ciqfunctions.udf.CIQ(A2778, "IQ_CASH_OPER",IQ_FY-4))</f>
        <v>173.542</v>
      </c>
      <c r="K2783" s="17">
        <f>IF(A2786=A2787,_xll.ciqfunctions.udf.CIQ(A2778,"IQ_CAPEX",IQ_FY-5), _xll.ciqfunctions.udf.CIQ(A2778, "IQ_CAPEX",IQ_FY-4))</f>
        <v>-24.462</v>
      </c>
      <c r="L2783" s="15">
        <f t="shared" si="740"/>
        <v>3.4598462424649483</v>
      </c>
      <c r="M2783" s="17">
        <f>IF(A2786=A2787,_xll.ciqfunctions.udf.CIQ(A2778,"IQ_TOTAL_DEBT_ISSUED",IQ_FY-5), _xll.ciqfunctions.udf.CIQ(A2778, "IQ_TOTAL_DEBT_ISSUED",IQ_FY-4))</f>
        <v>0</v>
      </c>
      <c r="N2783" s="17">
        <f>IF(A2786=A2787,_xll.ciqfunctions.udf.CIQ(A2778,"IQ_TOTAL_DEBT_REPAID",IQ_FY-5), _xll.ciqfunctions.udf.CIQ(A2778, "IQ_TOTAL_DEBT_REPAID",IQ_FY-4))</f>
        <v>0</v>
      </c>
      <c r="O2783" s="15">
        <f t="shared" si="741"/>
        <v>0</v>
      </c>
      <c r="P2783" s="15">
        <f t="shared" si="742"/>
        <v>3.4598462424649483</v>
      </c>
      <c r="Q2783" s="25" t="s">
        <v>27</v>
      </c>
      <c r="R2783" s="38" t="s">
        <v>51</v>
      </c>
      <c r="S2783" s="4">
        <f>AVERAGE(F2783:F2788)/AVERAGE(D2783:D2788)</f>
        <v>-6.8963615459173393E-4</v>
      </c>
      <c r="U2783" s="25" t="s">
        <v>58</v>
      </c>
      <c r="V2783" s="38" t="s">
        <v>51</v>
      </c>
      <c r="W2783" s="4">
        <f>AVERAGE(F2783:F2788)/AVERAGE(D2783:D2788)</f>
        <v>-6.8963615459173393E-4</v>
      </c>
      <c r="Y2783" s="25" t="s">
        <v>56</v>
      </c>
      <c r="Z2783" s="38" t="s">
        <v>51</v>
      </c>
      <c r="AA2783" s="4">
        <f>AVERAGE(F2783:F2788)/AVERAGE(D2783:D2788)</f>
        <v>-6.8963615459173393E-4</v>
      </c>
    </row>
    <row r="2784" spans="1:27">
      <c r="A2784" s="18"/>
      <c r="B2784" s="13">
        <v>7</v>
      </c>
      <c r="C2784" s="14" t="s">
        <v>28</v>
      </c>
      <c r="D2784" s="15" cm="1">
        <f t="array" ref="D2784">_xlfn.SINGLE(IF(A2786=A2787,_xll.ciqfunctions.udf.CIQ(A2778,"IQ_TOTAL_REV",IQ_FY-4)/I2784, _xll.ciqfunctions.udf.CIQ(A2778, "IQ_TOTAL_REV",IQ_FY-3)/I2784))</f>
        <v>10.89199980505048</v>
      </c>
      <c r="E2784" s="16">
        <f t="shared" si="743"/>
        <v>-0.45947359436683172</v>
      </c>
      <c r="F2784" s="15">
        <f>IF(A2786=A2787,_xll.ciqfunctions.udf.CIQ(A2778,"IQ_DILUT_EPS_EXCL",IQ_FY-4), _xll.ciqfunctions.udf.CIQ(A2778, "IQ_DILUT_EPS_EXCL",IQ_FY-3))</f>
        <v>-2.37</v>
      </c>
      <c r="G2784" s="15">
        <f>IF(A2786=A2787,_xll.ciqfunctions.udf.CIQ(A2778,"IQ_EBITDA_MARGIN",IQ_FY-4), _xll.ciqfunctions.udf.CIQ(A2778, "IQ_EBITDA_MARGIN",IQ_FY-3))</f>
        <v>-7.5384000000000002</v>
      </c>
      <c r="H2784" s="15">
        <f>IF(A2786=A2787,_xll.ciqfunctions.udf.CIQ(A2778,"IQ_TOTAL_DIV_PAID_CF",IQ_FY-4)/-I2784, _xll.ciqfunctions.udf.CIQ(A2778, "IQ_TOTAL_DIV_PAID_CF",IQ_FY-3)/-I2784)</f>
        <v>0</v>
      </c>
      <c r="I2784" s="17">
        <f>IF(A2786=A2787,_xll.ciqfunctions.udf.CIQ(A2778,"IQ_TOTAL_OUTSTANDING_FILING_DATE",IQ_FY-4), _xll.ciqfunctions.udf.CIQ(A2778, "IQ_TOTAL_OUTSTANDING_FILING_DATE",IQ_FY-3))</f>
        <v>43.498440000000002</v>
      </c>
      <c r="J2784" s="17">
        <f>IF(A2786=A2787,_xll.ciqfunctions.udf.CIQ(A2778,"IQ_CASH_OPER",IQ_FY-4), _xll.ciqfunctions.udf.CIQ(A2778, "IQ_CASH_OPER",IQ_FY-3))</f>
        <v>166.52199999999999</v>
      </c>
      <c r="K2784" s="17">
        <f>IF(A2786=A2787,_xll.ciqfunctions.udf.CIQ(A2778,"IQ_CAPEX",IQ_FY-4), _xll.ciqfunctions.udf.CIQ(A2778, "IQ_CAPEX",IQ_FY-3))</f>
        <v>-15.3</v>
      </c>
      <c r="L2784" s="15">
        <f t="shared" si="740"/>
        <v>3.4764924903053989</v>
      </c>
      <c r="M2784" s="17">
        <f>IF(A2786=A2787,_xll.ciqfunctions.udf.CIQ(A2778,"IQ_TOTAL_DEBT_ISSUED",IQ_FY-4), _xll.ciqfunctions.udf.CIQ(A2778, "IQ_TOTAL_DEBT_ISSUED",IQ_FY-3))</f>
        <v>0</v>
      </c>
      <c r="N2784" s="17">
        <f>IF(A2786=A2787,_xll.ciqfunctions.udf.CIQ(A2778,"IQ_TOTAL_DEBT_REPAID",IQ_FY-4), _xll.ciqfunctions.udf.CIQ(A2778, "IQ_TOTAL_DEBT_REPAID",IQ_FY-3))</f>
        <v>-1.1319999999999999</v>
      </c>
      <c r="O2784" s="15">
        <f t="shared" si="741"/>
        <v>-2.6023921777424658E-2</v>
      </c>
      <c r="P2784" s="15">
        <f t="shared" si="742"/>
        <v>3.4504685685279743</v>
      </c>
      <c r="Q2784" s="18"/>
      <c r="R2784" s="38" t="s">
        <v>29</v>
      </c>
      <c r="S2784" s="4">
        <f>(AVERAGE(P2783:P2788)/_xlfn.STDEV.P(P2783:P2788))/(IF(A2786=A2787,(_xlfn.SINGLE(_xll.ciqfunctions.udf.CIQ(A2778,"IQ_total_assets",IQ_FY)) - _xlfn.SINGLE(_xll.ciqfunctions.udf.CIQ(A2778,"iq_gw_intan", IQ_FY)))/I2788, (_xlfn.SINGLE(_xll.ciqfunctions.udf.CIQ(A2778, "IQ_total_assets",IQ_LTM))-_xlfn.SINGLE(_xll.ciqfunctions.udf.CIQ(A2778,"iq_gw_intan",IQ_LTM)))/I2788))</f>
        <v>-5.1118320433451315E-3</v>
      </c>
      <c r="U2784" s="18"/>
      <c r="V2784" s="38" t="s">
        <v>29</v>
      </c>
      <c r="W2784" s="4">
        <f>(AVERAGE(P2783:P2788)/_xlfn.STDEV.P(P2783:P2788))/(IF(A2786=A2787,(_xlfn.SINGLE(_xll.ciqfunctions.udf.CIQ(A2778,"IQ_total_assets",IQ_FY)) - _xlfn.SINGLE(_xll.ciqfunctions.udf.CIQ(A2778,"iq_gw_intan", IQ_FY)))/I2788, (_xlfn.SINGLE(_xll.ciqfunctions.udf.CIQ(A2778, "IQ_total_assets",IQ_LTM))-_xlfn.SINGLE(_xll.ciqfunctions.udf.CIQ(A2778,"iq_gw_intan",IQ_LTM)))/I2788))</f>
        <v>-5.1118320433451315E-3</v>
      </c>
      <c r="Y2784" s="18"/>
      <c r="Z2784" s="38" t="s">
        <v>29</v>
      </c>
      <c r="AA2784" s="4">
        <f>(AVERAGE(P2783:P2788)/_xlfn.STDEV.P(P2783:P2788))/(IF(A2786=A2787,(_xlfn.SINGLE(_xll.ciqfunctions.udf.CIQ(A2778,"IQ_total_assets",IQ_FY)) - _xlfn.SINGLE(_xll.ciqfunctions.udf.CIQ(A2778,"iq_gw_intan", IQ_FY)))/I2788, (_xlfn.SINGLE(_xll.ciqfunctions.udf.CIQ(A2778, "IQ_total_assets",IQ_LTM))-_xlfn.SINGLE(_xll.ciqfunctions.udf.CIQ(A2778,"iq_gw_intan",IQ_LTM)))/I2788))</f>
        <v>-5.1118320433451315E-3</v>
      </c>
    </row>
    <row r="2785" spans="1:27">
      <c r="A2785" s="18"/>
      <c r="B2785" s="13">
        <v>8</v>
      </c>
      <c r="C2785" s="14" t="s">
        <v>30</v>
      </c>
      <c r="D2785" s="15" cm="1">
        <f t="array" ref="D2785">_xlfn.SINGLE(IF(A2786=A2787,_xll.ciqfunctions.udf.CIQ(A2778,"IQ_TOTAL_REV",IQ_FY-3)/I2785, _xll.ciqfunctions.udf.CIQ(A2778, "IQ_TOTAL_REV",IQ_FY-2)/I2785))</f>
        <v>11.631784608183557</v>
      </c>
      <c r="E2785" s="16">
        <f t="shared" si="743"/>
        <v>6.7920016192990387E-2</v>
      </c>
      <c r="F2785" s="15">
        <f>IF(A2786=A2787,_xll.ciqfunctions.udf.CIQ(A2778,"IQ_DILUT_EPS_EXCL",IQ_FY-3), _xll.ciqfunctions.udf.CIQ(A2778, "IQ_DILUT_EPS_EXCL",IQ_FY-2))</f>
        <v>-2.64</v>
      </c>
      <c r="G2785" s="15">
        <f>IF(A2786=A2787,_xll.ciqfunctions.udf.CIQ(A2778,"IQ_EBITDA_MARGIN",IQ_FY-3), _xll.ciqfunctions.udf.CIQ(A2778, "IQ_EBITDA_MARGIN",IQ_FY-2))</f>
        <v>-9.4438999999999993</v>
      </c>
      <c r="H2785" s="15">
        <f>IF(A2786=A2787,_xll.ciqfunctions.udf.CIQ(A2778,"IQ_TOTAL_DIV_PAID_CF",IQ_FY-3)/-I2785, _xll.ciqfunctions.udf.CIQ(A2778, "IQ_TOTAL_DIV_PAID_CF",IQ_FY-2)/-I2785)</f>
        <v>0</v>
      </c>
      <c r="I2785" s="17">
        <f>IF(A2786=A2787,_xll.ciqfunctions.udf.CIQ(A2778,"IQ_TOTAL_OUTSTANDING_FILING_DATE",IQ_FY-3), _xll.ciqfunctions.udf.CIQ(A2778, "IQ_TOTAL_OUTSTANDING_FILING_DATE",IQ_FY-2))</f>
        <v>43.925159999999998</v>
      </c>
      <c r="J2785" s="17">
        <f>IF(A2786=A2787,_xll.ciqfunctions.udf.CIQ(A2778,"IQ_CASH_OPER",IQ_FY-3), _xll.ciqfunctions.udf.CIQ(A2778, "IQ_CASH_OPER",IQ_FY-2))</f>
        <v>135.71799999999999</v>
      </c>
      <c r="K2785" s="17">
        <f>IF(A2786=A2787,_xll.ciqfunctions.udf.CIQ(A2778,"IQ_CAPEX",IQ_FY-3), _xll.ciqfunctions.udf.CIQ(A2778, "IQ_CAPEX",IQ_FY-2))</f>
        <v>-18.088000000000001</v>
      </c>
      <c r="L2785" s="15">
        <f t="shared" si="740"/>
        <v>2.6779640643312397</v>
      </c>
      <c r="M2785" s="17">
        <f>IF(A2786=A2787,_xll.ciqfunctions.udf.CIQ(A2778,"IQ_TOTAL_DEBT_ISSUED",IQ_FY-3), _xll.ciqfunctions.udf.CIQ(A2778, "IQ_TOTAL_DEBT_ISSUED",IQ_FY-2))</f>
        <v>845</v>
      </c>
      <c r="N2785" s="17">
        <f>IF(A2786=A2787,_xll.ciqfunctions.udf.CIQ(A2778,"IQ_TOTAL_DEBT_REPAID",IQ_FY-3), _xll.ciqfunctions.udf.CIQ(A2778, "IQ_TOTAL_DEBT_REPAID",IQ_FY-2))</f>
        <v>-624.73699999999997</v>
      </c>
      <c r="O2785" s="15">
        <f t="shared" si="741"/>
        <v>5.0145064924066309</v>
      </c>
      <c r="P2785" s="15">
        <f t="shared" si="742"/>
        <v>7.6924705567378702</v>
      </c>
      <c r="Q2785" s="18"/>
      <c r="R2785" s="39" t="s">
        <v>31</v>
      </c>
      <c r="S2785" s="5">
        <f>IF(NOT(D2778&gt;0),FALSE,SLOPE(G2778:G2788,B2778:B2788))</f>
        <v>-0.90525545454545442</v>
      </c>
      <c r="U2785" s="18"/>
      <c r="V2785" s="39" t="s">
        <v>31</v>
      </c>
      <c r="W2785" s="5">
        <f>IF(NOT(D2778&gt;0),FALSE,SLOPE(G2778:G2788,B2778:B2788))</f>
        <v>-0.90525545454545442</v>
      </c>
      <c r="Y2785" s="18"/>
      <c r="Z2785" s="39" t="s">
        <v>31</v>
      </c>
      <c r="AA2785" s="5">
        <f>IF(NOT(L2778&gt;0),FALSE,SLOPE(O2778:O2788,J2778:J2788))</f>
        <v>4.5258686710350784E-2</v>
      </c>
    </row>
    <row r="2786" spans="1:27">
      <c r="A2786" s="19">
        <f>_xll.ciqfunctions.udf.CIQ(A2778,"IQ_TOTAL_REV",IQ_FY)</f>
        <v>1024.106</v>
      </c>
      <c r="B2786" s="13">
        <v>9</v>
      </c>
      <c r="C2786" s="14" t="s">
        <v>32</v>
      </c>
      <c r="D2786" s="15" cm="1">
        <f t="array" ref="D2786">_xlfn.SINGLE(IF(A2786=A2787,_xll.ciqfunctions.udf.CIQ(A2778,"IQ_TOTAL_REV",IQ_FY-2)/I2786, _xll.ciqfunctions.udf.CIQ(A2778, "IQ_TOTAL_REV",IQ_FY-1)/I2786))</f>
        <v>18.871604447652281</v>
      </c>
      <c r="E2786" s="16">
        <f t="shared" si="743"/>
        <v>0.62241694489211397</v>
      </c>
      <c r="F2786" s="15">
        <f>IF(A2786=A2787,_xll.ciqfunctions.udf.CIQ(A2778,"IQ_DILUT_EPS_EXCL",IQ_FY-2), _xll.ciqfunctions.udf.CIQ(A2778, "IQ_DILUT_EPS_EXCL",IQ_FY-1))</f>
        <v>-1.3512500000000001</v>
      </c>
      <c r="G2786" s="15">
        <f>IF(A2786=A2787,_xll.ciqfunctions.udf.CIQ(A2778,"IQ_EBITDA_MARGIN",IQ_FY-2), _xll.ciqfunctions.udf.CIQ(A2778, "IQ_EBITDA_MARGIN",IQ_FY-1))</f>
        <v>4.1224999999999996</v>
      </c>
      <c r="H2786" s="15">
        <f>IF(A2786=A2787,_xll.ciqfunctions.udf.CIQ(A2778,"IQ_TOTAL_DIV_PAID_CF",IQ_FY-2)/-I2786, _xll.ciqfunctions.udf.CIQ(A2778, "IQ_TOTAL_DIV_PAID_CF",IQ_FY-1)/-I2786)</f>
        <v>0</v>
      </c>
      <c r="I2786" s="17">
        <f>IF(A2786=A2787,_xll.ciqfunctions.udf.CIQ(A2778,"IQ_TOTAL_OUTSTANDING_FILING_DATE",IQ_FY-2), _xll.ciqfunctions.udf.CIQ(A2778, "IQ_TOTAL_OUTSTANDING_FILING_DATE",IQ_FY-1))</f>
        <v>38.198129999999999</v>
      </c>
      <c r="J2786" s="17">
        <f>IF(A2786=A2787,_xll.ciqfunctions.udf.CIQ(A2778,"IQ_CASH_OPER",IQ_FY-2), _xll.ciqfunctions.udf.CIQ(A2778, "IQ_CASH_OPER",IQ_FY-1))</f>
        <v>-100.444</v>
      </c>
      <c r="K2786" s="17">
        <f>IF(A2786=A2787,_xll.ciqfunctions.udf.CIQ(A2778,"IQ_CAPEX",IQ_FY-2), _xll.ciqfunctions.udf.CIQ(A2778, "IQ_CAPEX",IQ_FY-1))</f>
        <v>-28.577000000000002</v>
      </c>
      <c r="L2786" s="15">
        <f t="shared" si="740"/>
        <v>-3.377678436090982</v>
      </c>
      <c r="M2786" s="17">
        <f>IF(A2786=A2787,_xll.ciqfunctions.udf.CIQ(A2778,"IQ_TOTAL_DEBT_ISSUED",IQ_FY-2), _xll.ciqfunctions.udf.CIQ(A2778, "IQ_TOTAL_DEBT_ISSUED",IQ_FY-1))</f>
        <v>0</v>
      </c>
      <c r="N2786" s="17">
        <f>IF(A2786=A2787,_xll.ciqfunctions.udf.CIQ(A2778,"IQ_TOTAL_DEBT_REPAID",IQ_FY-2), _xll.ciqfunctions.udf.CIQ(A2778, "IQ_TOTAL_DEBT_REPAID",IQ_FY-1))</f>
        <v>-140.572</v>
      </c>
      <c r="O2786" s="15">
        <f t="shared" si="741"/>
        <v>-3.6800754382478935</v>
      </c>
      <c r="P2786" s="15">
        <f t="shared" si="742"/>
        <v>-7.057753874338875</v>
      </c>
      <c r="Q2786" s="25" t="s">
        <v>33</v>
      </c>
      <c r="R2786" s="38" t="s">
        <v>52</v>
      </c>
      <c r="S2786" s="4">
        <f>(AVERAGE(O2783:O2788)/AVERAGE(P2783:P2788))</f>
        <v>1.6881992262419965</v>
      </c>
      <c r="U2786" s="25" t="s">
        <v>54</v>
      </c>
      <c r="V2786" s="38" t="s">
        <v>52</v>
      </c>
      <c r="W2786" s="4">
        <f>(AVERAGE(O2783:O2788)/AVERAGE(P2783:P2788))</f>
        <v>1.6881992262419965</v>
      </c>
      <c r="Y2786" s="25" t="s">
        <v>60</v>
      </c>
      <c r="Z2786" s="38" t="s">
        <v>52</v>
      </c>
      <c r="AA2786" s="4">
        <f>(AVERAGE(O2783:O2788)/AVERAGE(P2783:P2788))</f>
        <v>1.6881992262419965</v>
      </c>
    </row>
    <row r="2787" spans="1:27">
      <c r="A2787" s="19">
        <f>_xll.ciqfunctions.udf.CIQ(A2778,"IQ_TOTAL_REV",IQ_LTM)</f>
        <v>952.73800000000006</v>
      </c>
      <c r="B2787" s="13">
        <v>10</v>
      </c>
      <c r="C2787" s="14" t="s">
        <v>34</v>
      </c>
      <c r="D2787" s="15" cm="1">
        <f t="array" ref="D2787">_xlfn.SINGLE(IF(A2786=A2787,_xll.ciqfunctions.udf.CIQ(A2778,"IQ_TOTAL_REV",IQ_FY-1)/I2787, _xll.ciqfunctions.udf.CIQ(A2778, "IQ_TOTAL_REV",IQ_FY)/I2787))</f>
        <v>32.104501876853107</v>
      </c>
      <c r="E2787" s="16">
        <f t="shared" si="743"/>
        <v>0.70120680336997321</v>
      </c>
      <c r="F2787" s="15">
        <f>IF(A2786=A2787,_xll.ciqfunctions.udf.CIQ(A2778,"IQ_DILUT_EPS_EXCL",IQ_FY-1), _xll.ciqfunctions.udf.CIQ(A2778, "IQ_DILUT_EPS_EXCL",IQ_FY))</f>
        <v>2.54</v>
      </c>
      <c r="G2787" s="15">
        <f>IF(A2786=A2787,_xll.ciqfunctions.udf.CIQ(A2778,"IQ_EBITDA_MARGIN",IQ_FY-1), _xll.ciqfunctions.udf.CIQ(A2778, "IQ_EBITDA_MARGIN",IQ_FY))</f>
        <v>17.171500000000002</v>
      </c>
      <c r="H2787" s="15">
        <f>IF(A2786=A2787,_xll.ciqfunctions.udf.CIQ(A2778,"IQ_TOTAL_DIV_PAID_CF",IQ_FY-1)/-I2787, _xll.ciqfunctions.udf.CIQ(A2778, "IQ_TOTAL_DIV_PAID_CF",IQ_FY)/-I2787)</f>
        <v>0</v>
      </c>
      <c r="I2787" s="17">
        <f>IF(A2786=A2787,_xll.ciqfunctions.udf.CIQ(A2778,"IQ_TOTAL_OUTSTANDING_FILING_DATE",IQ_FY-1), _xll.ciqfunctions.udf.CIQ(A2778, "IQ_TOTAL_OUTSTANDING_FILING_DATE",IQ_FY))</f>
        <v>31.899139999999999</v>
      </c>
      <c r="J2787" s="17">
        <f>IF(A2786=A2787,_xll.ciqfunctions.udf.CIQ(A2778,"IQ_CASH_OPER",IQ_FY-1), _xll.ciqfunctions.udf.CIQ(A2778, "IQ_CASH_OPER",IQ_FY))</f>
        <v>71.807000000000002</v>
      </c>
      <c r="K2787" s="17">
        <f>IF(A2786=A2787,_xll.ciqfunctions.udf.CIQ(A2778,"IQ_CAPEX",IQ_FY-1), _xll.ciqfunctions.udf.CIQ(A2778, "IQ_CAPEX",IQ_FY))</f>
        <v>-26.524999999999999</v>
      </c>
      <c r="L2787" s="15">
        <f t="shared" si="740"/>
        <v>1.4195367022433836</v>
      </c>
      <c r="M2787" s="17">
        <f>IF(A2786=A2787,_xll.ciqfunctions.udf.CIQ(A2778,"IQ_TOTAL_DEBT_ISSUED",IQ_FY-1), _xll.ciqfunctions.udf.CIQ(A2778, "IQ_TOTAL_DEBT_ISSUED",IQ_FY))</f>
        <v>0</v>
      </c>
      <c r="N2787" s="17">
        <f>IF(A2786=A2787,_xll.ciqfunctions.udf.CIQ(A2778,"IQ_TOTAL_DEBT_REPAID",IQ_FY-1), _xll.ciqfunctions.udf.CIQ(A2778, "IQ_TOTAL_DEBT_REPAID",IQ_FY))</f>
        <v>-2.1000000000000001E-2</v>
      </c>
      <c r="O2787" s="15">
        <f t="shared" si="741"/>
        <v>-6.5832495797692354E-4</v>
      </c>
      <c r="P2787" s="15">
        <f t="shared" si="742"/>
        <v>1.4188783772854066</v>
      </c>
      <c r="Q2787" s="25" t="s">
        <v>44</v>
      </c>
      <c r="R2787" s="38" t="s">
        <v>35</v>
      </c>
      <c r="S2787" s="1">
        <f>_xll.ciqfunctions.udf.CIQ(A2778,"IQ_TEV_EBITDA")</f>
        <v>21.945720000000001</v>
      </c>
      <c r="U2787" s="25" t="s">
        <v>55</v>
      </c>
      <c r="V2787" s="38" t="s">
        <v>53</v>
      </c>
      <c r="W2787" s="1">
        <f>V2777/(AVERAGE(D2783:D2788)/_xlfn.STDEV.P(E2783:E2788))</f>
        <v>1.9606592682879223</v>
      </c>
      <c r="Y2787" s="25" t="s">
        <v>57</v>
      </c>
      <c r="Z2787" s="38" t="s">
        <v>53</v>
      </c>
      <c r="AA2787" s="1">
        <f>Z2777/(AVERAGE(D2783:D2788)/_xlfn.STDEV.P(E2783:E2788))</f>
        <v>1.9606592682879223</v>
      </c>
    </row>
    <row r="2788" spans="1:27">
      <c r="B2788" s="13">
        <v>11</v>
      </c>
      <c r="C2788" s="20" t="s">
        <v>36</v>
      </c>
      <c r="D2788" s="21" cm="1">
        <f t="array" ref="D2788">_xlfn.SINGLE(IF(A2786=A2787,_xll.ciqfunctions.udf.CIQ(A2778,"IQ_TOTAL_REV",IQ_FY)/I2788, _xll.ciqfunctions.udf.CIQ(A2778, "IQ_TOTAL_REV",IQ_LTM)/I2788))</f>
        <v>29.97979190253794</v>
      </c>
      <c r="E2788" s="22">
        <f t="shared" si="743"/>
        <v>-6.6181060290708096E-2</v>
      </c>
      <c r="F2788" s="21">
        <f>IF(A2786=A2787,_xll.ciqfunctions.udf.CIQ(A2778,"IQ_DILUT_EPS_EXCL",IQ_FY), _xll.ciqfunctions.udf.CIQ(A2778, "IQ_DILUT_EPS_EXCL",IQ_LTM))</f>
        <v>1.83599</v>
      </c>
      <c r="G2788" s="21">
        <f>IF(A2786=A2787,_xll.ciqfunctions.udf.CIQ(A2778,"IQ_EBITDA_MARGIN",IQ_FY), _xll.ciqfunctions.udf.CIQ(A2778, "IQ_EBITDA_MARGIN",IQ_LTM))</f>
        <v>13.008699999999999</v>
      </c>
      <c r="H2788" s="21">
        <f>IF(A2786=A2787,_xll.ciqfunctions.udf.CIQ(A2778,"IQ_TOTAL_DIV_PAID_CF",IQ_FY)/-I2788, _xll.ciqfunctions.udf.CIQ(A2778, "IQ_TOTAL_DIV_PAID_CF",IQ_LTM)/-I2788)</f>
        <v>0</v>
      </c>
      <c r="I2788" s="23">
        <f>IF(A2786=A2787,_xll.ciqfunctions.udf.CIQ(A2778,"IQ_TOTAL_OUTSTANDING_FILING_DATE",IQ_FY),_xll.ciqfunctions.udf.CIQ(A2778,"IQ_sharesoutstanding"))</f>
        <v>31.779340000000001</v>
      </c>
      <c r="J2788" s="23">
        <f>IF(A2786=A2787,_xll.ciqfunctions.udf.CIQ(A2778,"IQ_CASH_OPER",IQ_FY), _xll.ciqfunctions.udf.CIQ(A2778, "IQ_CASH_OPER",IQ_LTM))</f>
        <v>-35.027000000000001</v>
      </c>
      <c r="K2788" s="23">
        <f>IF(A2786=A2787,_xll.ciqfunctions.udf.CIQ(A2778,"IQ_CAPEX",IQ_FY), _xll.ciqfunctions.udf.CIQ(A2778, "IQ_CAPEX",IQ_LTM))</f>
        <v>-25.001000000000001</v>
      </c>
      <c r="L2788" s="21">
        <f t="shared" si="740"/>
        <v>-1.8889001470766857</v>
      </c>
      <c r="M2788" s="23">
        <f>IF(A2786=A2787,_xll.ciqfunctions.udf.CIQ(A2778,"IQ_TOTAL_DEBT_ISSUED",IQ_FY), _xll.ciqfunctions.udf.CIQ(A2778, "IQ_TOTAL_DEBT_ISSUED",IQ_LTM))</f>
        <v>80</v>
      </c>
      <c r="N2788" s="23">
        <f>IF(A2786=A2787,_xll.ciqfunctions.udf.CIQ(A2778,"IQ_TOTAL_DEBT_REPAID",IQ_FY), _xll.ciqfunctions.udf.CIQ(A2778, "IQ_TOTAL_DEBT_REPAID",IQ_LTM))</f>
        <v>-571.15700000000004</v>
      </c>
      <c r="O2788" s="21">
        <f t="shared" si="741"/>
        <v>-15.45522971842713</v>
      </c>
      <c r="P2788" s="21">
        <f t="shared" si="742"/>
        <v>-17.344129865503817</v>
      </c>
      <c r="Q2788" s="25" t="s">
        <v>45</v>
      </c>
      <c r="S2788" s="45"/>
      <c r="U2788" s="25"/>
      <c r="W2788" s="45"/>
      <c r="Y2788" s="25"/>
      <c r="AA2788" s="45"/>
    </row>
    <row r="2789" spans="1:27">
      <c r="B2789" s="24"/>
      <c r="C2789" s="25" t="s">
        <v>37</v>
      </c>
      <c r="E2789" s="26">
        <f>((D2788/D2783)^(1/5))-1</f>
        <v>8.2698613894429451E-2</v>
      </c>
      <c r="F2789" s="27">
        <f>((F2788/F2783)^(1/5))-1</f>
        <v>-6.8305729808508797E-3</v>
      </c>
      <c r="G2789" s="28"/>
      <c r="H2789" s="27" t="e">
        <f>((H2788/H2783)^(1/5))-1</f>
        <v>#DIV/0!</v>
      </c>
      <c r="I2789" s="27">
        <f>((I2788/I2783)^(1/5))-1</f>
        <v>-5.9071858607775307E-2</v>
      </c>
      <c r="J2789" s="27"/>
      <c r="K2789" s="27"/>
      <c r="L2789" s="26">
        <f>((L2788/L2783)^(1/5))-1</f>
        <v>-1.885993305288145</v>
      </c>
      <c r="M2789" s="26"/>
      <c r="N2789" s="26"/>
      <c r="O2789" s="26"/>
      <c r="P2789" s="26">
        <f>((P2788/P2783)^(1/5))-1</f>
        <v>-2.3804451128069211</v>
      </c>
      <c r="Q2789" s="18"/>
      <c r="R2789" s="36"/>
      <c r="S2789" s="45"/>
      <c r="U2789" s="18"/>
      <c r="V2789" s="36"/>
      <c r="W2789" s="45"/>
      <c r="Y2789" s="18"/>
      <c r="Z2789" s="36"/>
      <c r="AA2789" s="45"/>
    </row>
    <row r="2790" spans="1:27">
      <c r="A2790" s="29"/>
      <c r="B2790" s="30"/>
      <c r="C2790" s="31" t="s">
        <v>38</v>
      </c>
      <c r="D2790" s="29"/>
      <c r="E2790" s="32">
        <f>((D2788/D2778)^(1/10))-1</f>
        <v>8.26918996661552E-2</v>
      </c>
      <c r="F2790" s="33">
        <f>((F2788/F2778)^(1/10))-1</f>
        <v>4.8809339446211464E-2</v>
      </c>
      <c r="G2790" s="34"/>
      <c r="H2790" s="33" t="e">
        <f>((H2788/H2778)^(1/10))-1</f>
        <v>#DIV/0!</v>
      </c>
      <c r="I2790" s="33">
        <f>((I2788/I2778)^(1/10))-1</f>
        <v>-2.9393606116728699E-2</v>
      </c>
      <c r="J2790" s="33"/>
      <c r="K2790" s="33"/>
      <c r="L2790" s="32" t="e">
        <f>((L2788/L2778)^(1/10))-1</f>
        <v>#NUM!</v>
      </c>
      <c r="M2790" s="32"/>
      <c r="N2790" s="32"/>
      <c r="O2790" s="32"/>
      <c r="P2790" s="32" t="e">
        <f>((P2788/P2778)^(1/10))-1</f>
        <v>#NUM!</v>
      </c>
      <c r="Q2790" s="40"/>
      <c r="R2790" s="41"/>
      <c r="S2790" s="46"/>
      <c r="U2790" s="40"/>
      <c r="V2790" s="41"/>
      <c r="W2790" s="46"/>
      <c r="Y2790" s="40"/>
      <c r="Z2790" s="41"/>
      <c r="AA2790" s="46"/>
    </row>
    <row r="2791" spans="1:27">
      <c r="B2791" s="24"/>
      <c r="C2791" s="25"/>
      <c r="E2791" s="26"/>
      <c r="F2791" s="27"/>
      <c r="G2791" s="28"/>
      <c r="H2791" s="27"/>
      <c r="I2791" s="27"/>
      <c r="J2791" s="27"/>
      <c r="K2791" s="27"/>
      <c r="L2791" s="26"/>
      <c r="M2791" s="17"/>
      <c r="N2791" s="17"/>
      <c r="O2791" s="17"/>
      <c r="P2791" s="35"/>
      <c r="Q2791" s="18"/>
      <c r="R2791" s="36"/>
    </row>
    <row r="2792" spans="1:27">
      <c r="A2792" s="9" t="s">
        <v>0</v>
      </c>
      <c r="B2792" s="10"/>
      <c r="C2792" s="9" t="s">
        <v>1</v>
      </c>
      <c r="D2792" s="9" t="s">
        <v>2</v>
      </c>
      <c r="E2792" s="9" t="s">
        <v>3</v>
      </c>
      <c r="F2792" s="11" t="s">
        <v>4</v>
      </c>
      <c r="G2792" s="11" t="s">
        <v>5</v>
      </c>
      <c r="H2792" s="9" t="s">
        <v>6</v>
      </c>
      <c r="I2792" s="11" t="s">
        <v>7</v>
      </c>
      <c r="J2792" s="11" t="s">
        <v>8</v>
      </c>
      <c r="K2792" s="11" t="s">
        <v>9</v>
      </c>
      <c r="L2792" s="11" t="s">
        <v>10</v>
      </c>
      <c r="M2792" s="11" t="s">
        <v>11</v>
      </c>
      <c r="N2792" s="11" t="s">
        <v>12</v>
      </c>
      <c r="O2792" s="11" t="s">
        <v>13</v>
      </c>
      <c r="P2792" s="11" t="s">
        <v>14</v>
      </c>
      <c r="Q2792" s="37" t="s">
        <v>15</v>
      </c>
      <c r="R2792" s="42">
        <f>_xll.ciqfunctions.udf.CIQ(A2793,("IQ_LASTSALEPRICE"))</f>
        <v>83.02</v>
      </c>
      <c r="S2792" s="44"/>
      <c r="U2792" s="37" t="s">
        <v>15</v>
      </c>
      <c r="V2792" s="42">
        <f>_xll.ciqfunctions.udf.CIQ(A2793,("IQ_LASTSALEPRICE"))</f>
        <v>83.02</v>
      </c>
      <c r="W2792" s="44"/>
      <c r="Y2792" s="37" t="s">
        <v>15</v>
      </c>
      <c r="Z2792" s="42">
        <f>_xll.ciqfunctions.udf.CIQ(A2793,("IQ_LASTSALEPRICE"))</f>
        <v>83.02</v>
      </c>
      <c r="AA2792" s="44"/>
    </row>
    <row r="2793" spans="1:27">
      <c r="A2793" s="12" t="str">
        <f>Analysis!B188</f>
        <v>NasdaqGS:PI</v>
      </c>
      <c r="B2793" s="13">
        <v>1</v>
      </c>
      <c r="C2793" s="14" t="s">
        <v>16</v>
      </c>
      <c r="D2793" s="15">
        <f>IF(A2801=A2802,_xll.ciqfunctions.udf.CIQ(A2793,"IQ_TOTAL_REV",IQ_FY-10)/I2793,_xll.ciqfunctions.udf.CIQ(A2793, "IQ_TOTAL_REV",IQ_FY-9)/I2793)</f>
        <v>17.222104975667889</v>
      </c>
      <c r="E2793" s="16"/>
      <c r="F2793" s="15">
        <f>IF(A2801=A2802,_xll.ciqfunctions.udf.CIQ(A2793,"IQ_DILUT_EPS_EXCL",IQ_FY-10), _xll.ciqfunctions.udf.CIQ(A2793, "IQ_DILUT_EPS_EXCL",IQ_FY-9))</f>
        <v>-3.5198100000000001</v>
      </c>
      <c r="G2793" s="15">
        <f>IF(A2801=A2802,_xll.ciqfunctions.udf.CIQ(A2793,"IQ_EBITDA_MARGIN",IQ_FY-10), _xll.ciqfunctions.udf.CIQ(A2793, "IQ_EBITDA_MARGIN",IQ_FY-9))</f>
        <v>6.3253000000000004</v>
      </c>
      <c r="H2793" s="15">
        <f>IF(A2801=A2802,_xll.ciqfunctions.udf.CIQ(A2793,"IQ_TOTAL_DIV_PAID_CF",IQ_FY-10)/-I2793, _xll.ciqfunctions.udf.CIQ(A2793, "IQ_TOTAL_DIV_PAID_CF",IQ_FY-9)/-I2793)</f>
        <v>0</v>
      </c>
      <c r="I2793" s="17">
        <f>IF(A2801=A2802,_xll.ciqfunctions.udf.CIQ(A2793,"IQ_TOTAL_OUTSTANDING_FILING_DATE",IQ_FY-10), _xll.ciqfunctions.udf.CIQ(A2793, "IQ_TOTAL_OUTSTANDING_FILING_DATE",IQ_FY-9))</f>
        <v>3.2220800000000001</v>
      </c>
      <c r="J2793" s="17">
        <f>IF(A2801=A2802,_xll.ciqfunctions.udf.CIQ(A2793,"IQ_CASH_OPER",IQ_FY-10), _xll.ciqfunctions.udf.CIQ(A2793, "IQ_CASH_OPER",IQ_FY-9))</f>
        <v>6.1310000000000002</v>
      </c>
      <c r="K2793" s="17">
        <f>IF(A2801=A2802,_xll.ciqfunctions.udf.CIQ(A2793,"IQ_CAPEX",IQ_FY-10), _xll.ciqfunctions.udf.CIQ(A2793, "IQ_CAPEX",IQ_FY-9))</f>
        <v>-0.94</v>
      </c>
      <c r="L2793" s="15">
        <f t="shared" ref="L2793:L2803" si="744">(J2793+K2793)/I2793</f>
        <v>1.6110711093455161</v>
      </c>
      <c r="M2793" s="17">
        <f>IF(A2801=A2802,_xll.ciqfunctions.udf.CIQ(A2793,"IQ_TOTAL_DEBT_ISSUED",IQ_FY-10), _xll.ciqfunctions.udf.CIQ(A2793, "IQ_TOTAL_DEBT_ISSUED",IQ_FY-9))</f>
        <v>0</v>
      </c>
      <c r="N2793" s="17">
        <f>IF(A2801=A2802,_xll.ciqfunctions.udf.CIQ(A2793,"IQ_TOTAL_DEBT_REPAID",IQ_FY-10), _xll.ciqfunctions.udf.CIQ(A2793, "IQ_TOTAL_DEBT_REPAID",IQ_FY-9))</f>
        <v>-1.512</v>
      </c>
      <c r="O2793" s="15">
        <f t="shared" ref="O2793:O2803" si="745">(M2793+N2793)/I2793</f>
        <v>-0.46926209156817955</v>
      </c>
      <c r="P2793" s="15">
        <f t="shared" ref="P2793:P2803" si="746">L2793+O2793</f>
        <v>1.1418090177773366</v>
      </c>
      <c r="W2793" s="43"/>
      <c r="AA2793" s="43"/>
    </row>
    <row r="2794" spans="1:27">
      <c r="A2794" s="18" t="str">
        <f>_xll.ciqfunctions.udf.CIQ(A2793,"IQ_COMPANY_NAME")</f>
        <v>Impinj, Inc.</v>
      </c>
      <c r="B2794" s="13">
        <v>2</v>
      </c>
      <c r="C2794" s="14" t="s">
        <v>17</v>
      </c>
      <c r="D2794" s="15">
        <f>IF(A2801=A2802,_xll.ciqfunctions.udf.CIQ(A2793,"IQ_TOTAL_REV",IQ_FY-9)/I2794, _xll.ciqfunctions.udf.CIQ(A2793, "IQ_TOTAL_REV",IQ_FY-8)/I2794)</f>
        <v>17.103809012875534</v>
      </c>
      <c r="E2794" s="16">
        <f t="shared" ref="E2794:E2803" si="747">(D2794-D2793)/D2793</f>
        <v>-6.868844601719091E-3</v>
      </c>
      <c r="F2794" s="15">
        <f>IF(A2801=A2802,_xll.ciqfunctions.udf.CIQ(A2793,"IQ_DILUT_EPS_EXCL",IQ_FY-9), _xll.ciqfunctions.udf.CIQ(A2793, "IQ_DILUT_EPS_EXCL",IQ_FY-8))</f>
        <v>-3.2965800000000001</v>
      </c>
      <c r="G2794" s="15">
        <f>IF(A2801=A2802,_xll.ciqfunctions.udf.CIQ(A2793,"IQ_EBITDA_MARGIN",IQ_FY-9), _xll.ciqfunctions.udf.CIQ(A2793, "IQ_EBITDA_MARGIN",IQ_FY-8))</f>
        <v>5.8700999999999999</v>
      </c>
      <c r="H2794" s="15">
        <f>IF(A2801=A2802,_xll.ciqfunctions.udf.CIQ(A2793,"IQ_TOTAL_DIV_PAID_CF",IQ_FY-9)/-I2794, _xll.ciqfunctions.udf.CIQ(A2793, "IQ_TOTAL_DIV_PAID_CF",IQ_FY-8)/-I2794)</f>
        <v>0</v>
      </c>
      <c r="I2794" s="17">
        <f>IF(A2801=A2802,_xll.ciqfunctions.udf.CIQ(A2793,"IQ_TOTAL_OUTSTANDING_FILING_DATE",IQ_FY-9), _xll.ciqfunctions.udf.CIQ(A2793, "IQ_TOTAL_OUTSTANDING_FILING_DATE",IQ_FY-8))</f>
        <v>3.7280000000000002</v>
      </c>
      <c r="J2794" s="17">
        <f>IF(A2801=A2802,_xll.ciqfunctions.udf.CIQ(A2793,"IQ_CASH_OPER",IQ_FY-9), _xll.ciqfunctions.udf.CIQ(A2793, "IQ_CASH_OPER",IQ_FY-8))</f>
        <v>-0.83199999999999996</v>
      </c>
      <c r="K2794" s="17">
        <f>IF(A2801=A2802,_xll.ciqfunctions.udf.CIQ(A2793,"IQ_CAPEX",IQ_FY-9), _xll.ciqfunctions.udf.CIQ(A2793, "IQ_CAPEX",IQ_FY-8))</f>
        <v>-1.0169999999999999</v>
      </c>
      <c r="L2794" s="15">
        <f t="shared" si="744"/>
        <v>-0.49597639484978534</v>
      </c>
      <c r="M2794" s="17">
        <f>IF(A2801=A2802,_xll.ciqfunctions.udf.CIQ(A2793,"IQ_TOTAL_DEBT_ISSUED",IQ_FY-9), _xll.ciqfunctions.udf.CIQ(A2793, "IQ_TOTAL_DEBT_ISSUED",IQ_FY-8))</f>
        <v>0</v>
      </c>
      <c r="N2794" s="17">
        <f>IF(A2801=A2802,_xll.ciqfunctions.udf.CIQ(A2793,"IQ_TOTAL_DEBT_REPAID",IQ_FY-9), _xll.ciqfunctions.udf.CIQ(A2793, "IQ_TOTAL_DEBT_REPAID",IQ_FY-8))</f>
        <v>-3.2919999999999998</v>
      </c>
      <c r="O2794" s="15">
        <f t="shared" si="745"/>
        <v>-0.8830472103004291</v>
      </c>
      <c r="P2794" s="15">
        <f t="shared" si="746"/>
        <v>-1.3790236051502145</v>
      </c>
      <c r="Q2794" s="25" t="s">
        <v>18</v>
      </c>
      <c r="R2794" s="39" t="s">
        <v>19</v>
      </c>
      <c r="S2794" s="1">
        <f>R2792/((AVERAGE(P2798:P2803))*(1+E2804)^3)</f>
        <v>313.30428534889074</v>
      </c>
      <c r="U2794" s="25" t="s">
        <v>48</v>
      </c>
      <c r="V2794" s="39" t="s">
        <v>19</v>
      </c>
      <c r="W2794" s="1">
        <f>V2792/((AVERAGE(P2798:P2803))*(1+E2804)^3)</f>
        <v>313.30428534889074</v>
      </c>
      <c r="Y2794" s="25" t="s">
        <v>39</v>
      </c>
      <c r="Z2794" s="39" t="s">
        <v>19</v>
      </c>
      <c r="AA2794" s="1">
        <f>Z2792/((AVERAGE(P2798:P2803))*(1+E2804)^3)</f>
        <v>313.30428534889074</v>
      </c>
    </row>
    <row r="2795" spans="1:27">
      <c r="B2795" s="13">
        <v>3</v>
      </c>
      <c r="C2795" s="14" t="s">
        <v>20</v>
      </c>
      <c r="D2795" s="15" cm="1">
        <f t="array" ref="D2795">_xlfn.SINGLE(IF(A2801=A2802,_xll.ciqfunctions.udf.CIQ(A2793,"IQ_TOTAL_REV",IQ_FY-8)/I2795, _xll.ciqfunctions.udf.CIQ(A2793, "IQ_TOTAL_REV",IQ_FY-7)/I2795))</f>
        <v>3.9675654469584138</v>
      </c>
      <c r="E2795" s="16">
        <f t="shared" si="747"/>
        <v>-0.76803029991906013</v>
      </c>
      <c r="F2795" s="15">
        <f>IF(A2801=A2802,_xll.ciqfunctions.udf.CIQ(A2793,"IQ_DILUT_EPS_EXCL",IQ_FY-8), _xll.ciqfunctions.udf.CIQ(A2793, "IQ_DILUT_EPS_EXCL",IQ_FY-7))</f>
        <v>-2.6717200000000001</v>
      </c>
      <c r="G2795" s="15">
        <f>IF(A2801=A2802,_xll.ciqfunctions.udf.CIQ(A2793,"IQ_EBITDA_MARGIN",IQ_FY-8), _xll.ciqfunctions.udf.CIQ(A2793, "IQ_EBITDA_MARGIN",IQ_FY-7))</f>
        <v>4.5528000000000004</v>
      </c>
      <c r="H2795" s="15">
        <f>IF(A2801=A2802,_xll.ciqfunctions.udf.CIQ(A2793,"IQ_TOTAL_DIV_PAID_CF",IQ_FY-8)/-I2795, _xll.ciqfunctions.udf.CIQ(A2793, "IQ_TOTAL_DIV_PAID_CF",IQ_FY-7)/-I2795)</f>
        <v>0</v>
      </c>
      <c r="I2795" s="17">
        <f>IF(A2801=A2802,_xll.ciqfunctions.udf.CIQ(A2793,"IQ_TOTAL_OUTSTANDING_FILING_DATE",IQ_FY-8), _xll.ciqfunctions.udf.CIQ(A2793, "IQ_TOTAL_OUTSTANDING_FILING_DATE",IQ_FY-7))</f>
        <v>19.780139999999999</v>
      </c>
      <c r="J2795" s="17">
        <f>IF(A2801=A2802,_xll.ciqfunctions.udf.CIQ(A2793,"IQ_CASH_OPER",IQ_FY-8), _xll.ciqfunctions.udf.CIQ(A2793, "IQ_CASH_OPER",IQ_FY-7))</f>
        <v>3.456</v>
      </c>
      <c r="K2795" s="17">
        <f>IF(A2801=A2802,_xll.ciqfunctions.udf.CIQ(A2793,"IQ_CAPEX",IQ_FY-8), _xll.ciqfunctions.udf.CIQ(A2793, "IQ_CAPEX",IQ_FY-7))</f>
        <v>-7.45</v>
      </c>
      <c r="L2795" s="15">
        <f t="shared" si="744"/>
        <v>-0.20191970329835887</v>
      </c>
      <c r="M2795" s="17">
        <f>IF(A2801=A2802,_xll.ciqfunctions.udf.CIQ(A2793,"IQ_TOTAL_DEBT_ISSUED",IQ_FY-8), _xll.ciqfunctions.udf.CIQ(A2793, "IQ_TOTAL_DEBT_ISSUED",IQ_FY-7))</f>
        <v>13.898999999999999</v>
      </c>
      <c r="N2795" s="17">
        <f>IF(A2801=A2802,_xll.ciqfunctions.udf.CIQ(A2793,"IQ_TOTAL_DEBT_REPAID",IQ_FY-8), _xll.ciqfunctions.udf.CIQ(A2793, "IQ_TOTAL_DEBT_REPAID",IQ_FY-7))</f>
        <v>-6.9390000000000001</v>
      </c>
      <c r="O2795" s="15">
        <f t="shared" si="745"/>
        <v>0.35186808586794632</v>
      </c>
      <c r="P2795" s="15">
        <f t="shared" si="746"/>
        <v>0.14994838256958745</v>
      </c>
      <c r="Q2795" s="25" t="s">
        <v>21</v>
      </c>
      <c r="R2795" s="38" t="s">
        <v>49</v>
      </c>
      <c r="S2795" s="2">
        <f>(R2792*I2803)/1000</f>
        <v>2.2461774971999997</v>
      </c>
      <c r="U2795" s="25" t="s">
        <v>59</v>
      </c>
      <c r="V2795" s="38" t="s">
        <v>49</v>
      </c>
      <c r="W2795" s="2">
        <f>(V2792*I2803)/1000</f>
        <v>2.2461774971999997</v>
      </c>
      <c r="Y2795" s="25" t="s">
        <v>46</v>
      </c>
      <c r="Z2795" s="38" t="s">
        <v>49</v>
      </c>
      <c r="AA2795" s="2">
        <f>(Z2792*I2803)/1000</f>
        <v>2.2461774971999997</v>
      </c>
    </row>
    <row r="2796" spans="1:27">
      <c r="A2796" s="18"/>
      <c r="B2796" s="13">
        <v>4</v>
      </c>
      <c r="C2796" s="14" t="s">
        <v>22</v>
      </c>
      <c r="D2796" s="15" cm="1">
        <f t="array" ref="D2796">_xlfn.SINGLE(IF(A2801=A2802,_xll.ciqfunctions.udf.CIQ(A2793,"IQ_TOTAL_REV",IQ_FY-7)/I2796, _xll.ciqfunctions.udf.CIQ(A2793, "IQ_TOTAL_REV",IQ_FY-6)/I2796))</f>
        <v>5.4602906300193199</v>
      </c>
      <c r="E2796" s="16">
        <f t="shared" si="747"/>
        <v>0.37623202515921905</v>
      </c>
      <c r="F2796" s="15">
        <f>IF(A2801=A2802,_xll.ciqfunctions.udf.CIQ(A2793,"IQ_DILUT_EPS_EXCL",IQ_FY-7), _xll.ciqfunctions.udf.CIQ(A2793, "IQ_DILUT_EPS_EXCL",IQ_FY-6))</f>
        <v>-0.73585</v>
      </c>
      <c r="G2796" s="15">
        <f>IF(A2801=A2802,_xll.ciqfunctions.udf.CIQ(A2793,"IQ_EBITDA_MARGIN",IQ_FY-7), _xll.ciqfunctions.udf.CIQ(A2793, "IQ_EBITDA_MARGIN",IQ_FY-6))</f>
        <v>2.1204000000000001</v>
      </c>
      <c r="H2796" s="15">
        <f>IF(A2801=A2802,_xll.ciqfunctions.udf.CIQ(A2793,"IQ_TOTAL_DIV_PAID_CF",IQ_FY-7)/-I2796, _xll.ciqfunctions.udf.CIQ(A2793, "IQ_TOTAL_DIV_PAID_CF",IQ_FY-6)/-I2796)</f>
        <v>0</v>
      </c>
      <c r="I2796" s="17">
        <f>IF(A2801=A2802,_xll.ciqfunctions.udf.CIQ(A2793,"IQ_TOTAL_OUTSTANDING_FILING_DATE",IQ_FY-7), _xll.ciqfunctions.udf.CIQ(A2793, "IQ_TOTAL_OUTSTANDING_FILING_DATE",IQ_FY-6))</f>
        <v>20.56429</v>
      </c>
      <c r="J2796" s="17">
        <f>IF(A2801=A2802,_xll.ciqfunctions.udf.CIQ(A2793,"IQ_CASH_OPER",IQ_FY-7), _xll.ciqfunctions.udf.CIQ(A2793, "IQ_CASH_OPER",IQ_FY-6))</f>
        <v>-9.4969999999999999</v>
      </c>
      <c r="K2796" s="17">
        <f>IF(A2801=A2802,_xll.ciqfunctions.udf.CIQ(A2793,"IQ_CAPEX",IQ_FY-7), _xll.ciqfunctions.udf.CIQ(A2793, "IQ_CAPEX",IQ_FY-6))</f>
        <v>-3.53</v>
      </c>
      <c r="L2796" s="15">
        <f t="shared" si="744"/>
        <v>-0.63347676968181243</v>
      </c>
      <c r="M2796" s="17">
        <f>IF(A2801=A2802,_xll.ciqfunctions.udf.CIQ(A2793,"IQ_TOTAL_DEBT_ISSUED",IQ_FY-7), _xll.ciqfunctions.udf.CIQ(A2793, "IQ_TOTAL_DEBT_ISSUED",IQ_FY-6))</f>
        <v>61.436</v>
      </c>
      <c r="N2796" s="17">
        <f>IF(A2801=A2802,_xll.ciqfunctions.udf.CIQ(A2793,"IQ_TOTAL_DEBT_REPAID",IQ_FY-7), _xll.ciqfunctions.udf.CIQ(A2793, "IQ_TOTAL_DEBT_REPAID",IQ_FY-6))</f>
        <v>-66.549000000000007</v>
      </c>
      <c r="O2796" s="15">
        <f t="shared" si="745"/>
        <v>-0.24863489087150623</v>
      </c>
      <c r="P2796" s="15">
        <f t="shared" si="746"/>
        <v>-0.88211166055331869</v>
      </c>
      <c r="Q2796" s="25" t="s">
        <v>23</v>
      </c>
      <c r="R2796" s="38" t="s">
        <v>24</v>
      </c>
      <c r="S2796" s="1" t="e">
        <f>R2792/(AVERAGE(H2798:H2803)*(1+H2804)/(0.5-H2804))</f>
        <v>#DIV/0!</v>
      </c>
      <c r="U2796" s="25" t="s">
        <v>40</v>
      </c>
      <c r="V2796" s="38" t="s">
        <v>24</v>
      </c>
      <c r="W2796" s="1" t="e">
        <f>V2792/(AVERAGE(H2798:H2803)*(1+H2804)/(0.5-H2804))</f>
        <v>#DIV/0!</v>
      </c>
      <c r="Y2796" s="25" t="s">
        <v>47</v>
      </c>
      <c r="Z2796" s="38" t="s">
        <v>24</v>
      </c>
      <c r="AA2796" s="1" t="e">
        <f>Z2792/(AVERAGE(H2798:H2803)*(1+H2804)/(0.5-H2804))</f>
        <v>#DIV/0!</v>
      </c>
    </row>
    <row r="2797" spans="1:27">
      <c r="B2797" s="13">
        <v>5</v>
      </c>
      <c r="C2797" s="14" t="s">
        <v>25</v>
      </c>
      <c r="D2797" s="15" cm="1">
        <f t="array" ref="D2797">_xlfn.SINGLE(IF(A2801=A2802,_xll.ciqfunctions.udf.CIQ(A2793,"IQ_TOTAL_REV",IQ_FY-6)/I2797, _xll.ciqfunctions.udf.CIQ(A2793, "IQ_TOTAL_REV",IQ_FY-5)/I2797))</f>
        <v>5.8777199700344172</v>
      </c>
      <c r="E2797" s="16">
        <f t="shared" si="747"/>
        <v>7.644819081976599E-2</v>
      </c>
      <c r="F2797" s="15">
        <f>IF(A2801=A2802,_xll.ciqfunctions.udf.CIQ(A2793,"IQ_DILUT_EPS_EXCL",IQ_FY-6), _xll.ciqfunctions.udf.CIQ(A2793, "IQ_DILUT_EPS_EXCL",IQ_FY-5))</f>
        <v>-0.83762000000000003</v>
      </c>
      <c r="G2797" s="15">
        <f>IF(A2801=A2802,_xll.ciqfunctions.udf.CIQ(A2793,"IQ_EBITDA_MARGIN",IQ_FY-6), _xll.ciqfunctions.udf.CIQ(A2793, "IQ_EBITDA_MARGIN",IQ_FY-5))</f>
        <v>-10.430099999999999</v>
      </c>
      <c r="H2797" s="15">
        <f>IF(A2801=A2802,_xll.ciqfunctions.udf.CIQ(A2793,"IQ_TOTAL_DIV_PAID_CF",IQ_FY-6)/-I2797, _xll.ciqfunctions.udf.CIQ(A2793, "IQ_TOTAL_DIV_PAID_CF",IQ_FY-5)/-I2797)</f>
        <v>0</v>
      </c>
      <c r="I2797" s="17">
        <f>IF(A2801=A2802,_xll.ciqfunctions.udf.CIQ(A2793,"IQ_TOTAL_OUTSTANDING_FILING_DATE",IQ_FY-6), _xll.ciqfunctions.udf.CIQ(A2793, "IQ_TOTAL_OUTSTANDING_FILING_DATE",IQ_FY-5))</f>
        <v>21.317789999999999</v>
      </c>
      <c r="J2797" s="17">
        <f>IF(A2801=A2802,_xll.ciqfunctions.udf.CIQ(A2793,"IQ_CASH_OPER",IQ_FY-6), _xll.ciqfunctions.udf.CIQ(A2793, "IQ_CASH_OPER",IQ_FY-5))</f>
        <v>-35.886000000000003</v>
      </c>
      <c r="K2797" s="17">
        <f>IF(A2801=A2802,_xll.ciqfunctions.udf.CIQ(A2793,"IQ_CAPEX",IQ_FY-6), _xll.ciqfunctions.udf.CIQ(A2793, "IQ_CAPEX",IQ_FY-5))</f>
        <v>-6.5519999999999996</v>
      </c>
      <c r="L2797" s="15">
        <f t="shared" si="744"/>
        <v>-1.9907316846633729</v>
      </c>
      <c r="M2797" s="17">
        <f>IF(A2801=A2802,_xll.ciqfunctions.udf.CIQ(A2793,"IQ_TOTAL_DEBT_ISSUED",IQ_FY-6), _xll.ciqfunctions.udf.CIQ(A2793, "IQ_TOTAL_DEBT_ISSUED",IQ_FY-5))</f>
        <v>0</v>
      </c>
      <c r="N2797" s="17">
        <f>IF(A2801=A2802,_xll.ciqfunctions.udf.CIQ(A2793,"IQ_TOTAL_DEBT_REPAID",IQ_FY-6), _xll.ciqfunctions.udf.CIQ(A2793, "IQ_TOTAL_DEBT_REPAID",IQ_FY-5))</f>
        <v>-3.919</v>
      </c>
      <c r="O2797" s="15">
        <f t="shared" si="745"/>
        <v>-0.18383706753842685</v>
      </c>
      <c r="P2797" s="15">
        <f t="shared" si="746"/>
        <v>-2.1745687522017998</v>
      </c>
      <c r="Q2797" s="18"/>
      <c r="R2797" s="38" t="s">
        <v>50</v>
      </c>
      <c r="S2797" s="3">
        <f>I2804</f>
        <v>4.7099448042812408E-2</v>
      </c>
      <c r="U2797" s="18"/>
      <c r="V2797" s="38" t="s">
        <v>50</v>
      </c>
      <c r="W2797" s="3">
        <f>I2804</f>
        <v>4.7099448042812408E-2</v>
      </c>
      <c r="Y2797" s="18"/>
      <c r="Z2797" s="38" t="s">
        <v>50</v>
      </c>
      <c r="AA2797" s="3">
        <f>I2804</f>
        <v>4.7099448042812408E-2</v>
      </c>
    </row>
    <row r="2798" spans="1:27">
      <c r="B2798" s="13">
        <v>6</v>
      </c>
      <c r="C2798" s="14" t="s">
        <v>26</v>
      </c>
      <c r="D2798" s="15" cm="1">
        <f t="array" ref="D2798">_xlfn.SINGLE(IF(A2801=A2802,_xll.ciqfunctions.udf.CIQ(A2793,"IQ_TOTAL_REV",IQ_FY-5)/I2798, _xll.ciqfunctions.udf.CIQ(A2793, "IQ_TOTAL_REV",IQ_FY-4)/I2798))</f>
        <v>5.7053942873944719</v>
      </c>
      <c r="E2798" s="16">
        <f t="shared" si="747"/>
        <v>-2.931845741520351E-2</v>
      </c>
      <c r="F2798" s="15">
        <f>IF(A2801=A2802,_xll.ciqfunctions.udf.CIQ(A2793,"IQ_DILUT_EPS_EXCL",IQ_FY-5), _xll.ciqfunctions.udf.CIQ(A2793, "IQ_DILUT_EPS_EXCL",IQ_FY-4))</f>
        <v>-1.6514</v>
      </c>
      <c r="G2798" s="15">
        <f>IF(A2801=A2802,_xll.ciqfunctions.udf.CIQ(A2793,"IQ_EBITDA_MARGIN",IQ_FY-5), _xll.ciqfunctions.udf.CIQ(A2793, "IQ_EBITDA_MARGIN",IQ_FY-4))</f>
        <v>-21.679300000000001</v>
      </c>
      <c r="H2798" s="15">
        <f>IF(A2801=A2802,_xll.ciqfunctions.udf.CIQ(A2793,"IQ_TOTAL_DIV_PAID_CF",IQ_FY-5)/-I2798, _xll.ciqfunctions.udf.CIQ(A2793, "IQ_TOTAL_DIV_PAID_CF",IQ_FY-4)/-I2798)</f>
        <v>0</v>
      </c>
      <c r="I2798" s="17">
        <f>IF(A2801=A2802,_xll.ciqfunctions.udf.CIQ(A2793,"IQ_TOTAL_OUTSTANDING_FILING_DATE",IQ_FY-5), _xll.ciqfunctions.udf.CIQ(A2793, "IQ_TOTAL_OUTSTANDING_FILING_DATE",IQ_FY-4))</f>
        <v>21.494219999999999</v>
      </c>
      <c r="J2798" s="17">
        <f>IF(A2801=A2802,_xll.ciqfunctions.udf.CIQ(A2793,"IQ_CASH_OPER",IQ_FY-5), _xll.ciqfunctions.udf.CIQ(A2793, "IQ_CASH_OPER",IQ_FY-4))</f>
        <v>-11.776999999999999</v>
      </c>
      <c r="K2798" s="17">
        <f>IF(A2801=A2802,_xll.ciqfunctions.udf.CIQ(A2793,"IQ_CAPEX",IQ_FY-5), _xll.ciqfunctions.udf.CIQ(A2793, "IQ_CAPEX",IQ_FY-4))</f>
        <v>-6.367</v>
      </c>
      <c r="L2798" s="15">
        <f t="shared" si="744"/>
        <v>-0.84413391134919058</v>
      </c>
      <c r="M2798" s="17">
        <f>IF(A2801=A2802,_xll.ciqfunctions.udf.CIQ(A2793,"IQ_TOTAL_DEBT_ISSUED",IQ_FY-5), _xll.ciqfunctions.udf.CIQ(A2793, "IQ_TOTAL_DEBT_ISSUED",IQ_FY-4))</f>
        <v>16.350000000000001</v>
      </c>
      <c r="N2798" s="17">
        <f>IF(A2801=A2802,_xll.ciqfunctions.udf.CIQ(A2793,"IQ_TOTAL_DEBT_REPAID",IQ_FY-5), _xll.ciqfunctions.udf.CIQ(A2793, "IQ_TOTAL_DEBT_REPAID",IQ_FY-4))</f>
        <v>-3.351</v>
      </c>
      <c r="O2798" s="15">
        <f t="shared" si="745"/>
        <v>0.60476723509855224</v>
      </c>
      <c r="P2798" s="15">
        <f t="shared" si="746"/>
        <v>-0.23936667625063834</v>
      </c>
      <c r="Q2798" s="25" t="s">
        <v>27</v>
      </c>
      <c r="R2798" s="38" t="s">
        <v>51</v>
      </c>
      <c r="S2798" s="4">
        <f>AVERAGE(F2798:F2803)/AVERAGE(D2798:D2803)</f>
        <v>-0.19157641187950888</v>
      </c>
      <c r="U2798" s="25" t="s">
        <v>58</v>
      </c>
      <c r="V2798" s="38" t="s">
        <v>51</v>
      </c>
      <c r="W2798" s="4">
        <f>AVERAGE(F2798:F2803)/AVERAGE(D2798:D2803)</f>
        <v>-0.19157641187950888</v>
      </c>
      <c r="Y2798" s="25" t="s">
        <v>56</v>
      </c>
      <c r="Z2798" s="38" t="s">
        <v>51</v>
      </c>
      <c r="AA2798" s="4">
        <f>AVERAGE(F2798:F2803)/AVERAGE(D2798:D2803)</f>
        <v>-0.19157641187950888</v>
      </c>
    </row>
    <row r="2799" spans="1:27">
      <c r="A2799" s="18"/>
      <c r="B2799" s="13">
        <v>7</v>
      </c>
      <c r="C2799" s="14" t="s">
        <v>28</v>
      </c>
      <c r="D2799" s="15" cm="1">
        <f t="array" ref="D2799">_xlfn.SINGLE(IF(A2801=A2802,_xll.ciqfunctions.udf.CIQ(A2793,"IQ_TOTAL_REV",IQ_FY-4)/I2799, _xll.ciqfunctions.udf.CIQ(A2793, "IQ_TOTAL_REV",IQ_FY-3)/I2799))</f>
        <v>6.8597445347042418</v>
      </c>
      <c r="E2799" s="16">
        <f t="shared" si="747"/>
        <v>0.20232611265100425</v>
      </c>
      <c r="F2799" s="15">
        <f>IF(A2801=A2802,_xll.ciqfunctions.udf.CIQ(A2793,"IQ_DILUT_EPS_EXCL",IQ_FY-4), _xll.ciqfunctions.udf.CIQ(A2793, "IQ_DILUT_EPS_EXCL",IQ_FY-3))</f>
        <v>-1.0521799999999999</v>
      </c>
      <c r="G2799" s="15">
        <f>IF(A2801=A2802,_xll.ciqfunctions.udf.CIQ(A2793,"IQ_EBITDA_MARGIN",IQ_FY-4), _xll.ciqfunctions.udf.CIQ(A2793, "IQ_EBITDA_MARGIN",IQ_FY-3))</f>
        <v>-11.0261</v>
      </c>
      <c r="H2799" s="15">
        <f>IF(A2801=A2802,_xll.ciqfunctions.udf.CIQ(A2793,"IQ_TOTAL_DIV_PAID_CF",IQ_FY-4)/-I2799, _xll.ciqfunctions.udf.CIQ(A2793, "IQ_TOTAL_DIV_PAID_CF",IQ_FY-3)/-I2799)</f>
        <v>0</v>
      </c>
      <c r="I2799" s="17">
        <f>IF(A2801=A2802,_xll.ciqfunctions.udf.CIQ(A2793,"IQ_TOTAL_OUTSTANDING_FILING_DATE",IQ_FY-4), _xll.ciqfunctions.udf.CIQ(A2793, "IQ_TOTAL_OUTSTANDING_FILING_DATE",IQ_FY-3))</f>
        <v>22.28013</v>
      </c>
      <c r="J2799" s="17">
        <f>IF(A2801=A2802,_xll.ciqfunctions.udf.CIQ(A2793,"IQ_CASH_OPER",IQ_FY-4), _xll.ciqfunctions.udf.CIQ(A2793, "IQ_CASH_OPER",IQ_FY-3))</f>
        <v>4.7080000000000002</v>
      </c>
      <c r="K2799" s="17">
        <f>IF(A2801=A2802,_xll.ciqfunctions.udf.CIQ(A2793,"IQ_CAPEX",IQ_FY-4), _xll.ciqfunctions.udf.CIQ(A2793, "IQ_CAPEX",IQ_FY-3))</f>
        <v>-2.4289999999999998</v>
      </c>
      <c r="L2799" s="15">
        <f t="shared" si="744"/>
        <v>0.10228845163829836</v>
      </c>
      <c r="M2799" s="17">
        <f>IF(A2801=A2802,_xll.ciqfunctions.udf.CIQ(A2793,"IQ_TOTAL_DEBT_ISSUED",IQ_FY-4), _xll.ciqfunctions.udf.CIQ(A2793, "IQ_TOTAL_DEBT_ISSUED",IQ_FY-3))</f>
        <v>87.465999999999994</v>
      </c>
      <c r="N2799" s="17">
        <f>IF(A2801=A2802,_xll.ciqfunctions.udf.CIQ(A2793,"IQ_TOTAL_DEBT_REPAID",IQ_FY-4), _xll.ciqfunctions.udf.CIQ(A2793, "IQ_TOTAL_DEBT_REPAID",IQ_FY-3))</f>
        <v>-28.713999999999999</v>
      </c>
      <c r="O2799" s="15">
        <f t="shared" si="745"/>
        <v>2.6369684557495847</v>
      </c>
      <c r="P2799" s="15">
        <f t="shared" si="746"/>
        <v>2.7392569073878832</v>
      </c>
      <c r="Q2799" s="18"/>
      <c r="R2799" s="38" t="s">
        <v>29</v>
      </c>
      <c r="S2799" s="4">
        <f>(AVERAGE(P2798:P2803)/_xlfn.STDEV.P(P2798:P2803))/(IF(A2801=A2802,(_xlfn.SINGLE(_xll.ciqfunctions.udf.CIQ(A2793,"IQ_total_assets",IQ_FY)) - _xlfn.SINGLE(_xll.ciqfunctions.udf.CIQ(A2793,"iq_gw_intan", IQ_FY)))/I2803, (_xlfn.SINGLE(_xll.ciqfunctions.udf.CIQ(A2793, "IQ_total_assets",IQ_LTM))-_xlfn.SINGLE(_xll.ciqfunctions.udf.CIQ(A2793,"iq_gw_intan",IQ_LTM)))/I2803))</f>
        <v>6.3888931468783702E-3</v>
      </c>
      <c r="U2799" s="18"/>
      <c r="V2799" s="38" t="s">
        <v>29</v>
      </c>
      <c r="W2799" s="4">
        <f>(AVERAGE(P2798:P2803)/_xlfn.STDEV.P(P2798:P2803))/(IF(A2801=A2802,(_xlfn.SINGLE(_xll.ciqfunctions.udf.CIQ(A2793,"IQ_total_assets",IQ_FY)) - _xlfn.SINGLE(_xll.ciqfunctions.udf.CIQ(A2793,"iq_gw_intan", IQ_FY)))/I2803, (_xlfn.SINGLE(_xll.ciqfunctions.udf.CIQ(A2793, "IQ_total_assets",IQ_LTM))-_xlfn.SINGLE(_xll.ciqfunctions.udf.CIQ(A2793,"iq_gw_intan",IQ_LTM)))/I2803))</f>
        <v>6.3888931468783702E-3</v>
      </c>
      <c r="Y2799" s="18"/>
      <c r="Z2799" s="38" t="s">
        <v>29</v>
      </c>
      <c r="AA2799" s="4">
        <f>(AVERAGE(P2798:P2803)/_xlfn.STDEV.P(P2798:P2803))/(IF(A2801=A2802,(_xlfn.SINGLE(_xll.ciqfunctions.udf.CIQ(A2793,"IQ_total_assets",IQ_FY)) - _xlfn.SINGLE(_xll.ciqfunctions.udf.CIQ(A2793,"iq_gw_intan", IQ_FY)))/I2803, (_xlfn.SINGLE(_xll.ciqfunctions.udf.CIQ(A2793, "IQ_total_assets",IQ_LTM))-_xlfn.SINGLE(_xll.ciqfunctions.udf.CIQ(A2793,"iq_gw_intan",IQ_LTM)))/I2803))</f>
        <v>6.3888931468783702E-3</v>
      </c>
    </row>
    <row r="2800" spans="1:27">
      <c r="A2800" s="18"/>
      <c r="B2800" s="13">
        <v>8</v>
      </c>
      <c r="C2800" s="14" t="s">
        <v>30</v>
      </c>
      <c r="D2800" s="15" cm="1">
        <f t="array" ref="D2800">_xlfn.SINGLE(IF(A2801=A2802,_xll.ciqfunctions.udf.CIQ(A2793,"IQ_TOTAL_REV",IQ_FY-3)/I2800, _xll.ciqfunctions.udf.CIQ(A2793, "IQ_TOTAL_REV",IQ_FY-2)/I2800))</f>
        <v>5.936055889673443</v>
      </c>
      <c r="E2800" s="16">
        <f t="shared" si="747"/>
        <v>-0.13465350500412238</v>
      </c>
      <c r="F2800" s="15">
        <f>IF(A2801=A2802,_xll.ciqfunctions.udf.CIQ(A2793,"IQ_DILUT_EPS_EXCL",IQ_FY-3), _xll.ciqfunctions.udf.CIQ(A2793, "IQ_DILUT_EPS_EXCL",IQ_FY-2))</f>
        <v>-2.2754300000000001</v>
      </c>
      <c r="G2800" s="15">
        <f>IF(A2801=A2802,_xll.ciqfunctions.udf.CIQ(A2793,"IQ_EBITDA_MARGIN",IQ_FY-3), _xll.ciqfunctions.udf.CIQ(A2793, "IQ_EBITDA_MARGIN",IQ_FY-2))</f>
        <v>-26.783100000000001</v>
      </c>
      <c r="H2800" s="15">
        <f>IF(A2801=A2802,_xll.ciqfunctions.udf.CIQ(A2793,"IQ_TOTAL_DIV_PAID_CF",IQ_FY-3)/-I2800, _xll.ciqfunctions.udf.CIQ(A2793, "IQ_TOTAL_DIV_PAID_CF",IQ_FY-2)/-I2800)</f>
        <v>0</v>
      </c>
      <c r="I2800" s="17">
        <f>IF(A2801=A2802,_xll.ciqfunctions.udf.CIQ(A2793,"IQ_TOTAL_OUTSTANDING_FILING_DATE",IQ_FY-3), _xll.ciqfunctions.udf.CIQ(A2793, "IQ_TOTAL_OUTSTANDING_FILING_DATE",IQ_FY-2))</f>
        <v>23.40325</v>
      </c>
      <c r="J2800" s="17">
        <f>IF(A2801=A2802,_xll.ciqfunctions.udf.CIQ(A2793,"IQ_CASH_OPER",IQ_FY-3), _xll.ciqfunctions.udf.CIQ(A2793, "IQ_CASH_OPER",IQ_FY-2))</f>
        <v>-16.876999999999999</v>
      </c>
      <c r="K2800" s="17">
        <f>IF(A2801=A2802,_xll.ciqfunctions.udf.CIQ(A2793,"IQ_CAPEX",IQ_FY-3), _xll.ciqfunctions.udf.CIQ(A2793, "IQ_CAPEX",IQ_FY-2))</f>
        <v>-3.0739999999999998</v>
      </c>
      <c r="L2800" s="15">
        <f t="shared" si="744"/>
        <v>-0.85248843643511052</v>
      </c>
      <c r="M2800" s="17">
        <f>IF(A2801=A2802,_xll.ciqfunctions.udf.CIQ(A2793,"IQ_TOTAL_DEBT_ISSUED",IQ_FY-3), _xll.ciqfunctions.udf.CIQ(A2793, "IQ_TOTAL_DEBT_ISSUED",IQ_FY-2))</f>
        <v>0</v>
      </c>
      <c r="N2800" s="17">
        <f>IF(A2801=A2802,_xll.ciqfunctions.udf.CIQ(A2793,"IQ_TOTAL_DEBT_REPAID",IQ_FY-3), _xll.ciqfunctions.udf.CIQ(A2793, "IQ_TOTAL_DEBT_REPAID",IQ_FY-2))</f>
        <v>-0.25700000000000001</v>
      </c>
      <c r="O2800" s="15">
        <f t="shared" si="745"/>
        <v>-1.0981380791129437E-2</v>
      </c>
      <c r="P2800" s="15">
        <f t="shared" si="746"/>
        <v>-0.86346981722623994</v>
      </c>
      <c r="Q2800" s="18"/>
      <c r="R2800" s="39" t="s">
        <v>31</v>
      </c>
      <c r="S2800" s="5">
        <f>IF(NOT(D2793&gt;0),FALSE,SLOPE(G2793:G2803,B2793:B2803))</f>
        <v>-2.0303154545454549</v>
      </c>
      <c r="U2800" s="18"/>
      <c r="V2800" s="39" t="s">
        <v>31</v>
      </c>
      <c r="W2800" s="5">
        <f>IF(NOT(D2793&gt;0),FALSE,SLOPE(G2793:G2803,B2793:B2803))</f>
        <v>-2.0303154545454549</v>
      </c>
      <c r="Y2800" s="18"/>
      <c r="Z2800" s="39" t="s">
        <v>31</v>
      </c>
      <c r="AA2800" s="5">
        <f>IF(NOT(L2793&gt;0),FALSE,SLOPE(O2793:O2803,J2793:J2803))</f>
        <v>2.1601408172445401E-2</v>
      </c>
    </row>
    <row r="2801" spans="1:27">
      <c r="A2801" s="19">
        <f>_xll.ciqfunctions.udf.CIQ(A2793,"IQ_TOTAL_REV",IQ_FY)</f>
        <v>257.8</v>
      </c>
      <c r="B2801" s="13">
        <v>9</v>
      </c>
      <c r="C2801" s="14" t="s">
        <v>32</v>
      </c>
      <c r="D2801" s="15" cm="1">
        <f t="array" ref="D2801">_xlfn.SINGLE(IF(A2801=A2802,_xll.ciqfunctions.udf.CIQ(A2793,"IQ_TOTAL_REV",IQ_FY-2)/I2801, _xll.ciqfunctions.udf.CIQ(A2793, "IQ_TOTAL_REV",IQ_FY-1)/I2801))</f>
        <v>7.6836446099848654</v>
      </c>
      <c r="E2801" s="16">
        <f t="shared" si="747"/>
        <v>0.29440233596041188</v>
      </c>
      <c r="F2801" s="15">
        <f>IF(A2801=A2802,_xll.ciqfunctions.udf.CIQ(A2793,"IQ_DILUT_EPS_EXCL",IQ_FY-2), _xll.ciqfunctions.udf.CIQ(A2793, "IQ_DILUT_EPS_EXCL",IQ_FY-1))</f>
        <v>-2.1202800000000002</v>
      </c>
      <c r="G2801" s="15">
        <f>IF(A2801=A2802,_xll.ciqfunctions.udf.CIQ(A2793,"IQ_EBITDA_MARGIN",IQ_FY-2), _xll.ciqfunctions.udf.CIQ(A2793, "IQ_EBITDA_MARGIN",IQ_FY-1))</f>
        <v>-16.252600000000001</v>
      </c>
      <c r="H2801" s="15">
        <f>IF(A2801=A2802,_xll.ciqfunctions.udf.CIQ(A2793,"IQ_TOTAL_DIV_PAID_CF",IQ_FY-2)/-I2801, _xll.ciqfunctions.udf.CIQ(A2793, "IQ_TOTAL_DIV_PAID_CF",IQ_FY-1)/-I2801)</f>
        <v>0</v>
      </c>
      <c r="I2801" s="17">
        <f>IF(A2801=A2802,_xll.ciqfunctions.udf.CIQ(A2793,"IQ_TOTAL_OUTSTANDING_FILING_DATE",IQ_FY-2), _xll.ciqfunctions.udf.CIQ(A2793, "IQ_TOTAL_OUTSTANDING_FILING_DATE",IQ_FY-1))</f>
        <v>24.764679999999998</v>
      </c>
      <c r="J2801" s="17">
        <f>IF(A2801=A2802,_xll.ciqfunctions.udf.CIQ(A2793,"IQ_CASH_OPER",IQ_FY-2), _xll.ciqfunctions.udf.CIQ(A2793, "IQ_CASH_OPER",IQ_FY-1))</f>
        <v>6.4649999999999999</v>
      </c>
      <c r="K2801" s="17">
        <f>IF(A2801=A2802,_xll.ciqfunctions.udf.CIQ(A2793,"IQ_CAPEX",IQ_FY-2), _xll.ciqfunctions.udf.CIQ(A2793, "IQ_CAPEX",IQ_FY-1))</f>
        <v>-16.23</v>
      </c>
      <c r="L2801" s="15">
        <f t="shared" si="744"/>
        <v>-0.39431157600259731</v>
      </c>
      <c r="M2801" s="17">
        <f>IF(A2801=A2802,_xll.ciqfunctions.udf.CIQ(A2793,"IQ_TOTAL_DEBT_ISSUED",IQ_FY-2), _xll.ciqfunctions.udf.CIQ(A2793, "IQ_TOTAL_DEBT_ISSUED",IQ_FY-1))</f>
        <v>278.42200000000003</v>
      </c>
      <c r="N2801" s="17">
        <f>IF(A2801=A2802,_xll.ciqfunctions.udf.CIQ(A2793,"IQ_TOTAL_DEBT_REPAID",IQ_FY-2), _xll.ciqfunctions.udf.CIQ(A2793, "IQ_TOTAL_DEBT_REPAID",IQ_FY-1))</f>
        <v>-183.626</v>
      </c>
      <c r="O2801" s="15">
        <f t="shared" si="745"/>
        <v>3.8278709839981793</v>
      </c>
      <c r="P2801" s="15">
        <f t="shared" si="746"/>
        <v>3.433559407995582</v>
      </c>
      <c r="Q2801" s="25" t="s">
        <v>33</v>
      </c>
      <c r="R2801" s="38" t="s">
        <v>52</v>
      </c>
      <c r="S2801" s="4">
        <f>(AVERAGE(O2798:O2803)/AVERAGE(P2798:P2803))</f>
        <v>6.1451868335041748</v>
      </c>
      <c r="U2801" s="25" t="s">
        <v>54</v>
      </c>
      <c r="V2801" s="38" t="s">
        <v>52</v>
      </c>
      <c r="W2801" s="4">
        <f>(AVERAGE(O2798:O2803)/AVERAGE(P2798:P2803))</f>
        <v>6.1451868335041748</v>
      </c>
      <c r="Y2801" s="25" t="s">
        <v>60</v>
      </c>
      <c r="Z2801" s="38" t="s">
        <v>52</v>
      </c>
      <c r="AA2801" s="4">
        <f>(AVERAGE(O2798:O2803)/AVERAGE(P2798:P2803))</f>
        <v>6.1451868335041748</v>
      </c>
    </row>
    <row r="2802" spans="1:27">
      <c r="A2802" s="19">
        <f>_xll.ciqfunctions.udf.CIQ(A2793,"IQ_TOTAL_REV",IQ_LTM)</f>
        <v>313.47800000000001</v>
      </c>
      <c r="B2802" s="13">
        <v>10</v>
      </c>
      <c r="C2802" s="14" t="s">
        <v>34</v>
      </c>
      <c r="D2802" s="15" cm="1">
        <f t="array" ref="D2802">_xlfn.SINGLE(IF(A2801=A2802,_xll.ciqfunctions.udf.CIQ(A2793,"IQ_TOTAL_REV",IQ_FY-1)/I2802, _xll.ciqfunctions.udf.CIQ(A2793, "IQ_TOTAL_REV",IQ_FY)/I2802))</f>
        <v>9.855836409937039</v>
      </c>
      <c r="E2802" s="16">
        <f t="shared" si="747"/>
        <v>0.28270331466520704</v>
      </c>
      <c r="F2802" s="15">
        <f>IF(A2801=A2802,_xll.ciqfunctions.udf.CIQ(A2793,"IQ_DILUT_EPS_EXCL",IQ_FY-1), _xll.ciqfunctions.udf.CIQ(A2793, "IQ_DILUT_EPS_EXCL",IQ_FY))</f>
        <v>-0.95152999999999999</v>
      </c>
      <c r="G2802" s="15">
        <f>IF(A2801=A2802,_xll.ciqfunctions.udf.CIQ(A2793,"IQ_EBITDA_MARGIN",IQ_FY-1), _xll.ciqfunctions.udf.CIQ(A2793, "IQ_EBITDA_MARGIN",IQ_FY))</f>
        <v>-5.2508999999999997</v>
      </c>
      <c r="H2802" s="15">
        <f>IF(A2801=A2802,_xll.ciqfunctions.udf.CIQ(A2793,"IQ_TOTAL_DIV_PAID_CF",IQ_FY-1)/-I2802, _xll.ciqfunctions.udf.CIQ(A2793, "IQ_TOTAL_DIV_PAID_CF",IQ_FY)/-I2802)</f>
        <v>0</v>
      </c>
      <c r="I2802" s="17">
        <f>IF(A2801=A2802,_xll.ciqfunctions.udf.CIQ(A2793,"IQ_TOTAL_OUTSTANDING_FILING_DATE",IQ_FY-1), _xll.ciqfunctions.udf.CIQ(A2793, "IQ_TOTAL_OUTSTANDING_FILING_DATE",IQ_FY))</f>
        <v>26.15709</v>
      </c>
      <c r="J2802" s="17">
        <f>IF(A2801=A2802,_xll.ciqfunctions.udf.CIQ(A2793,"IQ_CASH_OPER",IQ_FY-1), _xll.ciqfunctions.udf.CIQ(A2793, "IQ_CASH_OPER",IQ_FY))</f>
        <v>0.64100000000000001</v>
      </c>
      <c r="K2802" s="17">
        <f>IF(A2801=A2802,_xll.ciqfunctions.udf.CIQ(A2793,"IQ_CAPEX",IQ_FY-1), _xll.ciqfunctions.udf.CIQ(A2793, "IQ_CAPEX",IQ_FY))</f>
        <v>-12.079000000000001</v>
      </c>
      <c r="L2802" s="15">
        <f t="shared" si="744"/>
        <v>-0.43728105840519721</v>
      </c>
      <c r="M2802" s="17">
        <f>IF(A2801=A2802,_xll.ciqfunctions.udf.CIQ(A2793,"IQ_TOTAL_DEBT_ISSUED",IQ_FY-1), _xll.ciqfunctions.udf.CIQ(A2793, "IQ_TOTAL_DEBT_ISSUED",IQ_FY))</f>
        <v>0</v>
      </c>
      <c r="N2802" s="17">
        <f>IF(A2801=A2802,_xll.ciqfunctions.udf.CIQ(A2793,"IQ_TOTAL_DEBT_REPAID",IQ_FY-1), _xll.ciqfunctions.udf.CIQ(A2793, "IQ_TOTAL_DEBT_REPAID",IQ_FY))</f>
        <v>-17.564</v>
      </c>
      <c r="O2802" s="15">
        <f t="shared" si="745"/>
        <v>-0.67148142243651721</v>
      </c>
      <c r="P2802" s="15">
        <f t="shared" si="746"/>
        <v>-1.1087624808417145</v>
      </c>
      <c r="Q2802" s="25" t="s">
        <v>44</v>
      </c>
      <c r="R2802" s="38" t="s">
        <v>35</v>
      </c>
      <c r="S2802" s="1" t="str">
        <f>_xll.ciqfunctions.udf.CIQ(A2793,"IQ_TEV_EBITDA")</f>
        <v>NM</v>
      </c>
      <c r="U2802" s="25" t="s">
        <v>55</v>
      </c>
      <c r="V2802" s="38" t="s">
        <v>53</v>
      </c>
      <c r="W2802" s="1">
        <f>V2792/(AVERAGE(D2798:D2803)/_xlfn.STDEV.P(E2798:E2803))</f>
        <v>1.6704518342892585</v>
      </c>
      <c r="Y2802" s="25" t="s">
        <v>57</v>
      </c>
      <c r="Z2802" s="38" t="s">
        <v>53</v>
      </c>
      <c r="AA2802" s="1">
        <f>Z2792/(AVERAGE(D2798:D2803)/_xlfn.STDEV.P(E2798:E2803))</f>
        <v>1.6704518342892585</v>
      </c>
    </row>
    <row r="2803" spans="1:27">
      <c r="B2803" s="13">
        <v>11</v>
      </c>
      <c r="C2803" s="20" t="s">
        <v>36</v>
      </c>
      <c r="D2803" s="21" cm="1">
        <f t="array" ref="D2803">_xlfn.SINGLE(IF(A2801=A2802,_xll.ciqfunctions.udf.CIQ(A2793,"IQ_TOTAL_REV",IQ_FY)/I2803, _xll.ciqfunctions.udf.CIQ(A2793, "IQ_TOTAL_REV",IQ_LTM)/I2803))</f>
        <v>11.586325476255421</v>
      </c>
      <c r="E2803" s="22">
        <f t="shared" si="747"/>
        <v>0.17558013286154339</v>
      </c>
      <c r="F2803" s="21">
        <f>IF(A2801=A2802,_xll.ciqfunctions.udf.CIQ(A2793,"IQ_DILUT_EPS_EXCL",IQ_FY), _xll.ciqfunctions.udf.CIQ(A2793, "IQ_DILUT_EPS_EXCL",IQ_LTM))</f>
        <v>-1.0733900000000001</v>
      </c>
      <c r="G2803" s="21">
        <f>IF(A2801=A2802,_xll.ciqfunctions.udf.CIQ(A2793,"IQ_EBITDA_MARGIN",IQ_FY), _xll.ciqfunctions.udf.CIQ(A2793, "IQ_EBITDA_MARGIN",IQ_LTM))</f>
        <v>-5.2809999999999997</v>
      </c>
      <c r="H2803" s="21">
        <f>IF(A2801=A2802,_xll.ciqfunctions.udf.CIQ(A2793,"IQ_TOTAL_DIV_PAID_CF",IQ_FY)/-I2803, _xll.ciqfunctions.udf.CIQ(A2793, "IQ_TOTAL_DIV_PAID_CF",IQ_LTM)/-I2803)</f>
        <v>0</v>
      </c>
      <c r="I2803" s="23">
        <f>IF(A2801=A2802,_xll.ciqfunctions.udf.CIQ(A2793,"IQ_TOTAL_OUTSTANDING_FILING_DATE",IQ_FY),_xll.ciqfunctions.udf.CIQ(A2793,"IQ_sharesoutstanding"))</f>
        <v>27.055859999999999</v>
      </c>
      <c r="J2803" s="23">
        <f>IF(A2801=A2802,_xll.ciqfunctions.udf.CIQ(A2793,"IQ_CASH_OPER",IQ_FY), _xll.ciqfunctions.udf.CIQ(A2793, "IQ_CASH_OPER",IQ_LTM))</f>
        <v>-56.981000000000002</v>
      </c>
      <c r="K2803" s="23">
        <f>IF(A2801=A2802,_xll.ciqfunctions.udf.CIQ(A2793,"IQ_CAPEX",IQ_FY), _xll.ciqfunctions.udf.CIQ(A2793, "IQ_CAPEX",IQ_LTM))</f>
        <v>-22.071999999999999</v>
      </c>
      <c r="L2803" s="21">
        <f t="shared" si="744"/>
        <v>-2.9218439184708971</v>
      </c>
      <c r="M2803" s="23">
        <f>IF(A2801=A2802,_xll.ciqfunctions.udf.CIQ(A2793,"IQ_TOTAL_DEBT_ISSUED",IQ_FY), _xll.ciqfunctions.udf.CIQ(A2793, "IQ_TOTAL_DEBT_ISSUED",IQ_LTM))</f>
        <v>0</v>
      </c>
      <c r="N2803" s="23">
        <f>IF(A2801=A2802,_xll.ciqfunctions.udf.CIQ(A2793,"IQ_TOTAL_DEBT_REPAID",IQ_FY), _xll.ciqfunctions.udf.CIQ(A2793, "IQ_TOTAL_DEBT_REPAID",IQ_LTM))</f>
        <v>0</v>
      </c>
      <c r="O2803" s="21">
        <f t="shared" si="745"/>
        <v>0</v>
      </c>
      <c r="P2803" s="21">
        <f t="shared" si="746"/>
        <v>-2.9218439184708971</v>
      </c>
      <c r="Q2803" s="25" t="s">
        <v>45</v>
      </c>
      <c r="S2803" s="45"/>
      <c r="U2803" s="25"/>
      <c r="W2803" s="45"/>
      <c r="Y2803" s="25"/>
      <c r="AA2803" s="45"/>
    </row>
    <row r="2804" spans="1:27">
      <c r="B2804" s="24"/>
      <c r="C2804" s="25" t="s">
        <v>37</v>
      </c>
      <c r="E2804" s="26">
        <f>((D2803/D2798)^(1/5))-1</f>
        <v>0.15221098728721705</v>
      </c>
      <c r="F2804" s="27">
        <f>((F2803/F2798)^(1/5))-1</f>
        <v>-8.2552856241200123E-2</v>
      </c>
      <c r="G2804" s="28"/>
      <c r="H2804" s="27" t="e">
        <f>((H2803/H2798)^(1/5))-1</f>
        <v>#DIV/0!</v>
      </c>
      <c r="I2804" s="27">
        <f>((I2803/I2798)^(1/5))-1</f>
        <v>4.7099448042812408E-2</v>
      </c>
      <c r="J2804" s="27"/>
      <c r="K2804" s="27"/>
      <c r="L2804" s="26">
        <f>((L2803/L2798)^(1/5))-1</f>
        <v>0.28188519887467844</v>
      </c>
      <c r="M2804" s="26"/>
      <c r="N2804" s="26"/>
      <c r="O2804" s="26"/>
      <c r="P2804" s="26">
        <f>((P2803/P2798)^(1/5))-1</f>
        <v>0.64937217859061125</v>
      </c>
      <c r="Q2804" s="18"/>
      <c r="R2804" s="36"/>
      <c r="S2804" s="45"/>
      <c r="U2804" s="18"/>
      <c r="V2804" s="36"/>
      <c r="W2804" s="45"/>
      <c r="Y2804" s="18"/>
      <c r="Z2804" s="36"/>
      <c r="AA2804" s="45"/>
    </row>
    <row r="2805" spans="1:27">
      <c r="A2805" s="29"/>
      <c r="B2805" s="30"/>
      <c r="C2805" s="31" t="s">
        <v>38</v>
      </c>
      <c r="D2805" s="29"/>
      <c r="E2805" s="32">
        <f>((D2803/D2793)^(1/10))-1</f>
        <v>-3.8861554816311927E-2</v>
      </c>
      <c r="F2805" s="33">
        <f>((F2803/F2793)^(1/10))-1</f>
        <v>-0.11197778075923881</v>
      </c>
      <c r="G2805" s="34"/>
      <c r="H2805" s="33" t="e">
        <f>((H2803/H2793)^(1/10))-1</f>
        <v>#DIV/0!</v>
      </c>
      <c r="I2805" s="33">
        <f>((I2803/I2793)^(1/10))-1</f>
        <v>0.2371219209973443</v>
      </c>
      <c r="J2805" s="33"/>
      <c r="K2805" s="33"/>
      <c r="L2805" s="32" t="e">
        <f>((L2803/L2793)^(1/10))-1</f>
        <v>#NUM!</v>
      </c>
      <c r="M2805" s="32"/>
      <c r="N2805" s="32"/>
      <c r="O2805" s="32"/>
      <c r="P2805" s="32" t="e">
        <f>((P2803/P2793)^(1/10))-1</f>
        <v>#NUM!</v>
      </c>
      <c r="Q2805" s="40"/>
      <c r="R2805" s="41"/>
      <c r="S2805" s="46"/>
      <c r="U2805" s="40"/>
      <c r="V2805" s="41"/>
      <c r="W2805" s="46"/>
      <c r="Y2805" s="40"/>
      <c r="Z2805" s="41"/>
      <c r="AA2805" s="46"/>
    </row>
    <row r="2806" spans="1:27">
      <c r="B2806" s="24"/>
      <c r="C2806" s="25"/>
      <c r="E2806" s="26"/>
      <c r="F2806" s="27"/>
      <c r="G2806" s="28"/>
      <c r="H2806" s="27"/>
      <c r="I2806" s="27"/>
      <c r="J2806" s="27"/>
      <c r="K2806" s="27"/>
      <c r="L2806" s="26"/>
      <c r="M2806" s="17"/>
      <c r="N2806" s="17"/>
      <c r="O2806" s="17"/>
      <c r="P2806" s="35"/>
      <c r="Q2806" s="18"/>
      <c r="R2806" s="36"/>
    </row>
    <row r="2807" spans="1:27">
      <c r="A2807" s="9" t="s">
        <v>0</v>
      </c>
      <c r="B2807" s="10"/>
      <c r="C2807" s="9" t="s">
        <v>1</v>
      </c>
      <c r="D2807" s="9" t="s">
        <v>2</v>
      </c>
      <c r="E2807" s="9" t="s">
        <v>3</v>
      </c>
      <c r="F2807" s="11" t="s">
        <v>4</v>
      </c>
      <c r="G2807" s="11" t="s">
        <v>5</v>
      </c>
      <c r="H2807" s="9" t="s">
        <v>6</v>
      </c>
      <c r="I2807" s="11" t="s">
        <v>7</v>
      </c>
      <c r="J2807" s="11" t="s">
        <v>8</v>
      </c>
      <c r="K2807" s="11" t="s">
        <v>9</v>
      </c>
      <c r="L2807" s="11" t="s">
        <v>10</v>
      </c>
      <c r="M2807" s="11" t="s">
        <v>11</v>
      </c>
      <c r="N2807" s="11" t="s">
        <v>12</v>
      </c>
      <c r="O2807" s="11" t="s">
        <v>13</v>
      </c>
      <c r="P2807" s="11" t="s">
        <v>14</v>
      </c>
      <c r="Q2807" s="37" t="s">
        <v>15</v>
      </c>
      <c r="R2807" s="42">
        <f>_xll.ciqfunctions.udf.CIQ(A2808,("IQ_LASTSALEPRICE"))</f>
        <v>24.13</v>
      </c>
      <c r="S2807" s="44"/>
      <c r="U2807" s="37" t="s">
        <v>15</v>
      </c>
      <c r="V2807" s="42">
        <f>_xll.ciqfunctions.udf.CIQ(A2808,("IQ_LASTSALEPRICE"))</f>
        <v>24.13</v>
      </c>
      <c r="W2807" s="44"/>
      <c r="Y2807" s="37" t="s">
        <v>15</v>
      </c>
      <c r="Z2807" s="42">
        <f>_xll.ciqfunctions.udf.CIQ(A2808,("IQ_LASTSALEPRICE"))</f>
        <v>24.13</v>
      </c>
      <c r="AA2807" s="44"/>
    </row>
    <row r="2808" spans="1:27">
      <c r="A2808" s="12" t="str">
        <f>Analysis!B189</f>
        <v>NasdaqCM:AEHR</v>
      </c>
      <c r="B2808" s="13">
        <v>1</v>
      </c>
      <c r="C2808" s="14" t="s">
        <v>16</v>
      </c>
      <c r="D2808" s="15">
        <f>IF(A2816=A2817,_xll.ciqfunctions.udf.CIQ(A2808,"IQ_TOTAL_REV",IQ_FY-10)/I2808,_xll.ciqfunctions.udf.CIQ(A2808, "IQ_TOTAL_REV",IQ_FY-9)/I2808)</f>
        <v>1.7167696402842563</v>
      </c>
      <c r="E2808" s="16"/>
      <c r="F2808" s="15">
        <f>IF(A2816=A2817,_xll.ciqfunctions.udf.CIQ(A2808,"IQ_DILUT_EPS_EXCL",IQ_FY-10), _xll.ciqfunctions.udf.CIQ(A2808, "IQ_DILUT_EPS_EXCL",IQ_FY-9))</f>
        <v>3.8800000000000001E-2</v>
      </c>
      <c r="G2808" s="15">
        <f>IF(A2816=A2817,_xll.ciqfunctions.udf.CIQ(A2808,"IQ_EBITDA_MARGIN",IQ_FY-10), _xll.ciqfunctions.udf.CIQ(A2808, "IQ_EBITDA_MARGIN",IQ_FY-9))</f>
        <v>3.2412000000000001</v>
      </c>
      <c r="H2808" s="15">
        <f>IF(A2816=A2817,_xll.ciqfunctions.udf.CIQ(A2808,"IQ_TOTAL_DIV_PAID_CF",IQ_FY-10)/-I2808, _xll.ciqfunctions.udf.CIQ(A2808, "IQ_TOTAL_DIV_PAID_CF",IQ_FY-9)/-I2808)</f>
        <v>0</v>
      </c>
      <c r="I2808" s="17">
        <f>IF(A2816=A2817,_xll.ciqfunctions.udf.CIQ(A2808,"IQ_TOTAL_OUTSTANDING_FILING_DATE",IQ_FY-10), _xll.ciqfunctions.udf.CIQ(A2808, "IQ_TOTAL_OUTSTANDING_FILING_DATE",IQ_FY-9))</f>
        <v>11.465719999999999</v>
      </c>
      <c r="J2808" s="17">
        <f>IF(A2816=A2817,_xll.ciqfunctions.udf.CIQ(A2808,"IQ_CASH_OPER",IQ_FY-10), _xll.ciqfunctions.udf.CIQ(A2808, "IQ_CASH_OPER",IQ_FY-9))</f>
        <v>-0.60699999999999998</v>
      </c>
      <c r="K2808" s="17">
        <f>IF(A2816=A2817,_xll.ciqfunctions.udf.CIQ(A2808,"IQ_CAPEX",IQ_FY-10), _xll.ciqfunctions.udf.CIQ(A2808, "IQ_CAPEX",IQ_FY-9))</f>
        <v>-0.33900000000000002</v>
      </c>
      <c r="L2808" s="15">
        <f t="shared" ref="L2808:L2818" si="748">(J2808+K2808)/I2808</f>
        <v>-8.2506811608865388E-2</v>
      </c>
      <c r="M2808" s="17">
        <f>IF(A2816=A2817,_xll.ciqfunctions.udf.CIQ(A2808,"IQ_TOTAL_DEBT_ISSUED",IQ_FY-10), _xll.ciqfunctions.udf.CIQ(A2808, "IQ_TOTAL_DEBT_ISSUED",IQ_FY-9))</f>
        <v>0</v>
      </c>
      <c r="N2808" s="17">
        <f>IF(A2816=A2817,_xll.ciqfunctions.udf.CIQ(A2808,"IQ_TOTAL_DEBT_REPAID",IQ_FY-10), _xll.ciqfunctions.udf.CIQ(A2808, "IQ_TOTAL_DEBT_REPAID",IQ_FY-9))</f>
        <v>-0.32400000000000001</v>
      </c>
      <c r="O2808" s="15">
        <f t="shared" ref="O2808:O2818" si="749">(M2808+N2808)/I2808</f>
        <v>-2.8258146893522608E-2</v>
      </c>
      <c r="P2808" s="15">
        <f t="shared" ref="P2808:P2818" si="750">L2808+O2808</f>
        <v>-0.11076495850238799</v>
      </c>
      <c r="W2808" s="43"/>
      <c r="AA2808" s="43"/>
    </row>
    <row r="2809" spans="1:27">
      <c r="A2809" s="18" t="str">
        <f>_xll.ciqfunctions.udf.CIQ(A2808,"IQ_COMPANY_NAME")</f>
        <v>Aehr Test Systems</v>
      </c>
      <c r="B2809" s="13">
        <v>2</v>
      </c>
      <c r="C2809" s="14" t="s">
        <v>17</v>
      </c>
      <c r="D2809" s="15">
        <f>IF(A2816=A2817,_xll.ciqfunctions.udf.CIQ(A2808,"IQ_TOTAL_REV",IQ_FY-9)/I2809, _xll.ciqfunctions.udf.CIQ(A2808, "IQ_TOTAL_REV",IQ_FY-8)/I2809)</f>
        <v>0.77141290688219211</v>
      </c>
      <c r="E2809" s="16">
        <f t="shared" ref="E2809:E2818" si="751">(D2809-D2808)/D2808</f>
        <v>-0.55066021160855083</v>
      </c>
      <c r="F2809" s="15">
        <f>IF(A2816=A2817,_xll.ciqfunctions.udf.CIQ(A2808,"IQ_DILUT_EPS_EXCL",IQ_FY-9), _xll.ciqfunctions.udf.CIQ(A2808, "IQ_DILUT_EPS_EXCL",IQ_FY-8))</f>
        <v>-0.55176000000000003</v>
      </c>
      <c r="G2809" s="15">
        <f>IF(A2816=A2817,_xll.ciqfunctions.udf.CIQ(A2808,"IQ_EBITDA_MARGIN",IQ_FY-9), _xll.ciqfunctions.udf.CIQ(A2808, "IQ_EBITDA_MARGIN",IQ_FY-8))</f>
        <v>-65.472099999999998</v>
      </c>
      <c r="H2809" s="15">
        <f>IF(A2816=A2817,_xll.ciqfunctions.udf.CIQ(A2808,"IQ_TOTAL_DIV_PAID_CF",IQ_FY-9)/-I2809, _xll.ciqfunctions.udf.CIQ(A2808, "IQ_TOTAL_DIV_PAID_CF",IQ_FY-8)/-I2809)</f>
        <v>0</v>
      </c>
      <c r="I2809" s="17">
        <f>IF(A2816=A2817,_xll.ciqfunctions.udf.CIQ(A2808,"IQ_TOTAL_OUTSTANDING_FILING_DATE",IQ_FY-9), _xll.ciqfunctions.udf.CIQ(A2808, "IQ_TOTAL_OUTSTANDING_FILING_DATE",IQ_FY-8))</f>
        <v>12.986560000000001</v>
      </c>
      <c r="J2809" s="17">
        <f>IF(A2816=A2817,_xll.ciqfunctions.udf.CIQ(A2808,"IQ_CASH_OPER",IQ_FY-9), _xll.ciqfunctions.udf.CIQ(A2808, "IQ_CASH_OPER",IQ_FY-8))</f>
        <v>-2.2559999999999998</v>
      </c>
      <c r="K2809" s="17">
        <f>IF(A2816=A2817,_xll.ciqfunctions.udf.CIQ(A2808,"IQ_CAPEX",IQ_FY-9), _xll.ciqfunctions.udf.CIQ(A2808, "IQ_CAPEX",IQ_FY-8))</f>
        <v>-0.11799999999999999</v>
      </c>
      <c r="L2809" s="15">
        <f t="shared" si="748"/>
        <v>-0.18280437621664239</v>
      </c>
      <c r="M2809" s="17">
        <f>IF(A2816=A2817,_xll.ciqfunctions.udf.CIQ(A2808,"IQ_TOTAL_DEBT_ISSUED",IQ_FY-9), _xll.ciqfunctions.udf.CIQ(A2808, "IQ_TOTAL_DEBT_ISSUED",IQ_FY-8))</f>
        <v>3.76</v>
      </c>
      <c r="N2809" s="17">
        <f>IF(A2816=A2817,_xll.ciqfunctions.udf.CIQ(A2808,"IQ_TOTAL_DEBT_REPAID",IQ_FY-9), _xll.ciqfunctions.udf.CIQ(A2808, "IQ_TOTAL_DEBT_REPAID",IQ_FY-8))</f>
        <v>-0.77700000000000002</v>
      </c>
      <c r="O2809" s="15">
        <f t="shared" si="749"/>
        <v>0.22969901190153508</v>
      </c>
      <c r="P2809" s="15">
        <f t="shared" si="750"/>
        <v>4.6894635684892688E-2</v>
      </c>
      <c r="Q2809" s="25" t="s">
        <v>18</v>
      </c>
      <c r="R2809" s="39" t="s">
        <v>19</v>
      </c>
      <c r="S2809" s="1">
        <f>R2807/((AVERAGE(P2813:P2818))*(1+E2819)^3)</f>
        <v>-962.91271698646085</v>
      </c>
      <c r="U2809" s="25" t="s">
        <v>48</v>
      </c>
      <c r="V2809" s="39" t="s">
        <v>19</v>
      </c>
      <c r="W2809" s="1">
        <f>V2807/((AVERAGE(P2813:P2818))*(1+E2819)^3)</f>
        <v>-962.91271698646085</v>
      </c>
      <c r="Y2809" s="25" t="s">
        <v>39</v>
      </c>
      <c r="Z2809" s="39" t="s">
        <v>19</v>
      </c>
      <c r="AA2809" s="1">
        <f>Z2807/((AVERAGE(P2813:P2818))*(1+E2819)^3)</f>
        <v>-962.91271698646085</v>
      </c>
    </row>
    <row r="2810" spans="1:27">
      <c r="B2810" s="13">
        <v>3</v>
      </c>
      <c r="C2810" s="14" t="s">
        <v>20</v>
      </c>
      <c r="D2810" s="15" cm="1">
        <f t="array" ref="D2810">_xlfn.SINGLE(IF(A2816=A2817,_xll.ciqfunctions.udf.CIQ(A2808,"IQ_TOTAL_REV",IQ_FY-8)/I2810, _xll.ciqfunctions.udf.CIQ(A2808, "IQ_TOTAL_REV",IQ_FY-7)/I2810))</f>
        <v>1.0876862159155773</v>
      </c>
      <c r="E2810" s="16">
        <f t="shared" si="751"/>
        <v>0.40999224437618281</v>
      </c>
      <c r="F2810" s="15">
        <f>IF(A2816=A2817,_xll.ciqfunctions.udf.CIQ(A2808,"IQ_DILUT_EPS_EXCL",IQ_FY-8), _xll.ciqfunctions.udf.CIQ(A2808, "IQ_DILUT_EPS_EXCL",IQ_FY-7))</f>
        <v>-0.52</v>
      </c>
      <c r="G2810" s="15">
        <f>IF(A2816=A2817,_xll.ciqfunctions.udf.CIQ(A2808,"IQ_EBITDA_MARGIN",IQ_FY-8), _xll.ciqfunctions.udf.CIQ(A2808, "IQ_EBITDA_MARGIN",IQ_FY-7))</f>
        <v>-41.038499999999999</v>
      </c>
      <c r="H2810" s="15">
        <f>IF(A2816=A2817,_xll.ciqfunctions.udf.CIQ(A2808,"IQ_TOTAL_DIV_PAID_CF",IQ_FY-8)/-I2810, _xll.ciqfunctions.udf.CIQ(A2808, "IQ_TOTAL_DIV_PAID_CF",IQ_FY-7)/-I2810)</f>
        <v>0</v>
      </c>
      <c r="I2810" s="17">
        <f>IF(A2816=A2817,_xll.ciqfunctions.udf.CIQ(A2808,"IQ_TOTAL_OUTSTANDING_FILING_DATE",IQ_FY-8), _xll.ciqfunctions.udf.CIQ(A2808, "IQ_TOTAL_OUTSTANDING_FILING_DATE",IQ_FY-7))</f>
        <v>13.33197</v>
      </c>
      <c r="J2810" s="17">
        <f>IF(A2816=A2817,_xll.ciqfunctions.udf.CIQ(A2808,"IQ_CASH_OPER",IQ_FY-8), _xll.ciqfunctions.udf.CIQ(A2808, "IQ_CASH_OPER",IQ_FY-7))</f>
        <v>-6.2809999999999997</v>
      </c>
      <c r="K2810" s="17">
        <f>IF(A2816=A2817,_xll.ciqfunctions.udf.CIQ(A2808,"IQ_CAPEX",IQ_FY-8), _xll.ciqfunctions.udf.CIQ(A2808, "IQ_CAPEX",IQ_FY-7))</f>
        <v>-0.91900000000000004</v>
      </c>
      <c r="L2810" s="15">
        <f t="shared" si="748"/>
        <v>-0.54005522064631106</v>
      </c>
      <c r="M2810" s="17">
        <f>IF(A2816=A2817,_xll.ciqfunctions.udf.CIQ(A2808,"IQ_TOTAL_DEBT_ISSUED",IQ_FY-8), _xll.ciqfunctions.udf.CIQ(A2808, "IQ_TOTAL_DEBT_ISSUED",IQ_FY-7))</f>
        <v>2</v>
      </c>
      <c r="N2810" s="17">
        <f>IF(A2816=A2817,_xll.ciqfunctions.udf.CIQ(A2808,"IQ_TOTAL_DEBT_REPAID",IQ_FY-8), _xll.ciqfunctions.udf.CIQ(A2808, "IQ_TOTAL_DEBT_REPAID",IQ_FY-7))</f>
        <v>-6.0000000000000001E-3</v>
      </c>
      <c r="O2810" s="15">
        <f t="shared" si="749"/>
        <v>0.14956529305121449</v>
      </c>
      <c r="P2810" s="15">
        <f t="shared" si="750"/>
        <v>-0.3904899275950966</v>
      </c>
      <c r="Q2810" s="25" t="s">
        <v>21</v>
      </c>
      <c r="R2810" s="38" t="s">
        <v>49</v>
      </c>
      <c r="S2810" s="2">
        <f>(R2807*I2818)/1000</f>
        <v>0.69492735029999997</v>
      </c>
      <c r="U2810" s="25" t="s">
        <v>59</v>
      </c>
      <c r="V2810" s="38" t="s">
        <v>49</v>
      </c>
      <c r="W2810" s="2">
        <f>(V2807*I2818)/1000</f>
        <v>0.69492735029999997</v>
      </c>
      <c r="Y2810" s="25" t="s">
        <v>46</v>
      </c>
      <c r="Z2810" s="38" t="s">
        <v>49</v>
      </c>
      <c r="AA2810" s="2">
        <f>(Z2807*I2818)/1000</f>
        <v>0.69492735029999997</v>
      </c>
    </row>
    <row r="2811" spans="1:27">
      <c r="A2811" s="18"/>
      <c r="B2811" s="13">
        <v>4</v>
      </c>
      <c r="C2811" s="14" t="s">
        <v>22</v>
      </c>
      <c r="D2811" s="15" cm="1">
        <f t="array" ref="D2811">_xlfn.SINGLE(IF(A2816=A2817,_xll.ciqfunctions.udf.CIQ(A2808,"IQ_TOTAL_REV",IQ_FY-7)/I2811, _xll.ciqfunctions.udf.CIQ(A2808, "IQ_TOTAL_REV",IQ_FY-6)/I2811))</f>
        <v>0.88238274156850083</v>
      </c>
      <c r="E2811" s="16">
        <f t="shared" si="751"/>
        <v>-0.18875248333845898</v>
      </c>
      <c r="F2811" s="15">
        <f>IF(A2816=A2817,_xll.ciqfunctions.udf.CIQ(A2808,"IQ_DILUT_EPS_EXCL",IQ_FY-7), _xll.ciqfunctions.udf.CIQ(A2808, "IQ_DILUT_EPS_EXCL",IQ_FY-6))</f>
        <v>-0.35</v>
      </c>
      <c r="G2811" s="15">
        <f>IF(A2816=A2817,_xll.ciqfunctions.udf.CIQ(A2808,"IQ_EBITDA_MARGIN",IQ_FY-7), _xll.ciqfunctions.udf.CIQ(A2808, "IQ_EBITDA_MARGIN",IQ_FY-6))</f>
        <v>-24.648099999999999</v>
      </c>
      <c r="H2811" s="15">
        <f>IF(A2816=A2817,_xll.ciqfunctions.udf.CIQ(A2808,"IQ_TOTAL_DIV_PAID_CF",IQ_FY-7)/-I2811, _xll.ciqfunctions.udf.CIQ(A2808, "IQ_TOTAL_DIV_PAID_CF",IQ_FY-6)/-I2811)</f>
        <v>0</v>
      </c>
      <c r="I2811" s="17">
        <f>IF(A2816=A2817,_xll.ciqfunctions.udf.CIQ(A2808,"IQ_TOTAL_OUTSTANDING_FILING_DATE",IQ_FY-7), _xll.ciqfunctions.udf.CIQ(A2808, "IQ_TOTAL_OUTSTANDING_FILING_DATE",IQ_FY-6))</f>
        <v>21.417010000000001</v>
      </c>
      <c r="J2811" s="17">
        <f>IF(A2816=A2817,_xll.ciqfunctions.udf.CIQ(A2808,"IQ_CASH_OPER",IQ_FY-7), _xll.ciqfunctions.udf.CIQ(A2808, "IQ_CASH_OPER",IQ_FY-6))</f>
        <v>-4.4950000000000001</v>
      </c>
      <c r="K2811" s="17">
        <f>IF(A2816=A2817,_xll.ciqfunctions.udf.CIQ(A2808,"IQ_CAPEX",IQ_FY-7), _xll.ciqfunctions.udf.CIQ(A2808, "IQ_CAPEX",IQ_FY-6))</f>
        <v>-0.47699999999999998</v>
      </c>
      <c r="L2811" s="15">
        <f t="shared" si="748"/>
        <v>-0.23215192036610152</v>
      </c>
      <c r="M2811" s="17">
        <f>IF(A2816=A2817,_xll.ciqfunctions.udf.CIQ(A2808,"IQ_TOTAL_DEBT_ISSUED",IQ_FY-7), _xll.ciqfunctions.udf.CIQ(A2808, "IQ_TOTAL_DEBT_ISSUED",IQ_FY-6))</f>
        <v>0</v>
      </c>
      <c r="N2811" s="17">
        <f>IF(A2816=A2817,_xll.ciqfunctions.udf.CIQ(A2808,"IQ_TOTAL_DEBT_REPAID",IQ_FY-7), _xll.ciqfunctions.udf.CIQ(A2808, "IQ_TOTAL_DEBT_REPAID",IQ_FY-6))</f>
        <v>0</v>
      </c>
      <c r="O2811" s="15">
        <f t="shared" si="749"/>
        <v>0</v>
      </c>
      <c r="P2811" s="15">
        <f t="shared" si="750"/>
        <v>-0.23215192036610152</v>
      </c>
      <c r="Q2811" s="25" t="s">
        <v>23</v>
      </c>
      <c r="R2811" s="38" t="s">
        <v>24</v>
      </c>
      <c r="S2811" s="1" t="e">
        <f>R2807/(AVERAGE(H2813:H2818)*(1+H2819)/(0.5-H2819))</f>
        <v>#DIV/0!</v>
      </c>
      <c r="U2811" s="25" t="s">
        <v>40</v>
      </c>
      <c r="V2811" s="38" t="s">
        <v>24</v>
      </c>
      <c r="W2811" s="1" t="e">
        <f>V2807/(AVERAGE(H2813:H2818)*(1+H2819)/(0.5-H2819))</f>
        <v>#DIV/0!</v>
      </c>
      <c r="Y2811" s="25" t="s">
        <v>47</v>
      </c>
      <c r="Z2811" s="38" t="s">
        <v>24</v>
      </c>
      <c r="AA2811" s="1" t="e">
        <f>Z2807/(AVERAGE(H2813:H2818)*(1+H2819)/(0.5-H2819))</f>
        <v>#DIV/0!</v>
      </c>
    </row>
    <row r="2812" spans="1:27">
      <c r="B2812" s="13">
        <v>5</v>
      </c>
      <c r="C2812" s="14" t="s">
        <v>25</v>
      </c>
      <c r="D2812" s="15" cm="1">
        <f t="array" ref="D2812">_xlfn.SINGLE(IF(A2816=A2817,_xll.ciqfunctions.udf.CIQ(A2808,"IQ_TOTAL_REV",IQ_FY-6)/I2812, _xll.ciqfunctions.udf.CIQ(A2808, "IQ_TOTAL_REV",IQ_FY-5)/I2812))</f>
        <v>1.3301068135852261</v>
      </c>
      <c r="E2812" s="16">
        <f t="shared" si="751"/>
        <v>0.50740347802005115</v>
      </c>
      <c r="F2812" s="15">
        <f>IF(A2816=A2817,_xll.ciqfunctions.udf.CIQ(A2808,"IQ_DILUT_EPS_EXCL",IQ_FY-6), _xll.ciqfunctions.udf.CIQ(A2808, "IQ_DILUT_EPS_EXCL",IQ_FY-5))</f>
        <v>0.02</v>
      </c>
      <c r="G2812" s="15">
        <f>IF(A2816=A2817,_xll.ciqfunctions.udf.CIQ(A2808,"IQ_EBITDA_MARGIN",IQ_FY-6), _xll.ciqfunctions.udf.CIQ(A2808, "IQ_EBITDA_MARGIN",IQ_FY-5))</f>
        <v>4.5068000000000001</v>
      </c>
      <c r="H2812" s="15">
        <f>IF(A2816=A2817,_xll.ciqfunctions.udf.CIQ(A2808,"IQ_TOTAL_DIV_PAID_CF",IQ_FY-6)/-I2812, _xll.ciqfunctions.udf.CIQ(A2808, "IQ_TOTAL_DIV_PAID_CF",IQ_FY-5)/-I2812)</f>
        <v>0</v>
      </c>
      <c r="I2812" s="17">
        <f>IF(A2816=A2817,_xll.ciqfunctions.udf.CIQ(A2808,"IQ_TOTAL_OUTSTANDING_FILING_DATE",IQ_FY-6), _xll.ciqfunctions.udf.CIQ(A2808, "IQ_TOTAL_OUTSTANDING_FILING_DATE",IQ_FY-5))</f>
        <v>22.220020000000002</v>
      </c>
      <c r="J2812" s="17">
        <f>IF(A2816=A2817,_xll.ciqfunctions.udf.CIQ(A2808,"IQ_CASH_OPER",IQ_FY-6), _xll.ciqfunctions.udf.CIQ(A2808, "IQ_CASH_OPER",IQ_FY-5))</f>
        <v>-1.351</v>
      </c>
      <c r="K2812" s="17">
        <f>IF(A2816=A2817,_xll.ciqfunctions.udf.CIQ(A2808,"IQ_CAPEX",IQ_FY-6), _xll.ciqfunctions.udf.CIQ(A2808, "IQ_CAPEX",IQ_FY-5))</f>
        <v>-0.57199999999999995</v>
      </c>
      <c r="L2812" s="15">
        <f t="shared" si="748"/>
        <v>-8.6543576468428016E-2</v>
      </c>
      <c r="M2812" s="17">
        <f>IF(A2816=A2817,_xll.ciqfunctions.udf.CIQ(A2808,"IQ_TOTAL_DEBT_ISSUED",IQ_FY-6), _xll.ciqfunctions.udf.CIQ(A2808, "IQ_TOTAL_DEBT_ISSUED",IQ_FY-5))</f>
        <v>0</v>
      </c>
      <c r="N2812" s="17">
        <f>IF(A2816=A2817,_xll.ciqfunctions.udf.CIQ(A2808,"IQ_TOTAL_DEBT_REPAID",IQ_FY-6), _xll.ciqfunctions.udf.CIQ(A2808, "IQ_TOTAL_DEBT_REPAID",IQ_FY-5))</f>
        <v>0</v>
      </c>
      <c r="O2812" s="15">
        <f t="shared" si="749"/>
        <v>0</v>
      </c>
      <c r="P2812" s="15">
        <f t="shared" si="750"/>
        <v>-8.6543576468428016E-2</v>
      </c>
      <c r="Q2812" s="18"/>
      <c r="R2812" s="38" t="s">
        <v>50</v>
      </c>
      <c r="S2812" s="3">
        <f>I2819</f>
        <v>4.8557167584415195E-2</v>
      </c>
      <c r="U2812" s="18"/>
      <c r="V2812" s="38" t="s">
        <v>50</v>
      </c>
      <c r="W2812" s="3">
        <f>I2819</f>
        <v>4.8557167584415195E-2</v>
      </c>
      <c r="Y2812" s="18"/>
      <c r="Z2812" s="38" t="s">
        <v>50</v>
      </c>
      <c r="AA2812" s="3">
        <f>I2819</f>
        <v>4.8557167584415195E-2</v>
      </c>
    </row>
    <row r="2813" spans="1:27">
      <c r="B2813" s="13">
        <v>6</v>
      </c>
      <c r="C2813" s="14" t="s">
        <v>26</v>
      </c>
      <c r="D2813" s="15" cm="1">
        <f t="array" ref="D2813">_xlfn.SINGLE(IF(A2816=A2817,_xll.ciqfunctions.udf.CIQ(A2808,"IQ_TOTAL_REV",IQ_FY-5)/I2813, _xll.ciqfunctions.udf.CIQ(A2808, "IQ_TOTAL_REV",IQ_FY-4)/I2813))</f>
        <v>0.92673241877777479</v>
      </c>
      <c r="E2813" s="16">
        <f t="shared" si="751"/>
        <v>-0.30326466317406414</v>
      </c>
      <c r="F2813" s="15">
        <f>IF(A2816=A2817,_xll.ciqfunctions.udf.CIQ(A2808,"IQ_DILUT_EPS_EXCL",IQ_FY-5), _xll.ciqfunctions.udf.CIQ(A2808, "IQ_DILUT_EPS_EXCL",IQ_FY-4))</f>
        <v>-0.23383999999999999</v>
      </c>
      <c r="G2813" s="15">
        <f>IF(A2816=A2817,_xll.ciqfunctions.udf.CIQ(A2808,"IQ_EBITDA_MARGIN",IQ_FY-5), _xll.ciqfunctions.udf.CIQ(A2808, "IQ_EBITDA_MARGIN",IQ_FY-4))</f>
        <v>-18.256</v>
      </c>
      <c r="H2813" s="15">
        <f>IF(A2816=A2817,_xll.ciqfunctions.udf.CIQ(A2808,"IQ_TOTAL_DIV_PAID_CF",IQ_FY-5)/-I2813, _xll.ciqfunctions.udf.CIQ(A2808, "IQ_TOTAL_DIV_PAID_CF",IQ_FY-4)/-I2813)</f>
        <v>0</v>
      </c>
      <c r="I2813" s="17">
        <f>IF(A2816=A2817,_xll.ciqfunctions.udf.CIQ(A2808,"IQ_TOTAL_OUTSTANDING_FILING_DATE",IQ_FY-5), _xll.ciqfunctions.udf.CIQ(A2808, "IQ_TOTAL_OUTSTANDING_FILING_DATE",IQ_FY-4))</f>
        <v>22.720690000000001</v>
      </c>
      <c r="J2813" s="17">
        <f>IF(A2816=A2817,_xll.ciqfunctions.udf.CIQ(A2808,"IQ_CASH_OPER",IQ_FY-5), _xll.ciqfunctions.udf.CIQ(A2808, "IQ_CASH_OPER",IQ_FY-4))</f>
        <v>-5.6369999999999996</v>
      </c>
      <c r="K2813" s="17">
        <f>IF(A2816=A2817,_xll.ciqfunctions.udf.CIQ(A2808,"IQ_CAPEX",IQ_FY-5), _xll.ciqfunctions.udf.CIQ(A2808, "IQ_CAPEX",IQ_FY-4))</f>
        <v>-0.17299999999999999</v>
      </c>
      <c r="L2813" s="15">
        <f t="shared" si="748"/>
        <v>-0.25571406502179289</v>
      </c>
      <c r="M2813" s="17">
        <f>IF(A2816=A2817,_xll.ciqfunctions.udf.CIQ(A2808,"IQ_TOTAL_DEBT_ISSUED",IQ_FY-5), _xll.ciqfunctions.udf.CIQ(A2808, "IQ_TOTAL_DEBT_ISSUED",IQ_FY-4))</f>
        <v>0</v>
      </c>
      <c r="N2813" s="17">
        <f>IF(A2816=A2817,_xll.ciqfunctions.udf.CIQ(A2808,"IQ_TOTAL_DEBT_REPAID",IQ_FY-5), _xll.ciqfunctions.udf.CIQ(A2808, "IQ_TOTAL_DEBT_REPAID",IQ_FY-4))</f>
        <v>-6.11</v>
      </c>
      <c r="O2813" s="15">
        <f t="shared" si="749"/>
        <v>-0.26891788937747929</v>
      </c>
      <c r="P2813" s="15">
        <f t="shared" si="750"/>
        <v>-0.52463195439927213</v>
      </c>
      <c r="Q2813" s="25" t="s">
        <v>27</v>
      </c>
      <c r="R2813" s="38" t="s">
        <v>51</v>
      </c>
      <c r="S2813" s="4">
        <f>AVERAGE(F2813:F2818)/AVERAGE(D2813:D2818)</f>
        <v>0.11105500834646569</v>
      </c>
      <c r="U2813" s="25" t="s">
        <v>58</v>
      </c>
      <c r="V2813" s="38" t="s">
        <v>51</v>
      </c>
      <c r="W2813" s="4">
        <f>AVERAGE(F2813:F2818)/AVERAGE(D2813:D2818)</f>
        <v>0.11105500834646569</v>
      </c>
      <c r="Y2813" s="25" t="s">
        <v>56</v>
      </c>
      <c r="Z2813" s="38" t="s">
        <v>51</v>
      </c>
      <c r="AA2813" s="4">
        <f>AVERAGE(F2813:F2818)/AVERAGE(D2813:D2818)</f>
        <v>0.11105500834646569</v>
      </c>
    </row>
    <row r="2814" spans="1:27">
      <c r="A2814" s="18"/>
      <c r="B2814" s="13">
        <v>7</v>
      </c>
      <c r="C2814" s="14" t="s">
        <v>28</v>
      </c>
      <c r="D2814" s="15" cm="1">
        <f t="array" ref="D2814">_xlfn.SINGLE(IF(A2816=A2817,_xll.ciqfunctions.udf.CIQ(A2808,"IQ_TOTAL_REV",IQ_FY-4)/I2814, _xll.ciqfunctions.udf.CIQ(A2808, "IQ_TOTAL_REV",IQ_FY-3)/I2814))</f>
        <v>0.95705879701088192</v>
      </c>
      <c r="E2814" s="16">
        <f t="shared" si="751"/>
        <v>3.2723985498536043E-2</v>
      </c>
      <c r="F2814" s="15">
        <f>IF(A2816=A2817,_xll.ciqfunctions.udf.CIQ(A2808,"IQ_DILUT_EPS_EXCL",IQ_FY-4), _xll.ciqfunctions.udf.CIQ(A2808, "IQ_DILUT_EPS_EXCL",IQ_FY-3))</f>
        <v>-0.12245</v>
      </c>
      <c r="G2814" s="15">
        <f>IF(A2816=A2817,_xll.ciqfunctions.udf.CIQ(A2808,"IQ_EBITDA_MARGIN",IQ_FY-4), _xll.ciqfunctions.udf.CIQ(A2808, "IQ_EBITDA_MARGIN",IQ_FY-3))</f>
        <v>-9.6943999999999999</v>
      </c>
      <c r="H2814" s="15">
        <f>IF(A2816=A2817,_xll.ciqfunctions.udf.CIQ(A2808,"IQ_TOTAL_DIV_PAID_CF",IQ_FY-4)/-I2814, _xll.ciqfunctions.udf.CIQ(A2808, "IQ_TOTAL_DIV_PAID_CF",IQ_FY-3)/-I2814)</f>
        <v>0</v>
      </c>
      <c r="I2814" s="17">
        <f>IF(A2816=A2817,_xll.ciqfunctions.udf.CIQ(A2808,"IQ_TOTAL_OUTSTANDING_FILING_DATE",IQ_FY-4), _xll.ciqfunctions.udf.CIQ(A2808, "IQ_TOTAL_OUTSTANDING_FILING_DATE",IQ_FY-3))</f>
        <v>23.291149999999998</v>
      </c>
      <c r="J2814" s="17">
        <f>IF(A2816=A2817,_xll.ciqfunctions.udf.CIQ(A2808,"IQ_CASH_OPER",IQ_FY-4), _xll.ciqfunctions.udf.CIQ(A2808, "IQ_CASH_OPER",IQ_FY-3))</f>
        <v>-2.024</v>
      </c>
      <c r="K2814" s="17">
        <f>IF(A2816=A2817,_xll.ciqfunctions.udf.CIQ(A2808,"IQ_CAPEX",IQ_FY-4), _xll.ciqfunctions.udf.CIQ(A2808, "IQ_CAPEX",IQ_FY-3))</f>
        <v>-0.16300000000000001</v>
      </c>
      <c r="L2814" s="15">
        <f t="shared" si="748"/>
        <v>-9.3898326188273235E-2</v>
      </c>
      <c r="M2814" s="17">
        <f>IF(A2816=A2817,_xll.ciqfunctions.udf.CIQ(A2808,"IQ_TOTAL_DEBT_ISSUED",IQ_FY-4), _xll.ciqfunctions.udf.CIQ(A2808, "IQ_TOTAL_DEBT_ISSUED",IQ_FY-3))</f>
        <v>1.679</v>
      </c>
      <c r="N2814" s="17">
        <f>IF(A2816=A2817,_xll.ciqfunctions.udf.CIQ(A2808,"IQ_TOTAL_DEBT_REPAID",IQ_FY-4), _xll.ciqfunctions.udf.CIQ(A2808, "IQ_TOTAL_DEBT_REPAID",IQ_FY-3))</f>
        <v>0</v>
      </c>
      <c r="O2814" s="15">
        <f t="shared" si="749"/>
        <v>7.2087466698724637E-2</v>
      </c>
      <c r="P2814" s="15">
        <f t="shared" si="750"/>
        <v>-2.1810859489548598E-2</v>
      </c>
      <c r="Q2814" s="18"/>
      <c r="R2814" s="38" t="s">
        <v>29</v>
      </c>
      <c r="S2814" s="4">
        <f>(AVERAGE(P2813:P2818)/_xlfn.STDEV.P(P2813:P2818))/(IF(A2816=A2817,(_xlfn.SINGLE(_xll.ciqfunctions.udf.CIQ(A2808,"IQ_total_assets",IQ_FY)) - _xlfn.SINGLE(_xll.ciqfunctions.udf.CIQ(A2808,"iq_gw_intan", IQ_FY)))/I2818, (_xlfn.SINGLE(_xll.ciqfunctions.udf.CIQ(A2808, "IQ_total_assets",IQ_LTM))-_xlfn.SINGLE(_xll.ciqfunctions.udf.CIQ(A2808,"iq_gw_intan",IQ_LTM)))/I2818))</f>
        <v>-1.381788343038751E-2</v>
      </c>
      <c r="U2814" s="18"/>
      <c r="V2814" s="38" t="s">
        <v>29</v>
      </c>
      <c r="W2814" s="4">
        <f>(AVERAGE(P2813:P2818)/_xlfn.STDEV.P(P2813:P2818))/(IF(A2816=A2817,(_xlfn.SINGLE(_xll.ciqfunctions.udf.CIQ(A2808,"IQ_total_assets",IQ_FY)) - _xlfn.SINGLE(_xll.ciqfunctions.udf.CIQ(A2808,"iq_gw_intan", IQ_FY)))/I2818, (_xlfn.SINGLE(_xll.ciqfunctions.udf.CIQ(A2808, "IQ_total_assets",IQ_LTM))-_xlfn.SINGLE(_xll.ciqfunctions.udf.CIQ(A2808,"iq_gw_intan",IQ_LTM)))/I2818))</f>
        <v>-1.381788343038751E-2</v>
      </c>
      <c r="Y2814" s="18"/>
      <c r="Z2814" s="38" t="s">
        <v>29</v>
      </c>
      <c r="AA2814" s="4">
        <f>(AVERAGE(P2813:P2818)/_xlfn.STDEV.P(P2813:P2818))/(IF(A2816=A2817,(_xlfn.SINGLE(_xll.ciqfunctions.udf.CIQ(A2808,"IQ_total_assets",IQ_FY)) - _xlfn.SINGLE(_xll.ciqfunctions.udf.CIQ(A2808,"iq_gw_intan", IQ_FY)))/I2818, (_xlfn.SINGLE(_xll.ciqfunctions.udf.CIQ(A2808, "IQ_total_assets",IQ_LTM))-_xlfn.SINGLE(_xll.ciqfunctions.udf.CIQ(A2808,"iq_gw_intan",IQ_LTM)))/I2818))</f>
        <v>-1.381788343038751E-2</v>
      </c>
    </row>
    <row r="2815" spans="1:27">
      <c r="A2815" s="18"/>
      <c r="B2815" s="13">
        <v>8</v>
      </c>
      <c r="C2815" s="14" t="s">
        <v>30</v>
      </c>
      <c r="D2815" s="15" cm="1">
        <f t="array" ref="D2815">_xlfn.SINGLE(IF(A2816=A2817,_xll.ciqfunctions.udf.CIQ(A2808,"IQ_TOTAL_REV",IQ_FY-3)/I2815, _xll.ciqfunctions.udf.CIQ(A2808, "IQ_TOTAL_REV",IQ_FY-2)/I2815))</f>
        <v>0.68684387790398427</v>
      </c>
      <c r="E2815" s="16">
        <f t="shared" si="751"/>
        <v>-0.2823388907252532</v>
      </c>
      <c r="F2815" s="15">
        <f>IF(A2816=A2817,_xll.ciqfunctions.udf.CIQ(A2808,"IQ_DILUT_EPS_EXCL",IQ_FY-3), _xll.ciqfunctions.udf.CIQ(A2808, "IQ_DILUT_EPS_EXCL",IQ_FY-2))</f>
        <v>-0.09</v>
      </c>
      <c r="G2815" s="15">
        <f>IF(A2816=A2817,_xll.ciqfunctions.udf.CIQ(A2808,"IQ_EBITDA_MARGIN",IQ_FY-3), _xll.ciqfunctions.udf.CIQ(A2808, "IQ_EBITDA_MARGIN",IQ_FY-2))</f>
        <v>-23.216799999999999</v>
      </c>
      <c r="H2815" s="15">
        <f>IF(A2816=A2817,_xll.ciqfunctions.udf.CIQ(A2808,"IQ_TOTAL_DIV_PAID_CF",IQ_FY-3)/-I2815, _xll.ciqfunctions.udf.CIQ(A2808, "IQ_TOTAL_DIV_PAID_CF",IQ_FY-2)/-I2815)</f>
        <v>0</v>
      </c>
      <c r="I2815" s="17">
        <f>IF(A2816=A2817,_xll.ciqfunctions.udf.CIQ(A2808,"IQ_TOTAL_OUTSTANDING_FILING_DATE",IQ_FY-3), _xll.ciqfunctions.udf.CIQ(A2808, "IQ_TOTAL_OUTSTANDING_FILING_DATE",IQ_FY-2))</f>
        <v>24.168520000000001</v>
      </c>
      <c r="J2815" s="17">
        <f>IF(A2816=A2817,_xll.ciqfunctions.udf.CIQ(A2808,"IQ_CASH_OPER",IQ_FY-3), _xll.ciqfunctions.udf.CIQ(A2808, "IQ_CASH_OPER",IQ_FY-2))</f>
        <v>-2.7010000000000001</v>
      </c>
      <c r="K2815" s="17">
        <f>IF(A2816=A2817,_xll.ciqfunctions.udf.CIQ(A2808,"IQ_CAPEX",IQ_FY-3), _xll.ciqfunctions.udf.CIQ(A2808, "IQ_CAPEX",IQ_FY-2))</f>
        <v>-0.22700000000000001</v>
      </c>
      <c r="L2815" s="15">
        <f t="shared" si="748"/>
        <v>-0.12114932978932925</v>
      </c>
      <c r="M2815" s="17">
        <f>IF(A2816=A2817,_xll.ciqfunctions.udf.CIQ(A2808,"IQ_TOTAL_DEBT_ISSUED",IQ_FY-3), _xll.ciqfunctions.udf.CIQ(A2808, "IQ_TOTAL_DEBT_ISSUED",IQ_FY-2))</f>
        <v>1.4</v>
      </c>
      <c r="N2815" s="17">
        <f>IF(A2816=A2817,_xll.ciqfunctions.udf.CIQ(A2808,"IQ_TOTAL_DEBT_REPAID",IQ_FY-3), _xll.ciqfunctions.udf.CIQ(A2808, "IQ_TOTAL_DEBT_REPAID",IQ_FY-2))</f>
        <v>0</v>
      </c>
      <c r="O2815" s="15">
        <f t="shared" si="749"/>
        <v>5.7926592112384205E-2</v>
      </c>
      <c r="P2815" s="15">
        <f t="shared" si="750"/>
        <v>-6.3222737676945057E-2</v>
      </c>
      <c r="Q2815" s="18"/>
      <c r="R2815" s="39" t="s">
        <v>31</v>
      </c>
      <c r="S2815" s="5">
        <f>IF(NOT(D2808&gt;0),FALSE,SLOPE(G2808:G2818,B2808:B2818))</f>
        <v>5.5239236363636355</v>
      </c>
      <c r="U2815" s="18"/>
      <c r="V2815" s="39" t="s">
        <v>31</v>
      </c>
      <c r="W2815" s="5">
        <f>IF(NOT(D2808&gt;0),FALSE,SLOPE(G2808:G2818,B2808:B2818))</f>
        <v>5.5239236363636355</v>
      </c>
      <c r="Y2815" s="18"/>
      <c r="Z2815" s="39" t="s">
        <v>31</v>
      </c>
      <c r="AA2815" s="5" t="b">
        <f>IF(NOT(L2808&gt;0),FALSE,SLOPE(O2808:O2818,J2808:J2818))</f>
        <v>0</v>
      </c>
    </row>
    <row r="2816" spans="1:27">
      <c r="A2816" s="19">
        <f>_xll.ciqfunctions.udf.CIQ(A2808,"IQ_TOTAL_REV",IQ_FY)</f>
        <v>64.960999999999999</v>
      </c>
      <c r="B2816" s="13">
        <v>9</v>
      </c>
      <c r="C2816" s="14" t="s">
        <v>32</v>
      </c>
      <c r="D2816" s="15" cm="1">
        <f t="array" ref="D2816">_xlfn.SINGLE(IF(A2816=A2817,_xll.ciqfunctions.udf.CIQ(A2808,"IQ_TOTAL_REV",IQ_FY-2)/I2816, _xll.ciqfunctions.udf.CIQ(A2808, "IQ_TOTAL_REV",IQ_FY-1)/I2816))</f>
        <v>1.8588463150380443</v>
      </c>
      <c r="E2816" s="16">
        <f t="shared" si="751"/>
        <v>1.706359297706221</v>
      </c>
      <c r="F2816" s="15">
        <f>IF(A2816=A2817,_xll.ciqfunctions.udf.CIQ(A2808,"IQ_DILUT_EPS_EXCL",IQ_FY-2), _xll.ciqfunctions.udf.CIQ(A2808, "IQ_DILUT_EPS_EXCL",IQ_FY-1))</f>
        <v>0.34</v>
      </c>
      <c r="G2816" s="15">
        <f>IF(A2816=A2817,_xll.ciqfunctions.udf.CIQ(A2808,"IQ_EBITDA_MARGIN",IQ_FY-2), _xll.ciqfunctions.udf.CIQ(A2808, "IQ_EBITDA_MARGIN",IQ_FY-1))</f>
        <v>16.0459</v>
      </c>
      <c r="H2816" s="15">
        <f>IF(A2816=A2817,_xll.ciqfunctions.udf.CIQ(A2808,"IQ_TOTAL_DIV_PAID_CF",IQ_FY-2)/-I2816, _xll.ciqfunctions.udf.CIQ(A2808, "IQ_TOTAL_DIV_PAID_CF",IQ_FY-1)/-I2816)</f>
        <v>0</v>
      </c>
      <c r="I2816" s="17">
        <f>IF(A2816=A2817,_xll.ciqfunctions.udf.CIQ(A2808,"IQ_TOTAL_OUTSTANDING_FILING_DATE",IQ_FY-2), _xll.ciqfunctions.udf.CIQ(A2808, "IQ_TOTAL_OUTSTANDING_FILING_DATE",IQ_FY-1))</f>
        <v>27.344380000000001</v>
      </c>
      <c r="J2816" s="17">
        <f>IF(A2816=A2817,_xll.ciqfunctions.udf.CIQ(A2808,"IQ_CASH_OPER",IQ_FY-2), _xll.ciqfunctions.udf.CIQ(A2808, "IQ_CASH_OPER",IQ_FY-1))</f>
        <v>1.508</v>
      </c>
      <c r="K2816" s="17">
        <f>IF(A2816=A2817,_xll.ciqfunctions.udf.CIQ(A2808,"IQ_CAPEX",IQ_FY-2), _xll.ciqfunctions.udf.CIQ(A2808, "IQ_CAPEX",IQ_FY-1))</f>
        <v>-0.41599999999999998</v>
      </c>
      <c r="L2816" s="15">
        <f t="shared" si="748"/>
        <v>3.9935079895759201E-2</v>
      </c>
      <c r="M2816" s="17">
        <f>IF(A2816=A2817,_xll.ciqfunctions.udf.CIQ(A2808,"IQ_TOTAL_DEBT_ISSUED",IQ_FY-2), _xll.ciqfunctions.udf.CIQ(A2808, "IQ_TOTAL_DEBT_ISSUED",IQ_FY-1))</f>
        <v>0</v>
      </c>
      <c r="N2816" s="17">
        <f>IF(A2816=A2817,_xll.ciqfunctions.udf.CIQ(A2808,"IQ_TOTAL_DEBT_REPAID",IQ_FY-2), _xll.ciqfunctions.udf.CIQ(A2808, "IQ_TOTAL_DEBT_REPAID",IQ_FY-1))</f>
        <v>-1.4</v>
      </c>
      <c r="O2816" s="15">
        <f t="shared" si="749"/>
        <v>-5.1198820379178459E-2</v>
      </c>
      <c r="P2816" s="15">
        <f t="shared" si="750"/>
        <v>-1.1263740483419257E-2</v>
      </c>
      <c r="Q2816" s="25" t="s">
        <v>33</v>
      </c>
      <c r="R2816" s="38" t="s">
        <v>52</v>
      </c>
      <c r="S2816" s="4">
        <f>(AVERAGE(O2813:O2818)/AVERAGE(P2813:P2818))</f>
        <v>2.3485642845585528</v>
      </c>
      <c r="U2816" s="25" t="s">
        <v>54</v>
      </c>
      <c r="V2816" s="38" t="s">
        <v>52</v>
      </c>
      <c r="W2816" s="4">
        <f>(AVERAGE(O2813:O2818)/AVERAGE(P2813:P2818))</f>
        <v>2.3485642845585528</v>
      </c>
      <c r="Y2816" s="25" t="s">
        <v>60</v>
      </c>
      <c r="Z2816" s="38" t="s">
        <v>52</v>
      </c>
      <c r="AA2816" s="4">
        <f>(AVERAGE(O2813:O2818)/AVERAGE(P2813:P2818))</f>
        <v>2.3485642845585528</v>
      </c>
    </row>
    <row r="2817" spans="1:27">
      <c r="A2817" s="19">
        <f>_xll.ciqfunctions.udf.CIQ(A2808,"IQ_TOTAL_REV",IQ_LTM)</f>
        <v>74.914000000000001</v>
      </c>
      <c r="B2817" s="13">
        <v>10</v>
      </c>
      <c r="C2817" s="14" t="s">
        <v>34</v>
      </c>
      <c r="D2817" s="15" cm="1">
        <f t="array" ref="D2817">_xlfn.SINGLE(IF(A2816=A2817,_xll.ciqfunctions.udf.CIQ(A2808,"IQ_TOTAL_REV",IQ_FY-1)/I2817, _xll.ciqfunctions.udf.CIQ(A2808, "IQ_TOTAL_REV",IQ_FY)/I2817))</f>
        <v>2.2590863708176161</v>
      </c>
      <c r="E2817" s="16">
        <f t="shared" si="751"/>
        <v>0.21531637798221109</v>
      </c>
      <c r="F2817" s="15">
        <f>IF(A2816=A2817,_xll.ciqfunctions.udf.CIQ(A2808,"IQ_DILUT_EPS_EXCL",IQ_FY-1), _xll.ciqfunctions.udf.CIQ(A2808, "IQ_DILUT_EPS_EXCL",IQ_FY))</f>
        <v>0.5</v>
      </c>
      <c r="G2817" s="15">
        <f>IF(A2816=A2817,_xll.ciqfunctions.udf.CIQ(A2808,"IQ_EBITDA_MARGIN",IQ_FY-1), _xll.ciqfunctions.udf.CIQ(A2808, "IQ_EBITDA_MARGIN",IQ_FY))</f>
        <v>21.2819</v>
      </c>
      <c r="H2817" s="15">
        <f>IF(A2816=A2817,_xll.ciqfunctions.udf.CIQ(A2808,"IQ_TOTAL_DIV_PAID_CF",IQ_FY-1)/-I2817, _xll.ciqfunctions.udf.CIQ(A2808, "IQ_TOTAL_DIV_PAID_CF",IQ_FY)/-I2817)</f>
        <v>0</v>
      </c>
      <c r="I2817" s="17">
        <f>IF(A2816=A2817,_xll.ciqfunctions.udf.CIQ(A2808,"IQ_TOTAL_OUTSTANDING_FILING_DATE",IQ_FY-1), _xll.ciqfunctions.udf.CIQ(A2808, "IQ_TOTAL_OUTSTANDING_FILING_DATE",IQ_FY))</f>
        <v>28.75543</v>
      </c>
      <c r="J2817" s="17">
        <f>IF(A2816=A2817,_xll.ciqfunctions.udf.CIQ(A2808,"IQ_CASH_OPER",IQ_FY-1), _xll.ciqfunctions.udf.CIQ(A2808, "IQ_CASH_OPER",IQ_FY))</f>
        <v>10.010999999999999</v>
      </c>
      <c r="K2817" s="17">
        <f>IF(A2816=A2817,_xll.ciqfunctions.udf.CIQ(A2808,"IQ_CAPEX",IQ_FY-1), _xll.ciqfunctions.udf.CIQ(A2808, "IQ_CAPEX",IQ_FY))</f>
        <v>-1.3620000000000001</v>
      </c>
      <c r="L2817" s="15">
        <f t="shared" si="748"/>
        <v>0.30077797480336754</v>
      </c>
      <c r="M2817" s="17">
        <f>IF(A2816=A2817,_xll.ciqfunctions.udf.CIQ(A2808,"IQ_TOTAL_DEBT_ISSUED",IQ_FY-1), _xll.ciqfunctions.udf.CIQ(A2808, "IQ_TOTAL_DEBT_ISSUED",IQ_FY))</f>
        <v>0</v>
      </c>
      <c r="N2817" s="17">
        <f>IF(A2816=A2817,_xll.ciqfunctions.udf.CIQ(A2808,"IQ_TOTAL_DEBT_REPAID",IQ_FY-1), _xll.ciqfunctions.udf.CIQ(A2808, "IQ_TOTAL_DEBT_REPAID",IQ_FY))</f>
        <v>0</v>
      </c>
      <c r="O2817" s="15">
        <f t="shared" si="749"/>
        <v>0</v>
      </c>
      <c r="P2817" s="15">
        <f t="shared" si="750"/>
        <v>0.30077797480336754</v>
      </c>
      <c r="Q2817" s="25" t="s">
        <v>44</v>
      </c>
      <c r="R2817" s="38" t="s">
        <v>35</v>
      </c>
      <c r="S2817" s="1">
        <f>_xll.ciqfunctions.udf.CIQ(A2808,"IQ_TEV_EBITDA")</f>
        <v>36.32255</v>
      </c>
      <c r="U2817" s="25" t="s">
        <v>55</v>
      </c>
      <c r="V2817" s="38" t="s">
        <v>53</v>
      </c>
      <c r="W2817" s="1">
        <f>V2807/(AVERAGE(D2813:D2818)/_xlfn.STDEV.P(E2813:E2818))</f>
        <v>10.586444940467715</v>
      </c>
      <c r="Y2817" s="25" t="s">
        <v>57</v>
      </c>
      <c r="Z2817" s="38" t="s">
        <v>53</v>
      </c>
      <c r="AA2817" s="1">
        <f>Z2807/(AVERAGE(D2813:D2818)/_xlfn.STDEV.P(E2813:E2818))</f>
        <v>10.586444940467715</v>
      </c>
    </row>
    <row r="2818" spans="1:27">
      <c r="B2818" s="13">
        <v>11</v>
      </c>
      <c r="C2818" s="20" t="s">
        <v>36</v>
      </c>
      <c r="D2818" s="21" cm="1">
        <f t="array" ref="D2818">_xlfn.SINGLE(IF(A2816=A2817,_xll.ciqfunctions.udf.CIQ(A2808,"IQ_TOTAL_REV",IQ_FY)/I2818, _xll.ciqfunctions.udf.CIQ(A2808, "IQ_TOTAL_REV",IQ_LTM)/I2818))</f>
        <v>2.6012428769994838</v>
      </c>
      <c r="E2818" s="22">
        <f t="shared" si="751"/>
        <v>0.1514579126330762</v>
      </c>
      <c r="F2818" s="21">
        <f>IF(A2816=A2817,_xll.ciqfunctions.udf.CIQ(A2808,"IQ_DILUT_EPS_EXCL",IQ_FY), _xll.ciqfunctions.udf.CIQ(A2808, "IQ_DILUT_EPS_EXCL",IQ_LTM))</f>
        <v>0.63797000000000004</v>
      </c>
      <c r="G2818" s="21">
        <f>IF(A2816=A2817,_xll.ciqfunctions.udf.CIQ(A2808,"IQ_EBITDA_MARGIN",IQ_FY), _xll.ciqfunctions.udf.CIQ(A2808, "IQ_EBITDA_MARGIN",IQ_LTM))</f>
        <v>23.381399999999999</v>
      </c>
      <c r="H2818" s="21">
        <f>IF(A2816=A2817,_xll.ciqfunctions.udf.CIQ(A2808,"IQ_TOTAL_DIV_PAID_CF",IQ_FY)/-I2818, _xll.ciqfunctions.udf.CIQ(A2808, "IQ_TOTAL_DIV_PAID_CF",IQ_LTM)/-I2818)</f>
        <v>0</v>
      </c>
      <c r="I2818" s="23">
        <f>IF(A2816=A2817,_xll.ciqfunctions.udf.CIQ(A2808,"IQ_TOTAL_OUTSTANDING_FILING_DATE",IQ_FY),_xll.ciqfunctions.udf.CIQ(A2808,"IQ_sharesoutstanding"))</f>
        <v>28.799309999999998</v>
      </c>
      <c r="J2818" s="23">
        <f>IF(A2816=A2817,_xll.ciqfunctions.udf.CIQ(A2808,"IQ_CASH_OPER",IQ_FY), _xll.ciqfunctions.udf.CIQ(A2808, "IQ_CASH_OPER",IQ_LTM))</f>
        <v>8.4510000000000005</v>
      </c>
      <c r="K2818" s="23">
        <f>IF(A2816=A2817,_xll.ciqfunctions.udf.CIQ(A2808,"IQ_CAPEX",IQ_FY), _xll.ciqfunctions.udf.CIQ(A2808, "IQ_CAPEX",IQ_LTM))</f>
        <v>-1.5620000000000001</v>
      </c>
      <c r="L2818" s="21">
        <f t="shared" si="748"/>
        <v>0.23920711989280302</v>
      </c>
      <c r="M2818" s="23">
        <f>IF(A2816=A2817,_xll.ciqfunctions.udf.CIQ(A2808,"IQ_TOTAL_DEBT_ISSUED",IQ_FY), _xll.ciqfunctions.udf.CIQ(A2808, "IQ_TOTAL_DEBT_ISSUED",IQ_LTM))</f>
        <v>0</v>
      </c>
      <c r="N2818" s="23">
        <f>IF(A2816=A2817,_xll.ciqfunctions.udf.CIQ(A2808,"IQ_TOTAL_DEBT_REPAID",IQ_FY), _xll.ciqfunctions.udf.CIQ(A2808, "IQ_TOTAL_DEBT_REPAID",IQ_LTM))</f>
        <v>0</v>
      </c>
      <c r="O2818" s="21">
        <f t="shared" si="749"/>
        <v>0</v>
      </c>
      <c r="P2818" s="21">
        <f t="shared" si="750"/>
        <v>0.23920711989280302</v>
      </c>
      <c r="Q2818" s="25" t="s">
        <v>45</v>
      </c>
      <c r="S2818" s="45"/>
      <c r="U2818" s="25"/>
      <c r="W2818" s="45"/>
      <c r="Y2818" s="25"/>
      <c r="AA2818" s="45"/>
    </row>
    <row r="2819" spans="1:27">
      <c r="B2819" s="24"/>
      <c r="C2819" s="25" t="s">
        <v>37</v>
      </c>
      <c r="E2819" s="26">
        <f>((D2818/D2813)^(1/5))-1</f>
        <v>0.22926441472250536</v>
      </c>
      <c r="F2819" s="27">
        <f>((F2818/F2813)^(1/5))-1</f>
        <v>-2.2222957196320099</v>
      </c>
      <c r="G2819" s="28"/>
      <c r="H2819" s="27" t="e">
        <f>((H2818/H2813)^(1/5))-1</f>
        <v>#DIV/0!</v>
      </c>
      <c r="I2819" s="27">
        <f>((I2818/I2813)^(1/5))-1</f>
        <v>4.8557167584415195E-2</v>
      </c>
      <c r="J2819" s="27"/>
      <c r="K2819" s="27"/>
      <c r="L2819" s="26">
        <f>((L2818/L2813)^(1/5))-1</f>
        <v>-1.9867426433190531</v>
      </c>
      <c r="M2819" s="26"/>
      <c r="N2819" s="26"/>
      <c r="O2819" s="26"/>
      <c r="P2819" s="26">
        <f>((P2818/P2813)^(1/5))-1</f>
        <v>-1.8546412932909289</v>
      </c>
      <c r="Q2819" s="18"/>
      <c r="R2819" s="36"/>
      <c r="S2819" s="45"/>
      <c r="U2819" s="18"/>
      <c r="V2819" s="36"/>
      <c r="W2819" s="45"/>
      <c r="Y2819" s="18"/>
      <c r="Z2819" s="36"/>
      <c r="AA2819" s="45"/>
    </row>
    <row r="2820" spans="1:27">
      <c r="A2820" s="29"/>
      <c r="B2820" s="30"/>
      <c r="C2820" s="31" t="s">
        <v>38</v>
      </c>
      <c r="D2820" s="29"/>
      <c r="E2820" s="32">
        <f>((D2818/D2808)^(1/10))-1</f>
        <v>4.242996768971552E-2</v>
      </c>
      <c r="F2820" s="33">
        <f>((F2818/F2808)^(1/10))-1</f>
        <v>0.32311274588117</v>
      </c>
      <c r="G2820" s="34"/>
      <c r="H2820" s="33" t="e">
        <f>((H2818/H2808)^(1/10))-1</f>
        <v>#DIV/0!</v>
      </c>
      <c r="I2820" s="33">
        <f>((I2818/I2808)^(1/10))-1</f>
        <v>9.6473336251228003E-2</v>
      </c>
      <c r="J2820" s="33"/>
      <c r="K2820" s="33"/>
      <c r="L2820" s="32" t="e">
        <f>((L2818/L2808)^(1/10))-1</f>
        <v>#NUM!</v>
      </c>
      <c r="M2820" s="32"/>
      <c r="N2820" s="32"/>
      <c r="O2820" s="32"/>
      <c r="P2820" s="32" t="e">
        <f>((P2818/P2808)^(1/10))-1</f>
        <v>#NUM!</v>
      </c>
      <c r="Q2820" s="40"/>
      <c r="R2820" s="41"/>
      <c r="S2820" s="46"/>
      <c r="U2820" s="40"/>
      <c r="V2820" s="41"/>
      <c r="W2820" s="46"/>
      <c r="Y2820" s="40"/>
      <c r="Z2820" s="41"/>
      <c r="AA2820" s="46"/>
    </row>
    <row r="2821" spans="1:27">
      <c r="B2821" s="24"/>
      <c r="C2821" s="25"/>
      <c r="E2821" s="26"/>
      <c r="F2821" s="27"/>
      <c r="G2821" s="28"/>
      <c r="H2821" s="27"/>
      <c r="I2821" s="27"/>
      <c r="J2821" s="27"/>
      <c r="K2821" s="27"/>
      <c r="L2821" s="26"/>
      <c r="M2821" s="17"/>
      <c r="N2821" s="17"/>
      <c r="O2821" s="17"/>
      <c r="P2821" s="35"/>
      <c r="Q2821" s="18"/>
      <c r="R2821" s="36"/>
    </row>
    <row r="2822" spans="1:27">
      <c r="A2822" s="9" t="s">
        <v>0</v>
      </c>
      <c r="B2822" s="10"/>
      <c r="C2822" s="9" t="s">
        <v>1</v>
      </c>
      <c r="D2822" s="9" t="s">
        <v>2</v>
      </c>
      <c r="E2822" s="9" t="s">
        <v>3</v>
      </c>
      <c r="F2822" s="11" t="s">
        <v>4</v>
      </c>
      <c r="G2822" s="11" t="s">
        <v>5</v>
      </c>
      <c r="H2822" s="9" t="s">
        <v>6</v>
      </c>
      <c r="I2822" s="11" t="s">
        <v>7</v>
      </c>
      <c r="J2822" s="11" t="s">
        <v>8</v>
      </c>
      <c r="K2822" s="11" t="s">
        <v>9</v>
      </c>
      <c r="L2822" s="11" t="s">
        <v>10</v>
      </c>
      <c r="M2822" s="11" t="s">
        <v>11</v>
      </c>
      <c r="N2822" s="11" t="s">
        <v>12</v>
      </c>
      <c r="O2822" s="11" t="s">
        <v>13</v>
      </c>
      <c r="P2822" s="11" t="s">
        <v>14</v>
      </c>
      <c r="Q2822" s="37" t="s">
        <v>15</v>
      </c>
      <c r="R2822" s="42">
        <f>_xll.ciqfunctions.udf.CIQ(A2823,("IQ_LASTSALEPRICE"))</f>
        <v>33.68</v>
      </c>
      <c r="S2822" s="44"/>
      <c r="U2822" s="37" t="s">
        <v>15</v>
      </c>
      <c r="V2822" s="42">
        <f>_xll.ciqfunctions.udf.CIQ(A2823,("IQ_LASTSALEPRICE"))</f>
        <v>33.68</v>
      </c>
      <c r="W2822" s="44"/>
      <c r="Y2822" s="37" t="s">
        <v>15</v>
      </c>
      <c r="Z2822" s="42">
        <f>_xll.ciqfunctions.udf.CIQ(A2823,("IQ_LASTSALEPRICE"))</f>
        <v>33.68</v>
      </c>
      <c r="AA2822" s="44"/>
    </row>
    <row r="2823" spans="1:27">
      <c r="A2823" s="12" t="str">
        <f>Analysis!B190</f>
        <v>NYSE:WOLF</v>
      </c>
      <c r="B2823" s="13">
        <v>1</v>
      </c>
      <c r="C2823" s="14" t="s">
        <v>16</v>
      </c>
      <c r="D2823" s="15">
        <f>IF(A2831=A2832,_xll.ciqfunctions.udf.CIQ(A2823,"IQ_TOTAL_REV",IQ_FY-10)/I2823,_xll.ciqfunctions.udf.CIQ(A2823, "IQ_TOTAL_REV",IQ_FY-9)/I2823)</f>
        <v>13.725674937188023</v>
      </c>
      <c r="E2823" s="16"/>
      <c r="F2823" s="15">
        <f>IF(A2831=A2832,_xll.ciqfunctions.udf.CIQ(A2823,"IQ_DILUT_EPS_EXCL",IQ_FY-10), _xll.ciqfunctions.udf.CIQ(A2823, "IQ_DILUT_EPS_EXCL",IQ_FY-9))</f>
        <v>1</v>
      </c>
      <c r="G2823" s="15">
        <f>IF(A2831=A2832,_xll.ciqfunctions.udf.CIQ(A2823,"IQ_EBITDA_MARGIN",IQ_FY-10), _xll.ciqfunctions.udf.CIQ(A2823, "IQ_EBITDA_MARGIN",IQ_FY-9))</f>
        <v>17.2179</v>
      </c>
      <c r="H2823" s="15">
        <f>IF(A2831=A2832,_xll.ciqfunctions.udf.CIQ(A2823,"IQ_TOTAL_DIV_PAID_CF",IQ_FY-10)/-I2823, _xll.ciqfunctions.udf.CIQ(A2823, "IQ_TOTAL_DIV_PAID_CF",IQ_FY-9)/-I2823)</f>
        <v>0</v>
      </c>
      <c r="I2823" s="17">
        <f>IF(A2831=A2832,_xll.ciqfunctions.udf.CIQ(A2823,"IQ_TOTAL_OUTSTANDING_FILING_DATE",IQ_FY-10), _xll.ciqfunctions.udf.CIQ(A2823, "IQ_TOTAL_OUTSTANDING_FILING_DATE",IQ_FY-9))</f>
        <v>120.0408</v>
      </c>
      <c r="J2823" s="17">
        <f>IF(A2831=A2832,_xll.ciqfunctions.udf.CIQ(A2823,"IQ_CASH_OPER",IQ_FY-10), _xll.ciqfunctions.udf.CIQ(A2823, "IQ_CASH_OPER",IQ_FY-9))</f>
        <v>319.30799999999999</v>
      </c>
      <c r="K2823" s="17">
        <f>IF(A2831=A2832,_xll.ciqfunctions.udf.CIQ(A2823,"IQ_CAPEX",IQ_FY-10), _xll.ciqfunctions.udf.CIQ(A2823, "IQ_CAPEX",IQ_FY-9))</f>
        <v>-178.55699999999999</v>
      </c>
      <c r="L2823" s="15">
        <f t="shared" ref="L2823:L2833" si="752">(J2823+K2823)/I2823</f>
        <v>1.172526341044045</v>
      </c>
      <c r="M2823" s="17">
        <f>IF(A2831=A2832,_xll.ciqfunctions.udf.CIQ(A2823,"IQ_TOTAL_DEBT_ISSUED",IQ_FY-10), _xll.ciqfunctions.udf.CIQ(A2823, "IQ_TOTAL_DEBT_ISSUED",IQ_FY-9))</f>
        <v>0</v>
      </c>
      <c r="N2823" s="17">
        <f>IF(A2831=A2832,_xll.ciqfunctions.udf.CIQ(A2823,"IQ_TOTAL_DEBT_REPAID",IQ_FY-10), _xll.ciqfunctions.udf.CIQ(A2823, "IQ_TOTAL_DEBT_REPAID",IQ_FY-9))</f>
        <v>0</v>
      </c>
      <c r="O2823" s="15">
        <f t="shared" ref="O2823:O2833" si="753">(M2823+N2823)/I2823</f>
        <v>0</v>
      </c>
      <c r="P2823" s="15">
        <f t="shared" ref="P2823:P2833" si="754">L2823+O2823</f>
        <v>1.172526341044045</v>
      </c>
      <c r="W2823" s="43"/>
      <c r="AA2823" s="43"/>
    </row>
    <row r="2824" spans="1:27">
      <c r="A2824" s="18" t="str">
        <f>_xll.ciqfunctions.udf.CIQ(A2823,"IQ_COMPANY_NAME")</f>
        <v>Wolfspeed, Inc.</v>
      </c>
      <c r="B2824" s="13">
        <v>2</v>
      </c>
      <c r="C2824" s="14" t="s">
        <v>17</v>
      </c>
      <c r="D2824" s="15">
        <f>IF(A2831=A2832,_xll.ciqfunctions.udf.CIQ(A2823,"IQ_TOTAL_REV",IQ_FY-9)/I2824, _xll.ciqfunctions.udf.CIQ(A2823, "IQ_TOTAL_REV",IQ_FY-8)/I2824)</f>
        <v>15.804446781677509</v>
      </c>
      <c r="E2824" s="16">
        <f t="shared" ref="E2824:E2833" si="755">(D2824-D2823)/D2823</f>
        <v>0.15145133875036704</v>
      </c>
      <c r="F2824" s="15">
        <f>IF(A2831=A2832,_xll.ciqfunctions.udf.CIQ(A2823,"IQ_DILUT_EPS_EXCL",IQ_FY-9), _xll.ciqfunctions.udf.CIQ(A2823, "IQ_DILUT_EPS_EXCL",IQ_FY-8))</f>
        <v>-0.57238</v>
      </c>
      <c r="G2824" s="15">
        <f>IF(A2831=A2832,_xll.ciqfunctions.udf.CIQ(A2823,"IQ_EBITDA_MARGIN",IQ_FY-9), _xll.ciqfunctions.udf.CIQ(A2823, "IQ_EBITDA_MARGIN",IQ_FY-8))</f>
        <v>8.7879000000000005</v>
      </c>
      <c r="H2824" s="15">
        <f>IF(A2831=A2832,_xll.ciqfunctions.udf.CIQ(A2823,"IQ_TOTAL_DIV_PAID_CF",IQ_FY-9)/-I2824, _xll.ciqfunctions.udf.CIQ(A2823, "IQ_TOTAL_DIV_PAID_CF",IQ_FY-8)/-I2824)</f>
        <v>0</v>
      </c>
      <c r="I2824" s="17">
        <f>IF(A2831=A2832,_xll.ciqfunctions.udf.CIQ(A2823,"IQ_TOTAL_OUTSTANDING_FILING_DATE",IQ_FY-9), _xll.ciqfunctions.udf.CIQ(A2823, "IQ_TOTAL_OUTSTANDING_FILING_DATE",IQ_FY-8))</f>
        <v>103.29403000000001</v>
      </c>
      <c r="J2824" s="17">
        <f>IF(A2831=A2832,_xll.ciqfunctions.udf.CIQ(A2823,"IQ_CASH_OPER",IQ_FY-9), _xll.ciqfunctions.udf.CIQ(A2823, "IQ_CASH_OPER",IQ_FY-8))</f>
        <v>181.25399999999999</v>
      </c>
      <c r="K2824" s="17">
        <f>IF(A2831=A2832,_xll.ciqfunctions.udf.CIQ(A2823,"IQ_CAPEX",IQ_FY-9), _xll.ciqfunctions.udf.CIQ(A2823, "IQ_CAPEX",IQ_FY-8))</f>
        <v>-206.16</v>
      </c>
      <c r="L2824" s="15">
        <f t="shared" si="752"/>
        <v>-0.24111751666577444</v>
      </c>
      <c r="M2824" s="17">
        <f>IF(A2831=A2832,_xll.ciqfunctions.udf.CIQ(A2823,"IQ_TOTAL_DEBT_ISSUED",IQ_FY-9), _xll.ciqfunctions.udf.CIQ(A2823, "IQ_TOTAL_DEBT_ISSUED",IQ_FY-8))</f>
        <v>695</v>
      </c>
      <c r="N2824" s="17">
        <f>IF(A2831=A2832,_xll.ciqfunctions.udf.CIQ(A2823,"IQ_TOTAL_DEBT_REPAID",IQ_FY-9), _xll.ciqfunctions.udf.CIQ(A2823, "IQ_TOTAL_DEBT_REPAID",IQ_FY-8))</f>
        <v>-495</v>
      </c>
      <c r="O2824" s="15">
        <f t="shared" si="753"/>
        <v>1.9362203217359222</v>
      </c>
      <c r="P2824" s="15">
        <f t="shared" si="754"/>
        <v>1.6951028050701478</v>
      </c>
      <c r="Q2824" s="25" t="s">
        <v>18</v>
      </c>
      <c r="R2824" s="39" t="s">
        <v>19</v>
      </c>
      <c r="S2824" s="1">
        <f>R2822/((AVERAGE(P2828:P2833))*(1+E2834)^3)</f>
        <v>4.954128767113775</v>
      </c>
      <c r="U2824" s="25" t="s">
        <v>48</v>
      </c>
      <c r="V2824" s="39" t="s">
        <v>19</v>
      </c>
      <c r="W2824" s="1">
        <f>V2822/((AVERAGE(P2828:P2833))*(1+E2834)^3)</f>
        <v>4.954128767113775</v>
      </c>
      <c r="Y2824" s="25" t="s">
        <v>39</v>
      </c>
      <c r="Z2824" s="39" t="s">
        <v>19</v>
      </c>
      <c r="AA2824" s="1">
        <f>Z2822/((AVERAGE(P2828:P2833))*(1+E2834)^3)</f>
        <v>4.954128767113775</v>
      </c>
    </row>
    <row r="2825" spans="1:27">
      <c r="B2825" s="13">
        <v>3</v>
      </c>
      <c r="C2825" s="14" t="s">
        <v>20</v>
      </c>
      <c r="D2825" s="15" cm="1">
        <f t="array" ref="D2825">_xlfn.SINGLE(IF(A2831=A2832,_xll.ciqfunctions.udf.CIQ(A2823,"IQ_TOTAL_REV",IQ_FY-8)/I2825, _xll.ciqfunctions.udf.CIQ(A2823, "IQ_TOTAL_REV",IQ_FY-7)/I2825))</f>
        <v>16.029976725885827</v>
      </c>
      <c r="E2825" s="16">
        <f t="shared" si="755"/>
        <v>1.427003091748716E-2</v>
      </c>
      <c r="F2825" s="15">
        <f>IF(A2831=A2832,_xll.ciqfunctions.udf.CIQ(A2823,"IQ_DILUT_EPS_EXCL",IQ_FY-8), _xll.ciqfunctions.udf.CIQ(A2823, "IQ_DILUT_EPS_EXCL",IQ_FY-7))</f>
        <v>-0.21159</v>
      </c>
      <c r="G2825" s="15">
        <f>IF(A2831=A2832,_xll.ciqfunctions.udf.CIQ(A2823,"IQ_EBITDA_MARGIN",IQ_FY-8), _xll.ciqfunctions.udf.CIQ(A2823, "IQ_EBITDA_MARGIN",IQ_FY-7))</f>
        <v>9.1925000000000008</v>
      </c>
      <c r="H2825" s="15">
        <f>IF(A2831=A2832,_xll.ciqfunctions.udf.CIQ(A2823,"IQ_TOTAL_DIV_PAID_CF",IQ_FY-8)/-I2825, _xll.ciqfunctions.udf.CIQ(A2823, "IQ_TOTAL_DIV_PAID_CF",IQ_FY-7)/-I2825)</f>
        <v>0</v>
      </c>
      <c r="I2825" s="17">
        <f>IF(A2831=A2832,_xll.ciqfunctions.udf.CIQ(A2823,"IQ_TOTAL_OUTSTANDING_FILING_DATE",IQ_FY-8), _xll.ciqfunctions.udf.CIQ(A2823, "IQ_TOTAL_OUTSTANDING_FILING_DATE",IQ_FY-7))</f>
        <v>100.85024</v>
      </c>
      <c r="J2825" s="17">
        <f>IF(A2831=A2832,_xll.ciqfunctions.udf.CIQ(A2823,"IQ_CASH_OPER",IQ_FY-8), _xll.ciqfunctions.udf.CIQ(A2823, "IQ_CASH_OPER",IQ_FY-7))</f>
        <v>203.316</v>
      </c>
      <c r="K2825" s="17">
        <f>IF(A2831=A2832,_xll.ciqfunctions.udf.CIQ(A2823,"IQ_CAPEX",IQ_FY-8), _xll.ciqfunctions.udf.CIQ(A2823, "IQ_CAPEX",IQ_FY-7))</f>
        <v>-120.018</v>
      </c>
      <c r="L2825" s="15">
        <f t="shared" si="752"/>
        <v>0.82595737997252161</v>
      </c>
      <c r="M2825" s="17">
        <f>IF(A2831=A2832,_xll.ciqfunctions.udf.CIQ(A2823,"IQ_TOTAL_DEBT_ISSUED",IQ_FY-8), _xll.ciqfunctions.udf.CIQ(A2823, "IQ_TOTAL_DEBT_ISSUED",IQ_FY-7))</f>
        <v>653</v>
      </c>
      <c r="N2825" s="17">
        <f>IF(A2831=A2832,_xll.ciqfunctions.udf.CIQ(A2823,"IQ_TOTAL_DEBT_REPAID",IQ_FY-8), _xll.ciqfunctions.udf.CIQ(A2823, "IQ_TOTAL_DEBT_REPAID",IQ_FY-7))</f>
        <v>-693</v>
      </c>
      <c r="O2825" s="15">
        <f t="shared" si="753"/>
        <v>-0.39662771253692602</v>
      </c>
      <c r="P2825" s="15">
        <f t="shared" si="754"/>
        <v>0.42932966743559559</v>
      </c>
      <c r="Q2825" s="25" t="s">
        <v>21</v>
      </c>
      <c r="R2825" s="38" t="s">
        <v>49</v>
      </c>
      <c r="S2825" s="2">
        <f>(R2822*I2833)/1000</f>
        <v>4.2209567776000005</v>
      </c>
      <c r="U2825" s="25" t="s">
        <v>59</v>
      </c>
      <c r="V2825" s="38" t="s">
        <v>49</v>
      </c>
      <c r="W2825" s="2">
        <f>(V2822*I2833)/1000</f>
        <v>4.2209567776000005</v>
      </c>
      <c r="Y2825" s="25" t="s">
        <v>46</v>
      </c>
      <c r="Z2825" s="38" t="s">
        <v>49</v>
      </c>
      <c r="AA2825" s="2">
        <f>(Z2822*I2833)/1000</f>
        <v>4.2209567776000005</v>
      </c>
    </row>
    <row r="2826" spans="1:27">
      <c r="A2826" s="18"/>
      <c r="B2826" s="13">
        <v>4</v>
      </c>
      <c r="C2826" s="14" t="s">
        <v>22</v>
      </c>
      <c r="D2826" s="15" cm="1">
        <f t="array" ref="D2826">_xlfn.SINGLE(IF(A2831=A2832,_xll.ciqfunctions.udf.CIQ(A2823,"IQ_TOTAL_REV",IQ_FY-7)/I2826, _xll.ciqfunctions.udf.CIQ(A2823, "IQ_TOTAL_REV",IQ_FY-6)/I2826))</f>
        <v>7.8978461964320772</v>
      </c>
      <c r="E2826" s="16">
        <f t="shared" si="755"/>
        <v>-0.50730769411047683</v>
      </c>
      <c r="F2826" s="15">
        <f>IF(A2831=A2832,_xll.ciqfunctions.udf.CIQ(A2823,"IQ_DILUT_EPS_EXCL",IQ_FY-7), _xll.ciqfunctions.udf.CIQ(A2823, "IQ_DILUT_EPS_EXCL",IQ_FY-6))</f>
        <v>-0.89453000000000005</v>
      </c>
      <c r="G2826" s="15">
        <f>IF(A2831=A2832,_xll.ciqfunctions.udf.CIQ(A2823,"IQ_EBITDA_MARGIN",IQ_FY-7), _xll.ciqfunctions.udf.CIQ(A2823, "IQ_EBITDA_MARGIN",IQ_FY-6))</f>
        <v>16.772500000000001</v>
      </c>
      <c r="H2826" s="15">
        <f>IF(A2831=A2832,_xll.ciqfunctions.udf.CIQ(A2823,"IQ_TOTAL_DIV_PAID_CF",IQ_FY-7)/-I2826, _xll.ciqfunctions.udf.CIQ(A2823, "IQ_TOTAL_DIV_PAID_CF",IQ_FY-6)/-I2826)</f>
        <v>0</v>
      </c>
      <c r="I2826" s="17">
        <f>IF(A2831=A2832,_xll.ciqfunctions.udf.CIQ(A2823,"IQ_TOTAL_OUTSTANDING_FILING_DATE",IQ_FY-7), _xll.ciqfunctions.udf.CIQ(A2823, "IQ_TOTAL_OUTSTANDING_FILING_DATE",IQ_FY-6))</f>
        <v>97.68486</v>
      </c>
      <c r="J2826" s="17">
        <f>IF(A2831=A2832,_xll.ciqfunctions.udf.CIQ(A2823,"IQ_CASH_OPER",IQ_FY-7), _xll.ciqfunctions.udf.CIQ(A2823, "IQ_CASH_OPER",IQ_FY-6))</f>
        <v>220.5</v>
      </c>
      <c r="K2826" s="17">
        <f>IF(A2831=A2832,_xll.ciqfunctions.udf.CIQ(A2823,"IQ_CAPEX",IQ_FY-7), _xll.ciqfunctions.udf.CIQ(A2823, "IQ_CAPEX",IQ_FY-6))</f>
        <v>-86.9</v>
      </c>
      <c r="L2826" s="15">
        <f t="shared" si="752"/>
        <v>1.3676633206005515</v>
      </c>
      <c r="M2826" s="17">
        <f>IF(A2831=A2832,_xll.ciqfunctions.udf.CIQ(A2823,"IQ_TOTAL_DEBT_ISSUED",IQ_FY-7), _xll.ciqfunctions.udf.CIQ(A2823, "IQ_TOTAL_DEBT_ISSUED",IQ_FY-6))</f>
        <v>468</v>
      </c>
      <c r="N2826" s="17">
        <f>IF(A2831=A2832,_xll.ciqfunctions.udf.CIQ(A2823,"IQ_TOTAL_DEBT_REPAID",IQ_FY-7), _xll.ciqfunctions.udf.CIQ(A2823, "IQ_TOTAL_DEBT_REPAID",IQ_FY-6))</f>
        <v>-483</v>
      </c>
      <c r="O2826" s="15">
        <f t="shared" si="753"/>
        <v>-0.15355501354048109</v>
      </c>
      <c r="P2826" s="15">
        <f t="shared" si="754"/>
        <v>1.2141083070600704</v>
      </c>
      <c r="Q2826" s="25" t="s">
        <v>23</v>
      </c>
      <c r="R2826" s="38" t="s">
        <v>24</v>
      </c>
      <c r="S2826" s="1" t="e">
        <f>R2822/(AVERAGE(H2828:H2833)*(1+H2834)/(0.5-H2834))</f>
        <v>#DIV/0!</v>
      </c>
      <c r="U2826" s="25" t="s">
        <v>40</v>
      </c>
      <c r="V2826" s="38" t="s">
        <v>24</v>
      </c>
      <c r="W2826" s="1" t="e">
        <f>V2822/(AVERAGE(H2828:H2833)*(1+H2834)/(0.5-H2834))</f>
        <v>#DIV/0!</v>
      </c>
      <c r="Y2826" s="25" t="s">
        <v>47</v>
      </c>
      <c r="Z2826" s="38" t="s">
        <v>24</v>
      </c>
      <c r="AA2826" s="1" t="e">
        <f>Z2822/(AVERAGE(H2828:H2833)*(1+H2834)/(0.5-H2834))</f>
        <v>#DIV/0!</v>
      </c>
    </row>
    <row r="2827" spans="1:27">
      <c r="B2827" s="13">
        <v>5</v>
      </c>
      <c r="C2827" s="14" t="s">
        <v>25</v>
      </c>
      <c r="D2827" s="15" cm="1">
        <f t="array" ref="D2827">_xlfn.SINGLE(IF(A2831=A2832,_xll.ciqfunctions.udf.CIQ(A2823,"IQ_TOTAL_REV",IQ_FY-6)/I2827, _xll.ciqfunctions.udf.CIQ(A2823, "IQ_TOTAL_REV",IQ_FY-5)/I2827))</f>
        <v>9.0892080861620368</v>
      </c>
      <c r="E2827" s="16">
        <f t="shared" si="755"/>
        <v>0.15084642826650232</v>
      </c>
      <c r="F2827" s="15">
        <f>IF(A2831=A2832,_xll.ciqfunctions.udf.CIQ(A2823,"IQ_DILUT_EPS_EXCL",IQ_FY-6), _xll.ciqfunctions.udf.CIQ(A2823, "IQ_DILUT_EPS_EXCL",IQ_FY-5))</f>
        <v>-0.17</v>
      </c>
      <c r="G2827" s="15">
        <f>IF(A2831=A2832,_xll.ciqfunctions.udf.CIQ(A2823,"IQ_EBITDA_MARGIN",IQ_FY-6), _xll.ciqfunctions.udf.CIQ(A2823, "IQ_EBITDA_MARGIN",IQ_FY-5))</f>
        <v>12.001200000000001</v>
      </c>
      <c r="H2827" s="15">
        <f>IF(A2831=A2832,_xll.ciqfunctions.udf.CIQ(A2823,"IQ_TOTAL_DIV_PAID_CF",IQ_FY-6)/-I2827, _xll.ciqfunctions.udf.CIQ(A2823, "IQ_TOTAL_DIV_PAID_CF",IQ_FY-5)/-I2827)</f>
        <v>0</v>
      </c>
      <c r="I2827" s="17">
        <f>IF(A2831=A2832,_xll.ciqfunctions.udf.CIQ(A2823,"IQ_TOTAL_OUTSTANDING_FILING_DATE",IQ_FY-6), _xll.ciqfunctions.udf.CIQ(A2823, "IQ_TOTAL_OUTSTANDING_FILING_DATE",IQ_FY-5))</f>
        <v>101.75803999999999</v>
      </c>
      <c r="J2827" s="17">
        <f>IF(A2831=A2832,_xll.ciqfunctions.udf.CIQ(A2823,"IQ_CASH_OPER",IQ_FY-6), _xll.ciqfunctions.udf.CIQ(A2823, "IQ_CASH_OPER",IQ_FY-5))</f>
        <v>173.5</v>
      </c>
      <c r="K2827" s="17">
        <f>IF(A2831=A2832,_xll.ciqfunctions.udf.CIQ(A2823,"IQ_CAPEX",IQ_FY-6), _xll.ciqfunctions.udf.CIQ(A2823, "IQ_CAPEX",IQ_FY-5))</f>
        <v>-172.3</v>
      </c>
      <c r="L2827" s="15">
        <f t="shared" si="752"/>
        <v>1.179267996907162E-2</v>
      </c>
      <c r="M2827" s="17">
        <f>IF(A2831=A2832,_xll.ciqfunctions.udf.CIQ(A2823,"IQ_TOTAL_DEBT_ISSUED",IQ_FY-6), _xll.ciqfunctions.udf.CIQ(A2823, "IQ_TOTAL_DEBT_ISSUED",IQ_FY-5))</f>
        <v>670</v>
      </c>
      <c r="N2827" s="17">
        <f>IF(A2831=A2832,_xll.ciqfunctions.udf.CIQ(A2823,"IQ_TOTAL_DEBT_REPAID",IQ_FY-6), _xll.ciqfunctions.udf.CIQ(A2823, "IQ_TOTAL_DEBT_REPAID",IQ_FY-5))</f>
        <v>-523</v>
      </c>
      <c r="O2827" s="15">
        <f t="shared" si="753"/>
        <v>1.4446032962112871</v>
      </c>
      <c r="P2827" s="15">
        <f t="shared" si="754"/>
        <v>1.4563959761803587</v>
      </c>
      <c r="Q2827" s="18"/>
      <c r="R2827" s="38" t="s">
        <v>50</v>
      </c>
      <c r="S2827" s="3">
        <f>I2834</f>
        <v>3.2169132034724823E-2</v>
      </c>
      <c r="U2827" s="18"/>
      <c r="V2827" s="38" t="s">
        <v>50</v>
      </c>
      <c r="W2827" s="3">
        <f>I2834</f>
        <v>3.2169132034724823E-2</v>
      </c>
      <c r="Y2827" s="18"/>
      <c r="Z2827" s="38" t="s">
        <v>50</v>
      </c>
      <c r="AA2827" s="3">
        <f>I2834</f>
        <v>3.2169132034724823E-2</v>
      </c>
    </row>
    <row r="2828" spans="1:27">
      <c r="B2828" s="13">
        <v>6</v>
      </c>
      <c r="C2828" s="14" t="s">
        <v>26</v>
      </c>
      <c r="D2828" s="15" cm="1">
        <f t="array" ref="D2828">_xlfn.SINGLE(IF(A2831=A2832,_xll.ciqfunctions.udf.CIQ(A2823,"IQ_TOTAL_REV",IQ_FY-5)/I2828, _xll.ciqfunctions.udf.CIQ(A2823, "IQ_TOTAL_REV",IQ_FY-4)/I2828))</f>
        <v>5.0310566321983519</v>
      </c>
      <c r="E2828" s="16">
        <f t="shared" si="755"/>
        <v>-0.44648020107957054</v>
      </c>
      <c r="F2828" s="15">
        <f>IF(A2831=A2832,_xll.ciqfunctions.udf.CIQ(A2823,"IQ_DILUT_EPS_EXCL",IQ_FY-5), _xll.ciqfunctions.udf.CIQ(A2823, "IQ_DILUT_EPS_EXCL",IQ_FY-4))</f>
        <v>-1.1440900000000001</v>
      </c>
      <c r="G2828" s="15">
        <f>IF(A2831=A2832,_xll.ciqfunctions.udf.CIQ(A2823,"IQ_EBITDA_MARGIN",IQ_FY-5), _xll.ciqfunctions.udf.CIQ(A2823, "IQ_EBITDA_MARGIN",IQ_FY-4))</f>
        <v>3.5116999999999998</v>
      </c>
      <c r="H2828" s="15">
        <f>IF(A2831=A2832,_xll.ciqfunctions.udf.CIQ(A2823,"IQ_TOTAL_DIV_PAID_CF",IQ_FY-5)/-I2828, _xll.ciqfunctions.udf.CIQ(A2823, "IQ_TOTAL_DIV_PAID_CF",IQ_FY-4)/-I2828)</f>
        <v>0</v>
      </c>
      <c r="I2828" s="17">
        <f>IF(A2831=A2832,_xll.ciqfunctions.udf.CIQ(A2823,"IQ_TOTAL_OUTSTANDING_FILING_DATE",IQ_FY-5), _xll.ciqfunctions.udf.CIQ(A2823, "IQ_TOTAL_OUTSTANDING_FILING_DATE",IQ_FY-4))</f>
        <v>106.97554</v>
      </c>
      <c r="J2828" s="17">
        <f>IF(A2831=A2832,_xll.ciqfunctions.udf.CIQ(A2823,"IQ_CASH_OPER",IQ_FY-5), _xll.ciqfunctions.udf.CIQ(A2823, "IQ_CASH_OPER",IQ_FY-4))</f>
        <v>202.3</v>
      </c>
      <c r="K2828" s="17">
        <f>IF(A2831=A2832,_xll.ciqfunctions.udf.CIQ(A2823,"IQ_CAPEX",IQ_FY-5), _xll.ciqfunctions.udf.CIQ(A2823, "IQ_CAPEX",IQ_FY-4))</f>
        <v>-124.7</v>
      </c>
      <c r="L2828" s="15">
        <f t="shared" si="752"/>
        <v>0.72539946982272785</v>
      </c>
      <c r="M2828" s="17">
        <f>IF(A2831=A2832,_xll.ciqfunctions.udf.CIQ(A2823,"IQ_TOTAL_DEBT_ISSUED",IQ_FY-5), _xll.ciqfunctions.udf.CIQ(A2823, "IQ_TOTAL_DEBT_ISSUED",IQ_FY-4))</f>
        <v>670</v>
      </c>
      <c r="N2828" s="17">
        <f>IF(A2831=A2832,_xll.ciqfunctions.udf.CIQ(A2823,"IQ_TOTAL_DEBT_REPAID",IQ_FY-5), _xll.ciqfunctions.udf.CIQ(A2823, "IQ_TOTAL_DEBT_REPAID",IQ_FY-4))</f>
        <v>-387</v>
      </c>
      <c r="O2828" s="15">
        <f t="shared" si="753"/>
        <v>2.6454645613380405</v>
      </c>
      <c r="P2828" s="15">
        <f t="shared" si="754"/>
        <v>3.3708640311607683</v>
      </c>
      <c r="Q2828" s="25" t="s">
        <v>27</v>
      </c>
      <c r="R2828" s="38" t="s">
        <v>51</v>
      </c>
      <c r="S2828" s="4">
        <f>AVERAGE(F2828:F2833)/AVERAGE(D2828:D2833)</f>
        <v>-0.42289168084490519</v>
      </c>
      <c r="U2828" s="25" t="s">
        <v>58</v>
      </c>
      <c r="V2828" s="38" t="s">
        <v>51</v>
      </c>
      <c r="W2828" s="4">
        <f>AVERAGE(F2828:F2833)/AVERAGE(D2828:D2833)</f>
        <v>-0.42289168084490519</v>
      </c>
      <c r="Y2828" s="25" t="s">
        <v>56</v>
      </c>
      <c r="Z2828" s="38" t="s">
        <v>51</v>
      </c>
      <c r="AA2828" s="4">
        <f>AVERAGE(F2828:F2833)/AVERAGE(D2828:D2833)</f>
        <v>-0.42289168084490519</v>
      </c>
    </row>
    <row r="2829" spans="1:27">
      <c r="A2829" s="18"/>
      <c r="B2829" s="13">
        <v>7</v>
      </c>
      <c r="C2829" s="14" t="s">
        <v>28</v>
      </c>
      <c r="D2829" s="15" cm="1">
        <f t="array" ref="D2829">_xlfn.SINGLE(IF(A2831=A2832,_xll.ciqfunctions.udf.CIQ(A2823,"IQ_TOTAL_REV",IQ_FY-4)/I2829, _xll.ciqfunctions.udf.CIQ(A2823, "IQ_TOTAL_REV",IQ_FY-3)/I2829))</f>
        <v>4.2915559283555416</v>
      </c>
      <c r="E2829" s="16">
        <f t="shared" si="755"/>
        <v>-0.14698715556292213</v>
      </c>
      <c r="F2829" s="15">
        <f>IF(A2831=A2832,_xll.ciqfunctions.udf.CIQ(A2823,"IQ_DILUT_EPS_EXCL",IQ_FY-4), _xll.ciqfunctions.udf.CIQ(A2823, "IQ_DILUT_EPS_EXCL",IQ_FY-3))</f>
        <v>-1.83073</v>
      </c>
      <c r="G2829" s="15">
        <f>IF(A2831=A2832,_xll.ciqfunctions.udf.CIQ(A2823,"IQ_EBITDA_MARGIN",IQ_FY-4), _xll.ciqfunctions.udf.CIQ(A2823, "IQ_EBITDA_MARGIN",IQ_FY-3))</f>
        <v>-20.82</v>
      </c>
      <c r="H2829" s="15">
        <f>IF(A2831=A2832,_xll.ciqfunctions.udf.CIQ(A2823,"IQ_TOTAL_DIV_PAID_CF",IQ_FY-4)/-I2829, _xll.ciqfunctions.udf.CIQ(A2823, "IQ_TOTAL_DIV_PAID_CF",IQ_FY-3)/-I2829)</f>
        <v>0</v>
      </c>
      <c r="I2829" s="17">
        <f>IF(A2831=A2832,_xll.ciqfunctions.udf.CIQ(A2823,"IQ_TOTAL_OUTSTANDING_FILING_DATE",IQ_FY-4), _xll.ciqfunctions.udf.CIQ(A2823, "IQ_TOTAL_OUTSTANDING_FILING_DATE",IQ_FY-3))</f>
        <v>109.68049999999999</v>
      </c>
      <c r="J2829" s="17">
        <f>IF(A2831=A2832,_xll.ciqfunctions.udf.CIQ(A2823,"IQ_CASH_OPER",IQ_FY-4), _xll.ciqfunctions.udf.CIQ(A2823, "IQ_CASH_OPER",IQ_FY-3))</f>
        <v>-29</v>
      </c>
      <c r="K2829" s="17">
        <f>IF(A2831=A2832,_xll.ciqfunctions.udf.CIQ(A2823,"IQ_CAPEX",IQ_FY-4), _xll.ciqfunctions.udf.CIQ(A2823, "IQ_CAPEX",IQ_FY-3))</f>
        <v>-229.9</v>
      </c>
      <c r="L2829" s="15">
        <f t="shared" si="752"/>
        <v>-2.3604925214600589</v>
      </c>
      <c r="M2829" s="17">
        <f>IF(A2831=A2832,_xll.ciqfunctions.udf.CIQ(A2823,"IQ_TOTAL_DEBT_ISSUED",IQ_FY-4), _xll.ciqfunctions.udf.CIQ(A2823, "IQ_TOTAL_DEBT_ISSUED",IQ_FY-3))</f>
        <v>575</v>
      </c>
      <c r="N2829" s="17">
        <f>IF(A2831=A2832,_xll.ciqfunctions.udf.CIQ(A2823,"IQ_TOTAL_DEBT_REPAID",IQ_FY-4), _xll.ciqfunctions.udf.CIQ(A2823, "IQ_TOTAL_DEBT_REPAID",IQ_FY-3))</f>
        <v>-145.1</v>
      </c>
      <c r="O2829" s="15">
        <f t="shared" si="753"/>
        <v>3.9195663768855904</v>
      </c>
      <c r="P2829" s="15">
        <f t="shared" si="754"/>
        <v>1.5590738554255315</v>
      </c>
      <c r="Q2829" s="18"/>
      <c r="R2829" s="38" t="s">
        <v>29</v>
      </c>
      <c r="S2829" s="4">
        <f>(AVERAGE(P2828:P2833)/_xlfn.STDEV.P(P2828:P2833))/(IF(A2831=A2832,(_xlfn.SINGLE(_xll.ciqfunctions.udf.CIQ(A2823,"IQ_total_assets",IQ_FY)) - _xlfn.SINGLE(_xll.ciqfunctions.udf.CIQ(A2823,"iq_gw_intan", IQ_FY)))/I2833, (_xlfn.SINGLE(_xll.ciqfunctions.udf.CIQ(A2823, "IQ_total_assets",IQ_LTM))-_xlfn.SINGLE(_xll.ciqfunctions.udf.CIQ(A2823,"iq_gw_intan",IQ_LTM)))/I2833))</f>
        <v>1.117403986203515E-2</v>
      </c>
      <c r="U2829" s="18"/>
      <c r="V2829" s="38" t="s">
        <v>29</v>
      </c>
      <c r="W2829" s="4">
        <f>(AVERAGE(P2828:P2833)/_xlfn.STDEV.P(P2828:P2833))/(IF(A2831=A2832,(_xlfn.SINGLE(_xll.ciqfunctions.udf.CIQ(A2823,"IQ_total_assets",IQ_FY)) - _xlfn.SINGLE(_xll.ciqfunctions.udf.CIQ(A2823,"iq_gw_intan", IQ_FY)))/I2833, (_xlfn.SINGLE(_xll.ciqfunctions.udf.CIQ(A2823, "IQ_total_assets",IQ_LTM))-_xlfn.SINGLE(_xll.ciqfunctions.udf.CIQ(A2823,"iq_gw_intan",IQ_LTM)))/I2833))</f>
        <v>1.117403986203515E-2</v>
      </c>
      <c r="Y2829" s="18"/>
      <c r="Z2829" s="38" t="s">
        <v>29</v>
      </c>
      <c r="AA2829" s="4">
        <f>(AVERAGE(P2828:P2833)/_xlfn.STDEV.P(P2828:P2833))/(IF(A2831=A2832,(_xlfn.SINGLE(_xll.ciqfunctions.udf.CIQ(A2823,"IQ_total_assets",IQ_FY)) - _xlfn.SINGLE(_xll.ciqfunctions.udf.CIQ(A2823,"iq_gw_intan", IQ_FY)))/I2833, (_xlfn.SINGLE(_xll.ciqfunctions.udf.CIQ(A2823, "IQ_total_assets",IQ_LTM))-_xlfn.SINGLE(_xll.ciqfunctions.udf.CIQ(A2823,"iq_gw_intan",IQ_LTM)))/I2833))</f>
        <v>1.117403986203515E-2</v>
      </c>
    </row>
    <row r="2830" spans="1:27">
      <c r="A2830" s="18"/>
      <c r="B2830" s="13">
        <v>8</v>
      </c>
      <c r="C2830" s="14" t="s">
        <v>30</v>
      </c>
      <c r="D2830" s="15" cm="1">
        <f t="array" ref="D2830">_xlfn.SINGLE(IF(A2831=A2832,_xll.ciqfunctions.udf.CIQ(A2823,"IQ_TOTAL_REV",IQ_FY-3)/I2830, _xll.ciqfunctions.udf.CIQ(A2823, "IQ_TOTAL_REV",IQ_FY-2)/I2830))</f>
        <v>4.5355297401226027</v>
      </c>
      <c r="E2830" s="16">
        <f t="shared" si="755"/>
        <v>5.6849733718965685E-2</v>
      </c>
      <c r="F2830" s="15">
        <f>IF(A2831=A2832,_xll.ciqfunctions.udf.CIQ(A2823,"IQ_DILUT_EPS_EXCL",IQ_FY-3), _xll.ciqfunctions.udf.CIQ(A2823, "IQ_DILUT_EPS_EXCL",IQ_FY-2))</f>
        <v>-3.0379399999999999</v>
      </c>
      <c r="G2830" s="15">
        <f>IF(A2831=A2832,_xll.ciqfunctions.udf.CIQ(A2823,"IQ_EBITDA_MARGIN",IQ_FY-3), _xll.ciqfunctions.udf.CIQ(A2823, "IQ_EBITDA_MARGIN",IQ_FY-2))</f>
        <v>-17.8462</v>
      </c>
      <c r="H2830" s="15">
        <f>IF(A2831=A2832,_xll.ciqfunctions.udf.CIQ(A2823,"IQ_TOTAL_DIV_PAID_CF",IQ_FY-3)/-I2830, _xll.ciqfunctions.udf.CIQ(A2823, "IQ_TOTAL_DIV_PAID_CF",IQ_FY-2)/-I2830)</f>
        <v>0</v>
      </c>
      <c r="I2830" s="17">
        <f>IF(A2831=A2832,_xll.ciqfunctions.udf.CIQ(A2823,"IQ_TOTAL_OUTSTANDING_FILING_DATE",IQ_FY-3), _xll.ciqfunctions.udf.CIQ(A2823, "IQ_TOTAL_OUTSTANDING_FILING_DATE",IQ_FY-2))</f>
        <v>115.88503</v>
      </c>
      <c r="J2830" s="17">
        <f>IF(A2831=A2832,_xll.ciqfunctions.udf.CIQ(A2823,"IQ_CASH_OPER",IQ_FY-3), _xll.ciqfunctions.udf.CIQ(A2823, "IQ_CASH_OPER",IQ_FY-2))</f>
        <v>-125.5</v>
      </c>
      <c r="K2830" s="17">
        <f>IF(A2831=A2832,_xll.ciqfunctions.udf.CIQ(A2823,"IQ_CAPEX",IQ_FY-3), _xll.ciqfunctions.udf.CIQ(A2823, "IQ_CAPEX",IQ_FY-2))</f>
        <v>-570.5</v>
      </c>
      <c r="L2830" s="15">
        <f t="shared" si="752"/>
        <v>-6.0059526239066425</v>
      </c>
      <c r="M2830" s="17">
        <f>IF(A2831=A2832,_xll.ciqfunctions.udf.CIQ(A2823,"IQ_TOTAL_DEBT_ISSUED",IQ_FY-3), _xll.ciqfunctions.udf.CIQ(A2823, "IQ_TOTAL_DEBT_ISSUED",IQ_FY-2))</f>
        <v>30</v>
      </c>
      <c r="N2830" s="17">
        <f>IF(A2831=A2832,_xll.ciqfunctions.udf.CIQ(A2823,"IQ_TOTAL_DEBT_REPAID",IQ_FY-3), _xll.ciqfunctions.udf.CIQ(A2823, "IQ_TOTAL_DEBT_REPAID",IQ_FY-2))</f>
        <v>-30.4</v>
      </c>
      <c r="O2830" s="15">
        <f t="shared" si="753"/>
        <v>-3.4516969102911617E-3</v>
      </c>
      <c r="P2830" s="15">
        <f t="shared" si="754"/>
        <v>-6.0094043208169339</v>
      </c>
      <c r="Q2830" s="18"/>
      <c r="R2830" s="39" t="s">
        <v>31</v>
      </c>
      <c r="S2830" s="5">
        <f>IF(NOT(D2823&gt;0),FALSE,SLOPE(G2823:G2833,B2823:B2833))</f>
        <v>-2.9802209090909089</v>
      </c>
      <c r="U2830" s="18"/>
      <c r="V2830" s="39" t="s">
        <v>31</v>
      </c>
      <c r="W2830" s="5">
        <f>IF(NOT(D2823&gt;0),FALSE,SLOPE(G2823:G2833,B2823:B2833))</f>
        <v>-2.9802209090909089</v>
      </c>
      <c r="Y2830" s="18"/>
      <c r="Z2830" s="39" t="s">
        <v>31</v>
      </c>
      <c r="AA2830" s="5">
        <f>IF(NOT(L2823&gt;0),FALSE,SLOPE(O2823:O2833,J2823:J2833))</f>
        <v>-3.9094962283536608E-2</v>
      </c>
    </row>
    <row r="2831" spans="1:27">
      <c r="A2831" s="19">
        <f>_xll.ciqfunctions.udf.CIQ(A2823,"IQ_TOTAL_REV",IQ_FY)</f>
        <v>921.9</v>
      </c>
      <c r="B2831" s="13">
        <v>9</v>
      </c>
      <c r="C2831" s="14" t="s">
        <v>32</v>
      </c>
      <c r="D2831" s="15" cm="1">
        <f t="array" ref="D2831">_xlfn.SINGLE(IF(A2831=A2832,_xll.ciqfunctions.udf.CIQ(A2823,"IQ_TOTAL_REV",IQ_FY-2)/I2831, _xll.ciqfunctions.udf.CIQ(A2823, "IQ_TOTAL_REV",IQ_FY-1)/I2831))</f>
        <v>6.0128472838320164</v>
      </c>
      <c r="E2831" s="16">
        <f t="shared" si="755"/>
        <v>0.32572105759568437</v>
      </c>
      <c r="F2831" s="15">
        <f>IF(A2831=A2832,_xll.ciqfunctions.udf.CIQ(A2823,"IQ_DILUT_EPS_EXCL",IQ_FY-2), _xll.ciqfunctions.udf.CIQ(A2823, "IQ_DILUT_EPS_EXCL",IQ_FY-1))</f>
        <v>-2.46</v>
      </c>
      <c r="G2831" s="15">
        <f>IF(A2831=A2832,_xll.ciqfunctions.udf.CIQ(A2823,"IQ_EBITDA_MARGIN",IQ_FY-2), _xll.ciqfunctions.udf.CIQ(A2823, "IQ_EBITDA_MARGIN",IQ_FY-1))</f>
        <v>-5.3335999999999997</v>
      </c>
      <c r="H2831" s="15">
        <f>IF(A2831=A2832,_xll.ciqfunctions.udf.CIQ(A2823,"IQ_TOTAL_DIV_PAID_CF",IQ_FY-2)/-I2831, _xll.ciqfunctions.udf.CIQ(A2823, "IQ_TOTAL_DIV_PAID_CF",IQ_FY-1)/-I2831)</f>
        <v>0</v>
      </c>
      <c r="I2831" s="17">
        <f>IF(A2831=A2832,_xll.ciqfunctions.udf.CIQ(A2823,"IQ_TOTAL_OUTSTANDING_FILING_DATE",IQ_FY-2), _xll.ciqfunctions.udf.CIQ(A2823, "IQ_TOTAL_OUTSTANDING_FILING_DATE",IQ_FY-1))</f>
        <v>124.10093999999999</v>
      </c>
      <c r="J2831" s="17">
        <f>IF(A2831=A2832,_xll.ciqfunctions.udf.CIQ(A2823,"IQ_CASH_OPER",IQ_FY-2), _xll.ciqfunctions.udf.CIQ(A2823, "IQ_CASH_OPER",IQ_FY-1))</f>
        <v>-154.19999999999999</v>
      </c>
      <c r="K2831" s="17">
        <f>IF(A2831=A2832,_xll.ciqfunctions.udf.CIQ(A2823,"IQ_CAPEX",IQ_FY-2), _xll.ciqfunctions.udf.CIQ(A2823, "IQ_CAPEX",IQ_FY-1))</f>
        <v>-644.9</v>
      </c>
      <c r="L2831" s="15">
        <f t="shared" si="752"/>
        <v>-6.4391131928573619</v>
      </c>
      <c r="M2831" s="17">
        <f>IF(A2831=A2832,_xll.ciqfunctions.udf.CIQ(A2823,"IQ_TOTAL_DEBT_ISSUED",IQ_FY-2), _xll.ciqfunctions.udf.CIQ(A2823, "IQ_TOTAL_DEBT_ISSUED",IQ_FY-1))</f>
        <v>770</v>
      </c>
      <c r="N2831" s="17">
        <f>IF(A2831=A2832,_xll.ciqfunctions.udf.CIQ(A2823,"IQ_TOTAL_DEBT_REPAID",IQ_FY-2), _xll.ciqfunctions.udf.CIQ(A2823, "IQ_TOTAL_DEBT_REPAID",IQ_FY-1))</f>
        <v>-20.5</v>
      </c>
      <c r="O2831" s="15">
        <f t="shared" si="753"/>
        <v>6.0394385409167732</v>
      </c>
      <c r="P2831" s="15">
        <f t="shared" si="754"/>
        <v>-0.39967465194058871</v>
      </c>
      <c r="Q2831" s="25" t="s">
        <v>33</v>
      </c>
      <c r="R2831" s="38" t="s">
        <v>52</v>
      </c>
      <c r="S2831" s="4">
        <f>(AVERAGE(O2828:O2833)/AVERAGE(P2828:P2833))</f>
        <v>2.0943487746536733</v>
      </c>
      <c r="U2831" s="25" t="s">
        <v>54</v>
      </c>
      <c r="V2831" s="38" t="s">
        <v>52</v>
      </c>
      <c r="W2831" s="4">
        <f>(AVERAGE(O2828:O2833)/AVERAGE(P2828:P2833))</f>
        <v>2.0943487746536733</v>
      </c>
      <c r="Y2831" s="25" t="s">
        <v>60</v>
      </c>
      <c r="Z2831" s="38" t="s">
        <v>52</v>
      </c>
      <c r="AA2831" s="4">
        <f>(AVERAGE(O2828:O2833)/AVERAGE(P2828:P2833))</f>
        <v>2.0943487746536733</v>
      </c>
    </row>
    <row r="2832" spans="1:27">
      <c r="A2832" s="19">
        <f>_xll.ciqfunctions.udf.CIQ(A2823,"IQ_TOTAL_REV",IQ_LTM)</f>
        <v>929.9</v>
      </c>
      <c r="B2832" s="13">
        <v>10</v>
      </c>
      <c r="C2832" s="14" t="s">
        <v>34</v>
      </c>
      <c r="D2832" s="15" cm="1">
        <f t="array" ref="D2832">_xlfn.SINGLE(IF(A2831=A2832,_xll.ciqfunctions.udf.CIQ(A2823,"IQ_TOTAL_REV",IQ_FY-1)/I2832, _xll.ciqfunctions.udf.CIQ(A2823, "IQ_TOTAL_REV",IQ_FY)/I2832))</f>
        <v>7.3604766912649291</v>
      </c>
      <c r="E2832" s="16">
        <f t="shared" si="755"/>
        <v>0.22412500165380253</v>
      </c>
      <c r="F2832" s="15">
        <f>IF(A2831=A2832,_xll.ciqfunctions.udf.CIQ(A2823,"IQ_DILUT_EPS_EXCL",IQ_FY-1), _xll.ciqfunctions.udf.CIQ(A2823, "IQ_DILUT_EPS_EXCL",IQ_FY))</f>
        <v>-2.6524800000000002</v>
      </c>
      <c r="G2832" s="15">
        <f>IF(A2831=A2832,_xll.ciqfunctions.udf.CIQ(A2823,"IQ_EBITDA_MARGIN",IQ_FY-1), _xll.ciqfunctions.udf.CIQ(A2823, "IQ_EBITDA_MARGIN",IQ_FY))</f>
        <v>-3.5687000000000002</v>
      </c>
      <c r="H2832" s="15">
        <f>IF(A2831=A2832,_xll.ciqfunctions.udf.CIQ(A2823,"IQ_TOTAL_DIV_PAID_CF",IQ_FY-1)/-I2832, _xll.ciqfunctions.udf.CIQ(A2823, "IQ_TOTAL_DIV_PAID_CF",IQ_FY)/-I2832)</f>
        <v>0</v>
      </c>
      <c r="I2832" s="17">
        <f>IF(A2831=A2832,_xll.ciqfunctions.udf.CIQ(A2823,"IQ_TOTAL_OUTSTANDING_FILING_DATE",IQ_FY-1), _xll.ciqfunctions.udf.CIQ(A2823, "IQ_TOTAL_OUTSTANDING_FILING_DATE",IQ_FY))</f>
        <v>125.25004</v>
      </c>
      <c r="J2832" s="17">
        <f>IF(A2831=A2832,_xll.ciqfunctions.udf.CIQ(A2823,"IQ_CASH_OPER",IQ_FY-1), _xll.ciqfunctions.udf.CIQ(A2823, "IQ_CASH_OPER",IQ_FY))</f>
        <v>-142.6</v>
      </c>
      <c r="K2832" s="17">
        <f>IF(A2831=A2832,_xll.ciqfunctions.udf.CIQ(A2823,"IQ_CAPEX",IQ_FY-1), _xll.ciqfunctions.udf.CIQ(A2823, "IQ_CAPEX",IQ_FY))</f>
        <v>-955.8</v>
      </c>
      <c r="L2832" s="15">
        <f t="shared" si="752"/>
        <v>-8.7696578779535717</v>
      </c>
      <c r="M2832" s="17">
        <f>IF(A2831=A2832,_xll.ciqfunctions.udf.CIQ(A2823,"IQ_TOTAL_DEBT_ISSUED",IQ_FY-1), _xll.ciqfunctions.udf.CIQ(A2823, "IQ_TOTAL_DEBT_ISSUED",IQ_FY))</f>
        <v>2950</v>
      </c>
      <c r="N2832" s="17">
        <f>IF(A2831=A2832,_xll.ciqfunctions.udf.CIQ(A2823,"IQ_TOTAL_DEBT_REPAID",IQ_FY-1), _xll.ciqfunctions.udf.CIQ(A2823, "IQ_TOTAL_DEBT_REPAID",IQ_FY))</f>
        <v>-0.5</v>
      </c>
      <c r="O2832" s="15">
        <f t="shared" si="753"/>
        <v>23.548894675003698</v>
      </c>
      <c r="P2832" s="15">
        <f t="shared" si="754"/>
        <v>14.779236797050126</v>
      </c>
      <c r="Q2832" s="25" t="s">
        <v>44</v>
      </c>
      <c r="R2832" s="38" t="s">
        <v>35</v>
      </c>
      <c r="S2832" s="1" t="str">
        <f>_xll.ciqfunctions.udf.CIQ(A2823,"IQ_TEV_EBITDA")</f>
        <v>NM</v>
      </c>
      <c r="U2832" s="25" t="s">
        <v>55</v>
      </c>
      <c r="V2832" s="38" t="s">
        <v>53</v>
      </c>
      <c r="W2832" s="1">
        <f>V2822/(AVERAGE(D2828:D2833)/_xlfn.STDEV.P(E2828:E2833))</f>
        <v>1.4685994217956839</v>
      </c>
      <c r="Y2832" s="25" t="s">
        <v>57</v>
      </c>
      <c r="Z2832" s="38" t="s">
        <v>53</v>
      </c>
      <c r="AA2832" s="1">
        <f>Z2822/(AVERAGE(D2828:D2833)/_xlfn.STDEV.P(E2828:E2833))</f>
        <v>1.4685994217956839</v>
      </c>
    </row>
    <row r="2833" spans="1:27">
      <c r="B2833" s="13">
        <v>11</v>
      </c>
      <c r="C2833" s="20" t="s">
        <v>36</v>
      </c>
      <c r="D2833" s="21" cm="1">
        <f t="array" ref="D2833">_xlfn.SINGLE(IF(A2831=A2832,_xll.ciqfunctions.udf.CIQ(A2823,"IQ_TOTAL_REV",IQ_FY)/I2833, _xll.ciqfunctions.udf.CIQ(A2823, "IQ_TOTAL_REV",IQ_LTM)/I2833))</f>
        <v>7.4198892929218125</v>
      </c>
      <c r="E2833" s="22">
        <f t="shared" si="755"/>
        <v>8.0718415598532572E-3</v>
      </c>
      <c r="F2833" s="21">
        <f>IF(A2831=A2832,_xll.ciqfunctions.udf.CIQ(A2823,"IQ_DILUT_EPS_EXCL",IQ_FY), _xll.ciqfunctions.udf.CIQ(A2823, "IQ_DILUT_EPS_EXCL",IQ_LTM))</f>
        <v>-3.5285299999999999</v>
      </c>
      <c r="G2833" s="21">
        <f>IF(A2831=A2832,_xll.ciqfunctions.udf.CIQ(A2823,"IQ_EBITDA_MARGIN",IQ_FY), _xll.ciqfunctions.udf.CIQ(A2823, "IQ_EBITDA_MARGIN",IQ_LTM))</f>
        <v>-9.3343000000000007</v>
      </c>
      <c r="H2833" s="21">
        <f>IF(A2831=A2832,_xll.ciqfunctions.udf.CIQ(A2823,"IQ_TOTAL_DIV_PAID_CF",IQ_FY)/-I2833, _xll.ciqfunctions.udf.CIQ(A2823, "IQ_TOTAL_DIV_PAID_CF",IQ_LTM)/-I2833)</f>
        <v>0</v>
      </c>
      <c r="I2833" s="23">
        <f>IF(A2831=A2832,_xll.ciqfunctions.udf.CIQ(A2823,"IQ_TOTAL_OUTSTANDING_FILING_DATE",IQ_FY),_xll.ciqfunctions.udf.CIQ(A2823,"IQ_sharesoutstanding"))</f>
        <v>125.32532</v>
      </c>
      <c r="J2833" s="23">
        <f>IF(A2831=A2832,_xll.ciqfunctions.udf.CIQ(A2823,"IQ_CASH_OPER",IQ_FY), _xll.ciqfunctions.udf.CIQ(A2823, "IQ_CASH_OPER",IQ_LTM))</f>
        <v>-277.3</v>
      </c>
      <c r="K2833" s="23">
        <f>IF(A2831=A2832,_xll.ciqfunctions.udf.CIQ(A2823,"IQ_CAPEX",IQ_FY), _xll.ciqfunctions.udf.CIQ(A2823, "IQ_CAPEX",IQ_LTM))</f>
        <v>-1290.0999999999999</v>
      </c>
      <c r="L2833" s="21">
        <f t="shared" si="752"/>
        <v>-12.506650691177168</v>
      </c>
      <c r="M2833" s="23">
        <f>IF(A2831=A2832,_xll.ciqfunctions.udf.CIQ(A2823,"IQ_TOTAL_DEBT_ISSUED",IQ_FY), _xll.ciqfunctions.udf.CIQ(A2823, "IQ_TOTAL_DEBT_ISSUED",IQ_LTM))</f>
        <v>3950</v>
      </c>
      <c r="N2833" s="23">
        <f>IF(A2831=A2832,_xll.ciqfunctions.udf.CIQ(A2823,"IQ_TOTAL_DEBT_REPAID",IQ_FY), _xll.ciqfunctions.udf.CIQ(A2823, "IQ_TOTAL_DEBT_REPAID",IQ_LTM))</f>
        <v>-0.4</v>
      </c>
      <c r="O2833" s="21">
        <f t="shared" si="753"/>
        <v>31.514780891842125</v>
      </c>
      <c r="P2833" s="21">
        <f t="shared" si="754"/>
        <v>19.008130200664958</v>
      </c>
      <c r="Q2833" s="25" t="s">
        <v>45</v>
      </c>
      <c r="S2833" s="45"/>
      <c r="U2833" s="25"/>
      <c r="W2833" s="45"/>
      <c r="Y2833" s="25"/>
      <c r="AA2833" s="45"/>
    </row>
    <row r="2834" spans="1:27">
      <c r="B2834" s="24"/>
      <c r="C2834" s="25" t="s">
        <v>37</v>
      </c>
      <c r="E2834" s="26">
        <f>((D2833/D2828)^(1/5))-1</f>
        <v>8.0805743508169048E-2</v>
      </c>
      <c r="F2834" s="27">
        <f>((F2833/F2828)^(1/5))-1</f>
        <v>0.25264129561619786</v>
      </c>
      <c r="G2834" s="28"/>
      <c r="H2834" s="27" t="e">
        <f>((H2833/H2828)^(1/5))-1</f>
        <v>#DIV/0!</v>
      </c>
      <c r="I2834" s="27">
        <f>((I2833/I2828)^(1/5))-1</f>
        <v>3.2169132034724823E-2</v>
      </c>
      <c r="J2834" s="27"/>
      <c r="K2834" s="27"/>
      <c r="L2834" s="26">
        <f>((L2833/L2828)^(1/5))-1</f>
        <v>-2.7673100913303608</v>
      </c>
      <c r="M2834" s="26"/>
      <c r="N2834" s="26"/>
      <c r="O2834" s="26"/>
      <c r="P2834" s="26">
        <f>((P2833/P2828)^(1/5))-1</f>
        <v>0.41331716192162382</v>
      </c>
      <c r="Q2834" s="18"/>
      <c r="R2834" s="36"/>
      <c r="S2834" s="45"/>
      <c r="U2834" s="18"/>
      <c r="V2834" s="36"/>
      <c r="W2834" s="45"/>
      <c r="Y2834" s="18"/>
      <c r="Z2834" s="36"/>
      <c r="AA2834" s="45"/>
    </row>
    <row r="2835" spans="1:27">
      <c r="A2835" s="29"/>
      <c r="B2835" s="30"/>
      <c r="C2835" s="31" t="s">
        <v>38</v>
      </c>
      <c r="D2835" s="29"/>
      <c r="E2835" s="32">
        <f>((D2833/D2823)^(1/10))-1</f>
        <v>-5.9656836227574228E-2</v>
      </c>
      <c r="F2835" s="33" t="e">
        <f>((F2833/F2823)^(1/10))-1</f>
        <v>#NUM!</v>
      </c>
      <c r="G2835" s="34"/>
      <c r="H2835" s="33" t="e">
        <f>((H2833/H2823)^(1/10))-1</f>
        <v>#DIV/0!</v>
      </c>
      <c r="I2835" s="33">
        <f>((I2833/I2823)^(1/10))-1</f>
        <v>4.3174164545580762E-3</v>
      </c>
      <c r="J2835" s="33"/>
      <c r="K2835" s="33"/>
      <c r="L2835" s="32" t="e">
        <f>((L2833/L2823)^(1/10))-1</f>
        <v>#NUM!</v>
      </c>
      <c r="M2835" s="32"/>
      <c r="N2835" s="32"/>
      <c r="O2835" s="32"/>
      <c r="P2835" s="32">
        <f>((P2833/P2823)^(1/10))-1</f>
        <v>0.32123989566312083</v>
      </c>
      <c r="Q2835" s="40"/>
      <c r="R2835" s="41"/>
      <c r="S2835" s="46"/>
      <c r="U2835" s="40"/>
      <c r="V2835" s="41"/>
      <c r="W2835" s="46"/>
      <c r="Y2835" s="40"/>
      <c r="Z2835" s="41"/>
      <c r="AA2835" s="46"/>
    </row>
    <row r="2836" spans="1:27">
      <c r="B2836" s="24"/>
      <c r="C2836" s="25"/>
      <c r="E2836" s="26"/>
      <c r="F2836" s="27"/>
      <c r="G2836" s="28"/>
      <c r="H2836" s="27"/>
      <c r="I2836" s="27"/>
      <c r="J2836" s="27"/>
      <c r="K2836" s="27"/>
      <c r="L2836" s="26"/>
      <c r="M2836" s="17"/>
      <c r="N2836" s="17"/>
      <c r="O2836" s="17"/>
      <c r="P2836" s="35"/>
      <c r="Q2836" s="18"/>
      <c r="R2836" s="36"/>
    </row>
    <row r="2837" spans="1:27">
      <c r="A2837" s="9" t="s">
        <v>0</v>
      </c>
      <c r="B2837" s="10"/>
      <c r="C2837" s="9" t="s">
        <v>1</v>
      </c>
      <c r="D2837" s="9" t="s">
        <v>2</v>
      </c>
      <c r="E2837" s="9" t="s">
        <v>3</v>
      </c>
      <c r="F2837" s="11" t="s">
        <v>4</v>
      </c>
      <c r="G2837" s="11" t="s">
        <v>5</v>
      </c>
      <c r="H2837" s="9" t="s">
        <v>6</v>
      </c>
      <c r="I2837" s="11" t="s">
        <v>7</v>
      </c>
      <c r="J2837" s="11" t="s">
        <v>8</v>
      </c>
      <c r="K2837" s="11" t="s">
        <v>9</v>
      </c>
      <c r="L2837" s="11" t="s">
        <v>10</v>
      </c>
      <c r="M2837" s="11" t="s">
        <v>11</v>
      </c>
      <c r="N2837" s="11" t="s">
        <v>12</v>
      </c>
      <c r="O2837" s="11" t="s">
        <v>13</v>
      </c>
      <c r="P2837" s="11" t="s">
        <v>14</v>
      </c>
      <c r="Q2837" s="37" t="s">
        <v>15</v>
      </c>
      <c r="R2837" s="42">
        <f>_xll.ciqfunctions.udf.CIQ(A2838,("IQ_LASTSALEPRICE"))</f>
        <v>116.19</v>
      </c>
      <c r="S2837" s="44"/>
      <c r="U2837" s="37" t="s">
        <v>15</v>
      </c>
      <c r="V2837" s="42">
        <f>_xll.ciqfunctions.udf.CIQ(A2838,("IQ_LASTSALEPRICE"))</f>
        <v>116.19</v>
      </c>
      <c r="W2837" s="44"/>
      <c r="Y2837" s="37" t="s">
        <v>15</v>
      </c>
      <c r="Z2837" s="42">
        <f>_xll.ciqfunctions.udf.CIQ(A2838,("IQ_LASTSALEPRICE"))</f>
        <v>116.19</v>
      </c>
      <c r="AA2837" s="44"/>
    </row>
    <row r="2838" spans="1:27">
      <c r="A2838" s="12" t="str">
        <f>Analysis!B191</f>
        <v>NasdaqGM:SITM</v>
      </c>
      <c r="B2838" s="13">
        <v>1</v>
      </c>
      <c r="C2838" s="14" t="s">
        <v>16</v>
      </c>
      <c r="D2838" s="15" t="e">
        <f>IF(A2846=A2847,_xll.ciqfunctions.udf.CIQ(A2838,"IQ_TOTAL_REV",IQ_FY-10)/I2838,_xll.ciqfunctions.udf.CIQ(A2838, "IQ_TOTAL_REV",IQ_FY-9)/I2838)</f>
        <v>#DIV/0!</v>
      </c>
      <c r="E2838" s="16"/>
      <c r="F2838" s="15">
        <f>IF(A2846=A2847,_xll.ciqfunctions.udf.CIQ(A2838,"IQ_DILUT_EPS_EXCL",IQ_FY-10), _xll.ciqfunctions.udf.CIQ(A2838, "IQ_DILUT_EPS_EXCL",IQ_FY-9))</f>
        <v>0</v>
      </c>
      <c r="G2838" s="15">
        <f>IF(A2846=A2847,_xll.ciqfunctions.udf.CIQ(A2838,"IQ_EBITDA_MARGIN",IQ_FY-10), _xll.ciqfunctions.udf.CIQ(A2838, "IQ_EBITDA_MARGIN",IQ_FY-9))</f>
        <v>0</v>
      </c>
      <c r="H2838" s="15" t="e">
        <f>IF(A2846=A2847,_xll.ciqfunctions.udf.CIQ(A2838,"IQ_TOTAL_DIV_PAID_CF",IQ_FY-10)/-I2838, _xll.ciqfunctions.udf.CIQ(A2838, "IQ_TOTAL_DIV_PAID_CF",IQ_FY-9)/-I2838)</f>
        <v>#DIV/0!</v>
      </c>
      <c r="I2838" s="17">
        <f>IF(A2846=A2847,_xll.ciqfunctions.udf.CIQ(A2838,"IQ_TOTAL_OUTSTANDING_FILING_DATE",IQ_FY-10), _xll.ciqfunctions.udf.CIQ(A2838, "IQ_TOTAL_OUTSTANDING_FILING_DATE",IQ_FY-9))</f>
        <v>0</v>
      </c>
      <c r="J2838" s="17">
        <f>IF(A2846=A2847,_xll.ciqfunctions.udf.CIQ(A2838,"IQ_CASH_OPER",IQ_FY-10), _xll.ciqfunctions.udf.CIQ(A2838, "IQ_CASH_OPER",IQ_FY-9))</f>
        <v>0</v>
      </c>
      <c r="K2838" s="17">
        <f>IF(A2846=A2847,_xll.ciqfunctions.udf.CIQ(A2838,"IQ_CAPEX",IQ_FY-10), _xll.ciqfunctions.udf.CIQ(A2838, "IQ_CAPEX",IQ_FY-9))</f>
        <v>0</v>
      </c>
      <c r="L2838" s="15" t="e">
        <f t="shared" ref="L2838:L2848" si="756">(J2838+K2838)/I2838</f>
        <v>#DIV/0!</v>
      </c>
      <c r="M2838" s="17">
        <f>IF(A2846=A2847,_xll.ciqfunctions.udf.CIQ(A2838,"IQ_TOTAL_DEBT_ISSUED",IQ_FY-10), _xll.ciqfunctions.udf.CIQ(A2838, "IQ_TOTAL_DEBT_ISSUED",IQ_FY-9))</f>
        <v>0</v>
      </c>
      <c r="N2838" s="17">
        <f>IF(A2846=A2847,_xll.ciqfunctions.udf.CIQ(A2838,"IQ_TOTAL_DEBT_REPAID",IQ_FY-10), _xll.ciqfunctions.udf.CIQ(A2838, "IQ_TOTAL_DEBT_REPAID",IQ_FY-9))</f>
        <v>0</v>
      </c>
      <c r="O2838" s="15" t="e">
        <f t="shared" ref="O2838:O2848" si="757">(M2838+N2838)/I2838</f>
        <v>#DIV/0!</v>
      </c>
      <c r="P2838" s="15" t="e">
        <f t="shared" ref="P2838:P2848" si="758">L2838+O2838</f>
        <v>#DIV/0!</v>
      </c>
      <c r="W2838" s="43"/>
      <c r="AA2838" s="43"/>
    </row>
    <row r="2839" spans="1:27">
      <c r="A2839" s="18" t="str">
        <f>_xll.ciqfunctions.udf.CIQ(A2838,"IQ_COMPANY_NAME")</f>
        <v>SiTime Corporation</v>
      </c>
      <c r="B2839" s="13">
        <v>2</v>
      </c>
      <c r="C2839" s="14" t="s">
        <v>17</v>
      </c>
      <c r="D2839" s="15" t="e">
        <f>IF(A2846=A2847,_xll.ciqfunctions.udf.CIQ(A2838,"IQ_TOTAL_REV",IQ_FY-9)/I2839, _xll.ciqfunctions.udf.CIQ(A2838, "IQ_TOTAL_REV",IQ_FY-8)/I2839)</f>
        <v>#DIV/0!</v>
      </c>
      <c r="E2839" s="16" t="e">
        <f t="shared" ref="E2839:E2848" si="759">(D2839-D2838)/D2838</f>
        <v>#DIV/0!</v>
      </c>
      <c r="F2839" s="15">
        <f>IF(A2846=A2847,_xll.ciqfunctions.udf.CIQ(A2838,"IQ_DILUT_EPS_EXCL",IQ_FY-9), _xll.ciqfunctions.udf.CIQ(A2838, "IQ_DILUT_EPS_EXCL",IQ_FY-8))</f>
        <v>0</v>
      </c>
      <c r="G2839" s="15">
        <f>IF(A2846=A2847,_xll.ciqfunctions.udf.CIQ(A2838,"IQ_EBITDA_MARGIN",IQ_FY-9), _xll.ciqfunctions.udf.CIQ(A2838, "IQ_EBITDA_MARGIN",IQ_FY-8))</f>
        <v>0</v>
      </c>
      <c r="H2839" s="15" t="e">
        <f>IF(A2846=A2847,_xll.ciqfunctions.udf.CIQ(A2838,"IQ_TOTAL_DIV_PAID_CF",IQ_FY-9)/-I2839, _xll.ciqfunctions.udf.CIQ(A2838, "IQ_TOTAL_DIV_PAID_CF",IQ_FY-8)/-I2839)</f>
        <v>#DIV/0!</v>
      </c>
      <c r="I2839" s="17">
        <f>IF(A2846=A2847,_xll.ciqfunctions.udf.CIQ(A2838,"IQ_TOTAL_OUTSTANDING_FILING_DATE",IQ_FY-9), _xll.ciqfunctions.udf.CIQ(A2838, "IQ_TOTAL_OUTSTANDING_FILING_DATE",IQ_FY-8))</f>
        <v>0</v>
      </c>
      <c r="J2839" s="17">
        <f>IF(A2846=A2847,_xll.ciqfunctions.udf.CIQ(A2838,"IQ_CASH_OPER",IQ_FY-9), _xll.ciqfunctions.udf.CIQ(A2838, "IQ_CASH_OPER",IQ_FY-8))</f>
        <v>0</v>
      </c>
      <c r="K2839" s="17">
        <f>IF(A2846=A2847,_xll.ciqfunctions.udf.CIQ(A2838,"IQ_CAPEX",IQ_FY-9), _xll.ciqfunctions.udf.CIQ(A2838, "IQ_CAPEX",IQ_FY-8))</f>
        <v>0</v>
      </c>
      <c r="L2839" s="15" t="e">
        <f t="shared" si="756"/>
        <v>#DIV/0!</v>
      </c>
      <c r="M2839" s="17">
        <f>IF(A2846=A2847,_xll.ciqfunctions.udf.CIQ(A2838,"IQ_TOTAL_DEBT_ISSUED",IQ_FY-9), _xll.ciqfunctions.udf.CIQ(A2838, "IQ_TOTAL_DEBT_ISSUED",IQ_FY-8))</f>
        <v>0</v>
      </c>
      <c r="N2839" s="17">
        <f>IF(A2846=A2847,_xll.ciqfunctions.udf.CIQ(A2838,"IQ_TOTAL_DEBT_REPAID",IQ_FY-9), _xll.ciqfunctions.udf.CIQ(A2838, "IQ_TOTAL_DEBT_REPAID",IQ_FY-8))</f>
        <v>0</v>
      </c>
      <c r="O2839" s="15" t="e">
        <f t="shared" si="757"/>
        <v>#DIV/0!</v>
      </c>
      <c r="P2839" s="15" t="e">
        <f t="shared" si="758"/>
        <v>#DIV/0!</v>
      </c>
      <c r="Q2839" s="25" t="s">
        <v>18</v>
      </c>
      <c r="R2839" s="39" t="s">
        <v>19</v>
      </c>
      <c r="S2839" s="1">
        <f>R2837/((AVERAGE(P2843:P2848))*(1+E2849)^3)</f>
        <v>-976.87433024459597</v>
      </c>
      <c r="U2839" s="25" t="s">
        <v>48</v>
      </c>
      <c r="V2839" s="39" t="s">
        <v>19</v>
      </c>
      <c r="W2839" s="1">
        <f>V2837/((AVERAGE(P2843:P2848))*(1+E2849)^3)</f>
        <v>-976.87433024459597</v>
      </c>
      <c r="Y2839" s="25" t="s">
        <v>39</v>
      </c>
      <c r="Z2839" s="39" t="s">
        <v>19</v>
      </c>
      <c r="AA2839" s="1">
        <f>Z2837/((AVERAGE(P2843:P2848))*(1+E2849)^3)</f>
        <v>-976.87433024459597</v>
      </c>
    </row>
    <row r="2840" spans="1:27">
      <c r="B2840" s="13">
        <v>3</v>
      </c>
      <c r="C2840" s="14" t="s">
        <v>20</v>
      </c>
      <c r="D2840" s="15" t="e" cm="1">
        <f t="array" ref="D2840">_xlfn.SINGLE(IF(A2846=A2847,_xll.ciqfunctions.udf.CIQ(A2838,"IQ_TOTAL_REV",IQ_FY-8)/I2840, _xll.ciqfunctions.udf.CIQ(A2838, "IQ_TOTAL_REV",IQ_FY-7)/I2840))</f>
        <v>#DIV/0!</v>
      </c>
      <c r="E2840" s="16" t="e">
        <f t="shared" si="759"/>
        <v>#DIV/0!</v>
      </c>
      <c r="F2840" s="15">
        <f>IF(A2846=A2847,_xll.ciqfunctions.udf.CIQ(A2838,"IQ_DILUT_EPS_EXCL",IQ_FY-8), _xll.ciqfunctions.udf.CIQ(A2838, "IQ_DILUT_EPS_EXCL",IQ_FY-7))</f>
        <v>0</v>
      </c>
      <c r="G2840" s="15">
        <f>IF(A2846=A2847,_xll.ciqfunctions.udf.CIQ(A2838,"IQ_EBITDA_MARGIN",IQ_FY-8), _xll.ciqfunctions.udf.CIQ(A2838, "IQ_EBITDA_MARGIN",IQ_FY-7))</f>
        <v>0</v>
      </c>
      <c r="H2840" s="15" t="e">
        <f>IF(A2846=A2847,_xll.ciqfunctions.udf.CIQ(A2838,"IQ_TOTAL_DIV_PAID_CF",IQ_FY-8)/-I2840, _xll.ciqfunctions.udf.CIQ(A2838, "IQ_TOTAL_DIV_PAID_CF",IQ_FY-7)/-I2840)</f>
        <v>#DIV/0!</v>
      </c>
      <c r="I2840" s="17">
        <f>IF(A2846=A2847,_xll.ciqfunctions.udf.CIQ(A2838,"IQ_TOTAL_OUTSTANDING_FILING_DATE",IQ_FY-8), _xll.ciqfunctions.udf.CIQ(A2838, "IQ_TOTAL_OUTSTANDING_FILING_DATE",IQ_FY-7))</f>
        <v>0</v>
      </c>
      <c r="J2840" s="17">
        <f>IF(A2846=A2847,_xll.ciqfunctions.udf.CIQ(A2838,"IQ_CASH_OPER",IQ_FY-8), _xll.ciqfunctions.udf.CIQ(A2838, "IQ_CASH_OPER",IQ_FY-7))</f>
        <v>0</v>
      </c>
      <c r="K2840" s="17">
        <f>IF(A2846=A2847,_xll.ciqfunctions.udf.CIQ(A2838,"IQ_CAPEX",IQ_FY-8), _xll.ciqfunctions.udf.CIQ(A2838, "IQ_CAPEX",IQ_FY-7))</f>
        <v>0</v>
      </c>
      <c r="L2840" s="15" t="e">
        <f t="shared" si="756"/>
        <v>#DIV/0!</v>
      </c>
      <c r="M2840" s="17">
        <f>IF(A2846=A2847,_xll.ciqfunctions.udf.CIQ(A2838,"IQ_TOTAL_DEBT_ISSUED",IQ_FY-8), _xll.ciqfunctions.udf.CIQ(A2838, "IQ_TOTAL_DEBT_ISSUED",IQ_FY-7))</f>
        <v>0</v>
      </c>
      <c r="N2840" s="17">
        <f>IF(A2846=A2847,_xll.ciqfunctions.udf.CIQ(A2838,"IQ_TOTAL_DEBT_REPAID",IQ_FY-8), _xll.ciqfunctions.udf.CIQ(A2838, "IQ_TOTAL_DEBT_REPAID",IQ_FY-7))</f>
        <v>0</v>
      </c>
      <c r="O2840" s="15" t="e">
        <f t="shared" si="757"/>
        <v>#DIV/0!</v>
      </c>
      <c r="P2840" s="15" t="e">
        <f t="shared" si="758"/>
        <v>#DIV/0!</v>
      </c>
      <c r="Q2840" s="25" t="s">
        <v>21</v>
      </c>
      <c r="R2840" s="38" t="s">
        <v>49</v>
      </c>
      <c r="S2840" s="2">
        <f>(R2837*I2848)/1000</f>
        <v>2.6092102779000004</v>
      </c>
      <c r="U2840" s="25" t="s">
        <v>59</v>
      </c>
      <c r="V2840" s="38" t="s">
        <v>49</v>
      </c>
      <c r="W2840" s="2">
        <f>(V2837*I2848)/1000</f>
        <v>2.6092102779000004</v>
      </c>
      <c r="Y2840" s="25" t="s">
        <v>46</v>
      </c>
      <c r="Z2840" s="38" t="s">
        <v>49</v>
      </c>
      <c r="AA2840" s="2">
        <f>(Z2837*I2848)/1000</f>
        <v>2.6092102779000004</v>
      </c>
    </row>
    <row r="2841" spans="1:27">
      <c r="A2841" s="18"/>
      <c r="B2841" s="13">
        <v>4</v>
      </c>
      <c r="C2841" s="14" t="s">
        <v>22</v>
      </c>
      <c r="D2841" s="15" t="e" cm="1">
        <f t="array" ref="D2841">_xlfn.SINGLE(IF(A2846=A2847,_xll.ciqfunctions.udf.CIQ(A2838,"IQ_TOTAL_REV",IQ_FY-7)/I2841, _xll.ciqfunctions.udf.CIQ(A2838, "IQ_TOTAL_REV",IQ_FY-6)/I2841))</f>
        <v>#DIV/0!</v>
      </c>
      <c r="E2841" s="16" t="e">
        <f t="shared" si="759"/>
        <v>#DIV/0!</v>
      </c>
      <c r="F2841" s="15">
        <f>IF(A2846=A2847,_xll.ciqfunctions.udf.CIQ(A2838,"IQ_DILUT_EPS_EXCL",IQ_FY-7), _xll.ciqfunctions.udf.CIQ(A2838, "IQ_DILUT_EPS_EXCL",IQ_FY-6))</f>
        <v>0</v>
      </c>
      <c r="G2841" s="15">
        <f>IF(A2846=A2847,_xll.ciqfunctions.udf.CIQ(A2838,"IQ_EBITDA_MARGIN",IQ_FY-7), _xll.ciqfunctions.udf.CIQ(A2838, "IQ_EBITDA_MARGIN",IQ_FY-6))</f>
        <v>0</v>
      </c>
      <c r="H2841" s="15" t="e">
        <f>IF(A2846=A2847,_xll.ciqfunctions.udf.CIQ(A2838,"IQ_TOTAL_DIV_PAID_CF",IQ_FY-7)/-I2841, _xll.ciqfunctions.udf.CIQ(A2838, "IQ_TOTAL_DIV_PAID_CF",IQ_FY-6)/-I2841)</f>
        <v>#DIV/0!</v>
      </c>
      <c r="I2841" s="17">
        <f>IF(A2846=A2847,_xll.ciqfunctions.udf.CIQ(A2838,"IQ_TOTAL_OUTSTANDING_FILING_DATE",IQ_FY-7), _xll.ciqfunctions.udf.CIQ(A2838, "IQ_TOTAL_OUTSTANDING_FILING_DATE",IQ_FY-6))</f>
        <v>0</v>
      </c>
      <c r="J2841" s="17">
        <f>IF(A2846=A2847,_xll.ciqfunctions.udf.CIQ(A2838,"IQ_CASH_OPER",IQ_FY-7), _xll.ciqfunctions.udf.CIQ(A2838, "IQ_CASH_OPER",IQ_FY-6))</f>
        <v>0</v>
      </c>
      <c r="K2841" s="17">
        <f>IF(A2846=A2847,_xll.ciqfunctions.udf.CIQ(A2838,"IQ_CAPEX",IQ_FY-7), _xll.ciqfunctions.udf.CIQ(A2838, "IQ_CAPEX",IQ_FY-6))</f>
        <v>0</v>
      </c>
      <c r="L2841" s="15" t="e">
        <f t="shared" si="756"/>
        <v>#DIV/0!</v>
      </c>
      <c r="M2841" s="17">
        <f>IF(A2846=A2847,_xll.ciqfunctions.udf.CIQ(A2838,"IQ_TOTAL_DEBT_ISSUED",IQ_FY-7), _xll.ciqfunctions.udf.CIQ(A2838, "IQ_TOTAL_DEBT_ISSUED",IQ_FY-6))</f>
        <v>0</v>
      </c>
      <c r="N2841" s="17">
        <f>IF(A2846=A2847,_xll.ciqfunctions.udf.CIQ(A2838,"IQ_TOTAL_DEBT_REPAID",IQ_FY-7), _xll.ciqfunctions.udf.CIQ(A2838, "IQ_TOTAL_DEBT_REPAID",IQ_FY-6))</f>
        <v>0</v>
      </c>
      <c r="O2841" s="15" t="e">
        <f t="shared" si="757"/>
        <v>#DIV/0!</v>
      </c>
      <c r="P2841" s="15" t="e">
        <f t="shared" si="758"/>
        <v>#DIV/0!</v>
      </c>
      <c r="Q2841" s="25" t="s">
        <v>23</v>
      </c>
      <c r="R2841" s="38" t="s">
        <v>24</v>
      </c>
      <c r="S2841" s="1" t="e">
        <f>R2837/(AVERAGE(H2843:H2848)*(1+H2849)/(0.5-H2849))</f>
        <v>#DIV/0!</v>
      </c>
      <c r="U2841" s="25" t="s">
        <v>40</v>
      </c>
      <c r="V2841" s="38" t="s">
        <v>24</v>
      </c>
      <c r="W2841" s="1" t="e">
        <f>V2837/(AVERAGE(H2843:H2848)*(1+H2849)/(0.5-H2849))</f>
        <v>#DIV/0!</v>
      </c>
      <c r="Y2841" s="25" t="s">
        <v>47</v>
      </c>
      <c r="Z2841" s="38" t="s">
        <v>24</v>
      </c>
      <c r="AA2841" s="1" t="e">
        <f>Z2837/(AVERAGE(H2843:H2848)*(1+H2849)/(0.5-H2849))</f>
        <v>#DIV/0!</v>
      </c>
    </row>
    <row r="2842" spans="1:27">
      <c r="B2842" s="13">
        <v>5</v>
      </c>
      <c r="C2842" s="14" t="s">
        <v>25</v>
      </c>
      <c r="D2842" s="15" cm="1">
        <f t="array" ref="D2842">_xlfn.SINGLE(IF(A2846=A2847,_xll.ciqfunctions.udf.CIQ(A2838,"IQ_TOTAL_REV",IQ_FY-6)/I2842, _xll.ciqfunctions.udf.CIQ(A2838, "IQ_TOTAL_REV",IQ_FY-5)/I2842))</f>
        <v>10.1065</v>
      </c>
      <c r="E2842" s="16" t="e">
        <f t="shared" si="759"/>
        <v>#DIV/0!</v>
      </c>
      <c r="F2842" s="15">
        <f>IF(A2846=A2847,_xll.ciqfunctions.udf.CIQ(A2838,"IQ_DILUT_EPS_EXCL",IQ_FY-6), _xll.ciqfunctions.udf.CIQ(A2838, "IQ_DILUT_EPS_EXCL",IQ_FY-5))</f>
        <v>0.4723</v>
      </c>
      <c r="G2842" s="15">
        <f>IF(A2846=A2847,_xll.ciqfunctions.udf.CIQ(A2838,"IQ_EBITDA_MARGIN",IQ_FY-6), _xll.ciqfunctions.udf.CIQ(A2838, "IQ_EBITDA_MARGIN",IQ_FY-5))</f>
        <v>9.0406999999999993</v>
      </c>
      <c r="H2842" s="15">
        <f>IF(A2846=A2847,_xll.ciqfunctions.udf.CIQ(A2838,"IQ_TOTAL_DIV_PAID_CF",IQ_FY-6)/-I2842, _xll.ciqfunctions.udf.CIQ(A2838, "IQ_TOTAL_DIV_PAID_CF",IQ_FY-5)/-I2842)</f>
        <v>0</v>
      </c>
      <c r="I2842" s="17">
        <f>IF(A2846=A2847,_xll.ciqfunctions.udf.CIQ(A2838,"IQ_TOTAL_OUTSTANDING_FILING_DATE",IQ_FY-6), _xll.ciqfunctions.udf.CIQ(A2838, "IQ_TOTAL_OUTSTANDING_FILING_DATE",IQ_FY-5))</f>
        <v>10</v>
      </c>
      <c r="J2842" s="17">
        <f>IF(A2846=A2847,_xll.ciqfunctions.udf.CIQ(A2838,"IQ_CASH_OPER",IQ_FY-6), _xll.ciqfunctions.udf.CIQ(A2838, "IQ_CASH_OPER",IQ_FY-5))</f>
        <v>2.82</v>
      </c>
      <c r="K2842" s="17">
        <f>IF(A2846=A2847,_xll.ciqfunctions.udf.CIQ(A2838,"IQ_CAPEX",IQ_FY-6), _xll.ciqfunctions.udf.CIQ(A2838, "IQ_CAPEX",IQ_FY-5))</f>
        <v>-4.7430000000000003</v>
      </c>
      <c r="L2842" s="15">
        <f t="shared" si="756"/>
        <v>-0.19230000000000005</v>
      </c>
      <c r="M2842" s="17">
        <f>IF(A2846=A2847,_xll.ciqfunctions.udf.CIQ(A2838,"IQ_TOTAL_DEBT_ISSUED",IQ_FY-6), _xll.ciqfunctions.udf.CIQ(A2838, "IQ_TOTAL_DEBT_ISSUED",IQ_FY-5))</f>
        <v>39</v>
      </c>
      <c r="N2842" s="17">
        <f>IF(A2846=A2847,_xll.ciqfunctions.udf.CIQ(A2838,"IQ_TOTAL_DEBT_REPAID",IQ_FY-6), _xll.ciqfunctions.udf.CIQ(A2838, "IQ_TOTAL_DEBT_REPAID",IQ_FY-5))</f>
        <v>-34</v>
      </c>
      <c r="O2842" s="15">
        <f t="shared" si="757"/>
        <v>0.5</v>
      </c>
      <c r="P2842" s="15">
        <f t="shared" si="758"/>
        <v>0.30769999999999997</v>
      </c>
      <c r="Q2842" s="18"/>
      <c r="R2842" s="38" t="s">
        <v>50</v>
      </c>
      <c r="S2842" s="3">
        <f>I2849</f>
        <v>0.17562297756457301</v>
      </c>
      <c r="U2842" s="18"/>
      <c r="V2842" s="38" t="s">
        <v>50</v>
      </c>
      <c r="W2842" s="3">
        <f>I2849</f>
        <v>0.17562297756457301</v>
      </c>
      <c r="Y2842" s="18"/>
      <c r="Z2842" s="38" t="s">
        <v>50</v>
      </c>
      <c r="AA2842" s="3">
        <f>I2849</f>
        <v>0.17562297756457301</v>
      </c>
    </row>
    <row r="2843" spans="1:27">
      <c r="B2843" s="13">
        <v>6</v>
      </c>
      <c r="C2843" s="14" t="s">
        <v>26</v>
      </c>
      <c r="D2843" s="15" cm="1">
        <f t="array" ref="D2843">_xlfn.SINGLE(IF(A2846=A2847,_xll.ciqfunctions.udf.CIQ(A2838,"IQ_TOTAL_REV",IQ_FY-5)/I2843, _xll.ciqfunctions.udf.CIQ(A2838, "IQ_TOTAL_REV",IQ_FY-4)/I2843))</f>
        <v>8.5213999999999999</v>
      </c>
      <c r="E2843" s="16">
        <f t="shared" si="759"/>
        <v>-0.15683965764606941</v>
      </c>
      <c r="F2843" s="15">
        <f>IF(A2846=A2847,_xll.ciqfunctions.udf.CIQ(A2838,"IQ_DILUT_EPS_EXCL",IQ_FY-5), _xll.ciqfunctions.udf.CIQ(A2838, "IQ_DILUT_EPS_EXCL",IQ_FY-4))</f>
        <v>-0.93420000000000003</v>
      </c>
      <c r="G2843" s="15">
        <f>IF(A2846=A2847,_xll.ciqfunctions.udf.CIQ(A2838,"IQ_EBITDA_MARGIN",IQ_FY-5), _xll.ciqfunctions.udf.CIQ(A2838, "IQ_EBITDA_MARGIN",IQ_FY-4))</f>
        <v>-0.44240000000000002</v>
      </c>
      <c r="H2843" s="15">
        <f>IF(A2846=A2847,_xll.ciqfunctions.udf.CIQ(A2838,"IQ_TOTAL_DIV_PAID_CF",IQ_FY-5)/-I2843, _xll.ciqfunctions.udf.CIQ(A2838, "IQ_TOTAL_DIV_PAID_CF",IQ_FY-4)/-I2843)</f>
        <v>0</v>
      </c>
      <c r="I2843" s="17">
        <f>IF(A2846=A2847,_xll.ciqfunctions.udf.CIQ(A2838,"IQ_TOTAL_OUTSTANDING_FILING_DATE",IQ_FY-5), _xll.ciqfunctions.udf.CIQ(A2838, "IQ_TOTAL_OUTSTANDING_FILING_DATE",IQ_FY-4))</f>
        <v>10</v>
      </c>
      <c r="J2843" s="17">
        <f>IF(A2846=A2847,_xll.ciqfunctions.udf.CIQ(A2838,"IQ_CASH_OPER",IQ_FY-5), _xll.ciqfunctions.udf.CIQ(A2838, "IQ_CASH_OPER",IQ_FY-4))</f>
        <v>-1.046</v>
      </c>
      <c r="K2843" s="17">
        <f>IF(A2846=A2847,_xll.ciqfunctions.udf.CIQ(A2838,"IQ_CAPEX",IQ_FY-5), _xll.ciqfunctions.udf.CIQ(A2838, "IQ_CAPEX",IQ_FY-4))</f>
        <v>-2.3140000000000001</v>
      </c>
      <c r="L2843" s="15">
        <f t="shared" si="756"/>
        <v>-0.33600000000000002</v>
      </c>
      <c r="M2843" s="17">
        <f>IF(A2846=A2847,_xll.ciqfunctions.udf.CIQ(A2838,"IQ_TOTAL_DEBT_ISSUED",IQ_FY-5), _xll.ciqfunctions.udf.CIQ(A2838, "IQ_TOTAL_DEBT_ISSUED",IQ_FY-4))</f>
        <v>21</v>
      </c>
      <c r="N2843" s="17">
        <f>IF(A2846=A2847,_xll.ciqfunctions.udf.CIQ(A2838,"IQ_TOTAL_DEBT_REPAID",IQ_FY-5), _xll.ciqfunctions.udf.CIQ(A2838, "IQ_TOTAL_DEBT_REPAID",IQ_FY-4))</f>
        <v>-18</v>
      </c>
      <c r="O2843" s="15">
        <f t="shared" si="757"/>
        <v>0.3</v>
      </c>
      <c r="P2843" s="15">
        <f t="shared" si="758"/>
        <v>-3.6000000000000032E-2</v>
      </c>
      <c r="Q2843" s="25" t="s">
        <v>27</v>
      </c>
      <c r="R2843" s="38" t="s">
        <v>51</v>
      </c>
      <c r="S2843" s="4">
        <f>AVERAGE(F2843:F2848)/AVERAGE(D2843:D2848)</f>
        <v>-4.6762310425130592E-2</v>
      </c>
      <c r="U2843" s="25" t="s">
        <v>58</v>
      </c>
      <c r="V2843" s="38" t="s">
        <v>51</v>
      </c>
      <c r="W2843" s="4">
        <f>AVERAGE(F2843:F2848)/AVERAGE(D2843:D2848)</f>
        <v>-4.6762310425130592E-2</v>
      </c>
      <c r="Y2843" s="25" t="s">
        <v>56</v>
      </c>
      <c r="Z2843" s="38" t="s">
        <v>51</v>
      </c>
      <c r="AA2843" s="4">
        <f>AVERAGE(F2843:F2848)/AVERAGE(D2843:D2848)</f>
        <v>-4.6762310425130592E-2</v>
      </c>
    </row>
    <row r="2844" spans="1:27">
      <c r="A2844" s="18"/>
      <c r="B2844" s="13">
        <v>7</v>
      </c>
      <c r="C2844" s="14" t="s">
        <v>28</v>
      </c>
      <c r="D2844" s="15" cm="1">
        <f t="array" ref="D2844">_xlfn.SINGLE(IF(A2846=A2847,_xll.ciqfunctions.udf.CIQ(A2838,"IQ_TOTAL_REV",IQ_FY-4)/I2844, _xll.ciqfunctions.udf.CIQ(A2838, "IQ_TOTAL_REV",IQ_FY-3)/I2844))</f>
        <v>5.5824027558108806</v>
      </c>
      <c r="E2844" s="16">
        <f t="shared" si="759"/>
        <v>-0.34489605513050897</v>
      </c>
      <c r="F2844" s="15">
        <f>IF(A2846=A2847,_xll.ciqfunctions.udf.CIQ(A2838,"IQ_DILUT_EPS_EXCL",IQ_FY-4), _xll.ciqfunctions.udf.CIQ(A2838, "IQ_DILUT_EPS_EXCL",IQ_FY-3))</f>
        <v>-0.63</v>
      </c>
      <c r="G2844" s="15">
        <f>IF(A2846=A2847,_xll.ciqfunctions.udf.CIQ(A2838,"IQ_EBITDA_MARGIN",IQ_FY-4), _xll.ciqfunctions.udf.CIQ(A2838, "IQ_EBITDA_MARGIN",IQ_FY-3))</f>
        <v>4.0439999999999996</v>
      </c>
      <c r="H2844" s="15">
        <f>IF(A2846=A2847,_xll.ciqfunctions.udf.CIQ(A2838,"IQ_TOTAL_DIV_PAID_CF",IQ_FY-4)/-I2844, _xll.ciqfunctions.udf.CIQ(A2838, "IQ_TOTAL_DIV_PAID_CF",IQ_FY-3)/-I2844)</f>
        <v>0</v>
      </c>
      <c r="I2844" s="17">
        <f>IF(A2846=A2847,_xll.ciqfunctions.udf.CIQ(A2838,"IQ_TOTAL_OUTSTANDING_FILING_DATE",IQ_FY-4), _xll.ciqfunctions.udf.CIQ(A2838, "IQ_TOTAL_OUTSTANDING_FILING_DATE",IQ_FY-3))</f>
        <v>15.06054</v>
      </c>
      <c r="J2844" s="17">
        <f>IF(A2846=A2847,_xll.ciqfunctions.udf.CIQ(A2838,"IQ_CASH_OPER",IQ_FY-4), _xll.ciqfunctions.udf.CIQ(A2838, "IQ_CASH_OPER",IQ_FY-3))</f>
        <v>7.3780000000000001</v>
      </c>
      <c r="K2844" s="17">
        <f>IF(A2846=A2847,_xll.ciqfunctions.udf.CIQ(A2838,"IQ_CAPEX",IQ_FY-4), _xll.ciqfunctions.udf.CIQ(A2838, "IQ_CAPEX",IQ_FY-3))</f>
        <v>-1.4259999999999999</v>
      </c>
      <c r="L2844" s="15">
        <f t="shared" si="756"/>
        <v>0.39520495281045698</v>
      </c>
      <c r="M2844" s="17">
        <f>IF(A2846=A2847,_xll.ciqfunctions.udf.CIQ(A2838,"IQ_TOTAL_DEBT_ISSUED",IQ_FY-4), _xll.ciqfunctions.udf.CIQ(A2838, "IQ_TOTAL_DEBT_ISSUED",IQ_FY-3))</f>
        <v>0</v>
      </c>
      <c r="N2844" s="17">
        <f>IF(A2846=A2847,_xll.ciqfunctions.udf.CIQ(A2838,"IQ_TOTAL_DEBT_REPAID",IQ_FY-4), _xll.ciqfunctions.udf.CIQ(A2838, "IQ_TOTAL_DEBT_REPAID",IQ_FY-3))</f>
        <v>-5</v>
      </c>
      <c r="O2844" s="15">
        <f t="shared" si="757"/>
        <v>-0.33199340793889198</v>
      </c>
      <c r="P2844" s="15">
        <f t="shared" si="758"/>
        <v>6.3211544871564995E-2</v>
      </c>
      <c r="Q2844" s="18"/>
      <c r="R2844" s="38" t="s">
        <v>29</v>
      </c>
      <c r="S2844" s="4">
        <f>(AVERAGE(P2843:P2848)/_xlfn.STDEV.P(P2843:P2848))/(IF(A2846=A2847,(_xlfn.SINGLE(_xll.ciqfunctions.udf.CIQ(A2838,"IQ_total_assets",IQ_FY)) - _xlfn.SINGLE(_xll.ciqfunctions.udf.CIQ(A2838,"iq_gw_intan", IQ_FY)))/I2848, (_xlfn.SINGLE(_xll.ciqfunctions.udf.CIQ(A2838, "IQ_total_assets",IQ_LTM))-_xlfn.SINGLE(_xll.ciqfunctions.udf.CIQ(A2838,"iq_gw_intan",IQ_LTM)))/I2848))</f>
        <v>-4.1090171969092029E-3</v>
      </c>
      <c r="U2844" s="18"/>
      <c r="V2844" s="38" t="s">
        <v>29</v>
      </c>
      <c r="W2844" s="4">
        <f>(AVERAGE(P2843:P2848)/_xlfn.STDEV.P(P2843:P2848))/(IF(A2846=A2847,(_xlfn.SINGLE(_xll.ciqfunctions.udf.CIQ(A2838,"IQ_total_assets",IQ_FY)) - _xlfn.SINGLE(_xll.ciqfunctions.udf.CIQ(A2838,"iq_gw_intan", IQ_FY)))/I2848, (_xlfn.SINGLE(_xll.ciqfunctions.udf.CIQ(A2838, "IQ_total_assets",IQ_LTM))-_xlfn.SINGLE(_xll.ciqfunctions.udf.CIQ(A2838,"iq_gw_intan",IQ_LTM)))/I2848))</f>
        <v>-4.1090171969092029E-3</v>
      </c>
      <c r="Y2844" s="18"/>
      <c r="Z2844" s="38" t="s">
        <v>29</v>
      </c>
      <c r="AA2844" s="4">
        <f>(AVERAGE(P2843:P2848)/_xlfn.STDEV.P(P2843:P2848))/(IF(A2846=A2847,(_xlfn.SINGLE(_xll.ciqfunctions.udf.CIQ(A2838,"IQ_total_assets",IQ_FY)) - _xlfn.SINGLE(_xll.ciqfunctions.udf.CIQ(A2838,"iq_gw_intan", IQ_FY)))/I2848, (_xlfn.SINGLE(_xll.ciqfunctions.udf.CIQ(A2838, "IQ_total_assets",IQ_LTM))-_xlfn.SINGLE(_xll.ciqfunctions.udf.CIQ(A2838,"iq_gw_intan",IQ_LTM)))/I2848))</f>
        <v>-4.1090171969092029E-3</v>
      </c>
    </row>
    <row r="2845" spans="1:27">
      <c r="A2845" s="18"/>
      <c r="B2845" s="13">
        <v>8</v>
      </c>
      <c r="C2845" s="14" t="s">
        <v>30</v>
      </c>
      <c r="D2845" s="15" cm="1">
        <f t="array" ref="D2845">_xlfn.SINGLE(IF(A2846=A2847,_xll.ciqfunctions.udf.CIQ(A2838,"IQ_TOTAL_REV",IQ_FY-3)/I2845, _xll.ciqfunctions.udf.CIQ(A2838, "IQ_TOTAL_REV",IQ_FY-2)/I2845))</f>
        <v>6.7728340295318805</v>
      </c>
      <c r="E2845" s="16">
        <f t="shared" si="759"/>
        <v>0.21324711343728225</v>
      </c>
      <c r="F2845" s="15">
        <f>IF(A2846=A2847,_xll.ciqfunctions.udf.CIQ(A2838,"IQ_DILUT_EPS_EXCL",IQ_FY-3), _xll.ciqfunctions.udf.CIQ(A2838, "IQ_DILUT_EPS_EXCL",IQ_FY-2))</f>
        <v>-0.58342000000000005</v>
      </c>
      <c r="G2845" s="15">
        <f>IF(A2846=A2847,_xll.ciqfunctions.udf.CIQ(A2838,"IQ_EBITDA_MARGIN",IQ_FY-3), _xll.ciqfunctions.udf.CIQ(A2838, "IQ_EBITDA_MARGIN",IQ_FY-2))</f>
        <v>-1.0778000000000001</v>
      </c>
      <c r="H2845" s="15">
        <f>IF(A2846=A2847,_xll.ciqfunctions.udf.CIQ(A2838,"IQ_TOTAL_DIV_PAID_CF",IQ_FY-3)/-I2845, _xll.ciqfunctions.udf.CIQ(A2838, "IQ_TOTAL_DIV_PAID_CF",IQ_FY-2)/-I2845)</f>
        <v>0</v>
      </c>
      <c r="I2845" s="17">
        <f>IF(A2846=A2847,_xll.ciqfunctions.udf.CIQ(A2838,"IQ_TOTAL_OUTSTANDING_FILING_DATE",IQ_FY-3), _xll.ciqfunctions.udf.CIQ(A2838, "IQ_TOTAL_OUTSTANDING_FILING_DATE",IQ_FY-2))</f>
        <v>17.150279999999999</v>
      </c>
      <c r="J2845" s="17">
        <f>IF(A2846=A2847,_xll.ciqfunctions.udf.CIQ(A2838,"IQ_CASH_OPER",IQ_FY-3), _xll.ciqfunctions.udf.CIQ(A2838, "IQ_CASH_OPER",IQ_FY-2))</f>
        <v>16.603999999999999</v>
      </c>
      <c r="K2845" s="17">
        <f>IF(A2846=A2847,_xll.ciqfunctions.udf.CIQ(A2838,"IQ_CAPEX",IQ_FY-3), _xll.ciqfunctions.udf.CIQ(A2838, "IQ_CAPEX",IQ_FY-2))</f>
        <v>-6.0979999999999999</v>
      </c>
      <c r="L2845" s="15">
        <f t="shared" si="756"/>
        <v>0.61258475080290242</v>
      </c>
      <c r="M2845" s="17">
        <f>IF(A2846=A2847,_xll.ciqfunctions.udf.CIQ(A2838,"IQ_TOTAL_DEBT_ISSUED",IQ_FY-3), _xll.ciqfunctions.udf.CIQ(A2838, "IQ_TOTAL_DEBT_ISSUED",IQ_FY-2))</f>
        <v>35</v>
      </c>
      <c r="N2845" s="17">
        <f>IF(A2846=A2847,_xll.ciqfunctions.udf.CIQ(A2838,"IQ_TOTAL_DEBT_REPAID",IQ_FY-3), _xll.ciqfunctions.udf.CIQ(A2838, "IQ_TOTAL_DEBT_REPAID",IQ_FY-2))</f>
        <v>-76</v>
      </c>
      <c r="O2845" s="15">
        <f t="shared" si="757"/>
        <v>-2.390631523217114</v>
      </c>
      <c r="P2845" s="15">
        <f t="shared" si="758"/>
        <v>-1.7780467724142115</v>
      </c>
      <c r="Q2845" s="18"/>
      <c r="R2845" s="39" t="s">
        <v>31</v>
      </c>
      <c r="S2845" s="5" t="e">
        <f>IF(NOT(D2838&gt;0),FALSE,SLOPE(G2838:G2848,B2838:B2848))</f>
        <v>#DIV/0!</v>
      </c>
      <c r="U2845" s="18"/>
      <c r="V2845" s="39" t="s">
        <v>31</v>
      </c>
      <c r="W2845" s="5" t="e">
        <f>IF(NOT(D2838&gt;0),FALSE,SLOPE(G2838:G2848,B2838:B2848))</f>
        <v>#DIV/0!</v>
      </c>
      <c r="Y2845" s="18"/>
      <c r="Z2845" s="39" t="s">
        <v>31</v>
      </c>
      <c r="AA2845" s="5" t="e">
        <f>IF(NOT(L2838&gt;0),FALSE,SLOPE(O2838:O2848,J2838:J2848))</f>
        <v>#DIV/0!</v>
      </c>
    </row>
    <row r="2846" spans="1:27">
      <c r="A2846" s="19">
        <f>_xll.ciqfunctions.udf.CIQ(A2838,"IQ_TOTAL_REV",IQ_FY)</f>
        <v>283.60500000000002</v>
      </c>
      <c r="B2846" s="13">
        <v>9</v>
      </c>
      <c r="C2846" s="14" t="s">
        <v>32</v>
      </c>
      <c r="D2846" s="15" cm="1">
        <f t="array" ref="D2846">_xlfn.SINGLE(IF(A2846=A2847,_xll.ciqfunctions.udf.CIQ(A2838,"IQ_TOTAL_REV",IQ_FY-2)/I2846, _xll.ciqfunctions.udf.CIQ(A2838, "IQ_TOTAL_REV",IQ_FY-1)/I2846))</f>
        <v>10.50711797602275</v>
      </c>
      <c r="E2846" s="16">
        <f t="shared" si="759"/>
        <v>0.55136209306297923</v>
      </c>
      <c r="F2846" s="15">
        <f>IF(A2846=A2847,_xll.ciqfunctions.udf.CIQ(A2838,"IQ_DILUT_EPS_EXCL",IQ_FY-2), _xll.ciqfunctions.udf.CIQ(A2838, "IQ_DILUT_EPS_EXCL",IQ_FY-1))</f>
        <v>1.53</v>
      </c>
      <c r="G2846" s="15">
        <f>IF(A2846=A2847,_xll.ciqfunctions.udf.CIQ(A2838,"IQ_EBITDA_MARGIN",IQ_FY-2), _xll.ciqfunctions.udf.CIQ(A2838, "IQ_EBITDA_MARGIN",IQ_FY-1))</f>
        <v>17.535399999999999</v>
      </c>
      <c r="H2846" s="15">
        <f>IF(A2846=A2847,_xll.ciqfunctions.udf.CIQ(A2838,"IQ_TOTAL_DIV_PAID_CF",IQ_FY-2)/-I2846, _xll.ciqfunctions.udf.CIQ(A2838, "IQ_TOTAL_DIV_PAID_CF",IQ_FY-1)/-I2846)</f>
        <v>0</v>
      </c>
      <c r="I2846" s="17">
        <f>IF(A2846=A2847,_xll.ciqfunctions.udf.CIQ(A2838,"IQ_TOTAL_OUTSTANDING_FILING_DATE",IQ_FY-2), _xll.ciqfunctions.udf.CIQ(A2838, "IQ_TOTAL_OUTSTANDING_FILING_DATE",IQ_FY-1))</f>
        <v>20.824739999999998</v>
      </c>
      <c r="J2846" s="17">
        <f>IF(A2846=A2847,_xll.ciqfunctions.udf.CIQ(A2838,"IQ_CASH_OPER",IQ_FY-2), _xll.ciqfunctions.udf.CIQ(A2838, "IQ_CASH_OPER",IQ_FY-1))</f>
        <v>59.078000000000003</v>
      </c>
      <c r="K2846" s="17">
        <f>IF(A2846=A2847,_xll.ciqfunctions.udf.CIQ(A2838,"IQ_CAPEX",IQ_FY-2), _xll.ciqfunctions.udf.CIQ(A2838, "IQ_CAPEX",IQ_FY-1))</f>
        <v>-30.878</v>
      </c>
      <c r="L2846" s="15">
        <f t="shared" si="756"/>
        <v>1.3541585633242001</v>
      </c>
      <c r="M2846" s="17">
        <f>IF(A2846=A2847,_xll.ciqfunctions.udf.CIQ(A2838,"IQ_TOTAL_DEBT_ISSUED",IQ_FY-2), _xll.ciqfunctions.udf.CIQ(A2838, "IQ_TOTAL_DEBT_ISSUED",IQ_FY-1))</f>
        <v>0</v>
      </c>
      <c r="N2846" s="17">
        <f>IF(A2846=A2847,_xll.ciqfunctions.udf.CIQ(A2838,"IQ_TOTAL_DEBT_REPAID",IQ_FY-2), _xll.ciqfunctions.udf.CIQ(A2838, "IQ_TOTAL_DEBT_REPAID",IQ_FY-1))</f>
        <v>0</v>
      </c>
      <c r="O2846" s="15">
        <f t="shared" si="757"/>
        <v>0</v>
      </c>
      <c r="P2846" s="15">
        <f t="shared" si="758"/>
        <v>1.3541585633242001</v>
      </c>
      <c r="Q2846" s="25" t="s">
        <v>33</v>
      </c>
      <c r="R2846" s="38" t="s">
        <v>52</v>
      </c>
      <c r="S2846" s="4">
        <f>(AVERAGE(O2843:O2848)/AVERAGE(P2843:P2848))</f>
        <v>3.0767503002170256</v>
      </c>
      <c r="U2846" s="25" t="s">
        <v>54</v>
      </c>
      <c r="V2846" s="38" t="s">
        <v>52</v>
      </c>
      <c r="W2846" s="4">
        <f>(AVERAGE(O2843:O2848)/AVERAGE(P2843:P2848))</f>
        <v>3.0767503002170256</v>
      </c>
      <c r="Y2846" s="25" t="s">
        <v>60</v>
      </c>
      <c r="Z2846" s="38" t="s">
        <v>52</v>
      </c>
      <c r="AA2846" s="4">
        <f>(AVERAGE(O2843:O2848)/AVERAGE(P2843:P2848))</f>
        <v>3.0767503002170256</v>
      </c>
    </row>
    <row r="2847" spans="1:27">
      <c r="A2847" s="19">
        <f>_xll.ciqfunctions.udf.CIQ(A2838,"IQ_TOTAL_REV",IQ_LTM)</f>
        <v>162.429</v>
      </c>
      <c r="B2847" s="13">
        <v>10</v>
      </c>
      <c r="C2847" s="14" t="s">
        <v>34</v>
      </c>
      <c r="D2847" s="15" cm="1">
        <f t="array" ref="D2847">_xlfn.SINGLE(IF(A2846=A2847,_xll.ciqfunctions.udf.CIQ(A2838,"IQ_TOTAL_REV",IQ_FY-1)/I2847, _xll.ciqfunctions.udf.CIQ(A2838, "IQ_TOTAL_REV",IQ_FY)/I2847))</f>
        <v>13.068379226988586</v>
      </c>
      <c r="E2847" s="16">
        <f t="shared" si="759"/>
        <v>0.24376439446198628</v>
      </c>
      <c r="F2847" s="15">
        <f>IF(A2846=A2847,_xll.ciqfunctions.udf.CIQ(A2838,"IQ_DILUT_EPS_EXCL",IQ_FY-1), _xll.ciqfunctions.udf.CIQ(A2838, "IQ_DILUT_EPS_EXCL",IQ_FY))</f>
        <v>1.03</v>
      </c>
      <c r="G2847" s="15">
        <f>IF(A2846=A2847,_xll.ciqfunctions.udf.CIQ(A2838,"IQ_EBITDA_MARGIN",IQ_FY-1), _xll.ciqfunctions.udf.CIQ(A2838, "IQ_EBITDA_MARGIN",IQ_FY))</f>
        <v>6.6940999999999997</v>
      </c>
      <c r="H2847" s="15">
        <f>IF(A2846=A2847,_xll.ciqfunctions.udf.CIQ(A2838,"IQ_TOTAL_DIV_PAID_CF",IQ_FY-1)/-I2847, _xll.ciqfunctions.udf.CIQ(A2838, "IQ_TOTAL_DIV_PAID_CF",IQ_FY)/-I2847)</f>
        <v>0</v>
      </c>
      <c r="I2847" s="17">
        <f>IF(A2846=A2847,_xll.ciqfunctions.udf.CIQ(A2838,"IQ_TOTAL_OUTSTANDING_FILING_DATE",IQ_FY-1), _xll.ciqfunctions.udf.CIQ(A2838, "IQ_TOTAL_OUTSTANDING_FILING_DATE",IQ_FY))</f>
        <v>21.701619999999998</v>
      </c>
      <c r="J2847" s="17">
        <f>IF(A2846=A2847,_xll.ciqfunctions.udf.CIQ(A2838,"IQ_CASH_OPER",IQ_FY-1), _xll.ciqfunctions.udf.CIQ(A2838, "IQ_CASH_OPER",IQ_FY))</f>
        <v>39.752000000000002</v>
      </c>
      <c r="K2847" s="17">
        <f>IF(A2846=A2847,_xll.ciqfunctions.udf.CIQ(A2838,"IQ_CAPEX",IQ_FY-1), _xll.ciqfunctions.udf.CIQ(A2838, "IQ_CAPEX",IQ_FY))</f>
        <v>-31.792999999999999</v>
      </c>
      <c r="L2847" s="15">
        <f t="shared" si="756"/>
        <v>0.36674681429312667</v>
      </c>
      <c r="M2847" s="17">
        <f>IF(A2846=A2847,_xll.ciqfunctions.udf.CIQ(A2838,"IQ_TOTAL_DEBT_ISSUED",IQ_FY-1), _xll.ciqfunctions.udf.CIQ(A2838, "IQ_TOTAL_DEBT_ISSUED",IQ_FY))</f>
        <v>0</v>
      </c>
      <c r="N2847" s="17">
        <f>IF(A2846=A2847,_xll.ciqfunctions.udf.CIQ(A2838,"IQ_TOTAL_DEBT_REPAID",IQ_FY-1), _xll.ciqfunctions.udf.CIQ(A2838, "IQ_TOTAL_DEBT_REPAID",IQ_FY))</f>
        <v>0</v>
      </c>
      <c r="O2847" s="15">
        <f t="shared" si="757"/>
        <v>0</v>
      </c>
      <c r="P2847" s="15">
        <f t="shared" si="758"/>
        <v>0.36674681429312667</v>
      </c>
      <c r="Q2847" s="25" t="s">
        <v>44</v>
      </c>
      <c r="R2847" s="38" t="s">
        <v>35</v>
      </c>
      <c r="S2847" s="1" t="str">
        <f>_xll.ciqfunctions.udf.CIQ(A2838,"IQ_TEV_EBITDA")</f>
        <v>NM</v>
      </c>
      <c r="U2847" s="25" t="s">
        <v>55</v>
      </c>
      <c r="V2847" s="38" t="s">
        <v>53</v>
      </c>
      <c r="W2847" s="1">
        <f>V2837/(AVERAGE(D2843:D2848)/_xlfn.STDEV.P(E2843:E2848))</f>
        <v>4.7726908281113714</v>
      </c>
      <c r="Y2847" s="25" t="s">
        <v>57</v>
      </c>
      <c r="Z2847" s="38" t="s">
        <v>53</v>
      </c>
      <c r="AA2847" s="1">
        <f>Z2837/(AVERAGE(D2843:D2848)/_xlfn.STDEV.P(E2843:E2848))</f>
        <v>4.7726908281113714</v>
      </c>
    </row>
    <row r="2848" spans="1:27">
      <c r="B2848" s="13">
        <v>11</v>
      </c>
      <c r="C2848" s="20" t="s">
        <v>36</v>
      </c>
      <c r="D2848" s="21" cm="1">
        <f t="array" ref="D2848">_xlfn.SINGLE(IF(A2846=A2847,_xll.ciqfunctions.udf.CIQ(A2838,"IQ_TOTAL_REV",IQ_FY)/I2848, _xll.ciqfunctions.udf.CIQ(A2838, "IQ_TOTAL_REV",IQ_LTM)/I2848))</f>
        <v>7.2330795527869318</v>
      </c>
      <c r="E2848" s="22">
        <f t="shared" si="759"/>
        <v>-0.44652053424886051</v>
      </c>
      <c r="F2848" s="21">
        <f>IF(A2846=A2847,_xll.ciqfunctions.udf.CIQ(A2838,"IQ_DILUT_EPS_EXCL",IQ_FY), _xll.ciqfunctions.udf.CIQ(A2838, "IQ_DILUT_EPS_EXCL",IQ_LTM))</f>
        <v>-2.8292999999999999</v>
      </c>
      <c r="G2848" s="21">
        <f>IF(A2846=A2847,_xll.ciqfunctions.udf.CIQ(A2838,"IQ_EBITDA_MARGIN",IQ_FY), _xll.ciqfunctions.udf.CIQ(A2838, "IQ_EBITDA_MARGIN",IQ_LTM))</f>
        <v>-45.301000000000002</v>
      </c>
      <c r="H2848" s="21">
        <f>IF(A2846=A2847,_xll.ciqfunctions.udf.CIQ(A2838,"IQ_TOTAL_DIV_PAID_CF",IQ_FY)/-I2848, _xll.ciqfunctions.udf.CIQ(A2838, "IQ_TOTAL_DIV_PAID_CF",IQ_LTM)/-I2848)</f>
        <v>0</v>
      </c>
      <c r="I2848" s="23">
        <f>IF(A2846=A2847,_xll.ciqfunctions.udf.CIQ(A2838,"IQ_TOTAL_OUTSTANDING_FILING_DATE",IQ_FY),_xll.ciqfunctions.udf.CIQ(A2838,"IQ_sharesoutstanding"))</f>
        <v>22.456410000000002</v>
      </c>
      <c r="J2848" s="23">
        <f>IF(A2846=A2847,_xll.ciqfunctions.udf.CIQ(A2838,"IQ_CASH_OPER",IQ_FY), _xll.ciqfunctions.udf.CIQ(A2838, "IQ_CASH_OPER",IQ_LTM))</f>
        <v>-4.1150000000000002</v>
      </c>
      <c r="K2848" s="23">
        <f>IF(A2846=A2847,_xll.ciqfunctions.udf.CIQ(A2838,"IQ_CAPEX",IQ_FY), _xll.ciqfunctions.udf.CIQ(A2838, "IQ_CAPEX",IQ_LTM))</f>
        <v>-12.895</v>
      </c>
      <c r="L2848" s="21">
        <f t="shared" si="756"/>
        <v>-0.75746746697268164</v>
      </c>
      <c r="M2848" s="23">
        <f>IF(A2846=A2847,_xll.ciqfunctions.udf.CIQ(A2838,"IQ_TOTAL_DEBT_ISSUED",IQ_FY), _xll.ciqfunctions.udf.CIQ(A2838, "IQ_TOTAL_DEBT_ISSUED",IQ_LTM))</f>
        <v>0</v>
      </c>
      <c r="N2848" s="23">
        <f>IF(A2846=A2847,_xll.ciqfunctions.udf.CIQ(A2838,"IQ_TOTAL_DEBT_REPAID",IQ_FY), _xll.ciqfunctions.udf.CIQ(A2838, "IQ_TOTAL_DEBT_REPAID",IQ_LTM))</f>
        <v>0</v>
      </c>
      <c r="O2848" s="21">
        <f t="shared" si="757"/>
        <v>0</v>
      </c>
      <c r="P2848" s="21">
        <f t="shared" si="758"/>
        <v>-0.75746746697268164</v>
      </c>
      <c r="Q2848" s="25" t="s">
        <v>45</v>
      </c>
      <c r="S2848" s="45"/>
      <c r="U2848" s="25"/>
      <c r="W2848" s="45"/>
      <c r="Y2848" s="25"/>
      <c r="AA2848" s="45"/>
    </row>
    <row r="2849" spans="1:27">
      <c r="B2849" s="24"/>
      <c r="C2849" s="25" t="s">
        <v>37</v>
      </c>
      <c r="E2849" s="26">
        <f>((D2848/D2843)^(1/5))-1</f>
        <v>-3.2251608897471362E-2</v>
      </c>
      <c r="F2849" s="27">
        <f>((F2848/F2843)^(1/5))-1</f>
        <v>0.2480955286744293</v>
      </c>
      <c r="G2849" s="28"/>
      <c r="H2849" s="27" t="e">
        <f>((H2848/H2843)^(1/5))-1</f>
        <v>#DIV/0!</v>
      </c>
      <c r="I2849" s="27">
        <f>((I2848/I2843)^(1/5))-1</f>
        <v>0.17562297756457301</v>
      </c>
      <c r="J2849" s="27"/>
      <c r="K2849" s="27"/>
      <c r="L2849" s="26">
        <f>((L2848/L2843)^(1/5))-1</f>
        <v>0.17653524439268553</v>
      </c>
      <c r="M2849" s="26"/>
      <c r="N2849" s="26"/>
      <c r="O2849" s="26"/>
      <c r="P2849" s="26">
        <f>((P2848/P2843)^(1/5))-1</f>
        <v>0.83912944146811141</v>
      </c>
      <c r="Q2849" s="18"/>
      <c r="R2849" s="36"/>
      <c r="S2849" s="45"/>
      <c r="U2849" s="18"/>
      <c r="V2849" s="36"/>
      <c r="W2849" s="45"/>
      <c r="Y2849" s="18"/>
      <c r="Z2849" s="36"/>
      <c r="AA2849" s="45"/>
    </row>
    <row r="2850" spans="1:27">
      <c r="A2850" s="29"/>
      <c r="B2850" s="30"/>
      <c r="C2850" s="31" t="s">
        <v>38</v>
      </c>
      <c r="D2850" s="29"/>
      <c r="E2850" s="32" t="e">
        <f>((D2848/D2838)^(1/10))-1</f>
        <v>#DIV/0!</v>
      </c>
      <c r="F2850" s="33" t="e">
        <f>((F2848/F2838)^(1/10))-1</f>
        <v>#DIV/0!</v>
      </c>
      <c r="G2850" s="34"/>
      <c r="H2850" s="33" t="e">
        <f>((H2848/H2838)^(1/10))-1</f>
        <v>#DIV/0!</v>
      </c>
      <c r="I2850" s="33" t="e">
        <f>((I2848/I2838)^(1/10))-1</f>
        <v>#DIV/0!</v>
      </c>
      <c r="J2850" s="33"/>
      <c r="K2850" s="33"/>
      <c r="L2850" s="32" t="e">
        <f>((L2848/L2838)^(1/10))-1</f>
        <v>#DIV/0!</v>
      </c>
      <c r="M2850" s="32"/>
      <c r="N2850" s="32"/>
      <c r="O2850" s="32"/>
      <c r="P2850" s="32" t="e">
        <f>((P2848/P2838)^(1/10))-1</f>
        <v>#DIV/0!</v>
      </c>
      <c r="Q2850" s="40"/>
      <c r="R2850" s="41"/>
      <c r="S2850" s="46"/>
      <c r="U2850" s="40"/>
      <c r="V2850" s="41"/>
      <c r="W2850" s="46"/>
      <c r="Y2850" s="40"/>
      <c r="Z2850" s="41"/>
      <c r="AA2850" s="46"/>
    </row>
    <row r="2851" spans="1:27">
      <c r="B2851" s="24"/>
      <c r="C2851" s="25"/>
      <c r="E2851" s="26"/>
      <c r="F2851" s="27"/>
      <c r="G2851" s="28"/>
      <c r="H2851" s="27"/>
      <c r="I2851" s="27"/>
      <c r="J2851" s="27"/>
      <c r="K2851" s="27"/>
      <c r="L2851" s="26"/>
      <c r="M2851" s="17"/>
      <c r="N2851" s="17"/>
      <c r="O2851" s="17"/>
      <c r="P2851" s="35"/>
      <c r="Q2851" s="18"/>
      <c r="R2851" s="36"/>
    </row>
    <row r="2852" spans="1:27">
      <c r="A2852" s="9" t="s">
        <v>0</v>
      </c>
      <c r="B2852" s="10"/>
      <c r="C2852" s="9" t="s">
        <v>1</v>
      </c>
      <c r="D2852" s="9" t="s">
        <v>2</v>
      </c>
      <c r="E2852" s="9" t="s">
        <v>3</v>
      </c>
      <c r="F2852" s="11" t="s">
        <v>4</v>
      </c>
      <c r="G2852" s="11" t="s">
        <v>5</v>
      </c>
      <c r="H2852" s="9" t="s">
        <v>6</v>
      </c>
      <c r="I2852" s="11" t="s">
        <v>7</v>
      </c>
      <c r="J2852" s="11" t="s">
        <v>8</v>
      </c>
      <c r="K2852" s="11" t="s">
        <v>9</v>
      </c>
      <c r="L2852" s="11" t="s">
        <v>10</v>
      </c>
      <c r="M2852" s="11" t="s">
        <v>11</v>
      </c>
      <c r="N2852" s="11" t="s">
        <v>12</v>
      </c>
      <c r="O2852" s="11" t="s">
        <v>13</v>
      </c>
      <c r="P2852" s="11" t="s">
        <v>14</v>
      </c>
      <c r="Q2852" s="37" t="s">
        <v>15</v>
      </c>
      <c r="R2852" s="42">
        <f>_xll.ciqfunctions.udf.CIQ(A2853,("IQ_LASTSALEPRICE"))</f>
        <v>19.28</v>
      </c>
      <c r="S2852" s="44"/>
      <c r="U2852" s="37" t="s">
        <v>15</v>
      </c>
      <c r="V2852" s="42">
        <f>_xll.ciqfunctions.udf.CIQ(A2853,("IQ_LASTSALEPRICE"))</f>
        <v>19.28</v>
      </c>
      <c r="W2852" s="44"/>
      <c r="Y2852" s="37" t="s">
        <v>15</v>
      </c>
      <c r="Z2852" s="42">
        <f>_xll.ciqfunctions.udf.CIQ(A2853,("IQ_LASTSALEPRICE"))</f>
        <v>19.28</v>
      </c>
      <c r="AA2852" s="44"/>
    </row>
    <row r="2853" spans="1:27">
      <c r="A2853" s="12" t="str">
        <f>Analysis!B192</f>
        <v>NasdaqGS:CRDO</v>
      </c>
      <c r="B2853" s="13">
        <v>1</v>
      </c>
      <c r="C2853" s="14" t="s">
        <v>16</v>
      </c>
      <c r="D2853" s="15" t="e">
        <f>IF(A2861=A2862,_xll.ciqfunctions.udf.CIQ(A2853,"IQ_TOTAL_REV",IQ_FY-10)/I2853,_xll.ciqfunctions.udf.CIQ(A2853, "IQ_TOTAL_REV",IQ_FY-9)/I2853)</f>
        <v>#DIV/0!</v>
      </c>
      <c r="E2853" s="16"/>
      <c r="F2853" s="15">
        <f>IF(A2861=A2862,_xll.ciqfunctions.udf.CIQ(A2853,"IQ_DILUT_EPS_EXCL",IQ_FY-10), _xll.ciqfunctions.udf.CIQ(A2853, "IQ_DILUT_EPS_EXCL",IQ_FY-9))</f>
        <v>0</v>
      </c>
      <c r="G2853" s="15">
        <f>IF(A2861=A2862,_xll.ciqfunctions.udf.CIQ(A2853,"IQ_EBITDA_MARGIN",IQ_FY-10), _xll.ciqfunctions.udf.CIQ(A2853, "IQ_EBITDA_MARGIN",IQ_FY-9))</f>
        <v>0</v>
      </c>
      <c r="H2853" s="15" t="e">
        <f>IF(A2861=A2862,_xll.ciqfunctions.udf.CIQ(A2853,"IQ_TOTAL_DIV_PAID_CF",IQ_FY-10)/-I2853, _xll.ciqfunctions.udf.CIQ(A2853, "IQ_TOTAL_DIV_PAID_CF",IQ_FY-9)/-I2853)</f>
        <v>#DIV/0!</v>
      </c>
      <c r="I2853" s="17">
        <f>IF(A2861=A2862,_xll.ciqfunctions.udf.CIQ(A2853,"IQ_TOTAL_OUTSTANDING_FILING_DATE",IQ_FY-10), _xll.ciqfunctions.udf.CIQ(A2853, "IQ_TOTAL_OUTSTANDING_FILING_DATE",IQ_FY-9))</f>
        <v>0</v>
      </c>
      <c r="J2853" s="17">
        <f>IF(A2861=A2862,_xll.ciqfunctions.udf.CIQ(A2853,"IQ_CASH_OPER",IQ_FY-10), _xll.ciqfunctions.udf.CIQ(A2853, "IQ_CASH_OPER",IQ_FY-9))</f>
        <v>0</v>
      </c>
      <c r="K2853" s="17">
        <f>IF(A2861=A2862,_xll.ciqfunctions.udf.CIQ(A2853,"IQ_CAPEX",IQ_FY-10), _xll.ciqfunctions.udf.CIQ(A2853, "IQ_CAPEX",IQ_FY-9))</f>
        <v>0</v>
      </c>
      <c r="L2853" s="15" t="e">
        <f t="shared" ref="L2853:L2863" si="760">(J2853+K2853)/I2853</f>
        <v>#DIV/0!</v>
      </c>
      <c r="M2853" s="17">
        <f>IF(A2861=A2862,_xll.ciqfunctions.udf.CIQ(A2853,"IQ_TOTAL_DEBT_ISSUED",IQ_FY-10), _xll.ciqfunctions.udf.CIQ(A2853, "IQ_TOTAL_DEBT_ISSUED",IQ_FY-9))</f>
        <v>0</v>
      </c>
      <c r="N2853" s="17">
        <f>IF(A2861=A2862,_xll.ciqfunctions.udf.CIQ(A2853,"IQ_TOTAL_DEBT_REPAID",IQ_FY-10), _xll.ciqfunctions.udf.CIQ(A2853, "IQ_TOTAL_DEBT_REPAID",IQ_FY-9))</f>
        <v>0</v>
      </c>
      <c r="O2853" s="15" t="e">
        <f t="shared" ref="O2853:O2863" si="761">(M2853+N2853)/I2853</f>
        <v>#DIV/0!</v>
      </c>
      <c r="P2853" s="15" t="e">
        <f t="shared" ref="P2853:P2863" si="762">L2853+O2853</f>
        <v>#DIV/0!</v>
      </c>
      <c r="W2853" s="43"/>
      <c r="AA2853" s="43"/>
    </row>
    <row r="2854" spans="1:27">
      <c r="A2854" s="18" t="str">
        <f>_xll.ciqfunctions.udf.CIQ(A2853,"IQ_COMPANY_NAME")</f>
        <v>Credo Technology Group Holding Ltd</v>
      </c>
      <c r="B2854" s="13">
        <v>2</v>
      </c>
      <c r="C2854" s="14" t="s">
        <v>17</v>
      </c>
      <c r="D2854" s="15" t="e">
        <f>IF(A2861=A2862,_xll.ciqfunctions.udf.CIQ(A2853,"IQ_TOTAL_REV",IQ_FY-9)/I2854, _xll.ciqfunctions.udf.CIQ(A2853, "IQ_TOTAL_REV",IQ_FY-8)/I2854)</f>
        <v>#DIV/0!</v>
      </c>
      <c r="E2854" s="16" t="e">
        <f t="shared" ref="E2854:E2863" si="763">(D2854-D2853)/D2853</f>
        <v>#DIV/0!</v>
      </c>
      <c r="F2854" s="15">
        <f>IF(A2861=A2862,_xll.ciqfunctions.udf.CIQ(A2853,"IQ_DILUT_EPS_EXCL",IQ_FY-9), _xll.ciqfunctions.udf.CIQ(A2853, "IQ_DILUT_EPS_EXCL",IQ_FY-8))</f>
        <v>0</v>
      </c>
      <c r="G2854" s="15">
        <f>IF(A2861=A2862,_xll.ciqfunctions.udf.CIQ(A2853,"IQ_EBITDA_MARGIN",IQ_FY-9), _xll.ciqfunctions.udf.CIQ(A2853, "IQ_EBITDA_MARGIN",IQ_FY-8))</f>
        <v>0</v>
      </c>
      <c r="H2854" s="15" t="e">
        <f>IF(A2861=A2862,_xll.ciqfunctions.udf.CIQ(A2853,"IQ_TOTAL_DIV_PAID_CF",IQ_FY-9)/-I2854, _xll.ciqfunctions.udf.CIQ(A2853, "IQ_TOTAL_DIV_PAID_CF",IQ_FY-8)/-I2854)</f>
        <v>#DIV/0!</v>
      </c>
      <c r="I2854" s="17">
        <f>IF(A2861=A2862,_xll.ciqfunctions.udf.CIQ(A2853,"IQ_TOTAL_OUTSTANDING_FILING_DATE",IQ_FY-9), _xll.ciqfunctions.udf.CIQ(A2853, "IQ_TOTAL_OUTSTANDING_FILING_DATE",IQ_FY-8))</f>
        <v>0</v>
      </c>
      <c r="J2854" s="17">
        <f>IF(A2861=A2862,_xll.ciqfunctions.udf.CIQ(A2853,"IQ_CASH_OPER",IQ_FY-9), _xll.ciqfunctions.udf.CIQ(A2853, "IQ_CASH_OPER",IQ_FY-8))</f>
        <v>0</v>
      </c>
      <c r="K2854" s="17">
        <f>IF(A2861=A2862,_xll.ciqfunctions.udf.CIQ(A2853,"IQ_CAPEX",IQ_FY-9), _xll.ciqfunctions.udf.CIQ(A2853, "IQ_CAPEX",IQ_FY-8))</f>
        <v>0</v>
      </c>
      <c r="L2854" s="15" t="e">
        <f t="shared" si="760"/>
        <v>#DIV/0!</v>
      </c>
      <c r="M2854" s="17">
        <f>IF(A2861=A2862,_xll.ciqfunctions.udf.CIQ(A2853,"IQ_TOTAL_DEBT_ISSUED",IQ_FY-9), _xll.ciqfunctions.udf.CIQ(A2853, "IQ_TOTAL_DEBT_ISSUED",IQ_FY-8))</f>
        <v>0</v>
      </c>
      <c r="N2854" s="17">
        <f>IF(A2861=A2862,_xll.ciqfunctions.udf.CIQ(A2853,"IQ_TOTAL_DEBT_REPAID",IQ_FY-9), _xll.ciqfunctions.udf.CIQ(A2853, "IQ_TOTAL_DEBT_REPAID",IQ_FY-8))</f>
        <v>0</v>
      </c>
      <c r="O2854" s="15" t="e">
        <f t="shared" si="761"/>
        <v>#DIV/0!</v>
      </c>
      <c r="P2854" s="15" t="e">
        <f t="shared" si="762"/>
        <v>#DIV/0!</v>
      </c>
      <c r="Q2854" s="25" t="s">
        <v>18</v>
      </c>
      <c r="R2854" s="39" t="s">
        <v>19</v>
      </c>
      <c r="S2854" s="1" t="e">
        <f>R2852/((AVERAGE(P2858:P2863))*(1+E2864)^3)</f>
        <v>#DIV/0!</v>
      </c>
      <c r="U2854" s="25" t="s">
        <v>48</v>
      </c>
      <c r="V2854" s="39" t="s">
        <v>19</v>
      </c>
      <c r="W2854" s="1" t="e">
        <f>V2852/((AVERAGE(P2858:P2863))*(1+E2864)^3)</f>
        <v>#DIV/0!</v>
      </c>
      <c r="Y2854" s="25" t="s">
        <v>39</v>
      </c>
      <c r="Z2854" s="39" t="s">
        <v>19</v>
      </c>
      <c r="AA2854" s="1" t="e">
        <f>Z2852/((AVERAGE(P2858:P2863))*(1+E2864)^3)</f>
        <v>#DIV/0!</v>
      </c>
    </row>
    <row r="2855" spans="1:27">
      <c r="B2855" s="13">
        <v>3</v>
      </c>
      <c r="C2855" s="14" t="s">
        <v>20</v>
      </c>
      <c r="D2855" s="15" t="e" cm="1">
        <f t="array" ref="D2855">_xlfn.SINGLE(IF(A2861=A2862,_xll.ciqfunctions.udf.CIQ(A2853,"IQ_TOTAL_REV",IQ_FY-8)/I2855, _xll.ciqfunctions.udf.CIQ(A2853, "IQ_TOTAL_REV",IQ_FY-7)/I2855))</f>
        <v>#DIV/0!</v>
      </c>
      <c r="E2855" s="16" t="e">
        <f t="shared" si="763"/>
        <v>#DIV/0!</v>
      </c>
      <c r="F2855" s="15">
        <f>IF(A2861=A2862,_xll.ciqfunctions.udf.CIQ(A2853,"IQ_DILUT_EPS_EXCL",IQ_FY-8), _xll.ciqfunctions.udf.CIQ(A2853, "IQ_DILUT_EPS_EXCL",IQ_FY-7))</f>
        <v>0</v>
      </c>
      <c r="G2855" s="15">
        <f>IF(A2861=A2862,_xll.ciqfunctions.udf.CIQ(A2853,"IQ_EBITDA_MARGIN",IQ_FY-8), _xll.ciqfunctions.udf.CIQ(A2853, "IQ_EBITDA_MARGIN",IQ_FY-7))</f>
        <v>0</v>
      </c>
      <c r="H2855" s="15" t="e">
        <f>IF(A2861=A2862,_xll.ciqfunctions.udf.CIQ(A2853,"IQ_TOTAL_DIV_PAID_CF",IQ_FY-8)/-I2855, _xll.ciqfunctions.udf.CIQ(A2853, "IQ_TOTAL_DIV_PAID_CF",IQ_FY-7)/-I2855)</f>
        <v>#DIV/0!</v>
      </c>
      <c r="I2855" s="17">
        <f>IF(A2861=A2862,_xll.ciqfunctions.udf.CIQ(A2853,"IQ_TOTAL_OUTSTANDING_FILING_DATE",IQ_FY-8), _xll.ciqfunctions.udf.CIQ(A2853, "IQ_TOTAL_OUTSTANDING_FILING_DATE",IQ_FY-7))</f>
        <v>0</v>
      </c>
      <c r="J2855" s="17">
        <f>IF(A2861=A2862,_xll.ciqfunctions.udf.CIQ(A2853,"IQ_CASH_OPER",IQ_FY-8), _xll.ciqfunctions.udf.CIQ(A2853, "IQ_CASH_OPER",IQ_FY-7))</f>
        <v>0</v>
      </c>
      <c r="K2855" s="17">
        <f>IF(A2861=A2862,_xll.ciqfunctions.udf.CIQ(A2853,"IQ_CAPEX",IQ_FY-8), _xll.ciqfunctions.udf.CIQ(A2853, "IQ_CAPEX",IQ_FY-7))</f>
        <v>0</v>
      </c>
      <c r="L2855" s="15" t="e">
        <f t="shared" si="760"/>
        <v>#DIV/0!</v>
      </c>
      <c r="M2855" s="17">
        <f>IF(A2861=A2862,_xll.ciqfunctions.udf.CIQ(A2853,"IQ_TOTAL_DEBT_ISSUED",IQ_FY-8), _xll.ciqfunctions.udf.CIQ(A2853, "IQ_TOTAL_DEBT_ISSUED",IQ_FY-7))</f>
        <v>0</v>
      </c>
      <c r="N2855" s="17">
        <f>IF(A2861=A2862,_xll.ciqfunctions.udf.CIQ(A2853,"IQ_TOTAL_DEBT_REPAID",IQ_FY-8), _xll.ciqfunctions.udf.CIQ(A2853, "IQ_TOTAL_DEBT_REPAID",IQ_FY-7))</f>
        <v>0</v>
      </c>
      <c r="O2855" s="15" t="e">
        <f t="shared" si="761"/>
        <v>#DIV/0!</v>
      </c>
      <c r="P2855" s="15" t="e">
        <f t="shared" si="762"/>
        <v>#DIV/0!</v>
      </c>
      <c r="Q2855" s="25" t="s">
        <v>21</v>
      </c>
      <c r="R2855" s="38" t="s">
        <v>49</v>
      </c>
      <c r="S2855" s="2">
        <f>(R2852*I2863)/1000</f>
        <v>2.8925541072000001</v>
      </c>
      <c r="U2855" s="25" t="s">
        <v>59</v>
      </c>
      <c r="V2855" s="38" t="s">
        <v>49</v>
      </c>
      <c r="W2855" s="2">
        <f>(V2852*I2863)/1000</f>
        <v>2.8925541072000001</v>
      </c>
      <c r="Y2855" s="25" t="s">
        <v>46</v>
      </c>
      <c r="Z2855" s="38" t="s">
        <v>49</v>
      </c>
      <c r="AA2855" s="2">
        <f>(Z2852*I2863)/1000</f>
        <v>2.8925541072000001</v>
      </c>
    </row>
    <row r="2856" spans="1:27">
      <c r="A2856" s="18"/>
      <c r="B2856" s="13">
        <v>4</v>
      </c>
      <c r="C2856" s="14" t="s">
        <v>22</v>
      </c>
      <c r="D2856" s="15" t="e" cm="1">
        <f t="array" ref="D2856">_xlfn.SINGLE(IF(A2861=A2862,_xll.ciqfunctions.udf.CIQ(A2853,"IQ_TOTAL_REV",IQ_FY-7)/I2856, _xll.ciqfunctions.udf.CIQ(A2853, "IQ_TOTAL_REV",IQ_FY-6)/I2856))</f>
        <v>#DIV/0!</v>
      </c>
      <c r="E2856" s="16" t="e">
        <f t="shared" si="763"/>
        <v>#DIV/0!</v>
      </c>
      <c r="F2856" s="15">
        <f>IF(A2861=A2862,_xll.ciqfunctions.udf.CIQ(A2853,"IQ_DILUT_EPS_EXCL",IQ_FY-7), _xll.ciqfunctions.udf.CIQ(A2853, "IQ_DILUT_EPS_EXCL",IQ_FY-6))</f>
        <v>0</v>
      </c>
      <c r="G2856" s="15">
        <f>IF(A2861=A2862,_xll.ciqfunctions.udf.CIQ(A2853,"IQ_EBITDA_MARGIN",IQ_FY-7), _xll.ciqfunctions.udf.CIQ(A2853, "IQ_EBITDA_MARGIN",IQ_FY-6))</f>
        <v>0</v>
      </c>
      <c r="H2856" s="15" t="e">
        <f>IF(A2861=A2862,_xll.ciqfunctions.udf.CIQ(A2853,"IQ_TOTAL_DIV_PAID_CF",IQ_FY-7)/-I2856, _xll.ciqfunctions.udf.CIQ(A2853, "IQ_TOTAL_DIV_PAID_CF",IQ_FY-6)/-I2856)</f>
        <v>#DIV/0!</v>
      </c>
      <c r="I2856" s="17">
        <f>IF(A2861=A2862,_xll.ciqfunctions.udf.CIQ(A2853,"IQ_TOTAL_OUTSTANDING_FILING_DATE",IQ_FY-7), _xll.ciqfunctions.udf.CIQ(A2853, "IQ_TOTAL_OUTSTANDING_FILING_DATE",IQ_FY-6))</f>
        <v>0</v>
      </c>
      <c r="J2856" s="17">
        <f>IF(A2861=A2862,_xll.ciqfunctions.udf.CIQ(A2853,"IQ_CASH_OPER",IQ_FY-7), _xll.ciqfunctions.udf.CIQ(A2853, "IQ_CASH_OPER",IQ_FY-6))</f>
        <v>0</v>
      </c>
      <c r="K2856" s="17">
        <f>IF(A2861=A2862,_xll.ciqfunctions.udf.CIQ(A2853,"IQ_CAPEX",IQ_FY-7), _xll.ciqfunctions.udf.CIQ(A2853, "IQ_CAPEX",IQ_FY-6))</f>
        <v>0</v>
      </c>
      <c r="L2856" s="15" t="e">
        <f t="shared" si="760"/>
        <v>#DIV/0!</v>
      </c>
      <c r="M2856" s="17">
        <f>IF(A2861=A2862,_xll.ciqfunctions.udf.CIQ(A2853,"IQ_TOTAL_DEBT_ISSUED",IQ_FY-7), _xll.ciqfunctions.udf.CIQ(A2853, "IQ_TOTAL_DEBT_ISSUED",IQ_FY-6))</f>
        <v>0</v>
      </c>
      <c r="N2856" s="17">
        <f>IF(A2861=A2862,_xll.ciqfunctions.udf.CIQ(A2853,"IQ_TOTAL_DEBT_REPAID",IQ_FY-7), _xll.ciqfunctions.udf.CIQ(A2853, "IQ_TOTAL_DEBT_REPAID",IQ_FY-6))</f>
        <v>0</v>
      </c>
      <c r="O2856" s="15" t="e">
        <f t="shared" si="761"/>
        <v>#DIV/0!</v>
      </c>
      <c r="P2856" s="15" t="e">
        <f t="shared" si="762"/>
        <v>#DIV/0!</v>
      </c>
      <c r="Q2856" s="25" t="s">
        <v>23</v>
      </c>
      <c r="R2856" s="38" t="s">
        <v>24</v>
      </c>
      <c r="S2856" s="1" t="e">
        <f>R2852/(AVERAGE(H2858:H2863)*(1+H2864)/(0.5-H2864))</f>
        <v>#DIV/0!</v>
      </c>
      <c r="U2856" s="25" t="s">
        <v>40</v>
      </c>
      <c r="V2856" s="38" t="s">
        <v>24</v>
      </c>
      <c r="W2856" s="1" t="e">
        <f>V2852/(AVERAGE(H2858:H2863)*(1+H2864)/(0.5-H2864))</f>
        <v>#DIV/0!</v>
      </c>
      <c r="Y2856" s="25" t="s">
        <v>47</v>
      </c>
      <c r="Z2856" s="38" t="s">
        <v>24</v>
      </c>
      <c r="AA2856" s="1" t="e">
        <f>Z2852/(AVERAGE(H2858:H2863)*(1+H2864)/(0.5-H2864))</f>
        <v>#DIV/0!</v>
      </c>
    </row>
    <row r="2857" spans="1:27">
      <c r="B2857" s="13">
        <v>5</v>
      </c>
      <c r="C2857" s="14" t="s">
        <v>25</v>
      </c>
      <c r="D2857" s="15" t="e" cm="1">
        <f t="array" ref="D2857">_xlfn.SINGLE(IF(A2861=A2862,_xll.ciqfunctions.udf.CIQ(A2853,"IQ_TOTAL_REV",IQ_FY-6)/I2857, _xll.ciqfunctions.udf.CIQ(A2853, "IQ_TOTAL_REV",IQ_FY-5)/I2857))</f>
        <v>#DIV/0!</v>
      </c>
      <c r="E2857" s="16" t="e">
        <f t="shared" si="763"/>
        <v>#DIV/0!</v>
      </c>
      <c r="F2857" s="15">
        <f>IF(A2861=A2862,_xll.ciqfunctions.udf.CIQ(A2853,"IQ_DILUT_EPS_EXCL",IQ_FY-6), _xll.ciqfunctions.udf.CIQ(A2853, "IQ_DILUT_EPS_EXCL",IQ_FY-5))</f>
        <v>0</v>
      </c>
      <c r="G2857" s="15">
        <f>IF(A2861=A2862,_xll.ciqfunctions.udf.CIQ(A2853,"IQ_EBITDA_MARGIN",IQ_FY-6), _xll.ciqfunctions.udf.CIQ(A2853, "IQ_EBITDA_MARGIN",IQ_FY-5))</f>
        <v>0</v>
      </c>
      <c r="H2857" s="15" t="e">
        <f>IF(A2861=A2862,_xll.ciqfunctions.udf.CIQ(A2853,"IQ_TOTAL_DIV_PAID_CF",IQ_FY-6)/-I2857, _xll.ciqfunctions.udf.CIQ(A2853, "IQ_TOTAL_DIV_PAID_CF",IQ_FY-5)/-I2857)</f>
        <v>#DIV/0!</v>
      </c>
      <c r="I2857" s="17">
        <f>IF(A2861=A2862,_xll.ciqfunctions.udf.CIQ(A2853,"IQ_TOTAL_OUTSTANDING_FILING_DATE",IQ_FY-6), _xll.ciqfunctions.udf.CIQ(A2853, "IQ_TOTAL_OUTSTANDING_FILING_DATE",IQ_FY-5))</f>
        <v>0</v>
      </c>
      <c r="J2857" s="17">
        <f>IF(A2861=A2862,_xll.ciqfunctions.udf.CIQ(A2853,"IQ_CASH_OPER",IQ_FY-6), _xll.ciqfunctions.udf.CIQ(A2853, "IQ_CASH_OPER",IQ_FY-5))</f>
        <v>0</v>
      </c>
      <c r="K2857" s="17">
        <f>IF(A2861=A2862,_xll.ciqfunctions.udf.CIQ(A2853,"IQ_CAPEX",IQ_FY-6), _xll.ciqfunctions.udf.CIQ(A2853, "IQ_CAPEX",IQ_FY-5))</f>
        <v>0</v>
      </c>
      <c r="L2857" s="15" t="e">
        <f t="shared" si="760"/>
        <v>#DIV/0!</v>
      </c>
      <c r="M2857" s="17">
        <f>IF(A2861=A2862,_xll.ciqfunctions.udf.CIQ(A2853,"IQ_TOTAL_DEBT_ISSUED",IQ_FY-6), _xll.ciqfunctions.udf.CIQ(A2853, "IQ_TOTAL_DEBT_ISSUED",IQ_FY-5))</f>
        <v>0</v>
      </c>
      <c r="N2857" s="17">
        <f>IF(A2861=A2862,_xll.ciqfunctions.udf.CIQ(A2853,"IQ_TOTAL_DEBT_REPAID",IQ_FY-6), _xll.ciqfunctions.udf.CIQ(A2853, "IQ_TOTAL_DEBT_REPAID",IQ_FY-5))</f>
        <v>0</v>
      </c>
      <c r="O2857" s="15" t="e">
        <f t="shared" si="761"/>
        <v>#DIV/0!</v>
      </c>
      <c r="P2857" s="15" t="e">
        <f t="shared" si="762"/>
        <v>#DIV/0!</v>
      </c>
      <c r="Q2857" s="18"/>
      <c r="R2857" s="38" t="s">
        <v>50</v>
      </c>
      <c r="S2857" s="3" t="e">
        <f>I2864</f>
        <v>#DIV/0!</v>
      </c>
      <c r="U2857" s="18"/>
      <c r="V2857" s="38" t="s">
        <v>50</v>
      </c>
      <c r="W2857" s="3" t="e">
        <f>I2864</f>
        <v>#DIV/0!</v>
      </c>
      <c r="Y2857" s="18"/>
      <c r="Z2857" s="38" t="s">
        <v>50</v>
      </c>
      <c r="AA2857" s="3" t="e">
        <f>I2864</f>
        <v>#DIV/0!</v>
      </c>
    </row>
    <row r="2858" spans="1:27">
      <c r="B2858" s="13">
        <v>6</v>
      </c>
      <c r="C2858" s="14" t="s">
        <v>26</v>
      </c>
      <c r="D2858" s="15" t="e" cm="1">
        <f t="array" ref="D2858">_xlfn.SINGLE(IF(A2861=A2862,_xll.ciqfunctions.udf.CIQ(A2853,"IQ_TOTAL_REV",IQ_FY-5)/I2858, _xll.ciqfunctions.udf.CIQ(A2853, "IQ_TOTAL_REV",IQ_FY-4)/I2858))</f>
        <v>#DIV/0!</v>
      </c>
      <c r="E2858" s="16" t="e">
        <f t="shared" si="763"/>
        <v>#DIV/0!</v>
      </c>
      <c r="F2858" s="15">
        <f>IF(A2861=A2862,_xll.ciqfunctions.udf.CIQ(A2853,"IQ_DILUT_EPS_EXCL",IQ_FY-5), _xll.ciqfunctions.udf.CIQ(A2853, "IQ_DILUT_EPS_EXCL",IQ_FY-4))</f>
        <v>0</v>
      </c>
      <c r="G2858" s="15">
        <f>IF(A2861=A2862,_xll.ciqfunctions.udf.CIQ(A2853,"IQ_EBITDA_MARGIN",IQ_FY-5), _xll.ciqfunctions.udf.CIQ(A2853, "IQ_EBITDA_MARGIN",IQ_FY-4))</f>
        <v>0</v>
      </c>
      <c r="H2858" s="15" t="e">
        <f>IF(A2861=A2862,_xll.ciqfunctions.udf.CIQ(A2853,"IQ_TOTAL_DIV_PAID_CF",IQ_FY-5)/-I2858, _xll.ciqfunctions.udf.CIQ(A2853, "IQ_TOTAL_DIV_PAID_CF",IQ_FY-4)/-I2858)</f>
        <v>#DIV/0!</v>
      </c>
      <c r="I2858" s="17">
        <f>IF(A2861=A2862,_xll.ciqfunctions.udf.CIQ(A2853,"IQ_TOTAL_OUTSTANDING_FILING_DATE",IQ_FY-5), _xll.ciqfunctions.udf.CIQ(A2853, "IQ_TOTAL_OUTSTANDING_FILING_DATE",IQ_FY-4))</f>
        <v>0</v>
      </c>
      <c r="J2858" s="17">
        <f>IF(A2861=A2862,_xll.ciqfunctions.udf.CIQ(A2853,"IQ_CASH_OPER",IQ_FY-5), _xll.ciqfunctions.udf.CIQ(A2853, "IQ_CASH_OPER",IQ_FY-4))</f>
        <v>0</v>
      </c>
      <c r="K2858" s="17">
        <f>IF(A2861=A2862,_xll.ciqfunctions.udf.CIQ(A2853,"IQ_CAPEX",IQ_FY-5), _xll.ciqfunctions.udf.CIQ(A2853, "IQ_CAPEX",IQ_FY-4))</f>
        <v>0</v>
      </c>
      <c r="L2858" s="15" t="e">
        <f t="shared" si="760"/>
        <v>#DIV/0!</v>
      </c>
      <c r="M2858" s="17">
        <f>IF(A2861=A2862,_xll.ciqfunctions.udf.CIQ(A2853,"IQ_TOTAL_DEBT_ISSUED",IQ_FY-5), _xll.ciqfunctions.udf.CIQ(A2853, "IQ_TOTAL_DEBT_ISSUED",IQ_FY-4))</f>
        <v>0</v>
      </c>
      <c r="N2858" s="17">
        <f>IF(A2861=A2862,_xll.ciqfunctions.udf.CIQ(A2853,"IQ_TOTAL_DEBT_REPAID",IQ_FY-5), _xll.ciqfunctions.udf.CIQ(A2853, "IQ_TOTAL_DEBT_REPAID",IQ_FY-4))</f>
        <v>0</v>
      </c>
      <c r="O2858" s="15" t="e">
        <f t="shared" si="761"/>
        <v>#DIV/0!</v>
      </c>
      <c r="P2858" s="15" t="e">
        <f t="shared" si="762"/>
        <v>#DIV/0!</v>
      </c>
      <c r="Q2858" s="25" t="s">
        <v>27</v>
      </c>
      <c r="R2858" s="38" t="s">
        <v>51</v>
      </c>
      <c r="S2858" s="4" t="e">
        <f>AVERAGE(F2858:F2863)/AVERAGE(D2858:D2863)</f>
        <v>#DIV/0!</v>
      </c>
      <c r="U2858" s="25" t="s">
        <v>58</v>
      </c>
      <c r="V2858" s="38" t="s">
        <v>51</v>
      </c>
      <c r="W2858" s="4" t="e">
        <f>AVERAGE(F2858:F2863)/AVERAGE(D2858:D2863)</f>
        <v>#DIV/0!</v>
      </c>
      <c r="Y2858" s="25" t="s">
        <v>56</v>
      </c>
      <c r="Z2858" s="38" t="s">
        <v>51</v>
      </c>
      <c r="AA2858" s="4" t="e">
        <f>AVERAGE(F2858:F2863)/AVERAGE(D2858:D2863)</f>
        <v>#DIV/0!</v>
      </c>
    </row>
    <row r="2859" spans="1:27">
      <c r="A2859" s="18"/>
      <c r="B2859" s="13">
        <v>7</v>
      </c>
      <c r="C2859" s="14" t="s">
        <v>28</v>
      </c>
      <c r="D2859" s="15" cm="1">
        <f t="array" ref="D2859">_xlfn.SINGLE(IF(A2861=A2862,_xll.ciqfunctions.udf.CIQ(A2853,"IQ_TOTAL_REV",IQ_FY-4)/I2859, _xll.ciqfunctions.udf.CIQ(A2853, "IQ_TOTAL_REV",IQ_FY-3)/I2859))</f>
        <v>0.75054372072273035</v>
      </c>
      <c r="E2859" s="16" t="e">
        <f t="shared" si="763"/>
        <v>#DIV/0!</v>
      </c>
      <c r="F2859" s="15">
        <f>IF(A2861=A2862,_xll.ciqfunctions.udf.CIQ(A2853,"IQ_DILUT_EPS_EXCL",IQ_FY-4), _xll.ciqfunctions.udf.CIQ(A2853, "IQ_DILUT_EPS_EXCL",IQ_FY-3))</f>
        <v>0</v>
      </c>
      <c r="G2859" s="15">
        <f>IF(A2861=A2862,_xll.ciqfunctions.udf.CIQ(A2853,"IQ_EBITDA_MARGIN",IQ_FY-4), _xll.ciqfunctions.udf.CIQ(A2853, "IQ_EBITDA_MARGIN",IQ_FY-3))</f>
        <v>7.2145999999999999</v>
      </c>
      <c r="H2859" s="15">
        <f>IF(A2861=A2862,_xll.ciqfunctions.udf.CIQ(A2853,"IQ_TOTAL_DIV_PAID_CF",IQ_FY-4)/-I2859, _xll.ciqfunctions.udf.CIQ(A2853, "IQ_TOTAL_DIV_PAID_CF",IQ_FY-3)/-I2859)</f>
        <v>0</v>
      </c>
      <c r="I2859" s="17">
        <f>IF(A2861=A2862,_xll.ciqfunctions.udf.CIQ(A2853,"IQ_TOTAL_OUTSTANDING_FILING_DATE",IQ_FY-4), _xll.ciqfunctions.udf.CIQ(A2853, "IQ_TOTAL_OUTSTANDING_FILING_DATE",IQ_FY-3))</f>
        <v>71.727999999999994</v>
      </c>
      <c r="J2859" s="17">
        <f>IF(A2861=A2862,_xll.ciqfunctions.udf.CIQ(A2853,"IQ_CASH_OPER",IQ_FY-4), _xll.ciqfunctions.udf.CIQ(A2853, "IQ_CASH_OPER",IQ_FY-3))</f>
        <v>-10.253</v>
      </c>
      <c r="K2859" s="17">
        <f>IF(A2861=A2862,_xll.ciqfunctions.udf.CIQ(A2853,"IQ_CAPEX",IQ_FY-4), _xll.ciqfunctions.udf.CIQ(A2853, "IQ_CAPEX",IQ_FY-3))</f>
        <v>-8.8320000000000007</v>
      </c>
      <c r="L2859" s="15">
        <f t="shared" si="760"/>
        <v>-0.266074615213027</v>
      </c>
      <c r="M2859" s="17">
        <f>IF(A2861=A2862,_xll.ciqfunctions.udf.CIQ(A2853,"IQ_TOTAL_DEBT_ISSUED",IQ_FY-4), _xll.ciqfunctions.udf.CIQ(A2853, "IQ_TOTAL_DEBT_ISSUED",IQ_FY-3))</f>
        <v>0</v>
      </c>
      <c r="N2859" s="17">
        <f>IF(A2861=A2862,_xll.ciqfunctions.udf.CIQ(A2853,"IQ_TOTAL_DEBT_REPAID",IQ_FY-4), _xll.ciqfunctions.udf.CIQ(A2853, "IQ_TOTAL_DEBT_REPAID",IQ_FY-3))</f>
        <v>0</v>
      </c>
      <c r="O2859" s="15">
        <f t="shared" si="761"/>
        <v>0</v>
      </c>
      <c r="P2859" s="15">
        <f t="shared" si="762"/>
        <v>-0.266074615213027</v>
      </c>
      <c r="Q2859" s="18"/>
      <c r="R2859" s="38" t="s">
        <v>29</v>
      </c>
      <c r="S2859" s="4" t="e">
        <f>(AVERAGE(P2858:P2863)/_xlfn.STDEV.P(P2858:P2863))/(IF(A2861=A2862,(_xlfn.SINGLE(_xll.ciqfunctions.udf.CIQ(A2853,"IQ_total_assets",IQ_FY)) - _xlfn.SINGLE(_xll.ciqfunctions.udf.CIQ(A2853,"iq_gw_intan", IQ_FY)))/I2863, (_xlfn.SINGLE(_xll.ciqfunctions.udf.CIQ(A2853, "IQ_total_assets",IQ_LTM))-_xlfn.SINGLE(_xll.ciqfunctions.udf.CIQ(A2853,"iq_gw_intan",IQ_LTM)))/I2863))</f>
        <v>#DIV/0!</v>
      </c>
      <c r="U2859" s="18"/>
      <c r="V2859" s="38" t="s">
        <v>29</v>
      </c>
      <c r="W2859" s="4" t="e">
        <f>(AVERAGE(P2858:P2863)/_xlfn.STDEV.P(P2858:P2863))/(IF(A2861=A2862,(_xlfn.SINGLE(_xll.ciqfunctions.udf.CIQ(A2853,"IQ_total_assets",IQ_FY)) - _xlfn.SINGLE(_xll.ciqfunctions.udf.CIQ(A2853,"iq_gw_intan", IQ_FY)))/I2863, (_xlfn.SINGLE(_xll.ciqfunctions.udf.CIQ(A2853, "IQ_total_assets",IQ_LTM))-_xlfn.SINGLE(_xll.ciqfunctions.udf.CIQ(A2853,"iq_gw_intan",IQ_LTM)))/I2863))</f>
        <v>#DIV/0!</v>
      </c>
      <c r="Y2859" s="18"/>
      <c r="Z2859" s="38" t="s">
        <v>29</v>
      </c>
      <c r="AA2859" s="4" t="e">
        <f>(AVERAGE(P2858:P2863)/_xlfn.STDEV.P(P2858:P2863))/(IF(A2861=A2862,(_xlfn.SINGLE(_xll.ciqfunctions.udf.CIQ(A2853,"IQ_total_assets",IQ_FY)) - _xlfn.SINGLE(_xll.ciqfunctions.udf.CIQ(A2853,"iq_gw_intan", IQ_FY)))/I2863, (_xlfn.SINGLE(_xll.ciqfunctions.udf.CIQ(A2853, "IQ_total_assets",IQ_LTM))-_xlfn.SINGLE(_xll.ciqfunctions.udf.CIQ(A2853,"iq_gw_intan",IQ_LTM)))/I2863))</f>
        <v>#DIV/0!</v>
      </c>
    </row>
    <row r="2860" spans="1:27">
      <c r="A2860" s="18"/>
      <c r="B2860" s="13">
        <v>8</v>
      </c>
      <c r="C2860" s="14" t="s">
        <v>30</v>
      </c>
      <c r="D2860" s="15" cm="1">
        <f t="array" ref="D2860">_xlfn.SINGLE(IF(A2861=A2862,_xll.ciqfunctions.udf.CIQ(A2853,"IQ_TOTAL_REV",IQ_FY-3)/I2860, _xll.ciqfunctions.udf.CIQ(A2853, "IQ_TOTAL_REV",IQ_FY-2)/I2860))</f>
        <v>0.84451935040913084</v>
      </c>
      <c r="E2860" s="16">
        <f t="shared" si="763"/>
        <v>0.12521006717091362</v>
      </c>
      <c r="F2860" s="15">
        <f>IF(A2861=A2862,_xll.ciqfunctions.udf.CIQ(A2853,"IQ_DILUT_EPS_EXCL",IQ_FY-3), _xll.ciqfunctions.udf.CIQ(A2853, "IQ_DILUT_EPS_EXCL",IQ_FY-2))</f>
        <v>-0.39813999999999999</v>
      </c>
      <c r="G2860" s="15">
        <f>IF(A2861=A2862,_xll.ciqfunctions.udf.CIQ(A2853,"IQ_EBITDA_MARGIN",IQ_FY-3), _xll.ciqfunctions.udf.CIQ(A2853, "IQ_EBITDA_MARGIN",IQ_FY-2))</f>
        <v>-39.211500000000001</v>
      </c>
      <c r="H2860" s="15">
        <f>IF(A2861=A2862,_xll.ciqfunctions.udf.CIQ(A2853,"IQ_TOTAL_DIV_PAID_CF",IQ_FY-3)/-I2860, _xll.ciqfunctions.udf.CIQ(A2853, "IQ_TOTAL_DIV_PAID_CF",IQ_FY-2)/-I2860)</f>
        <v>0</v>
      </c>
      <c r="I2860" s="17">
        <f>IF(A2861=A2862,_xll.ciqfunctions.udf.CIQ(A2853,"IQ_TOTAL_OUTSTANDING_FILING_DATE",IQ_FY-3), _xll.ciqfunctions.udf.CIQ(A2853, "IQ_TOTAL_OUTSTANDING_FILING_DATE",IQ_FY-2))</f>
        <v>69.503439999999998</v>
      </c>
      <c r="J2860" s="17">
        <f>IF(A2861=A2862,_xll.ciqfunctions.udf.CIQ(A2853,"IQ_CASH_OPER",IQ_FY-3), _xll.ciqfunctions.udf.CIQ(A2853, "IQ_CASH_OPER",IQ_FY-2))</f>
        <v>-42.360999999999997</v>
      </c>
      <c r="K2860" s="17">
        <f>IF(A2861=A2862,_xll.ciqfunctions.udf.CIQ(A2853,"IQ_CAPEX",IQ_FY-3), _xll.ciqfunctions.udf.CIQ(A2853, "IQ_CAPEX",IQ_FY-2))</f>
        <v>-6.056</v>
      </c>
      <c r="L2860" s="15">
        <f t="shared" si="760"/>
        <v>-0.69661300217658284</v>
      </c>
      <c r="M2860" s="17">
        <f>IF(A2861=A2862,_xll.ciqfunctions.udf.CIQ(A2853,"IQ_TOTAL_DEBT_ISSUED",IQ_FY-3), _xll.ciqfunctions.udf.CIQ(A2853, "IQ_TOTAL_DEBT_ISSUED",IQ_FY-2))</f>
        <v>0</v>
      </c>
      <c r="N2860" s="17">
        <f>IF(A2861=A2862,_xll.ciqfunctions.udf.CIQ(A2853,"IQ_TOTAL_DEBT_REPAID",IQ_FY-3), _xll.ciqfunctions.udf.CIQ(A2853, "IQ_TOTAL_DEBT_REPAID",IQ_FY-2))</f>
        <v>0</v>
      </c>
      <c r="O2860" s="15">
        <f t="shared" si="761"/>
        <v>0</v>
      </c>
      <c r="P2860" s="15">
        <f t="shared" si="762"/>
        <v>-0.69661300217658284</v>
      </c>
      <c r="Q2860" s="18"/>
      <c r="R2860" s="39" t="s">
        <v>31</v>
      </c>
      <c r="S2860" s="5" t="e">
        <f>IF(NOT(D2853&gt;0),FALSE,SLOPE(G2853:G2863,B2853:B2863))</f>
        <v>#DIV/0!</v>
      </c>
      <c r="U2860" s="18"/>
      <c r="V2860" s="39" t="s">
        <v>31</v>
      </c>
      <c r="W2860" s="5" t="e">
        <f>IF(NOT(D2853&gt;0),FALSE,SLOPE(G2853:G2863,B2853:B2863))</f>
        <v>#DIV/0!</v>
      </c>
      <c r="Y2860" s="18"/>
      <c r="Z2860" s="39" t="s">
        <v>31</v>
      </c>
      <c r="AA2860" s="5" t="e">
        <f>IF(NOT(L2853&gt;0),FALSE,SLOPE(O2853:O2863,J2853:J2863))</f>
        <v>#DIV/0!</v>
      </c>
    </row>
    <row r="2861" spans="1:27">
      <c r="A2861" s="19">
        <f>_xll.ciqfunctions.udf.CIQ(A2853,"IQ_TOTAL_REV",IQ_FY)</f>
        <v>184.19399999999999</v>
      </c>
      <c r="B2861" s="13">
        <v>9</v>
      </c>
      <c r="C2861" s="14" t="s">
        <v>32</v>
      </c>
      <c r="D2861" s="15" cm="1">
        <f t="array" ref="D2861">_xlfn.SINGLE(IF(A2861=A2862,_xll.ciqfunctions.udf.CIQ(A2853,"IQ_TOTAL_REV",IQ_FY-2)/I2861, _xll.ciqfunctions.udf.CIQ(A2853, "IQ_TOTAL_REV",IQ_FY-1)/I2861))</f>
        <v>0.73278690262042012</v>
      </c>
      <c r="E2861" s="16">
        <f t="shared" si="763"/>
        <v>-0.13230300493953334</v>
      </c>
      <c r="F2861" s="15">
        <f>IF(A2861=A2862,_xll.ciqfunctions.udf.CIQ(A2853,"IQ_DILUT_EPS_EXCL",IQ_FY-2), _xll.ciqfunctions.udf.CIQ(A2853, "IQ_DILUT_EPS_EXCL",IQ_FY-1))</f>
        <v>-0.25086999999999998</v>
      </c>
      <c r="G2861" s="15">
        <f>IF(A2861=A2862,_xll.ciqfunctions.udf.CIQ(A2853,"IQ_EBITDA_MARGIN",IQ_FY-2), _xll.ciqfunctions.udf.CIQ(A2853, "IQ_EBITDA_MARGIN",IQ_FY-1))</f>
        <v>-11.5405</v>
      </c>
      <c r="H2861" s="15">
        <f>IF(A2861=A2862,_xll.ciqfunctions.udf.CIQ(A2853,"IQ_TOTAL_DIV_PAID_CF",IQ_FY-2)/-I2861, _xll.ciqfunctions.udf.CIQ(A2853, "IQ_TOTAL_DIV_PAID_CF",IQ_FY-1)/-I2861)</f>
        <v>0</v>
      </c>
      <c r="I2861" s="17">
        <f>IF(A2861=A2862,_xll.ciqfunctions.udf.CIQ(A2853,"IQ_TOTAL_OUTSTANDING_FILING_DATE",IQ_FY-2), _xll.ciqfunctions.udf.CIQ(A2853, "IQ_TOTAL_OUTSTANDING_FILING_DATE",IQ_FY-1))</f>
        <v>145.30418</v>
      </c>
      <c r="J2861" s="17">
        <f>IF(A2861=A2862,_xll.ciqfunctions.udf.CIQ(A2853,"IQ_CASH_OPER",IQ_FY-2), _xll.ciqfunctions.udf.CIQ(A2853, "IQ_CASH_OPER",IQ_FY-1))</f>
        <v>-30.832000000000001</v>
      </c>
      <c r="K2861" s="17">
        <f>IF(A2861=A2862,_xll.ciqfunctions.udf.CIQ(A2853,"IQ_CAPEX",IQ_FY-2), _xll.ciqfunctions.udf.CIQ(A2853, "IQ_CAPEX",IQ_FY-1))</f>
        <v>-17.579999999999998</v>
      </c>
      <c r="L2861" s="15">
        <f t="shared" si="760"/>
        <v>-0.3331769258117695</v>
      </c>
      <c r="M2861" s="17">
        <f>IF(A2861=A2862,_xll.ciqfunctions.udf.CIQ(A2853,"IQ_TOTAL_DEBT_ISSUED",IQ_FY-2), _xll.ciqfunctions.udf.CIQ(A2853, "IQ_TOTAL_DEBT_ISSUED",IQ_FY-1))</f>
        <v>0</v>
      </c>
      <c r="N2861" s="17">
        <f>IF(A2861=A2862,_xll.ciqfunctions.udf.CIQ(A2853,"IQ_TOTAL_DEBT_REPAID",IQ_FY-2), _xll.ciqfunctions.udf.CIQ(A2853, "IQ_TOTAL_DEBT_REPAID",IQ_FY-1))</f>
        <v>0</v>
      </c>
      <c r="O2861" s="15">
        <f t="shared" si="761"/>
        <v>0</v>
      </c>
      <c r="P2861" s="15">
        <f t="shared" si="762"/>
        <v>-0.3331769258117695</v>
      </c>
      <c r="Q2861" s="25" t="s">
        <v>33</v>
      </c>
      <c r="R2861" s="38" t="s">
        <v>52</v>
      </c>
      <c r="S2861" s="4" t="e">
        <f>(AVERAGE(O2858:O2863)/AVERAGE(P2858:P2863))</f>
        <v>#DIV/0!</v>
      </c>
      <c r="U2861" s="25" t="s">
        <v>54</v>
      </c>
      <c r="V2861" s="38" t="s">
        <v>52</v>
      </c>
      <c r="W2861" s="4" t="e">
        <f>(AVERAGE(O2858:O2863)/AVERAGE(P2858:P2863))</f>
        <v>#DIV/0!</v>
      </c>
      <c r="Y2861" s="25" t="s">
        <v>60</v>
      </c>
      <c r="Z2861" s="38" t="s">
        <v>52</v>
      </c>
      <c r="AA2861" s="4" t="e">
        <f>(AVERAGE(O2858:O2863)/AVERAGE(P2858:P2863))</f>
        <v>#DIV/0!</v>
      </c>
    </row>
    <row r="2862" spans="1:27">
      <c r="A2862" s="19">
        <f>_xll.ciqfunctions.udf.CIQ(A2853,"IQ_TOTAL_REV",IQ_LTM)</f>
        <v>172.822</v>
      </c>
      <c r="B2862" s="13">
        <v>10</v>
      </c>
      <c r="C2862" s="14" t="s">
        <v>34</v>
      </c>
      <c r="D2862" s="15" cm="1">
        <f t="array" ref="D2862">_xlfn.SINGLE(IF(A2861=A2862,_xll.ciqfunctions.udf.CIQ(A2853,"IQ_TOTAL_REV",IQ_FY-1)/I2862, _xll.ciqfunctions.udf.CIQ(A2853, "IQ_TOTAL_REV",IQ_FY)/I2862))</f>
        <v>1.2355433532544915</v>
      </c>
      <c r="E2862" s="16">
        <f t="shared" si="763"/>
        <v>0.68608820495594558</v>
      </c>
      <c r="F2862" s="15">
        <f>IF(A2861=A2862,_xll.ciqfunctions.udf.CIQ(A2853,"IQ_DILUT_EPS_EXCL",IQ_FY-1), _xll.ciqfunctions.udf.CIQ(A2853, "IQ_DILUT_EPS_EXCL",IQ_FY))</f>
        <v>-0.11291</v>
      </c>
      <c r="G2862" s="15">
        <f>IF(A2861=A2862,_xll.ciqfunctions.udf.CIQ(A2853,"IQ_EBITDA_MARGIN",IQ_FY-1), _xll.ciqfunctions.udf.CIQ(A2853, "IQ_EBITDA_MARGIN",IQ_FY))</f>
        <v>-5.0566000000000004</v>
      </c>
      <c r="H2862" s="15">
        <f>IF(A2861=A2862,_xll.ciqfunctions.udf.CIQ(A2853,"IQ_TOTAL_DIV_PAID_CF",IQ_FY-1)/-I2862, _xll.ciqfunctions.udf.CIQ(A2853, "IQ_TOTAL_DIV_PAID_CF",IQ_FY)/-I2862)</f>
        <v>0</v>
      </c>
      <c r="I2862" s="17">
        <f>IF(A2861=A2862,_xll.ciqfunctions.udf.CIQ(A2853,"IQ_TOTAL_OUTSTANDING_FILING_DATE",IQ_FY-1), _xll.ciqfunctions.udf.CIQ(A2853, "IQ_TOTAL_OUTSTANDING_FILING_DATE",IQ_FY))</f>
        <v>149.07935000000001</v>
      </c>
      <c r="J2862" s="17">
        <f>IF(A2861=A2862,_xll.ciqfunctions.udf.CIQ(A2853,"IQ_CASH_OPER",IQ_FY-1), _xll.ciqfunctions.udf.CIQ(A2853, "IQ_CASH_OPER",IQ_FY))</f>
        <v>-24.614999999999998</v>
      </c>
      <c r="K2862" s="17">
        <f>IF(A2861=A2862,_xll.ciqfunctions.udf.CIQ(A2853,"IQ_CAPEX",IQ_FY-1), _xll.ciqfunctions.udf.CIQ(A2853, "IQ_CAPEX",IQ_FY))</f>
        <v>-21.713000000000001</v>
      </c>
      <c r="L2862" s="15">
        <f t="shared" si="760"/>
        <v>-0.31076067879287106</v>
      </c>
      <c r="M2862" s="17">
        <f>IF(A2861=A2862,_xll.ciqfunctions.udf.CIQ(A2853,"IQ_TOTAL_DEBT_ISSUED",IQ_FY-1), _xll.ciqfunctions.udf.CIQ(A2853, "IQ_TOTAL_DEBT_ISSUED",IQ_FY))</f>
        <v>0</v>
      </c>
      <c r="N2862" s="17">
        <f>IF(A2861=A2862,_xll.ciqfunctions.udf.CIQ(A2853,"IQ_TOTAL_DEBT_REPAID",IQ_FY-1), _xll.ciqfunctions.udf.CIQ(A2853, "IQ_TOTAL_DEBT_REPAID",IQ_FY))</f>
        <v>0</v>
      </c>
      <c r="O2862" s="15">
        <f t="shared" si="761"/>
        <v>0</v>
      </c>
      <c r="P2862" s="15">
        <f t="shared" si="762"/>
        <v>-0.31076067879287106</v>
      </c>
      <c r="Q2862" s="25" t="s">
        <v>44</v>
      </c>
      <c r="R2862" s="38" t="s">
        <v>35</v>
      </c>
      <c r="S2862" s="1" t="str">
        <f>_xll.ciqfunctions.udf.CIQ(A2853,"IQ_TEV_EBITDA")</f>
        <v>NM</v>
      </c>
      <c r="U2862" s="25" t="s">
        <v>55</v>
      </c>
      <c r="V2862" s="38" t="s">
        <v>53</v>
      </c>
      <c r="W2862" s="1" t="e">
        <f>V2852/(AVERAGE(D2858:D2863)/_xlfn.STDEV.P(E2858:E2863))</f>
        <v>#DIV/0!</v>
      </c>
      <c r="Y2862" s="25" t="s">
        <v>57</v>
      </c>
      <c r="Z2862" s="38" t="s">
        <v>53</v>
      </c>
      <c r="AA2862" s="1" t="e">
        <f>Z2852/(AVERAGE(D2858:D2863)/_xlfn.STDEV.P(E2858:E2863))</f>
        <v>#DIV/0!</v>
      </c>
    </row>
    <row r="2863" spans="1:27">
      <c r="B2863" s="13">
        <v>11</v>
      </c>
      <c r="C2863" s="20" t="s">
        <v>36</v>
      </c>
      <c r="D2863" s="21" cm="1">
        <f t="array" ref="D2863">_xlfn.SINGLE(IF(A2861=A2862,_xll.ciqfunctions.udf.CIQ(A2853,"IQ_TOTAL_REV",IQ_FY)/I2863, _xll.ciqfunctions.udf.CIQ(A2853, "IQ_TOTAL_REV",IQ_LTM)/I2863))</f>
        <v>1.1519259576531804</v>
      </c>
      <c r="E2863" s="22">
        <f t="shared" si="763"/>
        <v>-6.7676618049102133E-2</v>
      </c>
      <c r="F2863" s="21">
        <f>IF(A2861=A2862,_xll.ciqfunctions.udf.CIQ(A2853,"IQ_DILUT_EPS_EXCL",IQ_FY), _xll.ciqfunctions.udf.CIQ(A2853, "IQ_DILUT_EPS_EXCL",IQ_LTM))</f>
        <v>-0.19084999999999999</v>
      </c>
      <c r="G2863" s="21">
        <f>IF(A2861=A2862,_xll.ciqfunctions.udf.CIQ(A2853,"IQ_EBITDA_MARGIN",IQ_FY), _xll.ciqfunctions.udf.CIQ(A2853, "IQ_EBITDA_MARGIN",IQ_LTM))</f>
        <v>-12.8299</v>
      </c>
      <c r="H2863" s="21">
        <f>IF(A2861=A2862,_xll.ciqfunctions.udf.CIQ(A2853,"IQ_TOTAL_DIV_PAID_CF",IQ_FY)/-I2863, _xll.ciqfunctions.udf.CIQ(A2853, "IQ_TOTAL_DIV_PAID_CF",IQ_LTM)/-I2863)</f>
        <v>0</v>
      </c>
      <c r="I2863" s="23">
        <f>IF(A2861=A2862,_xll.ciqfunctions.udf.CIQ(A2853,"IQ_TOTAL_OUTSTANDING_FILING_DATE",IQ_FY),_xll.ciqfunctions.udf.CIQ(A2853,"IQ_sharesoutstanding"))</f>
        <v>150.02874</v>
      </c>
      <c r="J2863" s="23">
        <f>IF(A2861=A2862,_xll.ciqfunctions.udf.CIQ(A2853,"IQ_CASH_OPER",IQ_FY), _xll.ciqfunctions.udf.CIQ(A2853, "IQ_CASH_OPER",IQ_LTM))</f>
        <v>12.212</v>
      </c>
      <c r="K2863" s="23">
        <f>IF(A2861=A2862,_xll.ciqfunctions.udf.CIQ(A2853,"IQ_CAPEX",IQ_FY), _xll.ciqfunctions.udf.CIQ(A2853, "IQ_CAPEX",IQ_LTM))</f>
        <v>-21.766999999999999</v>
      </c>
      <c r="L2863" s="21">
        <f t="shared" si="760"/>
        <v>-6.3687797418014711E-2</v>
      </c>
      <c r="M2863" s="23">
        <f>IF(A2861=A2862,_xll.ciqfunctions.udf.CIQ(A2853,"IQ_TOTAL_DEBT_ISSUED",IQ_FY), _xll.ciqfunctions.udf.CIQ(A2853, "IQ_TOTAL_DEBT_ISSUED",IQ_LTM))</f>
        <v>0</v>
      </c>
      <c r="N2863" s="23">
        <f>IF(A2861=A2862,_xll.ciqfunctions.udf.CIQ(A2853,"IQ_TOTAL_DEBT_REPAID",IQ_FY), _xll.ciqfunctions.udf.CIQ(A2853, "IQ_TOTAL_DEBT_REPAID",IQ_LTM))</f>
        <v>0</v>
      </c>
      <c r="O2863" s="21">
        <f t="shared" si="761"/>
        <v>0</v>
      </c>
      <c r="P2863" s="21">
        <f t="shared" si="762"/>
        <v>-6.3687797418014711E-2</v>
      </c>
      <c r="Q2863" s="25" t="s">
        <v>45</v>
      </c>
      <c r="S2863" s="45"/>
      <c r="U2863" s="25"/>
      <c r="W2863" s="45"/>
      <c r="Y2863" s="25"/>
      <c r="AA2863" s="45"/>
    </row>
    <row r="2864" spans="1:27">
      <c r="B2864" s="24"/>
      <c r="C2864" s="25" t="s">
        <v>37</v>
      </c>
      <c r="E2864" s="26" t="e">
        <f>((D2863/D2858)^(1/5))-1</f>
        <v>#DIV/0!</v>
      </c>
      <c r="F2864" s="27" t="e">
        <f>((F2863/F2858)^(1/5))-1</f>
        <v>#DIV/0!</v>
      </c>
      <c r="G2864" s="28"/>
      <c r="H2864" s="27" t="e">
        <f>((H2863/H2858)^(1/5))-1</f>
        <v>#DIV/0!</v>
      </c>
      <c r="I2864" s="27" t="e">
        <f>((I2863/I2858)^(1/5))-1</f>
        <v>#DIV/0!</v>
      </c>
      <c r="J2864" s="27"/>
      <c r="K2864" s="27"/>
      <c r="L2864" s="26" t="e">
        <f>((L2863/L2858)^(1/5))-1</f>
        <v>#DIV/0!</v>
      </c>
      <c r="M2864" s="26"/>
      <c r="N2864" s="26"/>
      <c r="O2864" s="26"/>
      <c r="P2864" s="26" t="e">
        <f>((P2863/P2858)^(1/5))-1</f>
        <v>#DIV/0!</v>
      </c>
      <c r="Q2864" s="18"/>
      <c r="R2864" s="36"/>
      <c r="S2864" s="45"/>
      <c r="U2864" s="18"/>
      <c r="V2864" s="36"/>
      <c r="W2864" s="45"/>
      <c r="Y2864" s="18"/>
      <c r="Z2864" s="36"/>
      <c r="AA2864" s="45"/>
    </row>
    <row r="2865" spans="1:27">
      <c r="A2865" s="29"/>
      <c r="B2865" s="30"/>
      <c r="C2865" s="31" t="s">
        <v>38</v>
      </c>
      <c r="D2865" s="29"/>
      <c r="E2865" s="32" t="e">
        <f>((D2863/D2853)^(1/10))-1</f>
        <v>#DIV/0!</v>
      </c>
      <c r="F2865" s="33" t="e">
        <f>((F2863/F2853)^(1/10))-1</f>
        <v>#DIV/0!</v>
      </c>
      <c r="G2865" s="34"/>
      <c r="H2865" s="33" t="e">
        <f>((H2863/H2853)^(1/10))-1</f>
        <v>#DIV/0!</v>
      </c>
      <c r="I2865" s="33" t="e">
        <f>((I2863/I2853)^(1/10))-1</f>
        <v>#DIV/0!</v>
      </c>
      <c r="J2865" s="33"/>
      <c r="K2865" s="33"/>
      <c r="L2865" s="32" t="e">
        <f>((L2863/L2853)^(1/10))-1</f>
        <v>#DIV/0!</v>
      </c>
      <c r="M2865" s="32"/>
      <c r="N2865" s="32"/>
      <c r="O2865" s="32"/>
      <c r="P2865" s="32" t="e">
        <f>((P2863/P2853)^(1/10))-1</f>
        <v>#DIV/0!</v>
      </c>
      <c r="Q2865" s="40"/>
      <c r="R2865" s="41"/>
      <c r="S2865" s="46"/>
      <c r="U2865" s="40"/>
      <c r="V2865" s="41"/>
      <c r="W2865" s="46"/>
      <c r="Y2865" s="40"/>
      <c r="Z2865" s="41"/>
      <c r="AA2865" s="46"/>
    </row>
    <row r="2866" spans="1:27">
      <c r="B2866" s="24"/>
      <c r="C2866" s="25"/>
      <c r="E2866" s="26"/>
      <c r="F2866" s="27"/>
      <c r="G2866" s="28"/>
      <c r="H2866" s="27"/>
      <c r="I2866" s="27"/>
      <c r="J2866" s="27"/>
      <c r="K2866" s="27"/>
      <c r="L2866" s="26"/>
      <c r="M2866" s="17"/>
      <c r="N2866" s="17"/>
      <c r="O2866" s="17"/>
      <c r="P2866" s="35"/>
      <c r="Q2866" s="18"/>
      <c r="R2866" s="36"/>
    </row>
    <row r="2867" spans="1:27">
      <c r="A2867" s="9" t="s">
        <v>0</v>
      </c>
      <c r="B2867" s="10"/>
      <c r="C2867" s="9" t="s">
        <v>1</v>
      </c>
      <c r="D2867" s="9" t="s">
        <v>2</v>
      </c>
      <c r="E2867" s="9" t="s">
        <v>3</v>
      </c>
      <c r="F2867" s="11" t="s">
        <v>4</v>
      </c>
      <c r="G2867" s="11" t="s">
        <v>5</v>
      </c>
      <c r="H2867" s="9" t="s">
        <v>6</v>
      </c>
      <c r="I2867" s="11" t="s">
        <v>7</v>
      </c>
      <c r="J2867" s="11" t="s">
        <v>8</v>
      </c>
      <c r="K2867" s="11" t="s">
        <v>9</v>
      </c>
      <c r="L2867" s="11" t="s">
        <v>10</v>
      </c>
      <c r="M2867" s="11" t="s">
        <v>11</v>
      </c>
      <c r="N2867" s="11" t="s">
        <v>12</v>
      </c>
      <c r="O2867" s="11" t="s">
        <v>13</v>
      </c>
      <c r="P2867" s="11" t="s">
        <v>14</v>
      </c>
      <c r="Q2867" s="37" t="s">
        <v>15</v>
      </c>
      <c r="R2867" s="42">
        <f>_xll.ciqfunctions.udf.CIQ(A2868,("IQ_LASTSALEPRICE"))</f>
        <v>21.53</v>
      </c>
      <c r="S2867" s="44"/>
      <c r="U2867" s="37" t="s">
        <v>15</v>
      </c>
      <c r="V2867" s="42">
        <f>_xll.ciqfunctions.udf.CIQ(A2868,("IQ_LASTSALEPRICE"))</f>
        <v>21.53</v>
      </c>
      <c r="W2867" s="44"/>
      <c r="Y2867" s="37" t="s">
        <v>15</v>
      </c>
      <c r="Z2867" s="42">
        <f>_xll.ciqfunctions.udf.CIQ(A2868,("IQ_LASTSALEPRICE"))</f>
        <v>21.53</v>
      </c>
      <c r="AA2867" s="44"/>
    </row>
    <row r="2868" spans="1:27">
      <c r="A2868" s="12" t="str">
        <f>Analysis!B193</f>
        <v>NasdaqGS:PLAB</v>
      </c>
      <c r="B2868" s="13">
        <v>1</v>
      </c>
      <c r="C2868" s="14" t="s">
        <v>16</v>
      </c>
      <c r="D2868" s="15">
        <f>IF(A2876=A2877,_xll.ciqfunctions.udf.CIQ(A2868,"IQ_TOTAL_REV",IQ_FY-10)/I2868,_xll.ciqfunctions.udf.CIQ(A2868, "IQ_TOTAL_REV",IQ_FY-9)/I2868)</f>
        <v>6.8583644901185004</v>
      </c>
      <c r="E2868" s="16"/>
      <c r="F2868" s="15">
        <f>IF(A2876=A2877,_xll.ciqfunctions.udf.CIQ(A2868,"IQ_DILUT_EPS_EXCL",IQ_FY-10), _xll.ciqfunctions.udf.CIQ(A2868, "IQ_DILUT_EPS_EXCL",IQ_FY-9))</f>
        <v>0.28999999999999998</v>
      </c>
      <c r="G2868" s="15">
        <f>IF(A2876=A2877,_xll.ciqfunctions.udf.CIQ(A2868,"IQ_EBITDA_MARGIN",IQ_FY-10), _xll.ciqfunctions.udf.CIQ(A2868, "IQ_EBITDA_MARGIN",IQ_FY-9))</f>
        <v>24.388400000000001</v>
      </c>
      <c r="H2868" s="15">
        <f>IF(A2876=A2877,_xll.ciqfunctions.udf.CIQ(A2868,"IQ_TOTAL_DIV_PAID_CF",IQ_FY-10)/-I2868, _xll.ciqfunctions.udf.CIQ(A2868, "IQ_TOTAL_DIV_PAID_CF",IQ_FY-9)/-I2868)</f>
        <v>0</v>
      </c>
      <c r="I2868" s="17">
        <f>IF(A2876=A2877,_xll.ciqfunctions.udf.CIQ(A2868,"IQ_TOTAL_OUTSTANDING_FILING_DATE",IQ_FY-10), _xll.ciqfunctions.udf.CIQ(A2868, "IQ_TOTAL_OUTSTANDING_FILING_DATE",IQ_FY-9))</f>
        <v>61.556950000000001</v>
      </c>
      <c r="J2868" s="17">
        <f>IF(A2876=A2877,_xll.ciqfunctions.udf.CIQ(A2868,"IQ_CASH_OPER",IQ_FY-10), _xll.ciqfunctions.udf.CIQ(A2868, "IQ_CASH_OPER",IQ_FY-9))</f>
        <v>99.400999999999996</v>
      </c>
      <c r="K2868" s="17">
        <f>IF(A2876=A2877,_xll.ciqfunctions.udf.CIQ(A2868,"IQ_CAPEX",IQ_FY-10), _xll.ciqfunctions.udf.CIQ(A2868, "IQ_CAPEX",IQ_FY-9))</f>
        <v>-63.792000000000002</v>
      </c>
      <c r="L2868" s="15">
        <f t="shared" ref="L2868:L2878" si="764">(J2868+K2868)/I2868</f>
        <v>0.57847245518174628</v>
      </c>
      <c r="M2868" s="17">
        <f>IF(A2876=A2877,_xll.ciqfunctions.udf.CIQ(A2868,"IQ_TOTAL_DEBT_ISSUED",IQ_FY-10), _xll.ciqfunctions.udf.CIQ(A2868, "IQ_TOTAL_DEBT_ISSUED",IQ_FY-9))</f>
        <v>0</v>
      </c>
      <c r="N2868" s="17">
        <f>IF(A2876=A2877,_xll.ciqfunctions.udf.CIQ(A2868,"IQ_TOTAL_DEBT_REPAID",IQ_FY-10), _xll.ciqfunctions.udf.CIQ(A2868, "IQ_TOTAL_DEBT_REPAID",IQ_FY-9))</f>
        <v>-8.3140000000000001</v>
      </c>
      <c r="O2868" s="15">
        <f t="shared" ref="O2868:O2878" si="765">(M2868+N2868)/I2868</f>
        <v>-0.13506192233370887</v>
      </c>
      <c r="P2868" s="15">
        <f t="shared" ref="P2868:P2878" si="766">L2868+O2868</f>
        <v>0.44341053284803744</v>
      </c>
      <c r="W2868" s="43"/>
      <c r="AA2868" s="43"/>
    </row>
    <row r="2869" spans="1:27">
      <c r="A2869" s="18" t="str">
        <f>_xll.ciqfunctions.udf.CIQ(A2868,"IQ_COMPANY_NAME")</f>
        <v>Photronics, Inc.</v>
      </c>
      <c r="B2869" s="13">
        <v>2</v>
      </c>
      <c r="C2869" s="14" t="s">
        <v>17</v>
      </c>
      <c r="D2869" s="15">
        <f>IF(A2876=A2877,_xll.ciqfunctions.udf.CIQ(A2868,"IQ_TOTAL_REV",IQ_FY-9)/I2869, _xll.ciqfunctions.udf.CIQ(A2868, "IQ_TOTAL_REV",IQ_FY-8)/I2869)</f>
        <v>6.8656227820868967</v>
      </c>
      <c r="E2869" s="16">
        <f t="shared" ref="E2869:E2878" si="767">(D2869-D2868)/D2868</f>
        <v>1.0583123686199601E-3</v>
      </c>
      <c r="F2869" s="15">
        <f>IF(A2876=A2877,_xll.ciqfunctions.udf.CIQ(A2868,"IQ_DILUT_EPS_EXCL",IQ_FY-9), _xll.ciqfunctions.udf.CIQ(A2868, "IQ_DILUT_EPS_EXCL",IQ_FY-8))</f>
        <v>0.41125</v>
      </c>
      <c r="G2869" s="15">
        <f>IF(A2876=A2877,_xll.ciqfunctions.udf.CIQ(A2868,"IQ_EBITDA_MARGIN",IQ_FY-9), _xll.ciqfunctions.udf.CIQ(A2868, "IQ_EBITDA_MARGIN",IQ_FY-8))</f>
        <v>24.137699999999999</v>
      </c>
      <c r="H2869" s="15">
        <f>IF(A2876=A2877,_xll.ciqfunctions.udf.CIQ(A2868,"IQ_TOTAL_DIV_PAID_CF",IQ_FY-9)/-I2869, _xll.ciqfunctions.udf.CIQ(A2868, "IQ_TOTAL_DIV_PAID_CF",IQ_FY-8)/-I2869)</f>
        <v>0</v>
      </c>
      <c r="I2869" s="17">
        <f>IF(A2876=A2877,_xll.ciqfunctions.udf.CIQ(A2868,"IQ_TOTAL_OUTSTANDING_FILING_DATE",IQ_FY-9), _xll.ciqfunctions.udf.CIQ(A2868, "IQ_TOTAL_OUTSTANDING_FILING_DATE",IQ_FY-8))</f>
        <v>66.348969999999994</v>
      </c>
      <c r="J2869" s="17">
        <f>IF(A2876=A2877,_xll.ciqfunctions.udf.CIQ(A2868,"IQ_CASH_OPER",IQ_FY-9), _xll.ciqfunctions.udf.CIQ(A2868, "IQ_CASH_OPER",IQ_FY-8))</f>
        <v>96.361000000000004</v>
      </c>
      <c r="K2869" s="17">
        <f>IF(A2876=A2877,_xll.ciqfunctions.udf.CIQ(A2868,"IQ_CAPEX",IQ_FY-9), _xll.ciqfunctions.udf.CIQ(A2868, "IQ_CAPEX",IQ_FY-8))</f>
        <v>-91.084999999999994</v>
      </c>
      <c r="L2869" s="15">
        <f t="shared" si="764"/>
        <v>7.9518943549538312E-2</v>
      </c>
      <c r="M2869" s="17">
        <f>IF(A2876=A2877,_xll.ciqfunctions.udf.CIQ(A2868,"IQ_TOTAL_DEBT_ISSUED",IQ_FY-9), _xll.ciqfunctions.udf.CIQ(A2868, "IQ_TOTAL_DEBT_ISSUED",IQ_FY-8))</f>
        <v>0</v>
      </c>
      <c r="N2869" s="17">
        <f>IF(A2876=A2877,_xll.ciqfunctions.udf.CIQ(A2868,"IQ_TOTAL_DEBT_REPAID",IQ_FY-9), _xll.ciqfunctions.udf.CIQ(A2868, "IQ_TOTAL_DEBT_REPAID",IQ_FY-8))</f>
        <v>-29.782</v>
      </c>
      <c r="O2869" s="15">
        <f t="shared" si="765"/>
        <v>-0.4488690630766386</v>
      </c>
      <c r="P2869" s="15">
        <f t="shared" si="766"/>
        <v>-0.36935011952710028</v>
      </c>
      <c r="Q2869" s="25" t="s">
        <v>18</v>
      </c>
      <c r="R2869" s="39" t="s">
        <v>19</v>
      </c>
      <c r="S2869" s="1">
        <f>R2867/((AVERAGE(P2873:P2878))*(1+E2879)^3)</f>
        <v>23.56314662677314</v>
      </c>
      <c r="U2869" s="25" t="s">
        <v>48</v>
      </c>
      <c r="V2869" s="39" t="s">
        <v>19</v>
      </c>
      <c r="W2869" s="1">
        <f>V2867/((AVERAGE(P2873:P2878))*(1+E2879)^3)</f>
        <v>23.56314662677314</v>
      </c>
      <c r="Y2869" s="25" t="s">
        <v>39</v>
      </c>
      <c r="Z2869" s="39" t="s">
        <v>19</v>
      </c>
      <c r="AA2869" s="1">
        <f>Z2867/((AVERAGE(P2873:P2878))*(1+E2879)^3)</f>
        <v>23.56314662677314</v>
      </c>
    </row>
    <row r="2870" spans="1:27">
      <c r="B2870" s="13">
        <v>3</v>
      </c>
      <c r="C2870" s="14" t="s">
        <v>20</v>
      </c>
      <c r="D2870" s="15" cm="1">
        <f t="array" ref="D2870">_xlfn.SINGLE(IF(A2876=A2877,_xll.ciqfunctions.udf.CIQ(A2868,"IQ_TOTAL_REV",IQ_FY-8)/I2870, _xll.ciqfunctions.udf.CIQ(A2868, "IQ_TOTAL_REV",IQ_FY-7)/I2870))</f>
        <v>7.8259710281150987</v>
      </c>
      <c r="E2870" s="16">
        <f t="shared" si="767"/>
        <v>0.13987780519108151</v>
      </c>
      <c r="F2870" s="15">
        <f>IF(A2876=A2877,_xll.ciqfunctions.udf.CIQ(A2868,"IQ_DILUT_EPS_EXCL",IQ_FY-8), _xll.ciqfunctions.udf.CIQ(A2868, "IQ_DILUT_EPS_EXCL",IQ_FY-7))</f>
        <v>0.62497999999999998</v>
      </c>
      <c r="G2870" s="15">
        <f>IF(A2876=A2877,_xll.ciqfunctions.udf.CIQ(A2868,"IQ_EBITDA_MARGIN",IQ_FY-8), _xll.ciqfunctions.udf.CIQ(A2868, "IQ_EBITDA_MARGIN",IQ_FY-7))</f>
        <v>29.361899999999999</v>
      </c>
      <c r="H2870" s="15">
        <f>IF(A2876=A2877,_xll.ciqfunctions.udf.CIQ(A2868,"IQ_TOTAL_DIV_PAID_CF",IQ_FY-8)/-I2870, _xll.ciqfunctions.udf.CIQ(A2868, "IQ_TOTAL_DIV_PAID_CF",IQ_FY-7)/-I2870)</f>
        <v>0</v>
      </c>
      <c r="I2870" s="17">
        <f>IF(A2876=A2877,_xll.ciqfunctions.udf.CIQ(A2868,"IQ_TOTAL_OUTSTANDING_FILING_DATE",IQ_FY-8), _xll.ciqfunctions.udf.CIQ(A2868, "IQ_TOTAL_OUTSTANDING_FILING_DATE",IQ_FY-7))</f>
        <v>66.982870000000005</v>
      </c>
      <c r="J2870" s="17">
        <f>IF(A2876=A2877,_xll.ciqfunctions.udf.CIQ(A2868,"IQ_CASH_OPER",IQ_FY-8), _xll.ciqfunctions.udf.CIQ(A2868, "IQ_CASH_OPER",IQ_FY-7))</f>
        <v>133.19499999999999</v>
      </c>
      <c r="K2870" s="17">
        <f>IF(A2876=A2877,_xll.ciqfunctions.udf.CIQ(A2868,"IQ_CAPEX",IQ_FY-8), _xll.ciqfunctions.udf.CIQ(A2868, "IQ_CAPEX",IQ_FY-7))</f>
        <v>-104.033</v>
      </c>
      <c r="L2870" s="15">
        <f t="shared" si="764"/>
        <v>0.43536504183830865</v>
      </c>
      <c r="M2870" s="17">
        <f>IF(A2876=A2877,_xll.ciqfunctions.udf.CIQ(A2868,"IQ_TOTAL_DEBT_ISSUED",IQ_FY-8), _xll.ciqfunctions.udf.CIQ(A2868, "IQ_TOTAL_DEBT_ISSUED",IQ_FY-7))</f>
        <v>0</v>
      </c>
      <c r="N2870" s="17">
        <f>IF(A2876=A2877,_xll.ciqfunctions.udf.CIQ(A2868,"IQ_TOTAL_DEBT_REPAID",IQ_FY-8), _xll.ciqfunctions.udf.CIQ(A2868, "IQ_TOTAL_DEBT_REPAID",IQ_FY-7))</f>
        <v>-9.5709999999999997</v>
      </c>
      <c r="O2870" s="15">
        <f t="shared" si="765"/>
        <v>-0.14288727849374025</v>
      </c>
      <c r="P2870" s="15">
        <f t="shared" si="766"/>
        <v>0.29247776334456843</v>
      </c>
      <c r="Q2870" s="25" t="s">
        <v>21</v>
      </c>
      <c r="R2870" s="38" t="s">
        <v>49</v>
      </c>
      <c r="S2870" s="2">
        <f>(R2867*I2878)/1000</f>
        <v>1.3466689897000002</v>
      </c>
      <c r="U2870" s="25" t="s">
        <v>59</v>
      </c>
      <c r="V2870" s="38" t="s">
        <v>49</v>
      </c>
      <c r="W2870" s="2">
        <f>(V2867*I2878)/1000</f>
        <v>1.3466689897000002</v>
      </c>
      <c r="Y2870" s="25" t="s">
        <v>46</v>
      </c>
      <c r="Z2870" s="38" t="s">
        <v>49</v>
      </c>
      <c r="AA2870" s="2">
        <f>(Z2867*I2878)/1000</f>
        <v>1.3466689897000002</v>
      </c>
    </row>
    <row r="2871" spans="1:27">
      <c r="A2871" s="18"/>
      <c r="B2871" s="13">
        <v>4</v>
      </c>
      <c r="C2871" s="14" t="s">
        <v>22</v>
      </c>
      <c r="D2871" s="15" cm="1">
        <f t="array" ref="D2871">_xlfn.SINGLE(IF(A2876=A2877,_xll.ciqfunctions.udf.CIQ(A2868,"IQ_TOTAL_REV",IQ_FY-7)/I2871, _xll.ciqfunctions.udf.CIQ(A2868, "IQ_TOTAL_REV",IQ_FY-6)/I2871))</f>
        <v>7.0758184034856875</v>
      </c>
      <c r="E2871" s="16">
        <f t="shared" si="767"/>
        <v>-9.5854255265507546E-2</v>
      </c>
      <c r="F2871" s="15">
        <f>IF(A2876=A2877,_xll.ciqfunctions.udf.CIQ(A2868,"IQ_DILUT_EPS_EXCL",IQ_FY-7), _xll.ciqfunctions.udf.CIQ(A2868, "IQ_DILUT_EPS_EXCL",IQ_FY-6))</f>
        <v>0.64356000000000002</v>
      </c>
      <c r="G2871" s="15">
        <f>IF(A2876=A2877,_xll.ciqfunctions.udf.CIQ(A2868,"IQ_EBITDA_MARGIN",IQ_FY-7), _xll.ciqfunctions.udf.CIQ(A2868, "IQ_EBITDA_MARGIN",IQ_FY-6))</f>
        <v>27.900700000000001</v>
      </c>
      <c r="H2871" s="15">
        <f>IF(A2876=A2877,_xll.ciqfunctions.udf.CIQ(A2868,"IQ_TOTAL_DIV_PAID_CF",IQ_FY-7)/-I2871, _xll.ciqfunctions.udf.CIQ(A2868, "IQ_TOTAL_DIV_PAID_CF",IQ_FY-6)/-I2871)</f>
        <v>0</v>
      </c>
      <c r="I2871" s="17">
        <f>IF(A2876=A2877,_xll.ciqfunctions.udf.CIQ(A2868,"IQ_TOTAL_OUTSTANDING_FILING_DATE",IQ_FY-7), _xll.ciqfunctions.udf.CIQ(A2868, "IQ_TOTAL_OUTSTANDING_FILING_DATE",IQ_FY-6))</f>
        <v>68.325100000000006</v>
      </c>
      <c r="J2871" s="17">
        <f>IF(A2876=A2877,_xll.ciqfunctions.udf.CIQ(A2868,"IQ_CASH_OPER",IQ_FY-7), _xll.ciqfunctions.udf.CIQ(A2868, "IQ_CASH_OPER",IQ_FY-6))</f>
        <v>122.137</v>
      </c>
      <c r="K2871" s="17">
        <f>IF(A2876=A2877,_xll.ciqfunctions.udf.CIQ(A2868,"IQ_CAPEX",IQ_FY-7), _xll.ciqfunctions.udf.CIQ(A2868, "IQ_CAPEX",IQ_FY-6))</f>
        <v>-50.146999999999998</v>
      </c>
      <c r="L2871" s="15">
        <f t="shared" si="764"/>
        <v>1.0536391457897611</v>
      </c>
      <c r="M2871" s="17">
        <f>IF(A2876=A2877,_xll.ciqfunctions.udf.CIQ(A2868,"IQ_TOTAL_DEBT_ISSUED",IQ_FY-7), _xll.ciqfunctions.udf.CIQ(A2868, "IQ_TOTAL_DEBT_ISSUED",IQ_FY-6))</f>
        <v>0</v>
      </c>
      <c r="N2871" s="17">
        <f>IF(A2876=A2877,_xll.ciqfunctions.udf.CIQ(A2868,"IQ_TOTAL_DEBT_REPAID",IQ_FY-7), _xll.ciqfunctions.udf.CIQ(A2868, "IQ_TOTAL_DEBT_REPAID",IQ_FY-6))</f>
        <v>-57.609000000000002</v>
      </c>
      <c r="O2871" s="15">
        <f t="shared" si="765"/>
        <v>-0.84316012709824062</v>
      </c>
      <c r="P2871" s="15">
        <f t="shared" si="766"/>
        <v>0.21047901869152053</v>
      </c>
      <c r="Q2871" s="25" t="s">
        <v>23</v>
      </c>
      <c r="R2871" s="38" t="s">
        <v>24</v>
      </c>
      <c r="S2871" s="1" t="e">
        <f>R2867/(AVERAGE(H2873:H2878)*(1+H2879)/(0.5-H2879))</f>
        <v>#DIV/0!</v>
      </c>
      <c r="U2871" s="25" t="s">
        <v>40</v>
      </c>
      <c r="V2871" s="38" t="s">
        <v>24</v>
      </c>
      <c r="W2871" s="1" t="e">
        <f>V2867/(AVERAGE(H2873:H2878)*(1+H2879)/(0.5-H2879))</f>
        <v>#DIV/0!</v>
      </c>
      <c r="Y2871" s="25" t="s">
        <v>47</v>
      </c>
      <c r="Z2871" s="38" t="s">
        <v>24</v>
      </c>
      <c r="AA2871" s="1" t="e">
        <f>Z2867/(AVERAGE(H2873:H2878)*(1+H2879)/(0.5-H2879))</f>
        <v>#DIV/0!</v>
      </c>
    </row>
    <row r="2872" spans="1:27">
      <c r="B2872" s="13">
        <v>5</v>
      </c>
      <c r="C2872" s="14" t="s">
        <v>25</v>
      </c>
      <c r="D2872" s="15" cm="1">
        <f t="array" ref="D2872">_xlfn.SINGLE(IF(A2876=A2877,_xll.ciqfunctions.udf.CIQ(A2868,"IQ_TOTAL_REV",IQ_FY-6)/I2872, _xll.ciqfunctions.udf.CIQ(A2868, "IQ_TOTAL_REV",IQ_FY-5)/I2872))</f>
        <v>6.5265908201270948</v>
      </c>
      <c r="E2872" s="16">
        <f t="shared" si="767"/>
        <v>-7.7620361637324151E-2</v>
      </c>
      <c r="F2872" s="15">
        <f>IF(A2876=A2877,_xll.ciqfunctions.udf.CIQ(A2868,"IQ_DILUT_EPS_EXCL",IQ_FY-6), _xll.ciqfunctions.udf.CIQ(A2868, "IQ_DILUT_EPS_EXCL",IQ_FY-5))</f>
        <v>0.1895</v>
      </c>
      <c r="G2872" s="15">
        <f>IF(A2876=A2877,_xll.ciqfunctions.udf.CIQ(A2868,"IQ_EBITDA_MARGIN",IQ_FY-6), _xll.ciqfunctions.udf.CIQ(A2868, "IQ_EBITDA_MARGIN",IQ_FY-5))</f>
        <v>26.2806</v>
      </c>
      <c r="H2872" s="15">
        <f>IF(A2876=A2877,_xll.ciqfunctions.udf.CIQ(A2868,"IQ_TOTAL_DIV_PAID_CF",IQ_FY-6)/-I2872, _xll.ciqfunctions.udf.CIQ(A2868, "IQ_TOTAL_DIV_PAID_CF",IQ_FY-5)/-I2872)</f>
        <v>0</v>
      </c>
      <c r="I2872" s="17">
        <f>IF(A2876=A2877,_xll.ciqfunctions.udf.CIQ(A2868,"IQ_TOTAL_OUTSTANDING_FILING_DATE",IQ_FY-6), _xll.ciqfunctions.udf.CIQ(A2868, "IQ_TOTAL_OUTSTANDING_FILING_DATE",IQ_FY-5))</f>
        <v>69.052589999999995</v>
      </c>
      <c r="J2872" s="17">
        <f>IF(A2876=A2877,_xll.ciqfunctions.udf.CIQ(A2868,"IQ_CASH_OPER",IQ_FY-6), _xll.ciqfunctions.udf.CIQ(A2868, "IQ_CASH_OPER",IQ_FY-5))</f>
        <v>96.832999999999998</v>
      </c>
      <c r="K2872" s="17">
        <f>IF(A2876=A2877,_xll.ciqfunctions.udf.CIQ(A2868,"IQ_CAPEX",IQ_FY-6), _xll.ciqfunctions.udf.CIQ(A2868, "IQ_CAPEX",IQ_FY-5))</f>
        <v>-91.965000000000003</v>
      </c>
      <c r="L2872" s="15">
        <f t="shared" si="764"/>
        <v>7.049699366815923E-2</v>
      </c>
      <c r="M2872" s="17">
        <f>IF(A2876=A2877,_xll.ciqfunctions.udf.CIQ(A2868,"IQ_TOTAL_DEBT_ISSUED",IQ_FY-6), _xll.ciqfunctions.udf.CIQ(A2868, "IQ_TOTAL_DEBT_ISSUED",IQ_FY-5))</f>
        <v>0</v>
      </c>
      <c r="N2872" s="17">
        <f>IF(A2876=A2877,_xll.ciqfunctions.udf.CIQ(A2868,"IQ_TOTAL_DEBT_REPAID",IQ_FY-6), _xll.ciqfunctions.udf.CIQ(A2868, "IQ_TOTAL_DEBT_REPAID",IQ_FY-5))</f>
        <v>-5.4279999999999999</v>
      </c>
      <c r="O2872" s="15">
        <f t="shared" si="765"/>
        <v>-7.8606754648884281E-2</v>
      </c>
      <c r="P2872" s="15">
        <f t="shared" si="766"/>
        <v>-8.1097609807250504E-3</v>
      </c>
      <c r="Q2872" s="18"/>
      <c r="R2872" s="38" t="s">
        <v>50</v>
      </c>
      <c r="S2872" s="3">
        <f>I2879</f>
        <v>-1.3619902585036092E-2</v>
      </c>
      <c r="U2872" s="18"/>
      <c r="V2872" s="38" t="s">
        <v>50</v>
      </c>
      <c r="W2872" s="3">
        <f>I2879</f>
        <v>-1.3619902585036092E-2</v>
      </c>
      <c r="Y2872" s="18"/>
      <c r="Z2872" s="38" t="s">
        <v>50</v>
      </c>
      <c r="AA2872" s="3">
        <f>I2879</f>
        <v>-1.3619902585036092E-2</v>
      </c>
    </row>
    <row r="2873" spans="1:27">
      <c r="B2873" s="13">
        <v>6</v>
      </c>
      <c r="C2873" s="14" t="s">
        <v>26</v>
      </c>
      <c r="D2873" s="15" cm="1">
        <f t="array" ref="D2873">_xlfn.SINGLE(IF(A2876=A2877,_xll.ciqfunctions.udf.CIQ(A2868,"IQ_TOTAL_REV",IQ_FY-5)/I2873, _xll.ciqfunctions.udf.CIQ(A2868, "IQ_TOTAL_REV",IQ_FY-4)/I2873))</f>
        <v>7.9906562006719426</v>
      </c>
      <c r="E2873" s="16">
        <f t="shared" si="767"/>
        <v>0.22432314525216973</v>
      </c>
      <c r="F2873" s="15">
        <f>IF(A2876=A2877,_xll.ciqfunctions.udf.CIQ(A2868,"IQ_DILUT_EPS_EXCL",IQ_FY-5), _xll.ciqfunctions.udf.CIQ(A2868, "IQ_DILUT_EPS_EXCL",IQ_FY-4))</f>
        <v>0.58879000000000004</v>
      </c>
      <c r="G2873" s="15">
        <f>IF(A2876=A2877,_xll.ciqfunctions.udf.CIQ(A2868,"IQ_EBITDA_MARGIN",IQ_FY-5), _xll.ciqfunctions.udf.CIQ(A2868, "IQ_EBITDA_MARGIN",IQ_FY-4))</f>
        <v>28.0154</v>
      </c>
      <c r="H2873" s="15">
        <f>IF(A2876=A2877,_xll.ciqfunctions.udf.CIQ(A2868,"IQ_TOTAL_DIV_PAID_CF",IQ_FY-5)/-I2873, _xll.ciqfunctions.udf.CIQ(A2868, "IQ_TOTAL_DIV_PAID_CF",IQ_FY-4)/-I2873)</f>
        <v>0</v>
      </c>
      <c r="I2873" s="17">
        <f>IF(A2876=A2877,_xll.ciqfunctions.udf.CIQ(A2868,"IQ_TOTAL_OUTSTANDING_FILING_DATE",IQ_FY-5), _xll.ciqfunctions.udf.CIQ(A2868, "IQ_TOTAL_OUTSTANDING_FILING_DATE",IQ_FY-4))</f>
        <v>66.987740000000002</v>
      </c>
      <c r="J2873" s="17">
        <f>IF(A2876=A2877,_xll.ciqfunctions.udf.CIQ(A2868,"IQ_CASH_OPER",IQ_FY-5), _xll.ciqfunctions.udf.CIQ(A2868, "IQ_CASH_OPER",IQ_FY-4))</f>
        <v>130.56700000000001</v>
      </c>
      <c r="K2873" s="17">
        <f>IF(A2876=A2877,_xll.ciqfunctions.udf.CIQ(A2868,"IQ_CAPEX",IQ_FY-5), _xll.ciqfunctions.udf.CIQ(A2868, "IQ_CAPEX",IQ_FY-4))</f>
        <v>-92.584999999999994</v>
      </c>
      <c r="L2873" s="15">
        <f t="shared" si="764"/>
        <v>0.5669992747926712</v>
      </c>
      <c r="M2873" s="17">
        <f>IF(A2876=A2877,_xll.ciqfunctions.udf.CIQ(A2868,"IQ_TOTAL_DEBT_ISSUED",IQ_FY-5), _xll.ciqfunctions.udf.CIQ(A2868, "IQ_TOTAL_DEBT_ISSUED",IQ_FY-4))</f>
        <v>0</v>
      </c>
      <c r="N2873" s="17">
        <f>IF(A2876=A2877,_xll.ciqfunctions.udf.CIQ(A2868,"IQ_TOTAL_DEBT_REPAID",IQ_FY-5), _xll.ciqfunctions.udf.CIQ(A2868, "IQ_TOTAL_DEBT_REPAID",IQ_FY-4))</f>
        <v>-4.6390000000000002</v>
      </c>
      <c r="O2873" s="15">
        <f t="shared" si="765"/>
        <v>-6.925147795701124E-2</v>
      </c>
      <c r="P2873" s="15">
        <f t="shared" si="766"/>
        <v>0.49774779683565995</v>
      </c>
      <c r="Q2873" s="25" t="s">
        <v>27</v>
      </c>
      <c r="R2873" s="38" t="s">
        <v>51</v>
      </c>
      <c r="S2873" s="4">
        <f>AVERAGE(F2873:F2878)/AVERAGE(D2873:D2878)</f>
        <v>9.8004417203394173E-2</v>
      </c>
      <c r="U2873" s="25" t="s">
        <v>58</v>
      </c>
      <c r="V2873" s="38" t="s">
        <v>51</v>
      </c>
      <c r="W2873" s="4">
        <f>AVERAGE(F2873:F2878)/AVERAGE(D2873:D2878)</f>
        <v>9.8004417203394173E-2</v>
      </c>
      <c r="Y2873" s="25" t="s">
        <v>56</v>
      </c>
      <c r="Z2873" s="38" t="s">
        <v>51</v>
      </c>
      <c r="AA2873" s="4">
        <f>AVERAGE(F2873:F2878)/AVERAGE(D2873:D2878)</f>
        <v>9.8004417203394173E-2</v>
      </c>
    </row>
    <row r="2874" spans="1:27">
      <c r="A2874" s="18"/>
      <c r="B2874" s="13">
        <v>7</v>
      </c>
      <c r="C2874" s="14" t="s">
        <v>28</v>
      </c>
      <c r="D2874" s="15" cm="1">
        <f t="array" ref="D2874">_xlfn.SINGLE(IF(A2876=A2877,_xll.ciqfunctions.udf.CIQ(A2868,"IQ_TOTAL_REV",IQ_FY-4)/I2874, _xll.ciqfunctions.udf.CIQ(A2868, "IQ_TOTAL_REV",IQ_FY-3)/I2874))</f>
        <v>8.4177706589344528</v>
      </c>
      <c r="E2874" s="16">
        <f t="shared" si="767"/>
        <v>5.3451737571514293E-2</v>
      </c>
      <c r="F2874" s="15">
        <f>IF(A2876=A2877,_xll.ciqfunctions.udf.CIQ(A2868,"IQ_DILUT_EPS_EXCL",IQ_FY-4), _xll.ciqfunctions.udf.CIQ(A2868, "IQ_DILUT_EPS_EXCL",IQ_FY-3))</f>
        <v>0.44302999999999998</v>
      </c>
      <c r="G2874" s="15">
        <f>IF(A2876=A2877,_xll.ciqfunctions.udf.CIQ(A2868,"IQ_EBITDA_MARGIN",IQ_FY-4), _xll.ciqfunctions.udf.CIQ(A2868, "IQ_EBITDA_MARGIN",IQ_FY-3))</f>
        <v>24.697600000000001</v>
      </c>
      <c r="H2874" s="15">
        <f>IF(A2876=A2877,_xll.ciqfunctions.udf.CIQ(A2868,"IQ_TOTAL_DIV_PAID_CF",IQ_FY-4)/-I2874, _xll.ciqfunctions.udf.CIQ(A2868, "IQ_TOTAL_DIV_PAID_CF",IQ_FY-3)/-I2874)</f>
        <v>0</v>
      </c>
      <c r="I2874" s="17">
        <f>IF(A2876=A2877,_xll.ciqfunctions.udf.CIQ(A2868,"IQ_TOTAL_OUTSTANDING_FILING_DATE",IQ_FY-4), _xll.ciqfunctions.udf.CIQ(A2868, "IQ_TOTAL_OUTSTANDING_FILING_DATE",IQ_FY-3))</f>
        <v>65.416370000000001</v>
      </c>
      <c r="J2874" s="17">
        <f>IF(A2876=A2877,_xll.ciqfunctions.udf.CIQ(A2868,"IQ_CASH_OPER",IQ_FY-4), _xll.ciqfunctions.udf.CIQ(A2868, "IQ_CASH_OPER",IQ_FY-3))</f>
        <v>68.385999999999996</v>
      </c>
      <c r="K2874" s="17">
        <f>IF(A2876=A2877,_xll.ciqfunctions.udf.CIQ(A2868,"IQ_CAPEX",IQ_FY-4), _xll.ciqfunctions.udf.CIQ(A2868, "IQ_CAPEX",IQ_FY-3))</f>
        <v>-178.375</v>
      </c>
      <c r="L2874" s="15">
        <f t="shared" si="764"/>
        <v>-1.6813681346121774</v>
      </c>
      <c r="M2874" s="17">
        <f>IF(A2876=A2877,_xll.ciqfunctions.udf.CIQ(A2868,"IQ_TOTAL_DEBT_ISSUED",IQ_FY-4), _xll.ciqfunctions.udf.CIQ(A2868, "IQ_TOTAL_DEBT_ISSUED",IQ_FY-3))</f>
        <v>54.633000000000003</v>
      </c>
      <c r="N2874" s="17">
        <f>IF(A2876=A2877,_xll.ciqfunctions.udf.CIQ(A2868,"IQ_TOTAL_DEBT_REPAID",IQ_FY-4), _xll.ciqfunctions.udf.CIQ(A2868, "IQ_TOTAL_DEBT_REPAID",IQ_FY-3))</f>
        <v>-61.319000000000003</v>
      </c>
      <c r="O2874" s="15">
        <f t="shared" si="765"/>
        <v>-0.10220683293799396</v>
      </c>
      <c r="P2874" s="15">
        <f t="shared" si="766"/>
        <v>-1.7835749675501713</v>
      </c>
      <c r="Q2874" s="18"/>
      <c r="R2874" s="38" t="s">
        <v>29</v>
      </c>
      <c r="S2874" s="4">
        <f>(AVERAGE(P2873:P2878)/_xlfn.STDEV.P(P2873:P2878))/(IF(A2876=A2877,(_xlfn.SINGLE(_xll.ciqfunctions.udf.CIQ(A2868,"IQ_total_assets",IQ_FY)) - _xlfn.SINGLE(_xll.ciqfunctions.udf.CIQ(A2868,"iq_gw_intan", IQ_FY)))/I2878, (_xlfn.SINGLE(_xll.ciqfunctions.udf.CIQ(A2868, "IQ_total_assets",IQ_LTM))-_xlfn.SINGLE(_xll.ciqfunctions.udf.CIQ(A2868,"iq_gw_intan",IQ_LTM)))/I2878))</f>
        <v>2.3271750995210155E-2</v>
      </c>
      <c r="U2874" s="18"/>
      <c r="V2874" s="38" t="s">
        <v>29</v>
      </c>
      <c r="W2874" s="4">
        <f>(AVERAGE(P2873:P2878)/_xlfn.STDEV.P(P2873:P2878))/(IF(A2876=A2877,(_xlfn.SINGLE(_xll.ciqfunctions.udf.CIQ(A2868,"IQ_total_assets",IQ_FY)) - _xlfn.SINGLE(_xll.ciqfunctions.udf.CIQ(A2868,"iq_gw_intan", IQ_FY)))/I2878, (_xlfn.SINGLE(_xll.ciqfunctions.udf.CIQ(A2868, "IQ_total_assets",IQ_LTM))-_xlfn.SINGLE(_xll.ciqfunctions.udf.CIQ(A2868,"iq_gw_intan",IQ_LTM)))/I2878))</f>
        <v>2.3271750995210155E-2</v>
      </c>
      <c r="Y2874" s="18"/>
      <c r="Z2874" s="38" t="s">
        <v>29</v>
      </c>
      <c r="AA2874" s="4">
        <f>(AVERAGE(P2873:P2878)/_xlfn.STDEV.P(P2873:P2878))/(IF(A2876=A2877,(_xlfn.SINGLE(_xll.ciqfunctions.udf.CIQ(A2868,"IQ_total_assets",IQ_FY)) - _xlfn.SINGLE(_xll.ciqfunctions.udf.CIQ(A2868,"iq_gw_intan", IQ_FY)))/I2878, (_xlfn.SINGLE(_xll.ciqfunctions.udf.CIQ(A2868, "IQ_total_assets",IQ_LTM))-_xlfn.SINGLE(_xll.ciqfunctions.udf.CIQ(A2868,"iq_gw_intan",IQ_LTM)))/I2878))</f>
        <v>2.3271750995210155E-2</v>
      </c>
    </row>
    <row r="2875" spans="1:27">
      <c r="A2875" s="18"/>
      <c r="B2875" s="13">
        <v>8</v>
      </c>
      <c r="C2875" s="14" t="s">
        <v>30</v>
      </c>
      <c r="D2875" s="15" cm="1">
        <f t="array" ref="D2875">_xlfn.SINGLE(IF(A2876=A2877,_xll.ciqfunctions.udf.CIQ(A2868,"IQ_TOTAL_REV",IQ_FY-3)/I2875, _xll.ciqfunctions.udf.CIQ(A2868, "IQ_TOTAL_REV",IQ_FY-2)/I2875))</f>
        <v>9.5389029333067992</v>
      </c>
      <c r="E2875" s="16">
        <f t="shared" si="767"/>
        <v>0.13318636486994323</v>
      </c>
      <c r="F2875" s="15">
        <f>IF(A2876=A2877,_xll.ciqfunctions.udf.CIQ(A2868,"IQ_DILUT_EPS_EXCL",IQ_FY-3), _xll.ciqfunctions.udf.CIQ(A2868, "IQ_DILUT_EPS_EXCL",IQ_FY-2))</f>
        <v>0.52</v>
      </c>
      <c r="G2875" s="15">
        <f>IF(A2876=A2877,_xll.ciqfunctions.udf.CIQ(A2868,"IQ_EBITDA_MARGIN",IQ_FY-3), _xll.ciqfunctions.udf.CIQ(A2868, "IQ_EBITDA_MARGIN",IQ_FY-2))</f>
        <v>25.872399999999999</v>
      </c>
      <c r="H2875" s="15">
        <f>IF(A2876=A2877,_xll.ciqfunctions.udf.CIQ(A2868,"IQ_TOTAL_DIV_PAID_CF",IQ_FY-3)/-I2875, _xll.ciqfunctions.udf.CIQ(A2868, "IQ_TOTAL_DIV_PAID_CF",IQ_FY-2)/-I2875)</f>
        <v>0</v>
      </c>
      <c r="I2875" s="17">
        <f>IF(A2876=A2877,_xll.ciqfunctions.udf.CIQ(A2868,"IQ_TOTAL_OUTSTANDING_FILING_DATE",IQ_FY-3), _xll.ciqfunctions.udf.CIQ(A2868, "IQ_TOTAL_OUTSTANDING_FILING_DATE",IQ_FY-2))</f>
        <v>63.916260000000001</v>
      </c>
      <c r="J2875" s="17">
        <f>IF(A2876=A2877,_xll.ciqfunctions.udf.CIQ(A2868,"IQ_CASH_OPER",IQ_FY-3), _xll.ciqfunctions.udf.CIQ(A2868, "IQ_CASH_OPER",IQ_FY-2))</f>
        <v>143.04599999999999</v>
      </c>
      <c r="K2875" s="17">
        <f>IF(A2876=A2877,_xll.ciqfunctions.udf.CIQ(A2868,"IQ_CAPEX",IQ_FY-3), _xll.ciqfunctions.udf.CIQ(A2868, "IQ_CAPEX",IQ_FY-2))</f>
        <v>-70.814999999999998</v>
      </c>
      <c r="L2875" s="15">
        <f t="shared" si="764"/>
        <v>1.1300880245496217</v>
      </c>
      <c r="M2875" s="17">
        <f>IF(A2876=A2877,_xll.ciqfunctions.udf.CIQ(A2868,"IQ_TOTAL_DEBT_ISSUED",IQ_FY-3), _xll.ciqfunctions.udf.CIQ(A2868, "IQ_TOTAL_DEBT_ISSUED",IQ_FY-2))</f>
        <v>20.34</v>
      </c>
      <c r="N2875" s="17">
        <f>IF(A2876=A2877,_xll.ciqfunctions.udf.CIQ(A2868,"IQ_TOTAL_DEBT_REPAID",IQ_FY-3), _xll.ciqfunctions.udf.CIQ(A2868, "IQ_TOTAL_DEBT_REPAID",IQ_FY-2))</f>
        <v>-7.3920000000000003</v>
      </c>
      <c r="O2875" s="15">
        <f t="shared" si="765"/>
        <v>0.20257756007626229</v>
      </c>
      <c r="P2875" s="15">
        <f t="shared" si="766"/>
        <v>1.3326655846258839</v>
      </c>
      <c r="Q2875" s="18"/>
      <c r="R2875" s="39" t="s">
        <v>31</v>
      </c>
      <c r="S2875" s="5">
        <f>IF(NOT(D2868&gt;0),FALSE,SLOPE(G2868:G2878,B2868:B2878))</f>
        <v>0.89716090909090918</v>
      </c>
      <c r="U2875" s="18"/>
      <c r="V2875" s="39" t="s">
        <v>31</v>
      </c>
      <c r="W2875" s="5">
        <f>IF(NOT(D2868&gt;0),FALSE,SLOPE(G2868:G2878,B2868:B2878))</f>
        <v>0.89716090909090918</v>
      </c>
      <c r="Y2875" s="18"/>
      <c r="Z2875" s="39" t="s">
        <v>31</v>
      </c>
      <c r="AA2875" s="5">
        <f>IF(NOT(L2868&gt;0),FALSE,SLOPE(O2868:O2878,J2868:J2878))</f>
        <v>-2.9571823678769499E-3</v>
      </c>
    </row>
    <row r="2876" spans="1:27">
      <c r="A2876" s="19">
        <f>_xll.ciqfunctions.udf.CIQ(A2868,"IQ_TOTAL_REV",IQ_FY)</f>
        <v>824.54899999999998</v>
      </c>
      <c r="B2876" s="13">
        <v>9</v>
      </c>
      <c r="C2876" s="14" t="s">
        <v>32</v>
      </c>
      <c r="D2876" s="15" cm="1">
        <f t="array" ref="D2876">_xlfn.SINGLE(IF(A2876=A2877,_xll.ciqfunctions.udf.CIQ(A2868,"IQ_TOTAL_REV",IQ_FY-2)/I2876, _xll.ciqfunctions.udf.CIQ(A2868, "IQ_TOTAL_REV",IQ_FY-1)/I2876))</f>
        <v>10.89911486696732</v>
      </c>
      <c r="E2876" s="16">
        <f t="shared" si="767"/>
        <v>0.14259626533268263</v>
      </c>
      <c r="F2876" s="15">
        <f>IF(A2876=A2877,_xll.ciqfunctions.udf.CIQ(A2868,"IQ_DILUT_EPS_EXCL",IQ_FY-2), _xll.ciqfunctions.udf.CIQ(A2868, "IQ_DILUT_EPS_EXCL",IQ_FY-1))</f>
        <v>0.89</v>
      </c>
      <c r="G2876" s="15">
        <f>IF(A2876=A2877,_xll.ciqfunctions.udf.CIQ(A2868,"IQ_EBITDA_MARGIN",IQ_FY-2), _xll.ciqfunctions.udf.CIQ(A2868, "IQ_EBITDA_MARGIN",IQ_FY-1))</f>
        <v>27.332799999999999</v>
      </c>
      <c r="H2876" s="15">
        <f>IF(A2876=A2877,_xll.ciqfunctions.udf.CIQ(A2868,"IQ_TOTAL_DIV_PAID_CF",IQ_FY-2)/-I2876, _xll.ciqfunctions.udf.CIQ(A2868, "IQ_TOTAL_DIV_PAID_CF",IQ_FY-1)/-I2876)</f>
        <v>0</v>
      </c>
      <c r="I2876" s="17">
        <f>IF(A2876=A2877,_xll.ciqfunctions.udf.CIQ(A2868,"IQ_TOTAL_OUTSTANDING_FILING_DATE",IQ_FY-2), _xll.ciqfunctions.udf.CIQ(A2868, "IQ_TOTAL_OUTSTANDING_FILING_DATE",IQ_FY-1))</f>
        <v>60.900449999999999</v>
      </c>
      <c r="J2876" s="17">
        <f>IF(A2876=A2877,_xll.ciqfunctions.udf.CIQ(A2868,"IQ_CASH_OPER",IQ_FY-2), _xll.ciqfunctions.udf.CIQ(A2868, "IQ_CASH_OPER",IQ_FY-1))</f>
        <v>150.77199999999999</v>
      </c>
      <c r="K2876" s="17">
        <f>IF(A2876=A2877,_xll.ciqfunctions.udf.CIQ(A2868,"IQ_CAPEX",IQ_FY-2), _xll.ciqfunctions.udf.CIQ(A2868, "IQ_CAPEX",IQ_FY-1))</f>
        <v>-109.099</v>
      </c>
      <c r="L2876" s="15">
        <f t="shared" si="764"/>
        <v>0.68428065802469418</v>
      </c>
      <c r="M2876" s="17">
        <f>IF(A2876=A2877,_xll.ciqfunctions.udf.CIQ(A2868,"IQ_TOTAL_DEBT_ISSUED",IQ_FY-2), _xll.ciqfunctions.udf.CIQ(A2868, "IQ_TOTAL_DEBT_ISSUED",IQ_FY-1))</f>
        <v>20.858000000000001</v>
      </c>
      <c r="N2876" s="17">
        <f>IF(A2876=A2877,_xll.ciqfunctions.udf.CIQ(A2868,"IQ_TOTAL_DEBT_REPAID",IQ_FY-2), _xll.ciqfunctions.udf.CIQ(A2868, "IQ_TOTAL_DEBT_REPAID",IQ_FY-1))</f>
        <v>-20.352</v>
      </c>
      <c r="O2876" s="15">
        <f t="shared" si="765"/>
        <v>8.3086413975594631E-3</v>
      </c>
      <c r="P2876" s="15">
        <f t="shared" si="766"/>
        <v>0.69258929942225367</v>
      </c>
      <c r="Q2876" s="25" t="s">
        <v>33</v>
      </c>
      <c r="R2876" s="38" t="s">
        <v>52</v>
      </c>
      <c r="S2876" s="4">
        <f>(AVERAGE(O2873:O2878)/AVERAGE(P2873:P2878))</f>
        <v>-0.38236454492877459</v>
      </c>
      <c r="U2876" s="25" t="s">
        <v>54</v>
      </c>
      <c r="V2876" s="38" t="s">
        <v>52</v>
      </c>
      <c r="W2876" s="4">
        <f>(AVERAGE(O2873:O2878)/AVERAGE(P2873:P2878))</f>
        <v>-0.38236454492877459</v>
      </c>
      <c r="Y2876" s="25" t="s">
        <v>60</v>
      </c>
      <c r="Z2876" s="38" t="s">
        <v>52</v>
      </c>
      <c r="AA2876" s="4">
        <f>(AVERAGE(O2873:O2878)/AVERAGE(P2873:P2878))</f>
        <v>-0.38236454492877459</v>
      </c>
    </row>
    <row r="2877" spans="1:27">
      <c r="A2877" s="19">
        <f>_xll.ciqfunctions.udf.CIQ(A2868,"IQ_TOTAL_REV",IQ_LTM)</f>
        <v>874.86900000000003</v>
      </c>
      <c r="B2877" s="13">
        <v>10</v>
      </c>
      <c r="C2877" s="14" t="s">
        <v>34</v>
      </c>
      <c r="D2877" s="15" cm="1">
        <f t="array" ref="D2877">_xlfn.SINGLE(IF(A2876=A2877,_xll.ciqfunctions.udf.CIQ(A2868,"IQ_TOTAL_REV",IQ_FY-1)/I2877, _xll.ciqfunctions.udf.CIQ(A2868, "IQ_TOTAL_REV",IQ_FY)/I2877))</f>
        <v>13.355548605071956</v>
      </c>
      <c r="E2877" s="16">
        <f t="shared" si="767"/>
        <v>0.2253791952913089</v>
      </c>
      <c r="F2877" s="15">
        <f>IF(A2876=A2877,_xll.ciqfunctions.udf.CIQ(A2868,"IQ_DILUT_EPS_EXCL",IQ_FY-1), _xll.ciqfunctions.udf.CIQ(A2868, "IQ_DILUT_EPS_EXCL",IQ_FY))</f>
        <v>1.94</v>
      </c>
      <c r="G2877" s="15">
        <f>IF(A2876=A2877,_xll.ciqfunctions.udf.CIQ(A2868,"IQ_EBITDA_MARGIN",IQ_FY-1), _xll.ciqfunctions.udf.CIQ(A2868, "IQ_EBITDA_MARGIN",IQ_FY))</f>
        <v>35.439100000000003</v>
      </c>
      <c r="H2877" s="15">
        <f>IF(A2876=A2877,_xll.ciqfunctions.udf.CIQ(A2868,"IQ_TOTAL_DIV_PAID_CF",IQ_FY-1)/-I2877, _xll.ciqfunctions.udf.CIQ(A2868, "IQ_TOTAL_DIV_PAID_CF",IQ_FY)/-I2877)</f>
        <v>0</v>
      </c>
      <c r="I2877" s="17">
        <f>IF(A2876=A2877,_xll.ciqfunctions.udf.CIQ(A2868,"IQ_TOTAL_OUTSTANDING_FILING_DATE",IQ_FY-1), _xll.ciqfunctions.udf.CIQ(A2868, "IQ_TOTAL_OUTSTANDING_FILING_DATE",IQ_FY))</f>
        <v>61.738309999999998</v>
      </c>
      <c r="J2877" s="17">
        <f>IF(A2876=A2877,_xll.ciqfunctions.udf.CIQ(A2868,"IQ_CASH_OPER",IQ_FY-1), _xll.ciqfunctions.udf.CIQ(A2868, "IQ_CASH_OPER",IQ_FY))</f>
        <v>275.18700000000001</v>
      </c>
      <c r="K2877" s="17">
        <f>IF(A2876=A2877,_xll.ciqfunctions.udf.CIQ(A2868,"IQ_CAPEX",IQ_FY-1), _xll.ciqfunctions.udf.CIQ(A2868, "IQ_CAPEX",IQ_FY))</f>
        <v>-112.33799999999999</v>
      </c>
      <c r="L2877" s="15">
        <f t="shared" si="764"/>
        <v>2.637730122512262</v>
      </c>
      <c r="M2877" s="17">
        <f>IF(A2876=A2877,_xll.ciqfunctions.udf.CIQ(A2868,"IQ_TOTAL_DEBT_ISSUED",IQ_FY-1), _xll.ciqfunctions.udf.CIQ(A2868, "IQ_TOTAL_DEBT_ISSUED",IQ_FY))</f>
        <v>0</v>
      </c>
      <c r="N2877" s="17">
        <f>IF(A2876=A2877,_xll.ciqfunctions.udf.CIQ(A2868,"IQ_TOTAL_DEBT_REPAID",IQ_FY-1), _xll.ciqfunctions.udf.CIQ(A2868, "IQ_TOTAL_DEBT_REPAID",IQ_FY))</f>
        <v>-65.44</v>
      </c>
      <c r="O2877" s="15">
        <f t="shared" si="765"/>
        <v>-1.0599577474666864</v>
      </c>
      <c r="P2877" s="15">
        <f t="shared" si="766"/>
        <v>1.5777723750455757</v>
      </c>
      <c r="Q2877" s="25" t="s">
        <v>44</v>
      </c>
      <c r="R2877" s="38" t="s">
        <v>35</v>
      </c>
      <c r="S2877" s="1">
        <f>_xll.ciqfunctions.udf.CIQ(A2868,"IQ_TEV_EBITDA")</f>
        <v>3.5980300000000001</v>
      </c>
      <c r="U2877" s="25" t="s">
        <v>55</v>
      </c>
      <c r="V2877" s="38" t="s">
        <v>53</v>
      </c>
      <c r="W2877" s="1">
        <f>V2867/(AVERAGE(D2873:D2878)/_xlfn.STDEV.P(E2873:E2878))</f>
        <v>0.14350542374704617</v>
      </c>
      <c r="Y2877" s="25" t="s">
        <v>57</v>
      </c>
      <c r="Z2877" s="38" t="s">
        <v>53</v>
      </c>
      <c r="AA2877" s="1">
        <f>Z2867/(AVERAGE(D2873:D2878)/_xlfn.STDEV.P(E2873:E2878))</f>
        <v>0.14350542374704617</v>
      </c>
    </row>
    <row r="2878" spans="1:27">
      <c r="B2878" s="13">
        <v>11</v>
      </c>
      <c r="C2878" s="20" t="s">
        <v>36</v>
      </c>
      <c r="D2878" s="21" cm="1">
        <f t="array" ref="D2878">_xlfn.SINGLE(IF(A2876=A2877,_xll.ciqfunctions.udf.CIQ(A2868,"IQ_TOTAL_REV",IQ_FY)/I2878, _xll.ciqfunctions.udf.CIQ(A2868, "IQ_TOTAL_REV",IQ_LTM)/I2878))</f>
        <v>13.987052285354931</v>
      </c>
      <c r="E2878" s="22">
        <f t="shared" si="767"/>
        <v>4.728399401303162E-2</v>
      </c>
      <c r="F2878" s="21">
        <f>IF(A2876=A2877,_xll.ciqfunctions.udf.CIQ(A2868,"IQ_DILUT_EPS_EXCL",IQ_FY), _xll.ciqfunctions.udf.CIQ(A2868, "IQ_DILUT_EPS_EXCL",IQ_LTM))</f>
        <v>1.90899</v>
      </c>
      <c r="G2878" s="21">
        <f>IF(A2876=A2877,_xll.ciqfunctions.udf.CIQ(A2868,"IQ_EBITDA_MARGIN",IQ_FY), _xll.ciqfunctions.udf.CIQ(A2868, "IQ_EBITDA_MARGIN",IQ_LTM))</f>
        <v>37.430199999999999</v>
      </c>
      <c r="H2878" s="21">
        <f>IF(A2876=A2877,_xll.ciqfunctions.udf.CIQ(A2868,"IQ_TOTAL_DIV_PAID_CF",IQ_FY)/-I2878, _xll.ciqfunctions.udf.CIQ(A2868, "IQ_TOTAL_DIV_PAID_CF",IQ_LTM)/-I2878)</f>
        <v>0</v>
      </c>
      <c r="I2878" s="23">
        <f>IF(A2876=A2877,_xll.ciqfunctions.udf.CIQ(A2868,"IQ_TOTAL_OUTSTANDING_FILING_DATE",IQ_FY),_xll.ciqfunctions.udf.CIQ(A2868,"IQ_sharesoutstanding"))</f>
        <v>62.548490000000001</v>
      </c>
      <c r="J2878" s="23">
        <f>IF(A2876=A2877,_xll.ciqfunctions.udf.CIQ(A2868,"IQ_CASH_OPER",IQ_FY), _xll.ciqfunctions.udf.CIQ(A2868, "IQ_CASH_OPER",IQ_LTM))</f>
        <v>274.822</v>
      </c>
      <c r="K2878" s="23">
        <f>IF(A2876=A2877,_xll.ciqfunctions.udf.CIQ(A2868,"IQ_CAPEX",IQ_FY), _xll.ciqfunctions.udf.CIQ(A2868, "IQ_CAPEX",IQ_LTM))</f>
        <v>-144.81399999999999</v>
      </c>
      <c r="L2878" s="21">
        <f t="shared" si="764"/>
        <v>2.0785154046084888</v>
      </c>
      <c r="M2878" s="23">
        <f>IF(A2876=A2877,_xll.ciqfunctions.udf.CIQ(A2868,"IQ_TOTAL_DEBT_ISSUED",IQ_FY), _xll.ciqfunctions.udf.CIQ(A2868, "IQ_TOTAL_DEBT_ISSUED",IQ_LTM))</f>
        <v>0</v>
      </c>
      <c r="N2878" s="23">
        <f>IF(A2876=A2877,_xll.ciqfunctions.udf.CIQ(A2868,"IQ_TOTAL_DEBT_REPAID",IQ_FY), _xll.ciqfunctions.udf.CIQ(A2868, "IQ_TOTAL_DEBT_REPAID",IQ_LTM))</f>
        <v>-29.873999999999999</v>
      </c>
      <c r="O2878" s="21">
        <f t="shared" si="765"/>
        <v>-0.4776134483822071</v>
      </c>
      <c r="P2878" s="21">
        <f t="shared" si="766"/>
        <v>1.6009019562262816</v>
      </c>
      <c r="Q2878" s="25" t="s">
        <v>45</v>
      </c>
      <c r="S2878" s="45"/>
      <c r="U2878" s="25"/>
      <c r="W2878" s="45"/>
      <c r="Y2878" s="25"/>
      <c r="AA2878" s="45"/>
    </row>
    <row r="2879" spans="1:27">
      <c r="B2879" s="24"/>
      <c r="C2879" s="25" t="s">
        <v>37</v>
      </c>
      <c r="E2879" s="26">
        <f>((D2878/D2873)^(1/5))-1</f>
        <v>0.11848135946691651</v>
      </c>
      <c r="F2879" s="27">
        <f>((F2878/F2873)^(1/5))-1</f>
        <v>0.26522756636296752</v>
      </c>
      <c r="G2879" s="28"/>
      <c r="H2879" s="27" t="e">
        <f>((H2878/H2873)^(1/5))-1</f>
        <v>#DIV/0!</v>
      </c>
      <c r="I2879" s="27">
        <f>((I2878/I2873)^(1/5))-1</f>
        <v>-1.3619902585036092E-2</v>
      </c>
      <c r="J2879" s="27"/>
      <c r="K2879" s="27"/>
      <c r="L2879" s="26">
        <f>((L2878/L2873)^(1/5))-1</f>
        <v>0.29668399039399196</v>
      </c>
      <c r="M2879" s="26"/>
      <c r="N2879" s="26"/>
      <c r="O2879" s="26"/>
      <c r="P2879" s="26">
        <f>((P2878/P2873)^(1/5))-1</f>
        <v>0.26319697730577274</v>
      </c>
      <c r="Q2879" s="18"/>
      <c r="R2879" s="36"/>
      <c r="S2879" s="45"/>
      <c r="U2879" s="18"/>
      <c r="V2879" s="36"/>
      <c r="W2879" s="45"/>
      <c r="Y2879" s="18"/>
      <c r="Z2879" s="36"/>
      <c r="AA2879" s="45"/>
    </row>
    <row r="2880" spans="1:27">
      <c r="A2880" s="29"/>
      <c r="B2880" s="30"/>
      <c r="C2880" s="31" t="s">
        <v>38</v>
      </c>
      <c r="D2880" s="29"/>
      <c r="E2880" s="32">
        <f>((D2878/D2868)^(1/10))-1</f>
        <v>7.3867165506381838E-2</v>
      </c>
      <c r="F2880" s="33">
        <f>((F2878/F2868)^(1/10))-1</f>
        <v>0.20737051427378428</v>
      </c>
      <c r="G2880" s="34"/>
      <c r="H2880" s="33" t="e">
        <f>((H2878/H2868)^(1/10))-1</f>
        <v>#DIV/0!</v>
      </c>
      <c r="I2880" s="33">
        <f>((I2878/I2868)^(1/10))-1</f>
        <v>1.599210710767629E-3</v>
      </c>
      <c r="J2880" s="33"/>
      <c r="K2880" s="33"/>
      <c r="L2880" s="32">
        <f>((L2878/L2868)^(1/10))-1</f>
        <v>0.13644142580773733</v>
      </c>
      <c r="M2880" s="32"/>
      <c r="N2880" s="32"/>
      <c r="O2880" s="32"/>
      <c r="P2880" s="32">
        <f>((P2878/P2868)^(1/10))-1</f>
        <v>0.13698797887199565</v>
      </c>
      <c r="Q2880" s="40"/>
      <c r="R2880" s="41"/>
      <c r="S2880" s="46"/>
      <c r="U2880" s="40"/>
      <c r="V2880" s="41"/>
      <c r="W2880" s="46"/>
      <c r="Y2880" s="40"/>
      <c r="Z2880" s="41"/>
      <c r="AA2880" s="46"/>
    </row>
    <row r="2881" spans="1:27">
      <c r="B2881" s="24"/>
      <c r="C2881" s="25"/>
      <c r="E2881" s="26"/>
      <c r="F2881" s="27"/>
      <c r="G2881" s="28"/>
      <c r="H2881" s="27"/>
      <c r="I2881" s="27"/>
      <c r="J2881" s="27"/>
      <c r="K2881" s="27"/>
      <c r="L2881" s="26"/>
      <c r="M2881" s="17"/>
      <c r="N2881" s="17"/>
      <c r="O2881" s="17"/>
      <c r="P2881" s="35"/>
      <c r="Q2881" s="18"/>
      <c r="R2881" s="36"/>
    </row>
    <row r="2882" spans="1:27">
      <c r="A2882" s="9" t="s">
        <v>0</v>
      </c>
      <c r="B2882" s="10"/>
      <c r="C2882" s="9" t="s">
        <v>1</v>
      </c>
      <c r="D2882" s="9" t="s">
        <v>2</v>
      </c>
      <c r="E2882" s="9" t="s">
        <v>3</v>
      </c>
      <c r="F2882" s="11" t="s">
        <v>4</v>
      </c>
      <c r="G2882" s="11" t="s">
        <v>5</v>
      </c>
      <c r="H2882" s="9" t="s">
        <v>6</v>
      </c>
      <c r="I2882" s="11" t="s">
        <v>7</v>
      </c>
      <c r="J2882" s="11" t="s">
        <v>8</v>
      </c>
      <c r="K2882" s="11" t="s">
        <v>9</v>
      </c>
      <c r="L2882" s="11" t="s">
        <v>10</v>
      </c>
      <c r="M2882" s="11" t="s">
        <v>11</v>
      </c>
      <c r="N2882" s="11" t="s">
        <v>12</v>
      </c>
      <c r="O2882" s="11" t="s">
        <v>13</v>
      </c>
      <c r="P2882" s="11" t="s">
        <v>14</v>
      </c>
      <c r="Q2882" s="37" t="s">
        <v>15</v>
      </c>
      <c r="R2882" s="42">
        <f>_xll.ciqfunctions.udf.CIQ(A2883,("IQ_LASTSALEPRICE"))</f>
        <v>9.7850000000000001</v>
      </c>
      <c r="S2882" s="44"/>
      <c r="U2882" s="37" t="s">
        <v>15</v>
      </c>
      <c r="V2882" s="42">
        <f>_xll.ciqfunctions.udf.CIQ(A2883,("IQ_LASTSALEPRICE"))</f>
        <v>9.7850000000000001</v>
      </c>
      <c r="W2882" s="44"/>
      <c r="Y2882" s="37" t="s">
        <v>15</v>
      </c>
      <c r="Z2882" s="42">
        <f>_xll.ciqfunctions.udf.CIQ(A2883,("IQ_LASTSALEPRICE"))</f>
        <v>9.7850000000000001</v>
      </c>
      <c r="AA2882" s="44"/>
    </row>
    <row r="2883" spans="1:27">
      <c r="A2883" s="12" t="str">
        <f>Analysis!B194</f>
        <v>NasdaqGS:ADEA</v>
      </c>
      <c r="B2883" s="13">
        <v>1</v>
      </c>
      <c r="C2883" s="14" t="s">
        <v>16</v>
      </c>
      <c r="D2883" s="15">
        <f>IF(A2891=A2892,_xll.ciqfunctions.udf.CIQ(A2883,"IQ_TOTAL_REV",IQ_FY-10)/I2883,_xll.ciqfunctions.udf.CIQ(A2883, "IQ_TOTAL_REV",IQ_FY-9)/I2883)</f>
        <v>3.1784325022499877</v>
      </c>
      <c r="E2883" s="16"/>
      <c r="F2883" s="15">
        <f>IF(A2891=A2892,_xll.ciqfunctions.udf.CIQ(A2883,"IQ_DILUT_EPS_EXCL",IQ_FY-10), _xll.ciqfunctions.udf.CIQ(A2883, "IQ_DILUT_EPS_EXCL",IQ_FY-9))</f>
        <v>-0.77</v>
      </c>
      <c r="G2883" s="15">
        <f>IF(A2891=A2892,_xll.ciqfunctions.udf.CIQ(A2883,"IQ_EBITDA_MARGIN",IQ_FY-10), _xll.ciqfunctions.udf.CIQ(A2883, "IQ_EBITDA_MARGIN",IQ_FY-9))</f>
        <v>57.453600000000002</v>
      </c>
      <c r="H2883" s="15">
        <f>IF(A2891=A2892,_xll.ciqfunctions.udf.CIQ(A2883,"IQ_TOTAL_DIV_PAID_CF",IQ_FY-10)/-I2883, _xll.ciqfunctions.udf.CIQ(A2883, "IQ_TOTAL_DIV_PAID_CF",IQ_FY-9)/-I2883)</f>
        <v>0.40441148228064033</v>
      </c>
      <c r="I2883" s="17">
        <f>IF(A2891=A2892,_xll.ciqfunctions.udf.CIQ(A2883,"IQ_TOTAL_OUTSTANDING_FILING_DATE",IQ_FY-10), _xll.ciqfunctions.udf.CIQ(A2883, "IQ_TOTAL_OUTSTANDING_FILING_DATE",IQ_FY-9))</f>
        <v>53.111400000000003</v>
      </c>
      <c r="J2883" s="17">
        <f>IF(A2891=A2892,_xll.ciqfunctions.udf.CIQ(A2883,"IQ_CASH_OPER",IQ_FY-10), _xll.ciqfunctions.udf.CIQ(A2883, "IQ_CASH_OPER",IQ_FY-9))</f>
        <v>-48.076999999999998</v>
      </c>
      <c r="K2883" s="17">
        <f>IF(A2891=A2892,_xll.ciqfunctions.udf.CIQ(A2883,"IQ_CAPEX",IQ_FY-10), _xll.ciqfunctions.udf.CIQ(A2883, "IQ_CAPEX",IQ_FY-9))</f>
        <v>-20.111000000000001</v>
      </c>
      <c r="L2883" s="15">
        <f t="shared" ref="L2883:L2893" si="768">(J2883+K2883)/I2883</f>
        <v>-1.2838674936077754</v>
      </c>
      <c r="M2883" s="17">
        <f>IF(A2891=A2892,_xll.ciqfunctions.udf.CIQ(A2883,"IQ_TOTAL_DEBT_ISSUED",IQ_FY-10), _xll.ciqfunctions.udf.CIQ(A2883, "IQ_TOTAL_DEBT_ISSUED",IQ_FY-9))</f>
        <v>0</v>
      </c>
      <c r="N2883" s="17">
        <f>IF(A2891=A2892,_xll.ciqfunctions.udf.CIQ(A2883,"IQ_TOTAL_DEBT_REPAID",IQ_FY-10), _xll.ciqfunctions.udf.CIQ(A2883, "IQ_TOTAL_DEBT_REPAID",IQ_FY-9))</f>
        <v>0</v>
      </c>
      <c r="O2883" s="15">
        <f t="shared" ref="O2883:O2893" si="769">(M2883+N2883)/I2883</f>
        <v>0</v>
      </c>
      <c r="P2883" s="15">
        <f t="shared" ref="P2883:P2893" si="770">L2883+O2883</f>
        <v>-1.2838674936077754</v>
      </c>
      <c r="W2883" s="43"/>
      <c r="AA2883" s="43"/>
    </row>
    <row r="2884" spans="1:27">
      <c r="A2884" s="18" t="str">
        <f>_xll.ciqfunctions.udf.CIQ(A2883,"IQ_COMPANY_NAME")</f>
        <v>Adeia Inc.</v>
      </c>
      <c r="B2884" s="13">
        <v>2</v>
      </c>
      <c r="C2884" s="14" t="s">
        <v>17</v>
      </c>
      <c r="D2884" s="15">
        <f>IF(A2891=A2892,_xll.ciqfunctions.udf.CIQ(A2883,"IQ_TOTAL_REV",IQ_FY-9)/I2884, _xll.ciqfunctions.udf.CIQ(A2883, "IQ_TOTAL_REV",IQ_FY-8)/I2884)</f>
        <v>5.2694974068978038</v>
      </c>
      <c r="E2884" s="16">
        <f t="shared" ref="E2884:E2893" si="771">(D2884-D2883)/D2883</f>
        <v>0.65789187065245758</v>
      </c>
      <c r="F2884" s="15">
        <f>IF(A2891=A2892,_xll.ciqfunctions.udf.CIQ(A2883,"IQ_DILUT_EPS_EXCL",IQ_FY-9), _xll.ciqfunctions.udf.CIQ(A2883, "IQ_DILUT_EPS_EXCL",IQ_FY-8))</f>
        <v>3.27</v>
      </c>
      <c r="G2884" s="15">
        <f>IF(A2891=A2892,_xll.ciqfunctions.udf.CIQ(A2883,"IQ_EBITDA_MARGIN",IQ_FY-9), _xll.ciqfunctions.udf.CIQ(A2883, "IQ_EBITDA_MARGIN",IQ_FY-8))</f>
        <v>72.013900000000007</v>
      </c>
      <c r="H2884" s="15">
        <f>IF(A2891=A2892,_xll.ciqfunctions.udf.CIQ(A2883,"IQ_TOTAL_DIV_PAID_CF",IQ_FY-9)/-I2884, _xll.ciqfunctions.udf.CIQ(A2883, "IQ_TOTAL_DIV_PAID_CF",IQ_FY-8)/-I2884)</f>
        <v>0.39719105795545612</v>
      </c>
      <c r="I2884" s="17">
        <f>IF(A2891=A2892,_xll.ciqfunctions.udf.CIQ(A2883,"IQ_TOTAL_OUTSTANDING_FILING_DATE",IQ_FY-9), _xll.ciqfunctions.udf.CIQ(A2883, "IQ_TOTAL_OUTSTANDING_FILING_DATE",IQ_FY-8))</f>
        <v>52.909599999999998</v>
      </c>
      <c r="J2884" s="17">
        <f>IF(A2891=A2892,_xll.ciqfunctions.udf.CIQ(A2883,"IQ_CASH_OPER",IQ_FY-9), _xll.ciqfunctions.udf.CIQ(A2883, "IQ_CASH_OPER",IQ_FY-8))</f>
        <v>134.20400000000001</v>
      </c>
      <c r="K2884" s="17">
        <f>IF(A2891=A2892,_xll.ciqfunctions.udf.CIQ(A2883,"IQ_CAPEX",IQ_FY-9), _xll.ciqfunctions.udf.CIQ(A2883, "IQ_CAPEX",IQ_FY-8))</f>
        <v>-1.7689999999999999</v>
      </c>
      <c r="L2884" s="15">
        <f t="shared" si="768"/>
        <v>2.5030429260474469</v>
      </c>
      <c r="M2884" s="17">
        <f>IF(A2891=A2892,_xll.ciqfunctions.udf.CIQ(A2883,"IQ_TOTAL_DEBT_ISSUED",IQ_FY-9), _xll.ciqfunctions.udf.CIQ(A2883, "IQ_TOTAL_DEBT_ISSUED",IQ_FY-8))</f>
        <v>0</v>
      </c>
      <c r="N2884" s="17">
        <f>IF(A2891=A2892,_xll.ciqfunctions.udf.CIQ(A2883,"IQ_TOTAL_DEBT_REPAID",IQ_FY-9), _xll.ciqfunctions.udf.CIQ(A2883, "IQ_TOTAL_DEBT_REPAID",IQ_FY-8))</f>
        <v>0</v>
      </c>
      <c r="O2884" s="15">
        <f t="shared" si="769"/>
        <v>0</v>
      </c>
      <c r="P2884" s="15">
        <f t="shared" si="770"/>
        <v>2.5030429260474469</v>
      </c>
      <c r="Q2884" s="25" t="s">
        <v>18</v>
      </c>
      <c r="R2884" s="39" t="s">
        <v>19</v>
      </c>
      <c r="S2884" s="1">
        <f>R2882/((AVERAGE(P2888:P2893))*(1+E2894)^3)</f>
        <v>17.761143581733595</v>
      </c>
      <c r="U2884" s="25" t="s">
        <v>48</v>
      </c>
      <c r="V2884" s="39" t="s">
        <v>19</v>
      </c>
      <c r="W2884" s="1">
        <f>V2882/((AVERAGE(P2888:P2893))*(1+E2894)^3)</f>
        <v>17.761143581733595</v>
      </c>
      <c r="Y2884" s="25" t="s">
        <v>39</v>
      </c>
      <c r="Z2884" s="39" t="s">
        <v>19</v>
      </c>
      <c r="AA2884" s="1">
        <f>Z2882/((AVERAGE(P2888:P2893))*(1+E2894)^3)</f>
        <v>17.761143581733595</v>
      </c>
    </row>
    <row r="2885" spans="1:27">
      <c r="B2885" s="13">
        <v>3</v>
      </c>
      <c r="C2885" s="14" t="s">
        <v>20</v>
      </c>
      <c r="D2885" s="15" cm="1">
        <f t="array" ref="D2885">_xlfn.SINGLE(IF(A2891=A2892,_xll.ciqfunctions.udf.CIQ(A2883,"IQ_TOTAL_REV",IQ_FY-8)/I2885, _xll.ciqfunctions.udf.CIQ(A2883, "IQ_TOTAL_REV",IQ_FY-7)/I2885))</f>
        <v>5.4328185176217731</v>
      </c>
      <c r="E2885" s="16">
        <f t="shared" si="771"/>
        <v>3.0993678924707519E-2</v>
      </c>
      <c r="F2885" s="15">
        <f>IF(A2891=A2892,_xll.ciqfunctions.udf.CIQ(A2883,"IQ_DILUT_EPS_EXCL",IQ_FY-8), _xll.ciqfunctions.udf.CIQ(A2883, "IQ_DILUT_EPS_EXCL",IQ_FY-7))</f>
        <v>2.23</v>
      </c>
      <c r="G2885" s="15">
        <f>IF(A2891=A2892,_xll.ciqfunctions.udf.CIQ(A2883,"IQ_EBITDA_MARGIN",IQ_FY-8), _xll.ciqfunctions.udf.CIQ(A2883, "IQ_EBITDA_MARGIN",IQ_FY-7))</f>
        <v>72.6494</v>
      </c>
      <c r="H2885" s="15">
        <f>IF(A2891=A2892,_xll.ciqfunctions.udf.CIQ(A2883,"IQ_TOTAL_DIV_PAID_CF",IQ_FY-8)/-I2885, _xll.ciqfunctions.udf.CIQ(A2883, "IQ_TOTAL_DIV_PAID_CF",IQ_FY-7)/-I2885)</f>
        <v>0.82847997570041221</v>
      </c>
      <c r="I2885" s="17">
        <f>IF(A2891=A2892,_xll.ciqfunctions.udf.CIQ(A2883,"IQ_TOTAL_OUTSTANDING_FILING_DATE",IQ_FY-8), _xll.ciqfunctions.udf.CIQ(A2883, "IQ_TOTAL_OUTSTANDING_FILING_DATE",IQ_FY-7))</f>
        <v>50.30538</v>
      </c>
      <c r="J2885" s="17">
        <f>IF(A2891=A2892,_xll.ciqfunctions.udf.CIQ(A2883,"IQ_CASH_OPER",IQ_FY-8), _xll.ciqfunctions.udf.CIQ(A2883, "IQ_CASH_OPER",IQ_FY-7))</f>
        <v>147.27600000000001</v>
      </c>
      <c r="K2885" s="17">
        <f>IF(A2891=A2892,_xll.ciqfunctions.udf.CIQ(A2883,"IQ_CAPEX",IQ_FY-8), _xll.ciqfunctions.udf.CIQ(A2883, "IQ_CAPEX",IQ_FY-7))</f>
        <v>-1.002</v>
      </c>
      <c r="L2885" s="15">
        <f t="shared" si="768"/>
        <v>2.9077208044149554</v>
      </c>
      <c r="M2885" s="17">
        <f>IF(A2891=A2892,_xll.ciqfunctions.udf.CIQ(A2883,"IQ_TOTAL_DEBT_ISSUED",IQ_FY-8), _xll.ciqfunctions.udf.CIQ(A2883, "IQ_TOTAL_DEBT_ISSUED",IQ_FY-7))</f>
        <v>0</v>
      </c>
      <c r="N2885" s="17">
        <f>IF(A2891=A2892,_xll.ciqfunctions.udf.CIQ(A2883,"IQ_TOTAL_DEBT_REPAID",IQ_FY-8), _xll.ciqfunctions.udf.CIQ(A2883, "IQ_TOTAL_DEBT_REPAID",IQ_FY-7))</f>
        <v>0</v>
      </c>
      <c r="O2885" s="15">
        <f t="shared" si="769"/>
        <v>0</v>
      </c>
      <c r="P2885" s="15">
        <f t="shared" si="770"/>
        <v>2.9077208044149554</v>
      </c>
      <c r="Q2885" s="25" t="s">
        <v>21</v>
      </c>
      <c r="R2885" s="38" t="s">
        <v>49</v>
      </c>
      <c r="S2885" s="2">
        <f>(R2882*I2893)/1000</f>
        <v>1.0486857501500002</v>
      </c>
      <c r="U2885" s="25" t="s">
        <v>59</v>
      </c>
      <c r="V2885" s="38" t="s">
        <v>49</v>
      </c>
      <c r="W2885" s="2">
        <f>(V2882*I2893)/1000</f>
        <v>1.0486857501500002</v>
      </c>
      <c r="Y2885" s="25" t="s">
        <v>46</v>
      </c>
      <c r="Z2885" s="38" t="s">
        <v>49</v>
      </c>
      <c r="AA2885" s="2">
        <f>(Z2882*I2893)/1000</f>
        <v>1.0486857501500002</v>
      </c>
    </row>
    <row r="2886" spans="1:27">
      <c r="A2886" s="18"/>
      <c r="B2886" s="13">
        <v>4</v>
      </c>
      <c r="C2886" s="14" t="s">
        <v>22</v>
      </c>
      <c r="D2886" s="15" cm="1">
        <f t="array" ref="D2886">_xlfn.SINGLE(IF(A2891=A2892,_xll.ciqfunctions.udf.CIQ(A2883,"IQ_TOTAL_REV",IQ_FY-7)/I2886, _xll.ciqfunctions.udf.CIQ(A2883, "IQ_TOTAL_REV",IQ_FY-6)/I2886))</f>
        <v>5.2918450560652399</v>
      </c>
      <c r="E2886" s="16">
        <f t="shared" si="771"/>
        <v>-2.5948494524393691E-2</v>
      </c>
      <c r="F2886" s="15">
        <f>IF(A2891=A2892,_xll.ciqfunctions.udf.CIQ(A2883,"IQ_DILUT_EPS_EXCL",IQ_FY-7), _xll.ciqfunctions.udf.CIQ(A2883, "IQ_DILUT_EPS_EXCL",IQ_FY-6))</f>
        <v>1.1200000000000001</v>
      </c>
      <c r="G2886" s="15">
        <f>IF(A2891=A2892,_xll.ciqfunctions.udf.CIQ(A2883,"IQ_EBITDA_MARGIN",IQ_FY-7), _xll.ciqfunctions.udf.CIQ(A2883, "IQ_EBITDA_MARGIN",IQ_FY-6))</f>
        <v>55.658799999999999</v>
      </c>
      <c r="H2886" s="15">
        <f>IF(A2891=A2892,_xll.ciqfunctions.udf.CIQ(A2883,"IQ_TOTAL_DIV_PAID_CF",IQ_FY-7)/-I2886, _xll.ciqfunctions.udf.CIQ(A2883, "IQ_TOTAL_DIV_PAID_CF",IQ_FY-6)/-I2886)</f>
        <v>0.79832823649337414</v>
      </c>
      <c r="I2886" s="17">
        <f>IF(A2891=A2892,_xll.ciqfunctions.udf.CIQ(A2883,"IQ_TOTAL_OUTSTANDING_FILING_DATE",IQ_FY-7), _xll.ciqfunctions.udf.CIQ(A2883, "IQ_TOTAL_OUTSTANDING_FILING_DATE",IQ_FY-6))</f>
        <v>49.05</v>
      </c>
      <c r="J2886" s="17">
        <f>IF(A2891=A2892,_xll.ciqfunctions.udf.CIQ(A2883,"IQ_CASH_OPER",IQ_FY-7), _xll.ciqfunctions.udf.CIQ(A2883, "IQ_CASH_OPER",IQ_FY-6))</f>
        <v>153.86000000000001</v>
      </c>
      <c r="K2886" s="17">
        <f>IF(A2891=A2892,_xll.ciqfunctions.udf.CIQ(A2883,"IQ_CAPEX",IQ_FY-7), _xll.ciqfunctions.udf.CIQ(A2883, "IQ_CAPEX",IQ_FY-6))</f>
        <v>-3.794</v>
      </c>
      <c r="L2886" s="15">
        <f t="shared" si="768"/>
        <v>3.0594495412844038</v>
      </c>
      <c r="M2886" s="17">
        <f>IF(A2891=A2892,_xll.ciqfunctions.udf.CIQ(A2883,"IQ_TOTAL_DEBT_ISSUED",IQ_FY-7), _xll.ciqfunctions.udf.CIQ(A2883, "IQ_TOTAL_DEBT_ISSUED",IQ_FY-6))</f>
        <v>583.03899999999999</v>
      </c>
      <c r="N2886" s="17">
        <f>IF(A2891=A2892,_xll.ciqfunctions.udf.CIQ(A2883,"IQ_TOTAL_DEBT_REPAID",IQ_FY-7), _xll.ciqfunctions.udf.CIQ(A2883, "IQ_TOTAL_DEBT_REPAID",IQ_FY-6))</f>
        <v>0</v>
      </c>
      <c r="O2886" s="15">
        <f t="shared" si="769"/>
        <v>11.886625891946993</v>
      </c>
      <c r="P2886" s="15">
        <f t="shared" si="770"/>
        <v>14.946075433231396</v>
      </c>
      <c r="Q2886" s="25" t="s">
        <v>23</v>
      </c>
      <c r="R2886" s="38" t="s">
        <v>24</v>
      </c>
      <c r="S2886" s="1">
        <f>R2882/(AVERAGE(H2888:H2893)*(1+H2894)/(0.5-H2894))</f>
        <v>2.5984179634882874</v>
      </c>
      <c r="U2886" s="25" t="s">
        <v>40</v>
      </c>
      <c r="V2886" s="38" t="s">
        <v>24</v>
      </c>
      <c r="W2886" s="1">
        <f>V2882/(AVERAGE(H2888:H2893)*(1+H2894)/(0.5-H2894))</f>
        <v>2.5984179634882874</v>
      </c>
      <c r="Y2886" s="25" t="s">
        <v>47</v>
      </c>
      <c r="Z2886" s="38" t="s">
        <v>24</v>
      </c>
      <c r="AA2886" s="1">
        <f>Z2882/(AVERAGE(H2888:H2893)*(1+H2894)/(0.5-H2894))</f>
        <v>2.5984179634882874</v>
      </c>
    </row>
    <row r="2887" spans="1:27">
      <c r="B2887" s="13">
        <v>5</v>
      </c>
      <c r="C2887" s="14" t="s">
        <v>25</v>
      </c>
      <c r="D2887" s="15" cm="1">
        <f t="array" ref="D2887">_xlfn.SINGLE(IF(A2891=A2892,_xll.ciqfunctions.udf.CIQ(A2883,"IQ_TOTAL_REV",IQ_FY-6)/I2887, _xll.ciqfunctions.udf.CIQ(A2883, "IQ_TOTAL_REV",IQ_FY-5)/I2887))</f>
        <v>7.5818842361434013</v>
      </c>
      <c r="E2887" s="16">
        <f t="shared" si="771"/>
        <v>0.43274872106344775</v>
      </c>
      <c r="F2887" s="15">
        <f>IF(A2891=A2892,_xll.ciqfunctions.udf.CIQ(A2883,"IQ_DILUT_EPS_EXCL",IQ_FY-6), _xll.ciqfunctions.udf.CIQ(A2883, "IQ_DILUT_EPS_EXCL",IQ_FY-5))</f>
        <v>-1.1499999999999999</v>
      </c>
      <c r="G2887" s="15">
        <f>IF(A2891=A2892,_xll.ciqfunctions.udf.CIQ(A2883,"IQ_EBITDA_MARGIN",IQ_FY-6), _xll.ciqfunctions.udf.CIQ(A2883, "IQ_EBITDA_MARGIN",IQ_FY-5))</f>
        <v>33.212800000000001</v>
      </c>
      <c r="H2887" s="15">
        <f>IF(A2891=A2892,_xll.ciqfunctions.udf.CIQ(A2883,"IQ_TOTAL_DIV_PAID_CF",IQ_FY-6)/-I2887, _xll.ciqfunctions.udf.CIQ(A2883, "IQ_TOTAL_DIV_PAID_CF",IQ_FY-5)/-I2887)</f>
        <v>0.80151730193237303</v>
      </c>
      <c r="I2887" s="17">
        <f>IF(A2891=A2892,_xll.ciqfunctions.udf.CIQ(A2883,"IQ_TOTAL_OUTSTANDING_FILING_DATE",IQ_FY-6), _xll.ciqfunctions.udf.CIQ(A2883, "IQ_TOTAL_OUTSTANDING_FILING_DATE",IQ_FY-5))</f>
        <v>49.292760000000001</v>
      </c>
      <c r="J2887" s="17">
        <f>IF(A2891=A2892,_xll.ciqfunctions.udf.CIQ(A2883,"IQ_CASH_OPER",IQ_FY-6), _xll.ciqfunctions.udf.CIQ(A2883, "IQ_CASH_OPER",IQ_FY-5))</f>
        <v>147.26499999999999</v>
      </c>
      <c r="K2887" s="17">
        <f>IF(A2891=A2892,_xll.ciqfunctions.udf.CIQ(A2883,"IQ_CAPEX",IQ_FY-6), _xll.ciqfunctions.udf.CIQ(A2883, "IQ_CAPEX",IQ_FY-5))</f>
        <v>-3.323</v>
      </c>
      <c r="L2887" s="15">
        <f t="shared" si="768"/>
        <v>2.9201448650876918</v>
      </c>
      <c r="M2887" s="17">
        <f>IF(A2891=A2892,_xll.ciqfunctions.udf.CIQ(A2883,"IQ_TOTAL_DEBT_ISSUED",IQ_FY-6), _xll.ciqfunctions.udf.CIQ(A2883, "IQ_TOTAL_DEBT_ISSUED",IQ_FY-5))</f>
        <v>0</v>
      </c>
      <c r="N2887" s="17">
        <f>IF(A2891=A2892,_xll.ciqfunctions.udf.CIQ(A2883,"IQ_TOTAL_DEBT_REPAID",IQ_FY-6), _xll.ciqfunctions.udf.CIQ(A2883, "IQ_TOTAL_DEBT_REPAID",IQ_FY-5))</f>
        <v>-6</v>
      </c>
      <c r="O2887" s="15">
        <f t="shared" si="769"/>
        <v>-0.1217217295197104</v>
      </c>
      <c r="P2887" s="15">
        <f t="shared" si="770"/>
        <v>2.7984231355679814</v>
      </c>
      <c r="Q2887" s="18"/>
      <c r="R2887" s="38" t="s">
        <v>50</v>
      </c>
      <c r="S2887" s="3">
        <f>I2894</f>
        <v>0.17110510757359121</v>
      </c>
      <c r="U2887" s="18"/>
      <c r="V2887" s="38" t="s">
        <v>50</v>
      </c>
      <c r="W2887" s="3">
        <f>I2894</f>
        <v>0.17110510757359121</v>
      </c>
      <c r="Y2887" s="18"/>
      <c r="Z2887" s="38" t="s">
        <v>50</v>
      </c>
      <c r="AA2887" s="3">
        <f>I2894</f>
        <v>0.17110510757359121</v>
      </c>
    </row>
    <row r="2888" spans="1:27">
      <c r="B2888" s="13">
        <v>6</v>
      </c>
      <c r="C2888" s="14" t="s">
        <v>26</v>
      </c>
      <c r="D2888" s="15" cm="1">
        <f t="array" ref="D2888">_xlfn.SINGLE(IF(A2891=A2892,_xll.ciqfunctions.udf.CIQ(A2883,"IQ_TOTAL_REV",IQ_FY-5)/I2888, _xll.ciqfunctions.udf.CIQ(A2883, "IQ_TOTAL_REV",IQ_FY-4)/I2888))</f>
        <v>8.3476285905143612</v>
      </c>
      <c r="E2888" s="16">
        <f t="shared" si="771"/>
        <v>0.10099657690902218</v>
      </c>
      <c r="F2888" s="15">
        <f>IF(A2891=A2892,_xll.ciqfunctions.udf.CIQ(A2883,"IQ_DILUT_EPS_EXCL",IQ_FY-5), _xll.ciqfunctions.udf.CIQ(A2883, "IQ_DILUT_EPS_EXCL",IQ_FY-4))</f>
        <v>-0.01</v>
      </c>
      <c r="G2888" s="15">
        <f>IF(A2891=A2892,_xll.ciqfunctions.udf.CIQ(A2883,"IQ_EBITDA_MARGIN",IQ_FY-5), _xll.ciqfunctions.udf.CIQ(A2883, "IQ_EBITDA_MARGIN",IQ_FY-4))</f>
        <v>40.677500000000002</v>
      </c>
      <c r="H2888" s="15">
        <f>IF(A2891=A2892,_xll.ciqfunctions.udf.CIQ(A2883,"IQ_TOTAL_DIV_PAID_CF",IQ_FY-5)/-I2888, _xll.ciqfunctions.udf.CIQ(A2883, "IQ_TOTAL_DIV_PAID_CF",IQ_FY-4)/-I2888)</f>
        <v>0.80544679101793315</v>
      </c>
      <c r="I2888" s="17">
        <f>IF(A2891=A2892,_xll.ciqfunctions.udf.CIQ(A2883,"IQ_TOTAL_OUTSTANDING_FILING_DATE",IQ_FY-5), _xll.ciqfunctions.udf.CIQ(A2883, "IQ_TOTAL_OUTSTANDING_FILING_DATE",IQ_FY-4))</f>
        <v>48.652500000000003</v>
      </c>
      <c r="J2888" s="17">
        <f>IF(A2891=A2892,_xll.ciqfunctions.udf.CIQ(A2883,"IQ_CASH_OPER",IQ_FY-5), _xll.ciqfunctions.udf.CIQ(A2883, "IQ_CASH_OPER",IQ_FY-4))</f>
        <v>135.13300000000001</v>
      </c>
      <c r="K2888" s="17">
        <f>IF(A2891=A2892,_xll.ciqfunctions.udf.CIQ(A2883,"IQ_CAPEX",IQ_FY-5), _xll.ciqfunctions.udf.CIQ(A2883, "IQ_CAPEX",IQ_FY-4))</f>
        <v>-3.3380000000000001</v>
      </c>
      <c r="L2888" s="15">
        <f t="shared" si="768"/>
        <v>2.7089049894661117</v>
      </c>
      <c r="M2888" s="17">
        <f>IF(A2891=A2892,_xll.ciqfunctions.udf.CIQ(A2883,"IQ_TOTAL_DEBT_ISSUED",IQ_FY-5), _xll.ciqfunctions.udf.CIQ(A2883, "IQ_TOTAL_DEBT_ISSUED",IQ_FY-4))</f>
        <v>0</v>
      </c>
      <c r="N2888" s="17">
        <f>IF(A2891=A2892,_xll.ciqfunctions.udf.CIQ(A2883,"IQ_TOTAL_DEBT_REPAID",IQ_FY-5), _xll.ciqfunctions.udf.CIQ(A2883, "IQ_TOTAL_DEBT_REPAID",IQ_FY-4))</f>
        <v>-100</v>
      </c>
      <c r="O2888" s="15">
        <f t="shared" si="769"/>
        <v>-2.0553928369559631</v>
      </c>
      <c r="P2888" s="15">
        <f t="shared" si="770"/>
        <v>0.6535121525101486</v>
      </c>
      <c r="Q2888" s="25" t="s">
        <v>27</v>
      </c>
      <c r="R2888" s="38" t="s">
        <v>51</v>
      </c>
      <c r="S2888" s="4">
        <f>AVERAGE(F2888:F2893)/AVERAGE(D2888:D2893)</f>
        <v>0.15410052922425072</v>
      </c>
      <c r="U2888" s="25" t="s">
        <v>58</v>
      </c>
      <c r="V2888" s="38" t="s">
        <v>51</v>
      </c>
      <c r="W2888" s="4">
        <f>AVERAGE(F2888:F2893)/AVERAGE(D2888:D2893)</f>
        <v>0.15410052922425072</v>
      </c>
      <c r="Y2888" s="25" t="s">
        <v>56</v>
      </c>
      <c r="Z2888" s="38" t="s">
        <v>51</v>
      </c>
      <c r="AA2888" s="4">
        <f>AVERAGE(F2888:F2893)/AVERAGE(D2888:D2893)</f>
        <v>0.15410052922425072</v>
      </c>
    </row>
    <row r="2889" spans="1:27">
      <c r="A2889" s="18"/>
      <c r="B2889" s="13">
        <v>7</v>
      </c>
      <c r="C2889" s="14" t="s">
        <v>28</v>
      </c>
      <c r="D2889" s="15" cm="1">
        <f t="array" ref="D2889">_xlfn.SINGLE(IF(A2891=A2892,_xll.ciqfunctions.udf.CIQ(A2883,"IQ_TOTAL_REV",IQ_FY-4)/I2889, _xll.ciqfunctions.udf.CIQ(A2883, "IQ_TOTAL_REV",IQ_FY-3)/I2889))</f>
        <v>5.6168593824737751</v>
      </c>
      <c r="E2889" s="16">
        <f t="shared" si="771"/>
        <v>-0.32713113412156763</v>
      </c>
      <c r="F2889" s="15">
        <f>IF(A2891=A2892,_xll.ciqfunctions.udf.CIQ(A2883,"IQ_DILUT_EPS_EXCL",IQ_FY-4), _xll.ciqfunctions.udf.CIQ(A2883, "IQ_DILUT_EPS_EXCL",IQ_FY-3))</f>
        <v>-1.2729999999999999</v>
      </c>
      <c r="G2889" s="15">
        <f>IF(A2891=A2892,_xll.ciqfunctions.udf.CIQ(A2883,"IQ_EBITDA_MARGIN",IQ_FY-4), _xll.ciqfunctions.udf.CIQ(A2883, "IQ_EBITDA_MARGIN",IQ_FY-3))</f>
        <v>15.3841</v>
      </c>
      <c r="H2889" s="15">
        <f>IF(A2891=A2892,_xll.ciqfunctions.udf.CIQ(A2883,"IQ_TOTAL_DIV_PAID_CF",IQ_FY-4)/-I2889, _xll.ciqfunctions.udf.CIQ(A2883, "IQ_TOTAL_DIV_PAID_CF",IQ_FY-3)/-I2889)</f>
        <v>0.7922289285295272</v>
      </c>
      <c r="I2889" s="17">
        <f>IF(A2891=A2892,_xll.ciqfunctions.udf.CIQ(A2883,"IQ_TOTAL_OUTSTANDING_FILING_DATE",IQ_FY-4), _xll.ciqfunctions.udf.CIQ(A2883, "IQ_TOTAL_OUTSTANDING_FILING_DATE",IQ_FY-3))</f>
        <v>49.861849999999997</v>
      </c>
      <c r="J2889" s="17">
        <f>IF(A2891=A2892,_xll.ciqfunctions.udf.CIQ(A2883,"IQ_CASH_OPER",IQ_FY-4), _xll.ciqfunctions.udf.CIQ(A2883, "IQ_CASH_OPER",IQ_FY-3))</f>
        <v>169.25299999999999</v>
      </c>
      <c r="K2889" s="17">
        <f>IF(A2891=A2892,_xll.ciqfunctions.udf.CIQ(A2883,"IQ_CAPEX",IQ_FY-4), _xll.ciqfunctions.udf.CIQ(A2883, "IQ_CAPEX",IQ_FY-3))</f>
        <v>-8.8130000000000006</v>
      </c>
      <c r="L2889" s="15">
        <f t="shared" si="768"/>
        <v>3.217690478792905</v>
      </c>
      <c r="M2889" s="17">
        <f>IF(A2891=A2892,_xll.ciqfunctions.udf.CIQ(A2883,"IQ_TOTAL_DEBT_ISSUED",IQ_FY-4), _xll.ciqfunctions.udf.CIQ(A2883, "IQ_TOTAL_DEBT_ISSUED",IQ_FY-3))</f>
        <v>0</v>
      </c>
      <c r="N2889" s="17">
        <f>IF(A2891=A2892,_xll.ciqfunctions.udf.CIQ(A2883,"IQ_TOTAL_DEBT_REPAID",IQ_FY-4), _xll.ciqfunctions.udf.CIQ(A2883, "IQ_TOTAL_DEBT_REPAID",IQ_FY-3))</f>
        <v>-150</v>
      </c>
      <c r="O2889" s="15">
        <f t="shared" si="769"/>
        <v>-3.008311965961953</v>
      </c>
      <c r="P2889" s="15">
        <f t="shared" si="770"/>
        <v>0.20937851283095199</v>
      </c>
      <c r="Q2889" s="18"/>
      <c r="R2889" s="38" t="s">
        <v>29</v>
      </c>
      <c r="S2889" s="4">
        <f>(AVERAGE(P2888:P2893)/_xlfn.STDEV.P(P2888:P2893))/(IF(A2891=A2892,(_xlfn.SINGLE(_xll.ciqfunctions.udf.CIQ(A2883,"IQ_total_assets",IQ_FY)) - _xlfn.SINGLE(_xll.ciqfunctions.udf.CIQ(A2883,"iq_gw_intan", IQ_FY)))/I2893, (_xlfn.SINGLE(_xll.ciqfunctions.udf.CIQ(A2883, "IQ_total_assets",IQ_LTM))-_xlfn.SINGLE(_xll.ciqfunctions.udf.CIQ(A2883,"iq_gw_intan",IQ_LTM)))/I2893))</f>
        <v>0.3810519644352629</v>
      </c>
      <c r="U2889" s="18"/>
      <c r="V2889" s="38" t="s">
        <v>29</v>
      </c>
      <c r="W2889" s="4">
        <f>(AVERAGE(P2888:P2893)/_xlfn.STDEV.P(P2888:P2893))/(IF(A2891=A2892,(_xlfn.SINGLE(_xll.ciqfunctions.udf.CIQ(A2883,"IQ_total_assets",IQ_FY)) - _xlfn.SINGLE(_xll.ciqfunctions.udf.CIQ(A2883,"iq_gw_intan", IQ_FY)))/I2893, (_xlfn.SINGLE(_xll.ciqfunctions.udf.CIQ(A2883, "IQ_total_assets",IQ_LTM))-_xlfn.SINGLE(_xll.ciqfunctions.udf.CIQ(A2883,"iq_gw_intan",IQ_LTM)))/I2893))</f>
        <v>0.3810519644352629</v>
      </c>
      <c r="Y2889" s="18"/>
      <c r="Z2889" s="38" t="s">
        <v>29</v>
      </c>
      <c r="AA2889" s="4">
        <f>(AVERAGE(P2888:P2893)/_xlfn.STDEV.P(P2888:P2893))/(IF(A2891=A2892,(_xlfn.SINGLE(_xll.ciqfunctions.udf.CIQ(A2883,"IQ_total_assets",IQ_FY)) - _xlfn.SINGLE(_xll.ciqfunctions.udf.CIQ(A2883,"iq_gw_intan", IQ_FY)))/I2893, (_xlfn.SINGLE(_xll.ciqfunctions.udf.CIQ(A2883, "IQ_total_assets",IQ_LTM))-_xlfn.SINGLE(_xll.ciqfunctions.udf.CIQ(A2883,"iq_gw_intan",IQ_LTM)))/I2893))</f>
        <v>0.3810519644352629</v>
      </c>
    </row>
    <row r="2890" spans="1:27">
      <c r="A2890" s="18"/>
      <c r="B2890" s="13">
        <v>8</v>
      </c>
      <c r="C2890" s="14" t="s">
        <v>30</v>
      </c>
      <c r="D2890" s="15" cm="1">
        <f t="array" ref="D2890">_xlfn.SINGLE(IF(A2891=A2892,_xll.ciqfunctions.udf.CIQ(A2883,"IQ_TOTAL_REV",IQ_FY-3)/I2890, _xll.ciqfunctions.udf.CIQ(A2883, "IQ_TOTAL_REV",IQ_FY-2)/I2890))</f>
        <v>4.9232797282762677</v>
      </c>
      <c r="E2890" s="16">
        <f t="shared" si="771"/>
        <v>-0.12348175501093663</v>
      </c>
      <c r="F2890" s="15">
        <f>IF(A2891=A2892,_xll.ciqfunctions.udf.CIQ(A2883,"IQ_DILUT_EPS_EXCL",IQ_FY-3), _xll.ciqfunctions.udf.CIQ(A2883, "IQ_DILUT_EPS_EXCL",IQ_FY-2))</f>
        <v>2.8949400000000001</v>
      </c>
      <c r="G2890" s="15">
        <f>IF(A2891=A2892,_xll.ciqfunctions.udf.CIQ(A2883,"IQ_EBITDA_MARGIN",IQ_FY-3), _xll.ciqfunctions.udf.CIQ(A2883, "IQ_EBITDA_MARGIN",IQ_FY-2))</f>
        <v>91.965199999999996</v>
      </c>
      <c r="H2890" s="15">
        <f>IF(A2891=A2892,_xll.ciqfunctions.udf.CIQ(A2883,"IQ_TOTAL_DIV_PAID_CF",IQ_FY-3)/-I2890, _xll.ciqfunctions.udf.CIQ(A2883, "IQ_TOTAL_DIV_PAID_CF",IQ_FY-2)/-I2890)</f>
        <v>0.29419306275409329</v>
      </c>
      <c r="I2890" s="17">
        <f>IF(A2891=A2892,_xll.ciqfunctions.udf.CIQ(A2883,"IQ_TOTAL_OUTSTANDING_FILING_DATE",IQ_FY-3), _xll.ciqfunctions.udf.CIQ(A2883, "IQ_TOTAL_OUTSTANDING_FILING_DATE",IQ_FY-2))</f>
        <v>104.79173</v>
      </c>
      <c r="J2890" s="17">
        <f>IF(A2891=A2892,_xll.ciqfunctions.udf.CIQ(A2883,"IQ_CASH_OPER",IQ_FY-3), _xll.ciqfunctions.udf.CIQ(A2883, "IQ_CASH_OPER",IQ_FY-2))</f>
        <v>427.60300000000001</v>
      </c>
      <c r="K2890" s="17">
        <f>IF(A2891=A2892,_xll.ciqfunctions.udf.CIQ(A2883,"IQ_CAPEX",IQ_FY-3), _xll.ciqfunctions.udf.CIQ(A2883, "IQ_CAPEX",IQ_FY-2))</f>
        <v>-7.3789999999999996</v>
      </c>
      <c r="L2890" s="15">
        <f t="shared" si="768"/>
        <v>4.0100874372433779</v>
      </c>
      <c r="M2890" s="17">
        <f>IF(A2891=A2892,_xll.ciqfunctions.udf.CIQ(A2883,"IQ_TOTAL_DEBT_ISSUED",IQ_FY-3), _xll.ciqfunctions.udf.CIQ(A2883, "IQ_TOTAL_DEBT_ISSUED",IQ_FY-2))</f>
        <v>1010.2859999999999</v>
      </c>
      <c r="N2890" s="17">
        <f>IF(A2891=A2892,_xll.ciqfunctions.udf.CIQ(A2883,"IQ_TOTAL_DEBT_REPAID",IQ_FY-3), _xll.ciqfunctions.udf.CIQ(A2883, "IQ_TOTAL_DEBT_REPAID",IQ_FY-2))</f>
        <v>-1254.8589999999999</v>
      </c>
      <c r="O2890" s="15">
        <f t="shared" si="769"/>
        <v>-2.3338960049614599</v>
      </c>
      <c r="P2890" s="15">
        <f t="shared" si="770"/>
        <v>1.676191432281918</v>
      </c>
      <c r="Q2890" s="18"/>
      <c r="R2890" s="39" t="s">
        <v>31</v>
      </c>
      <c r="S2890" s="5">
        <f>IF(NOT(D2883&gt;0),FALSE,SLOPE(G2883:G2893,B2883:B2893))</f>
        <v>1.2660327272727268</v>
      </c>
      <c r="U2890" s="18"/>
      <c r="V2890" s="39" t="s">
        <v>31</v>
      </c>
      <c r="W2890" s="5">
        <f>IF(NOT(D2883&gt;0),FALSE,SLOPE(G2883:G2893,B2883:B2893))</f>
        <v>1.2660327272727268</v>
      </c>
      <c r="Y2890" s="18"/>
      <c r="Z2890" s="39" t="s">
        <v>31</v>
      </c>
      <c r="AA2890" s="5" t="b">
        <f>IF(NOT(L2883&gt;0),FALSE,SLOPE(O2883:O2893,J2883:J2893))</f>
        <v>0</v>
      </c>
    </row>
    <row r="2891" spans="1:27">
      <c r="A2891" s="19">
        <f>_xll.ciqfunctions.udf.CIQ(A2883,"IQ_TOTAL_REV",IQ_FY)</f>
        <v>438.93299999999999</v>
      </c>
      <c r="B2891" s="13">
        <v>9</v>
      </c>
      <c r="C2891" s="14" t="s">
        <v>32</v>
      </c>
      <c r="D2891" s="15" cm="1">
        <f t="array" ref="D2891">_xlfn.SINGLE(IF(A2891=A2892,_xll.ciqfunctions.udf.CIQ(A2883,"IQ_TOTAL_REV",IQ_FY-2)/I2891, _xll.ciqfunctions.udf.CIQ(A2883, "IQ_TOTAL_REV",IQ_FY-1)/I2891))</f>
        <v>3.7880191881687288</v>
      </c>
      <c r="E2891" s="16">
        <f t="shared" si="771"/>
        <v>-0.23059029808672171</v>
      </c>
      <c r="F2891" s="15">
        <f>IF(A2891=A2892,_xll.ciqfunctions.udf.CIQ(A2883,"IQ_DILUT_EPS_EXCL",IQ_FY-2), _xll.ciqfunctions.udf.CIQ(A2883, "IQ_DILUT_EPS_EXCL",IQ_FY-1))</f>
        <v>0.66300999999999999</v>
      </c>
      <c r="G2891" s="15">
        <f>IF(A2891=A2892,_xll.ciqfunctions.udf.CIQ(A2883,"IQ_EBITDA_MARGIN",IQ_FY-2), _xll.ciqfunctions.udf.CIQ(A2883, "IQ_EBITDA_MARGIN",IQ_FY-1))</f>
        <v>91.485399999999998</v>
      </c>
      <c r="H2891" s="15">
        <f>IF(A2891=A2892,_xll.ciqfunctions.udf.CIQ(A2883,"IQ_TOTAL_DIV_PAID_CF",IQ_FY-2)/-I2891, _xll.ciqfunctions.udf.CIQ(A2883, "IQ_TOTAL_DIV_PAID_CF",IQ_FY-1)/-I2891)</f>
        <v>0.20313501259826325</v>
      </c>
      <c r="I2891" s="17">
        <f>IF(A2891=A2892,_xll.ciqfunctions.udf.CIQ(A2883,"IQ_TOTAL_OUTSTANDING_FILING_DATE",IQ_FY-2), _xll.ciqfunctions.udf.CIQ(A2883, "IQ_TOTAL_OUTSTANDING_FILING_DATE",IQ_FY-1))</f>
        <v>103.27614</v>
      </c>
      <c r="J2891" s="17">
        <f>IF(A2891=A2892,_xll.ciqfunctions.udf.CIQ(A2883,"IQ_CASH_OPER",IQ_FY-2), _xll.ciqfunctions.udf.CIQ(A2883, "IQ_CASH_OPER",IQ_FY-1))</f>
        <v>234.78899999999999</v>
      </c>
      <c r="K2891" s="17">
        <f>IF(A2891=A2892,_xll.ciqfunctions.udf.CIQ(A2883,"IQ_CAPEX",IQ_FY-2), _xll.ciqfunctions.udf.CIQ(A2883, "IQ_CAPEX",IQ_FY-1))</f>
        <v>-13.95</v>
      </c>
      <c r="L2891" s="15">
        <f t="shared" si="768"/>
        <v>2.1383351469177683</v>
      </c>
      <c r="M2891" s="17">
        <f>IF(A2891=A2892,_xll.ciqfunctions.udf.CIQ(A2883,"IQ_TOTAL_DEBT_ISSUED",IQ_FY-2), _xll.ciqfunctions.udf.CIQ(A2883, "IQ_TOTAL_DEBT_ISSUED",IQ_FY-1))</f>
        <v>0</v>
      </c>
      <c r="N2891" s="17">
        <f>IF(A2891=A2892,_xll.ciqfunctions.udf.CIQ(A2883,"IQ_TOTAL_DEBT_REPAID",IQ_FY-2), _xll.ciqfunctions.udf.CIQ(A2883, "IQ_TOTAL_DEBT_REPAID",IQ_FY-1))</f>
        <v>-84.048000000000002</v>
      </c>
      <c r="O2891" s="15">
        <f t="shared" si="769"/>
        <v>-0.81381817717044813</v>
      </c>
      <c r="P2891" s="15">
        <f t="shared" si="770"/>
        <v>1.3245169697473202</v>
      </c>
      <c r="Q2891" s="25" t="s">
        <v>33</v>
      </c>
      <c r="R2891" s="38" t="s">
        <v>52</v>
      </c>
      <c r="S2891" s="4">
        <f>(AVERAGE(O2888:O2893)/AVERAGE(P2888:P2893))</f>
        <v>-1.8433269039277311</v>
      </c>
      <c r="U2891" s="25" t="s">
        <v>54</v>
      </c>
      <c r="V2891" s="38" t="s">
        <v>52</v>
      </c>
      <c r="W2891" s="4">
        <f>(AVERAGE(O2888:O2893)/AVERAGE(P2888:P2893))</f>
        <v>-1.8433269039277311</v>
      </c>
      <c r="Y2891" s="25" t="s">
        <v>60</v>
      </c>
      <c r="Z2891" s="38" t="s">
        <v>52</v>
      </c>
      <c r="AA2891" s="4">
        <f>(AVERAGE(O2888:O2893)/AVERAGE(P2888:P2893))</f>
        <v>-1.8433269039277311</v>
      </c>
    </row>
    <row r="2892" spans="1:27">
      <c r="A2892" s="19">
        <f>_xll.ciqfunctions.udf.CIQ(A2883,"IQ_TOTAL_REV",IQ_LTM)</f>
        <v>405.21</v>
      </c>
      <c r="B2892" s="13">
        <v>10</v>
      </c>
      <c r="C2892" s="14" t="s">
        <v>34</v>
      </c>
      <c r="D2892" s="15" cm="1">
        <f t="array" ref="D2892">_xlfn.SINGLE(IF(A2891=A2892,_xll.ciqfunctions.udf.CIQ(A2883,"IQ_TOTAL_REV",IQ_FY-1)/I2892, _xll.ciqfunctions.udf.CIQ(A2883, "IQ_TOTAL_REV",IQ_FY)/I2892))</f>
        <v>4.1711730606382531</v>
      </c>
      <c r="E2892" s="16">
        <f t="shared" si="771"/>
        <v>0.10114887318053827</v>
      </c>
      <c r="F2892" s="15">
        <f>IF(A2891=A2892,_xll.ciqfunctions.udf.CIQ(A2883,"IQ_DILUT_EPS_EXCL",IQ_FY-1), _xll.ciqfunctions.udf.CIQ(A2883, "IQ_DILUT_EPS_EXCL",IQ_FY))</f>
        <v>1.31189</v>
      </c>
      <c r="G2892" s="15">
        <f>IF(A2891=A2892,_xll.ciqfunctions.udf.CIQ(A2883,"IQ_EBITDA_MARGIN",IQ_FY-1), _xll.ciqfunctions.udf.CIQ(A2883, "IQ_EBITDA_MARGIN",IQ_FY))</f>
        <v>73.367400000000004</v>
      </c>
      <c r="H2892" s="15">
        <f>IF(A2891=A2892,_xll.ciqfunctions.udf.CIQ(A2883,"IQ_TOTAL_DIV_PAID_CF",IQ_FY-1)/-I2892, _xll.ciqfunctions.udf.CIQ(A2883, "IQ_TOTAL_DIV_PAID_CF",IQ_FY)/-I2892)</f>
        <v>1.9368600869085855</v>
      </c>
      <c r="I2892" s="17">
        <f>IF(A2891=A2892,_xll.ciqfunctions.udf.CIQ(A2883,"IQ_TOTAL_OUTSTANDING_FILING_DATE",IQ_FY-1), _xll.ciqfunctions.udf.CIQ(A2883, "IQ_TOTAL_OUTSTANDING_FILING_DATE",IQ_FY))</f>
        <v>105.23011</v>
      </c>
      <c r="J2892" s="17">
        <f>IF(A2891=A2892,_xll.ciqfunctions.udf.CIQ(A2883,"IQ_CASH_OPER",IQ_FY-1), _xll.ciqfunctions.udf.CIQ(A2883, "IQ_CASH_OPER",IQ_FY))</f>
        <v>183.023</v>
      </c>
      <c r="K2892" s="17">
        <f>IF(A2891=A2892,_xll.ciqfunctions.udf.CIQ(A2883,"IQ_CAPEX",IQ_FY-1), _xll.ciqfunctions.udf.CIQ(A2883, "IQ_CAPEX",IQ_FY))</f>
        <v>-12.576000000000001</v>
      </c>
      <c r="L2892" s="15">
        <f t="shared" si="768"/>
        <v>1.6197550301905035</v>
      </c>
      <c r="M2892" s="17">
        <f>IF(A2891=A2892,_xll.ciqfunctions.udf.CIQ(A2883,"IQ_TOTAL_DEBT_ISSUED",IQ_FY-1), _xll.ciqfunctions.udf.CIQ(A2883, "IQ_TOTAL_DEBT_ISSUED",IQ_FY))</f>
        <v>0</v>
      </c>
      <c r="N2892" s="17">
        <f>IF(A2891=A2892,_xll.ciqfunctions.udf.CIQ(A2883,"IQ_TOTAL_DEBT_REPAID",IQ_FY-1), _xll.ciqfunctions.udf.CIQ(A2883, "IQ_TOTAL_DEBT_REPAID",IQ_FY))</f>
        <v>-40.5</v>
      </c>
      <c r="O2892" s="15">
        <f t="shared" si="769"/>
        <v>-0.38487083212209888</v>
      </c>
      <c r="P2892" s="15">
        <f t="shared" si="770"/>
        <v>1.2348841980684047</v>
      </c>
      <c r="Q2892" s="25" t="s">
        <v>44</v>
      </c>
      <c r="R2892" s="38" t="s">
        <v>35</v>
      </c>
      <c r="S2892" s="1">
        <f>_xll.ciqfunctions.udf.CIQ(A2883,"IQ_TEV_EBITDA")</f>
        <v>6.2254899999999997</v>
      </c>
      <c r="U2892" s="25" t="s">
        <v>55</v>
      </c>
      <c r="V2892" s="38" t="s">
        <v>53</v>
      </c>
      <c r="W2892" s="1">
        <f>V2882/(AVERAGE(D2888:D2893)/_xlfn.STDEV.P(E2888:E2893))</f>
        <v>0.30305611111864272</v>
      </c>
      <c r="Y2892" s="25" t="s">
        <v>57</v>
      </c>
      <c r="Z2892" s="38" t="s">
        <v>53</v>
      </c>
      <c r="AA2892" s="1">
        <f>Z2882/(AVERAGE(D2888:D2893)/_xlfn.STDEV.P(E2888:E2893))</f>
        <v>0.30305611111864272</v>
      </c>
    </row>
    <row r="2893" spans="1:27">
      <c r="B2893" s="13">
        <v>11</v>
      </c>
      <c r="C2893" s="20" t="s">
        <v>36</v>
      </c>
      <c r="D2893" s="21" cm="1">
        <f t="array" ref="D2893">_xlfn.SINGLE(IF(A2891=A2892,_xll.ciqfunctions.udf.CIQ(A2883,"IQ_TOTAL_REV",IQ_FY)/I2893, _xll.ciqfunctions.udf.CIQ(A2883, "IQ_TOTAL_REV",IQ_LTM)/I2893))</f>
        <v>3.7809037163257573</v>
      </c>
      <c r="E2893" s="22">
        <f t="shared" si="771"/>
        <v>-9.3563450530335629E-2</v>
      </c>
      <c r="F2893" s="21">
        <f>IF(A2891=A2892,_xll.ciqfunctions.udf.CIQ(A2883,"IQ_DILUT_EPS_EXCL",IQ_FY), _xll.ciqfunctions.udf.CIQ(A2883, "IQ_DILUT_EPS_EXCL",IQ_LTM))</f>
        <v>1.13293</v>
      </c>
      <c r="G2893" s="21">
        <f>IF(A2891=A2892,_xll.ciqfunctions.udf.CIQ(A2883,"IQ_EBITDA_MARGIN",IQ_FY), _xll.ciqfunctions.udf.CIQ(A2883, "IQ_EBITDA_MARGIN",IQ_LTM))</f>
        <v>61.9651</v>
      </c>
      <c r="H2893" s="21">
        <f>IF(A2891=A2892,_xll.ciqfunctions.udf.CIQ(A2883,"IQ_TOTAL_DIV_PAID_CF",IQ_FY)/-I2893, _xll.ciqfunctions.udf.CIQ(A2883, "IQ_TOTAL_DIV_PAID_CF",IQ_LTM)/-I2893)</f>
        <v>1.9049984608966508</v>
      </c>
      <c r="I2893" s="23">
        <f>IF(A2891=A2892,_xll.ciqfunctions.udf.CIQ(A2883,"IQ_TOTAL_OUTSTANDING_FILING_DATE",IQ_FY),_xll.ciqfunctions.udf.CIQ(A2883,"IQ_sharesoutstanding"))</f>
        <v>107.17279000000001</v>
      </c>
      <c r="J2893" s="23">
        <f>IF(A2891=A2892,_xll.ciqfunctions.udf.CIQ(A2883,"IQ_CASH_OPER",IQ_FY), _xll.ciqfunctions.udf.CIQ(A2883, "IQ_CASH_OPER",IQ_LTM))</f>
        <v>154.29599999999999</v>
      </c>
      <c r="K2893" s="23">
        <f>IF(A2891=A2892,_xll.ciqfunctions.udf.CIQ(A2883,"IQ_CAPEX",IQ_FY), _xll.ciqfunctions.udf.CIQ(A2883, "IQ_CAPEX",IQ_LTM))</f>
        <v>-1.9359999999999999</v>
      </c>
      <c r="L2893" s="21">
        <f t="shared" si="768"/>
        <v>1.4216295012941249</v>
      </c>
      <c r="M2893" s="23">
        <f>IF(A2891=A2892,_xll.ciqfunctions.udf.CIQ(A2883,"IQ_TOTAL_DEBT_ISSUED",IQ_FY), _xll.ciqfunctions.udf.CIQ(A2883, "IQ_TOTAL_DEBT_ISSUED",IQ_LTM))</f>
        <v>0</v>
      </c>
      <c r="N2893" s="23">
        <f>IF(A2891=A2892,_xll.ciqfunctions.udf.CIQ(A2883,"IQ_TOTAL_DEBT_REPAID",IQ_FY), _xll.ciqfunctions.udf.CIQ(A2883, "IQ_TOTAL_DEBT_REPAID",IQ_LTM))</f>
        <v>-129</v>
      </c>
      <c r="O2893" s="21">
        <f t="shared" si="769"/>
        <v>-1.2036637284519698</v>
      </c>
      <c r="P2893" s="21">
        <f t="shared" si="770"/>
        <v>0.21796577284215513</v>
      </c>
      <c r="Q2893" s="25" t="s">
        <v>45</v>
      </c>
      <c r="S2893" s="45"/>
      <c r="U2893" s="25"/>
      <c r="W2893" s="45"/>
      <c r="Y2893" s="25"/>
      <c r="AA2893" s="45"/>
    </row>
    <row r="2894" spans="1:27">
      <c r="B2894" s="24"/>
      <c r="C2894" s="25" t="s">
        <v>37</v>
      </c>
      <c r="E2894" s="26">
        <f>((D2893/D2888)^(1/5))-1</f>
        <v>-0.14649415422238532</v>
      </c>
      <c r="F2894" s="27">
        <f>((F2893/F2888)^(1/5))-1</f>
        <v>-3.5753758294488795</v>
      </c>
      <c r="G2894" s="28"/>
      <c r="H2894" s="27">
        <f>((H2893/H2888)^(1/5))-1</f>
        <v>0.18787722216826452</v>
      </c>
      <c r="I2894" s="27">
        <f>((I2893/I2888)^(1/5))-1</f>
        <v>0.17110510757359121</v>
      </c>
      <c r="J2894" s="27"/>
      <c r="K2894" s="27"/>
      <c r="L2894" s="26">
        <f>((L2893/L2888)^(1/5))-1</f>
        <v>-0.12098045680069647</v>
      </c>
      <c r="M2894" s="26"/>
      <c r="N2894" s="26"/>
      <c r="O2894" s="26"/>
      <c r="P2894" s="26">
        <f>((P2893/P2888)^(1/5))-1</f>
        <v>-0.19716383681503147</v>
      </c>
      <c r="Q2894" s="18"/>
      <c r="R2894" s="36"/>
      <c r="S2894" s="45"/>
      <c r="U2894" s="18"/>
      <c r="V2894" s="36"/>
      <c r="W2894" s="45"/>
      <c r="Y2894" s="18"/>
      <c r="Z2894" s="36"/>
      <c r="AA2894" s="45"/>
    </row>
    <row r="2895" spans="1:27">
      <c r="A2895" s="29"/>
      <c r="B2895" s="30"/>
      <c r="C2895" s="31" t="s">
        <v>38</v>
      </c>
      <c r="D2895" s="29"/>
      <c r="E2895" s="32">
        <f>((D2893/D2883)^(1/10))-1</f>
        <v>1.7509007423952339E-2</v>
      </c>
      <c r="F2895" s="33" t="e">
        <f>((F2893/F2883)^(1/10))-1</f>
        <v>#NUM!</v>
      </c>
      <c r="G2895" s="34"/>
      <c r="H2895" s="33">
        <f>((H2893/H2883)^(1/10))-1</f>
        <v>0.1676350284712782</v>
      </c>
      <c r="I2895" s="33">
        <f>((I2893/I2883)^(1/10))-1</f>
        <v>7.2728153499741488E-2</v>
      </c>
      <c r="J2895" s="33"/>
      <c r="K2895" s="33"/>
      <c r="L2895" s="32" t="e">
        <f>((L2893/L2883)^(1/10))-1</f>
        <v>#NUM!</v>
      </c>
      <c r="M2895" s="32"/>
      <c r="N2895" s="32"/>
      <c r="O2895" s="32"/>
      <c r="P2895" s="32" t="e">
        <f>((P2893/P2883)^(1/10))-1</f>
        <v>#NUM!</v>
      </c>
      <c r="Q2895" s="40"/>
      <c r="R2895" s="41"/>
      <c r="S2895" s="46"/>
      <c r="U2895" s="40"/>
      <c r="V2895" s="41"/>
      <c r="W2895" s="46"/>
      <c r="Y2895" s="40"/>
      <c r="Z2895" s="41"/>
      <c r="AA2895" s="46"/>
    </row>
    <row r="2896" spans="1:27">
      <c r="B2896" s="24"/>
      <c r="C2896" s="25"/>
      <c r="E2896" s="26"/>
      <c r="F2896" s="27"/>
      <c r="G2896" s="28"/>
      <c r="H2896" s="27"/>
      <c r="I2896" s="27"/>
      <c r="J2896" s="27"/>
      <c r="K2896" s="27"/>
      <c r="L2896" s="26"/>
      <c r="M2896" s="17"/>
      <c r="N2896" s="17"/>
      <c r="O2896" s="17"/>
      <c r="P2896" s="35"/>
      <c r="Q2896" s="18"/>
      <c r="R2896" s="36"/>
    </row>
    <row r="2897" spans="1:27">
      <c r="A2897" s="9" t="s">
        <v>0</v>
      </c>
      <c r="B2897" s="10"/>
      <c r="C2897" s="9" t="s">
        <v>1</v>
      </c>
      <c r="D2897" s="9" t="s">
        <v>2</v>
      </c>
      <c r="E2897" s="9" t="s">
        <v>3</v>
      </c>
      <c r="F2897" s="11" t="s">
        <v>4</v>
      </c>
      <c r="G2897" s="11" t="s">
        <v>5</v>
      </c>
      <c r="H2897" s="9" t="s">
        <v>6</v>
      </c>
      <c r="I2897" s="11" t="s">
        <v>7</v>
      </c>
      <c r="J2897" s="11" t="s">
        <v>8</v>
      </c>
      <c r="K2897" s="11" t="s">
        <v>9</v>
      </c>
      <c r="L2897" s="11" t="s">
        <v>10</v>
      </c>
      <c r="M2897" s="11" t="s">
        <v>11</v>
      </c>
      <c r="N2897" s="11" t="s">
        <v>12</v>
      </c>
      <c r="O2897" s="11" t="s">
        <v>13</v>
      </c>
      <c r="P2897" s="11" t="s">
        <v>14</v>
      </c>
      <c r="Q2897" s="37" t="s">
        <v>15</v>
      </c>
      <c r="R2897" s="42">
        <f>_xll.ciqfunctions.udf.CIQ(A2898,("IQ_LASTSALEPRICE"))</f>
        <v>26.495000000000001</v>
      </c>
      <c r="S2897" s="44"/>
      <c r="U2897" s="37" t="s">
        <v>15</v>
      </c>
      <c r="V2897" s="42">
        <f>_xll.ciqfunctions.udf.CIQ(A2898,("IQ_LASTSALEPRICE"))</f>
        <v>26.495000000000001</v>
      </c>
      <c r="W2897" s="44"/>
      <c r="Y2897" s="37" t="s">
        <v>15</v>
      </c>
      <c r="Z2897" s="42">
        <f>_xll.ciqfunctions.udf.CIQ(A2898,("IQ_LASTSALEPRICE"))</f>
        <v>26.495000000000001</v>
      </c>
      <c r="AA2897" s="44"/>
    </row>
    <row r="2898" spans="1:27">
      <c r="A2898" s="12" t="str">
        <f>Analysis!B195</f>
        <v>NasdaqGS:ACIW</v>
      </c>
      <c r="B2898" s="13">
        <v>1</v>
      </c>
      <c r="C2898" s="14" t="s">
        <v>16</v>
      </c>
      <c r="D2898" s="15">
        <f>IF(A2906=A2907,_xll.ciqfunctions.udf.CIQ(A2898,"IQ_TOTAL_REV",IQ_FY-10)/I2898,_xll.ciqfunctions.udf.CIQ(A2898, "IQ_TOTAL_REV",IQ_FY-9)/I2898)</f>
        <v>7.4979690948729827</v>
      </c>
      <c r="E2898" s="16"/>
      <c r="F2898" s="15">
        <f>IF(A2906=A2907,_xll.ciqfunctions.udf.CIQ(A2898,"IQ_DILUT_EPS_EXCL",IQ_FY-10), _xll.ciqfunctions.udf.CIQ(A2898, "IQ_DILUT_EPS_EXCL",IQ_FY-9))</f>
        <v>0.53</v>
      </c>
      <c r="G2898" s="15">
        <f>IF(A2906=A2907,_xll.ciqfunctions.udf.CIQ(A2898,"IQ_EBITDA_MARGIN",IQ_FY-10), _xll.ciqfunctions.udf.CIQ(A2898, "IQ_EBITDA_MARGIN",IQ_FY-9))</f>
        <v>20.523599999999998</v>
      </c>
      <c r="H2898" s="15">
        <f>IF(A2906=A2907,_xll.ciqfunctions.udf.CIQ(A2898,"IQ_TOTAL_DIV_PAID_CF",IQ_FY-10)/-I2898, _xll.ciqfunctions.udf.CIQ(A2898, "IQ_TOTAL_DIV_PAID_CF",IQ_FY-9)/-I2898)</f>
        <v>0</v>
      </c>
      <c r="I2898" s="17">
        <f>IF(A2906=A2907,_xll.ciqfunctions.udf.CIQ(A2898,"IQ_TOTAL_OUTSTANDING_FILING_DATE",IQ_FY-10), _xll.ciqfunctions.udf.CIQ(A2898, "IQ_TOTAL_OUTSTANDING_FILING_DATE",IQ_FY-9))</f>
        <v>115.35496999999999</v>
      </c>
      <c r="J2898" s="17">
        <f>IF(A2906=A2907,_xll.ciqfunctions.udf.CIQ(A2898,"IQ_CASH_OPER",IQ_FY-10), _xll.ciqfunctions.udf.CIQ(A2898, "IQ_CASH_OPER",IQ_FY-9))</f>
        <v>138.41800000000001</v>
      </c>
      <c r="K2898" s="17">
        <f>IF(A2906=A2907,_xll.ciqfunctions.udf.CIQ(A2898,"IQ_CAPEX",IQ_FY-10), _xll.ciqfunctions.udf.CIQ(A2898, "IQ_CAPEX",IQ_FY-9))</f>
        <v>-21.103999999999999</v>
      </c>
      <c r="L2898" s="15">
        <f t="shared" ref="L2898:L2908" si="772">(J2898+K2898)/I2898</f>
        <v>1.0169826232887929</v>
      </c>
      <c r="M2898" s="17">
        <f>IF(A2906=A2907,_xll.ciqfunctions.udf.CIQ(A2898,"IQ_TOTAL_DEBT_ISSUED",IQ_FY-10), _xll.ciqfunctions.udf.CIQ(A2898, "IQ_TOTAL_DEBT_ISSUED",IQ_FY-9))</f>
        <v>640</v>
      </c>
      <c r="N2898" s="17">
        <f>IF(A2906=A2907,_xll.ciqfunctions.udf.CIQ(A2898,"IQ_TOTAL_DEBT_REPAID",IQ_FY-10), _xll.ciqfunctions.udf.CIQ(A2898, "IQ_TOTAL_DEBT_REPAID",IQ_FY-9))</f>
        <v>-272.89100000000002</v>
      </c>
      <c r="O2898" s="15">
        <f t="shared" ref="O2898:O2908" si="773">(M2898+N2898)/I2898</f>
        <v>3.1824289842041482</v>
      </c>
      <c r="P2898" s="15">
        <f t="shared" ref="P2898:P2908" si="774">L2898+O2898</f>
        <v>4.1994116074929408</v>
      </c>
      <c r="W2898" s="43"/>
      <c r="AA2898" s="43"/>
    </row>
    <row r="2899" spans="1:27">
      <c r="A2899" s="18" t="str">
        <f>_xll.ciqfunctions.udf.CIQ(A2898,"IQ_COMPANY_NAME")</f>
        <v>ACI Worldwide, Inc.</v>
      </c>
      <c r="B2899" s="13">
        <v>2</v>
      </c>
      <c r="C2899" s="14" t="s">
        <v>17</v>
      </c>
      <c r="D2899" s="15">
        <f>IF(A2906=A2907,_xll.ciqfunctions.udf.CIQ(A2898,"IQ_TOTAL_REV",IQ_FY-9)/I2899, _xll.ciqfunctions.udf.CIQ(A2898, "IQ_TOTAL_REV",IQ_FY-8)/I2899)</f>
        <v>8.7690060399754532</v>
      </c>
      <c r="E2899" s="16">
        <f t="shared" ref="E2899:E2908" si="775">(D2899-D2898)/D2898</f>
        <v>0.16951749587386133</v>
      </c>
      <c r="F2899" s="15">
        <f>IF(A2906=A2907,_xll.ciqfunctions.udf.CIQ(A2898,"IQ_DILUT_EPS_EXCL",IQ_FY-9), _xll.ciqfunctions.udf.CIQ(A2898, "IQ_DILUT_EPS_EXCL",IQ_FY-8))</f>
        <v>0.57999999999999996</v>
      </c>
      <c r="G2899" s="15">
        <f>IF(A2906=A2907,_xll.ciqfunctions.udf.CIQ(A2898,"IQ_EBITDA_MARGIN",IQ_FY-9), _xll.ciqfunctions.udf.CIQ(A2898, "IQ_EBITDA_MARGIN",IQ_FY-8))</f>
        <v>19.165900000000001</v>
      </c>
      <c r="H2899" s="15">
        <f>IF(A2906=A2907,_xll.ciqfunctions.udf.CIQ(A2898,"IQ_TOTAL_DIV_PAID_CF",IQ_FY-9)/-I2899, _xll.ciqfunctions.udf.CIQ(A2898, "IQ_TOTAL_DIV_PAID_CF",IQ_FY-8)/-I2899)</f>
        <v>0</v>
      </c>
      <c r="I2899" s="17">
        <f>IF(A2906=A2907,_xll.ciqfunctions.udf.CIQ(A2898,"IQ_TOTAL_OUTSTANDING_FILING_DATE",IQ_FY-9), _xll.ciqfunctions.udf.CIQ(A2898, "IQ_TOTAL_OUTSTANDING_FILING_DATE",IQ_FY-8))</f>
        <v>115.87961</v>
      </c>
      <c r="J2899" s="17">
        <f>IF(A2906=A2907,_xll.ciqfunctions.udf.CIQ(A2898,"IQ_CASH_OPER",IQ_FY-9), _xll.ciqfunctions.udf.CIQ(A2898, "IQ_CASH_OPER",IQ_FY-8))</f>
        <v>160.833</v>
      </c>
      <c r="K2899" s="17">
        <f>IF(A2906=A2907,_xll.ciqfunctions.udf.CIQ(A2898,"IQ_CAPEX",IQ_FY-9), _xll.ciqfunctions.udf.CIQ(A2898, "IQ_CAPEX",IQ_FY-8))</f>
        <v>-17.626999999999999</v>
      </c>
      <c r="L2899" s="15">
        <f t="shared" si="772"/>
        <v>1.2358170691116408</v>
      </c>
      <c r="M2899" s="17">
        <f>IF(A2906=A2907,_xll.ciqfunctions.udf.CIQ(A2898,"IQ_TOTAL_DEBT_ISSUED",IQ_FY-9), _xll.ciqfunctions.udf.CIQ(A2898, "IQ_TOTAL_DEBT_ISSUED",IQ_FY-8))</f>
        <v>319.5</v>
      </c>
      <c r="N2899" s="17">
        <f>IF(A2906=A2907,_xll.ciqfunctions.udf.CIQ(A2898,"IQ_TOTAL_DEBT_REPAID",IQ_FY-9), _xll.ciqfunctions.udf.CIQ(A2898, "IQ_TOTAL_DEBT_REPAID",IQ_FY-8))</f>
        <v>-191.29300000000001</v>
      </c>
      <c r="O2899" s="15">
        <f t="shared" si="773"/>
        <v>1.1063810104297036</v>
      </c>
      <c r="P2899" s="15">
        <f t="shared" si="774"/>
        <v>2.3421980795413444</v>
      </c>
      <c r="Q2899" s="25" t="s">
        <v>18</v>
      </c>
      <c r="R2899" s="39" t="s">
        <v>19</v>
      </c>
      <c r="S2899" s="1">
        <f>R2897/((AVERAGE(P2903:P2908))*(1+E2909)^3)</f>
        <v>10.156831367570227</v>
      </c>
      <c r="U2899" s="25" t="s">
        <v>48</v>
      </c>
      <c r="V2899" s="39" t="s">
        <v>19</v>
      </c>
      <c r="W2899" s="1">
        <f>V2897/((AVERAGE(P2903:P2908))*(1+E2909)^3)</f>
        <v>10.156831367570227</v>
      </c>
      <c r="Y2899" s="25" t="s">
        <v>39</v>
      </c>
      <c r="Z2899" s="39" t="s">
        <v>19</v>
      </c>
      <c r="AA2899" s="1">
        <f>Z2897/((AVERAGE(P2903:P2908))*(1+E2909)^3)</f>
        <v>10.156831367570227</v>
      </c>
    </row>
    <row r="2900" spans="1:27">
      <c r="B2900" s="13">
        <v>3</v>
      </c>
      <c r="C2900" s="14" t="s">
        <v>20</v>
      </c>
      <c r="D2900" s="15" cm="1">
        <f t="array" ref="D2900">_xlfn.SINGLE(IF(A2906=A2907,_xll.ciqfunctions.udf.CIQ(A2898,"IQ_TOTAL_REV",IQ_FY-8)/I2900, _xll.ciqfunctions.udf.CIQ(A2898, "IQ_TOTAL_REV",IQ_FY-7)/I2900))</f>
        <v>8.7842697982353322</v>
      </c>
      <c r="E2900" s="16">
        <f t="shared" si="775"/>
        <v>1.7406486197290428E-3</v>
      </c>
      <c r="F2900" s="15">
        <f>IF(A2906=A2907,_xll.ciqfunctions.udf.CIQ(A2898,"IQ_DILUT_EPS_EXCL",IQ_FY-8), _xll.ciqfunctions.udf.CIQ(A2898, "IQ_DILUT_EPS_EXCL",IQ_FY-7))</f>
        <v>0.72</v>
      </c>
      <c r="G2900" s="15">
        <f>IF(A2906=A2907,_xll.ciqfunctions.udf.CIQ(A2898,"IQ_EBITDA_MARGIN",IQ_FY-8), _xll.ciqfunctions.udf.CIQ(A2898, "IQ_EBITDA_MARGIN",IQ_FY-7))</f>
        <v>16.709599999999998</v>
      </c>
      <c r="H2900" s="15">
        <f>IF(A2906=A2907,_xll.ciqfunctions.udf.CIQ(A2898,"IQ_TOTAL_DIV_PAID_CF",IQ_FY-8)/-I2900, _xll.ciqfunctions.udf.CIQ(A2898, "IQ_TOTAL_DIV_PAID_CF",IQ_FY-7)/-I2900)</f>
        <v>0</v>
      </c>
      <c r="I2900" s="17">
        <f>IF(A2906=A2907,_xll.ciqfunctions.udf.CIQ(A2898,"IQ_TOTAL_OUTSTANDING_FILING_DATE",IQ_FY-8), _xll.ciqfunctions.udf.CIQ(A2898, "IQ_TOTAL_OUTSTANDING_FILING_DATE",IQ_FY-7))</f>
        <v>119.07387</v>
      </c>
      <c r="J2900" s="17">
        <f>IF(A2906=A2907,_xll.ciqfunctions.udf.CIQ(A2898,"IQ_CASH_OPER",IQ_FY-8), _xll.ciqfunctions.udf.CIQ(A2898, "IQ_CASH_OPER",IQ_FY-7))</f>
        <v>187.994</v>
      </c>
      <c r="K2900" s="17">
        <f>IF(A2906=A2907,_xll.ciqfunctions.udf.CIQ(A2898,"IQ_CAPEX",IQ_FY-8), _xll.ciqfunctions.udf.CIQ(A2898, "IQ_CAPEX",IQ_FY-7))</f>
        <v>-27.283000000000001</v>
      </c>
      <c r="L2900" s="15">
        <f t="shared" si="772"/>
        <v>1.3496747859123082</v>
      </c>
      <c r="M2900" s="17">
        <f>IF(A2906=A2907,_xll.ciqfunctions.udf.CIQ(A2898,"IQ_TOTAL_DEBT_ISSUED",IQ_FY-8), _xll.ciqfunctions.udf.CIQ(A2898, "IQ_TOTAL_DEBT_ISSUED",IQ_FY-7))</f>
        <v>298</v>
      </c>
      <c r="N2900" s="17">
        <f>IF(A2906=A2907,_xll.ciqfunctions.udf.CIQ(A2898,"IQ_TOTAL_DEBT_REPAID",IQ_FY-8), _xll.ciqfunctions.udf.CIQ(A2898, "IQ_TOTAL_DEBT_REPAID",IQ_FY-7))</f>
        <v>-263.99</v>
      </c>
      <c r="O2900" s="15">
        <f t="shared" si="773"/>
        <v>0.2856210182805009</v>
      </c>
      <c r="P2900" s="15">
        <f t="shared" si="774"/>
        <v>1.635295804192809</v>
      </c>
      <c r="Q2900" s="25" t="s">
        <v>21</v>
      </c>
      <c r="R2900" s="38" t="s">
        <v>49</v>
      </c>
      <c r="S2900" s="2">
        <f>(R2897*I2908)/1000</f>
        <v>2.8806036973000002</v>
      </c>
      <c r="U2900" s="25" t="s">
        <v>59</v>
      </c>
      <c r="V2900" s="38" t="s">
        <v>49</v>
      </c>
      <c r="W2900" s="2">
        <f>(V2897*I2908)/1000</f>
        <v>2.8806036973000002</v>
      </c>
      <c r="Y2900" s="25" t="s">
        <v>46</v>
      </c>
      <c r="Z2900" s="38" t="s">
        <v>49</v>
      </c>
      <c r="AA2900" s="2">
        <f>(Z2897*I2908)/1000</f>
        <v>2.8806036973000002</v>
      </c>
    </row>
    <row r="2901" spans="1:27">
      <c r="A2901" s="18"/>
      <c r="B2901" s="13">
        <v>4</v>
      </c>
      <c r="C2901" s="14" t="s">
        <v>22</v>
      </c>
      <c r="D2901" s="15" cm="1">
        <f t="array" ref="D2901">_xlfn.SINGLE(IF(A2906=A2907,_xll.ciqfunctions.udf.CIQ(A2898,"IQ_TOTAL_REV",IQ_FY-7)/I2901, _xll.ciqfunctions.udf.CIQ(A2898, "IQ_TOTAL_REV",IQ_FY-6)/I2901))</f>
        <v>8.5733293426231292</v>
      </c>
      <c r="E2901" s="16">
        <f t="shared" si="775"/>
        <v>-2.4013430877837871E-2</v>
      </c>
      <c r="F2901" s="15">
        <f>IF(A2906=A2907,_xll.ciqfunctions.udf.CIQ(A2898,"IQ_DILUT_EPS_EXCL",IQ_FY-7), _xll.ciqfunctions.udf.CIQ(A2898, "IQ_DILUT_EPS_EXCL",IQ_FY-6))</f>
        <v>1.0900000000000001</v>
      </c>
      <c r="G2901" s="15">
        <f>IF(A2906=A2907,_xll.ciqfunctions.udf.CIQ(A2898,"IQ_EBITDA_MARGIN",IQ_FY-7), _xll.ciqfunctions.udf.CIQ(A2898, "IQ_EBITDA_MARGIN",IQ_FY-6))</f>
        <v>11.7849</v>
      </c>
      <c r="H2901" s="15">
        <f>IF(A2906=A2907,_xll.ciqfunctions.udf.CIQ(A2898,"IQ_TOTAL_DIV_PAID_CF",IQ_FY-7)/-I2901, _xll.ciqfunctions.udf.CIQ(A2898, "IQ_TOTAL_DIV_PAID_CF",IQ_FY-6)/-I2901)</f>
        <v>0</v>
      </c>
      <c r="I2901" s="17">
        <f>IF(A2906=A2907,_xll.ciqfunctions.udf.CIQ(A2898,"IQ_TOTAL_OUTSTANDING_FILING_DATE",IQ_FY-7), _xll.ciqfunctions.udf.CIQ(A2898, "IQ_TOTAL_OUTSTANDING_FILING_DATE",IQ_FY-6))</f>
        <v>117.30577</v>
      </c>
      <c r="J2901" s="17">
        <f>IF(A2906=A2907,_xll.ciqfunctions.udf.CIQ(A2898,"IQ_CASH_OPER",IQ_FY-7), _xll.ciqfunctions.udf.CIQ(A2898, "IQ_CASH_OPER",IQ_FY-6))</f>
        <v>99.83</v>
      </c>
      <c r="K2901" s="17">
        <f>IF(A2906=A2907,_xll.ciqfunctions.udf.CIQ(A2898,"IQ_CAPEX",IQ_FY-7), _xll.ciqfunctions.udf.CIQ(A2898, "IQ_CAPEX",IQ_FY-6))</f>
        <v>-40.811999999999998</v>
      </c>
      <c r="L2901" s="15">
        <f t="shared" si="772"/>
        <v>0.5031125067419957</v>
      </c>
      <c r="M2901" s="17">
        <f>IF(A2906=A2907,_xll.ciqfunctions.udf.CIQ(A2898,"IQ_TOTAL_DEBT_ISSUED",IQ_FY-7), _xll.ciqfunctions.udf.CIQ(A2898, "IQ_TOTAL_DEBT_ISSUED",IQ_FY-6))</f>
        <v>76</v>
      </c>
      <c r="N2901" s="17">
        <f>IF(A2906=A2907,_xll.ciqfunctions.udf.CIQ(A2898,"IQ_TOTAL_DEBT_REPAID",IQ_FY-7), _xll.ciqfunctions.udf.CIQ(A2898, "IQ_TOTAL_DEBT_REPAID",IQ_FY-6))</f>
        <v>-275.66899999999998</v>
      </c>
      <c r="O2901" s="15">
        <f t="shared" si="773"/>
        <v>-1.7021242859579711</v>
      </c>
      <c r="P2901" s="15">
        <f t="shared" si="774"/>
        <v>-1.1990117792159753</v>
      </c>
      <c r="Q2901" s="25" t="s">
        <v>23</v>
      </c>
      <c r="R2901" s="38" t="s">
        <v>24</v>
      </c>
      <c r="S2901" s="1" t="e">
        <f>R2897/(AVERAGE(H2903:H2908)*(1+H2909)/(0.5-H2909))</f>
        <v>#DIV/0!</v>
      </c>
      <c r="U2901" s="25" t="s">
        <v>40</v>
      </c>
      <c r="V2901" s="38" t="s">
        <v>24</v>
      </c>
      <c r="W2901" s="1" t="e">
        <f>V2897/(AVERAGE(H2903:H2908)*(1+H2909)/(0.5-H2909))</f>
        <v>#DIV/0!</v>
      </c>
      <c r="Y2901" s="25" t="s">
        <v>47</v>
      </c>
      <c r="Z2901" s="38" t="s">
        <v>24</v>
      </c>
      <c r="AA2901" s="1" t="e">
        <f>Z2897/(AVERAGE(H2903:H2908)*(1+H2909)/(0.5-H2909))</f>
        <v>#DIV/0!</v>
      </c>
    </row>
    <row r="2902" spans="1:27">
      <c r="B2902" s="13">
        <v>5</v>
      </c>
      <c r="C2902" s="14" t="s">
        <v>25</v>
      </c>
      <c r="D2902" s="15" cm="1">
        <f t="array" ref="D2902">_xlfn.SINGLE(IF(A2906=A2907,_xll.ciqfunctions.udf.CIQ(A2898,"IQ_TOTAL_REV",IQ_FY-6)/I2902, _xll.ciqfunctions.udf.CIQ(A2898, "IQ_TOTAL_REV",IQ_FY-5)/I2902))</f>
        <v>8.8364733344002993</v>
      </c>
      <c r="E2902" s="16">
        <f t="shared" si="775"/>
        <v>3.0693325925195067E-2</v>
      </c>
      <c r="F2902" s="15">
        <f>IF(A2906=A2907,_xll.ciqfunctions.udf.CIQ(A2898,"IQ_DILUT_EPS_EXCL",IQ_FY-6), _xll.ciqfunctions.udf.CIQ(A2898, "IQ_DILUT_EPS_EXCL",IQ_FY-5))</f>
        <v>0.04</v>
      </c>
      <c r="G2902" s="15">
        <f>IF(A2906=A2907,_xll.ciqfunctions.udf.CIQ(A2898,"IQ_EBITDA_MARGIN",IQ_FY-6), _xll.ciqfunctions.udf.CIQ(A2898, "IQ_EBITDA_MARGIN",IQ_FY-5))</f>
        <v>17.376000000000001</v>
      </c>
      <c r="H2902" s="15">
        <f>IF(A2906=A2907,_xll.ciqfunctions.udf.CIQ(A2898,"IQ_TOTAL_DIV_PAID_CF",IQ_FY-6)/-I2902, _xll.ciqfunctions.udf.CIQ(A2898, "IQ_TOTAL_DIV_PAID_CF",IQ_FY-5)/-I2902)</f>
        <v>0</v>
      </c>
      <c r="I2902" s="17">
        <f>IF(A2906=A2907,_xll.ciqfunctions.udf.CIQ(A2898,"IQ_TOTAL_OUTSTANDING_FILING_DATE",IQ_FY-6), _xll.ciqfunctions.udf.CIQ(A2898, "IQ_TOTAL_OUTSTANDING_FILING_DATE",IQ_FY-5))</f>
        <v>115.90495</v>
      </c>
      <c r="J2902" s="17">
        <f>IF(A2906=A2907,_xll.ciqfunctions.udf.CIQ(A2898,"IQ_CASH_OPER",IQ_FY-6), _xll.ciqfunctions.udf.CIQ(A2898, "IQ_CASH_OPER",IQ_FY-5))</f>
        <v>146.197</v>
      </c>
      <c r="K2902" s="17">
        <f>IF(A2906=A2907,_xll.ciqfunctions.udf.CIQ(A2898,"IQ_CAPEX",IQ_FY-6), _xll.ciqfunctions.udf.CIQ(A2898, "IQ_CAPEX",IQ_FY-5))</f>
        <v>-25.716999999999999</v>
      </c>
      <c r="L2902" s="15">
        <f t="shared" si="772"/>
        <v>1.0394724297797462</v>
      </c>
      <c r="M2902" s="17">
        <f>IF(A2906=A2907,_xll.ciqfunctions.udf.CIQ(A2898,"IQ_TOTAL_DEBT_ISSUED",IQ_FY-6), _xll.ciqfunctions.udf.CIQ(A2898, "IQ_TOTAL_DEBT_ISSUED",IQ_FY-5))</f>
        <v>482</v>
      </c>
      <c r="N2902" s="17">
        <f>IF(A2906=A2907,_xll.ciqfunctions.udf.CIQ(A2898,"IQ_TOTAL_DEBT_REPAID",IQ_FY-6), _xll.ciqfunctions.udf.CIQ(A2898, "IQ_TOTAL_DEBT_REPAID",IQ_FY-5))</f>
        <v>-548.94000000000005</v>
      </c>
      <c r="O2902" s="15">
        <f t="shared" si="773"/>
        <v>-0.57754220160571279</v>
      </c>
      <c r="P2902" s="15">
        <f t="shared" si="774"/>
        <v>0.4619302281740334</v>
      </c>
      <c r="Q2902" s="18"/>
      <c r="R2902" s="38" t="s">
        <v>50</v>
      </c>
      <c r="S2902" s="3">
        <f>I2909</f>
        <v>-1.3118391019596221E-2</v>
      </c>
      <c r="U2902" s="18"/>
      <c r="V2902" s="38" t="s">
        <v>50</v>
      </c>
      <c r="W2902" s="3">
        <f>I2909</f>
        <v>-1.3118391019596221E-2</v>
      </c>
      <c r="Y2902" s="18"/>
      <c r="Z2902" s="38" t="s">
        <v>50</v>
      </c>
      <c r="AA2902" s="3">
        <f>I2909</f>
        <v>-1.3118391019596221E-2</v>
      </c>
    </row>
    <row r="2903" spans="1:27">
      <c r="B2903" s="13">
        <v>6</v>
      </c>
      <c r="C2903" s="14" t="s">
        <v>26</v>
      </c>
      <c r="D2903" s="15" cm="1">
        <f t="array" ref="D2903">_xlfn.SINGLE(IF(A2906=A2907,_xll.ciqfunctions.udf.CIQ(A2898,"IQ_TOTAL_REV",IQ_FY-5)/I2903, _xll.ciqfunctions.udf.CIQ(A2898, "IQ_TOTAL_REV",IQ_FY-4)/I2903))</f>
        <v>8.6942565970635943</v>
      </c>
      <c r="E2903" s="16">
        <f t="shared" si="775"/>
        <v>-1.6094286934931003E-2</v>
      </c>
      <c r="F2903" s="15">
        <f>IF(A2906=A2907,_xll.ciqfunctions.udf.CIQ(A2898,"IQ_DILUT_EPS_EXCL",IQ_FY-5), _xll.ciqfunctions.udf.CIQ(A2898, "IQ_DILUT_EPS_EXCL",IQ_FY-4))</f>
        <v>0.59</v>
      </c>
      <c r="G2903" s="15">
        <f>IF(A2906=A2907,_xll.ciqfunctions.udf.CIQ(A2898,"IQ_EBITDA_MARGIN",IQ_FY-5), _xll.ciqfunctions.udf.CIQ(A2898, "IQ_EBITDA_MARGIN",IQ_FY-4))</f>
        <v>16.712599999999998</v>
      </c>
      <c r="H2903" s="15">
        <f>IF(A2906=A2907,_xll.ciqfunctions.udf.CIQ(A2898,"IQ_TOTAL_DIV_PAID_CF",IQ_FY-5)/-I2903, _xll.ciqfunctions.udf.CIQ(A2898, "IQ_TOTAL_DIV_PAID_CF",IQ_FY-4)/-I2903)</f>
        <v>0</v>
      </c>
      <c r="I2903" s="17">
        <f>IF(A2906=A2907,_xll.ciqfunctions.udf.CIQ(A2898,"IQ_TOTAL_OUTSTANDING_FILING_DATE",IQ_FY-5), _xll.ciqfunctions.udf.CIQ(A2898, "IQ_TOTAL_OUTSTANDING_FILING_DATE",IQ_FY-4))</f>
        <v>116.14333999999999</v>
      </c>
      <c r="J2903" s="17">
        <f>IF(A2906=A2907,_xll.ciqfunctions.udf.CIQ(A2898,"IQ_CASH_OPER",IQ_FY-5), _xll.ciqfunctions.udf.CIQ(A2898, "IQ_CASH_OPER",IQ_FY-4))</f>
        <v>183.93199999999999</v>
      </c>
      <c r="K2903" s="17">
        <f>IF(A2906=A2907,_xll.ciqfunctions.udf.CIQ(A2898,"IQ_CAPEX",IQ_FY-5), _xll.ciqfunctions.udf.CIQ(A2898, "IQ_CAPEX",IQ_FY-4))</f>
        <v>-18.265000000000001</v>
      </c>
      <c r="L2903" s="15">
        <f t="shared" si="772"/>
        <v>1.4264012038916738</v>
      </c>
      <c r="M2903" s="17">
        <f>IF(A2906=A2907,_xll.ciqfunctions.udf.CIQ(A2898,"IQ_TOTAL_DEBT_ISSUED",IQ_FY-5), _xll.ciqfunctions.udf.CIQ(A2898, "IQ_TOTAL_DEBT_ISSUED",IQ_FY-4))</f>
        <v>509</v>
      </c>
      <c r="N2903" s="17">
        <f>IF(A2906=A2907,_xll.ciqfunctions.udf.CIQ(A2898,"IQ_TOTAL_DEBT_REPAID",IQ_FY-5), _xll.ciqfunctions.udf.CIQ(A2898, "IQ_TOTAL_DEBT_REPAID",IQ_FY-4))</f>
        <v>-525.04200000000003</v>
      </c>
      <c r="O2903" s="15">
        <f t="shared" si="773"/>
        <v>-0.13812242699409222</v>
      </c>
      <c r="P2903" s="15">
        <f t="shared" si="774"/>
        <v>1.2882787768975816</v>
      </c>
      <c r="Q2903" s="25" t="s">
        <v>27</v>
      </c>
      <c r="R2903" s="38" t="s">
        <v>51</v>
      </c>
      <c r="S2903" s="4">
        <f>AVERAGE(F2903:F2908)/AVERAGE(D2903:D2908)</f>
        <v>7.1433869400820429E-2</v>
      </c>
      <c r="U2903" s="25" t="s">
        <v>58</v>
      </c>
      <c r="V2903" s="38" t="s">
        <v>51</v>
      </c>
      <c r="W2903" s="4">
        <f>AVERAGE(F2903:F2908)/AVERAGE(D2903:D2908)</f>
        <v>7.1433869400820429E-2</v>
      </c>
      <c r="Y2903" s="25" t="s">
        <v>56</v>
      </c>
      <c r="Z2903" s="38" t="s">
        <v>51</v>
      </c>
      <c r="AA2903" s="4">
        <f>AVERAGE(F2903:F2908)/AVERAGE(D2903:D2908)</f>
        <v>7.1433869400820429E-2</v>
      </c>
    </row>
    <row r="2904" spans="1:27">
      <c r="A2904" s="18"/>
      <c r="B2904" s="13">
        <v>7</v>
      </c>
      <c r="C2904" s="14" t="s">
        <v>28</v>
      </c>
      <c r="D2904" s="15" cm="1">
        <f t="array" ref="D2904">_xlfn.SINGLE(IF(A2906=A2907,_xll.ciqfunctions.udf.CIQ(A2898,"IQ_TOTAL_REV",IQ_FY-4)/I2904, _xll.ciqfunctions.udf.CIQ(A2898, "IQ_TOTAL_REV",IQ_FY-3)/I2904))</f>
        <v>10.835181830080669</v>
      </c>
      <c r="E2904" s="16">
        <f t="shared" si="775"/>
        <v>0.24624592213440688</v>
      </c>
      <c r="F2904" s="15">
        <f>IF(A2906=A2907,_xll.ciqfunctions.udf.CIQ(A2898,"IQ_DILUT_EPS_EXCL",IQ_FY-4), _xll.ciqfunctions.udf.CIQ(A2898, "IQ_DILUT_EPS_EXCL",IQ_FY-3))</f>
        <v>0.56999999999999995</v>
      </c>
      <c r="G2904" s="15">
        <f>IF(A2906=A2907,_xll.ciqfunctions.udf.CIQ(A2898,"IQ_EBITDA_MARGIN",IQ_FY-4), _xll.ciqfunctions.udf.CIQ(A2898, "IQ_EBITDA_MARGIN",IQ_FY-3))</f>
        <v>14.283200000000001</v>
      </c>
      <c r="H2904" s="15">
        <f>IF(A2906=A2907,_xll.ciqfunctions.udf.CIQ(A2898,"IQ_TOTAL_DIV_PAID_CF",IQ_FY-4)/-I2904, _xll.ciqfunctions.udf.CIQ(A2898, "IQ_TOTAL_DIV_PAID_CF",IQ_FY-3)/-I2904)</f>
        <v>0</v>
      </c>
      <c r="I2904" s="17">
        <f>IF(A2906=A2907,_xll.ciqfunctions.udf.CIQ(A2898,"IQ_TOTAL_OUTSTANDING_FILING_DATE",IQ_FY-4), _xll.ciqfunctions.udf.CIQ(A2898, "IQ_TOTAL_OUTSTANDING_FILING_DATE",IQ_FY-3))</f>
        <v>116.13039999999999</v>
      </c>
      <c r="J2904" s="17">
        <f>IF(A2906=A2907,_xll.ciqfunctions.udf.CIQ(A2898,"IQ_CASH_OPER",IQ_FY-4), _xll.ciqfunctions.udf.CIQ(A2898, "IQ_CASH_OPER",IQ_FY-3))</f>
        <v>132.60499999999999</v>
      </c>
      <c r="K2904" s="17">
        <f>IF(A2906=A2907,_xll.ciqfunctions.udf.CIQ(A2898,"IQ_CAPEX",IQ_FY-4), _xll.ciqfunctions.udf.CIQ(A2898, "IQ_CAPEX",IQ_FY-3))</f>
        <v>-23.099</v>
      </c>
      <c r="L2904" s="15">
        <f t="shared" si="772"/>
        <v>0.94295722739265508</v>
      </c>
      <c r="M2904" s="17">
        <f>IF(A2906=A2907,_xll.ciqfunctions.udf.CIQ(A2898,"IQ_TOTAL_DEBT_ISSUED",IQ_FY-4), _xll.ciqfunctions.udf.CIQ(A2898, "IQ_TOTAL_DEBT_ISSUED",IQ_FY-3))</f>
        <v>780</v>
      </c>
      <c r="N2904" s="17">
        <f>IF(A2906=A2907,_xll.ciqfunctions.udf.CIQ(A2898,"IQ_TOTAL_DEBT_REPAID",IQ_FY-4), _xll.ciqfunctions.udf.CIQ(A2898, "IQ_TOTAL_DEBT_REPAID",IQ_FY-3))</f>
        <v>-76.92</v>
      </c>
      <c r="O2904" s="15">
        <f t="shared" si="773"/>
        <v>6.0542286946398196</v>
      </c>
      <c r="P2904" s="15">
        <f t="shared" si="774"/>
        <v>6.9971859220324744</v>
      </c>
      <c r="Q2904" s="18"/>
      <c r="R2904" s="38" t="s">
        <v>29</v>
      </c>
      <c r="S2904" s="4">
        <f>(AVERAGE(P2903:P2908)/_xlfn.STDEV.P(P2903:P2908))/(IF(A2906=A2907,(_xlfn.SINGLE(_xll.ciqfunctions.udf.CIQ(A2898,"IQ_total_assets",IQ_FY)) - _xlfn.SINGLE(_xll.ciqfunctions.udf.CIQ(A2898,"iq_gw_intan", IQ_FY)))/I2908, (_xlfn.SINGLE(_xll.ciqfunctions.udf.CIQ(A2898, "IQ_total_assets",IQ_LTM))-_xlfn.SINGLE(_xll.ciqfunctions.udf.CIQ(A2898,"iq_gw_intan",IQ_LTM)))/I2908))</f>
        <v>5.7484161398864114E-2</v>
      </c>
      <c r="U2904" s="18"/>
      <c r="V2904" s="38" t="s">
        <v>29</v>
      </c>
      <c r="W2904" s="4">
        <f>(AVERAGE(P2903:P2908)/_xlfn.STDEV.P(P2903:P2908))/(IF(A2906=A2907,(_xlfn.SINGLE(_xll.ciqfunctions.udf.CIQ(A2898,"IQ_total_assets",IQ_FY)) - _xlfn.SINGLE(_xll.ciqfunctions.udf.CIQ(A2898,"iq_gw_intan", IQ_FY)))/I2908, (_xlfn.SINGLE(_xll.ciqfunctions.udf.CIQ(A2898, "IQ_total_assets",IQ_LTM))-_xlfn.SINGLE(_xll.ciqfunctions.udf.CIQ(A2898,"iq_gw_intan",IQ_LTM)))/I2908))</f>
        <v>5.7484161398864114E-2</v>
      </c>
      <c r="Y2904" s="18"/>
      <c r="Z2904" s="38" t="s">
        <v>29</v>
      </c>
      <c r="AA2904" s="4">
        <f>(AVERAGE(P2903:P2908)/_xlfn.STDEV.P(P2903:P2908))/(IF(A2906=A2907,(_xlfn.SINGLE(_xll.ciqfunctions.udf.CIQ(A2898,"IQ_total_assets",IQ_FY)) - _xlfn.SINGLE(_xll.ciqfunctions.udf.CIQ(A2898,"iq_gw_intan", IQ_FY)))/I2908, (_xlfn.SINGLE(_xll.ciqfunctions.udf.CIQ(A2898, "IQ_total_assets",IQ_LTM))-_xlfn.SINGLE(_xll.ciqfunctions.udf.CIQ(A2898,"iq_gw_intan",IQ_LTM)))/I2908))</f>
        <v>5.7484161398864114E-2</v>
      </c>
    </row>
    <row r="2905" spans="1:27">
      <c r="A2905" s="18"/>
      <c r="B2905" s="13">
        <v>8</v>
      </c>
      <c r="C2905" s="14" t="s">
        <v>30</v>
      </c>
      <c r="D2905" s="15" cm="1">
        <f t="array" ref="D2905">_xlfn.SINGLE(IF(A2906=A2907,_xll.ciqfunctions.udf.CIQ(A2898,"IQ_TOTAL_REV",IQ_FY-3)/I2905, _xll.ciqfunctions.udf.CIQ(A2898, "IQ_TOTAL_REV",IQ_FY-2)/I2905))</f>
        <v>11.04911827093415</v>
      </c>
      <c r="E2905" s="16">
        <f t="shared" si="775"/>
        <v>1.9744610123620557E-2</v>
      </c>
      <c r="F2905" s="15">
        <f>IF(A2906=A2907,_xll.ciqfunctions.udf.CIQ(A2898,"IQ_DILUT_EPS_EXCL",IQ_FY-3), _xll.ciqfunctions.udf.CIQ(A2898, "IQ_DILUT_EPS_EXCL",IQ_FY-2))</f>
        <v>0.62</v>
      </c>
      <c r="G2905" s="15">
        <f>IF(A2906=A2907,_xll.ciqfunctions.udf.CIQ(A2898,"IQ_EBITDA_MARGIN",IQ_FY-3), _xll.ciqfunctions.udf.CIQ(A2898, "IQ_EBITDA_MARGIN",IQ_FY-2))</f>
        <v>15.9589</v>
      </c>
      <c r="H2905" s="15">
        <f>IF(A2906=A2907,_xll.ciqfunctions.udf.CIQ(A2898,"IQ_TOTAL_DIV_PAID_CF",IQ_FY-3)/-I2905, _xll.ciqfunctions.udf.CIQ(A2898, "IQ_TOTAL_DIV_PAID_CF",IQ_FY-2)/-I2905)</f>
        <v>0</v>
      </c>
      <c r="I2905" s="17">
        <f>IF(A2906=A2907,_xll.ciqfunctions.udf.CIQ(A2898,"IQ_TOTAL_OUTSTANDING_FILING_DATE",IQ_FY-3), _xll.ciqfunctions.udf.CIQ(A2898, "IQ_TOTAL_OUTSTANDING_FILING_DATE",IQ_FY-2))</f>
        <v>117.14256</v>
      </c>
      <c r="J2905" s="17">
        <f>IF(A2906=A2907,_xll.ciqfunctions.udf.CIQ(A2898,"IQ_CASH_OPER",IQ_FY-3), _xll.ciqfunctions.udf.CIQ(A2898, "IQ_CASH_OPER",IQ_FY-2))</f>
        <v>314.89499999999998</v>
      </c>
      <c r="K2905" s="17">
        <f>IF(A2906=A2907,_xll.ciqfunctions.udf.CIQ(A2898,"IQ_CAPEX",IQ_FY-3), _xll.ciqfunctions.udf.CIQ(A2898, "IQ_CAPEX",IQ_FY-2))</f>
        <v>-17.803999999999998</v>
      </c>
      <c r="L2905" s="15">
        <f t="shared" si="772"/>
        <v>2.5361491160855629</v>
      </c>
      <c r="M2905" s="17">
        <f>IF(A2906=A2907,_xll.ciqfunctions.udf.CIQ(A2898,"IQ_TOTAL_DEBT_ISSUED",IQ_FY-3), _xll.ciqfunctions.udf.CIQ(A2898, "IQ_TOTAL_DEBT_ISSUED",IQ_FY-2))</f>
        <v>30</v>
      </c>
      <c r="N2905" s="17">
        <f>IF(A2906=A2907,_xll.ciqfunctions.udf.CIQ(A2898,"IQ_TOTAL_DEBT_REPAID",IQ_FY-3), _xll.ciqfunctions.udf.CIQ(A2898, "IQ_TOTAL_DEBT_REPAID",IQ_FY-2))</f>
        <v>-266.80399999999997</v>
      </c>
      <c r="O2905" s="15">
        <f t="shared" si="773"/>
        <v>-2.0215026886897465</v>
      </c>
      <c r="P2905" s="15">
        <f t="shared" si="774"/>
        <v>0.51464642739581645</v>
      </c>
      <c r="Q2905" s="18"/>
      <c r="R2905" s="39" t="s">
        <v>31</v>
      </c>
      <c r="S2905" s="5">
        <f>IF(NOT(D2898&gt;0),FALSE,SLOPE(G2898:G2908,B2898:B2908))</f>
        <v>7.3238181818181883E-2</v>
      </c>
      <c r="U2905" s="18"/>
      <c r="V2905" s="39" t="s">
        <v>31</v>
      </c>
      <c r="W2905" s="5">
        <f>IF(NOT(D2898&gt;0),FALSE,SLOPE(G2898:G2908,B2898:B2908))</f>
        <v>7.3238181818181883E-2</v>
      </c>
      <c r="Y2905" s="18"/>
      <c r="Z2905" s="39" t="s">
        <v>31</v>
      </c>
      <c r="AA2905" s="5">
        <f>IF(NOT(L2898&gt;0),FALSE,SLOPE(O2898:O2908,J2898:J2908))</f>
        <v>-1.5791882018923436E-2</v>
      </c>
    </row>
    <row r="2906" spans="1:27">
      <c r="A2906" s="19">
        <f>_xll.ciqfunctions.udf.CIQ(A2898,"IQ_TOTAL_REV",IQ_FY)</f>
        <v>1421.9010000000001</v>
      </c>
      <c r="B2906" s="13">
        <v>9</v>
      </c>
      <c r="C2906" s="14" t="s">
        <v>32</v>
      </c>
      <c r="D2906" s="15" cm="1">
        <f t="array" ref="D2906">_xlfn.SINGLE(IF(A2906=A2907,_xll.ciqfunctions.udf.CIQ(A2898,"IQ_TOTAL_REV",IQ_FY-2)/I2906, _xll.ciqfunctions.udf.CIQ(A2898, "IQ_TOTAL_REV",IQ_FY-1)/I2906))</f>
        <v>11.911649603358697</v>
      </c>
      <c r="E2906" s="16">
        <f t="shared" si="775"/>
        <v>7.8063363181976722E-2</v>
      </c>
      <c r="F2906" s="15">
        <f>IF(A2906=A2907,_xll.ciqfunctions.udf.CIQ(A2898,"IQ_DILUT_EPS_EXCL",IQ_FY-2), _xll.ciqfunctions.udf.CIQ(A2898, "IQ_DILUT_EPS_EXCL",IQ_FY-1))</f>
        <v>1.08</v>
      </c>
      <c r="G2906" s="15">
        <f>IF(A2906=A2907,_xll.ciqfunctions.udf.CIQ(A2898,"IQ_EBITDA_MARGIN",IQ_FY-2), _xll.ciqfunctions.udf.CIQ(A2898, "IQ_EBITDA_MARGIN",IQ_FY-1))</f>
        <v>20.515799999999999</v>
      </c>
      <c r="H2906" s="15">
        <f>IF(A2906=A2907,_xll.ciqfunctions.udf.CIQ(A2898,"IQ_TOTAL_DIV_PAID_CF",IQ_FY-2)/-I2906, _xll.ciqfunctions.udf.CIQ(A2898, "IQ_TOTAL_DIV_PAID_CF",IQ_FY-1)/-I2906)</f>
        <v>0</v>
      </c>
      <c r="I2906" s="17">
        <f>IF(A2906=A2907,_xll.ciqfunctions.udf.CIQ(A2898,"IQ_TOTAL_OUTSTANDING_FILING_DATE",IQ_FY-2), _xll.ciqfunctions.udf.CIQ(A2898, "IQ_TOTAL_OUTSTANDING_FILING_DATE",IQ_FY-1))</f>
        <v>115.06366</v>
      </c>
      <c r="J2906" s="17">
        <f>IF(A2906=A2907,_xll.ciqfunctions.udf.CIQ(A2898,"IQ_CASH_OPER",IQ_FY-2), _xll.ciqfunctions.udf.CIQ(A2898, "IQ_CASH_OPER",IQ_FY-1))</f>
        <v>220.47300000000001</v>
      </c>
      <c r="K2906" s="17">
        <f>IF(A2906=A2907,_xll.ciqfunctions.udf.CIQ(A2898,"IQ_CAPEX",IQ_FY-2), _xll.ciqfunctions.udf.CIQ(A2898, "IQ_CAPEX",IQ_FY-1))</f>
        <v>-20.582000000000001</v>
      </c>
      <c r="L2906" s="15">
        <f t="shared" si="772"/>
        <v>1.7372209436063482</v>
      </c>
      <c r="M2906" s="17">
        <f>IF(A2906=A2907,_xll.ciqfunctions.udf.CIQ(A2898,"IQ_TOTAL_DEBT_ISSUED",IQ_FY-2), _xll.ciqfunctions.udf.CIQ(A2898, "IQ_TOTAL_DEBT_ISSUED",IQ_FY-1))</f>
        <v>35</v>
      </c>
      <c r="N2906" s="17">
        <f>IF(A2906=A2907,_xll.ciqfunctions.udf.CIQ(A2898,"IQ_TOTAL_DEBT_REPAID",IQ_FY-2), _xll.ciqfunctions.udf.CIQ(A2898, "IQ_TOTAL_DEBT_REPAID",IQ_FY-1))</f>
        <v>-144.13499999999999</v>
      </c>
      <c r="O2906" s="15">
        <f t="shared" si="773"/>
        <v>-0.94847495725409736</v>
      </c>
      <c r="P2906" s="15">
        <f t="shared" si="774"/>
        <v>0.78874598635225079</v>
      </c>
      <c r="Q2906" s="25" t="s">
        <v>33</v>
      </c>
      <c r="R2906" s="38" t="s">
        <v>52</v>
      </c>
      <c r="S2906" s="4">
        <f>(AVERAGE(O2903:O2908)/AVERAGE(P2903:P2908))</f>
        <v>0.2740771645719407</v>
      </c>
      <c r="U2906" s="25" t="s">
        <v>54</v>
      </c>
      <c r="V2906" s="38" t="s">
        <v>52</v>
      </c>
      <c r="W2906" s="4">
        <f>(AVERAGE(O2903:O2908)/AVERAGE(P2903:P2908))</f>
        <v>0.2740771645719407</v>
      </c>
      <c r="Y2906" s="25" t="s">
        <v>60</v>
      </c>
      <c r="Z2906" s="38" t="s">
        <v>52</v>
      </c>
      <c r="AA2906" s="4">
        <f>(AVERAGE(O2903:O2908)/AVERAGE(P2903:P2908))</f>
        <v>0.2740771645719407</v>
      </c>
    </row>
    <row r="2907" spans="1:27">
      <c r="A2907" s="19">
        <f>_xll.ciqfunctions.udf.CIQ(A2898,"IQ_TOTAL_REV",IQ_LTM)</f>
        <v>1427.8209999999999</v>
      </c>
      <c r="B2907" s="13">
        <v>10</v>
      </c>
      <c r="C2907" s="14" t="s">
        <v>34</v>
      </c>
      <c r="D2907" s="15" cm="1">
        <f t="array" ref="D2907">_xlfn.SINGLE(IF(A2906=A2907,_xll.ciqfunctions.udf.CIQ(A2898,"IQ_TOTAL_REV",IQ_FY-1)/I2907, _xll.ciqfunctions.udf.CIQ(A2898, "IQ_TOTAL_REV",IQ_FY)/I2907))</f>
        <v>13.152167951003932</v>
      </c>
      <c r="E2907" s="16">
        <f t="shared" si="775"/>
        <v>0.10414328736596225</v>
      </c>
      <c r="F2907" s="15">
        <f>IF(A2906=A2907,_xll.ciqfunctions.udf.CIQ(A2898,"IQ_DILUT_EPS_EXCL",IQ_FY-1), _xll.ciqfunctions.udf.CIQ(A2898, "IQ_DILUT_EPS_EXCL",IQ_FY))</f>
        <v>1.24</v>
      </c>
      <c r="G2907" s="15">
        <f>IF(A2906=A2907,_xll.ciqfunctions.udf.CIQ(A2898,"IQ_EBITDA_MARGIN",IQ_FY-1), _xll.ciqfunctions.udf.CIQ(A2898, "IQ_EBITDA_MARGIN",IQ_FY))</f>
        <v>18.458500000000001</v>
      </c>
      <c r="H2907" s="15">
        <f>IF(A2906=A2907,_xll.ciqfunctions.udf.CIQ(A2898,"IQ_TOTAL_DIV_PAID_CF",IQ_FY-1)/-I2907, _xll.ciqfunctions.udf.CIQ(A2898, "IQ_TOTAL_DIV_PAID_CF",IQ_FY)/-I2907)</f>
        <v>0</v>
      </c>
      <c r="I2907" s="17">
        <f>IF(A2906=A2907,_xll.ciqfunctions.udf.CIQ(A2898,"IQ_TOTAL_OUTSTANDING_FILING_DATE",IQ_FY-1), _xll.ciqfunctions.udf.CIQ(A2898, "IQ_TOTAL_OUTSTANDING_FILING_DATE",IQ_FY))</f>
        <v>108.11153</v>
      </c>
      <c r="J2907" s="17">
        <f>IF(A2906=A2907,_xll.ciqfunctions.udf.CIQ(A2898,"IQ_CASH_OPER",IQ_FY-1), _xll.ciqfunctions.udf.CIQ(A2898, "IQ_CASH_OPER",IQ_FY))</f>
        <v>143.381</v>
      </c>
      <c r="K2907" s="17">
        <f>IF(A2906=A2907,_xll.ciqfunctions.udf.CIQ(A2898,"IQ_CAPEX",IQ_FY-1), _xll.ciqfunctions.udf.CIQ(A2898, "IQ_CAPEX",IQ_FY))</f>
        <v>-13.103</v>
      </c>
      <c r="L2907" s="15">
        <f t="shared" si="772"/>
        <v>1.2050333576816459</v>
      </c>
      <c r="M2907" s="17">
        <f>IF(A2906=A2907,_xll.ciqfunctions.udf.CIQ(A2898,"IQ_TOTAL_DEBT_ISSUED",IQ_FY-1), _xll.ciqfunctions.udf.CIQ(A2898, "IQ_TOTAL_DEBT_ISSUED",IQ_FY))</f>
        <v>180</v>
      </c>
      <c r="N2907" s="17">
        <f>IF(A2906=A2907,_xll.ciqfunctions.udf.CIQ(A2898,"IQ_TOTAL_DEBT_REPAID",IQ_FY-1), _xll.ciqfunctions.udf.CIQ(A2898, "IQ_TOTAL_DEBT_REPAID",IQ_FY))</f>
        <v>-172.554</v>
      </c>
      <c r="O2907" s="15">
        <f t="shared" si="773"/>
        <v>6.8873319987239084E-2</v>
      </c>
      <c r="P2907" s="15">
        <f t="shared" si="774"/>
        <v>1.273906677668885</v>
      </c>
      <c r="Q2907" s="25" t="s">
        <v>44</v>
      </c>
      <c r="R2907" s="38" t="s">
        <v>35</v>
      </c>
      <c r="S2907" s="1">
        <f>_xll.ciqfunctions.udf.CIQ(A2898,"IQ_TEV_EBITDA")</f>
        <v>13.109920000000001</v>
      </c>
      <c r="U2907" s="25" t="s">
        <v>55</v>
      </c>
      <c r="V2907" s="38" t="s">
        <v>53</v>
      </c>
      <c r="W2907" s="1">
        <f>V2897/(AVERAGE(D2903:D2908)/_xlfn.STDEV.P(E2903:E2908))</f>
        <v>0.20527642618756697</v>
      </c>
      <c r="Y2907" s="25" t="s">
        <v>57</v>
      </c>
      <c r="Z2907" s="38" t="s">
        <v>53</v>
      </c>
      <c r="AA2907" s="1">
        <f>Z2897/(AVERAGE(D2903:D2908)/_xlfn.STDEV.P(E2903:E2908))</f>
        <v>0.20527642618756697</v>
      </c>
    </row>
    <row r="2908" spans="1:27">
      <c r="B2908" s="13">
        <v>11</v>
      </c>
      <c r="C2908" s="20" t="s">
        <v>36</v>
      </c>
      <c r="D2908" s="21" cm="1">
        <f t="array" ref="D2908">_xlfn.SINGLE(IF(A2906=A2907,_xll.ciqfunctions.udf.CIQ(A2898,"IQ_TOTAL_REV",IQ_FY)/I2908, _xll.ciqfunctions.udf.CIQ(A2898, "IQ_TOTAL_REV",IQ_LTM)/I2908))</f>
        <v>13.132704589131196</v>
      </c>
      <c r="E2908" s="22">
        <f t="shared" si="775"/>
        <v>-1.4798595900876214E-3</v>
      </c>
      <c r="F2908" s="21">
        <f>IF(A2906=A2907,_xll.ciqfunctions.udf.CIQ(A2898,"IQ_DILUT_EPS_EXCL",IQ_FY), _xll.ciqfunctions.udf.CIQ(A2898, "IQ_DILUT_EPS_EXCL",IQ_LTM))</f>
        <v>0.81286999999999998</v>
      </c>
      <c r="G2908" s="21">
        <f>IF(A2906=A2907,_xll.ciqfunctions.udf.CIQ(A2898,"IQ_EBITDA_MARGIN",IQ_FY), _xll.ciqfunctions.udf.CIQ(A2898, "IQ_EBITDA_MARGIN",IQ_LTM))</f>
        <v>19.366</v>
      </c>
      <c r="H2908" s="21">
        <f>IF(A2906=A2907,_xll.ciqfunctions.udf.CIQ(A2898,"IQ_TOTAL_DIV_PAID_CF",IQ_FY)/-I2908, _xll.ciqfunctions.udf.CIQ(A2898, "IQ_TOTAL_DIV_PAID_CF",IQ_LTM)/-I2908)</f>
        <v>0</v>
      </c>
      <c r="I2908" s="23">
        <f>IF(A2906=A2907,_xll.ciqfunctions.udf.CIQ(A2898,"IQ_TOTAL_OUTSTANDING_FILING_DATE",IQ_FY),_xll.ciqfunctions.udf.CIQ(A2898,"IQ_sharesoutstanding"))</f>
        <v>108.72254</v>
      </c>
      <c r="J2908" s="23">
        <f>IF(A2906=A2907,_xll.ciqfunctions.udf.CIQ(A2898,"IQ_CASH_OPER",IQ_FY), _xll.ciqfunctions.udf.CIQ(A2898, "IQ_CASH_OPER",IQ_LTM))</f>
        <v>124.18899999999999</v>
      </c>
      <c r="K2908" s="23">
        <f>IF(A2906=A2907,_xll.ciqfunctions.udf.CIQ(A2898,"IQ_CAPEX",IQ_FY), _xll.ciqfunctions.udf.CIQ(A2898, "IQ_CAPEX",IQ_LTM))</f>
        <v>-12.936</v>
      </c>
      <c r="L2908" s="21">
        <f t="shared" si="772"/>
        <v>1.0232744746397573</v>
      </c>
      <c r="M2908" s="23">
        <f>IF(A2906=A2907,_xll.ciqfunctions.udf.CIQ(A2898,"IQ_TOTAL_DEBT_ISSUED",IQ_FY), _xll.ciqfunctions.udf.CIQ(A2898, "IQ_TOTAL_DEBT_ISSUED",IQ_LTM))</f>
        <v>170</v>
      </c>
      <c r="N2908" s="23">
        <f>IF(A2906=A2907,_xll.ciqfunctions.udf.CIQ(A2898,"IQ_TOTAL_DEBT_REPAID",IQ_FY), _xll.ciqfunctions.udf.CIQ(A2898, "IQ_TOTAL_DEBT_REPAID",IQ_LTM))</f>
        <v>-133.65199999999999</v>
      </c>
      <c r="O2908" s="21">
        <f t="shared" si="773"/>
        <v>0.33431890020229488</v>
      </c>
      <c r="P2908" s="21">
        <f t="shared" si="774"/>
        <v>1.3575933748420521</v>
      </c>
      <c r="Q2908" s="25" t="s">
        <v>45</v>
      </c>
      <c r="S2908" s="45"/>
      <c r="U2908" s="25"/>
      <c r="W2908" s="45"/>
      <c r="Y2908" s="25"/>
      <c r="AA2908" s="45"/>
    </row>
    <row r="2909" spans="1:27">
      <c r="B2909" s="24"/>
      <c r="C2909" s="25" t="s">
        <v>37</v>
      </c>
      <c r="E2909" s="26">
        <f>((D2908/D2903)^(1/5))-1</f>
        <v>8.5986294463698432E-2</v>
      </c>
      <c r="F2909" s="27">
        <f>((F2908/F2903)^(1/5))-1</f>
        <v>6.6188065286450382E-2</v>
      </c>
      <c r="G2909" s="28"/>
      <c r="H2909" s="27" t="e">
        <f>((H2908/H2903)^(1/5))-1</f>
        <v>#DIV/0!</v>
      </c>
      <c r="I2909" s="27">
        <f>((I2908/I2903)^(1/5))-1</f>
        <v>-1.3118391019596221E-2</v>
      </c>
      <c r="J2909" s="27"/>
      <c r="K2909" s="27"/>
      <c r="L2909" s="26">
        <f>((L2908/L2903)^(1/5))-1</f>
        <v>-6.427100097887728E-2</v>
      </c>
      <c r="M2909" s="26"/>
      <c r="N2909" s="26"/>
      <c r="O2909" s="26"/>
      <c r="P2909" s="26">
        <f>((P2908/P2903)^(1/5))-1</f>
        <v>1.0536423040409693E-2</v>
      </c>
      <c r="Q2909" s="18"/>
      <c r="R2909" s="36"/>
      <c r="S2909" s="45"/>
      <c r="U2909" s="18"/>
      <c r="V2909" s="36"/>
      <c r="W2909" s="45"/>
      <c r="Y2909" s="18"/>
      <c r="Z2909" s="36"/>
      <c r="AA2909" s="45"/>
    </row>
    <row r="2910" spans="1:27">
      <c r="A2910" s="29"/>
      <c r="B2910" s="30"/>
      <c r="C2910" s="31" t="s">
        <v>38</v>
      </c>
      <c r="D2910" s="29"/>
      <c r="E2910" s="32">
        <f>((D2908/D2898)^(1/10))-1</f>
        <v>5.7647757523461518E-2</v>
      </c>
      <c r="F2910" s="33">
        <f>((F2908/F2898)^(1/10))-1</f>
        <v>4.3697210212239046E-2</v>
      </c>
      <c r="G2910" s="34"/>
      <c r="H2910" s="33" t="e">
        <f>((H2908/H2898)^(1/10))-1</f>
        <v>#DIV/0!</v>
      </c>
      <c r="I2910" s="33">
        <f>((I2908/I2898)^(1/10))-1</f>
        <v>-5.9039962713518523E-3</v>
      </c>
      <c r="J2910" s="33"/>
      <c r="K2910" s="33"/>
      <c r="L2910" s="32">
        <f>((L2908/L2898)^(1/10))-1</f>
        <v>6.1696263948141095E-4</v>
      </c>
      <c r="M2910" s="32"/>
      <c r="N2910" s="32"/>
      <c r="O2910" s="32"/>
      <c r="P2910" s="32">
        <f>((P2908/P2898)^(1/10))-1</f>
        <v>-0.10678064209057725</v>
      </c>
      <c r="Q2910" s="40"/>
      <c r="R2910" s="41"/>
      <c r="S2910" s="46"/>
      <c r="U2910" s="40"/>
      <c r="V2910" s="41"/>
      <c r="W2910" s="46"/>
      <c r="Y2910" s="40"/>
      <c r="Z2910" s="41"/>
      <c r="AA2910" s="46"/>
    </row>
    <row r="2911" spans="1:27">
      <c r="B2911" s="24"/>
      <c r="C2911" s="25"/>
      <c r="E2911" s="26"/>
      <c r="F2911" s="27"/>
      <c r="G2911" s="28"/>
      <c r="H2911" s="27"/>
      <c r="I2911" s="27"/>
      <c r="J2911" s="27"/>
      <c r="K2911" s="27"/>
      <c r="L2911" s="26"/>
      <c r="M2911" s="17"/>
      <c r="N2911" s="17"/>
      <c r="O2911" s="17"/>
      <c r="P2911" s="35"/>
      <c r="Q2911" s="18"/>
      <c r="R2911" s="36"/>
    </row>
    <row r="2912" spans="1:27">
      <c r="A2912" s="9" t="s">
        <v>0</v>
      </c>
      <c r="B2912" s="10"/>
      <c r="C2912" s="9" t="s">
        <v>1</v>
      </c>
      <c r="D2912" s="9" t="s">
        <v>2</v>
      </c>
      <c r="E2912" s="9" t="s">
        <v>3</v>
      </c>
      <c r="F2912" s="11" t="s">
        <v>4</v>
      </c>
      <c r="G2912" s="11" t="s">
        <v>5</v>
      </c>
      <c r="H2912" s="9" t="s">
        <v>6</v>
      </c>
      <c r="I2912" s="11" t="s">
        <v>7</v>
      </c>
      <c r="J2912" s="11" t="s">
        <v>8</v>
      </c>
      <c r="K2912" s="11" t="s">
        <v>9</v>
      </c>
      <c r="L2912" s="11" t="s">
        <v>10</v>
      </c>
      <c r="M2912" s="11" t="s">
        <v>11</v>
      </c>
      <c r="N2912" s="11" t="s">
        <v>12</v>
      </c>
      <c r="O2912" s="11" t="s">
        <v>13</v>
      </c>
      <c r="P2912" s="11" t="s">
        <v>14</v>
      </c>
      <c r="Q2912" s="37" t="s">
        <v>15</v>
      </c>
      <c r="R2912" s="42">
        <f>_xll.ciqfunctions.udf.CIQ(A2913,("IQ_LASTSALEPRICE"))</f>
        <v>53.89</v>
      </c>
      <c r="S2912" s="44"/>
      <c r="U2912" s="37" t="s">
        <v>15</v>
      </c>
      <c r="V2912" s="42">
        <f>_xll.ciqfunctions.udf.CIQ(A2913,("IQ_LASTSALEPRICE"))</f>
        <v>53.89</v>
      </c>
      <c r="W2912" s="44"/>
      <c r="Y2912" s="37" t="s">
        <v>15</v>
      </c>
      <c r="Z2912" s="42">
        <f>_xll.ciqfunctions.udf.CIQ(A2913,("IQ_LASTSALEPRICE"))</f>
        <v>53.89</v>
      </c>
      <c r="AA2912" s="44"/>
    </row>
    <row r="2913" spans="1:27">
      <c r="A2913" s="12" t="str">
        <f>Analysis!B196</f>
        <v>NasdaqGS:PRGS</v>
      </c>
      <c r="B2913" s="13">
        <v>1</v>
      </c>
      <c r="C2913" s="14" t="s">
        <v>16</v>
      </c>
      <c r="D2913" s="15">
        <f>IF(A2921=A2922,_xll.ciqfunctions.udf.CIQ(A2913,"IQ_TOTAL_REV",IQ_FY-10)/I2913,_xll.ciqfunctions.udf.CIQ(A2913, "IQ_TOTAL_REV",IQ_FY-9)/I2913)</f>
        <v>6.4753005040713454</v>
      </c>
      <c r="E2913" s="16"/>
      <c r="F2913" s="15">
        <f>IF(A2921=A2922,_xll.ciqfunctions.udf.CIQ(A2913,"IQ_DILUT_EPS_EXCL",IQ_FY-10), _xll.ciqfunctions.udf.CIQ(A2913, "IQ_DILUT_EPS_EXCL",IQ_FY-9))</f>
        <v>0.72</v>
      </c>
      <c r="G2913" s="15">
        <f>IF(A2921=A2922,_xll.ciqfunctions.udf.CIQ(A2913,"IQ_EBITDA_MARGIN",IQ_FY-10), _xll.ciqfunctions.udf.CIQ(A2913, "IQ_EBITDA_MARGIN",IQ_FY-9))</f>
        <v>27.952999999999999</v>
      </c>
      <c r="H2913" s="15">
        <f>IF(A2921=A2922,_xll.ciqfunctions.udf.CIQ(A2913,"IQ_TOTAL_DIV_PAID_CF",IQ_FY-10)/-I2913, _xll.ciqfunctions.udf.CIQ(A2913, "IQ_TOTAL_DIV_PAID_CF",IQ_FY-9)/-I2913)</f>
        <v>0</v>
      </c>
      <c r="I2913" s="17">
        <f>IF(A2921=A2922,_xll.ciqfunctions.udf.CIQ(A2913,"IQ_TOTAL_OUTSTANDING_FILING_DATE",IQ_FY-10), _xll.ciqfunctions.udf.CIQ(A2913, "IQ_TOTAL_OUTSTANDING_FILING_DATE",IQ_FY-9))</f>
        <v>51.58</v>
      </c>
      <c r="J2913" s="17">
        <f>IF(A2921=A2922,_xll.ciqfunctions.udf.CIQ(A2913,"IQ_CASH_OPER",IQ_FY-10), _xll.ciqfunctions.udf.CIQ(A2913, "IQ_CASH_OPER",IQ_FY-9))</f>
        <v>4.58</v>
      </c>
      <c r="K2913" s="17">
        <f>IF(A2921=A2922,_xll.ciqfunctions.udf.CIQ(A2913,"IQ_CAPEX",IQ_FY-10), _xll.ciqfunctions.udf.CIQ(A2913, "IQ_CAPEX",IQ_FY-9))</f>
        <v>-4.226</v>
      </c>
      <c r="L2913" s="15">
        <f t="shared" ref="L2913:L2923" si="776">(J2913+K2913)/I2913</f>
        <v>6.8631252423419949E-3</v>
      </c>
      <c r="M2913" s="17">
        <f>IF(A2921=A2922,_xll.ciqfunctions.udf.CIQ(A2913,"IQ_TOTAL_DEBT_ISSUED",IQ_FY-10), _xll.ciqfunctions.udf.CIQ(A2913, "IQ_TOTAL_DEBT_ISSUED",IQ_FY-9))</f>
        <v>0</v>
      </c>
      <c r="N2913" s="17">
        <f>IF(A2921=A2922,_xll.ciqfunctions.udf.CIQ(A2913,"IQ_TOTAL_DEBT_REPAID",IQ_FY-10), _xll.ciqfunctions.udf.CIQ(A2913, "IQ_TOTAL_DEBT_REPAID",IQ_FY-9))</f>
        <v>0</v>
      </c>
      <c r="O2913" s="15">
        <f t="shared" ref="O2913:O2923" si="777">(M2913+N2913)/I2913</f>
        <v>0</v>
      </c>
      <c r="P2913" s="15">
        <f t="shared" ref="P2913:P2923" si="778">L2913+O2913</f>
        <v>6.8631252423419949E-3</v>
      </c>
      <c r="W2913" s="43"/>
      <c r="AA2913" s="43"/>
    </row>
    <row r="2914" spans="1:27">
      <c r="A2914" s="18" t="str">
        <f>_xll.ciqfunctions.udf.CIQ(A2913,"IQ_COMPANY_NAME")</f>
        <v>Progress Software Corporation</v>
      </c>
      <c r="B2914" s="13">
        <v>2</v>
      </c>
      <c r="C2914" s="14" t="s">
        <v>17</v>
      </c>
      <c r="D2914" s="15">
        <f>IF(A2921=A2922,_xll.ciqfunctions.udf.CIQ(A2913,"IQ_TOTAL_REV",IQ_FY-9)/I2914, _xll.ciqfunctions.udf.CIQ(A2913, "IQ_TOTAL_REV",IQ_FY-8)/I2914)</f>
        <v>6.5629786058261628</v>
      </c>
      <c r="E2914" s="16">
        <f t="shared" ref="E2914:E2923" si="779">(D2914-D2913)/D2913</f>
        <v>1.3540391167898659E-2</v>
      </c>
      <c r="F2914" s="15">
        <f>IF(A2921=A2922,_xll.ciqfunctions.udf.CIQ(A2913,"IQ_DILUT_EPS_EXCL",IQ_FY-9), _xll.ciqfunctions.udf.CIQ(A2913, "IQ_DILUT_EPS_EXCL",IQ_FY-8))</f>
        <v>0.96</v>
      </c>
      <c r="G2914" s="15">
        <f>IF(A2921=A2922,_xll.ciqfunctions.udf.CIQ(A2913,"IQ_EBITDA_MARGIN",IQ_FY-9), _xll.ciqfunctions.udf.CIQ(A2913, "IQ_EBITDA_MARGIN",IQ_FY-8))</f>
        <v>31.474699999999999</v>
      </c>
      <c r="H2914" s="15">
        <f>IF(A2921=A2922,_xll.ciqfunctions.udf.CIQ(A2913,"IQ_TOTAL_DIV_PAID_CF",IQ_FY-9)/-I2914, _xll.ciqfunctions.udf.CIQ(A2913, "IQ_TOTAL_DIV_PAID_CF",IQ_FY-8)/-I2914)</f>
        <v>0</v>
      </c>
      <c r="I2914" s="17">
        <f>IF(A2921=A2922,_xll.ciqfunctions.udf.CIQ(A2913,"IQ_TOTAL_OUTSTANDING_FILING_DATE",IQ_FY-9), _xll.ciqfunctions.udf.CIQ(A2913, "IQ_TOTAL_OUTSTANDING_FILING_DATE",IQ_FY-8))</f>
        <v>50.667999999999999</v>
      </c>
      <c r="J2914" s="17">
        <f>IF(A2921=A2922,_xll.ciqfunctions.udf.CIQ(A2913,"IQ_CASH_OPER",IQ_FY-9), _xll.ciqfunctions.udf.CIQ(A2913, "IQ_CASH_OPER",IQ_FY-8))</f>
        <v>107.694</v>
      </c>
      <c r="K2914" s="17">
        <f>IF(A2921=A2922,_xll.ciqfunctions.udf.CIQ(A2913,"IQ_CAPEX",IQ_FY-9), _xll.ciqfunctions.udf.CIQ(A2913, "IQ_CAPEX",IQ_FY-8))</f>
        <v>-7.9850000000000003</v>
      </c>
      <c r="L2914" s="15">
        <f t="shared" si="776"/>
        <v>1.9678890029209759</v>
      </c>
      <c r="M2914" s="17">
        <f>IF(A2921=A2922,_xll.ciqfunctions.udf.CIQ(A2913,"IQ_TOTAL_DEBT_ISSUED",IQ_FY-9), _xll.ciqfunctions.udf.CIQ(A2913, "IQ_TOTAL_DEBT_ISSUED",IQ_FY-8))</f>
        <v>0</v>
      </c>
      <c r="N2914" s="17">
        <f>IF(A2921=A2922,_xll.ciqfunctions.udf.CIQ(A2913,"IQ_TOTAL_DEBT_REPAID",IQ_FY-9), _xll.ciqfunctions.udf.CIQ(A2913, "IQ_TOTAL_DEBT_REPAID",IQ_FY-8))</f>
        <v>0</v>
      </c>
      <c r="O2914" s="15">
        <f t="shared" si="777"/>
        <v>0</v>
      </c>
      <c r="P2914" s="15">
        <f t="shared" si="778"/>
        <v>1.9678890029209759</v>
      </c>
      <c r="Q2914" s="25" t="s">
        <v>18</v>
      </c>
      <c r="R2914" s="39" t="s">
        <v>19</v>
      </c>
      <c r="S2914" s="1">
        <f>R2912/((AVERAGE(P2918:P2923))*(1+E2924)^3)</f>
        <v>6.3908270487213352</v>
      </c>
      <c r="U2914" s="25" t="s">
        <v>48</v>
      </c>
      <c r="V2914" s="39" t="s">
        <v>19</v>
      </c>
      <c r="W2914" s="1">
        <f>V2912/((AVERAGE(P2918:P2923))*(1+E2924)^3)</f>
        <v>6.3908270487213352</v>
      </c>
      <c r="Y2914" s="25" t="s">
        <v>39</v>
      </c>
      <c r="Z2914" s="39" t="s">
        <v>19</v>
      </c>
      <c r="AA2914" s="1">
        <f>Z2912/((AVERAGE(P2918:P2923))*(1+E2924)^3)</f>
        <v>6.3908270487213352</v>
      </c>
    </row>
    <row r="2915" spans="1:27">
      <c r="B2915" s="13">
        <v>3</v>
      </c>
      <c r="C2915" s="14" t="s">
        <v>20</v>
      </c>
      <c r="D2915" s="15" cm="1">
        <f t="array" ref="D2915">_xlfn.SINGLE(IF(A2921=A2922,_xll.ciqfunctions.udf.CIQ(A2913,"IQ_TOTAL_REV",IQ_FY-8)/I2915, _xll.ciqfunctions.udf.CIQ(A2913, "IQ_TOTAL_REV",IQ_FY-7)/I2915))</f>
        <v>7.4166895847247867</v>
      </c>
      <c r="E2915" s="16">
        <f t="shared" si="779"/>
        <v>0.13007980524890905</v>
      </c>
      <c r="F2915" s="15">
        <f>IF(A2921=A2922,_xll.ciqfunctions.udf.CIQ(A2913,"IQ_DILUT_EPS_EXCL",IQ_FY-8), _xll.ciqfunctions.udf.CIQ(A2913, "IQ_DILUT_EPS_EXCL",IQ_FY-7))</f>
        <v>-0.17465</v>
      </c>
      <c r="G2915" s="15">
        <f>IF(A2921=A2922,_xll.ciqfunctions.udf.CIQ(A2913,"IQ_EBITDA_MARGIN",IQ_FY-8), _xll.ciqfunctions.udf.CIQ(A2913, "IQ_EBITDA_MARGIN",IQ_FY-7))</f>
        <v>19.2454</v>
      </c>
      <c r="H2915" s="15">
        <f>IF(A2921=A2922,_xll.ciqfunctions.udf.CIQ(A2913,"IQ_TOTAL_DIV_PAID_CF",IQ_FY-8)/-I2915, _xll.ciqfunctions.udf.CIQ(A2913, "IQ_TOTAL_DIV_PAID_CF",IQ_FY-7)/-I2915)</f>
        <v>0</v>
      </c>
      <c r="I2915" s="17">
        <f>IF(A2921=A2922,_xll.ciqfunctions.udf.CIQ(A2913,"IQ_TOTAL_OUTSTANDING_FILING_DATE",IQ_FY-8), _xll.ciqfunctions.udf.CIQ(A2913, "IQ_TOTAL_OUTSTANDING_FILING_DATE",IQ_FY-7))</f>
        <v>50.905999999999999</v>
      </c>
      <c r="J2915" s="17">
        <f>IF(A2921=A2922,_xll.ciqfunctions.udf.CIQ(A2913,"IQ_CASH_OPER",IQ_FY-8), _xll.ciqfunctions.udf.CIQ(A2913, "IQ_CASH_OPER",IQ_FY-7))</f>
        <v>104.54</v>
      </c>
      <c r="K2915" s="17">
        <f>IF(A2921=A2922,_xll.ciqfunctions.udf.CIQ(A2913,"IQ_CAPEX",IQ_FY-8), _xll.ciqfunctions.udf.CIQ(A2913, "IQ_CAPEX",IQ_FY-7))</f>
        <v>-7.1840000000000002</v>
      </c>
      <c r="L2915" s="15">
        <f t="shared" si="776"/>
        <v>1.9124661140140653</v>
      </c>
      <c r="M2915" s="17">
        <f>IF(A2921=A2922,_xll.ciqfunctions.udf.CIQ(A2913,"IQ_TOTAL_DEBT_ISSUED",IQ_FY-8), _xll.ciqfunctions.udf.CIQ(A2913, "IQ_TOTAL_DEBT_ISSUED",IQ_FY-7))</f>
        <v>150</v>
      </c>
      <c r="N2915" s="17">
        <f>IF(A2921=A2922,_xll.ciqfunctions.udf.CIQ(A2913,"IQ_TOTAL_DEBT_REPAID",IQ_FY-8), _xll.ciqfunctions.udf.CIQ(A2913, "IQ_TOTAL_DEBT_REPAID",IQ_FY-7))</f>
        <v>-5.625</v>
      </c>
      <c r="O2915" s="15">
        <f t="shared" si="777"/>
        <v>2.8361096923741798</v>
      </c>
      <c r="P2915" s="15">
        <f t="shared" si="778"/>
        <v>4.7485758063882448</v>
      </c>
      <c r="Q2915" s="25" t="s">
        <v>21</v>
      </c>
      <c r="R2915" s="38" t="s">
        <v>49</v>
      </c>
      <c r="S2915" s="2">
        <f>(R2912*I2923)/1000</f>
        <v>2.3477367115000001</v>
      </c>
      <c r="U2915" s="25" t="s">
        <v>59</v>
      </c>
      <c r="V2915" s="38" t="s">
        <v>49</v>
      </c>
      <c r="W2915" s="2">
        <f>(V2912*I2923)/1000</f>
        <v>2.3477367115000001</v>
      </c>
      <c r="Y2915" s="25" t="s">
        <v>46</v>
      </c>
      <c r="Z2915" s="38" t="s">
        <v>49</v>
      </c>
      <c r="AA2915" s="2">
        <f>(Z2912*I2923)/1000</f>
        <v>2.3477367115000001</v>
      </c>
    </row>
    <row r="2916" spans="1:27">
      <c r="A2916" s="18"/>
      <c r="B2916" s="13">
        <v>4</v>
      </c>
      <c r="C2916" s="14" t="s">
        <v>22</v>
      </c>
      <c r="D2916" s="15" cm="1">
        <f t="array" ref="D2916">_xlfn.SINGLE(IF(A2921=A2922,_xll.ciqfunctions.udf.CIQ(A2913,"IQ_TOTAL_REV",IQ_FY-7)/I2916, _xll.ciqfunctions.udf.CIQ(A2913, "IQ_TOTAL_REV",IQ_FY-6)/I2916))</f>
        <v>8.3172855848093672</v>
      </c>
      <c r="E2916" s="16">
        <f t="shared" si="779"/>
        <v>0.121428298946126</v>
      </c>
      <c r="F2916" s="15">
        <f>IF(A2921=A2922,_xll.ciqfunctions.udf.CIQ(A2913,"IQ_DILUT_EPS_EXCL",IQ_FY-7), _xll.ciqfunctions.udf.CIQ(A2913, "IQ_DILUT_EPS_EXCL",IQ_FY-6))</f>
        <v>-1.1299999999999999</v>
      </c>
      <c r="G2916" s="15">
        <f>IF(A2921=A2922,_xll.ciqfunctions.udf.CIQ(A2913,"IQ_EBITDA_MARGIN",IQ_FY-7), _xll.ciqfunctions.udf.CIQ(A2913, "IQ_EBITDA_MARGIN",IQ_FY-6))</f>
        <v>26.864999999999998</v>
      </c>
      <c r="H2916" s="15">
        <f>IF(A2921=A2922,_xll.ciqfunctions.udf.CIQ(A2913,"IQ_TOTAL_DIV_PAID_CF",IQ_FY-7)/-I2916, _xll.ciqfunctions.udf.CIQ(A2913, "IQ_TOTAL_DIV_PAID_CF",IQ_FY-6)/-I2916)</f>
        <v>0</v>
      </c>
      <c r="I2916" s="17">
        <f>IF(A2921=A2922,_xll.ciqfunctions.udf.CIQ(A2913,"IQ_TOTAL_OUTSTANDING_FILING_DATE",IQ_FY-7), _xll.ciqfunctions.udf.CIQ(A2913, "IQ_TOTAL_OUTSTANDING_FILING_DATE",IQ_FY-6))</f>
        <v>48.734769999999997</v>
      </c>
      <c r="J2916" s="17">
        <f>IF(A2921=A2922,_xll.ciqfunctions.udf.CIQ(A2913,"IQ_CASH_OPER",IQ_FY-7), _xll.ciqfunctions.udf.CIQ(A2913, "IQ_CASH_OPER",IQ_FY-6))</f>
        <v>102.845</v>
      </c>
      <c r="K2916" s="17">
        <f>IF(A2921=A2922,_xll.ciqfunctions.udf.CIQ(A2913,"IQ_CAPEX",IQ_FY-7), _xll.ciqfunctions.udf.CIQ(A2913, "IQ_CAPEX",IQ_FY-6))</f>
        <v>-5.7859999999999996</v>
      </c>
      <c r="L2916" s="15">
        <f t="shared" si="776"/>
        <v>1.9915760349335803</v>
      </c>
      <c r="M2916" s="17">
        <f>IF(A2921=A2922,_xll.ciqfunctions.udf.CIQ(A2913,"IQ_TOTAL_DEBT_ISSUED",IQ_FY-7), _xll.ciqfunctions.udf.CIQ(A2913, "IQ_TOTAL_DEBT_ISSUED",IQ_FY-6))</f>
        <v>0</v>
      </c>
      <c r="N2916" s="17">
        <f>IF(A2921=A2922,_xll.ciqfunctions.udf.CIQ(A2913,"IQ_TOTAL_DEBT_REPAID",IQ_FY-7), _xll.ciqfunctions.udf.CIQ(A2913, "IQ_TOTAL_DEBT_REPAID",IQ_FY-6))</f>
        <v>-9.375</v>
      </c>
      <c r="O2916" s="15">
        <f t="shared" si="777"/>
        <v>-0.19236778997828452</v>
      </c>
      <c r="P2916" s="15">
        <f t="shared" si="778"/>
        <v>1.7992082449552957</v>
      </c>
      <c r="Q2916" s="25" t="s">
        <v>23</v>
      </c>
      <c r="R2916" s="38" t="s">
        <v>24</v>
      </c>
      <c r="S2916" s="1">
        <f>R2912/(AVERAGE(H2918:H2923)*(1+H2924)/(0.5-H2924))</f>
        <v>34.795027254338407</v>
      </c>
      <c r="U2916" s="25" t="s">
        <v>40</v>
      </c>
      <c r="V2916" s="38" t="s">
        <v>24</v>
      </c>
      <c r="W2916" s="1">
        <f>V2912/(AVERAGE(H2918:H2923)*(1+H2924)/(0.5-H2924))</f>
        <v>34.795027254338407</v>
      </c>
      <c r="Y2916" s="25" t="s">
        <v>47</v>
      </c>
      <c r="Z2916" s="38" t="s">
        <v>24</v>
      </c>
      <c r="AA2916" s="1">
        <f>Z2912/(AVERAGE(H2918:H2923)*(1+H2924)/(0.5-H2924))</f>
        <v>34.795027254338407</v>
      </c>
    </row>
    <row r="2917" spans="1:27">
      <c r="B2917" s="13">
        <v>5</v>
      </c>
      <c r="C2917" s="14" t="s">
        <v>25</v>
      </c>
      <c r="D2917" s="15" cm="1">
        <f t="array" ref="D2917">_xlfn.SINGLE(IF(A2921=A2922,_xll.ciqfunctions.udf.CIQ(A2913,"IQ_TOTAL_REV",IQ_FY-6)/I2917, _xll.ciqfunctions.udf.CIQ(A2913, "IQ_TOTAL_REV",IQ_FY-5)/I2917))</f>
        <v>8.389311805407047</v>
      </c>
      <c r="E2917" s="16">
        <f t="shared" si="779"/>
        <v>8.6598229510392206E-3</v>
      </c>
      <c r="F2917" s="15">
        <f>IF(A2921=A2922,_xll.ciqfunctions.udf.CIQ(A2913,"IQ_DILUT_EPS_EXCL",IQ_FY-6), _xll.ciqfunctions.udf.CIQ(A2913, "IQ_DILUT_EPS_EXCL",IQ_FY-5))</f>
        <v>0.6</v>
      </c>
      <c r="G2917" s="15">
        <f>IF(A2921=A2922,_xll.ciqfunctions.udf.CIQ(A2913,"IQ_EBITDA_MARGIN",IQ_FY-6), _xll.ciqfunctions.udf.CIQ(A2913, "IQ_EBITDA_MARGIN",IQ_FY-5))</f>
        <v>32.6282</v>
      </c>
      <c r="H2917" s="15">
        <f>IF(A2921=A2922,_xll.ciqfunctions.udf.CIQ(A2913,"IQ_TOTAL_DIV_PAID_CF",IQ_FY-6)/-I2917, _xll.ciqfunctions.udf.CIQ(A2913, "IQ_TOTAL_DIV_PAID_CF",IQ_FY-5)/-I2917)</f>
        <v>0.52012551824998787</v>
      </c>
      <c r="I2917" s="17">
        <f>IF(A2921=A2922,_xll.ciqfunctions.udf.CIQ(A2913,"IQ_TOTAL_OUTSTANDING_FILING_DATE",IQ_FY-6), _xll.ciqfunctions.udf.CIQ(A2913, "IQ_TOTAL_OUTSTANDING_FILING_DATE",IQ_FY-5))</f>
        <v>46.386879999999998</v>
      </c>
      <c r="J2917" s="17">
        <f>IF(A2921=A2922,_xll.ciqfunctions.udf.CIQ(A2913,"IQ_CASH_OPER",IQ_FY-6), _xll.ciqfunctions.udf.CIQ(A2913, "IQ_CASH_OPER",IQ_FY-5))</f>
        <v>105.68600000000001</v>
      </c>
      <c r="K2917" s="17">
        <f>IF(A2921=A2922,_xll.ciqfunctions.udf.CIQ(A2913,"IQ_CAPEX",IQ_FY-6), _xll.ciqfunctions.udf.CIQ(A2913, "IQ_CAPEX",IQ_FY-5))</f>
        <v>-3.3769999999999998</v>
      </c>
      <c r="L2917" s="15">
        <f t="shared" si="776"/>
        <v>2.2055589856442168</v>
      </c>
      <c r="M2917" s="17">
        <f>IF(A2921=A2922,_xll.ciqfunctions.udf.CIQ(A2913,"IQ_TOTAL_DEBT_ISSUED",IQ_FY-6), _xll.ciqfunctions.udf.CIQ(A2913, "IQ_TOTAL_DEBT_ISSUED",IQ_FY-5))</f>
        <v>0</v>
      </c>
      <c r="N2917" s="17">
        <f>IF(A2921=A2922,_xll.ciqfunctions.udf.CIQ(A2913,"IQ_TOTAL_DEBT_REPAID",IQ_FY-6), _xll.ciqfunctions.udf.CIQ(A2913, "IQ_TOTAL_DEBT_REPAID",IQ_FY-5))</f>
        <v>-11.25</v>
      </c>
      <c r="O2917" s="15">
        <f t="shared" si="777"/>
        <v>-0.24252547271987251</v>
      </c>
      <c r="P2917" s="15">
        <f t="shared" si="778"/>
        <v>1.9630335129243444</v>
      </c>
      <c r="Q2917" s="18"/>
      <c r="R2917" s="38" t="s">
        <v>50</v>
      </c>
      <c r="S2917" s="3">
        <f>I2924</f>
        <v>-7.136700881614777E-3</v>
      </c>
      <c r="U2917" s="18"/>
      <c r="V2917" s="38" t="s">
        <v>50</v>
      </c>
      <c r="W2917" s="3">
        <f>I2924</f>
        <v>-7.136700881614777E-3</v>
      </c>
      <c r="Y2917" s="18"/>
      <c r="Z2917" s="38" t="s">
        <v>50</v>
      </c>
      <c r="AA2917" s="3">
        <f>I2924</f>
        <v>-7.136700881614777E-3</v>
      </c>
    </row>
    <row r="2918" spans="1:27">
      <c r="B2918" s="13">
        <v>6</v>
      </c>
      <c r="C2918" s="14" t="s">
        <v>26</v>
      </c>
      <c r="D2918" s="15" cm="1">
        <f t="array" ref="D2918">_xlfn.SINGLE(IF(A2921=A2922,_xll.ciqfunctions.udf.CIQ(A2913,"IQ_TOTAL_REV",IQ_FY-5)/I2918, _xll.ciqfunctions.udf.CIQ(A2913, "IQ_TOTAL_REV",IQ_FY-4)/I2918))</f>
        <v>8.3931216359390675</v>
      </c>
      <c r="E2918" s="16">
        <f t="shared" si="779"/>
        <v>4.541290895356809E-4</v>
      </c>
      <c r="F2918" s="15">
        <f>IF(A2921=A2922,_xll.ciqfunctions.udf.CIQ(A2913,"IQ_DILUT_EPS_EXCL",IQ_FY-5), _xll.ciqfunctions.udf.CIQ(A2913, "IQ_DILUT_EPS_EXCL",IQ_FY-4))</f>
        <v>1.08</v>
      </c>
      <c r="G2918" s="15">
        <f>IF(A2921=A2922,_xll.ciqfunctions.udf.CIQ(A2913,"IQ_EBITDA_MARGIN",IQ_FY-5), _xll.ciqfunctions.udf.CIQ(A2913, "IQ_EBITDA_MARGIN",IQ_FY-4))</f>
        <v>31.992100000000001</v>
      </c>
      <c r="H2918" s="15">
        <f>IF(A2921=A2922,_xll.ciqfunctions.udf.CIQ(A2913,"IQ_TOTAL_DIV_PAID_CF",IQ_FY-5)/-I2918, _xll.ciqfunctions.udf.CIQ(A2913, "IQ_TOTAL_DIV_PAID_CF",IQ_FY-4)/-I2918)</f>
        <v>0.57113737593502734</v>
      </c>
      <c r="I2918" s="17">
        <f>IF(A2921=A2922,_xll.ciqfunctions.udf.CIQ(A2913,"IQ_TOTAL_OUTSTANDING_FILING_DATE",IQ_FY-5), _xll.ciqfunctions.udf.CIQ(A2913, "IQ_TOTAL_OUTSTANDING_FILING_DATE",IQ_FY-4))</f>
        <v>45.153759999999998</v>
      </c>
      <c r="J2918" s="17">
        <f>IF(A2921=A2922,_xll.ciqfunctions.udf.CIQ(A2913,"IQ_CASH_OPER",IQ_FY-5), _xll.ciqfunctions.udf.CIQ(A2913, "IQ_CASH_OPER",IQ_FY-4))</f>
        <v>121.352</v>
      </c>
      <c r="K2918" s="17">
        <f>IF(A2921=A2922,_xll.ciqfunctions.udf.CIQ(A2913,"IQ_CAPEX",IQ_FY-5), _xll.ciqfunctions.udf.CIQ(A2913, "IQ_CAPEX",IQ_FY-4))</f>
        <v>-7.25</v>
      </c>
      <c r="L2918" s="15">
        <f t="shared" si="776"/>
        <v>2.5269656391848656</v>
      </c>
      <c r="M2918" s="17">
        <f>IF(A2921=A2922,_xll.ciqfunctions.udf.CIQ(A2913,"IQ_TOTAL_DEBT_ISSUED",IQ_FY-5), _xll.ciqfunctions.udf.CIQ(A2913, "IQ_TOTAL_DEBT_ISSUED",IQ_FY-4))</f>
        <v>0</v>
      </c>
      <c r="N2918" s="17">
        <f>IF(A2921=A2922,_xll.ciqfunctions.udf.CIQ(A2913,"IQ_TOTAL_DEBT_REPAID",IQ_FY-5), _xll.ciqfunctions.udf.CIQ(A2913, "IQ_TOTAL_DEBT_REPAID",IQ_FY-4))</f>
        <v>-6.1879999999999997</v>
      </c>
      <c r="O2918" s="15">
        <f t="shared" si="777"/>
        <v>-0.13704285091651283</v>
      </c>
      <c r="P2918" s="15">
        <f t="shared" si="778"/>
        <v>2.3899227882683527</v>
      </c>
      <c r="Q2918" s="25" t="s">
        <v>27</v>
      </c>
      <c r="R2918" s="38" t="s">
        <v>51</v>
      </c>
      <c r="S2918" s="4">
        <f>AVERAGE(F2918:F2923)/AVERAGE(D2918:D2923)</f>
        <v>0.13195418409442886</v>
      </c>
      <c r="U2918" s="25" t="s">
        <v>58</v>
      </c>
      <c r="V2918" s="38" t="s">
        <v>51</v>
      </c>
      <c r="W2918" s="4">
        <f>AVERAGE(F2918:F2923)/AVERAGE(D2918:D2923)</f>
        <v>0.13195418409442886</v>
      </c>
      <c r="Y2918" s="25" t="s">
        <v>56</v>
      </c>
      <c r="Z2918" s="38" t="s">
        <v>51</v>
      </c>
      <c r="AA2918" s="4">
        <f>AVERAGE(F2918:F2923)/AVERAGE(D2918:D2923)</f>
        <v>0.13195418409442886</v>
      </c>
    </row>
    <row r="2919" spans="1:27">
      <c r="A2919" s="18"/>
      <c r="B2919" s="13">
        <v>7</v>
      </c>
      <c r="C2919" s="14" t="s">
        <v>28</v>
      </c>
      <c r="D2919" s="15" cm="1">
        <f t="array" ref="D2919">_xlfn.SINGLE(IF(A2921=A2922,_xll.ciqfunctions.udf.CIQ(A2913,"IQ_TOTAL_REV",IQ_FY-4)/I2919, _xll.ciqfunctions.udf.CIQ(A2913, "IQ_TOTAL_REV",IQ_FY-3)/I2919))</f>
        <v>9.1638647971966822</v>
      </c>
      <c r="E2919" s="16">
        <f t="shared" si="779"/>
        <v>9.1830333776805786E-2</v>
      </c>
      <c r="F2919" s="15">
        <f>IF(A2921=A2922,_xll.ciqfunctions.udf.CIQ(A2913,"IQ_DILUT_EPS_EXCL",IQ_FY-4), _xll.ciqfunctions.udf.CIQ(A2913, "IQ_DILUT_EPS_EXCL",IQ_FY-3))</f>
        <v>0.57999999999999996</v>
      </c>
      <c r="G2919" s="15">
        <f>IF(A2921=A2922,_xll.ciqfunctions.udf.CIQ(A2913,"IQ_EBITDA_MARGIN",IQ_FY-4), _xll.ciqfunctions.udf.CIQ(A2913, "IQ_EBITDA_MARGIN",IQ_FY-3))</f>
        <v>31.1755</v>
      </c>
      <c r="H2919" s="15">
        <f>IF(A2921=A2922,_xll.ciqfunctions.udf.CIQ(A2913,"IQ_TOTAL_DIV_PAID_CF",IQ_FY-4)/-I2919, _xll.ciqfunctions.udf.CIQ(A2913, "IQ_TOTAL_DIV_PAID_CF",IQ_FY-3)/-I2919)</f>
        <v>0.6155096002646514</v>
      </c>
      <c r="I2919" s="17">
        <f>IF(A2921=A2922,_xll.ciqfunctions.udf.CIQ(A2913,"IQ_TOTAL_OUTSTANDING_FILING_DATE",IQ_FY-4), _xll.ciqfunctions.udf.CIQ(A2913, "IQ_TOTAL_OUTSTANDING_FILING_DATE",IQ_FY-3))</f>
        <v>45.100839999999998</v>
      </c>
      <c r="J2919" s="17">
        <f>IF(A2921=A2922,_xll.ciqfunctions.udf.CIQ(A2913,"IQ_CASH_OPER",IQ_FY-4), _xll.ciqfunctions.udf.CIQ(A2913, "IQ_CASH_OPER",IQ_FY-3))</f>
        <v>128.48400000000001</v>
      </c>
      <c r="K2919" s="17">
        <f>IF(A2921=A2922,_xll.ciqfunctions.udf.CIQ(A2913,"IQ_CAPEX",IQ_FY-4), _xll.ciqfunctions.udf.CIQ(A2913, "IQ_CAPEX",IQ_FY-3))</f>
        <v>-3.9980000000000002</v>
      </c>
      <c r="L2919" s="15">
        <f t="shared" si="776"/>
        <v>2.7601703205527883</v>
      </c>
      <c r="M2919" s="17">
        <f>IF(A2921=A2922,_xll.ciqfunctions.udf.CIQ(A2913,"IQ_TOTAL_DEBT_ISSUED",IQ_FY-4), _xll.ciqfunctions.udf.CIQ(A2913, "IQ_TOTAL_DEBT_ISSUED",IQ_FY-3))</f>
        <v>184.98500000000001</v>
      </c>
      <c r="N2919" s="17">
        <f>IF(A2921=A2922,_xll.ciqfunctions.udf.CIQ(A2913,"IQ_TOTAL_DEBT_REPAID",IQ_FY-4), _xll.ciqfunctions.udf.CIQ(A2913, "IQ_TOTAL_DEBT_REPAID",IQ_FY-3))</f>
        <v>-5.3090000000000002</v>
      </c>
      <c r="O2919" s="15">
        <f t="shared" si="777"/>
        <v>3.9838725841913369</v>
      </c>
      <c r="P2919" s="15">
        <f t="shared" si="778"/>
        <v>6.7440429047441253</v>
      </c>
      <c r="Q2919" s="18"/>
      <c r="R2919" s="38" t="s">
        <v>29</v>
      </c>
      <c r="S2919" s="4">
        <f>(AVERAGE(P2918:P2923)/_xlfn.STDEV.P(P2918:P2923))/(IF(A2921=A2922,(_xlfn.SINGLE(_xll.ciqfunctions.udf.CIQ(A2913,"IQ_total_assets",IQ_FY)) - _xlfn.SINGLE(_xll.ciqfunctions.udf.CIQ(A2913,"iq_gw_intan", IQ_FY)))/I2923, (_xlfn.SINGLE(_xll.ciqfunctions.udf.CIQ(A2913, "IQ_total_assets",IQ_LTM))-_xlfn.SINGLE(_xll.ciqfunctions.udf.CIQ(A2913,"iq_gw_intan",IQ_LTM)))/I2923))</f>
        <v>0.2897918968950518</v>
      </c>
      <c r="U2919" s="18"/>
      <c r="V2919" s="38" t="s">
        <v>29</v>
      </c>
      <c r="W2919" s="4">
        <f>(AVERAGE(P2918:P2923)/_xlfn.STDEV.P(P2918:P2923))/(IF(A2921=A2922,(_xlfn.SINGLE(_xll.ciqfunctions.udf.CIQ(A2913,"IQ_total_assets",IQ_FY)) - _xlfn.SINGLE(_xll.ciqfunctions.udf.CIQ(A2913,"iq_gw_intan", IQ_FY)))/I2923, (_xlfn.SINGLE(_xll.ciqfunctions.udf.CIQ(A2913, "IQ_total_assets",IQ_LTM))-_xlfn.SINGLE(_xll.ciqfunctions.udf.CIQ(A2913,"iq_gw_intan",IQ_LTM)))/I2923))</f>
        <v>0.2897918968950518</v>
      </c>
      <c r="Y2919" s="18"/>
      <c r="Z2919" s="38" t="s">
        <v>29</v>
      </c>
      <c r="AA2919" s="4">
        <f>(AVERAGE(P2918:P2923)/_xlfn.STDEV.P(P2918:P2923))/(IF(A2921=A2922,(_xlfn.SINGLE(_xll.ciqfunctions.udf.CIQ(A2913,"IQ_total_assets",IQ_FY)) - _xlfn.SINGLE(_xll.ciqfunctions.udf.CIQ(A2913,"iq_gw_intan", IQ_FY)))/I2923, (_xlfn.SINGLE(_xll.ciqfunctions.udf.CIQ(A2913, "IQ_total_assets",IQ_LTM))-_xlfn.SINGLE(_xll.ciqfunctions.udf.CIQ(A2913,"iq_gw_intan",IQ_LTM)))/I2923))</f>
        <v>0.2897918968950518</v>
      </c>
    </row>
    <row r="2920" spans="1:27">
      <c r="A2920" s="18"/>
      <c r="B2920" s="13">
        <v>8</v>
      </c>
      <c r="C2920" s="14" t="s">
        <v>30</v>
      </c>
      <c r="D2920" s="15" cm="1">
        <f t="array" ref="D2920">_xlfn.SINGLE(IF(A2921=A2922,_xll.ciqfunctions.udf.CIQ(A2913,"IQ_TOTAL_REV",IQ_FY-3)/I2920, _xll.ciqfunctions.udf.CIQ(A2913, "IQ_TOTAL_REV",IQ_FY-2)/I2920))</f>
        <v>9.9997172985045086</v>
      </c>
      <c r="E2920" s="16">
        <f t="shared" si="779"/>
        <v>9.1211788891027948E-2</v>
      </c>
      <c r="F2920" s="15">
        <f>IF(A2921=A2922,_xll.ciqfunctions.udf.CIQ(A2913,"IQ_DILUT_EPS_EXCL",IQ_FY-3), _xll.ciqfunctions.udf.CIQ(A2913, "IQ_DILUT_EPS_EXCL",IQ_FY-2))</f>
        <v>1.76</v>
      </c>
      <c r="G2920" s="15">
        <f>IF(A2921=A2922,_xll.ciqfunctions.udf.CIQ(A2913,"IQ_EBITDA_MARGIN",IQ_FY-3), _xll.ciqfunctions.udf.CIQ(A2913, "IQ_EBITDA_MARGIN",IQ_FY-2))</f>
        <v>34.385599999999997</v>
      </c>
      <c r="H2920" s="15">
        <f>IF(A2921=A2922,_xll.ciqfunctions.udf.CIQ(A2913,"IQ_TOTAL_DIV_PAID_CF",IQ_FY-3)/-I2920, _xll.ciqfunctions.udf.CIQ(A2913, "IQ_TOTAL_DIV_PAID_CF",IQ_FY-2)/-I2920)</f>
        <v>0.67622197721425936</v>
      </c>
      <c r="I2920" s="17">
        <f>IF(A2921=A2922,_xll.ciqfunctions.udf.CIQ(A2913,"IQ_TOTAL_OUTSTANDING_FILING_DATE",IQ_FY-3), _xll.ciqfunctions.udf.CIQ(A2913, "IQ_TOTAL_OUTSTANDING_FILING_DATE",IQ_FY-2))</f>
        <v>44.216250000000002</v>
      </c>
      <c r="J2920" s="17">
        <f>IF(A2921=A2922,_xll.ciqfunctions.udf.CIQ(A2913,"IQ_CASH_OPER",IQ_FY-3), _xll.ciqfunctions.udf.CIQ(A2913, "IQ_CASH_OPER",IQ_FY-2))</f>
        <v>144.84700000000001</v>
      </c>
      <c r="K2920" s="17">
        <f>IF(A2921=A2922,_xll.ciqfunctions.udf.CIQ(A2913,"IQ_CAPEX",IQ_FY-3), _xll.ciqfunctions.udf.CIQ(A2913, "IQ_CAPEX",IQ_FY-2))</f>
        <v>-6.5170000000000003</v>
      </c>
      <c r="L2920" s="15">
        <f t="shared" si="776"/>
        <v>3.1284878297006191</v>
      </c>
      <c r="M2920" s="17">
        <f>IF(A2921=A2922,_xll.ciqfunctions.udf.CIQ(A2913,"IQ_TOTAL_DEBT_ISSUED",IQ_FY-3), _xll.ciqfunctions.udf.CIQ(A2913, "IQ_TOTAL_DEBT_ISSUED",IQ_FY-2))</f>
        <v>98.5</v>
      </c>
      <c r="N2920" s="17">
        <f>IF(A2921=A2922,_xll.ciqfunctions.udf.CIQ(A2913,"IQ_TOTAL_DEBT_REPAID",IQ_FY-3), _xll.ciqfunctions.udf.CIQ(A2913, "IQ_TOTAL_DEBT_REPAID",IQ_FY-2))</f>
        <v>-11.288</v>
      </c>
      <c r="O2920" s="15">
        <f t="shared" si="777"/>
        <v>1.9723970259802674</v>
      </c>
      <c r="P2920" s="15">
        <f t="shared" si="778"/>
        <v>5.1008848556808868</v>
      </c>
      <c r="Q2920" s="18"/>
      <c r="R2920" s="39" t="s">
        <v>31</v>
      </c>
      <c r="S2920" s="5">
        <f>IF(NOT(D2913&gt;0),FALSE,SLOPE(G2913:G2923,B2913:B2923))</f>
        <v>0.87597999999999987</v>
      </c>
      <c r="U2920" s="18"/>
      <c r="V2920" s="39" t="s">
        <v>31</v>
      </c>
      <c r="W2920" s="5">
        <f>IF(NOT(D2913&gt;0),FALSE,SLOPE(G2913:G2923,B2913:B2923))</f>
        <v>0.87597999999999987</v>
      </c>
      <c r="Y2920" s="18"/>
      <c r="Z2920" s="39" t="s">
        <v>31</v>
      </c>
      <c r="AA2920" s="5">
        <f>IF(NOT(L2913&gt;0),FALSE,SLOPE(O2913:O2923,J2913:J2923))</f>
        <v>1.7605926373749976E-2</v>
      </c>
    </row>
    <row r="2921" spans="1:27">
      <c r="A2921" s="19">
        <f>_xll.ciqfunctions.udf.CIQ(A2913,"IQ_TOTAL_REV",IQ_FY)</f>
        <v>602.01300000000003</v>
      </c>
      <c r="B2921" s="13">
        <v>9</v>
      </c>
      <c r="C2921" s="14" t="s">
        <v>32</v>
      </c>
      <c r="D2921" s="15" cm="1">
        <f t="array" ref="D2921">_xlfn.SINGLE(IF(A2921=A2922,_xll.ciqfunctions.udf.CIQ(A2913,"IQ_TOTAL_REV",IQ_FY-2)/I2921, _xll.ciqfunctions.udf.CIQ(A2913, "IQ_TOTAL_REV",IQ_FY-1)/I2921))</f>
        <v>12.025733035711456</v>
      </c>
      <c r="E2921" s="16">
        <f t="shared" si="779"/>
        <v>0.20260730145940672</v>
      </c>
      <c r="F2921" s="15">
        <f>IF(A2921=A2922,_xll.ciqfunctions.udf.CIQ(A2913,"IQ_DILUT_EPS_EXCL",IQ_FY-2), _xll.ciqfunctions.udf.CIQ(A2913, "IQ_DILUT_EPS_EXCL",IQ_FY-1))</f>
        <v>1.76</v>
      </c>
      <c r="G2921" s="15">
        <f>IF(A2921=A2922,_xll.ciqfunctions.udf.CIQ(A2913,"IQ_EBITDA_MARGIN",IQ_FY-2), _xll.ciqfunctions.udf.CIQ(A2913, "IQ_EBITDA_MARGIN",IQ_FY-1))</f>
        <v>33.7834</v>
      </c>
      <c r="H2921" s="15">
        <f>IF(A2921=A2922,_xll.ciqfunctions.udf.CIQ(A2913,"IQ_TOTAL_DIV_PAID_CF",IQ_FY-2)/-I2921, _xll.ciqfunctions.udf.CIQ(A2913, "IQ_TOTAL_DIV_PAID_CF",IQ_FY-1)/-I2921)</f>
        <v>0.71435135285620588</v>
      </c>
      <c r="I2921" s="17">
        <f>IF(A2921=A2922,_xll.ciqfunctions.udf.CIQ(A2913,"IQ_TOTAL_OUTSTANDING_FILING_DATE",IQ_FY-2), _xll.ciqfunctions.udf.CIQ(A2913, "IQ_TOTAL_OUTSTANDING_FILING_DATE",IQ_FY-1))</f>
        <v>44.181339999999999</v>
      </c>
      <c r="J2921" s="17">
        <f>IF(A2921=A2922,_xll.ciqfunctions.udf.CIQ(A2913,"IQ_CASH_OPER",IQ_FY-2), _xll.ciqfunctions.udf.CIQ(A2913, "IQ_CASH_OPER",IQ_FY-1))</f>
        <v>178.53</v>
      </c>
      <c r="K2921" s="17">
        <f>IF(A2921=A2922,_xll.ciqfunctions.udf.CIQ(A2913,"IQ_CAPEX",IQ_FY-2), _xll.ciqfunctions.udf.CIQ(A2913, "IQ_CAPEX",IQ_FY-1))</f>
        <v>-4.6539999999999999</v>
      </c>
      <c r="L2921" s="15">
        <f t="shared" si="776"/>
        <v>3.9355076147531971</v>
      </c>
      <c r="M2921" s="17">
        <f>IF(A2921=A2922,_xll.ciqfunctions.udf.CIQ(A2913,"IQ_TOTAL_DEBT_ISSUED",IQ_FY-2), _xll.ciqfunctions.udf.CIQ(A2913, "IQ_TOTAL_DEBT_ISSUED",IQ_FY-1))</f>
        <v>360</v>
      </c>
      <c r="N2921" s="17">
        <f>IF(A2921=A2922,_xll.ciqfunctions.udf.CIQ(A2913,"IQ_TOTAL_DEBT_REPAID",IQ_FY-2), _xll.ciqfunctions.udf.CIQ(A2913, "IQ_TOTAL_DEBT_REPAID",IQ_FY-1))</f>
        <v>-117.313</v>
      </c>
      <c r="O2921" s="15">
        <f t="shared" si="777"/>
        <v>5.4929750885781194</v>
      </c>
      <c r="P2921" s="15">
        <f t="shared" si="778"/>
        <v>9.4284827033313157</v>
      </c>
      <c r="Q2921" s="25" t="s">
        <v>33</v>
      </c>
      <c r="R2921" s="38" t="s">
        <v>52</v>
      </c>
      <c r="S2921" s="4">
        <f>(AVERAGE(O2918:O2923)/AVERAGE(P2918:P2923))</f>
        <v>0.41048722103637986</v>
      </c>
      <c r="U2921" s="25" t="s">
        <v>54</v>
      </c>
      <c r="V2921" s="38" t="s">
        <v>52</v>
      </c>
      <c r="W2921" s="4">
        <f>(AVERAGE(O2918:O2923)/AVERAGE(P2918:P2923))</f>
        <v>0.41048722103637986</v>
      </c>
      <c r="Y2921" s="25" t="s">
        <v>60</v>
      </c>
      <c r="Z2921" s="38" t="s">
        <v>52</v>
      </c>
      <c r="AA2921" s="4">
        <f>(AVERAGE(O2918:O2923)/AVERAGE(P2918:P2923))</f>
        <v>0.41048722103637986</v>
      </c>
    </row>
    <row r="2922" spans="1:27">
      <c r="A2922" s="19">
        <f>_xll.ciqfunctions.udf.CIQ(A2913,"IQ_TOTAL_REV",IQ_LTM)</f>
        <v>674.596</v>
      </c>
      <c r="B2922" s="13">
        <v>10</v>
      </c>
      <c r="C2922" s="14" t="s">
        <v>34</v>
      </c>
      <c r="D2922" s="15" cm="1">
        <f t="array" ref="D2922">_xlfn.SINGLE(IF(A2921=A2922,_xll.ciqfunctions.udf.CIQ(A2913,"IQ_TOTAL_REV",IQ_FY-1)/I2922, _xll.ciqfunctions.udf.CIQ(A2913, "IQ_TOTAL_REV",IQ_FY)/I2922))</f>
        <v>13.88877545864845</v>
      </c>
      <c r="E2922" s="16">
        <f t="shared" si="779"/>
        <v>0.1549213189253851</v>
      </c>
      <c r="F2922" s="15">
        <f>IF(A2921=A2922,_xll.ciqfunctions.udf.CIQ(A2913,"IQ_DILUT_EPS_EXCL",IQ_FY-1), _xll.ciqfunctions.udf.CIQ(A2913, "IQ_DILUT_EPS_EXCL",IQ_FY))</f>
        <v>2.15</v>
      </c>
      <c r="G2922" s="15">
        <f>IF(A2921=A2922,_xll.ciqfunctions.udf.CIQ(A2913,"IQ_EBITDA_MARGIN",IQ_FY-1), _xll.ciqfunctions.udf.CIQ(A2913, "IQ_EBITDA_MARGIN",IQ_FY))</f>
        <v>33.583399999999997</v>
      </c>
      <c r="H2922" s="15">
        <f>IF(A2921=A2922,_xll.ciqfunctions.udf.CIQ(A2913,"IQ_TOTAL_DIV_PAID_CF",IQ_FY-1)/-I2922, _xll.ciqfunctions.udf.CIQ(A2913, "IQ_TOTAL_DIV_PAID_CF",IQ_FY)/-I2922)</f>
        <v>0.71664072382489541</v>
      </c>
      <c r="I2922" s="17">
        <f>IF(A2921=A2922,_xll.ciqfunctions.udf.CIQ(A2913,"IQ_TOTAL_OUTSTANDING_FILING_DATE",IQ_FY-1), _xll.ciqfunctions.udf.CIQ(A2913, "IQ_TOTAL_OUTSTANDING_FILING_DATE",IQ_FY))</f>
        <v>43.345289999999999</v>
      </c>
      <c r="J2922" s="17">
        <f>IF(A2921=A2922,_xll.ciqfunctions.udf.CIQ(A2913,"IQ_CASH_OPER",IQ_FY-1), _xll.ciqfunctions.udf.CIQ(A2913, "IQ_CASH_OPER",IQ_FY))</f>
        <v>192.16</v>
      </c>
      <c r="K2922" s="17">
        <f>IF(A2921=A2922,_xll.ciqfunctions.udf.CIQ(A2913,"IQ_CAPEX",IQ_FY-1), _xll.ciqfunctions.udf.CIQ(A2913, "IQ_CAPEX",IQ_FY))</f>
        <v>-6.09</v>
      </c>
      <c r="L2922" s="15">
        <f t="shared" si="776"/>
        <v>4.2927386112770272</v>
      </c>
      <c r="M2922" s="17">
        <f>IF(A2921=A2922,_xll.ciqfunctions.udf.CIQ(A2913,"IQ_TOTAL_DEBT_ISSUED",IQ_FY-1), _xll.ciqfunctions.udf.CIQ(A2913, "IQ_TOTAL_DEBT_ISSUED",IQ_FY))</f>
        <v>7.4749999999999996</v>
      </c>
      <c r="N2922" s="17">
        <f>IF(A2921=A2922,_xll.ciqfunctions.udf.CIQ(A2913,"IQ_TOTAL_DEBT_REPAID",IQ_FY-1), _xll.ciqfunctions.udf.CIQ(A2913, "IQ_TOTAL_DEBT_REPAID",IQ_FY))</f>
        <v>-6.8730000000000002</v>
      </c>
      <c r="O2922" s="15">
        <f t="shared" si="777"/>
        <v>1.3888475541402524E-2</v>
      </c>
      <c r="P2922" s="15">
        <f t="shared" si="778"/>
        <v>4.3066270868184295</v>
      </c>
      <c r="Q2922" s="25" t="s">
        <v>44</v>
      </c>
      <c r="R2922" s="38" t="s">
        <v>35</v>
      </c>
      <c r="S2922" s="1">
        <f>_xll.ciqfunctions.udf.CIQ(A2913,"IQ_TEV_EBITDA")</f>
        <v>12.41587</v>
      </c>
      <c r="U2922" s="25" t="s">
        <v>55</v>
      </c>
      <c r="V2922" s="38" t="s">
        <v>53</v>
      </c>
      <c r="W2922" s="1">
        <f>V2912/(AVERAGE(D2918:D2923)/_xlfn.STDEV.P(E2918:E2923))</f>
        <v>0.29219919649333498</v>
      </c>
      <c r="Y2922" s="25" t="s">
        <v>57</v>
      </c>
      <c r="Z2922" s="38" t="s">
        <v>53</v>
      </c>
      <c r="AA2922" s="1">
        <f>Z2912/(AVERAGE(D2918:D2923)/_xlfn.STDEV.P(E2918:E2923))</f>
        <v>0.29219919649333498</v>
      </c>
    </row>
    <row r="2923" spans="1:27">
      <c r="B2923" s="13">
        <v>11</v>
      </c>
      <c r="C2923" s="20" t="s">
        <v>36</v>
      </c>
      <c r="D2923" s="21" cm="1">
        <f t="array" ref="D2923">_xlfn.SINGLE(IF(A2921=A2922,_xll.ciqfunctions.udf.CIQ(A2913,"IQ_TOTAL_REV",IQ_FY)/I2923, _xll.ciqfunctions.udf.CIQ(A2913, "IQ_TOTAL_REV",IQ_LTM)/I2923))</f>
        <v>15.484691388913436</v>
      </c>
      <c r="E2923" s="22">
        <f t="shared" si="779"/>
        <v>0.11490688542100522</v>
      </c>
      <c r="F2923" s="21">
        <f>IF(A2921=A2922,_xll.ciqfunctions.udf.CIQ(A2913,"IQ_DILUT_EPS_EXCL",IQ_FY), _xll.ciqfunctions.udf.CIQ(A2913, "IQ_DILUT_EPS_EXCL",IQ_LTM))</f>
        <v>1.76902</v>
      </c>
      <c r="G2923" s="21">
        <f>IF(A2921=A2922,_xll.ciqfunctions.udf.CIQ(A2913,"IQ_EBITDA_MARGIN",IQ_FY), _xll.ciqfunctions.udf.CIQ(A2913, "IQ_EBITDA_MARGIN",IQ_LTM))</f>
        <v>34.097099999999998</v>
      </c>
      <c r="H2923" s="21">
        <f>IF(A2921=A2922,_xll.ciqfunctions.udf.CIQ(A2913,"IQ_TOTAL_DIV_PAID_CF",IQ_FY)/-I2923, _xll.ciqfunctions.udf.CIQ(A2913, "IQ_TOTAL_DIV_PAID_CF",IQ_LTM)/-I2923)</f>
        <v>0.7203201626981075</v>
      </c>
      <c r="I2923" s="23">
        <f>IF(A2921=A2922,_xll.ciqfunctions.udf.CIQ(A2913,"IQ_TOTAL_OUTSTANDING_FILING_DATE",IQ_FY),_xll.ciqfunctions.udf.CIQ(A2913,"IQ_sharesoutstanding"))</f>
        <v>43.565350000000002</v>
      </c>
      <c r="J2923" s="23">
        <f>IF(A2921=A2922,_xll.ciqfunctions.udf.CIQ(A2913,"IQ_CASH_OPER",IQ_FY), _xll.ciqfunctions.udf.CIQ(A2913, "IQ_CASH_OPER",IQ_LTM))</f>
        <v>180.89599999999999</v>
      </c>
      <c r="K2923" s="23">
        <f>IF(A2921=A2922,_xll.ciqfunctions.udf.CIQ(A2913,"IQ_CAPEX",IQ_FY), _xll.ciqfunctions.udf.CIQ(A2913, "IQ_CAPEX",IQ_LTM))</f>
        <v>-6.1849999999999996</v>
      </c>
      <c r="L2923" s="21">
        <f t="shared" si="776"/>
        <v>4.0103201282670744</v>
      </c>
      <c r="M2923" s="23">
        <f>IF(A2921=A2922,_xll.ciqfunctions.udf.CIQ(A2913,"IQ_TOTAL_DEBT_ISSUED",IQ_FY), _xll.ciqfunctions.udf.CIQ(A2913, "IQ_TOTAL_DEBT_ISSUED",IQ_LTM))</f>
        <v>195.001</v>
      </c>
      <c r="N2923" s="23">
        <f>IF(A2921=A2922,_xll.ciqfunctions.udf.CIQ(A2913,"IQ_TOTAL_DEBT_REPAID",IQ_FY), _xll.ciqfunctions.udf.CIQ(A2913, "IQ_TOTAL_DEBT_REPAID",IQ_LTM))</f>
        <v>-61.875999999999998</v>
      </c>
      <c r="O2923" s="21">
        <f t="shared" si="777"/>
        <v>3.0557541716065635</v>
      </c>
      <c r="P2923" s="21">
        <f t="shared" si="778"/>
        <v>7.0660742998736374</v>
      </c>
      <c r="Q2923" s="25" t="s">
        <v>45</v>
      </c>
      <c r="S2923" s="45"/>
      <c r="U2923" s="25"/>
      <c r="W2923" s="45"/>
      <c r="Y2923" s="25"/>
      <c r="AA2923" s="45"/>
    </row>
    <row r="2924" spans="1:27">
      <c r="B2924" s="24"/>
      <c r="C2924" s="25" t="s">
        <v>37</v>
      </c>
      <c r="E2924" s="26">
        <f>((D2923/D2918)^(1/5))-1</f>
        <v>0.13030541300443055</v>
      </c>
      <c r="F2924" s="27">
        <f>((F2923/F2918)^(1/5))-1</f>
        <v>0.10372733254548905</v>
      </c>
      <c r="G2924" s="28"/>
      <c r="H2924" s="27">
        <f>((H2923/H2918)^(1/5))-1</f>
        <v>4.750715454788712E-2</v>
      </c>
      <c r="I2924" s="27">
        <f>((I2923/I2918)^(1/5))-1</f>
        <v>-7.136700881614777E-3</v>
      </c>
      <c r="J2924" s="27"/>
      <c r="K2924" s="27"/>
      <c r="L2924" s="26">
        <f>((L2923/L2918)^(1/5))-1</f>
        <v>9.677095568320726E-2</v>
      </c>
      <c r="M2924" s="26"/>
      <c r="N2924" s="26"/>
      <c r="O2924" s="26"/>
      <c r="P2924" s="26">
        <f>((P2923/P2918)^(1/5))-1</f>
        <v>0.24210658983220834</v>
      </c>
      <c r="Q2924" s="18"/>
      <c r="R2924" s="36"/>
      <c r="S2924" s="45"/>
      <c r="U2924" s="18"/>
      <c r="V2924" s="36"/>
      <c r="W2924" s="45"/>
      <c r="Y2924" s="18"/>
      <c r="Z2924" s="36"/>
      <c r="AA2924" s="45"/>
    </row>
    <row r="2925" spans="1:27">
      <c r="A2925" s="29"/>
      <c r="B2925" s="30"/>
      <c r="C2925" s="31" t="s">
        <v>38</v>
      </c>
      <c r="D2925" s="29"/>
      <c r="E2925" s="32">
        <f>((D2923/D2913)^(1/10))-1</f>
        <v>9.1099263546379428E-2</v>
      </c>
      <c r="F2925" s="33">
        <f>((F2923/F2913)^(1/10))-1</f>
        <v>9.4057190116183076E-2</v>
      </c>
      <c r="G2925" s="34"/>
      <c r="H2925" s="33" t="e">
        <f>((H2923/H2913)^(1/10))-1</f>
        <v>#DIV/0!</v>
      </c>
      <c r="I2925" s="33">
        <f>((I2923/I2913)^(1/10))-1</f>
        <v>-1.6745399768355984E-2</v>
      </c>
      <c r="J2925" s="33"/>
      <c r="K2925" s="33"/>
      <c r="L2925" s="32">
        <f>((L2923/L2913)^(1/10))-1</f>
        <v>0.89088759098465498</v>
      </c>
      <c r="M2925" s="32"/>
      <c r="N2925" s="32"/>
      <c r="O2925" s="32"/>
      <c r="P2925" s="32">
        <f>((P2923/P2913)^(1/10))-1</f>
        <v>1.0010854193690473</v>
      </c>
      <c r="Q2925" s="40"/>
      <c r="R2925" s="41"/>
      <c r="S2925" s="46"/>
      <c r="U2925" s="40"/>
      <c r="V2925" s="41"/>
      <c r="W2925" s="46"/>
      <c r="Y2925" s="40"/>
      <c r="Z2925" s="41"/>
      <c r="AA2925" s="46"/>
    </row>
    <row r="2926" spans="1:27">
      <c r="B2926" s="24"/>
      <c r="C2926" s="25"/>
      <c r="E2926" s="26"/>
      <c r="F2926" s="27"/>
      <c r="G2926" s="28"/>
      <c r="H2926" s="27"/>
      <c r="I2926" s="27"/>
      <c r="J2926" s="27"/>
      <c r="K2926" s="27"/>
      <c r="L2926" s="26"/>
      <c r="M2926" s="17"/>
      <c r="N2926" s="17"/>
      <c r="O2926" s="17"/>
      <c r="P2926" s="35"/>
      <c r="Q2926" s="18"/>
      <c r="R2926" s="36"/>
    </row>
    <row r="2927" spans="1:27">
      <c r="A2927" s="9" t="s">
        <v>0</v>
      </c>
      <c r="B2927" s="10"/>
      <c r="C2927" s="9" t="s">
        <v>1</v>
      </c>
      <c r="D2927" s="9" t="s">
        <v>2</v>
      </c>
      <c r="E2927" s="9" t="s">
        <v>3</v>
      </c>
      <c r="F2927" s="11" t="s">
        <v>4</v>
      </c>
      <c r="G2927" s="11" t="s">
        <v>5</v>
      </c>
      <c r="H2927" s="9" t="s">
        <v>6</v>
      </c>
      <c r="I2927" s="11" t="s">
        <v>7</v>
      </c>
      <c r="J2927" s="11" t="s">
        <v>8</v>
      </c>
      <c r="K2927" s="11" t="s">
        <v>9</v>
      </c>
      <c r="L2927" s="11" t="s">
        <v>10</v>
      </c>
      <c r="M2927" s="11" t="s">
        <v>11</v>
      </c>
      <c r="N2927" s="11" t="s">
        <v>12</v>
      </c>
      <c r="O2927" s="11" t="s">
        <v>13</v>
      </c>
      <c r="P2927" s="11" t="s">
        <v>14</v>
      </c>
      <c r="Q2927" s="37" t="s">
        <v>15</v>
      </c>
      <c r="R2927" s="42">
        <f>_xll.ciqfunctions.udf.CIQ(A2928,("IQ_LASTSALEPRICE"))</f>
        <v>47.27</v>
      </c>
      <c r="S2927" s="44"/>
      <c r="U2927" s="37" t="s">
        <v>15</v>
      </c>
      <c r="V2927" s="42">
        <f>_xll.ciqfunctions.udf.CIQ(A2928,("IQ_LASTSALEPRICE"))</f>
        <v>47.27</v>
      </c>
      <c r="W2927" s="44"/>
      <c r="Y2927" s="37" t="s">
        <v>15</v>
      </c>
      <c r="Z2927" s="42">
        <f>_xll.ciqfunctions.udf.CIQ(A2928,("IQ_LASTSALEPRICE"))</f>
        <v>47.27</v>
      </c>
      <c r="AA2927" s="44"/>
    </row>
    <row r="2928" spans="1:27">
      <c r="A2928" s="12" t="str">
        <f>Analysis!B197</f>
        <v>NYSE:TDC</v>
      </c>
      <c r="B2928" s="13">
        <v>1</v>
      </c>
      <c r="C2928" s="14" t="s">
        <v>16</v>
      </c>
      <c r="D2928" s="15">
        <f>IF(A2936=A2937,_xll.ciqfunctions.udf.CIQ(A2928,"IQ_TOTAL_REV",IQ_FY-10)/I2928,_xll.ciqfunctions.udf.CIQ(A2928, "IQ_TOTAL_REV",IQ_FY-9)/I2928)</f>
        <v>16.909547738693469</v>
      </c>
      <c r="E2928" s="16"/>
      <c r="F2928" s="15">
        <f>IF(A2936=A2937,_xll.ciqfunctions.udf.CIQ(A2928,"IQ_DILUT_EPS_EXCL",IQ_FY-10), _xll.ciqfunctions.udf.CIQ(A2928, "IQ_DILUT_EPS_EXCL",IQ_FY-9))</f>
        <v>2.27</v>
      </c>
      <c r="G2928" s="15">
        <f>IF(A2936=A2937,_xll.ciqfunctions.udf.CIQ(A2928,"IQ_EBITDA_MARGIN",IQ_FY-10), _xll.ciqfunctions.udf.CIQ(A2928, "IQ_EBITDA_MARGIN",IQ_FY-9))</f>
        <v>23.2912</v>
      </c>
      <c r="H2928" s="15">
        <f>IF(A2936=A2937,_xll.ciqfunctions.udf.CIQ(A2928,"IQ_TOTAL_DIV_PAID_CF",IQ_FY-10)/-I2928, _xll.ciqfunctions.udf.CIQ(A2928, "IQ_TOTAL_DIV_PAID_CF",IQ_FY-9)/-I2928)</f>
        <v>0</v>
      </c>
      <c r="I2928" s="17">
        <f>IF(A2936=A2937,_xll.ciqfunctions.udf.CIQ(A2928,"IQ_TOTAL_OUTSTANDING_FILING_DATE",IQ_FY-10), _xll.ciqfunctions.udf.CIQ(A2928, "IQ_TOTAL_OUTSTANDING_FILING_DATE",IQ_FY-9))</f>
        <v>159.19999999999999</v>
      </c>
      <c r="J2928" s="17">
        <f>IF(A2936=A2937,_xll.ciqfunctions.udf.CIQ(A2928,"IQ_CASH_OPER",IQ_FY-10), _xll.ciqfunctions.udf.CIQ(A2928, "IQ_CASH_OPER",IQ_FY-9))</f>
        <v>510</v>
      </c>
      <c r="K2928" s="17">
        <f>IF(A2936=A2937,_xll.ciqfunctions.udf.CIQ(A2928,"IQ_CAPEX",IQ_FY-10), _xll.ciqfunctions.udf.CIQ(A2928, "IQ_CAPEX",IQ_FY-9))</f>
        <v>-60</v>
      </c>
      <c r="L2928" s="15">
        <f t="shared" ref="L2928:L2938" si="780">(J2928+K2928)/I2928</f>
        <v>2.8266331658291461</v>
      </c>
      <c r="M2928" s="17">
        <f>IF(A2936=A2937,_xll.ciqfunctions.udf.CIQ(A2928,"IQ_TOTAL_DEBT_ISSUED",IQ_FY-10), _xll.ciqfunctions.udf.CIQ(A2928, "IQ_TOTAL_DEBT_ISSUED",IQ_FY-9))</f>
        <v>0</v>
      </c>
      <c r="N2928" s="17">
        <f>IF(A2936=A2937,_xll.ciqfunctions.udf.CIQ(A2928,"IQ_TOTAL_DEBT_REPAID",IQ_FY-10), _xll.ciqfunctions.udf.CIQ(A2928, "IQ_TOTAL_DEBT_REPAID",IQ_FY-9))</f>
        <v>-15</v>
      </c>
      <c r="O2928" s="15">
        <f t="shared" ref="O2928:O2938" si="781">(M2928+N2928)/I2928</f>
        <v>-9.4221105527638196E-2</v>
      </c>
      <c r="P2928" s="15">
        <f t="shared" ref="P2928:P2938" si="782">L2928+O2928</f>
        <v>2.7324120603015079</v>
      </c>
      <c r="W2928" s="43"/>
      <c r="AA2928" s="43"/>
    </row>
    <row r="2929" spans="1:27">
      <c r="A2929" s="18" t="str">
        <f>_xll.ciqfunctions.udf.CIQ(A2928,"IQ_COMPANY_NAME")</f>
        <v>Teradata Corporation</v>
      </c>
      <c r="B2929" s="13">
        <v>2</v>
      </c>
      <c r="C2929" s="14" t="s">
        <v>17</v>
      </c>
      <c r="D2929" s="15">
        <f>IF(A2936=A2937,_xll.ciqfunctions.udf.CIQ(A2928,"IQ_TOTAL_REV",IQ_FY-9)/I2929, _xll.ciqfunctions.udf.CIQ(A2928, "IQ_TOTAL_REV",IQ_FY-8)/I2929)</f>
        <v>18.712328767123289</v>
      </c>
      <c r="E2929" s="16">
        <f t="shared" ref="E2929:E2938" si="783">(D2929-D2928)/D2928</f>
        <v>0.10661320197846481</v>
      </c>
      <c r="F2929" s="15">
        <f>IF(A2936=A2937,_xll.ciqfunctions.udf.CIQ(A2928,"IQ_DILUT_EPS_EXCL",IQ_FY-9), _xll.ciqfunctions.udf.CIQ(A2928, "IQ_DILUT_EPS_EXCL",IQ_FY-8))</f>
        <v>2.33</v>
      </c>
      <c r="G2929" s="15">
        <f>IF(A2936=A2937,_xll.ciqfunctions.udf.CIQ(A2928,"IQ_EBITDA_MARGIN",IQ_FY-9), _xll.ciqfunctions.udf.CIQ(A2928, "IQ_EBITDA_MARGIN",IQ_FY-8))</f>
        <v>22.1815</v>
      </c>
      <c r="H2929" s="15">
        <f>IF(A2936=A2937,_xll.ciqfunctions.udf.CIQ(A2928,"IQ_TOTAL_DIV_PAID_CF",IQ_FY-9)/-I2929, _xll.ciqfunctions.udf.CIQ(A2928, "IQ_TOTAL_DIV_PAID_CF",IQ_FY-8)/-I2929)</f>
        <v>0</v>
      </c>
      <c r="I2929" s="17">
        <f>IF(A2936=A2937,_xll.ciqfunctions.udf.CIQ(A2928,"IQ_TOTAL_OUTSTANDING_FILING_DATE",IQ_FY-9), _xll.ciqfunctions.udf.CIQ(A2928, "IQ_TOTAL_OUTSTANDING_FILING_DATE",IQ_FY-8))</f>
        <v>146</v>
      </c>
      <c r="J2929" s="17">
        <f>IF(A2936=A2937,_xll.ciqfunctions.udf.CIQ(A2928,"IQ_CASH_OPER",IQ_FY-9), _xll.ciqfunctions.udf.CIQ(A2928, "IQ_CASH_OPER",IQ_FY-8))</f>
        <v>680</v>
      </c>
      <c r="K2929" s="17">
        <f>IF(A2936=A2937,_xll.ciqfunctions.udf.CIQ(A2928,"IQ_CAPEX",IQ_FY-9), _xll.ciqfunctions.udf.CIQ(A2928, "IQ_CAPEX",IQ_FY-8))</f>
        <v>-54</v>
      </c>
      <c r="L2929" s="15">
        <f t="shared" si="780"/>
        <v>4.2876712328767121</v>
      </c>
      <c r="M2929" s="17">
        <f>IF(A2936=A2937,_xll.ciqfunctions.udf.CIQ(A2928,"IQ_TOTAL_DEBT_ISSUED",IQ_FY-9), _xll.ciqfunctions.udf.CIQ(A2928, "IQ_TOTAL_DEBT_ISSUED",IQ_FY-8))</f>
        <v>220</v>
      </c>
      <c r="N2929" s="17">
        <f>IF(A2936=A2937,_xll.ciqfunctions.udf.CIQ(A2928,"IQ_TOTAL_DEBT_REPAID",IQ_FY-9), _xll.ciqfunctions.udf.CIQ(A2928, "IQ_TOTAL_DEBT_REPAID",IQ_FY-8))</f>
        <v>-26</v>
      </c>
      <c r="O2929" s="15">
        <f t="shared" si="781"/>
        <v>1.3287671232876712</v>
      </c>
      <c r="P2929" s="15">
        <f t="shared" si="782"/>
        <v>5.6164383561643838</v>
      </c>
      <c r="Q2929" s="25" t="s">
        <v>18</v>
      </c>
      <c r="R2929" s="39" t="s">
        <v>19</v>
      </c>
      <c r="S2929" s="1">
        <f>R2927/((AVERAGE(P2933:P2938))*(1+E2939)^3)</f>
        <v>27.864547171224082</v>
      </c>
      <c r="U2929" s="25" t="s">
        <v>48</v>
      </c>
      <c r="V2929" s="39" t="s">
        <v>19</v>
      </c>
      <c r="W2929" s="1">
        <f>V2927/((AVERAGE(P2933:P2938))*(1+E2939)^3)</f>
        <v>27.864547171224082</v>
      </c>
      <c r="Y2929" s="25" t="s">
        <v>39</v>
      </c>
      <c r="Z2929" s="39" t="s">
        <v>19</v>
      </c>
      <c r="AA2929" s="1">
        <f>Z2927/((AVERAGE(P2933:P2938))*(1+E2939)^3)</f>
        <v>27.864547171224082</v>
      </c>
    </row>
    <row r="2930" spans="1:27">
      <c r="B2930" s="13">
        <v>3</v>
      </c>
      <c r="C2930" s="14" t="s">
        <v>20</v>
      </c>
      <c r="D2930" s="15" cm="1">
        <f t="array" ref="D2930">_xlfn.SINGLE(IF(A2936=A2937,_xll.ciqfunctions.udf.CIQ(A2928,"IQ_TOTAL_REV",IQ_FY-8)/I2930, _xll.ciqfunctions.udf.CIQ(A2928, "IQ_TOTAL_REV",IQ_FY-7)/I2930))</f>
        <v>19.551777434312211</v>
      </c>
      <c r="E2930" s="16">
        <f t="shared" si="783"/>
        <v>4.4860726723858928E-2</v>
      </c>
      <c r="F2930" s="15">
        <f>IF(A2936=A2937,_xll.ciqfunctions.udf.CIQ(A2928,"IQ_DILUT_EPS_EXCL",IQ_FY-8), _xll.ciqfunctions.udf.CIQ(A2928, "IQ_DILUT_EPS_EXCL",IQ_FY-7))</f>
        <v>-1.53295</v>
      </c>
      <c r="G2930" s="15">
        <f>IF(A2936=A2937,_xll.ciqfunctions.udf.CIQ(A2928,"IQ_EBITDA_MARGIN",IQ_FY-8), _xll.ciqfunctions.udf.CIQ(A2928, "IQ_EBITDA_MARGIN",IQ_FY-7))</f>
        <v>15.335900000000001</v>
      </c>
      <c r="H2930" s="15">
        <f>IF(A2936=A2937,_xll.ciqfunctions.udf.CIQ(A2928,"IQ_TOTAL_DIV_PAID_CF",IQ_FY-8)/-I2930, _xll.ciqfunctions.udf.CIQ(A2928, "IQ_TOTAL_DIV_PAID_CF",IQ_FY-7)/-I2930)</f>
        <v>0</v>
      </c>
      <c r="I2930" s="17">
        <f>IF(A2936=A2937,_xll.ciqfunctions.udf.CIQ(A2928,"IQ_TOTAL_OUTSTANDING_FILING_DATE",IQ_FY-8), _xll.ciqfunctions.udf.CIQ(A2928, "IQ_TOTAL_OUTSTANDING_FILING_DATE",IQ_FY-7))</f>
        <v>129.4</v>
      </c>
      <c r="J2930" s="17">
        <f>IF(A2936=A2937,_xll.ciqfunctions.udf.CIQ(A2928,"IQ_CASH_OPER",IQ_FY-8), _xll.ciqfunctions.udf.CIQ(A2928, "IQ_CASH_OPER",IQ_FY-7))</f>
        <v>401</v>
      </c>
      <c r="K2930" s="17">
        <f>IF(A2936=A2937,_xll.ciqfunctions.udf.CIQ(A2928,"IQ_CAPEX",IQ_FY-8), _xll.ciqfunctions.udf.CIQ(A2928, "IQ_CAPEX",IQ_FY-7))</f>
        <v>-52</v>
      </c>
      <c r="L2930" s="15">
        <f t="shared" si="780"/>
        <v>2.6970633693972177</v>
      </c>
      <c r="M2930" s="17">
        <f>IF(A2936=A2937,_xll.ciqfunctions.udf.CIQ(A2928,"IQ_TOTAL_DEBT_ISSUED",IQ_FY-8), _xll.ciqfunctions.udf.CIQ(A2928, "IQ_TOTAL_DEBT_ISSUED",IQ_FY-7))</f>
        <v>780</v>
      </c>
      <c r="N2930" s="17">
        <f>IF(A2936=A2937,_xll.ciqfunctions.udf.CIQ(A2928,"IQ_TOTAL_DEBT_REPAID",IQ_FY-8), _xll.ciqfunctions.udf.CIQ(A2928, "IQ_TOTAL_DEBT_REPAID",IQ_FY-7))</f>
        <v>-467</v>
      </c>
      <c r="O2930" s="15">
        <f t="shared" si="781"/>
        <v>2.418856259659969</v>
      </c>
      <c r="P2930" s="15">
        <f t="shared" si="782"/>
        <v>5.1159196290571867</v>
      </c>
      <c r="Q2930" s="25" t="s">
        <v>21</v>
      </c>
      <c r="R2930" s="38" t="s">
        <v>49</v>
      </c>
      <c r="S2930" s="2">
        <f>(R2927*I2938)/1000</f>
        <v>4.6230060000000002</v>
      </c>
      <c r="U2930" s="25" t="s">
        <v>59</v>
      </c>
      <c r="V2930" s="38" t="s">
        <v>49</v>
      </c>
      <c r="W2930" s="2">
        <f>(V2927*I2938)/1000</f>
        <v>4.6230060000000002</v>
      </c>
      <c r="Y2930" s="25" t="s">
        <v>46</v>
      </c>
      <c r="Z2930" s="38" t="s">
        <v>49</v>
      </c>
      <c r="AA2930" s="2">
        <f>(Z2927*I2938)/1000</f>
        <v>4.6230060000000002</v>
      </c>
    </row>
    <row r="2931" spans="1:27">
      <c r="A2931" s="18"/>
      <c r="B2931" s="13">
        <v>4</v>
      </c>
      <c r="C2931" s="14" t="s">
        <v>22</v>
      </c>
      <c r="D2931" s="15" cm="1">
        <f t="array" ref="D2931">_xlfn.SINGLE(IF(A2936=A2937,_xll.ciqfunctions.udf.CIQ(A2928,"IQ_TOTAL_REV",IQ_FY-7)/I2931, _xll.ciqfunctions.udf.CIQ(A2928, "IQ_TOTAL_REV",IQ_FY-6)/I2931))</f>
        <v>17.765876052027547</v>
      </c>
      <c r="E2931" s="16">
        <f t="shared" si="783"/>
        <v>-9.1342149750053531E-2</v>
      </c>
      <c r="F2931" s="15">
        <f>IF(A2936=A2937,_xll.ciqfunctions.udf.CIQ(A2928,"IQ_DILUT_EPS_EXCL",IQ_FY-7), _xll.ciqfunctions.udf.CIQ(A2928, "IQ_DILUT_EPS_EXCL",IQ_FY-6))</f>
        <v>0.95</v>
      </c>
      <c r="G2931" s="15">
        <f>IF(A2936=A2937,_xll.ciqfunctions.udf.CIQ(A2928,"IQ_EBITDA_MARGIN",IQ_FY-7), _xll.ciqfunctions.udf.CIQ(A2928, "IQ_EBITDA_MARGIN",IQ_FY-6))</f>
        <v>16.537400000000002</v>
      </c>
      <c r="H2931" s="15">
        <f>IF(A2936=A2937,_xll.ciqfunctions.udf.CIQ(A2928,"IQ_TOTAL_DIV_PAID_CF",IQ_FY-7)/-I2931, _xll.ciqfunctions.udf.CIQ(A2928, "IQ_TOTAL_DIV_PAID_CF",IQ_FY-6)/-I2931)</f>
        <v>0</v>
      </c>
      <c r="I2931" s="17">
        <f>IF(A2936=A2937,_xll.ciqfunctions.udf.CIQ(A2928,"IQ_TOTAL_OUTSTANDING_FILING_DATE",IQ_FY-7), _xll.ciqfunctions.udf.CIQ(A2928, "IQ_TOTAL_OUTSTANDING_FILING_DATE",IQ_FY-6))</f>
        <v>130.69999999999999</v>
      </c>
      <c r="J2931" s="17">
        <f>IF(A2936=A2937,_xll.ciqfunctions.udf.CIQ(A2928,"IQ_CASH_OPER",IQ_FY-7), _xll.ciqfunctions.udf.CIQ(A2928, "IQ_CASH_OPER",IQ_FY-6))</f>
        <v>446</v>
      </c>
      <c r="K2931" s="17">
        <f>IF(A2936=A2937,_xll.ciqfunctions.udf.CIQ(A2928,"IQ_CAPEX",IQ_FY-7), _xll.ciqfunctions.udf.CIQ(A2928, "IQ_CAPEX",IQ_FY-6))</f>
        <v>-53</v>
      </c>
      <c r="L2931" s="15">
        <f t="shared" si="780"/>
        <v>3.0068859984697784</v>
      </c>
      <c r="M2931" s="17">
        <f>IF(A2936=A2937,_xll.ciqfunctions.udf.CIQ(A2928,"IQ_TOTAL_DEBT_ISSUED",IQ_FY-7), _xll.ciqfunctions.udf.CIQ(A2928, "IQ_TOTAL_DEBT_ISSUED",IQ_FY-6))</f>
        <v>0</v>
      </c>
      <c r="N2931" s="17">
        <f>IF(A2936=A2937,_xll.ciqfunctions.udf.CIQ(A2928,"IQ_TOTAL_DEBT_REPAID",IQ_FY-7), _xll.ciqfunctions.udf.CIQ(A2928, "IQ_TOTAL_DEBT_REPAID",IQ_FY-6))</f>
        <v>-210</v>
      </c>
      <c r="O2931" s="15">
        <f t="shared" si="781"/>
        <v>-1.606732976281561</v>
      </c>
      <c r="P2931" s="15">
        <f t="shared" si="782"/>
        <v>1.4001530221882175</v>
      </c>
      <c r="Q2931" s="25" t="s">
        <v>23</v>
      </c>
      <c r="R2931" s="38" t="s">
        <v>24</v>
      </c>
      <c r="S2931" s="1" t="e">
        <f>R2927/(AVERAGE(H2933:H2938)*(1+H2939)/(0.5-H2939))</f>
        <v>#DIV/0!</v>
      </c>
      <c r="U2931" s="25" t="s">
        <v>40</v>
      </c>
      <c r="V2931" s="38" t="s">
        <v>24</v>
      </c>
      <c r="W2931" s="1" t="e">
        <f>V2927/(AVERAGE(H2933:H2938)*(1+H2939)/(0.5-H2939))</f>
        <v>#DIV/0!</v>
      </c>
      <c r="Y2931" s="25" t="s">
        <v>47</v>
      </c>
      <c r="Z2931" s="38" t="s">
        <v>24</v>
      </c>
      <c r="AA2931" s="1" t="e">
        <f>Z2927/(AVERAGE(H2933:H2938)*(1+H2939)/(0.5-H2939))</f>
        <v>#DIV/0!</v>
      </c>
    </row>
    <row r="2932" spans="1:27">
      <c r="B2932" s="13">
        <v>5</v>
      </c>
      <c r="C2932" s="14" t="s">
        <v>25</v>
      </c>
      <c r="D2932" s="15" cm="1">
        <f t="array" ref="D2932">_xlfn.SINGLE(IF(A2936=A2937,_xll.ciqfunctions.udf.CIQ(A2928,"IQ_TOTAL_REV",IQ_FY-6)/I2932, _xll.ciqfunctions.udf.CIQ(A2928, "IQ_TOTAL_REV",IQ_FY-5)/I2932))</f>
        <v>17.672131147540984</v>
      </c>
      <c r="E2932" s="16">
        <f t="shared" si="783"/>
        <v>-5.2766834695925002E-3</v>
      </c>
      <c r="F2932" s="15">
        <f>IF(A2936=A2937,_xll.ciqfunctions.udf.CIQ(A2928,"IQ_DILUT_EPS_EXCL",IQ_FY-6), _xll.ciqfunctions.udf.CIQ(A2928, "IQ_DILUT_EPS_EXCL",IQ_FY-5))</f>
        <v>-0.53259000000000001</v>
      </c>
      <c r="G2932" s="15">
        <f>IF(A2936=A2937,_xll.ciqfunctions.udf.CIQ(A2928,"IQ_EBITDA_MARGIN",IQ_FY-6), _xll.ciqfunctions.udf.CIQ(A2928, "IQ_EBITDA_MARGIN",IQ_FY-5))</f>
        <v>6.3079000000000001</v>
      </c>
      <c r="H2932" s="15">
        <f>IF(A2936=A2937,_xll.ciqfunctions.udf.CIQ(A2928,"IQ_TOTAL_DIV_PAID_CF",IQ_FY-6)/-I2932, _xll.ciqfunctions.udf.CIQ(A2928, "IQ_TOTAL_DIV_PAID_CF",IQ_FY-5)/-I2932)</f>
        <v>0</v>
      </c>
      <c r="I2932" s="17">
        <f>IF(A2936=A2937,_xll.ciqfunctions.udf.CIQ(A2928,"IQ_TOTAL_OUTSTANDING_FILING_DATE",IQ_FY-6), _xll.ciqfunctions.udf.CIQ(A2928, "IQ_TOTAL_OUTSTANDING_FILING_DATE",IQ_FY-5))</f>
        <v>122</v>
      </c>
      <c r="J2932" s="17">
        <f>IF(A2936=A2937,_xll.ciqfunctions.udf.CIQ(A2928,"IQ_CASH_OPER",IQ_FY-6), _xll.ciqfunctions.udf.CIQ(A2928, "IQ_CASH_OPER",IQ_FY-5))</f>
        <v>324</v>
      </c>
      <c r="K2932" s="17">
        <f>IF(A2936=A2937,_xll.ciqfunctions.udf.CIQ(A2928,"IQ_CAPEX",IQ_FY-6), _xll.ciqfunctions.udf.CIQ(A2928, "IQ_CAPEX",IQ_FY-5))</f>
        <v>-78</v>
      </c>
      <c r="L2932" s="15">
        <f t="shared" si="780"/>
        <v>2.0163934426229506</v>
      </c>
      <c r="M2932" s="17">
        <f>IF(A2936=A2937,_xll.ciqfunctions.udf.CIQ(A2928,"IQ_TOTAL_DEBT_ISSUED",IQ_FY-6), _xll.ciqfunctions.udf.CIQ(A2928, "IQ_TOTAL_DEBT_ISSUED",IQ_FY-5))</f>
        <v>420</v>
      </c>
      <c r="N2932" s="17">
        <f>IF(A2936=A2937,_xll.ciqfunctions.udf.CIQ(A2928,"IQ_TOTAL_DEBT_REPAID",IQ_FY-6), _xll.ciqfunctions.udf.CIQ(A2928, "IQ_TOTAL_DEBT_REPAID",IQ_FY-5))</f>
        <v>-210</v>
      </c>
      <c r="O2932" s="15">
        <f t="shared" si="781"/>
        <v>1.721311475409836</v>
      </c>
      <c r="P2932" s="15">
        <f t="shared" si="782"/>
        <v>3.7377049180327866</v>
      </c>
      <c r="Q2932" s="18"/>
      <c r="R2932" s="38" t="s">
        <v>50</v>
      </c>
      <c r="S2932" s="3">
        <f>I2939</f>
        <v>-3.5708877553660479E-2</v>
      </c>
      <c r="U2932" s="18"/>
      <c r="V2932" s="38" t="s">
        <v>50</v>
      </c>
      <c r="W2932" s="3">
        <f>I2939</f>
        <v>-3.5708877553660479E-2</v>
      </c>
      <c r="Y2932" s="18"/>
      <c r="Z2932" s="38" t="s">
        <v>50</v>
      </c>
      <c r="AA2932" s="3">
        <f>I2939</f>
        <v>-3.5708877553660479E-2</v>
      </c>
    </row>
    <row r="2933" spans="1:27">
      <c r="B2933" s="13">
        <v>6</v>
      </c>
      <c r="C2933" s="14" t="s">
        <v>26</v>
      </c>
      <c r="D2933" s="15" cm="1">
        <f t="array" ref="D2933">_xlfn.SINGLE(IF(A2936=A2937,_xll.ciqfunctions.udf.CIQ(A2928,"IQ_TOTAL_REV",IQ_FY-5)/I2933, _xll.ciqfunctions.udf.CIQ(A2928, "IQ_TOTAL_REV",IQ_FY-4)/I2933))</f>
        <v>18.448422847399829</v>
      </c>
      <c r="E2933" s="16">
        <f t="shared" si="783"/>
        <v>4.3927452403886416E-2</v>
      </c>
      <c r="F2933" s="15">
        <f>IF(A2936=A2937,_xll.ciqfunctions.udf.CIQ(A2928,"IQ_DILUT_EPS_EXCL",IQ_FY-5), _xll.ciqfunctions.udf.CIQ(A2928, "IQ_DILUT_EPS_EXCL",IQ_FY-4))</f>
        <v>0.25</v>
      </c>
      <c r="G2933" s="15">
        <f>IF(A2936=A2937,_xll.ciqfunctions.udf.CIQ(A2928,"IQ_EBITDA_MARGIN",IQ_FY-5), _xll.ciqfunctions.udf.CIQ(A2928, "IQ_EBITDA_MARGIN",IQ_FY-4))</f>
        <v>6.4695</v>
      </c>
      <c r="H2933" s="15">
        <f>IF(A2936=A2937,_xll.ciqfunctions.udf.CIQ(A2928,"IQ_TOTAL_DIV_PAID_CF",IQ_FY-5)/-I2933, _xll.ciqfunctions.udf.CIQ(A2928, "IQ_TOTAL_DIV_PAID_CF",IQ_FY-4)/-I2933)</f>
        <v>0</v>
      </c>
      <c r="I2933" s="17">
        <f>IF(A2936=A2937,_xll.ciqfunctions.udf.CIQ(A2928,"IQ_TOTAL_OUTSTANDING_FILING_DATE",IQ_FY-5), _xll.ciqfunctions.udf.CIQ(A2928, "IQ_TOTAL_OUTSTANDING_FILING_DATE",IQ_FY-4))</f>
        <v>117.3</v>
      </c>
      <c r="J2933" s="17">
        <f>IF(A2936=A2937,_xll.ciqfunctions.udf.CIQ(A2928,"IQ_CASH_OPER",IQ_FY-5), _xll.ciqfunctions.udf.CIQ(A2928, "IQ_CASH_OPER",IQ_FY-4))</f>
        <v>364</v>
      </c>
      <c r="K2933" s="17">
        <f>IF(A2936=A2937,_xll.ciqfunctions.udf.CIQ(A2928,"IQ_CAPEX",IQ_FY-5), _xll.ciqfunctions.udf.CIQ(A2928, "IQ_CAPEX",IQ_FY-4))</f>
        <v>-153</v>
      </c>
      <c r="L2933" s="15">
        <f t="shared" si="780"/>
        <v>1.7988064791133844</v>
      </c>
      <c r="M2933" s="17">
        <f>IF(A2936=A2937,_xll.ciqfunctions.udf.CIQ(A2928,"IQ_TOTAL_DEBT_ISSUED",IQ_FY-5), _xll.ciqfunctions.udf.CIQ(A2928, "IQ_TOTAL_DEBT_ISSUED",IQ_FY-4))</f>
        <v>0</v>
      </c>
      <c r="N2933" s="17">
        <f>IF(A2936=A2937,_xll.ciqfunctions.udf.CIQ(A2928,"IQ_TOTAL_DEBT_REPAID",IQ_FY-5), _xll.ciqfunctions.udf.CIQ(A2928, "IQ_TOTAL_DEBT_REPAID",IQ_FY-4))</f>
        <v>-285</v>
      </c>
      <c r="O2933" s="15">
        <f t="shared" si="781"/>
        <v>-2.4296675191815855</v>
      </c>
      <c r="P2933" s="15">
        <f t="shared" si="782"/>
        <v>-0.6308610400682011</v>
      </c>
      <c r="Q2933" s="25" t="s">
        <v>27</v>
      </c>
      <c r="R2933" s="38" t="s">
        <v>51</v>
      </c>
      <c r="S2933" s="4">
        <f>AVERAGE(F2933:F2938)/AVERAGE(D2933:D2938)</f>
        <v>3.2103400128500478E-2</v>
      </c>
      <c r="U2933" s="25" t="s">
        <v>58</v>
      </c>
      <c r="V2933" s="38" t="s">
        <v>51</v>
      </c>
      <c r="W2933" s="4">
        <f>AVERAGE(F2933:F2938)/AVERAGE(D2933:D2938)</f>
        <v>3.2103400128500478E-2</v>
      </c>
      <c r="Y2933" s="25" t="s">
        <v>56</v>
      </c>
      <c r="Z2933" s="38" t="s">
        <v>51</v>
      </c>
      <c r="AA2933" s="4">
        <f>AVERAGE(F2933:F2938)/AVERAGE(D2933:D2938)</f>
        <v>3.2103400128500478E-2</v>
      </c>
    </row>
    <row r="2934" spans="1:27">
      <c r="A2934" s="18"/>
      <c r="B2934" s="13">
        <v>7</v>
      </c>
      <c r="C2934" s="14" t="s">
        <v>28</v>
      </c>
      <c r="D2934" s="15" cm="1">
        <f t="array" ref="D2934">_xlfn.SINGLE(IF(A2936=A2937,_xll.ciqfunctions.udf.CIQ(A2928,"IQ_TOTAL_REV",IQ_FY-4)/I2934, _xll.ciqfunctions.udf.CIQ(A2928, "IQ_TOTAL_REV",IQ_FY-3)/I2934))</f>
        <v>17.108108108108109</v>
      </c>
      <c r="E2934" s="16">
        <f t="shared" si="783"/>
        <v>-7.2651995803566918E-2</v>
      </c>
      <c r="F2934" s="15">
        <f>IF(A2936=A2937,_xll.ciqfunctions.udf.CIQ(A2928,"IQ_DILUT_EPS_EXCL",IQ_FY-4), _xll.ciqfunctions.udf.CIQ(A2928, "IQ_DILUT_EPS_EXCL",IQ_FY-3))</f>
        <v>-0.18</v>
      </c>
      <c r="G2934" s="15">
        <f>IF(A2936=A2937,_xll.ciqfunctions.udf.CIQ(A2928,"IQ_EBITDA_MARGIN",IQ_FY-4), _xll.ciqfunctions.udf.CIQ(A2928, "IQ_EBITDA_MARGIN",IQ_FY-3))</f>
        <v>6.8982999999999999</v>
      </c>
      <c r="H2934" s="15">
        <f>IF(A2936=A2937,_xll.ciqfunctions.udf.CIQ(A2928,"IQ_TOTAL_DIV_PAID_CF",IQ_FY-4)/-I2934, _xll.ciqfunctions.udf.CIQ(A2928, "IQ_TOTAL_DIV_PAID_CF",IQ_FY-3)/-I2934)</f>
        <v>0</v>
      </c>
      <c r="I2934" s="17">
        <f>IF(A2936=A2937,_xll.ciqfunctions.udf.CIQ(A2928,"IQ_TOTAL_OUTSTANDING_FILING_DATE",IQ_FY-4), _xll.ciqfunctions.udf.CIQ(A2928, "IQ_TOTAL_OUTSTANDING_FILING_DATE",IQ_FY-3))</f>
        <v>111</v>
      </c>
      <c r="J2934" s="17">
        <f>IF(A2936=A2937,_xll.ciqfunctions.udf.CIQ(A2928,"IQ_CASH_OPER",IQ_FY-4), _xll.ciqfunctions.udf.CIQ(A2928, "IQ_CASH_OPER",IQ_FY-3))</f>
        <v>148</v>
      </c>
      <c r="K2934" s="17">
        <f>IF(A2936=A2937,_xll.ciqfunctions.udf.CIQ(A2928,"IQ_CAPEX",IQ_FY-4), _xll.ciqfunctions.udf.CIQ(A2928, "IQ_CAPEX",IQ_FY-3))</f>
        <v>-54</v>
      </c>
      <c r="L2934" s="15">
        <f t="shared" si="780"/>
        <v>0.84684684684684686</v>
      </c>
      <c r="M2934" s="17">
        <f>IF(A2936=A2937,_xll.ciqfunctions.udf.CIQ(A2928,"IQ_TOTAL_DEBT_ISSUED",IQ_FY-4), _xll.ciqfunctions.udf.CIQ(A2928, "IQ_TOTAL_DEBT_ISSUED",IQ_FY-3))</f>
        <v>0</v>
      </c>
      <c r="N2934" s="17">
        <f>IF(A2936=A2937,_xll.ciqfunctions.udf.CIQ(A2928,"IQ_TOTAL_DEBT_REPAID",IQ_FY-4), _xll.ciqfunctions.udf.CIQ(A2928, "IQ_TOTAL_DEBT_REPAID",IQ_FY-3))</f>
        <v>-52</v>
      </c>
      <c r="O2934" s="15">
        <f t="shared" si="781"/>
        <v>-0.46846846846846846</v>
      </c>
      <c r="P2934" s="15">
        <f t="shared" si="782"/>
        <v>0.3783783783783784</v>
      </c>
      <c r="Q2934" s="18"/>
      <c r="R2934" s="38" t="s">
        <v>29</v>
      </c>
      <c r="S2934" s="4">
        <f>(AVERAGE(P2933:P2938)/_xlfn.STDEV.P(P2933:P2938))/(IF(A2936=A2937,(_xlfn.SINGLE(_xll.ciqfunctions.udf.CIQ(A2928,"IQ_total_assets",IQ_FY)) - _xlfn.SINGLE(_xll.ciqfunctions.udf.CIQ(A2928,"iq_gw_intan", IQ_FY)))/I2938, (_xlfn.SINGLE(_xll.ciqfunctions.udf.CIQ(A2928, "IQ_total_assets",IQ_LTM))-_xlfn.SINGLE(_xll.ciqfunctions.udf.CIQ(A2928,"iq_gw_intan",IQ_LTM)))/I2938))</f>
        <v>7.8729385395499313E-2</v>
      </c>
      <c r="U2934" s="18"/>
      <c r="V2934" s="38" t="s">
        <v>29</v>
      </c>
      <c r="W2934" s="4">
        <f>(AVERAGE(P2933:P2938)/_xlfn.STDEV.P(P2933:P2938))/(IF(A2936=A2937,(_xlfn.SINGLE(_xll.ciqfunctions.udf.CIQ(A2928,"IQ_total_assets",IQ_FY)) - _xlfn.SINGLE(_xll.ciqfunctions.udf.CIQ(A2928,"iq_gw_intan", IQ_FY)))/I2938, (_xlfn.SINGLE(_xll.ciqfunctions.udf.CIQ(A2928, "IQ_total_assets",IQ_LTM))-_xlfn.SINGLE(_xll.ciqfunctions.udf.CIQ(A2928,"iq_gw_intan",IQ_LTM)))/I2938))</f>
        <v>7.8729385395499313E-2</v>
      </c>
      <c r="Y2934" s="18"/>
      <c r="Z2934" s="38" t="s">
        <v>29</v>
      </c>
      <c r="AA2934" s="4">
        <f>(AVERAGE(P2933:P2938)/_xlfn.STDEV.P(P2933:P2938))/(IF(A2936=A2937,(_xlfn.SINGLE(_xll.ciqfunctions.udf.CIQ(A2928,"IQ_total_assets",IQ_FY)) - _xlfn.SINGLE(_xll.ciqfunctions.udf.CIQ(A2928,"iq_gw_intan", IQ_FY)))/I2938, (_xlfn.SINGLE(_xll.ciqfunctions.udf.CIQ(A2928, "IQ_total_assets",IQ_LTM))-_xlfn.SINGLE(_xll.ciqfunctions.udf.CIQ(A2928,"iq_gw_intan",IQ_LTM)))/I2938))</f>
        <v>7.8729385395499313E-2</v>
      </c>
    </row>
    <row r="2935" spans="1:27">
      <c r="A2935" s="18"/>
      <c r="B2935" s="13">
        <v>8</v>
      </c>
      <c r="C2935" s="14" t="s">
        <v>30</v>
      </c>
      <c r="D2935" s="15" cm="1">
        <f t="array" ref="D2935">_xlfn.SINGLE(IF(A2936=A2937,_xll.ciqfunctions.udf.CIQ(A2928,"IQ_TOTAL_REV",IQ_FY-3)/I2935, _xll.ciqfunctions.udf.CIQ(A2928, "IQ_TOTAL_REV",IQ_FY-2)/I2935))</f>
        <v>16.844036697247706</v>
      </c>
      <c r="E2935" s="16">
        <f t="shared" si="783"/>
        <v>-1.5435453715379004E-2</v>
      </c>
      <c r="F2935" s="15">
        <f>IF(A2936=A2937,_xll.ciqfunctions.udf.CIQ(A2928,"IQ_DILUT_EPS_EXCL",IQ_FY-3), _xll.ciqfunctions.udf.CIQ(A2928, "IQ_DILUT_EPS_EXCL",IQ_FY-2))</f>
        <v>1.1599999999999999</v>
      </c>
      <c r="G2935" s="15">
        <f>IF(A2936=A2937,_xll.ciqfunctions.udf.CIQ(A2928,"IQ_EBITDA_MARGIN",IQ_FY-3), _xll.ciqfunctions.udf.CIQ(A2928, "IQ_EBITDA_MARGIN",IQ_FY-2))</f>
        <v>8.8779000000000003</v>
      </c>
      <c r="H2935" s="15">
        <f>IF(A2936=A2937,_xll.ciqfunctions.udf.CIQ(A2928,"IQ_TOTAL_DIV_PAID_CF",IQ_FY-3)/-I2935, _xll.ciqfunctions.udf.CIQ(A2928, "IQ_TOTAL_DIV_PAID_CF",IQ_FY-2)/-I2935)</f>
        <v>0</v>
      </c>
      <c r="I2935" s="17">
        <f>IF(A2936=A2937,_xll.ciqfunctions.udf.CIQ(A2928,"IQ_TOTAL_OUTSTANDING_FILING_DATE",IQ_FY-3), _xll.ciqfunctions.udf.CIQ(A2928, "IQ_TOTAL_OUTSTANDING_FILING_DATE",IQ_FY-2))</f>
        <v>109</v>
      </c>
      <c r="J2935" s="17">
        <f>IF(A2936=A2937,_xll.ciqfunctions.udf.CIQ(A2928,"IQ_CASH_OPER",IQ_FY-3), _xll.ciqfunctions.udf.CIQ(A2928, "IQ_CASH_OPER",IQ_FY-2))</f>
        <v>267</v>
      </c>
      <c r="K2935" s="17">
        <f>IF(A2936=A2937,_xll.ciqfunctions.udf.CIQ(A2928,"IQ_CAPEX",IQ_FY-3), _xll.ciqfunctions.udf.CIQ(A2928, "IQ_CAPEX",IQ_FY-2))</f>
        <v>-44</v>
      </c>
      <c r="L2935" s="15">
        <f t="shared" si="780"/>
        <v>2.0458715596330275</v>
      </c>
      <c r="M2935" s="17">
        <f>IF(A2936=A2937,_xll.ciqfunctions.udf.CIQ(A2928,"IQ_TOTAL_DEBT_ISSUED",IQ_FY-3), _xll.ciqfunctions.udf.CIQ(A2928, "IQ_TOTAL_DEBT_ISSUED",IQ_FY-2))</f>
        <v>0</v>
      </c>
      <c r="N2935" s="17">
        <f>IF(A2936=A2937,_xll.ciqfunctions.udf.CIQ(A2928,"IQ_TOTAL_DEBT_REPAID",IQ_FY-3), _xll.ciqfunctions.udf.CIQ(A2928, "IQ_TOTAL_DEBT_REPAID",IQ_FY-2))</f>
        <v>-95</v>
      </c>
      <c r="O2935" s="15">
        <f t="shared" si="781"/>
        <v>-0.87155963302752293</v>
      </c>
      <c r="P2935" s="15">
        <f t="shared" si="782"/>
        <v>1.1743119266055047</v>
      </c>
      <c r="Q2935" s="18"/>
      <c r="R2935" s="39" t="s">
        <v>31</v>
      </c>
      <c r="S2935" s="5">
        <f>IF(NOT(D2928&gt;0),FALSE,SLOPE(G2928:G2938,B2928:B2938))</f>
        <v>-0.74796090909090907</v>
      </c>
      <c r="U2935" s="18"/>
      <c r="V2935" s="39" t="s">
        <v>31</v>
      </c>
      <c r="W2935" s="5">
        <f>IF(NOT(D2928&gt;0),FALSE,SLOPE(G2928:G2938,B2928:B2938))</f>
        <v>-0.74796090909090907</v>
      </c>
      <c r="Y2935" s="18"/>
      <c r="Z2935" s="39" t="s">
        <v>31</v>
      </c>
      <c r="AA2935" s="5">
        <f>IF(NOT(L2928&gt;0),FALSE,SLOPE(O2928:O2938,J2928:J2938))</f>
        <v>2.3680659918354995E-3</v>
      </c>
    </row>
    <row r="2936" spans="1:27">
      <c r="A2936" s="19">
        <f>_xll.ciqfunctions.udf.CIQ(A2928,"IQ_TOTAL_REV",IQ_FY)</f>
        <v>1795</v>
      </c>
      <c r="B2936" s="13">
        <v>9</v>
      </c>
      <c r="C2936" s="14" t="s">
        <v>32</v>
      </c>
      <c r="D2936" s="15" cm="1">
        <f t="array" ref="D2936">_xlfn.SINGLE(IF(A2936=A2937,_xll.ciqfunctions.udf.CIQ(A2928,"IQ_TOTAL_REV",IQ_FY-2)/I2936, _xll.ciqfunctions.udf.CIQ(A2928, "IQ_TOTAL_REV",IQ_FY-1)/I2936))</f>
        <v>18.067860508953817</v>
      </c>
      <c r="E2936" s="16">
        <f t="shared" si="783"/>
        <v>7.2656206686256081E-2</v>
      </c>
      <c r="F2936" s="15">
        <f>IF(A2936=A2937,_xll.ciqfunctions.udf.CIQ(A2928,"IQ_DILUT_EPS_EXCL",IQ_FY-2), _xll.ciqfunctions.udf.CIQ(A2928, "IQ_DILUT_EPS_EXCL",IQ_FY-1))</f>
        <v>1.3</v>
      </c>
      <c r="G2936" s="15">
        <f>IF(A2936=A2937,_xll.ciqfunctions.udf.CIQ(A2928,"IQ_EBITDA_MARGIN",IQ_FY-2), _xll.ciqfunctions.udf.CIQ(A2928, "IQ_EBITDA_MARGIN",IQ_FY-1))</f>
        <v>19.509599999999999</v>
      </c>
      <c r="H2936" s="15">
        <f>IF(A2936=A2937,_xll.ciqfunctions.udf.CIQ(A2928,"IQ_TOTAL_DIV_PAID_CF",IQ_FY-2)/-I2936, _xll.ciqfunctions.udf.CIQ(A2928, "IQ_TOTAL_DIV_PAID_CF",IQ_FY-1)/-I2936)</f>
        <v>0</v>
      </c>
      <c r="I2936" s="17">
        <f>IF(A2936=A2937,_xll.ciqfunctions.udf.CIQ(A2928,"IQ_TOTAL_OUTSTANDING_FILING_DATE",IQ_FY-2), _xll.ciqfunctions.udf.CIQ(A2928, "IQ_TOTAL_OUTSTANDING_FILING_DATE",IQ_FY-1))</f>
        <v>106.1</v>
      </c>
      <c r="J2936" s="17">
        <f>IF(A2936=A2937,_xll.ciqfunctions.udf.CIQ(A2928,"IQ_CASH_OPER",IQ_FY-2), _xll.ciqfunctions.udf.CIQ(A2928, "IQ_CASH_OPER",IQ_FY-1))</f>
        <v>463</v>
      </c>
      <c r="K2936" s="17">
        <f>IF(A2936=A2937,_xll.ciqfunctions.udf.CIQ(A2928,"IQ_CAPEX",IQ_FY-2), _xll.ciqfunctions.udf.CIQ(A2928, "IQ_CAPEX",IQ_FY-1))</f>
        <v>-28</v>
      </c>
      <c r="L2936" s="15">
        <f t="shared" si="780"/>
        <v>4.0999057492931197</v>
      </c>
      <c r="M2936" s="17">
        <f>IF(A2936=A2937,_xll.ciqfunctions.udf.CIQ(A2928,"IQ_TOTAL_DEBT_ISSUED",IQ_FY-2), _xll.ciqfunctions.udf.CIQ(A2928, "IQ_TOTAL_DEBT_ISSUED",IQ_FY-1))</f>
        <v>0</v>
      </c>
      <c r="N2936" s="17">
        <f>IF(A2936=A2937,_xll.ciqfunctions.udf.CIQ(A2928,"IQ_TOTAL_DEBT_REPAID",IQ_FY-2), _xll.ciqfunctions.udf.CIQ(A2928, "IQ_TOTAL_DEBT_REPAID",IQ_FY-1))</f>
        <v>-136</v>
      </c>
      <c r="O2936" s="15">
        <f t="shared" si="781"/>
        <v>-1.2818096135721018</v>
      </c>
      <c r="P2936" s="15">
        <f t="shared" si="782"/>
        <v>2.8180961357210181</v>
      </c>
      <c r="Q2936" s="25" t="s">
        <v>33</v>
      </c>
      <c r="R2936" s="38" t="s">
        <v>52</v>
      </c>
      <c r="S2936" s="4">
        <f>(AVERAGE(O2933:O2938)/AVERAGE(P2933:P2938))</f>
        <v>-0.58122689235391378</v>
      </c>
      <c r="U2936" s="25" t="s">
        <v>54</v>
      </c>
      <c r="V2936" s="38" t="s">
        <v>52</v>
      </c>
      <c r="W2936" s="4">
        <f>(AVERAGE(O2933:O2938)/AVERAGE(P2933:P2938))</f>
        <v>-0.58122689235391378</v>
      </c>
      <c r="Y2936" s="25" t="s">
        <v>60</v>
      </c>
      <c r="Z2936" s="38" t="s">
        <v>52</v>
      </c>
      <c r="AA2936" s="4">
        <f>(AVERAGE(O2933:O2938)/AVERAGE(P2933:P2938))</f>
        <v>-0.58122689235391378</v>
      </c>
    </row>
    <row r="2937" spans="1:27">
      <c r="A2937" s="19">
        <f>_xll.ciqfunctions.udf.CIQ(A2928,"IQ_TOTAL_REV",IQ_LTM)</f>
        <v>1828</v>
      </c>
      <c r="B2937" s="13">
        <v>10</v>
      </c>
      <c r="C2937" s="14" t="s">
        <v>34</v>
      </c>
      <c r="D2937" s="15" cm="1">
        <f t="array" ref="D2937">_xlfn.SINGLE(IF(A2936=A2937,_xll.ciqfunctions.udf.CIQ(A2928,"IQ_TOTAL_REV",IQ_FY-1)/I2937, _xll.ciqfunctions.udf.CIQ(A2928, "IQ_TOTAL_REV",IQ_FY)/I2937))</f>
        <v>17.807539682539684</v>
      </c>
      <c r="E2937" s="16">
        <f t="shared" si="783"/>
        <v>-1.4407949756150017E-2</v>
      </c>
      <c r="F2937" s="15">
        <f>IF(A2936=A2937,_xll.ciqfunctions.udf.CIQ(A2928,"IQ_DILUT_EPS_EXCL",IQ_FY-1), _xll.ciqfunctions.udf.CIQ(A2928, "IQ_DILUT_EPS_EXCL",IQ_FY))</f>
        <v>0.31</v>
      </c>
      <c r="G2937" s="15">
        <f>IF(A2936=A2937,_xll.ciqfunctions.udf.CIQ(A2928,"IQ_EBITDA_MARGIN",IQ_FY-1), _xll.ciqfunctions.udf.CIQ(A2928, "IQ_EBITDA_MARGIN",IQ_FY))</f>
        <v>13.704700000000001</v>
      </c>
      <c r="H2937" s="15">
        <f>IF(A2936=A2937,_xll.ciqfunctions.udf.CIQ(A2928,"IQ_TOTAL_DIV_PAID_CF",IQ_FY-1)/-I2937, _xll.ciqfunctions.udf.CIQ(A2928, "IQ_TOTAL_DIV_PAID_CF",IQ_FY)/-I2937)</f>
        <v>0</v>
      </c>
      <c r="I2937" s="17">
        <f>IF(A2936=A2937,_xll.ciqfunctions.udf.CIQ(A2928,"IQ_TOTAL_OUTSTANDING_FILING_DATE",IQ_FY-1), _xll.ciqfunctions.udf.CIQ(A2928, "IQ_TOTAL_OUTSTANDING_FILING_DATE",IQ_FY))</f>
        <v>100.8</v>
      </c>
      <c r="J2937" s="17">
        <f>IF(A2936=A2937,_xll.ciqfunctions.udf.CIQ(A2928,"IQ_CASH_OPER",IQ_FY-1), _xll.ciqfunctions.udf.CIQ(A2928, "IQ_CASH_OPER",IQ_FY))</f>
        <v>419</v>
      </c>
      <c r="K2937" s="17">
        <f>IF(A2936=A2937,_xll.ciqfunctions.udf.CIQ(A2928,"IQ_CAPEX",IQ_FY-1), _xll.ciqfunctions.udf.CIQ(A2928, "IQ_CAPEX",IQ_FY))</f>
        <v>-14</v>
      </c>
      <c r="L2937" s="15">
        <f t="shared" si="780"/>
        <v>4.0178571428571432</v>
      </c>
      <c r="M2937" s="17">
        <f>IF(A2936=A2937,_xll.ciqfunctions.udf.CIQ(A2928,"IQ_TOTAL_DEBT_ISSUED",IQ_FY-1), _xll.ciqfunctions.udf.CIQ(A2928, "IQ_TOTAL_DEBT_ISSUED",IQ_FY))</f>
        <v>500</v>
      </c>
      <c r="N2937" s="17">
        <f>IF(A2936=A2937,_xll.ciqfunctions.udf.CIQ(A2928,"IQ_TOTAL_DEBT_REPAID",IQ_FY-1), _xll.ciqfunctions.udf.CIQ(A2928, "IQ_TOTAL_DEBT_REPAID",IQ_FY))</f>
        <v>-499</v>
      </c>
      <c r="O2937" s="15">
        <f t="shared" si="781"/>
        <v>9.9206349206349201E-3</v>
      </c>
      <c r="P2937" s="15">
        <f t="shared" si="782"/>
        <v>4.0277777777777786</v>
      </c>
      <c r="Q2937" s="25" t="s">
        <v>44</v>
      </c>
      <c r="R2937" s="38" t="s">
        <v>35</v>
      </c>
      <c r="S2937" s="1">
        <f>_xll.ciqfunctions.udf.CIQ(A2928,"IQ_TEV_EBITDA")</f>
        <v>18.567409999999999</v>
      </c>
      <c r="U2937" s="25" t="s">
        <v>55</v>
      </c>
      <c r="V2937" s="38" t="s">
        <v>53</v>
      </c>
      <c r="W2937" s="1">
        <f>V2927/(AVERAGE(D2933:D2938)/_xlfn.STDEV.P(E2933:E2938))</f>
        <v>0.13132411645311143</v>
      </c>
      <c r="Y2937" s="25" t="s">
        <v>57</v>
      </c>
      <c r="Z2937" s="38" t="s">
        <v>53</v>
      </c>
      <c r="AA2937" s="1">
        <f>Z2927/(AVERAGE(D2933:D2938)/_xlfn.STDEV.P(E2933:E2938))</f>
        <v>0.13132411645311143</v>
      </c>
    </row>
    <row r="2938" spans="1:27">
      <c r="B2938" s="13">
        <v>11</v>
      </c>
      <c r="C2938" s="20" t="s">
        <v>36</v>
      </c>
      <c r="D2938" s="21" cm="1">
        <f t="array" ref="D2938">_xlfn.SINGLE(IF(A2936=A2937,_xll.ciqfunctions.udf.CIQ(A2928,"IQ_TOTAL_REV",IQ_FY)/I2938, _xll.ciqfunctions.udf.CIQ(A2928, "IQ_TOTAL_REV",IQ_LTM)/I2938))</f>
        <v>18.691206543967279</v>
      </c>
      <c r="E2938" s="22">
        <f t="shared" si="783"/>
        <v>4.9623186424457739E-2</v>
      </c>
      <c r="F2938" s="21">
        <f>IF(A2936=A2937,_xll.ciqfunctions.udf.CIQ(A2928,"IQ_DILUT_EPS_EXCL",IQ_FY), _xll.ciqfunctions.udf.CIQ(A2928, "IQ_DILUT_EPS_EXCL",IQ_LTM))</f>
        <v>0.59401000000000004</v>
      </c>
      <c r="G2938" s="21">
        <f>IF(A2936=A2937,_xll.ciqfunctions.udf.CIQ(A2928,"IQ_EBITDA_MARGIN",IQ_FY), _xll.ciqfunctions.udf.CIQ(A2928, "IQ_EBITDA_MARGIN",IQ_LTM))</f>
        <v>14.058999999999999</v>
      </c>
      <c r="H2938" s="21">
        <f>IF(A2936=A2937,_xll.ciqfunctions.udf.CIQ(A2928,"IQ_TOTAL_DIV_PAID_CF",IQ_FY)/-I2938, _xll.ciqfunctions.udf.CIQ(A2928, "IQ_TOTAL_DIV_PAID_CF",IQ_LTM)/-I2938)</f>
        <v>0</v>
      </c>
      <c r="I2938" s="23">
        <f>IF(A2936=A2937,_xll.ciqfunctions.udf.CIQ(A2928,"IQ_TOTAL_OUTSTANDING_FILING_DATE",IQ_FY),_xll.ciqfunctions.udf.CIQ(A2928,"IQ_sharesoutstanding"))</f>
        <v>97.8</v>
      </c>
      <c r="J2938" s="23">
        <f>IF(A2936=A2937,_xll.ciqfunctions.udf.CIQ(A2928,"IQ_CASH_OPER",IQ_FY), _xll.ciqfunctions.udf.CIQ(A2928, "IQ_CASH_OPER",IQ_LTM))</f>
        <v>328</v>
      </c>
      <c r="K2938" s="23">
        <f>IF(A2936=A2937,_xll.ciqfunctions.udf.CIQ(A2928,"IQ_CAPEX",IQ_FY), _xll.ciqfunctions.udf.CIQ(A2928, "IQ_CAPEX",IQ_LTM))</f>
        <v>-19</v>
      </c>
      <c r="L2938" s="21">
        <f t="shared" si="780"/>
        <v>3.1595092024539877</v>
      </c>
      <c r="M2938" s="23">
        <f>IF(A2936=A2937,_xll.ciqfunctions.udf.CIQ(A2928,"IQ_TOTAL_DEBT_ISSUED",IQ_FY), _xll.ciqfunctions.udf.CIQ(A2928, "IQ_TOTAL_DEBT_ISSUED",IQ_LTM))</f>
        <v>0</v>
      </c>
      <c r="N2938" s="23">
        <f>IF(A2936=A2937,_xll.ciqfunctions.udf.CIQ(A2928,"IQ_TOTAL_DEBT_REPAID",IQ_FY), _xll.ciqfunctions.udf.CIQ(A2928, "IQ_TOTAL_DEBT_REPAID",IQ_LTM))</f>
        <v>-81</v>
      </c>
      <c r="O2938" s="21">
        <f t="shared" si="781"/>
        <v>-0.82822085889570551</v>
      </c>
      <c r="P2938" s="21">
        <f t="shared" si="782"/>
        <v>2.3312883435582821</v>
      </c>
      <c r="Q2938" s="25" t="s">
        <v>45</v>
      </c>
      <c r="S2938" s="45"/>
      <c r="U2938" s="25"/>
      <c r="W2938" s="45"/>
      <c r="Y2938" s="25"/>
      <c r="AA2938" s="45"/>
    </row>
    <row r="2939" spans="1:27">
      <c r="B2939" s="24"/>
      <c r="C2939" s="25" t="s">
        <v>37</v>
      </c>
      <c r="E2939" s="26">
        <f>((D2938/D2933)^(1/5))-1</f>
        <v>2.6182798565952403E-3</v>
      </c>
      <c r="F2939" s="27">
        <f>((F2938/F2933)^(1/5))-1</f>
        <v>0.18896959714323036</v>
      </c>
      <c r="G2939" s="28"/>
      <c r="H2939" s="27" t="e">
        <f>((H2938/H2933)^(1/5))-1</f>
        <v>#DIV/0!</v>
      </c>
      <c r="I2939" s="27">
        <f>((I2938/I2933)^(1/5))-1</f>
        <v>-3.5708877553660479E-2</v>
      </c>
      <c r="J2939" s="27"/>
      <c r="K2939" s="27"/>
      <c r="L2939" s="26">
        <f>((L2938/L2933)^(1/5))-1</f>
        <v>0.11924982793673644</v>
      </c>
      <c r="M2939" s="26"/>
      <c r="N2939" s="26"/>
      <c r="O2939" s="26"/>
      <c r="P2939" s="26">
        <f>((P2938/P2933)^(1/5))-1</f>
        <v>-2.2987706235896734</v>
      </c>
      <c r="Q2939" s="18"/>
      <c r="R2939" s="36"/>
      <c r="S2939" s="45"/>
      <c r="U2939" s="18"/>
      <c r="V2939" s="36"/>
      <c r="W2939" s="45"/>
      <c r="Y2939" s="18"/>
      <c r="Z2939" s="36"/>
      <c r="AA2939" s="45"/>
    </row>
    <row r="2940" spans="1:27">
      <c r="A2940" s="29"/>
      <c r="B2940" s="30"/>
      <c r="C2940" s="31" t="s">
        <v>38</v>
      </c>
      <c r="D2940" s="29"/>
      <c r="E2940" s="32">
        <f>((D2938/D2928)^(1/10))-1</f>
        <v>1.0067818634630576E-2</v>
      </c>
      <c r="F2940" s="33">
        <f>((F2938/F2928)^(1/10))-1</f>
        <v>-0.12546581608909979</v>
      </c>
      <c r="G2940" s="34"/>
      <c r="H2940" s="33" t="e">
        <f>((H2938/H2928)^(1/10))-1</f>
        <v>#DIV/0!</v>
      </c>
      <c r="I2940" s="33">
        <f>((I2938/I2928)^(1/10))-1</f>
        <v>-4.7555717387341545E-2</v>
      </c>
      <c r="J2940" s="33"/>
      <c r="K2940" s="33"/>
      <c r="L2940" s="32">
        <f>((L2938/L2928)^(1/10))-1</f>
        <v>1.1195241950993529E-2</v>
      </c>
      <c r="M2940" s="32"/>
      <c r="N2940" s="32"/>
      <c r="O2940" s="32"/>
      <c r="P2940" s="32">
        <f>((P2938/P2928)^(1/10))-1</f>
        <v>-1.5751005330333245E-2</v>
      </c>
      <c r="Q2940" s="40"/>
      <c r="R2940" s="41"/>
      <c r="S2940" s="46"/>
      <c r="U2940" s="40"/>
      <c r="V2940" s="41"/>
      <c r="W2940" s="46"/>
      <c r="Y2940" s="40"/>
      <c r="Z2940" s="41"/>
      <c r="AA2940" s="46"/>
    </row>
    <row r="2941" spans="1:27">
      <c r="B2941" s="24"/>
      <c r="C2941" s="25"/>
      <c r="E2941" s="26"/>
      <c r="F2941" s="27"/>
      <c r="G2941" s="28"/>
      <c r="H2941" s="27"/>
      <c r="I2941" s="27"/>
      <c r="J2941" s="27"/>
      <c r="K2941" s="27"/>
      <c r="L2941" s="26"/>
      <c r="M2941" s="17"/>
      <c r="N2941" s="17"/>
      <c r="O2941" s="17"/>
      <c r="P2941" s="35"/>
      <c r="Q2941" s="18"/>
      <c r="R2941" s="36"/>
    </row>
    <row r="2942" spans="1:27">
      <c r="A2942" s="9" t="s">
        <v>0</v>
      </c>
      <c r="B2942" s="10"/>
      <c r="C2942" s="9" t="s">
        <v>1</v>
      </c>
      <c r="D2942" s="9" t="s">
        <v>2</v>
      </c>
      <c r="E2942" s="9" t="s">
        <v>3</v>
      </c>
      <c r="F2942" s="11" t="s">
        <v>4</v>
      </c>
      <c r="G2942" s="11" t="s">
        <v>5</v>
      </c>
      <c r="H2942" s="9" t="s">
        <v>6</v>
      </c>
      <c r="I2942" s="11" t="s">
        <v>7</v>
      </c>
      <c r="J2942" s="11" t="s">
        <v>8</v>
      </c>
      <c r="K2942" s="11" t="s">
        <v>9</v>
      </c>
      <c r="L2942" s="11" t="s">
        <v>10</v>
      </c>
      <c r="M2942" s="11" t="s">
        <v>11</v>
      </c>
      <c r="N2942" s="11" t="s">
        <v>12</v>
      </c>
      <c r="O2942" s="11" t="s">
        <v>13</v>
      </c>
      <c r="P2942" s="11" t="s">
        <v>14</v>
      </c>
      <c r="Q2942" s="37" t="s">
        <v>15</v>
      </c>
      <c r="R2942" s="42">
        <f>_xll.ciqfunctions.udf.CIQ(A2943,("IQ_LASTSALEPRICE"))</f>
        <v>24.84</v>
      </c>
      <c r="S2942" s="44"/>
      <c r="U2942" s="37" t="s">
        <v>15</v>
      </c>
      <c r="V2942" s="42">
        <f>_xll.ciqfunctions.udf.CIQ(A2943,("IQ_LASTSALEPRICE"))</f>
        <v>24.84</v>
      </c>
      <c r="W2942" s="44"/>
      <c r="Y2942" s="37" t="s">
        <v>15</v>
      </c>
      <c r="Z2942" s="42">
        <f>_xll.ciqfunctions.udf.CIQ(A2943,("IQ_LASTSALEPRICE"))</f>
        <v>24.84</v>
      </c>
      <c r="AA2942" s="44"/>
    </row>
    <row r="2943" spans="1:27">
      <c r="A2943" s="12" t="str">
        <f>Analysis!B198</f>
        <v>NasdaqGS:VRNT</v>
      </c>
      <c r="B2943" s="13">
        <v>1</v>
      </c>
      <c r="C2943" s="14" t="s">
        <v>16</v>
      </c>
      <c r="D2943" s="15">
        <f>IF(A2951=A2952,_xll.ciqfunctions.udf.CIQ(A2943,"IQ_TOTAL_REV",IQ_FY-10)/I2943,_xll.ciqfunctions.udf.CIQ(A2943, "IQ_TOTAL_REV",IQ_FY-9)/I2943)</f>
        <v>16.922609480810959</v>
      </c>
      <c r="E2943" s="16"/>
      <c r="F2943" s="15">
        <f>IF(A2951=A2952,_xll.ciqfunctions.udf.CIQ(A2943,"IQ_DILUT_EPS_EXCL",IQ_FY-10), _xll.ciqfunctions.udf.CIQ(A2943, "IQ_DILUT_EPS_EXCL",IQ_FY-9))</f>
        <v>0.99</v>
      </c>
      <c r="G2943" s="15">
        <f>IF(A2951=A2952,_xll.ciqfunctions.udf.CIQ(A2943,"IQ_EBITDA_MARGIN",IQ_FY-10), _xll.ciqfunctions.udf.CIQ(A2943, "IQ_EBITDA_MARGIN",IQ_FY-9))</f>
        <v>17.511500000000002</v>
      </c>
      <c r="H2943" s="15">
        <f>IF(A2951=A2952,_xll.ciqfunctions.udf.CIQ(A2943,"IQ_TOTAL_DIV_PAID_CF",IQ_FY-10)/-I2943, _xll.ciqfunctions.udf.CIQ(A2943, "IQ_TOTAL_DIV_PAID_CF",IQ_FY-9)/-I2943)</f>
        <v>0</v>
      </c>
      <c r="I2943" s="17">
        <f>IF(A2951=A2952,_xll.ciqfunctions.udf.CIQ(A2943,"IQ_TOTAL_OUTSTANDING_FILING_DATE",IQ_FY-10), _xll.ciqfunctions.udf.CIQ(A2943, "IQ_TOTAL_OUTSTANDING_FILING_DATE",IQ_FY-9))</f>
        <v>53.614190000000001</v>
      </c>
      <c r="J2943" s="17">
        <f>IF(A2951=A2952,_xll.ciqfunctions.udf.CIQ(A2943,"IQ_CASH_OPER",IQ_FY-10), _xll.ciqfunctions.udf.CIQ(A2943, "IQ_CASH_OPER",IQ_FY-9))</f>
        <v>178.28399999999999</v>
      </c>
      <c r="K2943" s="17">
        <f>IF(A2951=A2952,_xll.ciqfunctions.udf.CIQ(A2943,"IQ_CAPEX",IQ_FY-10), _xll.ciqfunctions.udf.CIQ(A2943, "IQ_CAPEX",IQ_FY-9))</f>
        <v>-15.725</v>
      </c>
      <c r="L2943" s="15">
        <f t="shared" ref="L2943:L2953" si="784">(J2943+K2943)/I2943</f>
        <v>3.0320144722880267</v>
      </c>
      <c r="M2943" s="17">
        <f>IF(A2951=A2952,_xll.ciqfunctions.udf.CIQ(A2943,"IQ_TOTAL_DEBT_ISSUED",IQ_FY-10), _xll.ciqfunctions.udf.CIQ(A2943, "IQ_TOTAL_DEBT_ISSUED",IQ_FY-9))</f>
        <v>646.75</v>
      </c>
      <c r="N2943" s="17">
        <f>IF(A2951=A2952,_xll.ciqfunctions.udf.CIQ(A2943,"IQ_TOTAL_DEBT_REPAID",IQ_FY-10), _xll.ciqfunctions.udf.CIQ(A2943, "IQ_TOTAL_DEBT_REPAID",IQ_FY-9))</f>
        <v>-586.12599999999998</v>
      </c>
      <c r="O2943" s="15">
        <f t="shared" ref="O2943:O2953" si="785">(M2943+N2943)/I2943</f>
        <v>1.1307454239260171</v>
      </c>
      <c r="P2943" s="15">
        <f t="shared" ref="P2943:P2953" si="786">L2943+O2943</f>
        <v>4.1627598962140437</v>
      </c>
      <c r="W2943" s="43"/>
      <c r="AA2943" s="43"/>
    </row>
    <row r="2944" spans="1:27">
      <c r="A2944" s="18" t="str">
        <f>_xll.ciqfunctions.udf.CIQ(A2943,"IQ_COMPANY_NAME")</f>
        <v>Verint Systems Inc.</v>
      </c>
      <c r="B2944" s="13">
        <v>2</v>
      </c>
      <c r="C2944" s="14" t="s">
        <v>17</v>
      </c>
      <c r="D2944" s="15">
        <f>IF(A2951=A2952,_xll.ciqfunctions.udf.CIQ(A2943,"IQ_TOTAL_REV",IQ_FY-9)/I2944, _xll.ciqfunctions.udf.CIQ(A2943, "IQ_TOTAL_REV",IQ_FY-8)/I2944)</f>
        <v>18.527832977669615</v>
      </c>
      <c r="E2944" s="16">
        <f t="shared" ref="E2944:E2953" si="787">(D2944-D2943)/D2943</f>
        <v>9.485673581718386E-2</v>
      </c>
      <c r="F2944" s="15">
        <f>IF(A2951=A2952,_xll.ciqfunctions.udf.CIQ(A2943,"IQ_DILUT_EPS_EXCL",IQ_FY-9), _xll.ciqfunctions.udf.CIQ(A2943, "IQ_DILUT_EPS_EXCL",IQ_FY-8))</f>
        <v>0.52</v>
      </c>
      <c r="G2944" s="15">
        <f>IF(A2951=A2952,_xll.ciqfunctions.udf.CIQ(A2943,"IQ_EBITDA_MARGIN",IQ_FY-9), _xll.ciqfunctions.udf.CIQ(A2943, "IQ_EBITDA_MARGIN",IQ_FY-8))</f>
        <v>14.0715</v>
      </c>
      <c r="H2944" s="15">
        <f>IF(A2951=A2952,_xll.ciqfunctions.udf.CIQ(A2943,"IQ_TOTAL_DIV_PAID_CF",IQ_FY-9)/-I2944, _xll.ciqfunctions.udf.CIQ(A2943, "IQ_TOTAL_DIV_PAID_CF",IQ_FY-8)/-I2944)</f>
        <v>0</v>
      </c>
      <c r="I2944" s="17">
        <f>IF(A2951=A2952,_xll.ciqfunctions.udf.CIQ(A2943,"IQ_TOTAL_OUTSTANDING_FILING_DATE",IQ_FY-9), _xll.ciqfunctions.udf.CIQ(A2943, "IQ_TOTAL_OUTSTANDING_FILING_DATE",IQ_FY-8))</f>
        <v>60.904910000000001</v>
      </c>
      <c r="J2944" s="17">
        <f>IF(A2951=A2952,_xll.ciqfunctions.udf.CIQ(A2943,"IQ_CASH_OPER",IQ_FY-9), _xll.ciqfunctions.udf.CIQ(A2943, "IQ_CASH_OPER",IQ_FY-8))</f>
        <v>193.72499999999999</v>
      </c>
      <c r="K2944" s="17">
        <f>IF(A2951=A2952,_xll.ciqfunctions.udf.CIQ(A2943,"IQ_CAPEX",IQ_FY-9), _xll.ciqfunctions.udf.CIQ(A2943, "IQ_CAPEX",IQ_FY-8))</f>
        <v>-23.134</v>
      </c>
      <c r="L2944" s="15">
        <f t="shared" si="784"/>
        <v>2.8009400227337995</v>
      </c>
      <c r="M2944" s="17">
        <f>IF(A2951=A2952,_xll.ciqfunctions.udf.CIQ(A2943,"IQ_TOTAL_DEBT_ISSUED",IQ_FY-9), _xll.ciqfunctions.udf.CIQ(A2943, "IQ_TOTAL_DEBT_ISSUED",IQ_FY-8))</f>
        <v>1526.75</v>
      </c>
      <c r="N2944" s="17">
        <f>IF(A2951=A2952,_xll.ciqfunctions.udf.CIQ(A2943,"IQ_TOTAL_DEBT_REPAID",IQ_FY-9), _xll.ciqfunctions.udf.CIQ(A2943, "IQ_TOTAL_DEBT_REPAID",IQ_FY-8))</f>
        <v>-1361.8520000000001</v>
      </c>
      <c r="O2944" s="15">
        <f t="shared" si="785"/>
        <v>2.7074664423607211</v>
      </c>
      <c r="P2944" s="15">
        <f t="shared" si="786"/>
        <v>5.5084064650945201</v>
      </c>
      <c r="Q2944" s="25" t="s">
        <v>18</v>
      </c>
      <c r="R2944" s="39" t="s">
        <v>19</v>
      </c>
      <c r="S2944" s="1">
        <f>R2942/((AVERAGE(P2948:P2953))*(1+E2954)^3)</f>
        <v>20.589593671926256</v>
      </c>
      <c r="U2944" s="25" t="s">
        <v>48</v>
      </c>
      <c r="V2944" s="39" t="s">
        <v>19</v>
      </c>
      <c r="W2944" s="1">
        <f>V2942/((AVERAGE(P2948:P2953))*(1+E2954)^3)</f>
        <v>20.589593671926256</v>
      </c>
      <c r="Y2944" s="25" t="s">
        <v>39</v>
      </c>
      <c r="Z2944" s="39" t="s">
        <v>19</v>
      </c>
      <c r="AA2944" s="1">
        <f>Z2942/((AVERAGE(P2948:P2953))*(1+E2954)^3)</f>
        <v>20.589593671926256</v>
      </c>
    </row>
    <row r="2945" spans="1:27">
      <c r="B2945" s="13">
        <v>3</v>
      </c>
      <c r="C2945" s="14" t="s">
        <v>20</v>
      </c>
      <c r="D2945" s="15" cm="1">
        <f t="array" ref="D2945">_xlfn.SINGLE(IF(A2951=A2952,_xll.ciqfunctions.udf.CIQ(A2943,"IQ_TOTAL_REV",IQ_FY-8)/I2945, _xll.ciqfunctions.udf.CIQ(A2943, "IQ_TOTAL_REV",IQ_FY-7)/I2945))</f>
        <v>18.152089632874468</v>
      </c>
      <c r="E2945" s="16">
        <f t="shared" si="787"/>
        <v>-2.0279940198511391E-2</v>
      </c>
      <c r="F2945" s="15">
        <f>IF(A2951=A2952,_xll.ciqfunctions.udf.CIQ(A2943,"IQ_DILUT_EPS_EXCL",IQ_FY-8), _xll.ciqfunctions.udf.CIQ(A2943, "IQ_DILUT_EPS_EXCL",IQ_FY-7))</f>
        <v>0.28000000000000003</v>
      </c>
      <c r="G2945" s="15">
        <f>IF(A2951=A2952,_xll.ciqfunctions.udf.CIQ(A2943,"IQ_EBITDA_MARGIN",IQ_FY-8), _xll.ciqfunctions.udf.CIQ(A2943, "IQ_EBITDA_MARGIN",IQ_FY-7))</f>
        <v>12.034700000000001</v>
      </c>
      <c r="H2945" s="15">
        <f>IF(A2951=A2952,_xll.ciqfunctions.udf.CIQ(A2943,"IQ_TOTAL_DIV_PAID_CF",IQ_FY-8)/-I2945, _xll.ciqfunctions.udf.CIQ(A2943, "IQ_TOTAL_DIV_PAID_CF",IQ_FY-7)/-I2945)</f>
        <v>0</v>
      </c>
      <c r="I2945" s="17">
        <f>IF(A2951=A2952,_xll.ciqfunctions.udf.CIQ(A2943,"IQ_TOTAL_OUTSTANDING_FILING_DATE",IQ_FY-8), _xll.ciqfunctions.udf.CIQ(A2943, "IQ_TOTAL_OUTSTANDING_FILING_DATE",IQ_FY-7))</f>
        <v>62.266440000000003</v>
      </c>
      <c r="J2945" s="17">
        <f>IF(A2951=A2952,_xll.ciqfunctions.udf.CIQ(A2943,"IQ_CASH_OPER",IQ_FY-8), _xll.ciqfunctions.udf.CIQ(A2943, "IQ_CASH_OPER",IQ_FY-7))</f>
        <v>156.90299999999999</v>
      </c>
      <c r="K2945" s="17">
        <f>IF(A2951=A2952,_xll.ciqfunctions.udf.CIQ(A2943,"IQ_CAPEX",IQ_FY-8), _xll.ciqfunctions.udf.CIQ(A2943, "IQ_CAPEX",IQ_FY-7))</f>
        <v>-25.265000000000001</v>
      </c>
      <c r="L2945" s="15">
        <f t="shared" si="784"/>
        <v>2.1141083382958779</v>
      </c>
      <c r="M2945" s="17">
        <f>IF(A2951=A2952,_xll.ciqfunctions.udf.CIQ(A2943,"IQ_TOTAL_DEBT_ISSUED",IQ_FY-8), _xll.ciqfunctions.udf.CIQ(A2943, "IQ_TOTAL_DEBT_ISSUED",IQ_FY-7))</f>
        <v>0</v>
      </c>
      <c r="N2945" s="17">
        <f>IF(A2951=A2952,_xll.ciqfunctions.udf.CIQ(A2943,"IQ_TOTAL_DEBT_REPAID",IQ_FY-8), _xll.ciqfunctions.udf.CIQ(A2943, "IQ_TOTAL_DEBT_REPAID",IQ_FY-7))</f>
        <v>-0.309</v>
      </c>
      <c r="O2945" s="15">
        <f t="shared" si="785"/>
        <v>-4.9625448315336477E-3</v>
      </c>
      <c r="P2945" s="15">
        <f t="shared" si="786"/>
        <v>2.1091457934643443</v>
      </c>
      <c r="Q2945" s="25" t="s">
        <v>21</v>
      </c>
      <c r="R2945" s="38" t="s">
        <v>49</v>
      </c>
      <c r="S2945" s="2">
        <f>(R2942*I2953)/1000</f>
        <v>1.5964948692000001</v>
      </c>
      <c r="U2945" s="25" t="s">
        <v>59</v>
      </c>
      <c r="V2945" s="38" t="s">
        <v>49</v>
      </c>
      <c r="W2945" s="2">
        <f>(V2942*I2953)/1000</f>
        <v>1.5964948692000001</v>
      </c>
      <c r="Y2945" s="25" t="s">
        <v>46</v>
      </c>
      <c r="Z2945" s="38" t="s">
        <v>49</v>
      </c>
      <c r="AA2945" s="2">
        <f>(Z2942*I2953)/1000</f>
        <v>1.5964948692000001</v>
      </c>
    </row>
    <row r="2946" spans="1:27">
      <c r="A2946" s="18"/>
      <c r="B2946" s="13">
        <v>4</v>
      </c>
      <c r="C2946" s="14" t="s">
        <v>22</v>
      </c>
      <c r="D2946" s="15" cm="1">
        <f t="array" ref="D2946">_xlfn.SINGLE(IF(A2951=A2952,_xll.ciqfunctions.udf.CIQ(A2943,"IQ_TOTAL_REV",IQ_FY-7)/I2946, _xll.ciqfunctions.udf.CIQ(A2943, "IQ_TOTAL_REV",IQ_FY-6)/I2946))</f>
        <v>17.015767492329651</v>
      </c>
      <c r="E2946" s="16">
        <f t="shared" si="787"/>
        <v>-6.2600073243736773E-2</v>
      </c>
      <c r="F2946" s="15">
        <f>IF(A2951=A2952,_xll.ciqfunctions.udf.CIQ(A2943,"IQ_DILUT_EPS_EXCL",IQ_FY-7), _xll.ciqfunctions.udf.CIQ(A2943, "IQ_DILUT_EPS_EXCL",IQ_FY-6))</f>
        <v>-0.47</v>
      </c>
      <c r="G2946" s="15">
        <f>IF(A2951=A2952,_xll.ciqfunctions.udf.CIQ(A2943,"IQ_EBITDA_MARGIN",IQ_FY-7), _xll.ciqfunctions.udf.CIQ(A2943, "IQ_EBITDA_MARGIN",IQ_FY-6))</f>
        <v>9.1829999999999998</v>
      </c>
      <c r="H2946" s="15">
        <f>IF(A2951=A2952,_xll.ciqfunctions.udf.CIQ(A2943,"IQ_TOTAL_DIV_PAID_CF",IQ_FY-7)/-I2946, _xll.ciqfunctions.udf.CIQ(A2943, "IQ_TOTAL_DIV_PAID_CF",IQ_FY-6)/-I2946)</f>
        <v>0</v>
      </c>
      <c r="I2946" s="17">
        <f>IF(A2951=A2952,_xll.ciqfunctions.udf.CIQ(A2943,"IQ_TOTAL_OUTSTANDING_FILING_DATE",IQ_FY-7), _xll.ciqfunctions.udf.CIQ(A2943, "IQ_TOTAL_OUTSTANDING_FILING_DATE",IQ_FY-6))</f>
        <v>62.418930000000003</v>
      </c>
      <c r="J2946" s="17">
        <f>IF(A2951=A2952,_xll.ciqfunctions.udf.CIQ(A2943,"IQ_CASH_OPER",IQ_FY-7), _xll.ciqfunctions.udf.CIQ(A2943, "IQ_CASH_OPER",IQ_FY-6))</f>
        <v>172.41499999999999</v>
      </c>
      <c r="K2946" s="17">
        <f>IF(A2951=A2952,_xll.ciqfunctions.udf.CIQ(A2943,"IQ_CAPEX",IQ_FY-7), _xll.ciqfunctions.udf.CIQ(A2943, "IQ_CAPEX",IQ_FY-6))</f>
        <v>-27.54</v>
      </c>
      <c r="L2946" s="15">
        <f t="shared" si="784"/>
        <v>2.3210106293074872</v>
      </c>
      <c r="M2946" s="17">
        <f>IF(A2951=A2952,_xll.ciqfunctions.udf.CIQ(A2943,"IQ_TOTAL_DEBT_ISSUED",IQ_FY-7), _xll.ciqfunctions.udf.CIQ(A2943, "IQ_TOTAL_DEBT_ISSUED",IQ_FY-6))</f>
        <v>0</v>
      </c>
      <c r="N2946" s="17">
        <f>IF(A2951=A2952,_xll.ciqfunctions.udf.CIQ(A2943,"IQ_TOTAL_DEBT_REPAID",IQ_FY-7), _xll.ciqfunctions.udf.CIQ(A2943, "IQ_TOTAL_DEBT_REPAID",IQ_FY-6))</f>
        <v>-3.3079999999999998</v>
      </c>
      <c r="O2946" s="15">
        <f t="shared" si="785"/>
        <v>-5.2996743135455854E-2</v>
      </c>
      <c r="P2946" s="15">
        <f t="shared" si="786"/>
        <v>2.2680138861720316</v>
      </c>
      <c r="Q2946" s="25" t="s">
        <v>23</v>
      </c>
      <c r="R2946" s="38" t="s">
        <v>24</v>
      </c>
      <c r="S2946" s="1" t="e">
        <f>R2942/(AVERAGE(H2948:H2953)*(1+H2954)/(0.5-H2954))</f>
        <v>#DIV/0!</v>
      </c>
      <c r="U2946" s="25" t="s">
        <v>40</v>
      </c>
      <c r="V2946" s="38" t="s">
        <v>24</v>
      </c>
      <c r="W2946" s="1" t="e">
        <f>V2942/(AVERAGE(H2948:H2953)*(1+H2954)/(0.5-H2954))</f>
        <v>#DIV/0!</v>
      </c>
      <c r="Y2946" s="25" t="s">
        <v>47</v>
      </c>
      <c r="Z2946" s="38" t="s">
        <v>24</v>
      </c>
      <c r="AA2946" s="1" t="e">
        <f>Z2942/(AVERAGE(H2948:H2953)*(1+H2954)/(0.5-H2954))</f>
        <v>#DIV/0!</v>
      </c>
    </row>
    <row r="2947" spans="1:27">
      <c r="B2947" s="13">
        <v>5</v>
      </c>
      <c r="C2947" s="14" t="s">
        <v>25</v>
      </c>
      <c r="D2947" s="15" cm="1">
        <f t="array" ref="D2947">_xlfn.SINGLE(IF(A2951=A2952,_xll.ciqfunctions.udf.CIQ(A2943,"IQ_TOTAL_REV",IQ_FY-6)/I2947, _xll.ciqfunctions.udf.CIQ(A2943, "IQ_TOTAL_REV",IQ_FY-5)/I2947))</f>
        <v>17.783492759818856</v>
      </c>
      <c r="E2947" s="16">
        <f t="shared" si="787"/>
        <v>4.5118462498695923E-2</v>
      </c>
      <c r="F2947" s="15">
        <f>IF(A2951=A2952,_xll.ciqfunctions.udf.CIQ(A2943,"IQ_DILUT_EPS_EXCL",IQ_FY-6), _xll.ciqfunctions.udf.CIQ(A2943, "IQ_DILUT_EPS_EXCL",IQ_FY-5))</f>
        <v>-0.10467</v>
      </c>
      <c r="G2947" s="15">
        <f>IF(A2951=A2952,_xll.ciqfunctions.udf.CIQ(A2943,"IQ_EBITDA_MARGIN",IQ_FY-6), _xll.ciqfunctions.udf.CIQ(A2943, "IQ_EBITDA_MARGIN",IQ_FY-5))</f>
        <v>10.398</v>
      </c>
      <c r="H2947" s="15">
        <f>IF(A2951=A2952,_xll.ciqfunctions.udf.CIQ(A2943,"IQ_TOTAL_DIV_PAID_CF",IQ_FY-6)/-I2947, _xll.ciqfunctions.udf.CIQ(A2943, "IQ_TOTAL_DIV_PAID_CF",IQ_FY-5)/-I2947)</f>
        <v>0</v>
      </c>
      <c r="I2947" s="17">
        <f>IF(A2951=A2952,_xll.ciqfunctions.udf.CIQ(A2943,"IQ_TOTAL_OUTSTANDING_FILING_DATE",IQ_FY-6), _xll.ciqfunctions.udf.CIQ(A2943, "IQ_TOTAL_OUTSTANDING_FILING_DATE",IQ_FY-5))</f>
        <v>63.836109999999998</v>
      </c>
      <c r="J2947" s="17">
        <f>IF(A2951=A2952,_xll.ciqfunctions.udf.CIQ(A2943,"IQ_CASH_OPER",IQ_FY-6), _xll.ciqfunctions.udf.CIQ(A2943, "IQ_CASH_OPER",IQ_FY-5))</f>
        <v>176.327</v>
      </c>
      <c r="K2947" s="17">
        <f>IF(A2951=A2952,_xll.ciqfunctions.udf.CIQ(A2943,"IQ_CAPEX",IQ_FY-6), _xll.ciqfunctions.udf.CIQ(A2943, "IQ_CAPEX",IQ_FY-5))</f>
        <v>-35.53</v>
      </c>
      <c r="L2947" s="15">
        <f t="shared" si="784"/>
        <v>2.2056011871650703</v>
      </c>
      <c r="M2947" s="17">
        <f>IF(A2951=A2952,_xll.ciqfunctions.udf.CIQ(A2943,"IQ_TOTAL_DEBT_ISSUED",IQ_FY-6), _xll.ciqfunctions.udf.CIQ(A2943, "IQ_TOTAL_DEBT_ISSUED",IQ_FY-5))</f>
        <v>444.34100000000001</v>
      </c>
      <c r="N2947" s="17">
        <f>IF(A2951=A2952,_xll.ciqfunctions.udf.CIQ(A2943,"IQ_TOTAL_DEBT_REPAID",IQ_FY-6), _xll.ciqfunctions.udf.CIQ(A2943, "IQ_TOTAL_DEBT_REPAID",IQ_FY-5))</f>
        <v>-431.88799999999998</v>
      </c>
      <c r="O2947" s="15">
        <f t="shared" si="785"/>
        <v>0.19507767625564953</v>
      </c>
      <c r="P2947" s="15">
        <f t="shared" si="786"/>
        <v>2.4006788634207199</v>
      </c>
      <c r="Q2947" s="18"/>
      <c r="R2947" s="38" t="s">
        <v>50</v>
      </c>
      <c r="S2947" s="3">
        <f>I2954</f>
        <v>-3.2706077501029052E-3</v>
      </c>
      <c r="U2947" s="18"/>
      <c r="V2947" s="38" t="s">
        <v>50</v>
      </c>
      <c r="W2947" s="3">
        <f>I2954</f>
        <v>-3.2706077501029052E-3</v>
      </c>
      <c r="Y2947" s="18"/>
      <c r="Z2947" s="38" t="s">
        <v>50</v>
      </c>
      <c r="AA2947" s="3">
        <f>I2954</f>
        <v>-3.2706077501029052E-3</v>
      </c>
    </row>
    <row r="2948" spans="1:27">
      <c r="B2948" s="13">
        <v>6</v>
      </c>
      <c r="C2948" s="14" t="s">
        <v>26</v>
      </c>
      <c r="D2948" s="15" cm="1">
        <f t="array" ref="D2948">_xlfn.SINGLE(IF(A2951=A2952,_xll.ciqfunctions.udf.CIQ(A2943,"IQ_TOTAL_REV",IQ_FY-5)/I2948, _xll.ciqfunctions.udf.CIQ(A2943, "IQ_TOTAL_REV",IQ_FY-4)/I2948))</f>
        <v>18.822883845801215</v>
      </c>
      <c r="E2948" s="16">
        <f t="shared" si="787"/>
        <v>5.8446959774450212E-2</v>
      </c>
      <c r="F2948" s="15">
        <f>IF(A2951=A2952,_xll.ciqfunctions.udf.CIQ(A2943,"IQ_DILUT_EPS_EXCL",IQ_FY-5), _xll.ciqfunctions.udf.CIQ(A2943, "IQ_DILUT_EPS_EXCL",IQ_FY-4))</f>
        <v>1</v>
      </c>
      <c r="G2948" s="15">
        <f>IF(A2951=A2952,_xll.ciqfunctions.udf.CIQ(A2943,"IQ_EBITDA_MARGIN",IQ_FY-5), _xll.ciqfunctions.udf.CIQ(A2943, "IQ_EBITDA_MARGIN",IQ_FY-4))</f>
        <v>13.0642</v>
      </c>
      <c r="H2948" s="15">
        <f>IF(A2951=A2952,_xll.ciqfunctions.udf.CIQ(A2943,"IQ_TOTAL_DIV_PAID_CF",IQ_FY-5)/-I2948, _xll.ciqfunctions.udf.CIQ(A2943, "IQ_TOTAL_DIV_PAID_CF",IQ_FY-4)/-I2948)</f>
        <v>0</v>
      </c>
      <c r="I2948" s="17">
        <f>IF(A2951=A2952,_xll.ciqfunctions.udf.CIQ(A2943,"IQ_TOTAL_OUTSTANDING_FILING_DATE",IQ_FY-5), _xll.ciqfunctions.udf.CIQ(A2943, "IQ_TOTAL_OUTSTANDING_FILING_DATE",IQ_FY-4))</f>
        <v>65.332549999999998</v>
      </c>
      <c r="J2948" s="17">
        <f>IF(A2951=A2952,_xll.ciqfunctions.udf.CIQ(A2943,"IQ_CASH_OPER",IQ_FY-5), _xll.ciqfunctions.udf.CIQ(A2943, "IQ_CASH_OPER",IQ_FY-4))</f>
        <v>215.251</v>
      </c>
      <c r="K2948" s="17">
        <f>IF(A2951=A2952,_xll.ciqfunctions.udf.CIQ(A2943,"IQ_CAPEX",IQ_FY-5), _xll.ciqfunctions.udf.CIQ(A2943, "IQ_CAPEX",IQ_FY-4))</f>
        <v>-31.686</v>
      </c>
      <c r="L2948" s="15">
        <f t="shared" si="784"/>
        <v>2.8097020551011709</v>
      </c>
      <c r="M2948" s="17">
        <f>IF(A2951=A2952,_xll.ciqfunctions.udf.CIQ(A2943,"IQ_TOTAL_DEBT_ISSUED",IQ_FY-5), _xll.ciqfunctions.udf.CIQ(A2943, "IQ_TOTAL_DEBT_ISSUED",IQ_FY-4))</f>
        <v>0</v>
      </c>
      <c r="N2948" s="17">
        <f>IF(A2951=A2952,_xll.ciqfunctions.udf.CIQ(A2943,"IQ_TOTAL_DEBT_REPAID",IQ_FY-5), _xll.ciqfunctions.udf.CIQ(A2943, "IQ_TOTAL_DEBT_REPAID",IQ_FY-4))</f>
        <v>-5.9829999999999997</v>
      </c>
      <c r="O2948" s="15">
        <f t="shared" si="785"/>
        <v>-9.1577628609322614E-2</v>
      </c>
      <c r="P2948" s="15">
        <f t="shared" si="786"/>
        <v>2.7181244264918485</v>
      </c>
      <c r="Q2948" s="25" t="s">
        <v>27</v>
      </c>
      <c r="R2948" s="38" t="s">
        <v>51</v>
      </c>
      <c r="S2948" s="4">
        <f>AVERAGE(F2948:F2953)/AVERAGE(D2948:D2953)</f>
        <v>-9.9245437871610734E-3</v>
      </c>
      <c r="U2948" s="25" t="s">
        <v>58</v>
      </c>
      <c r="V2948" s="38" t="s">
        <v>51</v>
      </c>
      <c r="W2948" s="4">
        <f>AVERAGE(F2948:F2953)/AVERAGE(D2948:D2953)</f>
        <v>-9.9245437871610734E-3</v>
      </c>
      <c r="Y2948" s="25" t="s">
        <v>56</v>
      </c>
      <c r="Z2948" s="38" t="s">
        <v>51</v>
      </c>
      <c r="AA2948" s="4">
        <f>AVERAGE(F2948:F2953)/AVERAGE(D2948:D2953)</f>
        <v>-9.9245437871610734E-3</v>
      </c>
    </row>
    <row r="2949" spans="1:27">
      <c r="A2949" s="18"/>
      <c r="B2949" s="13">
        <v>7</v>
      </c>
      <c r="C2949" s="14" t="s">
        <v>28</v>
      </c>
      <c r="D2949" s="15" cm="1">
        <f t="array" ref="D2949">_xlfn.SINGLE(IF(A2951=A2952,_xll.ciqfunctions.udf.CIQ(A2943,"IQ_TOTAL_REV",IQ_FY-4)/I2949, _xll.ciqfunctions.udf.CIQ(A2943, "IQ_TOTAL_REV",IQ_FY-3)/I2949))</f>
        <v>13.201126358884439</v>
      </c>
      <c r="E2949" s="16">
        <f t="shared" si="787"/>
        <v>-0.29866610945329775</v>
      </c>
      <c r="F2949" s="15">
        <f>IF(A2951=A2952,_xll.ciqfunctions.udf.CIQ(A2943,"IQ_DILUT_EPS_EXCL",IQ_FY-4), _xll.ciqfunctions.udf.CIQ(A2943, "IQ_DILUT_EPS_EXCL",IQ_FY-3))</f>
        <v>-0.71208000000000005</v>
      </c>
      <c r="G2949" s="15">
        <f>IF(A2951=A2952,_xll.ciqfunctions.udf.CIQ(A2943,"IQ_EBITDA_MARGIN",IQ_FY-4), _xll.ciqfunctions.udf.CIQ(A2943, "IQ_EBITDA_MARGIN",IQ_FY-3))</f>
        <v>5.9954000000000001</v>
      </c>
      <c r="H2949" s="15">
        <f>IF(A2951=A2952,_xll.ciqfunctions.udf.CIQ(A2943,"IQ_TOTAL_DIV_PAID_CF",IQ_FY-4)/-I2949, _xll.ciqfunctions.udf.CIQ(A2943, "IQ_TOTAL_DIV_PAID_CF",IQ_FY-3)/-I2949)</f>
        <v>0</v>
      </c>
      <c r="I2949" s="17">
        <f>IF(A2951=A2952,_xll.ciqfunctions.udf.CIQ(A2943,"IQ_TOTAL_OUTSTANDING_FILING_DATE",IQ_FY-4), _xll.ciqfunctions.udf.CIQ(A2943, "IQ_TOTAL_OUTSTANDING_FILING_DATE",IQ_FY-3))</f>
        <v>64.125209999999996</v>
      </c>
      <c r="J2949" s="17">
        <f>IF(A2951=A2952,_xll.ciqfunctions.udf.CIQ(A2943,"IQ_CASH_OPER",IQ_FY-4), _xll.ciqfunctions.udf.CIQ(A2943, "IQ_CASH_OPER",IQ_FY-3))</f>
        <v>237.904</v>
      </c>
      <c r="K2949" s="17">
        <f>IF(A2951=A2952,_xll.ciqfunctions.udf.CIQ(A2943,"IQ_CAPEX",IQ_FY-4), _xll.ciqfunctions.udf.CIQ(A2943, "IQ_CAPEX",IQ_FY-3))</f>
        <v>-21.338999999999999</v>
      </c>
      <c r="L2949" s="15">
        <f t="shared" si="784"/>
        <v>3.3772209089061853</v>
      </c>
      <c r="M2949" s="17">
        <f>IF(A2951=A2952,_xll.ciqfunctions.udf.CIQ(A2943,"IQ_TOTAL_DEBT_ISSUED",IQ_FY-4), _xll.ciqfunctions.udf.CIQ(A2943, "IQ_TOTAL_DEBT_ISSUED",IQ_FY-3))</f>
        <v>45</v>
      </c>
      <c r="N2949" s="17">
        <f>IF(A2951=A2952,_xll.ciqfunctions.udf.CIQ(A2943,"IQ_TOTAL_DEBT_REPAID",IQ_FY-4), _xll.ciqfunctions.udf.CIQ(A2943, "IQ_TOTAL_DEBT_REPAID",IQ_FY-3))</f>
        <v>-6.4779999999999998</v>
      </c>
      <c r="O2949" s="15">
        <f t="shared" si="785"/>
        <v>0.60073097616366478</v>
      </c>
      <c r="P2949" s="15">
        <f t="shared" si="786"/>
        <v>3.9779518850698503</v>
      </c>
      <c r="Q2949" s="18"/>
      <c r="R2949" s="38" t="s">
        <v>29</v>
      </c>
      <c r="S2949" s="4">
        <f>(AVERAGE(P2948:P2953)/_xlfn.STDEV.P(P2948:P2953))/(IF(A2951=A2952,(_xlfn.SINGLE(_xll.ciqfunctions.udf.CIQ(A2943,"IQ_total_assets",IQ_FY)) - _xlfn.SINGLE(_xll.ciqfunctions.udf.CIQ(A2943,"iq_gw_intan", IQ_FY)))/I2953, (_xlfn.SINGLE(_xll.ciqfunctions.udf.CIQ(A2943, "IQ_total_assets",IQ_LTM))-_xlfn.SINGLE(_xll.ciqfunctions.udf.CIQ(A2943,"iq_gw_intan",IQ_LTM)))/I2953))</f>
        <v>4.677994998611798E-2</v>
      </c>
      <c r="U2949" s="18"/>
      <c r="V2949" s="38" t="s">
        <v>29</v>
      </c>
      <c r="W2949" s="4">
        <f>(AVERAGE(P2948:P2953)/_xlfn.STDEV.P(P2948:P2953))/(IF(A2951=A2952,(_xlfn.SINGLE(_xll.ciqfunctions.udf.CIQ(A2943,"IQ_total_assets",IQ_FY)) - _xlfn.SINGLE(_xll.ciqfunctions.udf.CIQ(A2943,"iq_gw_intan", IQ_FY)))/I2953, (_xlfn.SINGLE(_xll.ciqfunctions.udf.CIQ(A2943, "IQ_total_assets",IQ_LTM))-_xlfn.SINGLE(_xll.ciqfunctions.udf.CIQ(A2943,"iq_gw_intan",IQ_LTM)))/I2953))</f>
        <v>4.677994998611798E-2</v>
      </c>
      <c r="Y2949" s="18"/>
      <c r="Z2949" s="38" t="s">
        <v>29</v>
      </c>
      <c r="AA2949" s="4">
        <f>(AVERAGE(P2948:P2953)/_xlfn.STDEV.P(P2948:P2953))/(IF(A2951=A2952,(_xlfn.SINGLE(_xll.ciqfunctions.udf.CIQ(A2943,"IQ_total_assets",IQ_FY)) - _xlfn.SINGLE(_xll.ciqfunctions.udf.CIQ(A2943,"iq_gw_intan", IQ_FY)))/I2953, (_xlfn.SINGLE(_xll.ciqfunctions.udf.CIQ(A2943, "IQ_total_assets",IQ_LTM))-_xlfn.SINGLE(_xll.ciqfunctions.udf.CIQ(A2943,"iq_gw_intan",IQ_LTM)))/I2953))</f>
        <v>4.677994998611798E-2</v>
      </c>
    </row>
    <row r="2950" spans="1:27">
      <c r="A2950" s="18"/>
      <c r="B2950" s="13">
        <v>8</v>
      </c>
      <c r="C2950" s="14" t="s">
        <v>30</v>
      </c>
      <c r="D2950" s="15" cm="1">
        <f t="array" ref="D2950">_xlfn.SINGLE(IF(A2951=A2952,_xll.ciqfunctions.udf.CIQ(A2943,"IQ_TOTAL_REV",IQ_FY-3)/I2950, _xll.ciqfunctions.udf.CIQ(A2943, "IQ_TOTAL_REV",IQ_FY-2)/I2950))</f>
        <v>12.620322920306911</v>
      </c>
      <c r="E2950" s="16">
        <f t="shared" si="787"/>
        <v>-4.3996506266803764E-2</v>
      </c>
      <c r="F2950" s="15">
        <f>IF(A2951=A2952,_xll.ciqfunctions.udf.CIQ(A2943,"IQ_DILUT_EPS_EXCL",IQ_FY-3), _xll.ciqfunctions.udf.CIQ(A2943, "IQ_DILUT_EPS_EXCL",IQ_FY-2))</f>
        <v>-0.88</v>
      </c>
      <c r="G2950" s="15">
        <f>IF(A2951=A2952,_xll.ciqfunctions.udf.CIQ(A2943,"IQ_EBITDA_MARGIN",IQ_FY-3), _xll.ciqfunctions.udf.CIQ(A2943, "IQ_EBITDA_MARGIN",IQ_FY-2))</f>
        <v>12.7288</v>
      </c>
      <c r="H2950" s="15">
        <f>IF(A2951=A2952,_xll.ciqfunctions.udf.CIQ(A2943,"IQ_TOTAL_DIV_PAID_CF",IQ_FY-3)/-I2950, _xll.ciqfunctions.udf.CIQ(A2943, "IQ_TOTAL_DIV_PAID_CF",IQ_FY-2)/-I2950)</f>
        <v>2.4153888084350421E-2</v>
      </c>
      <c r="I2950" s="17">
        <f>IF(A2951=A2952,_xll.ciqfunctions.udf.CIQ(A2943,"IQ_TOTAL_OUTSTANDING_FILING_DATE",IQ_FY-3), _xll.ciqfunctions.udf.CIQ(A2943, "IQ_TOTAL_OUTSTANDING_FILING_DATE",IQ_FY-2))</f>
        <v>65.786510000000007</v>
      </c>
      <c r="J2950" s="17">
        <f>IF(A2951=A2952,_xll.ciqfunctions.udf.CIQ(A2943,"IQ_CASH_OPER",IQ_FY-3), _xll.ciqfunctions.udf.CIQ(A2943, "IQ_CASH_OPER",IQ_FY-2))</f>
        <v>253.846</v>
      </c>
      <c r="K2950" s="17">
        <f>IF(A2951=A2952,_xll.ciqfunctions.udf.CIQ(A2943,"IQ_CAPEX",IQ_FY-3), _xll.ciqfunctions.udf.CIQ(A2943, "IQ_CAPEX",IQ_FY-2))</f>
        <v>-14.035</v>
      </c>
      <c r="L2950" s="15">
        <f t="shared" si="784"/>
        <v>3.6452914130875764</v>
      </c>
      <c r="M2950" s="17">
        <f>IF(A2951=A2952,_xll.ciqfunctions.udf.CIQ(A2943,"IQ_TOTAL_DEBT_ISSUED",IQ_FY-3), _xll.ciqfunctions.udf.CIQ(A2943, "IQ_TOTAL_DEBT_ISSUED",IQ_FY-2))</f>
        <v>155</v>
      </c>
      <c r="N2950" s="17">
        <f>IF(A2951=A2952,_xll.ciqfunctions.udf.CIQ(A2943,"IQ_TOTAL_DEBT_REPAID",IQ_FY-3), _xll.ciqfunctions.udf.CIQ(A2943, "IQ_TOTAL_DEBT_REPAID",IQ_FY-2))</f>
        <v>-220.197</v>
      </c>
      <c r="O2950" s="15">
        <f t="shared" si="785"/>
        <v>-0.99103904432686873</v>
      </c>
      <c r="P2950" s="15">
        <f t="shared" si="786"/>
        <v>2.6542523687607078</v>
      </c>
      <c r="Q2950" s="18"/>
      <c r="R2950" s="39" t="s">
        <v>31</v>
      </c>
      <c r="S2950" s="5">
        <f>IF(NOT(D2943&gt;0),FALSE,SLOPE(G2943:G2953,B2943:B2953))</f>
        <v>-7.5851818181818298E-2</v>
      </c>
      <c r="U2950" s="18"/>
      <c r="V2950" s="39" t="s">
        <v>31</v>
      </c>
      <c r="W2950" s="5">
        <f>IF(NOT(D2943&gt;0),FALSE,SLOPE(G2943:G2953,B2943:B2953))</f>
        <v>-7.5851818181818298E-2</v>
      </c>
      <c r="Y2950" s="18"/>
      <c r="Z2950" s="39" t="s">
        <v>31</v>
      </c>
      <c r="AA2950" s="5">
        <f>IF(NOT(L2943&gt;0),FALSE,SLOPE(O2943:O2953,J2943:J2953))</f>
        <v>2.0546549633573243E-2</v>
      </c>
    </row>
    <row r="2951" spans="1:27">
      <c r="A2951" s="19">
        <f>_xll.ciqfunctions.udf.CIQ(A2943,"IQ_TOTAL_REV",IQ_FY)</f>
        <v>902.245</v>
      </c>
      <c r="B2951" s="13">
        <v>9</v>
      </c>
      <c r="C2951" s="14" t="s">
        <v>32</v>
      </c>
      <c r="D2951" s="15" cm="1">
        <f t="array" ref="D2951">_xlfn.SINGLE(IF(A2951=A2952,_xll.ciqfunctions.udf.CIQ(A2943,"IQ_TOTAL_REV",IQ_FY-2)/I2951, _xll.ciqfunctions.udf.CIQ(A2943, "IQ_TOTAL_REV",IQ_FY-1)/I2951))</f>
        <v>13.514112018395691</v>
      </c>
      <c r="E2951" s="16">
        <f t="shared" si="787"/>
        <v>7.0821412711287723E-2</v>
      </c>
      <c r="F2951" s="15">
        <f>IF(A2951=A2952,_xll.ciqfunctions.udf.CIQ(A2943,"IQ_DILUT_EPS_EXCL",IQ_FY-2), _xll.ciqfunctions.udf.CIQ(A2943, "IQ_DILUT_EPS_EXCL",IQ_FY-1))</f>
        <v>-7.0000000000000007E-2</v>
      </c>
      <c r="G2951" s="15">
        <f>IF(A2951=A2952,_xll.ciqfunctions.udf.CIQ(A2943,"IQ_EBITDA_MARGIN",IQ_FY-2), _xll.ciqfunctions.udf.CIQ(A2943, "IQ_EBITDA_MARGIN",IQ_FY-1))</f>
        <v>13.1462</v>
      </c>
      <c r="H2951" s="15">
        <f>IF(A2951=A2952,_xll.ciqfunctions.udf.CIQ(A2943,"IQ_TOTAL_DIV_PAID_CF",IQ_FY-2)/-I2951, _xll.ciqfunctions.udf.CIQ(A2943, "IQ_TOTAL_DIV_PAID_CF",IQ_FY-1)/-I2951)</f>
        <v>0.19866853755478217</v>
      </c>
      <c r="I2951" s="17">
        <f>IF(A2951=A2952,_xll.ciqfunctions.udf.CIQ(A2943,"IQ_TOTAL_OUTSTANDING_FILING_DATE",IQ_FY-2), _xll.ciqfunctions.udf.CIQ(A2943, "IQ_TOTAL_OUTSTANDING_FILING_DATE",IQ_FY-1))</f>
        <v>64.710800000000006</v>
      </c>
      <c r="J2951" s="17">
        <f>IF(A2951=A2952,_xll.ciqfunctions.udf.CIQ(A2943,"IQ_CASH_OPER",IQ_FY-2), _xll.ciqfunctions.udf.CIQ(A2943, "IQ_CASH_OPER",IQ_FY-1))</f>
        <v>125.599</v>
      </c>
      <c r="K2951" s="17">
        <f>IF(A2951=A2952,_xll.ciqfunctions.udf.CIQ(A2943,"IQ_CAPEX",IQ_FY-2), _xll.ciqfunctions.udf.CIQ(A2943, "IQ_CAPEX",IQ_FY-1))</f>
        <v>-16.962</v>
      </c>
      <c r="L2951" s="15">
        <f t="shared" si="784"/>
        <v>1.6788078651477032</v>
      </c>
      <c r="M2951" s="17">
        <f>IF(A2951=A2952,_xll.ciqfunctions.udf.CIQ(A2943,"IQ_TOTAL_DEBT_ISSUED",IQ_FY-2), _xll.ciqfunctions.udf.CIQ(A2943, "IQ_TOTAL_DEBT_ISSUED",IQ_FY-1))</f>
        <v>315</v>
      </c>
      <c r="N2951" s="17">
        <f>IF(A2951=A2952,_xll.ciqfunctions.udf.CIQ(A2943,"IQ_TOTAL_DEBT_REPAID",IQ_FY-2), _xll.ciqfunctions.udf.CIQ(A2943, "IQ_TOTAL_DEBT_REPAID",IQ_FY-1))</f>
        <v>-700.24099999999999</v>
      </c>
      <c r="O2951" s="15">
        <f t="shared" si="785"/>
        <v>-5.9532720967751898</v>
      </c>
      <c r="P2951" s="15">
        <f t="shared" si="786"/>
        <v>-4.274464231627487</v>
      </c>
      <c r="Q2951" s="25" t="s">
        <v>33</v>
      </c>
      <c r="R2951" s="38" t="s">
        <v>52</v>
      </c>
      <c r="S2951" s="4">
        <f>(AVERAGE(O2948:O2953)/AVERAGE(P2948:P2953))</f>
        <v>-0.75066764542872855</v>
      </c>
      <c r="U2951" s="25" t="s">
        <v>54</v>
      </c>
      <c r="V2951" s="38" t="s">
        <v>52</v>
      </c>
      <c r="W2951" s="4">
        <f>(AVERAGE(O2948:O2953)/AVERAGE(P2948:P2953))</f>
        <v>-0.75066764542872855</v>
      </c>
      <c r="Y2951" s="25" t="s">
        <v>60</v>
      </c>
      <c r="Z2951" s="38" t="s">
        <v>52</v>
      </c>
      <c r="AA2951" s="4">
        <f>(AVERAGE(O2948:O2953)/AVERAGE(P2948:P2953))</f>
        <v>-0.75066764542872855</v>
      </c>
    </row>
    <row r="2952" spans="1:27">
      <c r="A2952" s="19">
        <f>_xll.ciqfunctions.udf.CIQ(A2943,"IQ_TOTAL_REV",IQ_LTM)</f>
        <v>888.17100000000005</v>
      </c>
      <c r="B2952" s="13">
        <v>10</v>
      </c>
      <c r="C2952" s="14" t="s">
        <v>34</v>
      </c>
      <c r="D2952" s="15" cm="1">
        <f t="array" ref="D2952">_xlfn.SINGLE(IF(A2951=A2952,_xll.ciqfunctions.udf.CIQ(A2943,"IQ_TOTAL_REV",IQ_FY-1)/I2952, _xll.ciqfunctions.udf.CIQ(A2943, "IQ_TOTAL_REV",IQ_FY)/I2952))</f>
        <v>13.858109984468387</v>
      </c>
      <c r="E2952" s="16">
        <f t="shared" si="787"/>
        <v>2.5454722115995362E-2</v>
      </c>
      <c r="F2952" s="15">
        <f>IF(A2951=A2952,_xll.ciqfunctions.udf.CIQ(A2943,"IQ_DILUT_EPS_EXCL",IQ_FY-1), _xll.ciqfunctions.udf.CIQ(A2943, "IQ_DILUT_EPS_EXCL",IQ_FY))</f>
        <v>-9.0340000000000004E-2</v>
      </c>
      <c r="G2952" s="15">
        <f>IF(A2951=A2952,_xll.ciqfunctions.udf.CIQ(A2943,"IQ_EBITDA_MARGIN",IQ_FY-1), _xll.ciqfunctions.udf.CIQ(A2943, "IQ_EBITDA_MARGIN",IQ_FY))</f>
        <v>13.309200000000001</v>
      </c>
      <c r="H2952" s="15">
        <f>IF(A2951=A2952,_xll.ciqfunctions.udf.CIQ(A2943,"IQ_TOTAL_DIV_PAID_CF",IQ_FY-1)/-I2952, _xll.ciqfunctions.udf.CIQ(A2943, "IQ_TOTAL_DIV_PAID_CF",IQ_FY)/-I2952)</f>
        <v>0.3194793960364895</v>
      </c>
      <c r="I2952" s="17">
        <f>IF(A2951=A2952,_xll.ciqfunctions.udf.CIQ(A2943,"IQ_TOTAL_OUTSTANDING_FILING_DATE",IQ_FY-1), _xll.ciqfunctions.udf.CIQ(A2943, "IQ_TOTAL_OUTSTANDING_FILING_DATE",IQ_FY))</f>
        <v>65.105919999999998</v>
      </c>
      <c r="J2952" s="17">
        <f>IF(A2951=A2952,_xll.ciqfunctions.udf.CIQ(A2943,"IQ_CASH_OPER",IQ_FY-1), _xll.ciqfunctions.udf.CIQ(A2943, "IQ_CASH_OPER",IQ_FY))</f>
        <v>139.816</v>
      </c>
      <c r="K2952" s="17">
        <f>IF(A2951=A2952,_xll.ciqfunctions.udf.CIQ(A2943,"IQ_CAPEX",IQ_FY-1), _xll.ciqfunctions.udf.CIQ(A2943, "IQ_CAPEX",IQ_FY))</f>
        <v>-27.95</v>
      </c>
      <c r="L2952" s="15">
        <f t="shared" si="784"/>
        <v>1.7182154863950929</v>
      </c>
      <c r="M2952" s="17">
        <f>IF(A2951=A2952,_xll.ciqfunctions.udf.CIQ(A2943,"IQ_TOTAL_DEBT_ISSUED",IQ_FY-1), _xll.ciqfunctions.udf.CIQ(A2943, "IQ_TOTAL_DEBT_ISSUED",IQ_FY))</f>
        <v>0</v>
      </c>
      <c r="N2952" s="17">
        <f>IF(A2951=A2952,_xll.ciqfunctions.udf.CIQ(A2943,"IQ_TOTAL_DEBT_REPAID",IQ_FY-1), _xll.ciqfunctions.udf.CIQ(A2943, "IQ_TOTAL_DEBT_REPAID",IQ_FY))</f>
        <v>-3.6579999999999999</v>
      </c>
      <c r="O2952" s="15">
        <f t="shared" si="785"/>
        <v>-5.6185366860648005E-2</v>
      </c>
      <c r="P2952" s="15">
        <f t="shared" si="786"/>
        <v>1.6620301195344449</v>
      </c>
      <c r="Q2952" s="25" t="s">
        <v>44</v>
      </c>
      <c r="R2952" s="38" t="s">
        <v>35</v>
      </c>
      <c r="S2952" s="1">
        <f>_xll.ciqfunctions.udf.CIQ(A2943,"IQ_TEV_EBITDA")</f>
        <v>14.44256</v>
      </c>
      <c r="U2952" s="25" t="s">
        <v>55</v>
      </c>
      <c r="V2952" s="38" t="s">
        <v>53</v>
      </c>
      <c r="W2952" s="1">
        <f>V2942/(AVERAGE(D2948:D2953)/_xlfn.STDEV.P(E2948:E2953))</f>
        <v>0.21751702671599912</v>
      </c>
      <c r="Y2952" s="25" t="s">
        <v>57</v>
      </c>
      <c r="Z2952" s="38" t="s">
        <v>53</v>
      </c>
      <c r="AA2952" s="1">
        <f>Z2942/(AVERAGE(D2948:D2953)/_xlfn.STDEV.P(E2948:E2953))</f>
        <v>0.21751702671599912</v>
      </c>
    </row>
    <row r="2953" spans="1:27">
      <c r="B2953" s="13">
        <v>11</v>
      </c>
      <c r="C2953" s="20" t="s">
        <v>36</v>
      </c>
      <c r="D2953" s="21" cm="1">
        <f t="array" ref="D2953">_xlfn.SINGLE(IF(A2951=A2952,_xll.ciqfunctions.udf.CIQ(A2943,"IQ_TOTAL_REV",IQ_FY)/I2953, _xll.ciqfunctions.udf.CIQ(A2943, "IQ_TOTAL_REV",IQ_LTM)/I2953))</f>
        <v>13.819128432937154</v>
      </c>
      <c r="E2953" s="22">
        <f t="shared" si="787"/>
        <v>-2.812905336652819E-3</v>
      </c>
      <c r="F2953" s="21">
        <f>IF(A2951=A2952,_xll.ciqfunctions.udf.CIQ(A2943,"IQ_DILUT_EPS_EXCL",IQ_FY), _xll.ciqfunctions.udf.CIQ(A2943, "IQ_DILUT_EPS_EXCL",IQ_LTM))</f>
        <v>-9.9460000000000007E-2</v>
      </c>
      <c r="G2953" s="21">
        <f>IF(A2951=A2952,_xll.ciqfunctions.udf.CIQ(A2943,"IQ_EBITDA_MARGIN",IQ_FY), _xll.ciqfunctions.udf.CIQ(A2943, "IQ_EBITDA_MARGIN",IQ_LTM))</f>
        <v>15.2479</v>
      </c>
      <c r="H2953" s="21">
        <f>IF(A2951=A2952,_xll.ciqfunctions.udf.CIQ(A2943,"IQ_TOTAL_DIV_PAID_CF",IQ_FY)/-I2953, _xll.ciqfunctions.udf.CIQ(A2943, "IQ_TOTAL_DIV_PAID_CF",IQ_LTM)/-I2953)</f>
        <v>0.32362897618261888</v>
      </c>
      <c r="I2953" s="23">
        <f>IF(A2951=A2952,_xll.ciqfunctions.udf.CIQ(A2943,"IQ_TOTAL_OUTSTANDING_FILING_DATE",IQ_FY),_xll.ciqfunctions.udf.CIQ(A2943,"IQ_sharesoutstanding"))</f>
        <v>64.271129999999999</v>
      </c>
      <c r="J2953" s="23">
        <f>IF(A2951=A2952,_xll.ciqfunctions.udf.CIQ(A2943,"IQ_CASH_OPER",IQ_FY), _xll.ciqfunctions.udf.CIQ(A2943, "IQ_CASH_OPER",IQ_LTM))</f>
        <v>156.46799999999999</v>
      </c>
      <c r="K2953" s="23">
        <f>IF(A2951=A2952,_xll.ciqfunctions.udf.CIQ(A2943,"IQ_CAPEX",IQ_FY), _xll.ciqfunctions.udf.CIQ(A2943, "IQ_CAPEX",IQ_LTM))</f>
        <v>-26.338000000000001</v>
      </c>
      <c r="L2953" s="21">
        <f t="shared" si="784"/>
        <v>2.0247037822425091</v>
      </c>
      <c r="M2953" s="23">
        <f>IF(A2951=A2952,_xll.ciqfunctions.udf.CIQ(A2943,"IQ_TOTAL_DEBT_ISSUED",IQ_FY), _xll.ciqfunctions.udf.CIQ(A2943, "IQ_TOTAL_DEBT_ISSUED",IQ_LTM))</f>
        <v>100</v>
      </c>
      <c r="N2953" s="23">
        <f>IF(A2951=A2952,_xll.ciqfunctions.udf.CIQ(A2943,"IQ_TOTAL_DEBT_REPAID",IQ_FY), _xll.ciqfunctions.udf.CIQ(A2943, "IQ_TOTAL_DEBT_REPAID",IQ_LTM))</f>
        <v>-103.17400000000001</v>
      </c>
      <c r="O2953" s="21">
        <f t="shared" si="785"/>
        <v>-4.9384537038636267E-2</v>
      </c>
      <c r="P2953" s="21">
        <f t="shared" si="786"/>
        <v>1.9753192452038728</v>
      </c>
      <c r="Q2953" s="25" t="s">
        <v>45</v>
      </c>
      <c r="S2953" s="45"/>
      <c r="U2953" s="25"/>
      <c r="W2953" s="45"/>
      <c r="Y2953" s="25"/>
      <c r="AA2953" s="45"/>
    </row>
    <row r="2954" spans="1:27">
      <c r="B2954" s="24"/>
      <c r="C2954" s="25" t="s">
        <v>37</v>
      </c>
      <c r="E2954" s="26">
        <f>((D2953/D2948)^(1/5))-1</f>
        <v>-5.9932803794630507E-2</v>
      </c>
      <c r="F2954" s="27">
        <f>((F2953/F2948)^(1/5))-1</f>
        <v>-1.6302744338638133</v>
      </c>
      <c r="G2954" s="28"/>
      <c r="H2954" s="27" t="e">
        <f>((H2953/H2948)^(1/5))-1</f>
        <v>#DIV/0!</v>
      </c>
      <c r="I2954" s="27">
        <f>((I2953/I2948)^(1/5))-1</f>
        <v>-3.2706077501029052E-3</v>
      </c>
      <c r="J2954" s="27"/>
      <c r="K2954" s="27"/>
      <c r="L2954" s="26">
        <f>((L2953/L2948)^(1/5))-1</f>
        <v>-6.3429994483692353E-2</v>
      </c>
      <c r="M2954" s="26"/>
      <c r="N2954" s="26"/>
      <c r="O2954" s="26"/>
      <c r="P2954" s="26">
        <f>((P2953/P2948)^(1/5))-1</f>
        <v>-6.1847171417291236E-2</v>
      </c>
      <c r="Q2954" s="18"/>
      <c r="R2954" s="36"/>
      <c r="S2954" s="45"/>
      <c r="U2954" s="18"/>
      <c r="V2954" s="36"/>
      <c r="W2954" s="45"/>
      <c r="Y2954" s="18"/>
      <c r="Z2954" s="36"/>
      <c r="AA2954" s="45"/>
    </row>
    <row r="2955" spans="1:27">
      <c r="A2955" s="29"/>
      <c r="B2955" s="30"/>
      <c r="C2955" s="31" t="s">
        <v>38</v>
      </c>
      <c r="D2955" s="29"/>
      <c r="E2955" s="32">
        <f>((D2953/D2943)^(1/10))-1</f>
        <v>-2.0055833226294451E-2</v>
      </c>
      <c r="F2955" s="33" t="e">
        <f>((F2953/F2943)^(1/10))-1</f>
        <v>#NUM!</v>
      </c>
      <c r="G2955" s="34"/>
      <c r="H2955" s="33" t="e">
        <f>((H2953/H2943)^(1/10))-1</f>
        <v>#DIV/0!</v>
      </c>
      <c r="I2955" s="33">
        <f>((I2953/I2943)^(1/10))-1</f>
        <v>1.8295017216106046E-2</v>
      </c>
      <c r="J2955" s="33"/>
      <c r="K2955" s="33"/>
      <c r="L2955" s="32">
        <f>((L2953/L2943)^(1/10))-1</f>
        <v>-3.957595945765624E-2</v>
      </c>
      <c r="M2955" s="32"/>
      <c r="N2955" s="32"/>
      <c r="O2955" s="32"/>
      <c r="P2955" s="32">
        <f>((P2953/P2943)^(1/10))-1</f>
        <v>-7.183413306455988E-2</v>
      </c>
      <c r="Q2955" s="40"/>
      <c r="R2955" s="41"/>
      <c r="S2955" s="46"/>
      <c r="U2955" s="40"/>
      <c r="V2955" s="41"/>
      <c r="W2955" s="46"/>
      <c r="Y2955" s="40"/>
      <c r="Z2955" s="41"/>
      <c r="AA2955" s="46"/>
    </row>
    <row r="2956" spans="1:27">
      <c r="B2956" s="24"/>
      <c r="C2956" s="25"/>
      <c r="E2956" s="26"/>
      <c r="F2956" s="27"/>
      <c r="G2956" s="28"/>
      <c r="H2956" s="27"/>
      <c r="I2956" s="27"/>
      <c r="J2956" s="27"/>
      <c r="K2956" s="27"/>
      <c r="L2956" s="26"/>
      <c r="M2956" s="17"/>
      <c r="N2956" s="17"/>
      <c r="O2956" s="17"/>
      <c r="P2956" s="35"/>
      <c r="Q2956" s="18"/>
      <c r="R2956" s="36"/>
    </row>
    <row r="2957" spans="1:27">
      <c r="A2957" s="9" t="s">
        <v>0</v>
      </c>
      <c r="B2957" s="10"/>
      <c r="C2957" s="9" t="s">
        <v>1</v>
      </c>
      <c r="D2957" s="9" t="s">
        <v>2</v>
      </c>
      <c r="E2957" s="9" t="s">
        <v>3</v>
      </c>
      <c r="F2957" s="11" t="s">
        <v>4</v>
      </c>
      <c r="G2957" s="11" t="s">
        <v>5</v>
      </c>
      <c r="H2957" s="9" t="s">
        <v>6</v>
      </c>
      <c r="I2957" s="11" t="s">
        <v>7</v>
      </c>
      <c r="J2957" s="11" t="s">
        <v>8</v>
      </c>
      <c r="K2957" s="11" t="s">
        <v>9</v>
      </c>
      <c r="L2957" s="11" t="s">
        <v>10</v>
      </c>
      <c r="M2957" s="11" t="s">
        <v>11</v>
      </c>
      <c r="N2957" s="11" t="s">
        <v>12</v>
      </c>
      <c r="O2957" s="11" t="s">
        <v>13</v>
      </c>
      <c r="P2957" s="11" t="s">
        <v>14</v>
      </c>
      <c r="Q2957" s="37" t="s">
        <v>15</v>
      </c>
      <c r="R2957" s="42">
        <f>_xll.ciqfunctions.udf.CIQ(A2958,("IQ_LASTSALEPRICE"))</f>
        <v>75.69</v>
      </c>
      <c r="S2957" s="44"/>
      <c r="U2957" s="37" t="s">
        <v>15</v>
      </c>
      <c r="V2957" s="42">
        <f>_xll.ciqfunctions.udf.CIQ(A2958,("IQ_LASTSALEPRICE"))</f>
        <v>75.69</v>
      </c>
      <c r="W2957" s="44"/>
      <c r="Y2957" s="37" t="s">
        <v>15</v>
      </c>
      <c r="Z2957" s="42">
        <f>_xll.ciqfunctions.udf.CIQ(A2958,("IQ_LASTSALEPRICE"))</f>
        <v>75.69</v>
      </c>
      <c r="AA2957" s="44"/>
    </row>
    <row r="2958" spans="1:27">
      <c r="A2958" s="12" t="str">
        <f>Analysis!B199</f>
        <v>NasdaqGS:BLKB</v>
      </c>
      <c r="B2958" s="13">
        <v>1</v>
      </c>
      <c r="C2958" s="14" t="s">
        <v>16</v>
      </c>
      <c r="D2958" s="15">
        <f>IF(A2966=A2967,_xll.ciqfunctions.udf.CIQ(A2958,"IQ_TOTAL_REV",IQ_FY-10)/I2958,_xll.ciqfunctions.udf.CIQ(A2958, "IQ_TOTAL_REV",IQ_FY-9)/I2958)</f>
        <v>11.170108043536677</v>
      </c>
      <c r="E2958" s="16"/>
      <c r="F2958" s="15">
        <f>IF(A2966=A2967,_xll.ciqfunctions.udf.CIQ(A2958,"IQ_DILUT_EPS_EXCL",IQ_FY-10), _xll.ciqfunctions.udf.CIQ(A2958, "IQ_DILUT_EPS_EXCL",IQ_FY-9))</f>
        <v>0.67</v>
      </c>
      <c r="G2958" s="15">
        <f>IF(A2966=A2967,_xll.ciqfunctions.udf.CIQ(A2958,"IQ_EBITDA_MARGIN",IQ_FY-10), _xll.ciqfunctions.udf.CIQ(A2958, "IQ_EBITDA_MARGIN",IQ_FY-9))</f>
        <v>19.649899999999999</v>
      </c>
      <c r="H2958" s="15">
        <f>IF(A2966=A2967,_xll.ciqfunctions.udf.CIQ(A2958,"IQ_TOTAL_DIV_PAID_CF",IQ_FY-10)/-I2958, _xll.ciqfunctions.udf.CIQ(A2958, "IQ_TOTAL_DIV_PAID_CF",IQ_FY-9)/-I2958)</f>
        <v>0.48955703302852693</v>
      </c>
      <c r="I2958" s="17">
        <f>IF(A2966=A2967,_xll.ciqfunctions.udf.CIQ(A2958,"IQ_TOTAL_OUTSTANDING_FILING_DATE",IQ_FY-10), _xll.ciqfunctions.udf.CIQ(A2958, "IQ_TOTAL_OUTSTANDING_FILING_DATE",IQ_FY-9))</f>
        <v>45.104039999999998</v>
      </c>
      <c r="J2958" s="17">
        <f>IF(A2966=A2967,_xll.ciqfunctions.udf.CIQ(A2958,"IQ_CASH_OPER",IQ_FY-10), _xll.ciqfunctions.udf.CIQ(A2958, "IQ_CASH_OPER",IQ_FY-9))</f>
        <v>107.244</v>
      </c>
      <c r="K2958" s="17">
        <f>IF(A2966=A2967,_xll.ciqfunctions.udf.CIQ(A2958,"IQ_CAPEX",IQ_FY-10), _xll.ciqfunctions.udf.CIQ(A2958, "IQ_CAPEX",IQ_FY-9))</f>
        <v>-20.085999999999999</v>
      </c>
      <c r="L2958" s="15">
        <f t="shared" ref="L2958:L2968" si="788">(J2958+K2958)/I2958</f>
        <v>1.9323767893075654</v>
      </c>
      <c r="M2958" s="17">
        <f>IF(A2966=A2967,_xll.ciqfunctions.udf.CIQ(A2958,"IQ_TOTAL_DEBT_ISSUED",IQ_FY-10), _xll.ciqfunctions.udf.CIQ(A2958, "IQ_TOTAL_DEBT_ISSUED",IQ_FY-9))</f>
        <v>103.008</v>
      </c>
      <c r="N2958" s="17">
        <f>IF(A2966=A2967,_xll.ciqfunctions.udf.CIQ(A2958,"IQ_TOTAL_DEBT_REPAID",IQ_FY-10), _xll.ciqfunctions.udf.CIQ(A2958, "IQ_TOTAL_DEBT_REPAID",IQ_FY-9))</f>
        <v>-165.6</v>
      </c>
      <c r="O2958" s="15">
        <f t="shared" ref="O2958:O2968" si="789">(M2958+N2958)/I2958</f>
        <v>-1.387724913333706</v>
      </c>
      <c r="P2958" s="15">
        <f t="shared" ref="P2958:P2968" si="790">L2958+O2958</f>
        <v>0.54465187597385945</v>
      </c>
      <c r="W2958" s="43"/>
      <c r="AA2958" s="43"/>
    </row>
    <row r="2959" spans="1:27">
      <c r="A2959" s="18" t="str">
        <f>_xll.ciqfunctions.udf.CIQ(A2958,"IQ_COMPANY_NAME")</f>
        <v>Blackbaud, Inc.</v>
      </c>
      <c r="B2959" s="13">
        <v>2</v>
      </c>
      <c r="C2959" s="14" t="s">
        <v>17</v>
      </c>
      <c r="D2959" s="15">
        <f>IF(A2966=A2967,_xll.ciqfunctions.udf.CIQ(A2958,"IQ_TOTAL_REV",IQ_FY-9)/I2959, _xll.ciqfunctions.udf.CIQ(A2958, "IQ_TOTAL_REV",IQ_FY-8)/I2959)</f>
        <v>12.405500592997793</v>
      </c>
      <c r="E2959" s="16">
        <f t="shared" ref="E2959:E2968" si="791">(D2959-D2958)/D2958</f>
        <v>0.11059808415872457</v>
      </c>
      <c r="F2959" s="15">
        <f>IF(A2966=A2967,_xll.ciqfunctions.udf.CIQ(A2958,"IQ_DILUT_EPS_EXCL",IQ_FY-9), _xll.ciqfunctions.udf.CIQ(A2958, "IQ_DILUT_EPS_EXCL",IQ_FY-8))</f>
        <v>0.62</v>
      </c>
      <c r="G2959" s="15">
        <f>IF(A2966=A2967,_xll.ciqfunctions.udf.CIQ(A2958,"IQ_EBITDA_MARGIN",IQ_FY-9), _xll.ciqfunctions.udf.CIQ(A2958, "IQ_EBITDA_MARGIN",IQ_FY-8))</f>
        <v>16.4559</v>
      </c>
      <c r="H2959" s="15">
        <f>IF(A2966=A2967,_xll.ciqfunctions.udf.CIQ(A2958,"IQ_TOTAL_DIV_PAID_CF",IQ_FY-9)/-I2959, _xll.ciqfunctions.udf.CIQ(A2958, "IQ_TOTAL_DIV_PAID_CF",IQ_FY-8)/-I2959)</f>
        <v>0.48589333424766651</v>
      </c>
      <c r="I2959" s="17">
        <f>IF(A2966=A2967,_xll.ciqfunctions.udf.CIQ(A2958,"IQ_TOTAL_OUTSTANDING_FILING_DATE",IQ_FY-9), _xll.ciqfunctions.udf.CIQ(A2958, "IQ_TOTAL_OUTSTANDING_FILING_DATE",IQ_FY-8))</f>
        <v>45.497639999999997</v>
      </c>
      <c r="J2959" s="17">
        <f>IF(A2966=A2967,_xll.ciqfunctions.udf.CIQ(A2958,"IQ_CASH_OPER",IQ_FY-9), _xll.ciqfunctions.udf.CIQ(A2958, "IQ_CASH_OPER",IQ_FY-8))</f>
        <v>116.884</v>
      </c>
      <c r="K2959" s="17">
        <f>IF(A2966=A2967,_xll.ciqfunctions.udf.CIQ(A2958,"IQ_CAPEX",IQ_FY-9), _xll.ciqfunctions.udf.CIQ(A2958, "IQ_CAPEX",IQ_FY-8))</f>
        <v>-13.911</v>
      </c>
      <c r="L2959" s="15">
        <f t="shared" si="788"/>
        <v>2.263260248223864</v>
      </c>
      <c r="M2959" s="17">
        <f>IF(A2966=A2967,_xll.ciqfunctions.udf.CIQ(A2958,"IQ_TOTAL_DEBT_ISSUED",IQ_FY-9), _xll.ciqfunctions.udf.CIQ(A2958, "IQ_TOTAL_DEBT_ISSUED",IQ_FY-8))</f>
        <v>365.1</v>
      </c>
      <c r="N2959" s="17">
        <f>IF(A2966=A2967,_xll.ciqfunctions.udf.CIQ(A2958,"IQ_TOTAL_DEBT_REPAID",IQ_FY-9), _xll.ciqfunctions.udf.CIQ(A2958, "IQ_TOTAL_DEBT_REPAID",IQ_FY-8))</f>
        <v>-235.589</v>
      </c>
      <c r="O2959" s="15">
        <f t="shared" si="789"/>
        <v>2.8465432492762268</v>
      </c>
      <c r="P2959" s="15">
        <f t="shared" si="790"/>
        <v>5.1098034975000903</v>
      </c>
      <c r="Q2959" s="25" t="s">
        <v>18</v>
      </c>
      <c r="R2959" s="39" t="s">
        <v>19</v>
      </c>
      <c r="S2959" s="1">
        <f>R2957/((AVERAGE(P2963:P2968))*(1+E2969)^3)</f>
        <v>15.653454834999788</v>
      </c>
      <c r="U2959" s="25" t="s">
        <v>48</v>
      </c>
      <c r="V2959" s="39" t="s">
        <v>19</v>
      </c>
      <c r="W2959" s="1">
        <f>V2957/((AVERAGE(P2963:P2968))*(1+E2969)^3)</f>
        <v>15.653454834999788</v>
      </c>
      <c r="Y2959" s="25" t="s">
        <v>39</v>
      </c>
      <c r="Z2959" s="39" t="s">
        <v>19</v>
      </c>
      <c r="AA2959" s="1">
        <f>Z2957/((AVERAGE(P2963:P2968))*(1+E2969)^3)</f>
        <v>15.653454834999788</v>
      </c>
    </row>
    <row r="2960" spans="1:27">
      <c r="B2960" s="13">
        <v>3</v>
      </c>
      <c r="C2960" s="14" t="s">
        <v>20</v>
      </c>
      <c r="D2960" s="15" cm="1">
        <f t="array" ref="D2960">_xlfn.SINGLE(IF(A2966=A2967,_xll.ciqfunctions.udf.CIQ(A2958,"IQ_TOTAL_REV",IQ_FY-8)/I2960, _xll.ciqfunctions.udf.CIQ(A2958, "IQ_TOTAL_REV",IQ_FY-7)/I2960))</f>
        <v>13.906103609779832</v>
      </c>
      <c r="E2960" s="16">
        <f t="shared" si="791"/>
        <v>0.12096271371983527</v>
      </c>
      <c r="F2960" s="15">
        <f>IF(A2966=A2967,_xll.ciqfunctions.udf.CIQ(A2958,"IQ_DILUT_EPS_EXCL",IQ_FY-8), _xll.ciqfunctions.udf.CIQ(A2958, "IQ_DILUT_EPS_EXCL",IQ_FY-7))</f>
        <v>0.55000000000000004</v>
      </c>
      <c r="G2960" s="15">
        <f>IF(A2966=A2967,_xll.ciqfunctions.udf.CIQ(A2958,"IQ_EBITDA_MARGIN",IQ_FY-8), _xll.ciqfunctions.udf.CIQ(A2958, "IQ_EBITDA_MARGIN",IQ_FY-7))</f>
        <v>15.8649</v>
      </c>
      <c r="H2960" s="15">
        <f>IF(A2966=A2967,_xll.ciqfunctions.udf.CIQ(A2958,"IQ_TOTAL_DIV_PAID_CF",IQ_FY-8)/-I2960, _xll.ciqfunctions.udf.CIQ(A2958, "IQ_TOTAL_DIV_PAID_CF",IQ_FY-7)/-I2960)</f>
        <v>0.49063952730495725</v>
      </c>
      <c r="I2960" s="17">
        <f>IF(A2966=A2967,_xll.ciqfunctions.udf.CIQ(A2958,"IQ_TOTAL_OUTSTANDING_FILING_DATE",IQ_FY-8), _xll.ciqfunctions.udf.CIQ(A2958, "IQ_TOTAL_OUTSTANDING_FILING_DATE",IQ_FY-7))</f>
        <v>45.87482</v>
      </c>
      <c r="J2960" s="17">
        <f>IF(A2966=A2967,_xll.ciqfunctions.udf.CIQ(A2958,"IQ_CASH_OPER",IQ_FY-8), _xll.ciqfunctions.udf.CIQ(A2958, "IQ_CASH_OPER",IQ_FY-7))</f>
        <v>129.227</v>
      </c>
      <c r="K2960" s="17">
        <f>IF(A2966=A2967,_xll.ciqfunctions.udf.CIQ(A2958,"IQ_CAPEX",IQ_FY-8), _xll.ciqfunctions.udf.CIQ(A2958, "IQ_CAPEX",IQ_FY-7))</f>
        <v>-18.632999999999999</v>
      </c>
      <c r="L2960" s="15">
        <f t="shared" si="788"/>
        <v>2.4107778515534233</v>
      </c>
      <c r="M2960" s="17">
        <f>IF(A2966=A2967,_xll.ciqfunctions.udf.CIQ(A2958,"IQ_TOTAL_DEBT_ISSUED",IQ_FY-8), _xll.ciqfunctions.udf.CIQ(A2958, "IQ_TOTAL_DEBT_ISSUED",IQ_FY-7))</f>
        <v>312.3</v>
      </c>
      <c r="N2960" s="17">
        <f>IF(A2966=A2967,_xll.ciqfunctions.udf.CIQ(A2958,"IQ_TOTAL_DEBT_REPAID",IQ_FY-8), _xll.ciqfunctions.udf.CIQ(A2958, "IQ_TOTAL_DEBT_REPAID",IQ_FY-7))</f>
        <v>-184.47499999999999</v>
      </c>
      <c r="O2960" s="15">
        <f t="shared" si="789"/>
        <v>2.786386954760804</v>
      </c>
      <c r="P2960" s="15">
        <f t="shared" si="790"/>
        <v>5.1971648063142268</v>
      </c>
      <c r="Q2960" s="25" t="s">
        <v>21</v>
      </c>
      <c r="R2960" s="38" t="s">
        <v>49</v>
      </c>
      <c r="S2960" s="2">
        <f>(R2957*I2968)/1000</f>
        <v>3.9742555868999996</v>
      </c>
      <c r="U2960" s="25" t="s">
        <v>59</v>
      </c>
      <c r="V2960" s="38" t="s">
        <v>49</v>
      </c>
      <c r="W2960" s="2">
        <f>(V2957*I2968)/1000</f>
        <v>3.9742555868999996</v>
      </c>
      <c r="Y2960" s="25" t="s">
        <v>46</v>
      </c>
      <c r="Z2960" s="38" t="s">
        <v>49</v>
      </c>
      <c r="AA2960" s="2">
        <f>(Z2957*I2968)/1000</f>
        <v>3.9742555868999996</v>
      </c>
    </row>
    <row r="2961" spans="1:27">
      <c r="A2961" s="18"/>
      <c r="B2961" s="13">
        <v>4</v>
      </c>
      <c r="C2961" s="14" t="s">
        <v>22</v>
      </c>
      <c r="D2961" s="15" cm="1">
        <f t="array" ref="D2961">_xlfn.SINGLE(IF(A2966=A2967,_xll.ciqfunctions.udf.CIQ(A2958,"IQ_TOTAL_REV",IQ_FY-7)/I2961, _xll.ciqfunctions.udf.CIQ(A2958, "IQ_TOTAL_REV",IQ_FY-6)/I2961))</f>
        <v>15.783991774501214</v>
      </c>
      <c r="E2961" s="16">
        <f t="shared" si="791"/>
        <v>0.13504057048738713</v>
      </c>
      <c r="F2961" s="15">
        <f>IF(A2966=A2967,_xll.ciqfunctions.udf.CIQ(A2958,"IQ_DILUT_EPS_EXCL",IQ_FY-7), _xll.ciqfunctions.udf.CIQ(A2958, "IQ_DILUT_EPS_EXCL",IQ_FY-6))</f>
        <v>0.96</v>
      </c>
      <c r="G2961" s="15">
        <f>IF(A2966=A2967,_xll.ciqfunctions.udf.CIQ(A2958,"IQ_EBITDA_MARGIN",IQ_FY-7), _xll.ciqfunctions.udf.CIQ(A2958, "IQ_EBITDA_MARGIN",IQ_FY-6))</f>
        <v>18.057300000000001</v>
      </c>
      <c r="H2961" s="15">
        <f>IF(A2966=A2967,_xll.ciqfunctions.udf.CIQ(A2958,"IQ_TOTAL_DIV_PAID_CF",IQ_FY-7)/-I2961, _xll.ciqfunctions.udf.CIQ(A2958, "IQ_TOTAL_DIV_PAID_CF",IQ_FY-6)/-I2961)</f>
        <v>0.49211039875806362</v>
      </c>
      <c r="I2961" s="17">
        <f>IF(A2966=A2967,_xll.ciqfunctions.udf.CIQ(A2958,"IQ_TOTAL_OUTSTANDING_FILING_DATE",IQ_FY-7), _xll.ciqfunctions.udf.CIQ(A2958, "IQ_TOTAL_OUTSTANDING_FILING_DATE",IQ_FY-6))</f>
        <v>46.35342</v>
      </c>
      <c r="J2961" s="17">
        <f>IF(A2966=A2967,_xll.ciqfunctions.udf.CIQ(A2958,"IQ_CASH_OPER",IQ_FY-7), _xll.ciqfunctions.udf.CIQ(A2958, "IQ_CASH_OPER",IQ_FY-6))</f>
        <v>153.62799999999999</v>
      </c>
      <c r="K2961" s="17">
        <f>IF(A2966=A2967,_xll.ciqfunctions.udf.CIQ(A2958,"IQ_CAPEX",IQ_FY-7), _xll.ciqfunctions.udf.CIQ(A2958, "IQ_CAPEX",IQ_FY-6))</f>
        <v>-17.693999999999999</v>
      </c>
      <c r="L2961" s="15">
        <f t="shared" si="788"/>
        <v>2.9325560012616112</v>
      </c>
      <c r="M2961" s="17">
        <f>IF(A2966=A2967,_xll.ciqfunctions.udf.CIQ(A2958,"IQ_TOTAL_DEBT_ISSUED",IQ_FY-7), _xll.ciqfunctions.udf.CIQ(A2958, "IQ_TOTAL_DEBT_ISSUED",IQ_FY-6))</f>
        <v>227.2</v>
      </c>
      <c r="N2961" s="17">
        <f>IF(A2966=A2967,_xll.ciqfunctions.udf.CIQ(A2958,"IQ_TOTAL_DEBT_REPAID",IQ_FY-7), _xll.ciqfunctions.udf.CIQ(A2958, "IQ_TOTAL_DEBT_REPAID",IQ_FY-6))</f>
        <v>-293.57499999999999</v>
      </c>
      <c r="O2961" s="15">
        <f t="shared" si="789"/>
        <v>-1.431933177746108</v>
      </c>
      <c r="P2961" s="15">
        <f t="shared" si="790"/>
        <v>1.5006228235155032</v>
      </c>
      <c r="Q2961" s="25" t="s">
        <v>23</v>
      </c>
      <c r="R2961" s="38" t="s">
        <v>24</v>
      </c>
      <c r="S2961" s="1" t="e">
        <f>R2957/(AVERAGE(H2963:H2968)*(1+H2969)/(0.5-H2969))</f>
        <v>#DIV/0!</v>
      </c>
      <c r="U2961" s="25" t="s">
        <v>40</v>
      </c>
      <c r="V2961" s="38" t="s">
        <v>24</v>
      </c>
      <c r="W2961" s="1" t="e">
        <f>V2957/(AVERAGE(H2963:H2968)*(1+H2969)/(0.5-H2969))</f>
        <v>#DIV/0!</v>
      </c>
      <c r="Y2961" s="25" t="s">
        <v>47</v>
      </c>
      <c r="Z2961" s="38" t="s">
        <v>24</v>
      </c>
      <c r="AA2961" s="1" t="e">
        <f>Z2957/(AVERAGE(H2963:H2968)*(1+H2969)/(0.5-H2969))</f>
        <v>#DIV/0!</v>
      </c>
    </row>
    <row r="2962" spans="1:27">
      <c r="B2962" s="13">
        <v>5</v>
      </c>
      <c r="C2962" s="14" t="s">
        <v>25</v>
      </c>
      <c r="D2962" s="15" cm="1">
        <f t="array" ref="D2962">_xlfn.SINGLE(IF(A2966=A2967,_xll.ciqfunctions.udf.CIQ(A2958,"IQ_TOTAL_REV",IQ_FY-6)/I2962, _xll.ciqfunctions.udf.CIQ(A2958, "IQ_TOTAL_REV",IQ_FY-5)/I2962))</f>
        <v>16.841395015932839</v>
      </c>
      <c r="E2962" s="16">
        <f t="shared" si="791"/>
        <v>6.6992130795445776E-2</v>
      </c>
      <c r="F2962" s="15">
        <f>IF(A2966=A2967,_xll.ciqfunctions.udf.CIQ(A2958,"IQ_DILUT_EPS_EXCL",IQ_FY-6), _xll.ciqfunctions.udf.CIQ(A2958, "IQ_DILUT_EPS_EXCL",IQ_FY-5))</f>
        <v>1.54</v>
      </c>
      <c r="G2962" s="15">
        <f>IF(A2966=A2967,_xll.ciqfunctions.udf.CIQ(A2958,"IQ_EBITDA_MARGIN",IQ_FY-6), _xll.ciqfunctions.udf.CIQ(A2958, "IQ_EBITDA_MARGIN",IQ_FY-5))</f>
        <v>16.502400000000002</v>
      </c>
      <c r="H2962" s="15">
        <f>IF(A2966=A2967,_xll.ciqfunctions.udf.CIQ(A2958,"IQ_TOTAL_DIV_PAID_CF",IQ_FY-6)/-I2962, _xll.ciqfunctions.udf.CIQ(A2958, "IQ_TOTAL_DIV_PAID_CF",IQ_FY-5)/-I2962)</f>
        <v>0.49273373133933052</v>
      </c>
      <c r="I2962" s="17">
        <f>IF(A2966=A2967,_xll.ciqfunctions.udf.CIQ(A2958,"IQ_TOTAL_OUTSTANDING_FILING_DATE",IQ_FY-6), _xll.ciqfunctions.udf.CIQ(A2958, "IQ_TOTAL_OUTSTANDING_FILING_DATE",IQ_FY-5))</f>
        <v>46.818390000000001</v>
      </c>
      <c r="J2962" s="17">
        <f>IF(A2966=A2967,_xll.ciqfunctions.udf.CIQ(A2958,"IQ_CASH_OPER",IQ_FY-6), _xll.ciqfunctions.udf.CIQ(A2958, "IQ_CASH_OPER",IQ_FY-5))</f>
        <v>176.29</v>
      </c>
      <c r="K2962" s="17">
        <f>IF(A2966=A2967,_xll.ciqfunctions.udf.CIQ(A2958,"IQ_CAPEX",IQ_FY-6), _xll.ciqfunctions.udf.CIQ(A2958, "IQ_CAPEX",IQ_FY-5))</f>
        <v>-10.208</v>
      </c>
      <c r="L2962" s="15">
        <f t="shared" si="788"/>
        <v>3.5473667505439632</v>
      </c>
      <c r="M2962" s="17">
        <f>IF(A2966=A2967,_xll.ciqfunctions.udf.CIQ(A2958,"IQ_TOTAL_DEBT_ISSUED",IQ_FY-6), _xll.ciqfunctions.udf.CIQ(A2958, "IQ_TOTAL_DEBT_ISSUED",IQ_FY-5))</f>
        <v>774.5</v>
      </c>
      <c r="N2962" s="17">
        <f>IF(A2966=A2967,_xll.ciqfunctions.udf.CIQ(A2958,"IQ_TOTAL_DEBT_REPAID",IQ_FY-6), _xll.ciqfunctions.udf.CIQ(A2958, "IQ_TOTAL_DEBT_REPAID",IQ_FY-5))</f>
        <v>-679.11900000000003</v>
      </c>
      <c r="O2962" s="15">
        <f t="shared" si="789"/>
        <v>2.0372550188077798</v>
      </c>
      <c r="P2962" s="15">
        <f t="shared" si="790"/>
        <v>5.5846217693517435</v>
      </c>
      <c r="Q2962" s="18"/>
      <c r="R2962" s="38" t="s">
        <v>50</v>
      </c>
      <c r="S2962" s="3">
        <f>I2969</f>
        <v>2.1086263791060933E-2</v>
      </c>
      <c r="U2962" s="18"/>
      <c r="V2962" s="38" t="s">
        <v>50</v>
      </c>
      <c r="W2962" s="3">
        <f>I2969</f>
        <v>2.1086263791060933E-2</v>
      </c>
      <c r="Y2962" s="18"/>
      <c r="Z2962" s="38" t="s">
        <v>50</v>
      </c>
      <c r="AA2962" s="3">
        <f>I2969</f>
        <v>2.1086263791060933E-2</v>
      </c>
    </row>
    <row r="2963" spans="1:27">
      <c r="B2963" s="13">
        <v>6</v>
      </c>
      <c r="C2963" s="14" t="s">
        <v>26</v>
      </c>
      <c r="D2963" s="15" cm="1">
        <f t="array" ref="D2963">_xlfn.SINGLE(IF(A2966=A2967,_xll.ciqfunctions.udf.CIQ(A2958,"IQ_TOTAL_REV",IQ_FY-5)/I2963, _xll.ciqfunctions.udf.CIQ(A2958, "IQ_TOTAL_REV",IQ_FY-4)/I2963))</f>
        <v>17.939113565454999</v>
      </c>
      <c r="E2963" s="16">
        <f t="shared" si="791"/>
        <v>6.5179787570071285E-2</v>
      </c>
      <c r="F2963" s="15">
        <f>IF(A2966=A2967,_xll.ciqfunctions.udf.CIQ(A2958,"IQ_DILUT_EPS_EXCL",IQ_FY-5), _xll.ciqfunctions.udf.CIQ(A2958, "IQ_DILUT_EPS_EXCL",IQ_FY-4))</f>
        <v>0.93</v>
      </c>
      <c r="G2963" s="15">
        <f>IF(A2966=A2967,_xll.ciqfunctions.udf.CIQ(A2958,"IQ_EBITDA_MARGIN",IQ_FY-5), _xll.ciqfunctions.udf.CIQ(A2958, "IQ_EBITDA_MARGIN",IQ_FY-4))</f>
        <v>15.8345</v>
      </c>
      <c r="H2963" s="15">
        <f>IF(A2966=A2967,_xll.ciqfunctions.udf.CIQ(A2958,"IQ_TOTAL_DIV_PAID_CF",IQ_FY-5)/-I2963, _xll.ciqfunctions.udf.CIQ(A2958, "IQ_TOTAL_DIV_PAID_CF",IQ_FY-4)/-I2963)</f>
        <v>0.4928042170782283</v>
      </c>
      <c r="I2963" s="17">
        <f>IF(A2966=A2967,_xll.ciqfunctions.udf.CIQ(A2958,"IQ_TOTAL_OUTSTANDING_FILING_DATE",IQ_FY-5), _xll.ciqfunctions.udf.CIQ(A2958, "IQ_TOTAL_OUTSTANDING_FILING_DATE",IQ_FY-4))</f>
        <v>47.304789999999997</v>
      </c>
      <c r="J2963" s="17">
        <f>IF(A2966=A2967,_xll.ciqfunctions.udf.CIQ(A2958,"IQ_CASH_OPER",IQ_FY-5), _xll.ciqfunctions.udf.CIQ(A2958, "IQ_CASH_OPER",IQ_FY-4))</f>
        <v>201.38499999999999</v>
      </c>
      <c r="K2963" s="17">
        <f>IF(A2966=A2967,_xll.ciqfunctions.udf.CIQ(A2958,"IQ_CAPEX",IQ_FY-5), _xll.ciqfunctions.udf.CIQ(A2958, "IQ_CAPEX",IQ_FY-4))</f>
        <v>-14.718999999999999</v>
      </c>
      <c r="L2963" s="15">
        <f t="shared" si="788"/>
        <v>3.946027453033826</v>
      </c>
      <c r="M2963" s="17">
        <f>IF(A2966=A2967,_xll.ciqfunctions.udf.CIQ(A2958,"IQ_TOTAL_DEBT_ISSUED",IQ_FY-5), _xll.ciqfunctions.udf.CIQ(A2958, "IQ_TOTAL_DEBT_ISSUED",IQ_FY-4))</f>
        <v>270.89999999999998</v>
      </c>
      <c r="N2963" s="17">
        <f>IF(A2966=A2967,_xll.ciqfunctions.udf.CIQ(A2958,"IQ_TOTAL_DEBT_REPAID",IQ_FY-5), _xll.ciqfunctions.udf.CIQ(A2958, "IQ_TOTAL_DEBT_REPAID",IQ_FY-4))</f>
        <v>-322.476</v>
      </c>
      <c r="O2963" s="15">
        <f t="shared" si="789"/>
        <v>-1.0902912791706723</v>
      </c>
      <c r="P2963" s="15">
        <f t="shared" si="790"/>
        <v>2.8557361738631535</v>
      </c>
      <c r="Q2963" s="25" t="s">
        <v>27</v>
      </c>
      <c r="R2963" s="38" t="s">
        <v>51</v>
      </c>
      <c r="S2963" s="4">
        <f>AVERAGE(F2963:F2968)/AVERAGE(D2963:D2968)</f>
        <v>9.0214044423206255E-4</v>
      </c>
      <c r="U2963" s="25" t="s">
        <v>58</v>
      </c>
      <c r="V2963" s="38" t="s">
        <v>51</v>
      </c>
      <c r="W2963" s="4">
        <f>AVERAGE(F2963:F2968)/AVERAGE(D2963:D2968)</f>
        <v>9.0214044423206255E-4</v>
      </c>
      <c r="Y2963" s="25" t="s">
        <v>56</v>
      </c>
      <c r="Z2963" s="38" t="s">
        <v>51</v>
      </c>
      <c r="AA2963" s="4">
        <f>AVERAGE(F2963:F2968)/AVERAGE(D2963:D2968)</f>
        <v>9.0214044423206255E-4</v>
      </c>
    </row>
    <row r="2964" spans="1:27">
      <c r="A2964" s="18"/>
      <c r="B2964" s="13">
        <v>7</v>
      </c>
      <c r="C2964" s="14" t="s">
        <v>28</v>
      </c>
      <c r="D2964" s="15" cm="1">
        <f t="array" ref="D2964">_xlfn.SINGLE(IF(A2966=A2967,_xll.ciqfunctions.udf.CIQ(A2958,"IQ_TOTAL_REV",IQ_FY-4)/I2964, _xll.ciqfunctions.udf.CIQ(A2958, "IQ_TOTAL_REV",IQ_FY-3)/I2964))</f>
        <v>18.827229868875584</v>
      </c>
      <c r="E2964" s="16">
        <f t="shared" si="791"/>
        <v>4.9507256876438588E-2</v>
      </c>
      <c r="F2964" s="15">
        <f>IF(A2966=A2967,_xll.ciqfunctions.udf.CIQ(A2958,"IQ_DILUT_EPS_EXCL",IQ_FY-4), _xll.ciqfunctions.udf.CIQ(A2958, "IQ_DILUT_EPS_EXCL",IQ_FY-3))</f>
        <v>0.24967</v>
      </c>
      <c r="G2964" s="15">
        <f>IF(A2966=A2967,_xll.ciqfunctions.udf.CIQ(A2958,"IQ_EBITDA_MARGIN",IQ_FY-4), _xll.ciqfunctions.udf.CIQ(A2958, "IQ_EBITDA_MARGIN",IQ_FY-3))</f>
        <v>11.010999999999999</v>
      </c>
      <c r="H2964" s="15">
        <f>IF(A2966=A2967,_xll.ciqfunctions.udf.CIQ(A2958,"IQ_TOTAL_DIV_PAID_CF",IQ_FY-4)/-I2964, _xll.ciqfunctions.udf.CIQ(A2958, "IQ_TOTAL_DIV_PAID_CF",IQ_FY-3)/-I2964)</f>
        <v>0.49360624452567947</v>
      </c>
      <c r="I2964" s="17">
        <f>IF(A2966=A2967,_xll.ciqfunctions.udf.CIQ(A2958,"IQ_TOTAL_OUTSTANDING_FILING_DATE",IQ_FY-4), _xll.ciqfunctions.udf.CIQ(A2958, "IQ_TOTAL_OUTSTANDING_FILING_DATE",IQ_FY-3))</f>
        <v>47.825569999999999</v>
      </c>
      <c r="J2964" s="17">
        <f>IF(A2966=A2967,_xll.ciqfunctions.udf.CIQ(A2958,"IQ_CASH_OPER",IQ_FY-4), _xll.ciqfunctions.udf.CIQ(A2958, "IQ_CASH_OPER",IQ_FY-3))</f>
        <v>182.477</v>
      </c>
      <c r="K2964" s="17">
        <f>IF(A2966=A2967,_xll.ciqfunctions.udf.CIQ(A2958,"IQ_CAPEX",IQ_FY-4), _xll.ciqfunctions.udf.CIQ(A2958, "IQ_CAPEX",IQ_FY-3))</f>
        <v>-11.492000000000001</v>
      </c>
      <c r="L2964" s="15">
        <f t="shared" si="788"/>
        <v>3.5751795535317199</v>
      </c>
      <c r="M2964" s="17">
        <f>IF(A2966=A2967,_xll.ciqfunctions.udf.CIQ(A2958,"IQ_TOTAL_DEBT_ISSUED",IQ_FY-4), _xll.ciqfunctions.udf.CIQ(A2958, "IQ_TOTAL_DEBT_ISSUED",IQ_FY-3))</f>
        <v>424</v>
      </c>
      <c r="N2964" s="17">
        <f>IF(A2966=A2967,_xll.ciqfunctions.udf.CIQ(A2958,"IQ_TOTAL_DEBT_REPAID",IQ_FY-4), _xll.ciqfunctions.udf.CIQ(A2958, "IQ_TOTAL_DEBT_REPAID",IQ_FY-3))</f>
        <v>-344.5</v>
      </c>
      <c r="O2964" s="15">
        <f t="shared" si="789"/>
        <v>1.6622906951239682</v>
      </c>
      <c r="P2964" s="15">
        <f t="shared" si="790"/>
        <v>5.2374702486556881</v>
      </c>
      <c r="Q2964" s="18"/>
      <c r="R2964" s="38" t="s">
        <v>29</v>
      </c>
      <c r="S2964" s="4">
        <f>(AVERAGE(P2963:P2968)/_xlfn.STDEV.P(P2963:P2968))/(IF(A2966=A2967,(_xlfn.SINGLE(_xll.ciqfunctions.udf.CIQ(A2958,"IQ_total_assets",IQ_FY)) - _xlfn.SINGLE(_xll.ciqfunctions.udf.CIQ(A2958,"iq_gw_intan", IQ_FY)))/I2968, (_xlfn.SINGLE(_xll.ciqfunctions.udf.CIQ(A2958, "IQ_total_assets",IQ_LTM))-_xlfn.SINGLE(_xll.ciqfunctions.udf.CIQ(A2958,"iq_gw_intan",IQ_LTM)))/I2968))</f>
        <v>7.7421339285172822E-2</v>
      </c>
      <c r="U2964" s="18"/>
      <c r="V2964" s="38" t="s">
        <v>29</v>
      </c>
      <c r="W2964" s="4">
        <f>(AVERAGE(P2963:P2968)/_xlfn.STDEV.P(P2963:P2968))/(IF(A2966=A2967,(_xlfn.SINGLE(_xll.ciqfunctions.udf.CIQ(A2958,"IQ_total_assets",IQ_FY)) - _xlfn.SINGLE(_xll.ciqfunctions.udf.CIQ(A2958,"iq_gw_intan", IQ_FY)))/I2968, (_xlfn.SINGLE(_xll.ciqfunctions.udf.CIQ(A2958, "IQ_total_assets",IQ_LTM))-_xlfn.SINGLE(_xll.ciqfunctions.udf.CIQ(A2958,"iq_gw_intan",IQ_LTM)))/I2968))</f>
        <v>7.7421339285172822E-2</v>
      </c>
      <c r="Y2964" s="18"/>
      <c r="Z2964" s="38" t="s">
        <v>29</v>
      </c>
      <c r="AA2964" s="4">
        <f>(AVERAGE(P2963:P2968)/_xlfn.STDEV.P(P2963:P2968))/(IF(A2966=A2967,(_xlfn.SINGLE(_xll.ciqfunctions.udf.CIQ(A2958,"IQ_total_assets",IQ_FY)) - _xlfn.SINGLE(_xll.ciqfunctions.udf.CIQ(A2958,"iq_gw_intan", IQ_FY)))/I2968, (_xlfn.SINGLE(_xll.ciqfunctions.udf.CIQ(A2958, "IQ_total_assets",IQ_LTM))-_xlfn.SINGLE(_xll.ciqfunctions.udf.CIQ(A2958,"iq_gw_intan",IQ_LTM)))/I2968))</f>
        <v>7.7421339285172822E-2</v>
      </c>
    </row>
    <row r="2965" spans="1:27">
      <c r="A2965" s="18"/>
      <c r="B2965" s="13">
        <v>8</v>
      </c>
      <c r="C2965" s="14" t="s">
        <v>30</v>
      </c>
      <c r="D2965" s="15" cm="1">
        <f t="array" ref="D2965">_xlfn.SINGLE(IF(A2966=A2967,_xll.ciqfunctions.udf.CIQ(A2958,"IQ_TOTAL_REV",IQ_FY-3)/I2965, _xll.ciqfunctions.udf.CIQ(A2958, "IQ_TOTAL_REV",IQ_FY-2)/I2965))</f>
        <v>19.387156127685078</v>
      </c>
      <c r="E2965" s="16">
        <f t="shared" si="791"/>
        <v>2.9740235961910746E-2</v>
      </c>
      <c r="F2965" s="15">
        <f>IF(A2966=A2967,_xll.ciqfunctions.udf.CIQ(A2958,"IQ_DILUT_EPS_EXCL",IQ_FY-3), _xll.ciqfunctions.udf.CIQ(A2958, "IQ_DILUT_EPS_EXCL",IQ_FY-2))</f>
        <v>0.16</v>
      </c>
      <c r="G2965" s="15">
        <f>IF(A2966=A2967,_xll.ciqfunctions.udf.CIQ(A2958,"IQ_EBITDA_MARGIN",IQ_FY-3), _xll.ciqfunctions.udf.CIQ(A2958, "IQ_EBITDA_MARGIN",IQ_FY-2))</f>
        <v>11.3751</v>
      </c>
      <c r="H2965" s="15">
        <f>IF(A2966=A2967,_xll.ciqfunctions.udf.CIQ(A2958,"IQ_TOTAL_DIV_PAID_CF",IQ_FY-3)/-I2965, _xll.ciqfunctions.udf.CIQ(A2958, "IQ_TOTAL_DIV_PAID_CF",IQ_FY-2)/-I2965)</f>
        <v>0.12652764618454398</v>
      </c>
      <c r="I2965" s="17">
        <f>IF(A2966=A2967,_xll.ciqfunctions.udf.CIQ(A2958,"IQ_TOTAL_OUTSTANDING_FILING_DATE",IQ_FY-3), _xll.ciqfunctions.udf.CIQ(A2958, "IQ_TOTAL_OUTSTANDING_FILING_DATE",IQ_FY-2))</f>
        <v>47.104329999999997</v>
      </c>
      <c r="J2965" s="17">
        <f>IF(A2966=A2967,_xll.ciqfunctions.udf.CIQ(A2958,"IQ_CASH_OPER",IQ_FY-3), _xll.ciqfunctions.udf.CIQ(A2958, "IQ_CASH_OPER",IQ_FY-2))</f>
        <v>147.95500000000001</v>
      </c>
      <c r="K2965" s="17">
        <f>IF(A2966=A2967,_xll.ciqfunctions.udf.CIQ(A2958,"IQ_CAPEX",IQ_FY-3), _xll.ciqfunctions.udf.CIQ(A2958, "IQ_CAPEX",IQ_FY-2))</f>
        <v>-29.69</v>
      </c>
      <c r="L2965" s="15">
        <f t="shared" si="788"/>
        <v>2.5107033684589086</v>
      </c>
      <c r="M2965" s="17">
        <f>IF(A2966=A2967,_xll.ciqfunctions.udf.CIQ(A2958,"IQ_TOTAL_DEBT_ISSUED",IQ_FY-3), _xll.ciqfunctions.udf.CIQ(A2958, "IQ_TOTAL_DEBT_ISSUED",IQ_FY-2))</f>
        <v>748.5</v>
      </c>
      <c r="N2965" s="17">
        <f>IF(A2966=A2967,_xll.ciqfunctions.udf.CIQ(A2958,"IQ_TOTAL_DEBT_REPAID",IQ_FY-3), _xll.ciqfunctions.udf.CIQ(A2958, "IQ_TOTAL_DEBT_REPAID",IQ_FY-2))</f>
        <v>-747.56299999999999</v>
      </c>
      <c r="O2965" s="15">
        <f t="shared" si="789"/>
        <v>1.9892014173644161E-2</v>
      </c>
      <c r="P2965" s="15">
        <f t="shared" si="790"/>
        <v>2.5305953826325527</v>
      </c>
      <c r="Q2965" s="18"/>
      <c r="R2965" s="39" t="s">
        <v>31</v>
      </c>
      <c r="S2965" s="5">
        <f>IF(NOT(D2958&gt;0),FALSE,SLOPE(G2958:G2968,B2958:B2968))</f>
        <v>-0.84138727272727276</v>
      </c>
      <c r="U2965" s="18"/>
      <c r="V2965" s="39" t="s">
        <v>31</v>
      </c>
      <c r="W2965" s="5">
        <f>IF(NOT(D2958&gt;0),FALSE,SLOPE(G2958:G2968,B2958:B2968))</f>
        <v>-0.84138727272727276</v>
      </c>
      <c r="Y2965" s="18"/>
      <c r="Z2965" s="39" t="s">
        <v>31</v>
      </c>
      <c r="AA2965" s="5">
        <f>IF(NOT(L2958&gt;0),FALSE,SLOPE(O2958:O2968,J2958:J2968))</f>
        <v>4.0521769318644738E-3</v>
      </c>
    </row>
    <row r="2966" spans="1:27">
      <c r="A2966" s="19">
        <f>_xll.ciqfunctions.udf.CIQ(A2958,"IQ_TOTAL_REV",IQ_FY)</f>
        <v>1058.105</v>
      </c>
      <c r="B2966" s="13">
        <v>9</v>
      </c>
      <c r="C2966" s="14" t="s">
        <v>32</v>
      </c>
      <c r="D2966" s="15" cm="1">
        <f t="array" ref="D2966">_xlfn.SINGLE(IF(A2966=A2967,_xll.ciqfunctions.udf.CIQ(A2958,"IQ_TOTAL_REV",IQ_FY-2)/I2966, _xll.ciqfunctions.udf.CIQ(A2958, "IQ_TOTAL_REV",IQ_FY-1)/I2966))</f>
        <v>18.272137344141075</v>
      </c>
      <c r="E2966" s="16">
        <f t="shared" si="791"/>
        <v>-5.751327199308736E-2</v>
      </c>
      <c r="F2966" s="15">
        <f>IF(A2966=A2967,_xll.ciqfunctions.udf.CIQ(A2958,"IQ_DILUT_EPS_EXCL",IQ_FY-2), _xll.ciqfunctions.udf.CIQ(A2958, "IQ_DILUT_EPS_EXCL",IQ_FY-1))</f>
        <v>0.12</v>
      </c>
      <c r="G2966" s="15">
        <f>IF(A2966=A2967,_xll.ciqfunctions.udf.CIQ(A2958,"IQ_EBITDA_MARGIN",IQ_FY-2), _xll.ciqfunctions.udf.CIQ(A2958, "IQ_EBITDA_MARGIN",IQ_FY-1))</f>
        <v>9.4847999999999999</v>
      </c>
      <c r="H2966" s="15">
        <f>IF(A2966=A2967,_xll.ciqfunctions.udf.CIQ(A2958,"IQ_TOTAL_DIV_PAID_CF",IQ_FY-2)/-I2966, _xll.ciqfunctions.udf.CIQ(A2958, "IQ_TOTAL_DIV_PAID_CF",IQ_FY-1)/-I2966)</f>
        <v>0</v>
      </c>
      <c r="I2966" s="17">
        <f>IF(A2966=A2967,_xll.ciqfunctions.udf.CIQ(A2958,"IQ_TOTAL_OUTSTANDING_FILING_DATE",IQ_FY-2), _xll.ciqfunctions.udf.CIQ(A2958, "IQ_TOTAL_OUTSTANDING_FILING_DATE",IQ_FY-1))</f>
        <v>50.773479999999999</v>
      </c>
      <c r="J2966" s="17">
        <f>IF(A2966=A2967,_xll.ciqfunctions.udf.CIQ(A2958,"IQ_CASH_OPER",IQ_FY-2), _xll.ciqfunctions.udf.CIQ(A2958, "IQ_CASH_OPER",IQ_FY-1))</f>
        <v>213.661</v>
      </c>
      <c r="K2966" s="17">
        <f>IF(A2966=A2967,_xll.ciqfunctions.udf.CIQ(A2958,"IQ_CAPEX",IQ_FY-2), _xll.ciqfunctions.udf.CIQ(A2958, "IQ_CAPEX",IQ_FY-1))</f>
        <v>-11.664</v>
      </c>
      <c r="L2966" s="15">
        <f t="shared" si="788"/>
        <v>3.9783958082053861</v>
      </c>
      <c r="M2966" s="17">
        <f>IF(A2966=A2967,_xll.ciqfunctions.udf.CIQ(A2958,"IQ_TOTAL_DEBT_ISSUED",IQ_FY-2), _xll.ciqfunctions.udf.CIQ(A2958, "IQ_TOTAL_DEBT_ISSUED",IQ_FY-1))</f>
        <v>582.20000000000005</v>
      </c>
      <c r="N2966" s="17">
        <f>IF(A2966=A2967,_xll.ciqfunctions.udf.CIQ(A2958,"IQ_TOTAL_DEBT_REPAID",IQ_FY-2), _xll.ciqfunctions.udf.CIQ(A2958, "IQ_TOTAL_DEBT_REPAID",IQ_FY-1))</f>
        <v>-152.971</v>
      </c>
      <c r="O2966" s="15">
        <f t="shared" si="789"/>
        <v>8.453803048363044</v>
      </c>
      <c r="P2966" s="15">
        <f t="shared" si="790"/>
        <v>12.43219885656843</v>
      </c>
      <c r="Q2966" s="25" t="s">
        <v>33</v>
      </c>
      <c r="R2966" s="38" t="s">
        <v>52</v>
      </c>
      <c r="S2966" s="4">
        <f>(AVERAGE(O2963:O2968)/AVERAGE(P2963:P2968))</f>
        <v>0.18483897418800851</v>
      </c>
      <c r="U2966" s="25" t="s">
        <v>54</v>
      </c>
      <c r="V2966" s="38" t="s">
        <v>52</v>
      </c>
      <c r="W2966" s="4">
        <f>(AVERAGE(O2963:O2968)/AVERAGE(P2963:P2968))</f>
        <v>0.18483897418800851</v>
      </c>
      <c r="Y2966" s="25" t="s">
        <v>60</v>
      </c>
      <c r="Z2966" s="38" t="s">
        <v>52</v>
      </c>
      <c r="AA2966" s="4">
        <f>(AVERAGE(O2963:O2968)/AVERAGE(P2963:P2968))</f>
        <v>0.18483897418800851</v>
      </c>
    </row>
    <row r="2967" spans="1:27">
      <c r="A2967" s="19">
        <f>_xll.ciqfunctions.udf.CIQ(A2958,"IQ_TOTAL_REV",IQ_LTM)</f>
        <v>1085.1780000000001</v>
      </c>
      <c r="B2967" s="13">
        <v>10</v>
      </c>
      <c r="C2967" s="14" t="s">
        <v>34</v>
      </c>
      <c r="D2967" s="15" cm="1">
        <f t="array" ref="D2967">_xlfn.SINGLE(IF(A2966=A2967,_xll.ciqfunctions.udf.CIQ(A2958,"IQ_TOTAL_REV",IQ_FY-1)/I2967, _xll.ciqfunctions.udf.CIQ(A2958, "IQ_TOTAL_REV",IQ_FY)/I2967))</f>
        <v>20.399060888046101</v>
      </c>
      <c r="E2967" s="16">
        <f t="shared" si="791"/>
        <v>0.11640255892598243</v>
      </c>
      <c r="F2967" s="15">
        <f>IF(A2966=A2967,_xll.ciqfunctions.udf.CIQ(A2958,"IQ_DILUT_EPS_EXCL",IQ_FY-1), _xll.ciqfunctions.udf.CIQ(A2958, "IQ_DILUT_EPS_EXCL",IQ_FY))</f>
        <v>-0.88051000000000001</v>
      </c>
      <c r="G2967" s="15">
        <f>IF(A2966=A2967,_xll.ciqfunctions.udf.CIQ(A2958,"IQ_EBITDA_MARGIN",IQ_FY-1), _xll.ciqfunctions.udf.CIQ(A2958, "IQ_EBITDA_MARGIN",IQ_FY))</f>
        <v>9.7444000000000006</v>
      </c>
      <c r="H2967" s="15">
        <f>IF(A2966=A2967,_xll.ciqfunctions.udf.CIQ(A2958,"IQ_TOTAL_DIV_PAID_CF",IQ_FY-1)/-I2967, _xll.ciqfunctions.udf.CIQ(A2958, "IQ_TOTAL_DIV_PAID_CF",IQ_FY)/-I2967)</f>
        <v>0</v>
      </c>
      <c r="I2967" s="17">
        <f>IF(A2966=A2967,_xll.ciqfunctions.udf.CIQ(A2958,"IQ_TOTAL_OUTSTANDING_FILING_DATE",IQ_FY-1), _xll.ciqfunctions.udf.CIQ(A2958, "IQ_TOTAL_OUTSTANDING_FILING_DATE",IQ_FY))</f>
        <v>51.870280000000001</v>
      </c>
      <c r="J2967" s="17">
        <f>IF(A2966=A2967,_xll.ciqfunctions.udf.CIQ(A2958,"IQ_CASH_OPER",IQ_FY-1), _xll.ciqfunctions.udf.CIQ(A2958, "IQ_CASH_OPER",IQ_FY))</f>
        <v>203.893</v>
      </c>
      <c r="K2967" s="17">
        <f>IF(A2966=A2967,_xll.ciqfunctions.udf.CIQ(A2958,"IQ_CAPEX",IQ_FY-1), _xll.ciqfunctions.udf.CIQ(A2958, "IQ_CAPEX",IQ_FY))</f>
        <v>-12.289</v>
      </c>
      <c r="L2967" s="15">
        <f t="shared" si="788"/>
        <v>3.6939071853863137</v>
      </c>
      <c r="M2967" s="17">
        <f>IF(A2966=A2967,_xll.ciqfunctions.udf.CIQ(A2958,"IQ_TOTAL_DEBT_ISSUED",IQ_FY-1), _xll.ciqfunctions.udf.CIQ(A2958, "IQ_TOTAL_DEBT_ISSUED",IQ_FY))</f>
        <v>211</v>
      </c>
      <c r="N2967" s="17">
        <f>IF(A2966=A2967,_xll.ciqfunctions.udf.CIQ(A2958,"IQ_TOTAL_DEBT_REPAID",IQ_FY-1), _xll.ciqfunctions.udf.CIQ(A2958, "IQ_TOTAL_DEBT_REPAID",IQ_FY))</f>
        <v>-310.74</v>
      </c>
      <c r="O2967" s="15">
        <f t="shared" si="789"/>
        <v>-1.9228737535251401</v>
      </c>
      <c r="P2967" s="15">
        <f t="shared" si="790"/>
        <v>1.7710334318611736</v>
      </c>
      <c r="Q2967" s="25" t="s">
        <v>44</v>
      </c>
      <c r="R2967" s="38" t="s">
        <v>35</v>
      </c>
      <c r="S2967" s="1">
        <f>_xll.ciqfunctions.udf.CIQ(A2958,"IQ_TEV_EBITDA")</f>
        <v>29.467099999999999</v>
      </c>
      <c r="U2967" s="25" t="s">
        <v>55</v>
      </c>
      <c r="V2967" s="38" t="s">
        <v>53</v>
      </c>
      <c r="W2967" s="1">
        <f>V2957/(AVERAGE(D2963:D2968)/_xlfn.STDEV.P(E2963:E2968))</f>
        <v>0.20810145099229013</v>
      </c>
      <c r="Y2967" s="25" t="s">
        <v>57</v>
      </c>
      <c r="Z2967" s="38" t="s">
        <v>53</v>
      </c>
      <c r="AA2967" s="1">
        <f>Z2957/(AVERAGE(D2963:D2968)/_xlfn.STDEV.P(E2963:E2968))</f>
        <v>0.20810145099229013</v>
      </c>
    </row>
    <row r="2968" spans="1:27">
      <c r="B2968" s="13">
        <v>11</v>
      </c>
      <c r="C2968" s="20" t="s">
        <v>36</v>
      </c>
      <c r="D2968" s="21" cm="1">
        <f t="array" ref="D2968">_xlfn.SINGLE(IF(A2966=A2967,_xll.ciqfunctions.udf.CIQ(A2958,"IQ_TOTAL_REV",IQ_FY)/I2968, _xll.ciqfunctions.udf.CIQ(A2958, "IQ_TOTAL_REV",IQ_LTM)/I2968))</f>
        <v>20.667297566553497</v>
      </c>
      <c r="E2968" s="22">
        <f t="shared" si="791"/>
        <v>1.3149462123748221E-2</v>
      </c>
      <c r="F2968" s="21">
        <f>IF(A2966=A2967,_xll.ciqfunctions.udf.CIQ(A2958,"IQ_DILUT_EPS_EXCL",IQ_FY), _xll.ciqfunctions.udf.CIQ(A2958, "IQ_DILUT_EPS_EXCL",IQ_LTM))</f>
        <v>-0.47497</v>
      </c>
      <c r="G2968" s="21">
        <f>IF(A2966=A2967,_xll.ciqfunctions.udf.CIQ(A2958,"IQ_EBITDA_MARGIN",IQ_FY), _xll.ciqfunctions.udf.CIQ(A2958, "IQ_EBITDA_MARGIN",IQ_LTM))</f>
        <v>14.107799999999999</v>
      </c>
      <c r="H2968" s="21">
        <f>IF(A2966=A2967,_xll.ciqfunctions.udf.CIQ(A2958,"IQ_TOTAL_DIV_PAID_CF",IQ_FY)/-I2968, _xll.ciqfunctions.udf.CIQ(A2958, "IQ_TOTAL_DIV_PAID_CF",IQ_LTM)/-I2968)</f>
        <v>0</v>
      </c>
      <c r="I2968" s="23">
        <f>IF(A2966=A2967,_xll.ciqfunctions.udf.CIQ(A2958,"IQ_TOTAL_OUTSTANDING_FILING_DATE",IQ_FY),_xll.ciqfunctions.udf.CIQ(A2958,"IQ_sharesoutstanding"))</f>
        <v>52.507010000000001</v>
      </c>
      <c r="J2968" s="23">
        <f>IF(A2966=A2967,_xll.ciqfunctions.udf.CIQ(A2958,"IQ_CASH_OPER",IQ_FY), _xll.ciqfunctions.udf.CIQ(A2958, "IQ_CASH_OPER",IQ_LTM))</f>
        <v>217.07</v>
      </c>
      <c r="K2968" s="23">
        <f>IF(A2966=A2967,_xll.ciqfunctions.udf.CIQ(A2958,"IQ_CAPEX",IQ_FY), _xll.ciqfunctions.udf.CIQ(A2958, "IQ_CAPEX",IQ_LTM))</f>
        <v>-6.02</v>
      </c>
      <c r="L2968" s="21">
        <f t="shared" si="788"/>
        <v>4.0194633059471485</v>
      </c>
      <c r="M2968" s="23">
        <f>IF(A2966=A2967,_xll.ciqfunctions.udf.CIQ(A2958,"IQ_TOTAL_DEBT_ISSUED",IQ_FY), _xll.ciqfunctions.udf.CIQ(A2958, "IQ_TOTAL_DEBT_ISSUED",IQ_LTM))</f>
        <v>259.89999999999998</v>
      </c>
      <c r="N2968" s="23">
        <f>IF(A2966=A2967,_xll.ciqfunctions.udf.CIQ(A2958,"IQ_TOTAL_DEBT_REPAID",IQ_FY), _xll.ciqfunctions.udf.CIQ(A2958, "IQ_TOTAL_DEBT_REPAID",IQ_LTM))</f>
        <v>-375.255</v>
      </c>
      <c r="O2968" s="21">
        <f t="shared" si="789"/>
        <v>-2.1969447508056548</v>
      </c>
      <c r="P2968" s="21">
        <f t="shared" si="790"/>
        <v>1.8225185551414937</v>
      </c>
      <c r="Q2968" s="25" t="s">
        <v>45</v>
      </c>
      <c r="S2968" s="45"/>
      <c r="U2968" s="25"/>
      <c r="W2968" s="45"/>
      <c r="Y2968" s="25"/>
      <c r="AA2968" s="45"/>
    </row>
    <row r="2969" spans="1:27">
      <c r="B2969" s="24"/>
      <c r="C2969" s="25" t="s">
        <v>37</v>
      </c>
      <c r="E2969" s="26">
        <f>((D2968/D2963)^(1/5))-1</f>
        <v>2.8718482450238447E-2</v>
      </c>
      <c r="F2969" s="27">
        <f>((F2968/F2963)^(1/5))-1</f>
        <v>-1.8742520235748439</v>
      </c>
      <c r="G2969" s="28"/>
      <c r="H2969" s="27">
        <f>((H2968/H2963)^(1/5))-1</f>
        <v>-1</v>
      </c>
      <c r="I2969" s="27">
        <f>((I2968/I2963)^(1/5))-1</f>
        <v>2.1086263791060933E-2</v>
      </c>
      <c r="J2969" s="27"/>
      <c r="K2969" s="27"/>
      <c r="L2969" s="26">
        <f>((L2968/L2963)^(1/5))-1</f>
        <v>3.6946129137045425E-3</v>
      </c>
      <c r="M2969" s="26"/>
      <c r="N2969" s="26"/>
      <c r="O2969" s="26"/>
      <c r="P2969" s="26">
        <f>((P2968/P2963)^(1/5))-1</f>
        <v>-8.5906174999568319E-2</v>
      </c>
      <c r="Q2969" s="18"/>
      <c r="R2969" s="36"/>
      <c r="S2969" s="45"/>
      <c r="U2969" s="18"/>
      <c r="V2969" s="36"/>
      <c r="W2969" s="45"/>
      <c r="Y2969" s="18"/>
      <c r="Z2969" s="36"/>
      <c r="AA2969" s="45"/>
    </row>
    <row r="2970" spans="1:27">
      <c r="A2970" s="29"/>
      <c r="B2970" s="30"/>
      <c r="C2970" s="31" t="s">
        <v>38</v>
      </c>
      <c r="D2970" s="29"/>
      <c r="E2970" s="32">
        <f>((D2968/D2958)^(1/10))-1</f>
        <v>6.3463605638029108E-2</v>
      </c>
      <c r="F2970" s="33" t="e">
        <f>((F2968/F2958)^(1/10))-1</f>
        <v>#NUM!</v>
      </c>
      <c r="G2970" s="34"/>
      <c r="H2970" s="33">
        <f>((H2968/H2958)^(1/10))-1</f>
        <v>-1</v>
      </c>
      <c r="I2970" s="33">
        <f>((I2968/I2958)^(1/10))-1</f>
        <v>1.5313555364090847E-2</v>
      </c>
      <c r="J2970" s="33"/>
      <c r="K2970" s="33"/>
      <c r="L2970" s="32">
        <f>((L2968/L2958)^(1/10))-1</f>
        <v>7.5988489878898946E-2</v>
      </c>
      <c r="M2970" s="32"/>
      <c r="N2970" s="32"/>
      <c r="O2970" s="32"/>
      <c r="P2970" s="32">
        <f>((P2968/P2958)^(1/10))-1</f>
        <v>0.12837978067867972</v>
      </c>
      <c r="Q2970" s="40"/>
      <c r="R2970" s="41"/>
      <c r="S2970" s="46"/>
      <c r="U2970" s="40"/>
      <c r="V2970" s="41"/>
      <c r="W2970" s="46"/>
      <c r="Y2970" s="40"/>
      <c r="Z2970" s="41"/>
      <c r="AA2970" s="46"/>
    </row>
    <row r="2971" spans="1:27">
      <c r="B2971" s="24"/>
      <c r="C2971" s="25"/>
      <c r="E2971" s="26"/>
      <c r="F2971" s="27"/>
      <c r="G2971" s="28"/>
      <c r="H2971" s="27"/>
      <c r="I2971" s="27"/>
      <c r="J2971" s="27"/>
      <c r="K2971" s="27"/>
      <c r="L2971" s="26"/>
      <c r="M2971" s="17"/>
      <c r="N2971" s="17"/>
      <c r="O2971" s="17"/>
      <c r="P2971" s="35"/>
      <c r="Q2971" s="18"/>
      <c r="R2971" s="36"/>
    </row>
    <row r="2972" spans="1:27">
      <c r="A2972" s="9" t="s">
        <v>0</v>
      </c>
      <c r="B2972" s="10"/>
      <c r="C2972" s="9" t="s">
        <v>1</v>
      </c>
      <c r="D2972" s="9" t="s">
        <v>2</v>
      </c>
      <c r="E2972" s="9" t="s">
        <v>3</v>
      </c>
      <c r="F2972" s="11" t="s">
        <v>4</v>
      </c>
      <c r="G2972" s="11" t="s">
        <v>5</v>
      </c>
      <c r="H2972" s="9" t="s">
        <v>6</v>
      </c>
      <c r="I2972" s="11" t="s">
        <v>7</v>
      </c>
      <c r="J2972" s="11" t="s">
        <v>8</v>
      </c>
      <c r="K2972" s="11" t="s">
        <v>9</v>
      </c>
      <c r="L2972" s="11" t="s">
        <v>10</v>
      </c>
      <c r="M2972" s="11" t="s">
        <v>11</v>
      </c>
      <c r="N2972" s="11" t="s">
        <v>12</v>
      </c>
      <c r="O2972" s="11" t="s">
        <v>13</v>
      </c>
      <c r="P2972" s="11" t="s">
        <v>14</v>
      </c>
      <c r="Q2972" s="37" t="s">
        <v>15</v>
      </c>
      <c r="R2972" s="42">
        <f>_xll.ciqfunctions.udf.CIQ(A2973,("IQ_LASTSALEPRICE"))</f>
        <v>12.33</v>
      </c>
      <c r="S2972" s="44"/>
      <c r="U2972" s="37" t="s">
        <v>15</v>
      </c>
      <c r="V2972" s="42">
        <f>_xll.ciqfunctions.udf.CIQ(A2973,("IQ_LASTSALEPRICE"))</f>
        <v>12.33</v>
      </c>
      <c r="W2972" s="44"/>
      <c r="Y2972" s="37" t="s">
        <v>15</v>
      </c>
      <c r="Z2972" s="42">
        <f>_xll.ciqfunctions.udf.CIQ(A2973,("IQ_LASTSALEPRICE"))</f>
        <v>12.33</v>
      </c>
      <c r="AA2972" s="44"/>
    </row>
    <row r="2973" spans="1:27">
      <c r="A2973" s="12" t="str">
        <f>Analysis!B200</f>
        <v>NYSE:ATEN</v>
      </c>
      <c r="B2973" s="13">
        <v>1</v>
      </c>
      <c r="C2973" s="14" t="s">
        <v>16</v>
      </c>
      <c r="D2973" s="15">
        <f>IF(A2981=A2982,_xll.ciqfunctions.udf.CIQ(A2973,"IQ_TOTAL_REV",IQ_FY-10)/I2973,_xll.ciqfunctions.udf.CIQ(A2973, "IQ_TOTAL_REV",IQ_FY-9)/I2973)</f>
        <v>14.128588516746412</v>
      </c>
      <c r="E2973" s="16"/>
      <c r="F2973" s="15">
        <f>IF(A2981=A2982,_xll.ciqfunctions.udf.CIQ(A2973,"IQ_DILUT_EPS_EXCL",IQ_FY-10), _xll.ciqfunctions.udf.CIQ(A2973, "IQ_DILUT_EPS_EXCL",IQ_FY-9))</f>
        <v>-3.14</v>
      </c>
      <c r="G2973" s="15">
        <f>IF(A2981=A2982,_xll.ciqfunctions.udf.CIQ(A2973,"IQ_EBITDA_MARGIN",IQ_FY-10), _xll.ciqfunctions.udf.CIQ(A2973, "IQ_EBITDA_MARGIN",IQ_FY-9))</f>
        <v>-2.99</v>
      </c>
      <c r="H2973" s="15">
        <f>IF(A2981=A2982,_xll.ciqfunctions.udf.CIQ(A2973,"IQ_TOTAL_DIV_PAID_CF",IQ_FY-10)/-I2973, _xll.ciqfunctions.udf.CIQ(A2973, "IQ_TOTAL_DIV_PAID_CF",IQ_FY-9)/-I2973)</f>
        <v>0</v>
      </c>
      <c r="I2973" s="17">
        <f>IF(A2981=A2982,_xll.ciqfunctions.udf.CIQ(A2973,"IQ_TOTAL_OUTSTANDING_FILING_DATE",IQ_FY-10), _xll.ciqfunctions.udf.CIQ(A2973, "IQ_TOTAL_OUTSTANDING_FILING_DATE",IQ_FY-9))</f>
        <v>10.032</v>
      </c>
      <c r="J2973" s="17">
        <f>IF(A2981=A2982,_xll.ciqfunctions.udf.CIQ(A2973,"IQ_CASH_OPER",IQ_FY-10), _xll.ciqfunctions.udf.CIQ(A2973, "IQ_CASH_OPER",IQ_FY-9))</f>
        <v>-25.132999999999999</v>
      </c>
      <c r="K2973" s="17">
        <f>IF(A2981=A2982,_xll.ciqfunctions.udf.CIQ(A2973,"IQ_CAPEX",IQ_FY-10), _xll.ciqfunctions.udf.CIQ(A2973, "IQ_CAPEX",IQ_FY-9))</f>
        <v>-2.9929999999999999</v>
      </c>
      <c r="L2973" s="15">
        <f t="shared" ref="L2973:L2983" si="792">(J2973+K2973)/I2973</f>
        <v>-2.8036283891547047</v>
      </c>
      <c r="M2973" s="17">
        <f>IF(A2981=A2982,_xll.ciqfunctions.udf.CIQ(A2973,"IQ_TOTAL_DEBT_ISSUED",IQ_FY-10), _xll.ciqfunctions.udf.CIQ(A2973, "IQ_TOTAL_DEBT_ISSUED",IQ_FY-9))</f>
        <v>33.988</v>
      </c>
      <c r="N2973" s="17">
        <f>IF(A2981=A2982,_xll.ciqfunctions.udf.CIQ(A2973,"IQ_TOTAL_DEBT_REPAID",IQ_FY-10), _xll.ciqfunctions.udf.CIQ(A2973, "IQ_TOTAL_DEBT_REPAID",IQ_FY-9))</f>
        <v>-90.631</v>
      </c>
      <c r="O2973" s="15">
        <f t="shared" ref="O2973:O2983" si="793">(M2973+N2973)/I2973</f>
        <v>-5.6462320574162677</v>
      </c>
      <c r="P2973" s="15">
        <f t="shared" ref="P2973:P2983" si="794">L2973+O2973</f>
        <v>-8.4498604465709732</v>
      </c>
      <c r="W2973" s="43"/>
      <c r="AA2973" s="43"/>
    </row>
    <row r="2974" spans="1:27">
      <c r="A2974" s="18" t="str">
        <f>_xll.ciqfunctions.udf.CIQ(A2973,"IQ_COMPANY_NAME")</f>
        <v>A10 Networks, Inc.</v>
      </c>
      <c r="B2974" s="13">
        <v>2</v>
      </c>
      <c r="C2974" s="14" t="s">
        <v>17</v>
      </c>
      <c r="D2974" s="15">
        <f>IF(A2981=A2982,_xll.ciqfunctions.udf.CIQ(A2973,"IQ_TOTAL_REV",IQ_FY-9)/I2974, _xll.ciqfunctions.udf.CIQ(A2973, "IQ_TOTAL_REV",IQ_FY-8)/I2974)</f>
        <v>2.9167115530257792</v>
      </c>
      <c r="E2974" s="16">
        <f t="shared" ref="E2974:E2983" si="795">(D2974-D2973)/D2973</f>
        <v>-0.79355959375781637</v>
      </c>
      <c r="F2974" s="15">
        <f>IF(A2981=A2982,_xll.ciqfunctions.udf.CIQ(A2973,"IQ_DILUT_EPS_EXCL",IQ_FY-9), _xll.ciqfunctions.udf.CIQ(A2973, "IQ_DILUT_EPS_EXCL",IQ_FY-8))</f>
        <v>-0.73682000000000003</v>
      </c>
      <c r="G2974" s="15">
        <f>IF(A2981=A2982,_xll.ciqfunctions.udf.CIQ(A2973,"IQ_EBITDA_MARGIN",IQ_FY-9), _xll.ciqfunctions.udf.CIQ(A2973, "IQ_EBITDA_MARGIN",IQ_FY-8))</f>
        <v>-12.8056</v>
      </c>
      <c r="H2974" s="15">
        <f>IF(A2981=A2982,_xll.ciqfunctions.udf.CIQ(A2973,"IQ_TOTAL_DIV_PAID_CF",IQ_FY-9)/-I2974, _xll.ciqfunctions.udf.CIQ(A2973, "IQ_TOTAL_DIV_PAID_CF",IQ_FY-8)/-I2974)</f>
        <v>0</v>
      </c>
      <c r="I2974" s="17">
        <f>IF(A2981=A2982,_xll.ciqfunctions.udf.CIQ(A2973,"IQ_TOTAL_OUTSTANDING_FILING_DATE",IQ_FY-9), _xll.ciqfunctions.udf.CIQ(A2973, "IQ_TOTAL_OUTSTANDING_FILING_DATE",IQ_FY-8))</f>
        <v>61.544310000000003</v>
      </c>
      <c r="J2974" s="17">
        <f>IF(A2981=A2982,_xll.ciqfunctions.udf.CIQ(A2973,"IQ_CASH_OPER",IQ_FY-9), _xll.ciqfunctions.udf.CIQ(A2973, "IQ_CASH_OPER",IQ_FY-8))</f>
        <v>-30.538</v>
      </c>
      <c r="K2974" s="17">
        <f>IF(A2981=A2982,_xll.ciqfunctions.udf.CIQ(A2973,"IQ_CAPEX",IQ_FY-9), _xll.ciqfunctions.udf.CIQ(A2973, "IQ_CAPEX",IQ_FY-8))</f>
        <v>-6.1</v>
      </c>
      <c r="L2974" s="15">
        <f t="shared" si="792"/>
        <v>-0.59531092313814216</v>
      </c>
      <c r="M2974" s="17">
        <f>IF(A2981=A2982,_xll.ciqfunctions.udf.CIQ(A2973,"IQ_TOTAL_DEBT_ISSUED",IQ_FY-9), _xll.ciqfunctions.udf.CIQ(A2973, "IQ_TOTAL_DEBT_ISSUED",IQ_FY-8))</f>
        <v>0</v>
      </c>
      <c r="N2974" s="17">
        <f>IF(A2981=A2982,_xll.ciqfunctions.udf.CIQ(A2973,"IQ_TOTAL_DEBT_REPAID",IQ_FY-9), _xll.ciqfunctions.udf.CIQ(A2973, "IQ_TOTAL_DEBT_REPAID",IQ_FY-8))</f>
        <v>-20</v>
      </c>
      <c r="O2974" s="15">
        <f t="shared" si="793"/>
        <v>-0.32496911574766213</v>
      </c>
      <c r="P2974" s="15">
        <f t="shared" si="794"/>
        <v>-0.92028003888580434</v>
      </c>
      <c r="Q2974" s="25" t="s">
        <v>18</v>
      </c>
      <c r="R2974" s="39" t="s">
        <v>19</v>
      </c>
      <c r="S2974" s="1">
        <f>R2972/((AVERAGE(P2978:P2983))*(1+E2984)^3)</f>
        <v>25.802688058657637</v>
      </c>
      <c r="U2974" s="25" t="s">
        <v>48</v>
      </c>
      <c r="V2974" s="39" t="s">
        <v>19</v>
      </c>
      <c r="W2974" s="1">
        <f>V2972/((AVERAGE(P2978:P2983))*(1+E2984)^3)</f>
        <v>25.802688058657637</v>
      </c>
      <c r="Y2974" s="25" t="s">
        <v>39</v>
      </c>
      <c r="Z2974" s="39" t="s">
        <v>19</v>
      </c>
      <c r="AA2974" s="1">
        <f>Z2972/((AVERAGE(P2978:P2983))*(1+E2984)^3)</f>
        <v>25.802688058657637</v>
      </c>
    </row>
    <row r="2975" spans="1:27">
      <c r="B2975" s="13">
        <v>3</v>
      </c>
      <c r="C2975" s="14" t="s">
        <v>20</v>
      </c>
      <c r="D2975" s="15" cm="1">
        <f t="array" ref="D2975">_xlfn.SINGLE(IF(A2981=A2982,_xll.ciqfunctions.udf.CIQ(A2973,"IQ_TOTAL_REV",IQ_FY-8)/I2975, _xll.ciqfunctions.udf.CIQ(A2973, "IQ_TOTAL_REV",IQ_FY-7)/I2975))</f>
        <v>3.0587327806519977</v>
      </c>
      <c r="E2975" s="16">
        <f t="shared" si="795"/>
        <v>4.869224297441635E-2</v>
      </c>
      <c r="F2975" s="15">
        <f>IF(A2981=A2982,_xll.ciqfunctions.udf.CIQ(A2973,"IQ_DILUT_EPS_EXCL",IQ_FY-8), _xll.ciqfunctions.udf.CIQ(A2973, "IQ_DILUT_EPS_EXCL",IQ_FY-7))</f>
        <v>-0.67113</v>
      </c>
      <c r="G2975" s="15">
        <f>IF(A2981=A2982,_xll.ciqfunctions.udf.CIQ(A2973,"IQ_EBITDA_MARGIN",IQ_FY-8), _xll.ciqfunctions.udf.CIQ(A2973, "IQ_EBITDA_MARGIN",IQ_FY-7))</f>
        <v>-14.9726</v>
      </c>
      <c r="H2975" s="15">
        <f>IF(A2981=A2982,_xll.ciqfunctions.udf.CIQ(A2973,"IQ_TOTAL_DIV_PAID_CF",IQ_FY-8)/-I2975, _xll.ciqfunctions.udf.CIQ(A2973, "IQ_TOTAL_DIV_PAID_CF",IQ_FY-7)/-I2975)</f>
        <v>0</v>
      </c>
      <c r="I2975" s="17">
        <f>IF(A2981=A2982,_xll.ciqfunctions.udf.CIQ(A2973,"IQ_TOTAL_OUTSTANDING_FILING_DATE",IQ_FY-8), _xll.ciqfunctions.udf.CIQ(A2973, "IQ_TOTAL_OUTSTANDING_FILING_DATE",IQ_FY-7))</f>
        <v>64.171999999999997</v>
      </c>
      <c r="J2975" s="17">
        <f>IF(A2981=A2982,_xll.ciqfunctions.udf.CIQ(A2973,"IQ_CASH_OPER",IQ_FY-8), _xll.ciqfunctions.udf.CIQ(A2973, "IQ_CASH_OPER",IQ_FY-7))</f>
        <v>3.391</v>
      </c>
      <c r="K2975" s="17">
        <f>IF(A2981=A2982,_xll.ciqfunctions.udf.CIQ(A2973,"IQ_CAPEX",IQ_FY-8), _xll.ciqfunctions.udf.CIQ(A2973, "IQ_CAPEX",IQ_FY-7))</f>
        <v>-3.4769999999999999</v>
      </c>
      <c r="L2975" s="15">
        <f t="shared" si="792"/>
        <v>-1.3401483513058633E-3</v>
      </c>
      <c r="M2975" s="17">
        <f>IF(A2981=A2982,_xll.ciqfunctions.udf.CIQ(A2973,"IQ_TOTAL_DEBT_ISSUED",IQ_FY-8), _xll.ciqfunctions.udf.CIQ(A2973, "IQ_TOTAL_DEBT_ISSUED",IQ_FY-7))</f>
        <v>0</v>
      </c>
      <c r="N2975" s="17">
        <f>IF(A2981=A2982,_xll.ciqfunctions.udf.CIQ(A2973,"IQ_TOTAL_DEBT_REPAID",IQ_FY-8), _xll.ciqfunctions.udf.CIQ(A2973, "IQ_TOTAL_DEBT_REPAID",IQ_FY-7))</f>
        <v>0</v>
      </c>
      <c r="O2975" s="15">
        <f t="shared" si="793"/>
        <v>0</v>
      </c>
      <c r="P2975" s="15">
        <f t="shared" si="794"/>
        <v>-1.3401483513058633E-3</v>
      </c>
      <c r="Q2975" s="25" t="s">
        <v>21</v>
      </c>
      <c r="R2975" s="38" t="s">
        <v>49</v>
      </c>
      <c r="S2975" s="2">
        <f>(R2972*I2983)/1000</f>
        <v>0.91412425260000008</v>
      </c>
      <c r="U2975" s="25" t="s">
        <v>59</v>
      </c>
      <c r="V2975" s="38" t="s">
        <v>49</v>
      </c>
      <c r="W2975" s="2">
        <f>(V2972*I2983)/1000</f>
        <v>0.91412425260000008</v>
      </c>
      <c r="Y2975" s="25" t="s">
        <v>46</v>
      </c>
      <c r="Z2975" s="38" t="s">
        <v>49</v>
      </c>
      <c r="AA2975" s="2">
        <f>(Z2972*I2983)/1000</f>
        <v>0.91412425260000008</v>
      </c>
    </row>
    <row r="2976" spans="1:27">
      <c r="A2976" s="18"/>
      <c r="B2976" s="13">
        <v>4</v>
      </c>
      <c r="C2976" s="14" t="s">
        <v>22</v>
      </c>
      <c r="D2976" s="15" cm="1">
        <f t="array" ref="D2976">_xlfn.SINGLE(IF(A2981=A2982,_xll.ciqfunctions.udf.CIQ(A2973,"IQ_TOTAL_REV",IQ_FY-7)/I2976, _xll.ciqfunctions.udf.CIQ(A2973, "IQ_TOTAL_REV",IQ_FY-6)/I2976))</f>
        <v>3.3256528709995434</v>
      </c>
      <c r="E2976" s="16">
        <f t="shared" si="795"/>
        <v>8.7264926192947526E-2</v>
      </c>
      <c r="F2976" s="15">
        <f>IF(A2981=A2982,_xll.ciqfunctions.udf.CIQ(A2973,"IQ_DILUT_EPS_EXCL",IQ_FY-7), _xll.ciqfunctions.udf.CIQ(A2973, "IQ_DILUT_EPS_EXCL",IQ_FY-6))</f>
        <v>-0.34079999999999999</v>
      </c>
      <c r="G2976" s="15">
        <f>IF(A2981=A2982,_xll.ciqfunctions.udf.CIQ(A2973,"IQ_EBITDA_MARGIN",IQ_FY-7), _xll.ciqfunctions.udf.CIQ(A2973, "IQ_EBITDA_MARGIN",IQ_FY-6))</f>
        <v>-4.4935999999999998</v>
      </c>
      <c r="H2976" s="15">
        <f>IF(A2981=A2982,_xll.ciqfunctions.udf.CIQ(A2973,"IQ_TOTAL_DIV_PAID_CF",IQ_FY-7)/-I2976, _xll.ciqfunctions.udf.CIQ(A2973, "IQ_TOTAL_DIV_PAID_CF",IQ_FY-6)/-I2976)</f>
        <v>0</v>
      </c>
      <c r="I2976" s="17">
        <f>IF(A2981=A2982,_xll.ciqfunctions.udf.CIQ(A2973,"IQ_TOTAL_OUTSTANDING_FILING_DATE",IQ_FY-7), _xll.ciqfunctions.udf.CIQ(A2973, "IQ_TOTAL_OUTSTANDING_FILING_DATE",IQ_FY-6))</f>
        <v>68.346580000000003</v>
      </c>
      <c r="J2976" s="17">
        <f>IF(A2981=A2982,_xll.ciqfunctions.udf.CIQ(A2973,"IQ_CASH_OPER",IQ_FY-7), _xll.ciqfunctions.udf.CIQ(A2973, "IQ_CASH_OPER",IQ_FY-6))</f>
        <v>18.777999999999999</v>
      </c>
      <c r="K2976" s="17">
        <f>IF(A2981=A2982,_xll.ciqfunctions.udf.CIQ(A2973,"IQ_CAPEX",IQ_FY-7), _xll.ciqfunctions.udf.CIQ(A2973, "IQ_CAPEX",IQ_FY-6))</f>
        <v>-4.8719999999999999</v>
      </c>
      <c r="L2976" s="15">
        <f t="shared" si="792"/>
        <v>0.2034629969780492</v>
      </c>
      <c r="M2976" s="17">
        <f>IF(A2981=A2982,_xll.ciqfunctions.udf.CIQ(A2973,"IQ_TOTAL_DEBT_ISSUED",IQ_FY-7), _xll.ciqfunctions.udf.CIQ(A2973, "IQ_TOTAL_DEBT_ISSUED",IQ_FY-6))</f>
        <v>0</v>
      </c>
      <c r="N2976" s="17">
        <f>IF(A2981=A2982,_xll.ciqfunctions.udf.CIQ(A2973,"IQ_TOTAL_DEBT_REPAID",IQ_FY-7), _xll.ciqfunctions.udf.CIQ(A2973, "IQ_TOTAL_DEBT_REPAID",IQ_FY-6))</f>
        <v>0</v>
      </c>
      <c r="O2976" s="15">
        <f t="shared" si="793"/>
        <v>0</v>
      </c>
      <c r="P2976" s="15">
        <f t="shared" si="794"/>
        <v>0.2034629969780492</v>
      </c>
      <c r="Q2976" s="25" t="s">
        <v>23</v>
      </c>
      <c r="R2976" s="38" t="s">
        <v>24</v>
      </c>
      <c r="S2976" s="1" t="e">
        <f>R2972/(AVERAGE(H2978:H2983)*(1+H2984)/(0.5-H2984))</f>
        <v>#DIV/0!</v>
      </c>
      <c r="U2976" s="25" t="s">
        <v>40</v>
      </c>
      <c r="V2976" s="38" t="s">
        <v>24</v>
      </c>
      <c r="W2976" s="1" t="e">
        <f>V2972/(AVERAGE(H2978:H2983)*(1+H2984)/(0.5-H2984))</f>
        <v>#DIV/0!</v>
      </c>
      <c r="Y2976" s="25" t="s">
        <v>47</v>
      </c>
      <c r="Z2976" s="38" t="s">
        <v>24</v>
      </c>
      <c r="AA2976" s="1" t="e">
        <f>Z2972/(AVERAGE(H2978:H2983)*(1+H2984)/(0.5-H2984))</f>
        <v>#DIV/0!</v>
      </c>
    </row>
    <row r="2977" spans="1:27">
      <c r="B2977" s="13">
        <v>5</v>
      </c>
      <c r="C2977" s="14" t="s">
        <v>25</v>
      </c>
      <c r="D2977" s="15" cm="1">
        <f t="array" ref="D2977">_xlfn.SINGLE(IF(A2981=A2982,_xll.ciqfunctions.udf.CIQ(A2973,"IQ_TOTAL_REV",IQ_FY-6)/I2977, _xll.ciqfunctions.udf.CIQ(A2973, "IQ_TOTAL_REV",IQ_FY-5)/I2977))</f>
        <v>3.2380379961847021</v>
      </c>
      <c r="E2977" s="16">
        <f t="shared" si="795"/>
        <v>-2.6345165359518769E-2</v>
      </c>
      <c r="F2977" s="15">
        <f>IF(A2981=A2982,_xll.ciqfunctions.udf.CIQ(A2973,"IQ_DILUT_EPS_EXCL",IQ_FY-6), _xll.ciqfunctions.udf.CIQ(A2973, "IQ_DILUT_EPS_EXCL",IQ_FY-5))</f>
        <v>-0.15347</v>
      </c>
      <c r="G2977" s="15">
        <f>IF(A2981=A2982,_xll.ciqfunctions.udf.CIQ(A2973,"IQ_EBITDA_MARGIN",IQ_FY-6), _xll.ciqfunctions.udf.CIQ(A2973, "IQ_EBITDA_MARGIN",IQ_FY-5))</f>
        <v>-0.79039999999999999</v>
      </c>
      <c r="H2977" s="15">
        <f>IF(A2981=A2982,_xll.ciqfunctions.udf.CIQ(A2973,"IQ_TOTAL_DIV_PAID_CF",IQ_FY-6)/-I2977, _xll.ciqfunctions.udf.CIQ(A2973, "IQ_TOTAL_DIV_PAID_CF",IQ_FY-5)/-I2977)</f>
        <v>0</v>
      </c>
      <c r="I2977" s="17">
        <f>IF(A2981=A2982,_xll.ciqfunctions.udf.CIQ(A2973,"IQ_TOTAL_OUTSTANDING_FILING_DATE",IQ_FY-6), _xll.ciqfunctions.udf.CIQ(A2973, "IQ_TOTAL_OUTSTANDING_FILING_DATE",IQ_FY-5))</f>
        <v>72.707300000000004</v>
      </c>
      <c r="J2977" s="17">
        <f>IF(A2981=A2982,_xll.ciqfunctions.udf.CIQ(A2973,"IQ_CASH_OPER",IQ_FY-6), _xll.ciqfunctions.udf.CIQ(A2973, "IQ_CASH_OPER",IQ_FY-5))</f>
        <v>14.314</v>
      </c>
      <c r="K2977" s="17">
        <f>IF(A2981=A2982,_xll.ciqfunctions.udf.CIQ(A2973,"IQ_CAPEX",IQ_FY-6), _xll.ciqfunctions.udf.CIQ(A2973, "IQ_CAPEX",IQ_FY-5))</f>
        <v>-5.734</v>
      </c>
      <c r="L2977" s="15">
        <f t="shared" si="792"/>
        <v>0.11800740778436278</v>
      </c>
      <c r="M2977" s="17">
        <f>IF(A2981=A2982,_xll.ciqfunctions.udf.CIQ(A2973,"IQ_TOTAL_DEBT_ISSUED",IQ_FY-6), _xll.ciqfunctions.udf.CIQ(A2973, "IQ_TOTAL_DEBT_ISSUED",IQ_FY-5))</f>
        <v>0</v>
      </c>
      <c r="N2977" s="17">
        <f>IF(A2981=A2982,_xll.ciqfunctions.udf.CIQ(A2973,"IQ_TOTAL_DEBT_REPAID",IQ_FY-6), _xll.ciqfunctions.udf.CIQ(A2973, "IQ_TOTAL_DEBT_REPAID",IQ_FY-5))</f>
        <v>0</v>
      </c>
      <c r="O2977" s="15">
        <f t="shared" si="793"/>
        <v>0</v>
      </c>
      <c r="P2977" s="15">
        <f t="shared" si="794"/>
        <v>0.11800740778436278</v>
      </c>
      <c r="Q2977" s="18"/>
      <c r="R2977" s="38" t="s">
        <v>50</v>
      </c>
      <c r="S2977" s="3">
        <f>I2984</f>
        <v>-2.4439476843373109E-3</v>
      </c>
      <c r="U2977" s="18"/>
      <c r="V2977" s="38" t="s">
        <v>50</v>
      </c>
      <c r="W2977" s="3">
        <f>I2984</f>
        <v>-2.4439476843373109E-3</v>
      </c>
      <c r="Y2977" s="18"/>
      <c r="Z2977" s="38" t="s">
        <v>50</v>
      </c>
      <c r="AA2977" s="3">
        <f>I2984</f>
        <v>-2.4439476843373109E-3</v>
      </c>
    </row>
    <row r="2978" spans="1:27">
      <c r="B2978" s="13">
        <v>6</v>
      </c>
      <c r="C2978" s="14" t="s">
        <v>26</v>
      </c>
      <c r="D2978" s="15" cm="1">
        <f t="array" ref="D2978">_xlfn.SINGLE(IF(A2981=A2982,_xll.ciqfunctions.udf.CIQ(A2973,"IQ_TOTAL_REV",IQ_FY-5)/I2978, _xll.ciqfunctions.udf.CIQ(A2973, "IQ_TOTAL_REV",IQ_FY-4)/I2978))</f>
        <v>3.0942087931049418</v>
      </c>
      <c r="E2978" s="16">
        <f t="shared" si="795"/>
        <v>-4.4418627344469282E-2</v>
      </c>
      <c r="F2978" s="15">
        <f>IF(A2981=A2982,_xll.ciqfunctions.udf.CIQ(A2973,"IQ_DILUT_EPS_EXCL",IQ_FY-5), _xll.ciqfunctions.udf.CIQ(A2973, "IQ_DILUT_EPS_EXCL",IQ_FY-4))</f>
        <v>-0.38</v>
      </c>
      <c r="G2978" s="15">
        <f>IF(A2981=A2982,_xll.ciqfunctions.udf.CIQ(A2973,"IQ_EBITDA_MARGIN",IQ_FY-5), _xll.ciqfunctions.udf.CIQ(A2973, "IQ_EBITDA_MARGIN",IQ_FY-4))</f>
        <v>-8.5258000000000003</v>
      </c>
      <c r="H2978" s="15">
        <f>IF(A2981=A2982,_xll.ciqfunctions.udf.CIQ(A2973,"IQ_TOTAL_DIV_PAID_CF",IQ_FY-5)/-I2978, _xll.ciqfunctions.udf.CIQ(A2973, "IQ_TOTAL_DIV_PAID_CF",IQ_FY-4)/-I2978)</f>
        <v>0</v>
      </c>
      <c r="I2978" s="17">
        <f>IF(A2981=A2982,_xll.ciqfunctions.udf.CIQ(A2973,"IQ_TOTAL_OUTSTANDING_FILING_DATE",IQ_FY-5), _xll.ciqfunctions.udf.CIQ(A2973, "IQ_TOTAL_OUTSTANDING_FILING_DATE",IQ_FY-4))</f>
        <v>75.050849999999997</v>
      </c>
      <c r="J2978" s="17">
        <f>IF(A2981=A2982,_xll.ciqfunctions.udf.CIQ(A2973,"IQ_CASH_OPER",IQ_FY-5), _xll.ciqfunctions.udf.CIQ(A2973, "IQ_CASH_OPER",IQ_FY-4))</f>
        <v>-2.694</v>
      </c>
      <c r="K2978" s="17">
        <f>IF(A2981=A2982,_xll.ciqfunctions.udf.CIQ(A2973,"IQ_CAPEX",IQ_FY-5), _xll.ciqfunctions.udf.CIQ(A2973, "IQ_CAPEX",IQ_FY-4))</f>
        <v>-2.7970000000000002</v>
      </c>
      <c r="L2978" s="15">
        <f t="shared" si="792"/>
        <v>-7.3163728325528629E-2</v>
      </c>
      <c r="M2978" s="17">
        <f>IF(A2981=A2982,_xll.ciqfunctions.udf.CIQ(A2973,"IQ_TOTAL_DEBT_ISSUED",IQ_FY-5), _xll.ciqfunctions.udf.CIQ(A2973, "IQ_TOTAL_DEBT_ISSUED",IQ_FY-4))</f>
        <v>0</v>
      </c>
      <c r="N2978" s="17">
        <f>IF(A2981=A2982,_xll.ciqfunctions.udf.CIQ(A2973,"IQ_TOTAL_DEBT_REPAID",IQ_FY-5), _xll.ciqfunctions.udf.CIQ(A2973, "IQ_TOTAL_DEBT_REPAID",IQ_FY-4))</f>
        <v>0</v>
      </c>
      <c r="O2978" s="15">
        <f t="shared" si="793"/>
        <v>0</v>
      </c>
      <c r="P2978" s="15">
        <f t="shared" si="794"/>
        <v>-7.3163728325528629E-2</v>
      </c>
      <c r="Q2978" s="25" t="s">
        <v>27</v>
      </c>
      <c r="R2978" s="38" t="s">
        <v>51</v>
      </c>
      <c r="S2978" s="4">
        <f>AVERAGE(F2978:F2983)/AVERAGE(D2978:D2983)</f>
        <v>9.9459087920765715E-2</v>
      </c>
      <c r="U2978" s="25" t="s">
        <v>58</v>
      </c>
      <c r="V2978" s="38" t="s">
        <v>51</v>
      </c>
      <c r="W2978" s="4">
        <f>AVERAGE(F2978:F2983)/AVERAGE(D2978:D2983)</f>
        <v>9.9459087920765715E-2</v>
      </c>
      <c r="Y2978" s="25" t="s">
        <v>56</v>
      </c>
      <c r="Z2978" s="38" t="s">
        <v>51</v>
      </c>
      <c r="AA2978" s="4">
        <f>AVERAGE(F2978:F2983)/AVERAGE(D2978:D2983)</f>
        <v>9.9459087920765715E-2</v>
      </c>
    </row>
    <row r="2979" spans="1:27">
      <c r="A2979" s="18"/>
      <c r="B2979" s="13">
        <v>7</v>
      </c>
      <c r="C2979" s="14" t="s">
        <v>28</v>
      </c>
      <c r="D2979" s="15" cm="1">
        <f t="array" ref="D2979">_xlfn.SINGLE(IF(A2981=A2982,_xll.ciqfunctions.udf.CIQ(A2973,"IQ_TOTAL_REV",IQ_FY-4)/I2979, _xll.ciqfunctions.udf.CIQ(A2973, "IQ_TOTAL_REV",IQ_FY-3)/I2979))</f>
        <v>2.7164249503097668</v>
      </c>
      <c r="E2979" s="16">
        <f t="shared" si="795"/>
        <v>-0.12209384306483102</v>
      </c>
      <c r="F2979" s="15">
        <f>IF(A2981=A2982,_xll.ciqfunctions.udf.CIQ(A2973,"IQ_DILUT_EPS_EXCL",IQ_FY-4), _xll.ciqfunctions.udf.CIQ(A2973, "IQ_DILUT_EPS_EXCL",IQ_FY-3))</f>
        <v>-0.23421</v>
      </c>
      <c r="G2979" s="15">
        <f>IF(A2981=A2982,_xll.ciqfunctions.udf.CIQ(A2973,"IQ_EBITDA_MARGIN",IQ_FY-4), _xll.ciqfunctions.udf.CIQ(A2973, "IQ_EBITDA_MARGIN",IQ_FY-3))</f>
        <v>-2.1333000000000002</v>
      </c>
      <c r="H2979" s="15">
        <f>IF(A2981=A2982,_xll.ciqfunctions.udf.CIQ(A2973,"IQ_TOTAL_DIV_PAID_CF",IQ_FY-4)/-I2979, _xll.ciqfunctions.udf.CIQ(A2973, "IQ_TOTAL_DIV_PAID_CF",IQ_FY-3)/-I2979)</f>
        <v>0</v>
      </c>
      <c r="I2979" s="17">
        <f>IF(A2981=A2982,_xll.ciqfunctions.udf.CIQ(A2973,"IQ_TOTAL_OUTSTANDING_FILING_DATE",IQ_FY-4), _xll.ciqfunctions.udf.CIQ(A2973, "IQ_TOTAL_OUTSTANDING_FILING_DATE",IQ_FY-3))</f>
        <v>78.274940000000001</v>
      </c>
      <c r="J2979" s="17">
        <f>IF(A2981=A2982,_xll.ciqfunctions.udf.CIQ(A2973,"IQ_CASH_OPER",IQ_FY-4), _xll.ciqfunctions.udf.CIQ(A2973, "IQ_CASH_OPER",IQ_FY-3))</f>
        <v>-0.42599999999999999</v>
      </c>
      <c r="K2979" s="17">
        <f>IF(A2981=A2982,_xll.ciqfunctions.udf.CIQ(A2973,"IQ_CAPEX",IQ_FY-4), _xll.ciqfunctions.udf.CIQ(A2973, "IQ_CAPEX",IQ_FY-3))</f>
        <v>-4.34</v>
      </c>
      <c r="L2979" s="15">
        <f t="shared" si="792"/>
        <v>-6.0887941913465533E-2</v>
      </c>
      <c r="M2979" s="17">
        <f>IF(A2981=A2982,_xll.ciqfunctions.udf.CIQ(A2973,"IQ_TOTAL_DEBT_ISSUED",IQ_FY-4), _xll.ciqfunctions.udf.CIQ(A2973, "IQ_TOTAL_DEBT_ISSUED",IQ_FY-3))</f>
        <v>0</v>
      </c>
      <c r="N2979" s="17">
        <f>IF(A2981=A2982,_xll.ciqfunctions.udf.CIQ(A2973,"IQ_TOTAL_DEBT_REPAID",IQ_FY-4), _xll.ciqfunctions.udf.CIQ(A2973, "IQ_TOTAL_DEBT_REPAID",IQ_FY-3))</f>
        <v>0</v>
      </c>
      <c r="O2979" s="15">
        <f t="shared" si="793"/>
        <v>0</v>
      </c>
      <c r="P2979" s="15">
        <f t="shared" si="794"/>
        <v>-6.0887941913465533E-2</v>
      </c>
      <c r="Q2979" s="18"/>
      <c r="R2979" s="38" t="s">
        <v>29</v>
      </c>
      <c r="S2979" s="4">
        <f>(AVERAGE(P2978:P2983)/_xlfn.STDEV.P(P2978:P2983))/(IF(A2981=A2982,(_xlfn.SINGLE(_xll.ciqfunctions.udf.CIQ(A2973,"IQ_total_assets",IQ_FY)) - _xlfn.SINGLE(_xll.ciqfunctions.udf.CIQ(A2973,"iq_gw_intan", IQ_FY)))/I2983, (_xlfn.SINGLE(_xll.ciqfunctions.udf.CIQ(A2973, "IQ_total_assets",IQ_LTM))-_xlfn.SINGLE(_xll.ciqfunctions.udf.CIQ(A2973,"iq_gw_intan",IQ_LTM)))/I2983))</f>
        <v>0.2383061790165866</v>
      </c>
      <c r="U2979" s="18"/>
      <c r="V2979" s="38" t="s">
        <v>29</v>
      </c>
      <c r="W2979" s="4">
        <f>(AVERAGE(P2978:P2983)/_xlfn.STDEV.P(P2978:P2983))/(IF(A2981=A2982,(_xlfn.SINGLE(_xll.ciqfunctions.udf.CIQ(A2973,"IQ_total_assets",IQ_FY)) - _xlfn.SINGLE(_xll.ciqfunctions.udf.CIQ(A2973,"iq_gw_intan", IQ_FY)))/I2983, (_xlfn.SINGLE(_xll.ciqfunctions.udf.CIQ(A2973, "IQ_total_assets",IQ_LTM))-_xlfn.SINGLE(_xll.ciqfunctions.udf.CIQ(A2973,"iq_gw_intan",IQ_LTM)))/I2983))</f>
        <v>0.2383061790165866</v>
      </c>
      <c r="Y2979" s="18"/>
      <c r="Z2979" s="38" t="s">
        <v>29</v>
      </c>
      <c r="AA2979" s="4">
        <f>(AVERAGE(P2978:P2983)/_xlfn.STDEV.P(P2978:P2983))/(IF(A2981=A2982,(_xlfn.SINGLE(_xll.ciqfunctions.udf.CIQ(A2973,"IQ_total_assets",IQ_FY)) - _xlfn.SINGLE(_xll.ciqfunctions.udf.CIQ(A2973,"iq_gw_intan", IQ_FY)))/I2983, (_xlfn.SINGLE(_xll.ciqfunctions.udf.CIQ(A2973, "IQ_total_assets",IQ_LTM))-_xlfn.SINGLE(_xll.ciqfunctions.udf.CIQ(A2973,"iq_gw_intan",IQ_LTM)))/I2983))</f>
        <v>0.2383061790165866</v>
      </c>
    </row>
    <row r="2980" spans="1:27">
      <c r="A2980" s="18"/>
      <c r="B2980" s="13">
        <v>8</v>
      </c>
      <c r="C2980" s="14" t="s">
        <v>30</v>
      </c>
      <c r="D2980" s="15" cm="1">
        <f t="array" ref="D2980">_xlfn.SINGLE(IF(A2981=A2982,_xll.ciqfunctions.udf.CIQ(A2973,"IQ_TOTAL_REV",IQ_FY-3)/I2980, _xll.ciqfunctions.udf.CIQ(A2973, "IQ_TOTAL_REV",IQ_FY-2)/I2980))</f>
        <v>2.932192424485907</v>
      </c>
      <c r="E2980" s="16">
        <f t="shared" si="795"/>
        <v>7.9430677498207772E-2</v>
      </c>
      <c r="F2980" s="15">
        <f>IF(A2981=A2982,_xll.ciqfunctions.udf.CIQ(A2973,"IQ_DILUT_EPS_EXCL",IQ_FY-3), _xll.ciqfunctions.udf.CIQ(A2973, "IQ_DILUT_EPS_EXCL",IQ_FY-2))</f>
        <v>0.22</v>
      </c>
      <c r="G2980" s="15">
        <f>IF(A2981=A2982,_xll.ciqfunctions.udf.CIQ(A2973,"IQ_EBITDA_MARGIN",IQ_FY-3), _xll.ciqfunctions.udf.CIQ(A2973, "IQ_EBITDA_MARGIN",IQ_FY-2))</f>
        <v>12.874700000000001</v>
      </c>
      <c r="H2980" s="15">
        <f>IF(A2981=A2982,_xll.ciqfunctions.udf.CIQ(A2973,"IQ_TOTAL_DIV_PAID_CF",IQ_FY-3)/-I2980, _xll.ciqfunctions.udf.CIQ(A2973, "IQ_TOTAL_DIV_PAID_CF",IQ_FY-2)/-I2980)</f>
        <v>0</v>
      </c>
      <c r="I2980" s="17">
        <f>IF(A2981=A2982,_xll.ciqfunctions.udf.CIQ(A2973,"IQ_TOTAL_OUTSTANDING_FILING_DATE",IQ_FY-3), _xll.ciqfunctions.udf.CIQ(A2973, "IQ_TOTAL_OUTSTANDING_FILING_DATE",IQ_FY-2))</f>
        <v>76.914119999999997</v>
      </c>
      <c r="J2980" s="17">
        <f>IF(A2981=A2982,_xll.ciqfunctions.udf.CIQ(A2973,"IQ_CASH_OPER",IQ_FY-3), _xll.ciqfunctions.udf.CIQ(A2973, "IQ_CASH_OPER",IQ_FY-2))</f>
        <v>55.286000000000001</v>
      </c>
      <c r="K2980" s="17">
        <f>IF(A2981=A2982,_xll.ciqfunctions.udf.CIQ(A2973,"IQ_CAPEX",IQ_FY-3), _xll.ciqfunctions.udf.CIQ(A2973, "IQ_CAPEX",IQ_FY-2))</f>
        <v>-3.5640000000000001</v>
      </c>
      <c r="L2980" s="15">
        <f t="shared" si="792"/>
        <v>0.67246430174329508</v>
      </c>
      <c r="M2980" s="17">
        <f>IF(A2981=A2982,_xll.ciqfunctions.udf.CIQ(A2973,"IQ_TOTAL_DEBT_ISSUED",IQ_FY-3), _xll.ciqfunctions.udf.CIQ(A2973, "IQ_TOTAL_DEBT_ISSUED",IQ_FY-2))</f>
        <v>0</v>
      </c>
      <c r="N2980" s="17">
        <f>IF(A2981=A2982,_xll.ciqfunctions.udf.CIQ(A2973,"IQ_TOTAL_DEBT_REPAID",IQ_FY-3), _xll.ciqfunctions.udf.CIQ(A2973, "IQ_TOTAL_DEBT_REPAID",IQ_FY-2))</f>
        <v>0</v>
      </c>
      <c r="O2980" s="15">
        <f t="shared" si="793"/>
        <v>0</v>
      </c>
      <c r="P2980" s="15">
        <f t="shared" si="794"/>
        <v>0.67246430174329508</v>
      </c>
      <c r="Q2980" s="18"/>
      <c r="R2980" s="39" t="s">
        <v>31</v>
      </c>
      <c r="S2980" s="5">
        <f>IF(NOT(D2973&gt;0),FALSE,SLOPE(G2973:G2983,B2973:B2983))</f>
        <v>3.3595036363636361</v>
      </c>
      <c r="U2980" s="18"/>
      <c r="V2980" s="39" t="s">
        <v>31</v>
      </c>
      <c r="W2980" s="5">
        <f>IF(NOT(D2973&gt;0),FALSE,SLOPE(G2973:G2983,B2973:B2983))</f>
        <v>3.3595036363636361</v>
      </c>
      <c r="Y2980" s="18"/>
      <c r="Z2980" s="39" t="s">
        <v>31</v>
      </c>
      <c r="AA2980" s="5" t="b">
        <f>IF(NOT(L2973&gt;0),FALSE,SLOPE(O2973:O2983,J2973:J2983))</f>
        <v>0</v>
      </c>
    </row>
    <row r="2981" spans="1:27">
      <c r="A2981" s="19">
        <f>_xll.ciqfunctions.udf.CIQ(A2973,"IQ_TOTAL_REV",IQ_FY)</f>
        <v>280.33800000000002</v>
      </c>
      <c r="B2981" s="13">
        <v>9</v>
      </c>
      <c r="C2981" s="14" t="s">
        <v>32</v>
      </c>
      <c r="D2981" s="15" cm="1">
        <f t="array" ref="D2981">_xlfn.SINGLE(IF(A2981=A2982,_xll.ciqfunctions.udf.CIQ(A2973,"IQ_TOTAL_REV",IQ_FY-2)/I2981, _xll.ciqfunctions.udf.CIQ(A2973, "IQ_TOTAL_REV",IQ_FY-1)/I2981))</f>
        <v>3.2730409558815827</v>
      </c>
      <c r="E2981" s="16">
        <f t="shared" si="795"/>
        <v>0.1162435754725189</v>
      </c>
      <c r="F2981" s="15">
        <f>IF(A2981=A2982,_xll.ciqfunctions.udf.CIQ(A2973,"IQ_DILUT_EPS_EXCL",IQ_FY-2), _xll.ciqfunctions.udf.CIQ(A2973, "IQ_DILUT_EPS_EXCL",IQ_FY-1))</f>
        <v>1.19</v>
      </c>
      <c r="G2981" s="15">
        <f>IF(A2981=A2982,_xll.ciqfunctions.udf.CIQ(A2973,"IQ_EBITDA_MARGIN",IQ_FY-2), _xll.ciqfunctions.udf.CIQ(A2973, "IQ_EBITDA_MARGIN",IQ_FY-1))</f>
        <v>16.915099999999999</v>
      </c>
      <c r="H2981" s="15">
        <f>IF(A2981=A2982,_xll.ciqfunctions.udf.CIQ(A2973,"IQ_TOTAL_DIV_PAID_CF",IQ_FY-2)/-I2981, _xll.ciqfunctions.udf.CIQ(A2973, "IQ_TOTAL_DIV_PAID_CF",IQ_FY-1)/-I2981)</f>
        <v>5.078906307268595E-2</v>
      </c>
      <c r="I2981" s="17">
        <f>IF(A2981=A2982,_xll.ciqfunctions.udf.CIQ(A2973,"IQ_TOTAL_OUTSTANDING_FILING_DATE",IQ_FY-2), _xll.ciqfunctions.udf.CIQ(A2973, "IQ_TOTAL_OUTSTANDING_FILING_DATE",IQ_FY-1))</f>
        <v>76.394400000000005</v>
      </c>
      <c r="J2981" s="17">
        <f>IF(A2981=A2982,_xll.ciqfunctions.udf.CIQ(A2973,"IQ_CASH_OPER",IQ_FY-2), _xll.ciqfunctions.udf.CIQ(A2973, "IQ_CASH_OPER",IQ_FY-1))</f>
        <v>50.097000000000001</v>
      </c>
      <c r="K2981" s="17">
        <f>IF(A2981=A2982,_xll.ciqfunctions.udf.CIQ(A2973,"IQ_CAPEX",IQ_FY-2), _xll.ciqfunctions.udf.CIQ(A2973, "IQ_CAPEX",IQ_FY-1))</f>
        <v>-5.1710000000000003</v>
      </c>
      <c r="L2981" s="15">
        <f t="shared" si="792"/>
        <v>0.5880797545369818</v>
      </c>
      <c r="M2981" s="17">
        <f>IF(A2981=A2982,_xll.ciqfunctions.udf.CIQ(A2973,"IQ_TOTAL_DEBT_ISSUED",IQ_FY-2), _xll.ciqfunctions.udf.CIQ(A2973, "IQ_TOTAL_DEBT_ISSUED",IQ_FY-1))</f>
        <v>0</v>
      </c>
      <c r="N2981" s="17">
        <f>IF(A2981=A2982,_xll.ciqfunctions.udf.CIQ(A2973,"IQ_TOTAL_DEBT_REPAID",IQ_FY-2), _xll.ciqfunctions.udf.CIQ(A2973, "IQ_TOTAL_DEBT_REPAID",IQ_FY-1))</f>
        <v>0</v>
      </c>
      <c r="O2981" s="15">
        <f t="shared" si="793"/>
        <v>0</v>
      </c>
      <c r="P2981" s="15">
        <f t="shared" si="794"/>
        <v>0.5880797545369818</v>
      </c>
      <c r="Q2981" s="25" t="s">
        <v>33</v>
      </c>
      <c r="R2981" s="38" t="s">
        <v>52</v>
      </c>
      <c r="S2981" s="4">
        <f>(AVERAGE(O2978:O2983)/AVERAGE(P2978:P2983))</f>
        <v>0</v>
      </c>
      <c r="U2981" s="25" t="s">
        <v>54</v>
      </c>
      <c r="V2981" s="38" t="s">
        <v>52</v>
      </c>
      <c r="W2981" s="4">
        <f>(AVERAGE(O2978:O2983)/AVERAGE(P2978:P2983))</f>
        <v>0</v>
      </c>
      <c r="Y2981" s="25" t="s">
        <v>60</v>
      </c>
      <c r="Z2981" s="38" t="s">
        <v>52</v>
      </c>
      <c r="AA2981" s="4">
        <f>(AVERAGE(O2978:O2983)/AVERAGE(P2978:P2983))</f>
        <v>0</v>
      </c>
    </row>
    <row r="2982" spans="1:27">
      <c r="A2982" s="19">
        <f>_xll.ciqfunctions.udf.CIQ(A2973,"IQ_TOTAL_REV",IQ_LTM)</f>
        <v>258.91699999999997</v>
      </c>
      <c r="B2982" s="13">
        <v>10</v>
      </c>
      <c r="C2982" s="14" t="s">
        <v>34</v>
      </c>
      <c r="D2982" s="15" cm="1">
        <f t="array" ref="D2982">_xlfn.SINGLE(IF(A2981=A2982,_xll.ciqfunctions.udf.CIQ(A2973,"IQ_TOTAL_REV",IQ_FY-1)/I2982, _xll.ciqfunctions.udf.CIQ(A2973, "IQ_TOTAL_REV",IQ_FY)/I2982))</f>
        <v>3.783830696326187</v>
      </c>
      <c r="E2982" s="16">
        <f t="shared" si="795"/>
        <v>0.15605968496261138</v>
      </c>
      <c r="F2982" s="15">
        <f>IF(A2981=A2982,_xll.ciqfunctions.udf.CIQ(A2973,"IQ_DILUT_EPS_EXCL",IQ_FY-1), _xll.ciqfunctions.udf.CIQ(A2973, "IQ_DILUT_EPS_EXCL",IQ_FY))</f>
        <v>0.6</v>
      </c>
      <c r="G2982" s="15">
        <f>IF(A2981=A2982,_xll.ciqfunctions.udf.CIQ(A2973,"IQ_EBITDA_MARGIN",IQ_FY-1), _xll.ciqfunctions.udf.CIQ(A2973, "IQ_EBITDA_MARGIN",IQ_FY))</f>
        <v>21.566800000000001</v>
      </c>
      <c r="H2982" s="15">
        <f>IF(A2981=A2982,_xll.ciqfunctions.udf.CIQ(A2973,"IQ_TOTAL_DIV_PAID_CF",IQ_FY-1)/-I2982, _xll.ciqfunctions.udf.CIQ(A2973, "IQ_TOTAL_DIV_PAID_CF",IQ_FY)/-I2982)</f>
        <v>0.21490540828180821</v>
      </c>
      <c r="I2982" s="17">
        <f>IF(A2981=A2982,_xll.ciqfunctions.udf.CIQ(A2973,"IQ_TOTAL_OUTSTANDING_FILING_DATE",IQ_FY-1), _xll.ciqfunctions.udf.CIQ(A2973, "IQ_TOTAL_OUTSTANDING_FILING_DATE",IQ_FY))</f>
        <v>74.088409999999996</v>
      </c>
      <c r="J2982" s="17">
        <f>IF(A2981=A2982,_xll.ciqfunctions.udf.CIQ(A2973,"IQ_CASH_OPER",IQ_FY-1), _xll.ciqfunctions.udf.CIQ(A2973, "IQ_CASH_OPER",IQ_FY))</f>
        <v>66.099999999999994</v>
      </c>
      <c r="K2982" s="17">
        <f>IF(A2981=A2982,_xll.ciqfunctions.udf.CIQ(A2973,"IQ_CAPEX",IQ_FY-1), _xll.ciqfunctions.udf.CIQ(A2973, "IQ_CAPEX",IQ_FY))</f>
        <v>-10.798999999999999</v>
      </c>
      <c r="L2982" s="15">
        <f t="shared" si="792"/>
        <v>0.74641904179074703</v>
      </c>
      <c r="M2982" s="17">
        <f>IF(A2981=A2982,_xll.ciqfunctions.udf.CIQ(A2973,"IQ_TOTAL_DEBT_ISSUED",IQ_FY-1), _xll.ciqfunctions.udf.CIQ(A2973, "IQ_TOTAL_DEBT_ISSUED",IQ_FY))</f>
        <v>0</v>
      </c>
      <c r="N2982" s="17">
        <f>IF(A2981=A2982,_xll.ciqfunctions.udf.CIQ(A2973,"IQ_TOTAL_DEBT_REPAID",IQ_FY-1), _xll.ciqfunctions.udf.CIQ(A2973, "IQ_TOTAL_DEBT_REPAID",IQ_FY))</f>
        <v>0</v>
      </c>
      <c r="O2982" s="15">
        <f t="shared" si="793"/>
        <v>0</v>
      </c>
      <c r="P2982" s="15">
        <f t="shared" si="794"/>
        <v>0.74641904179074703</v>
      </c>
      <c r="Q2982" s="25" t="s">
        <v>44</v>
      </c>
      <c r="R2982" s="38" t="s">
        <v>35</v>
      </c>
      <c r="S2982" s="1">
        <f>_xll.ciqfunctions.udf.CIQ(A2973,"IQ_TEV_EBITDA")</f>
        <v>14.96669</v>
      </c>
      <c r="U2982" s="25" t="s">
        <v>55</v>
      </c>
      <c r="V2982" s="38" t="s">
        <v>53</v>
      </c>
      <c r="W2982" s="1">
        <f>V2972/(AVERAGE(D2978:D2983)/_xlfn.STDEV.P(E2978:E2983))</f>
        <v>0.39925336700548686</v>
      </c>
      <c r="Y2982" s="25" t="s">
        <v>57</v>
      </c>
      <c r="Z2982" s="38" t="s">
        <v>53</v>
      </c>
      <c r="AA2982" s="1">
        <f>Z2972/(AVERAGE(D2978:D2983)/_xlfn.STDEV.P(E2978:E2983))</f>
        <v>0.39925336700548686</v>
      </c>
    </row>
    <row r="2983" spans="1:27">
      <c r="B2983" s="13">
        <v>11</v>
      </c>
      <c r="C2983" s="20" t="s">
        <v>36</v>
      </c>
      <c r="D2983" s="21" cm="1">
        <f t="array" ref="D2983">_xlfn.SINGLE(IF(A2981=A2982,_xll.ciqfunctions.udf.CIQ(A2973,"IQ_TOTAL_REV",IQ_FY)/I2983, _xll.ciqfunctions.udf.CIQ(A2973, "IQ_TOTAL_REV",IQ_LTM)/I2983))</f>
        <v>3.4923552251456802</v>
      </c>
      <c r="E2983" s="22">
        <f t="shared" si="795"/>
        <v>-7.7031848032605515E-2</v>
      </c>
      <c r="F2983" s="21">
        <f>IF(A2981=A2982,_xll.ciqfunctions.udf.CIQ(A2973,"IQ_DILUT_EPS_EXCL",IQ_FY), _xll.ciqfunctions.udf.CIQ(A2973, "IQ_DILUT_EPS_EXCL",IQ_LTM))</f>
        <v>0.52298</v>
      </c>
      <c r="G2983" s="21">
        <f>IF(A2981=A2982,_xll.ciqfunctions.udf.CIQ(A2973,"IQ_EBITDA_MARGIN",IQ_FY), _xll.ciqfunctions.udf.CIQ(A2973, "IQ_EBITDA_MARGIN",IQ_LTM))</f>
        <v>17.6098</v>
      </c>
      <c r="H2983" s="21">
        <f>IF(A2981=A2982,_xll.ciqfunctions.udf.CIQ(A2973,"IQ_TOTAL_DIV_PAID_CF",IQ_FY)/-I2983, _xll.ciqfunctions.udf.CIQ(A2973, "IQ_TOTAL_DIV_PAID_CF",IQ_LTM)/-I2983)</f>
        <v>0.2398088327451077</v>
      </c>
      <c r="I2983" s="23">
        <f>IF(A2981=A2982,_xll.ciqfunctions.udf.CIQ(A2973,"IQ_TOTAL_OUTSTANDING_FILING_DATE",IQ_FY),_xll.ciqfunctions.udf.CIQ(A2973,"IQ_sharesoutstanding"))</f>
        <v>74.138220000000004</v>
      </c>
      <c r="J2983" s="23">
        <f>IF(A2981=A2982,_xll.ciqfunctions.udf.CIQ(A2973,"IQ_CASH_OPER",IQ_FY), _xll.ciqfunctions.udf.CIQ(A2973, "IQ_CASH_OPER",IQ_LTM))</f>
        <v>69.11</v>
      </c>
      <c r="K2983" s="23">
        <f>IF(A2981=A2982,_xll.ciqfunctions.udf.CIQ(A2973,"IQ_CAPEX",IQ_FY), _xll.ciqfunctions.udf.CIQ(A2973, "IQ_CAPEX",IQ_LTM))</f>
        <v>-10.29</v>
      </c>
      <c r="L2983" s="21">
        <f t="shared" si="792"/>
        <v>0.79338295416318327</v>
      </c>
      <c r="M2983" s="23">
        <f>IF(A2981=A2982,_xll.ciqfunctions.udf.CIQ(A2973,"IQ_TOTAL_DEBT_ISSUED",IQ_FY), _xll.ciqfunctions.udf.CIQ(A2973, "IQ_TOTAL_DEBT_ISSUED",IQ_LTM))</f>
        <v>0</v>
      </c>
      <c r="N2983" s="23">
        <f>IF(A2981=A2982,_xll.ciqfunctions.udf.CIQ(A2973,"IQ_TOTAL_DEBT_REPAID",IQ_FY), _xll.ciqfunctions.udf.CIQ(A2973, "IQ_TOTAL_DEBT_REPAID",IQ_LTM))</f>
        <v>0</v>
      </c>
      <c r="O2983" s="21">
        <f t="shared" si="793"/>
        <v>0</v>
      </c>
      <c r="P2983" s="21">
        <f t="shared" si="794"/>
        <v>0.79338295416318327</v>
      </c>
      <c r="Q2983" s="25" t="s">
        <v>45</v>
      </c>
      <c r="S2983" s="45"/>
      <c r="U2983" s="25"/>
      <c r="W2983" s="45"/>
      <c r="Y2983" s="25"/>
      <c r="AA2983" s="45"/>
    </row>
    <row r="2984" spans="1:27">
      <c r="B2984" s="24"/>
      <c r="C2984" s="25" t="s">
        <v>37</v>
      </c>
      <c r="E2984" s="26">
        <f>((D2983/D2978)^(1/5))-1</f>
        <v>2.4504237675244678E-2</v>
      </c>
      <c r="F2984" s="27">
        <f>((F2983/F2978)^(1/5))-1</f>
        <v>-2.0659584995041982</v>
      </c>
      <c r="G2984" s="28"/>
      <c r="H2984" s="27" t="e">
        <f>((H2983/H2978)^(1/5))-1</f>
        <v>#DIV/0!</v>
      </c>
      <c r="I2984" s="27">
        <f>((I2983/I2978)^(1/5))-1</f>
        <v>-2.4439476843373109E-3</v>
      </c>
      <c r="J2984" s="27"/>
      <c r="K2984" s="27"/>
      <c r="L2984" s="26">
        <f>((L2983/L2978)^(1/5))-1</f>
        <v>-2.6107843720456918</v>
      </c>
      <c r="M2984" s="26"/>
      <c r="N2984" s="26"/>
      <c r="O2984" s="26"/>
      <c r="P2984" s="26">
        <f>((P2983/P2978)^(1/5))-1</f>
        <v>-2.6107843720456918</v>
      </c>
      <c r="Q2984" s="18"/>
      <c r="R2984" s="36"/>
      <c r="S2984" s="45"/>
      <c r="U2984" s="18"/>
      <c r="V2984" s="36"/>
      <c r="W2984" s="45"/>
      <c r="Y2984" s="18"/>
      <c r="Z2984" s="36"/>
      <c r="AA2984" s="45"/>
    </row>
    <row r="2985" spans="1:27">
      <c r="A2985" s="29"/>
      <c r="B2985" s="30"/>
      <c r="C2985" s="31" t="s">
        <v>38</v>
      </c>
      <c r="D2985" s="29"/>
      <c r="E2985" s="32">
        <f>((D2983/D2973)^(1/10))-1</f>
        <v>-0.13043517539815919</v>
      </c>
      <c r="F2985" s="33" t="e">
        <f>((F2983/F2973)^(1/10))-1</f>
        <v>#NUM!</v>
      </c>
      <c r="G2985" s="34"/>
      <c r="H2985" s="33" t="e">
        <f>((H2983/H2973)^(1/10))-1</f>
        <v>#DIV/0!</v>
      </c>
      <c r="I2985" s="33">
        <f>((I2983/I2973)^(1/10))-1</f>
        <v>0.22142122650938911</v>
      </c>
      <c r="J2985" s="33"/>
      <c r="K2985" s="33"/>
      <c r="L2985" s="32" t="e">
        <f>((L2983/L2973)^(1/10))-1</f>
        <v>#NUM!</v>
      </c>
      <c r="M2985" s="32"/>
      <c r="N2985" s="32"/>
      <c r="O2985" s="32"/>
      <c r="P2985" s="32" t="e">
        <f>((P2983/P2973)^(1/10))-1</f>
        <v>#NUM!</v>
      </c>
      <c r="Q2985" s="40"/>
      <c r="R2985" s="41"/>
      <c r="S2985" s="46"/>
      <c r="U2985" s="40"/>
      <c r="V2985" s="41"/>
      <c r="W2985" s="46"/>
      <c r="Y2985" s="40"/>
      <c r="Z2985" s="41"/>
      <c r="AA2985" s="46"/>
    </row>
    <row r="2986" spans="1:27">
      <c r="B2986" s="24"/>
      <c r="C2986" s="25"/>
      <c r="E2986" s="26"/>
      <c r="F2986" s="27"/>
      <c r="G2986" s="28"/>
      <c r="H2986" s="27"/>
      <c r="I2986" s="27"/>
      <c r="J2986" s="27"/>
      <c r="K2986" s="27"/>
      <c r="L2986" s="26"/>
      <c r="M2986" s="17"/>
      <c r="N2986" s="17"/>
      <c r="O2986" s="17"/>
      <c r="P2986" s="35"/>
      <c r="Q2986" s="18"/>
      <c r="R2986" s="36"/>
    </row>
    <row r="2987" spans="1:27">
      <c r="A2987" s="9" t="s">
        <v>0</v>
      </c>
      <c r="B2987" s="10"/>
      <c r="C2987" s="9" t="s">
        <v>1</v>
      </c>
      <c r="D2987" s="9" t="s">
        <v>2</v>
      </c>
      <c r="E2987" s="9" t="s">
        <v>3</v>
      </c>
      <c r="F2987" s="11" t="s">
        <v>4</v>
      </c>
      <c r="G2987" s="11" t="s">
        <v>5</v>
      </c>
      <c r="H2987" s="9" t="s">
        <v>6</v>
      </c>
      <c r="I2987" s="11" t="s">
        <v>7</v>
      </c>
      <c r="J2987" s="11" t="s">
        <v>8</v>
      </c>
      <c r="K2987" s="11" t="s">
        <v>9</v>
      </c>
      <c r="L2987" s="11" t="s">
        <v>10</v>
      </c>
      <c r="M2987" s="11" t="s">
        <v>11</v>
      </c>
      <c r="N2987" s="11" t="s">
        <v>12</v>
      </c>
      <c r="O2987" s="11" t="s">
        <v>13</v>
      </c>
      <c r="P2987" s="11" t="s">
        <v>14</v>
      </c>
      <c r="Q2987" s="37" t="s">
        <v>15</v>
      </c>
      <c r="R2987" s="42">
        <f>_xll.ciqfunctions.udf.CIQ(A2988,("IQ_LASTSALEPRICE"))</f>
        <v>72.295000000000002</v>
      </c>
      <c r="S2987" s="44"/>
      <c r="U2987" s="37" t="s">
        <v>15</v>
      </c>
      <c r="V2987" s="42">
        <f>_xll.ciqfunctions.udf.CIQ(A2988,("IQ_LASTSALEPRICE"))</f>
        <v>72.295000000000002</v>
      </c>
      <c r="W2987" s="44"/>
      <c r="Y2987" s="37" t="s">
        <v>15</v>
      </c>
      <c r="Z2987" s="42">
        <f>_xll.ciqfunctions.udf.CIQ(A2988,("IQ_LASTSALEPRICE"))</f>
        <v>72.295000000000002</v>
      </c>
      <c r="AA2987" s="44"/>
    </row>
    <row r="2988" spans="1:27">
      <c r="A2988" s="12" t="str">
        <f>Analysis!B201</f>
        <v>NasdaqGS:CVLT</v>
      </c>
      <c r="B2988" s="13">
        <v>1</v>
      </c>
      <c r="C2988" s="14" t="s">
        <v>16</v>
      </c>
      <c r="D2988" s="15">
        <f>IF(A2996=A2997,_xll.ciqfunctions.udf.CIQ(A2988,"IQ_TOTAL_REV",IQ_FY-10)/I2988,_xll.ciqfunctions.udf.CIQ(A2988, "IQ_TOTAL_REV",IQ_FY-9)/I2988)</f>
        <v>12.425972176452451</v>
      </c>
      <c r="E2988" s="16"/>
      <c r="F2988" s="15">
        <f>IF(A2996=A2997,_xll.ciqfunctions.udf.CIQ(A2988,"IQ_DILUT_EPS_EXCL",IQ_FY-10), _xll.ciqfunctions.udf.CIQ(A2988, "IQ_DILUT_EPS_EXCL",IQ_FY-9))</f>
        <v>1.29</v>
      </c>
      <c r="G2988" s="15">
        <f>IF(A2996=A2997,_xll.ciqfunctions.udf.CIQ(A2988,"IQ_EBITDA_MARGIN",IQ_FY-10), _xll.ciqfunctions.udf.CIQ(A2988, "IQ_EBITDA_MARGIN",IQ_FY-9))</f>
        <v>18.185099999999998</v>
      </c>
      <c r="H2988" s="15">
        <f>IF(A2996=A2997,_xll.ciqfunctions.udf.CIQ(A2988,"IQ_TOTAL_DIV_PAID_CF",IQ_FY-10)/-I2988, _xll.ciqfunctions.udf.CIQ(A2988, "IQ_TOTAL_DIV_PAID_CF",IQ_FY-9)/-I2988)</f>
        <v>0</v>
      </c>
      <c r="I2988" s="17">
        <f>IF(A2996=A2997,_xll.ciqfunctions.udf.CIQ(A2988,"IQ_TOTAL_OUTSTANDING_FILING_DATE",IQ_FY-10), _xll.ciqfunctions.udf.CIQ(A2988, "IQ_TOTAL_OUTSTANDING_FILING_DATE",IQ_FY-9))</f>
        <v>47.18665</v>
      </c>
      <c r="J2988" s="17">
        <f>IF(A2996=A2997,_xll.ciqfunctions.udf.CIQ(A2988,"IQ_CASH_OPER",IQ_FY-10), _xll.ciqfunctions.udf.CIQ(A2988, "IQ_CASH_OPER",IQ_FY-9))</f>
        <v>119.137</v>
      </c>
      <c r="K2988" s="17">
        <f>IF(A2996=A2997,_xll.ciqfunctions.udf.CIQ(A2988,"IQ_CAPEX",IQ_FY-10), _xll.ciqfunctions.udf.CIQ(A2988, "IQ_CAPEX",IQ_FY-9))</f>
        <v>-67.13</v>
      </c>
      <c r="L2988" s="15">
        <f t="shared" ref="L2988:L2998" si="796">(J2988+K2988)/I2988</f>
        <v>1.1021549527249763</v>
      </c>
      <c r="M2988" s="17">
        <f>IF(A2996=A2997,_xll.ciqfunctions.udf.CIQ(A2988,"IQ_TOTAL_DEBT_ISSUED",IQ_FY-10), _xll.ciqfunctions.udf.CIQ(A2988, "IQ_TOTAL_DEBT_ISSUED",IQ_FY-9))</f>
        <v>0</v>
      </c>
      <c r="N2988" s="17">
        <f>IF(A2996=A2997,_xll.ciqfunctions.udf.CIQ(A2988,"IQ_TOTAL_DEBT_REPAID",IQ_FY-10), _xll.ciqfunctions.udf.CIQ(A2988, "IQ_TOTAL_DEBT_REPAID",IQ_FY-9))</f>
        <v>0</v>
      </c>
      <c r="O2988" s="15">
        <f t="shared" ref="O2988:O2998" si="797">(M2988+N2988)/I2988</f>
        <v>0</v>
      </c>
      <c r="P2988" s="15">
        <f t="shared" ref="P2988:P2998" si="798">L2988+O2988</f>
        <v>1.1021549527249763</v>
      </c>
      <c r="W2988" s="43"/>
      <c r="AA2988" s="43"/>
    </row>
    <row r="2989" spans="1:27">
      <c r="A2989" s="18" t="str">
        <f>_xll.ciqfunctions.udf.CIQ(A2988,"IQ_COMPANY_NAME")</f>
        <v>Commvault Systems, Inc.</v>
      </c>
      <c r="B2989" s="13">
        <v>2</v>
      </c>
      <c r="C2989" s="14" t="s">
        <v>17</v>
      </c>
      <c r="D2989" s="15">
        <f>IF(A2996=A2997,_xll.ciqfunctions.udf.CIQ(A2988,"IQ_TOTAL_REV",IQ_FY-9)/I2989, _xll.ciqfunctions.udf.CIQ(A2988, "IQ_TOTAL_REV",IQ_FY-8)/I2989)</f>
        <v>13.432129324894793</v>
      </c>
      <c r="E2989" s="16">
        <f t="shared" ref="E2989:E2998" si="799">(D2989-D2988)/D2988</f>
        <v>8.0972106983229652E-2</v>
      </c>
      <c r="F2989" s="15">
        <f>IF(A2996=A2997,_xll.ciqfunctions.udf.CIQ(A2988,"IQ_DILUT_EPS_EXCL",IQ_FY-9), _xll.ciqfunctions.udf.CIQ(A2988, "IQ_DILUT_EPS_EXCL",IQ_FY-8))</f>
        <v>0.54</v>
      </c>
      <c r="G2989" s="15">
        <f>IF(A2996=A2997,_xll.ciqfunctions.udf.CIQ(A2988,"IQ_EBITDA_MARGIN",IQ_FY-9), _xll.ciqfunctions.udf.CIQ(A2988, "IQ_EBITDA_MARGIN",IQ_FY-8))</f>
        <v>8.4338999999999995</v>
      </c>
      <c r="H2989" s="15">
        <f>IF(A2996=A2997,_xll.ciqfunctions.udf.CIQ(A2988,"IQ_TOTAL_DIV_PAID_CF",IQ_FY-9)/-I2989, _xll.ciqfunctions.udf.CIQ(A2988, "IQ_TOTAL_DIV_PAID_CF",IQ_FY-8)/-I2989)</f>
        <v>0</v>
      </c>
      <c r="I2989" s="17">
        <f>IF(A2996=A2997,_xll.ciqfunctions.udf.CIQ(A2988,"IQ_TOTAL_OUTSTANDING_FILING_DATE",IQ_FY-9), _xll.ciqfunctions.udf.CIQ(A2988, "IQ_TOTAL_OUTSTANDING_FILING_DATE",IQ_FY-8))</f>
        <v>45.230580000000003</v>
      </c>
      <c r="J2989" s="17">
        <f>IF(A2996=A2997,_xll.ciqfunctions.udf.CIQ(A2988,"IQ_CASH_OPER",IQ_FY-9), _xll.ciqfunctions.udf.CIQ(A2988, "IQ_CASH_OPER",IQ_FY-8))</f>
        <v>123.84699999999999</v>
      </c>
      <c r="K2989" s="17">
        <f>IF(A2996=A2997,_xll.ciqfunctions.udf.CIQ(A2988,"IQ_CAPEX",IQ_FY-9), _xll.ciqfunctions.udf.CIQ(A2988, "IQ_CAPEX",IQ_FY-8))</f>
        <v>-65.081000000000003</v>
      </c>
      <c r="L2989" s="15">
        <f t="shared" si="796"/>
        <v>1.2992537349731086</v>
      </c>
      <c r="M2989" s="17">
        <f>IF(A2996=A2997,_xll.ciqfunctions.udf.CIQ(A2988,"IQ_TOTAL_DEBT_ISSUED",IQ_FY-9), _xll.ciqfunctions.udf.CIQ(A2988, "IQ_TOTAL_DEBT_ISSUED",IQ_FY-8))</f>
        <v>0</v>
      </c>
      <c r="N2989" s="17">
        <f>IF(A2996=A2997,_xll.ciqfunctions.udf.CIQ(A2988,"IQ_TOTAL_DEBT_REPAID",IQ_FY-9), _xll.ciqfunctions.udf.CIQ(A2988, "IQ_TOTAL_DEBT_REPAID",IQ_FY-8))</f>
        <v>0</v>
      </c>
      <c r="O2989" s="15">
        <f t="shared" si="797"/>
        <v>0</v>
      </c>
      <c r="P2989" s="15">
        <f t="shared" si="798"/>
        <v>1.2992537349731086</v>
      </c>
      <c r="Q2989" s="25" t="s">
        <v>18</v>
      </c>
      <c r="R2989" s="39" t="s">
        <v>19</v>
      </c>
      <c r="S2989" s="1">
        <f>R2987/((AVERAGE(P2993:P2998))*(1+E2999)^3)</f>
        <v>21.58034055597637</v>
      </c>
      <c r="U2989" s="25" t="s">
        <v>48</v>
      </c>
      <c r="V2989" s="39" t="s">
        <v>19</v>
      </c>
      <c r="W2989" s="1">
        <f>V2987/((AVERAGE(P2993:P2998))*(1+E2999)^3)</f>
        <v>21.58034055597637</v>
      </c>
      <c r="Y2989" s="25" t="s">
        <v>39</v>
      </c>
      <c r="Z2989" s="39" t="s">
        <v>19</v>
      </c>
      <c r="AA2989" s="1">
        <f>Z2987/((AVERAGE(P2993:P2998))*(1+E2999)^3)</f>
        <v>21.58034055597637</v>
      </c>
    </row>
    <row r="2990" spans="1:27">
      <c r="B2990" s="13">
        <v>3</v>
      </c>
      <c r="C2990" s="14" t="s">
        <v>20</v>
      </c>
      <c r="D2990" s="15" cm="1">
        <f t="array" ref="D2990">_xlfn.SINGLE(IF(A2996=A2997,_xll.ciqfunctions.udf.CIQ(A2988,"IQ_TOTAL_REV",IQ_FY-8)/I2990, _xll.ciqfunctions.udf.CIQ(A2988, "IQ_TOTAL_REV",IQ_FY-7)/I2990))</f>
        <v>13.426582945980442</v>
      </c>
      <c r="E2990" s="16">
        <f t="shared" si="799"/>
        <v>-4.1291881429936439E-4</v>
      </c>
      <c r="F2990" s="15">
        <f>IF(A2996=A2997,_xll.ciqfunctions.udf.CIQ(A2988,"IQ_DILUT_EPS_EXCL",IQ_FY-8), _xll.ciqfunctions.udf.CIQ(A2988, "IQ_DILUT_EPS_EXCL",IQ_FY-7))</f>
        <v>3.8089999999999999E-2</v>
      </c>
      <c r="G2990" s="15">
        <f>IF(A2996=A2997,_xll.ciqfunctions.udf.CIQ(A2988,"IQ_EBITDA_MARGIN",IQ_FY-8), _xll.ciqfunctions.udf.CIQ(A2988, "IQ_EBITDA_MARGIN",IQ_FY-7))</f>
        <v>2.5324</v>
      </c>
      <c r="H2990" s="15">
        <f>IF(A2996=A2997,_xll.ciqfunctions.udf.CIQ(A2988,"IQ_TOTAL_DIV_PAID_CF",IQ_FY-8)/-I2990, _xll.ciqfunctions.udf.CIQ(A2988, "IQ_TOTAL_DIV_PAID_CF",IQ_FY-7)/-I2990)</f>
        <v>0</v>
      </c>
      <c r="I2990" s="17">
        <f>IF(A2996=A2997,_xll.ciqfunctions.udf.CIQ(A2988,"IQ_TOTAL_OUTSTANDING_FILING_DATE",IQ_FY-8), _xll.ciqfunctions.udf.CIQ(A2988, "IQ_TOTAL_OUTSTANDING_FILING_DATE",IQ_FY-7))</f>
        <v>44.223239999999997</v>
      </c>
      <c r="J2990" s="17">
        <f>IF(A2996=A2997,_xll.ciqfunctions.udf.CIQ(A2988,"IQ_CASH_OPER",IQ_FY-8), _xll.ciqfunctions.udf.CIQ(A2988, "IQ_CASH_OPER",IQ_FY-7))</f>
        <v>84.412999999999997</v>
      </c>
      <c r="K2990" s="17">
        <f>IF(A2996=A2997,_xll.ciqfunctions.udf.CIQ(A2988,"IQ_CAPEX",IQ_FY-8), _xll.ciqfunctions.udf.CIQ(A2988, "IQ_CAPEX",IQ_FY-7))</f>
        <v>-8.391</v>
      </c>
      <c r="L2990" s="15">
        <f t="shared" si="796"/>
        <v>1.7190508881755384</v>
      </c>
      <c r="M2990" s="17">
        <f>IF(A2996=A2997,_xll.ciqfunctions.udf.CIQ(A2988,"IQ_TOTAL_DEBT_ISSUED",IQ_FY-8), _xll.ciqfunctions.udf.CIQ(A2988, "IQ_TOTAL_DEBT_ISSUED",IQ_FY-7))</f>
        <v>0</v>
      </c>
      <c r="N2990" s="17">
        <f>IF(A2996=A2997,_xll.ciqfunctions.udf.CIQ(A2988,"IQ_TOTAL_DEBT_REPAID",IQ_FY-8), _xll.ciqfunctions.udf.CIQ(A2988, "IQ_TOTAL_DEBT_REPAID",IQ_FY-7))</f>
        <v>0</v>
      </c>
      <c r="O2990" s="15">
        <f t="shared" si="797"/>
        <v>0</v>
      </c>
      <c r="P2990" s="15">
        <f t="shared" si="798"/>
        <v>1.7190508881755384</v>
      </c>
      <c r="Q2990" s="25" t="s">
        <v>21</v>
      </c>
      <c r="R2990" s="38" t="s">
        <v>49</v>
      </c>
      <c r="S2990" s="2">
        <f>(R2987*I2998)/1000</f>
        <v>3.1659751727500001</v>
      </c>
      <c r="U2990" s="25" t="s">
        <v>59</v>
      </c>
      <c r="V2990" s="38" t="s">
        <v>49</v>
      </c>
      <c r="W2990" s="2">
        <f>(V2987*I2998)/1000</f>
        <v>3.1659751727500001</v>
      </c>
      <c r="Y2990" s="25" t="s">
        <v>46</v>
      </c>
      <c r="Z2990" s="38" t="s">
        <v>49</v>
      </c>
      <c r="AA2990" s="2">
        <f>(Z2987*I2998)/1000</f>
        <v>3.1659751727500001</v>
      </c>
    </row>
    <row r="2991" spans="1:27">
      <c r="A2991" s="18"/>
      <c r="B2991" s="13">
        <v>4</v>
      </c>
      <c r="C2991" s="14" t="s">
        <v>22</v>
      </c>
      <c r="D2991" s="15" cm="1">
        <f t="array" ref="D2991">_xlfn.SINGLE(IF(A2996=A2997,_xll.ciqfunctions.udf.CIQ(A2988,"IQ_TOTAL_REV",IQ_FY-7)/I2991, _xll.ciqfunctions.udf.CIQ(A2988, "IQ_TOTAL_REV",IQ_FY-6)/I2991))</f>
        <v>14.350240603835644</v>
      </c>
      <c r="E2991" s="16">
        <f t="shared" si="799"/>
        <v>6.879320386813087E-2</v>
      </c>
      <c r="F2991" s="15">
        <f>IF(A2996=A2997,_xll.ciqfunctions.udf.CIQ(A2988,"IQ_DILUT_EPS_EXCL",IQ_FY-7), _xll.ciqfunctions.udf.CIQ(A2988, "IQ_DILUT_EPS_EXCL",IQ_FY-6))</f>
        <v>-1.136E-2</v>
      </c>
      <c r="G2991" s="15">
        <f>IF(A2996=A2997,_xll.ciqfunctions.udf.CIQ(A2988,"IQ_EBITDA_MARGIN",IQ_FY-7), _xll.ciqfunctions.udf.CIQ(A2988, "IQ_EBITDA_MARGIN",IQ_FY-6))</f>
        <v>1.3547</v>
      </c>
      <c r="H2991" s="15">
        <f>IF(A2996=A2997,_xll.ciqfunctions.udf.CIQ(A2988,"IQ_TOTAL_DIV_PAID_CF",IQ_FY-7)/-I2991, _xll.ciqfunctions.udf.CIQ(A2988, "IQ_TOTAL_DIV_PAID_CF",IQ_FY-6)/-I2991)</f>
        <v>0</v>
      </c>
      <c r="I2991" s="17">
        <f>IF(A2996=A2997,_xll.ciqfunctions.udf.CIQ(A2988,"IQ_TOTAL_OUTSTANDING_FILING_DATE",IQ_FY-7), _xll.ciqfunctions.udf.CIQ(A2988, "IQ_TOTAL_OUTSTANDING_FILING_DATE",IQ_FY-6))</f>
        <v>44.947330000000001</v>
      </c>
      <c r="J2991" s="17">
        <f>IF(A2996=A2997,_xll.ciqfunctions.udf.CIQ(A2988,"IQ_CASH_OPER",IQ_FY-7), _xll.ciqfunctions.udf.CIQ(A2988, "IQ_CASH_OPER",IQ_FY-6))</f>
        <v>100.039</v>
      </c>
      <c r="K2991" s="17">
        <f>IF(A2996=A2997,_xll.ciqfunctions.udf.CIQ(A2988,"IQ_CAPEX",IQ_FY-7), _xll.ciqfunctions.udf.CIQ(A2988, "IQ_CAPEX",IQ_FY-6))</f>
        <v>-6.4240000000000004</v>
      </c>
      <c r="L2991" s="15">
        <f t="shared" si="796"/>
        <v>2.0827711011977796</v>
      </c>
      <c r="M2991" s="17">
        <f>IF(A2996=A2997,_xll.ciqfunctions.udf.CIQ(A2988,"IQ_TOTAL_DEBT_ISSUED",IQ_FY-7), _xll.ciqfunctions.udf.CIQ(A2988, "IQ_TOTAL_DEBT_ISSUED",IQ_FY-6))</f>
        <v>0</v>
      </c>
      <c r="N2991" s="17">
        <f>IF(A2996=A2997,_xll.ciqfunctions.udf.CIQ(A2988,"IQ_TOTAL_DEBT_REPAID",IQ_FY-7), _xll.ciqfunctions.udf.CIQ(A2988, "IQ_TOTAL_DEBT_REPAID",IQ_FY-6))</f>
        <v>0</v>
      </c>
      <c r="O2991" s="15">
        <f t="shared" si="797"/>
        <v>0</v>
      </c>
      <c r="P2991" s="15">
        <f t="shared" si="798"/>
        <v>2.0827711011977796</v>
      </c>
      <c r="Q2991" s="25" t="s">
        <v>23</v>
      </c>
      <c r="R2991" s="38" t="s">
        <v>24</v>
      </c>
      <c r="S2991" s="1" t="e">
        <f>R2987/(AVERAGE(H2993:H2998)*(1+H2999)/(0.5-H2999))</f>
        <v>#DIV/0!</v>
      </c>
      <c r="U2991" s="25" t="s">
        <v>40</v>
      </c>
      <c r="V2991" s="38" t="s">
        <v>24</v>
      </c>
      <c r="W2991" s="1" t="e">
        <f>V2987/(AVERAGE(H2993:H2998)*(1+H2999)/(0.5-H2999))</f>
        <v>#DIV/0!</v>
      </c>
      <c r="Y2991" s="25" t="s">
        <v>47</v>
      </c>
      <c r="Z2991" s="38" t="s">
        <v>24</v>
      </c>
      <c r="AA2991" s="1" t="e">
        <f>Z2987/(AVERAGE(H2993:H2998)*(1+H2999)/(0.5-H2999))</f>
        <v>#DIV/0!</v>
      </c>
    </row>
    <row r="2992" spans="1:27">
      <c r="B2992" s="13">
        <v>5</v>
      </c>
      <c r="C2992" s="14" t="s">
        <v>25</v>
      </c>
      <c r="D2992" s="15" cm="1">
        <f t="array" ref="D2992">_xlfn.SINGLE(IF(A2996=A2997,_xll.ciqfunctions.udf.CIQ(A2988,"IQ_TOTAL_REV",IQ_FY-6)/I2992, _xll.ciqfunctions.udf.CIQ(A2988, "IQ_TOTAL_REV",IQ_FY-5)/I2992))</f>
        <v>15.377239742449545</v>
      </c>
      <c r="E2992" s="16">
        <f t="shared" si="799"/>
        <v>7.1566684278408302E-2</v>
      </c>
      <c r="F2992" s="15">
        <f>IF(A2996=A2997,_xll.ciqfunctions.udf.CIQ(A2988,"IQ_DILUT_EPS_EXCL",IQ_FY-6), _xll.ciqfunctions.udf.CIQ(A2988, "IQ_DILUT_EPS_EXCL",IQ_FY-5))</f>
        <v>-1.37</v>
      </c>
      <c r="G2992" s="15">
        <f>IF(A2996=A2997,_xll.ciqfunctions.udf.CIQ(A2988,"IQ_EBITDA_MARGIN",IQ_FY-6), _xll.ciqfunctions.udf.CIQ(A2988, "IQ_EBITDA_MARGIN",IQ_FY-5))</f>
        <v>1.4684999999999999</v>
      </c>
      <c r="H2992" s="15">
        <f>IF(A2996=A2997,_xll.ciqfunctions.udf.CIQ(A2988,"IQ_TOTAL_DIV_PAID_CF",IQ_FY-6)/-I2992, _xll.ciqfunctions.udf.CIQ(A2988, "IQ_TOTAL_DIV_PAID_CF",IQ_FY-5)/-I2992)</f>
        <v>0</v>
      </c>
      <c r="I2992" s="17">
        <f>IF(A2996=A2997,_xll.ciqfunctions.udf.CIQ(A2988,"IQ_TOTAL_OUTSTANDING_FILING_DATE",IQ_FY-6), _xll.ciqfunctions.udf.CIQ(A2988, "IQ_TOTAL_OUTSTANDING_FILING_DATE",IQ_FY-5))</f>
        <v>45.482349999999997</v>
      </c>
      <c r="J2992" s="17">
        <f>IF(A2996=A2997,_xll.ciqfunctions.udf.CIQ(A2988,"IQ_CASH_OPER",IQ_FY-6), _xll.ciqfunctions.udf.CIQ(A2988, "IQ_CASH_OPER",IQ_FY-5))</f>
        <v>84.168999999999997</v>
      </c>
      <c r="K2992" s="17">
        <f>IF(A2996=A2997,_xll.ciqfunctions.udf.CIQ(A2988,"IQ_CAPEX",IQ_FY-6), _xll.ciqfunctions.udf.CIQ(A2988, "IQ_CAPEX",IQ_FY-5))</f>
        <v>-7.0469999999999997</v>
      </c>
      <c r="L2992" s="15">
        <f t="shared" si="796"/>
        <v>1.6956467728690361</v>
      </c>
      <c r="M2992" s="17">
        <f>IF(A2996=A2997,_xll.ciqfunctions.udf.CIQ(A2988,"IQ_TOTAL_DEBT_ISSUED",IQ_FY-6), _xll.ciqfunctions.udf.CIQ(A2988, "IQ_TOTAL_DEBT_ISSUED",IQ_FY-5))</f>
        <v>0</v>
      </c>
      <c r="N2992" s="17">
        <f>IF(A2996=A2997,_xll.ciqfunctions.udf.CIQ(A2988,"IQ_TOTAL_DEBT_REPAID",IQ_FY-6), _xll.ciqfunctions.udf.CIQ(A2988, "IQ_TOTAL_DEBT_REPAID",IQ_FY-5))</f>
        <v>0</v>
      </c>
      <c r="O2992" s="15">
        <f t="shared" si="797"/>
        <v>0</v>
      </c>
      <c r="P2992" s="15">
        <f t="shared" si="798"/>
        <v>1.6956467728690361</v>
      </c>
      <c r="Q2992" s="18"/>
      <c r="R2992" s="38" t="s">
        <v>50</v>
      </c>
      <c r="S2992" s="3">
        <f>I2999</f>
        <v>-8.4007520336976116E-3</v>
      </c>
      <c r="U2992" s="18"/>
      <c r="V2992" s="38" t="s">
        <v>50</v>
      </c>
      <c r="W2992" s="3">
        <f>I2999</f>
        <v>-8.4007520336976116E-3</v>
      </c>
      <c r="Y2992" s="18"/>
      <c r="Z2992" s="38" t="s">
        <v>50</v>
      </c>
      <c r="AA2992" s="3">
        <f>I2999</f>
        <v>-8.4007520336976116E-3</v>
      </c>
    </row>
    <row r="2993" spans="1:27">
      <c r="B2993" s="13">
        <v>6</v>
      </c>
      <c r="C2993" s="14" t="s">
        <v>26</v>
      </c>
      <c r="D2993" s="15" cm="1">
        <f t="array" ref="D2993">_xlfn.SINGLE(IF(A2996=A2997,_xll.ciqfunctions.udf.CIQ(A2988,"IQ_TOTAL_REV",IQ_FY-5)/I2993, _xll.ciqfunctions.udf.CIQ(A2988, "IQ_TOTAL_REV",IQ_FY-4)/I2993))</f>
        <v>15.56413665919572</v>
      </c>
      <c r="E2993" s="16">
        <f t="shared" si="799"/>
        <v>1.2154126480205533E-2</v>
      </c>
      <c r="F2993" s="15">
        <f>IF(A2996=A2997,_xll.ciqfunctions.udf.CIQ(A2988,"IQ_DILUT_EPS_EXCL",IQ_FY-5), _xll.ciqfunctions.udf.CIQ(A2988, "IQ_DILUT_EPS_EXCL",IQ_FY-4))</f>
        <v>7.0000000000000007E-2</v>
      </c>
      <c r="G2993" s="15">
        <f>IF(A2996=A2997,_xll.ciqfunctions.udf.CIQ(A2988,"IQ_EBITDA_MARGIN",IQ_FY-5), _xll.ciqfunctions.udf.CIQ(A2988, "IQ_EBITDA_MARGIN",IQ_FY-4))</f>
        <v>4.4634</v>
      </c>
      <c r="H2993" s="15">
        <f>IF(A2996=A2997,_xll.ciqfunctions.udf.CIQ(A2988,"IQ_TOTAL_DIV_PAID_CF",IQ_FY-5)/-I2993, _xll.ciqfunctions.udf.CIQ(A2988, "IQ_TOTAL_DIV_PAID_CF",IQ_FY-4)/-I2993)</f>
        <v>0</v>
      </c>
      <c r="I2993" s="17">
        <f>IF(A2996=A2997,_xll.ciqfunctions.udf.CIQ(A2988,"IQ_TOTAL_OUTSTANDING_FILING_DATE",IQ_FY-5), _xll.ciqfunctions.udf.CIQ(A2988, "IQ_TOTAL_OUTSTANDING_FILING_DATE",IQ_FY-4))</f>
        <v>45.679180000000002</v>
      </c>
      <c r="J2993" s="17">
        <f>IF(A2996=A2997,_xll.ciqfunctions.udf.CIQ(A2988,"IQ_CASH_OPER",IQ_FY-5), _xll.ciqfunctions.udf.CIQ(A2988, "IQ_CASH_OPER",IQ_FY-4))</f>
        <v>110.18</v>
      </c>
      <c r="K2993" s="17">
        <f>IF(A2996=A2997,_xll.ciqfunctions.udf.CIQ(A2988,"IQ_CAPEX",IQ_FY-5), _xll.ciqfunctions.udf.CIQ(A2988, "IQ_CAPEX",IQ_FY-4))</f>
        <v>-6.56</v>
      </c>
      <c r="L2993" s="15">
        <f t="shared" si="796"/>
        <v>2.2684295120884395</v>
      </c>
      <c r="M2993" s="17">
        <f>IF(A2996=A2997,_xll.ciqfunctions.udf.CIQ(A2988,"IQ_TOTAL_DEBT_ISSUED",IQ_FY-5), _xll.ciqfunctions.udf.CIQ(A2988, "IQ_TOTAL_DEBT_ISSUED",IQ_FY-4))</f>
        <v>0</v>
      </c>
      <c r="N2993" s="17">
        <f>IF(A2996=A2997,_xll.ciqfunctions.udf.CIQ(A2988,"IQ_TOTAL_DEBT_REPAID",IQ_FY-5), _xll.ciqfunctions.udf.CIQ(A2988, "IQ_TOTAL_DEBT_REPAID",IQ_FY-4))</f>
        <v>0</v>
      </c>
      <c r="O2993" s="15">
        <f t="shared" si="797"/>
        <v>0</v>
      </c>
      <c r="P2993" s="15">
        <f t="shared" si="798"/>
        <v>2.2684295120884395</v>
      </c>
      <c r="Q2993" s="25" t="s">
        <v>27</v>
      </c>
      <c r="R2993" s="38" t="s">
        <v>51</v>
      </c>
      <c r="S2993" s="4">
        <f>AVERAGE(F2993:F2998)/AVERAGE(D2993:D2998)</f>
        <v>-1.2319130930725015E-2</v>
      </c>
      <c r="U2993" s="25" t="s">
        <v>58</v>
      </c>
      <c r="V2993" s="38" t="s">
        <v>51</v>
      </c>
      <c r="W2993" s="4">
        <f>AVERAGE(F2993:F2998)/AVERAGE(D2993:D2998)</f>
        <v>-1.2319130930725015E-2</v>
      </c>
      <c r="Y2993" s="25" t="s">
        <v>56</v>
      </c>
      <c r="Z2993" s="38" t="s">
        <v>51</v>
      </c>
      <c r="AA2993" s="4">
        <f>AVERAGE(F2993:F2998)/AVERAGE(D2993:D2998)</f>
        <v>-1.2319130930725015E-2</v>
      </c>
    </row>
    <row r="2994" spans="1:27">
      <c r="A2994" s="18"/>
      <c r="B2994" s="13">
        <v>7</v>
      </c>
      <c r="C2994" s="14" t="s">
        <v>28</v>
      </c>
      <c r="D2994" s="15" cm="1">
        <f t="array" ref="D2994">_xlfn.SINGLE(IF(A2996=A2997,_xll.ciqfunctions.udf.CIQ(A2988,"IQ_TOTAL_REV",IQ_FY-4)/I2994, _xll.ciqfunctions.udf.CIQ(A2988, "IQ_TOTAL_REV",IQ_FY-3)/I2994))</f>
        <v>14.530645749923924</v>
      </c>
      <c r="E2994" s="16">
        <f t="shared" si="799"/>
        <v>-6.640207111399149E-2</v>
      </c>
      <c r="F2994" s="15">
        <f>IF(A2996=A2997,_xll.ciqfunctions.udf.CIQ(A2988,"IQ_DILUT_EPS_EXCL",IQ_FY-4), _xll.ciqfunctions.udf.CIQ(A2988, "IQ_DILUT_EPS_EXCL",IQ_FY-3))</f>
        <v>-0.12327</v>
      </c>
      <c r="G2994" s="15">
        <f>IF(A2996=A2997,_xll.ciqfunctions.udf.CIQ(A2988,"IQ_EBITDA_MARGIN",IQ_FY-4), _xll.ciqfunctions.udf.CIQ(A2988, "IQ_EBITDA_MARGIN",IQ_FY-3))</f>
        <v>2.5520999999999998</v>
      </c>
      <c r="H2994" s="15">
        <f>IF(A2996=A2997,_xll.ciqfunctions.udf.CIQ(A2988,"IQ_TOTAL_DIV_PAID_CF",IQ_FY-4)/-I2994, _xll.ciqfunctions.udf.CIQ(A2988, "IQ_TOTAL_DIV_PAID_CF",IQ_FY-3)/-I2994)</f>
        <v>0</v>
      </c>
      <c r="I2994" s="17">
        <f>IF(A2996=A2997,_xll.ciqfunctions.udf.CIQ(A2988,"IQ_TOTAL_OUTSTANDING_FILING_DATE",IQ_FY-4), _xll.ciqfunctions.udf.CIQ(A2988, "IQ_TOTAL_OUTSTANDING_FILING_DATE",IQ_FY-3))</f>
        <v>46.170349999999999</v>
      </c>
      <c r="J2994" s="17">
        <f>IF(A2996=A2997,_xll.ciqfunctions.udf.CIQ(A2988,"IQ_CASH_OPER",IQ_FY-4), _xll.ciqfunctions.udf.CIQ(A2988, "IQ_CASH_OPER",IQ_FY-3))</f>
        <v>88.463999999999999</v>
      </c>
      <c r="K2994" s="17">
        <f>IF(A2996=A2997,_xll.ciqfunctions.udf.CIQ(A2988,"IQ_CAPEX",IQ_FY-4), _xll.ciqfunctions.udf.CIQ(A2988, "IQ_CAPEX",IQ_FY-3))</f>
        <v>-3.2029999999999998</v>
      </c>
      <c r="L2994" s="15">
        <f t="shared" si="796"/>
        <v>1.846661331352264</v>
      </c>
      <c r="M2994" s="17">
        <f>IF(A2996=A2997,_xll.ciqfunctions.udf.CIQ(A2988,"IQ_TOTAL_DEBT_ISSUED",IQ_FY-4), _xll.ciqfunctions.udf.CIQ(A2988, "IQ_TOTAL_DEBT_ISSUED",IQ_FY-3))</f>
        <v>0</v>
      </c>
      <c r="N2994" s="17">
        <f>IF(A2996=A2997,_xll.ciqfunctions.udf.CIQ(A2988,"IQ_TOTAL_DEBT_REPAID",IQ_FY-4), _xll.ciqfunctions.udf.CIQ(A2988, "IQ_TOTAL_DEBT_REPAID",IQ_FY-3))</f>
        <v>0</v>
      </c>
      <c r="O2994" s="15">
        <f t="shared" si="797"/>
        <v>0</v>
      </c>
      <c r="P2994" s="15">
        <f t="shared" si="798"/>
        <v>1.846661331352264</v>
      </c>
      <c r="Q2994" s="18"/>
      <c r="R2994" s="38" t="s">
        <v>29</v>
      </c>
      <c r="S2994" s="4">
        <f>(AVERAGE(P2993:P2998)/_xlfn.STDEV.P(P2993:P2998))/(IF(A2996=A2997,(_xlfn.SINGLE(_xll.ciqfunctions.udf.CIQ(A2988,"IQ_total_assets",IQ_FY)) - _xlfn.SINGLE(_xll.ciqfunctions.udf.CIQ(A2988,"iq_gw_intan", IQ_FY)))/I2998, (_xlfn.SINGLE(_xll.ciqfunctions.udf.CIQ(A2988, "IQ_total_assets",IQ_LTM))-_xlfn.SINGLE(_xll.ciqfunctions.udf.CIQ(A2988,"iq_gw_intan",IQ_LTM)))/I2998))</f>
        <v>0.24073101328837929</v>
      </c>
      <c r="U2994" s="18"/>
      <c r="V2994" s="38" t="s">
        <v>29</v>
      </c>
      <c r="W2994" s="4">
        <f>(AVERAGE(P2993:P2998)/_xlfn.STDEV.P(P2993:P2998))/(IF(A2996=A2997,(_xlfn.SINGLE(_xll.ciqfunctions.udf.CIQ(A2988,"IQ_total_assets",IQ_FY)) - _xlfn.SINGLE(_xll.ciqfunctions.udf.CIQ(A2988,"iq_gw_intan", IQ_FY)))/I2998, (_xlfn.SINGLE(_xll.ciqfunctions.udf.CIQ(A2988, "IQ_total_assets",IQ_LTM))-_xlfn.SINGLE(_xll.ciqfunctions.udf.CIQ(A2988,"iq_gw_intan",IQ_LTM)))/I2998))</f>
        <v>0.24073101328837929</v>
      </c>
      <c r="Y2994" s="18"/>
      <c r="Z2994" s="38" t="s">
        <v>29</v>
      </c>
      <c r="AA2994" s="4">
        <f>(AVERAGE(P2993:P2998)/_xlfn.STDEV.P(P2993:P2998))/(IF(A2996=A2997,(_xlfn.SINGLE(_xll.ciqfunctions.udf.CIQ(A2988,"IQ_total_assets",IQ_FY)) - _xlfn.SINGLE(_xll.ciqfunctions.udf.CIQ(A2988,"iq_gw_intan", IQ_FY)))/I2998, (_xlfn.SINGLE(_xll.ciqfunctions.udf.CIQ(A2988, "IQ_total_assets",IQ_LTM))-_xlfn.SINGLE(_xll.ciqfunctions.udf.CIQ(A2988,"iq_gw_intan",IQ_LTM)))/I2998))</f>
        <v>0.24073101328837929</v>
      </c>
    </row>
    <row r="2995" spans="1:27">
      <c r="A2995" s="18"/>
      <c r="B2995" s="13">
        <v>8</v>
      </c>
      <c r="C2995" s="14" t="s">
        <v>30</v>
      </c>
      <c r="D2995" s="15" cm="1">
        <f t="array" ref="D2995">_xlfn.SINGLE(IF(A2996=A2997,_xll.ciqfunctions.udf.CIQ(A2988,"IQ_TOTAL_REV",IQ_FY-3)/I2995, _xll.ciqfunctions.udf.CIQ(A2988, "IQ_TOTAL_REV",IQ_FY-2)/I2995))</f>
        <v>15.718685688859225</v>
      </c>
      <c r="E2995" s="16">
        <f t="shared" si="799"/>
        <v>8.176098704639613E-2</v>
      </c>
      <c r="F2995" s="15">
        <f>IF(A2996=A2997,_xll.ciqfunctions.udf.CIQ(A2988,"IQ_DILUT_EPS_EXCL",IQ_FY-3), _xll.ciqfunctions.udf.CIQ(A2988, "IQ_DILUT_EPS_EXCL",IQ_FY-2))</f>
        <v>-0.66351000000000004</v>
      </c>
      <c r="G2995" s="15">
        <f>IF(A2996=A2997,_xll.ciqfunctions.udf.CIQ(A2988,"IQ_EBITDA_MARGIN",IQ_FY-3), _xll.ciqfunctions.udf.CIQ(A2988, "IQ_EBITDA_MARGIN",IQ_FY-2))</f>
        <v>7.9873000000000003</v>
      </c>
      <c r="H2995" s="15">
        <f>IF(A2996=A2997,_xll.ciqfunctions.udf.CIQ(A2988,"IQ_TOTAL_DIV_PAID_CF",IQ_FY-3)/-I2995, _xll.ciqfunctions.udf.CIQ(A2988, "IQ_TOTAL_DIV_PAID_CF",IQ_FY-2)/-I2995)</f>
        <v>0</v>
      </c>
      <c r="I2995" s="17">
        <f>IF(A2996=A2997,_xll.ciqfunctions.udf.CIQ(A2988,"IQ_TOTAL_OUTSTANDING_FILING_DATE",IQ_FY-3), _xll.ciqfunctions.udf.CIQ(A2988, "IQ_TOTAL_OUTSTANDING_FILING_DATE",IQ_FY-2))</f>
        <v>46.026240000000001</v>
      </c>
      <c r="J2995" s="17">
        <f>IF(A2996=A2997,_xll.ciqfunctions.udf.CIQ(A2988,"IQ_CASH_OPER",IQ_FY-3), _xll.ciqfunctions.udf.CIQ(A2988, "IQ_CASH_OPER",IQ_FY-2))</f>
        <v>123.955</v>
      </c>
      <c r="K2995" s="17">
        <f>IF(A2996=A2997,_xll.ciqfunctions.udf.CIQ(A2988,"IQ_CAPEX",IQ_FY-3), _xll.ciqfunctions.udf.CIQ(A2988, "IQ_CAPEX",IQ_FY-2))</f>
        <v>-8.1760000000000002</v>
      </c>
      <c r="L2995" s="15">
        <f t="shared" si="796"/>
        <v>2.5154998539963289</v>
      </c>
      <c r="M2995" s="17">
        <f>IF(A2996=A2997,_xll.ciqfunctions.udf.CIQ(A2988,"IQ_TOTAL_DEBT_ISSUED",IQ_FY-3), _xll.ciqfunctions.udf.CIQ(A2988, "IQ_TOTAL_DEBT_ISSUED",IQ_FY-2))</f>
        <v>0</v>
      </c>
      <c r="N2995" s="17">
        <f>IF(A2996=A2997,_xll.ciqfunctions.udf.CIQ(A2988,"IQ_TOTAL_DEBT_REPAID",IQ_FY-3), _xll.ciqfunctions.udf.CIQ(A2988, "IQ_TOTAL_DEBT_REPAID",IQ_FY-2))</f>
        <v>0</v>
      </c>
      <c r="O2995" s="15">
        <f t="shared" si="797"/>
        <v>0</v>
      </c>
      <c r="P2995" s="15">
        <f t="shared" si="798"/>
        <v>2.5154998539963289</v>
      </c>
      <c r="Q2995" s="18"/>
      <c r="R2995" s="39" t="s">
        <v>31</v>
      </c>
      <c r="S2995" s="5">
        <f>IF(NOT(D2988&gt;0),FALSE,SLOPE(G2988:G2998,B2988:B2998))</f>
        <v>-0.15407909090909083</v>
      </c>
      <c r="U2995" s="18"/>
      <c r="V2995" s="39" t="s">
        <v>31</v>
      </c>
      <c r="W2995" s="5">
        <f>IF(NOT(D2988&gt;0),FALSE,SLOPE(G2988:G2998,B2988:B2998))</f>
        <v>-0.15407909090909083</v>
      </c>
      <c r="Y2995" s="18"/>
      <c r="Z2995" s="39" t="s">
        <v>31</v>
      </c>
      <c r="AA2995" s="5">
        <f>IF(NOT(L2988&gt;0),FALSE,SLOPE(O2988:O2998,J2988:J2998))</f>
        <v>0</v>
      </c>
    </row>
    <row r="2996" spans="1:27">
      <c r="A2996" s="19">
        <f>_xll.ciqfunctions.udf.CIQ(A2988,"IQ_TOTAL_REV",IQ_FY)</f>
        <v>784.59</v>
      </c>
      <c r="B2996" s="13">
        <v>9</v>
      </c>
      <c r="C2996" s="14" t="s">
        <v>32</v>
      </c>
      <c r="D2996" s="15" cm="1">
        <f t="array" ref="D2996">_xlfn.SINGLE(IF(A2996=A2997,_xll.ciqfunctions.udf.CIQ(A2988,"IQ_TOTAL_REV",IQ_FY-2)/I2996, _xll.ciqfunctions.udf.CIQ(A2988, "IQ_TOTAL_REV",IQ_FY-1)/I2996))</f>
        <v>17.254386120280351</v>
      </c>
      <c r="E2996" s="16">
        <f t="shared" si="799"/>
        <v>9.7699035518571994E-2</v>
      </c>
      <c r="F2996" s="15">
        <f>IF(A2996=A2997,_xll.ciqfunctions.udf.CIQ(A2988,"IQ_DILUT_EPS_EXCL",IQ_FY-2), _xll.ciqfunctions.udf.CIQ(A2988, "IQ_DILUT_EPS_EXCL",IQ_FY-1))</f>
        <v>0.71</v>
      </c>
      <c r="G2996" s="15">
        <f>IF(A2996=A2997,_xll.ciqfunctions.udf.CIQ(A2988,"IQ_EBITDA_MARGIN",IQ_FY-2), _xll.ciqfunctions.udf.CIQ(A2988, "IQ_EBITDA_MARGIN",IQ_FY-1))</f>
        <v>6.6018999999999997</v>
      </c>
      <c r="H2996" s="15">
        <f>IF(A2996=A2997,_xll.ciqfunctions.udf.CIQ(A2988,"IQ_TOTAL_DIV_PAID_CF",IQ_FY-2)/-I2996, _xll.ciqfunctions.udf.CIQ(A2988, "IQ_TOTAL_DIV_PAID_CF",IQ_FY-1)/-I2996)</f>
        <v>0</v>
      </c>
      <c r="I2996" s="17">
        <f>IF(A2996=A2997,_xll.ciqfunctions.udf.CIQ(A2988,"IQ_TOTAL_OUTSTANDING_FILING_DATE",IQ_FY-2), _xll.ciqfunctions.udf.CIQ(A2988, "IQ_TOTAL_OUTSTANDING_FILING_DATE",IQ_FY-1))</f>
        <v>44.602629999999998</v>
      </c>
      <c r="J2996" s="17">
        <f>IF(A2996=A2997,_xll.ciqfunctions.udf.CIQ(A2988,"IQ_CASH_OPER",IQ_FY-2), _xll.ciqfunctions.udf.CIQ(A2988, "IQ_CASH_OPER",IQ_FY-1))</f>
        <v>177.18</v>
      </c>
      <c r="K2996" s="17">
        <f>IF(A2996=A2997,_xll.ciqfunctions.udf.CIQ(A2988,"IQ_CAPEX",IQ_FY-2), _xll.ciqfunctions.udf.CIQ(A2988, "IQ_CAPEX",IQ_FY-1))</f>
        <v>-3.911</v>
      </c>
      <c r="L2996" s="15">
        <f t="shared" si="796"/>
        <v>3.884726080054024</v>
      </c>
      <c r="M2996" s="17">
        <f>IF(A2996=A2997,_xll.ciqfunctions.udf.CIQ(A2988,"IQ_TOTAL_DEBT_ISSUED",IQ_FY-2), _xll.ciqfunctions.udf.CIQ(A2988, "IQ_TOTAL_DEBT_ISSUED",IQ_FY-1))</f>
        <v>0</v>
      </c>
      <c r="N2996" s="17">
        <f>IF(A2996=A2997,_xll.ciqfunctions.udf.CIQ(A2988,"IQ_TOTAL_DEBT_REPAID",IQ_FY-2), _xll.ciqfunctions.udf.CIQ(A2988, "IQ_TOTAL_DEBT_REPAID",IQ_FY-1))</f>
        <v>0</v>
      </c>
      <c r="O2996" s="15">
        <f t="shared" si="797"/>
        <v>0</v>
      </c>
      <c r="P2996" s="15">
        <f t="shared" si="798"/>
        <v>3.884726080054024</v>
      </c>
      <c r="Q2996" s="25" t="s">
        <v>33</v>
      </c>
      <c r="R2996" s="38" t="s">
        <v>52</v>
      </c>
      <c r="S2996" s="4">
        <f>(AVERAGE(O2993:O2998)/AVERAGE(P2993:P2998))</f>
        <v>0</v>
      </c>
      <c r="U2996" s="25" t="s">
        <v>54</v>
      </c>
      <c r="V2996" s="38" t="s">
        <v>52</v>
      </c>
      <c r="W2996" s="4">
        <f>(AVERAGE(O2993:O2998)/AVERAGE(P2993:P2998))</f>
        <v>0</v>
      </c>
      <c r="Y2996" s="25" t="s">
        <v>60</v>
      </c>
      <c r="Z2996" s="38" t="s">
        <v>52</v>
      </c>
      <c r="AA2996" s="4">
        <f>(AVERAGE(O2993:O2998)/AVERAGE(P2993:P2998))</f>
        <v>0</v>
      </c>
    </row>
    <row r="2997" spans="1:27">
      <c r="A2997" s="19">
        <f>_xll.ciqfunctions.udf.CIQ(A2988,"IQ_TOTAL_REV",IQ_LTM)</f>
        <v>797.69899999999996</v>
      </c>
      <c r="B2997" s="13">
        <v>10</v>
      </c>
      <c r="C2997" s="14" t="s">
        <v>34</v>
      </c>
      <c r="D2997" s="15" cm="1">
        <f t="array" ref="D2997">_xlfn.SINGLE(IF(A2996=A2997,_xll.ciqfunctions.udf.CIQ(A2988,"IQ_TOTAL_REV",IQ_FY-1)/I2997, _xll.ciqfunctions.udf.CIQ(A2988, "IQ_TOTAL_REV",IQ_FY)/I2997))</f>
        <v>17.842198907350369</v>
      </c>
      <c r="E2997" s="16">
        <f t="shared" si="799"/>
        <v>3.4067441343457475E-2</v>
      </c>
      <c r="F2997" s="15">
        <f>IF(A2996=A2997,_xll.ciqfunctions.udf.CIQ(A2988,"IQ_DILUT_EPS_EXCL",IQ_FY-1), _xll.ciqfunctions.udf.CIQ(A2988, "IQ_DILUT_EPS_EXCL",IQ_FY))</f>
        <v>-0.80096000000000001</v>
      </c>
      <c r="G2997" s="15">
        <f>IF(A2996=A2997,_xll.ciqfunctions.udf.CIQ(A2988,"IQ_EBITDA_MARGIN",IQ_FY-1), _xll.ciqfunctions.udf.CIQ(A2988, "IQ_EBITDA_MARGIN",IQ_FY))</f>
        <v>8.0769000000000002</v>
      </c>
      <c r="H2997" s="15">
        <f>IF(A2996=A2997,_xll.ciqfunctions.udf.CIQ(A2988,"IQ_TOTAL_DIV_PAID_CF",IQ_FY-1)/-I2997, _xll.ciqfunctions.udf.CIQ(A2988, "IQ_TOTAL_DIV_PAID_CF",IQ_FY)/-I2997)</f>
        <v>0</v>
      </c>
      <c r="I2997" s="17">
        <f>IF(A2996=A2997,_xll.ciqfunctions.udf.CIQ(A2988,"IQ_TOTAL_OUTSTANDING_FILING_DATE",IQ_FY-1), _xll.ciqfunctions.udf.CIQ(A2988, "IQ_TOTAL_OUTSTANDING_FILING_DATE",IQ_FY))</f>
        <v>43.973840000000003</v>
      </c>
      <c r="J2997" s="17">
        <f>IF(A2996=A2997,_xll.ciqfunctions.udf.CIQ(A2988,"IQ_CASH_OPER",IQ_FY-1), _xll.ciqfunctions.udf.CIQ(A2988, "IQ_CASH_OPER",IQ_FY))</f>
        <v>170.28800000000001</v>
      </c>
      <c r="K2997" s="17">
        <f>IF(A2996=A2997,_xll.ciqfunctions.udf.CIQ(A2988,"IQ_CAPEX",IQ_FY-1), _xll.ciqfunctions.udf.CIQ(A2988, "IQ_CAPEX",IQ_FY))</f>
        <v>-3.2410000000000001</v>
      </c>
      <c r="L2997" s="15">
        <f t="shared" si="796"/>
        <v>3.7987812754128361</v>
      </c>
      <c r="M2997" s="17">
        <f>IF(A2996=A2997,_xll.ciqfunctions.udf.CIQ(A2988,"IQ_TOTAL_DEBT_ISSUED",IQ_FY-1), _xll.ciqfunctions.udf.CIQ(A2988, "IQ_TOTAL_DEBT_ISSUED",IQ_FY))</f>
        <v>0</v>
      </c>
      <c r="N2997" s="17">
        <f>IF(A2996=A2997,_xll.ciqfunctions.udf.CIQ(A2988,"IQ_TOTAL_DEBT_REPAID",IQ_FY-1), _xll.ciqfunctions.udf.CIQ(A2988, "IQ_TOTAL_DEBT_REPAID",IQ_FY))</f>
        <v>0</v>
      </c>
      <c r="O2997" s="15">
        <f t="shared" si="797"/>
        <v>0</v>
      </c>
      <c r="P2997" s="15">
        <f t="shared" si="798"/>
        <v>3.7987812754128361</v>
      </c>
      <c r="Q2997" s="25" t="s">
        <v>44</v>
      </c>
      <c r="R2997" s="38" t="s">
        <v>35</v>
      </c>
      <c r="S2997" s="1">
        <f>_xll.ciqfunctions.udf.CIQ(A2988,"IQ_TEV_EBITDA")</f>
        <v>33.597110000000001</v>
      </c>
      <c r="U2997" s="25" t="s">
        <v>55</v>
      </c>
      <c r="V2997" s="38" t="s">
        <v>53</v>
      </c>
      <c r="W2997" s="1">
        <f>V2987/(AVERAGE(D2993:D2998)/_xlfn.STDEV.P(E2993:E2998))</f>
        <v>0.23274493227250234</v>
      </c>
      <c r="Y2997" s="25" t="s">
        <v>57</v>
      </c>
      <c r="Z2997" s="38" t="s">
        <v>53</v>
      </c>
      <c r="AA2997" s="1">
        <f>Z2987/(AVERAGE(D2993:D2998)/_xlfn.STDEV.P(E2993:E2998))</f>
        <v>0.23274493227250234</v>
      </c>
    </row>
    <row r="2998" spans="1:27">
      <c r="B2998" s="13">
        <v>11</v>
      </c>
      <c r="C2998" s="20" t="s">
        <v>36</v>
      </c>
      <c r="D2998" s="21" cm="1">
        <f t="array" ref="D2998">_xlfn.SINGLE(IF(A2996=A2997,_xll.ciqfunctions.udf.CIQ(A2988,"IQ_TOTAL_REV",IQ_FY)/I2998, _xll.ciqfunctions.udf.CIQ(A2988, "IQ_TOTAL_REV",IQ_LTM)/I2998))</f>
        <v>18.215445813148154</v>
      </c>
      <c r="E2998" s="22">
        <f t="shared" si="799"/>
        <v>2.091933330280386E-2</v>
      </c>
      <c r="F2998" s="21">
        <f>IF(A2996=A2997,_xll.ciqfunctions.udf.CIQ(A2988,"IQ_DILUT_EPS_EXCL",IQ_FY), _xll.ciqfunctions.udf.CIQ(A2988, "IQ_DILUT_EPS_EXCL",IQ_LTM))</f>
        <v>-0.41339999999999999</v>
      </c>
      <c r="G2998" s="21">
        <f>IF(A2996=A2997,_xll.ciqfunctions.udf.CIQ(A2988,"IQ_EBITDA_MARGIN",IQ_FY), _xll.ciqfunctions.udf.CIQ(A2988, "IQ_EBITDA_MARGIN",IQ_LTM))</f>
        <v>9.7695000000000007</v>
      </c>
      <c r="H2998" s="21">
        <f>IF(A2996=A2997,_xll.ciqfunctions.udf.CIQ(A2988,"IQ_TOTAL_DIV_PAID_CF",IQ_FY)/-I2998, _xll.ciqfunctions.udf.CIQ(A2988, "IQ_TOTAL_DIV_PAID_CF",IQ_LTM)/-I2998)</f>
        <v>0</v>
      </c>
      <c r="I2998" s="23">
        <f>IF(A2996=A2997,_xll.ciqfunctions.udf.CIQ(A2988,"IQ_TOTAL_OUTSTANDING_FILING_DATE",IQ_FY),_xll.ciqfunctions.udf.CIQ(A2988,"IQ_sharesoutstanding"))</f>
        <v>43.792450000000002</v>
      </c>
      <c r="J2998" s="23">
        <f>IF(A2996=A2997,_xll.ciqfunctions.udf.CIQ(A2988,"IQ_CASH_OPER",IQ_FY), _xll.ciqfunctions.udf.CIQ(A2988, "IQ_CASH_OPER",IQ_LTM))</f>
        <v>177.38499999999999</v>
      </c>
      <c r="K2998" s="23">
        <f>IF(A2996=A2997,_xll.ciqfunctions.udf.CIQ(A2988,"IQ_CAPEX",IQ_FY), _xll.ciqfunctions.udf.CIQ(A2988, "IQ_CAPEX",IQ_LTM))</f>
        <v>-3.2730000000000001</v>
      </c>
      <c r="L2998" s="21">
        <f t="shared" si="796"/>
        <v>3.9758451513902506</v>
      </c>
      <c r="M2998" s="23">
        <f>IF(A2996=A2997,_xll.ciqfunctions.udf.CIQ(A2988,"IQ_TOTAL_DEBT_ISSUED",IQ_FY), _xll.ciqfunctions.udf.CIQ(A2988, "IQ_TOTAL_DEBT_ISSUED",IQ_LTM))</f>
        <v>0</v>
      </c>
      <c r="N2998" s="23">
        <f>IF(A2996=A2997,_xll.ciqfunctions.udf.CIQ(A2988,"IQ_TOTAL_DEBT_REPAID",IQ_FY), _xll.ciqfunctions.udf.CIQ(A2988, "IQ_TOTAL_DEBT_REPAID",IQ_LTM))</f>
        <v>0</v>
      </c>
      <c r="O2998" s="21">
        <f t="shared" si="797"/>
        <v>0</v>
      </c>
      <c r="P2998" s="21">
        <f t="shared" si="798"/>
        <v>3.9758451513902506</v>
      </c>
      <c r="Q2998" s="25" t="s">
        <v>45</v>
      </c>
      <c r="S2998" s="45"/>
      <c r="U2998" s="25"/>
      <c r="W2998" s="45"/>
      <c r="Y2998" s="25"/>
      <c r="AA2998" s="45"/>
    </row>
    <row r="2999" spans="1:27">
      <c r="B2999" s="24"/>
      <c r="C2999" s="25" t="s">
        <v>37</v>
      </c>
      <c r="E2999" s="26">
        <f>((D2998/D2993)^(1/5))-1</f>
        <v>3.1960213940726456E-2</v>
      </c>
      <c r="F2999" s="27">
        <f>((F2998/F2993)^(1/5))-1</f>
        <v>-2.4264432112642056</v>
      </c>
      <c r="G2999" s="28"/>
      <c r="H2999" s="27" t="e">
        <f>((H2998/H2993)^(1/5))-1</f>
        <v>#DIV/0!</v>
      </c>
      <c r="I2999" s="27">
        <f>((I2998/I2993)^(1/5))-1</f>
        <v>-8.4007520336976116E-3</v>
      </c>
      <c r="J2999" s="27"/>
      <c r="K2999" s="27"/>
      <c r="L2999" s="26">
        <f>((L2998/L2993)^(1/5))-1</f>
        <v>0.11877005757968195</v>
      </c>
      <c r="M2999" s="26"/>
      <c r="N2999" s="26"/>
      <c r="O2999" s="26"/>
      <c r="P2999" s="26">
        <f>((P2998/P2993)^(1/5))-1</f>
        <v>0.11877005757968195</v>
      </c>
      <c r="Q2999" s="18"/>
      <c r="R2999" s="36"/>
      <c r="S2999" s="45"/>
      <c r="U2999" s="18"/>
      <c r="V2999" s="36"/>
      <c r="W2999" s="45"/>
      <c r="Y2999" s="18"/>
      <c r="Z2999" s="36"/>
      <c r="AA2999" s="45"/>
    </row>
    <row r="3000" spans="1:27">
      <c r="A3000" s="29"/>
      <c r="B3000" s="30"/>
      <c r="C3000" s="31" t="s">
        <v>38</v>
      </c>
      <c r="D3000" s="29"/>
      <c r="E3000" s="32">
        <f>((D2998/D2988)^(1/10))-1</f>
        <v>3.8988983702114677E-2</v>
      </c>
      <c r="F3000" s="33" t="e">
        <f>((F2998/F2988)^(1/10))-1</f>
        <v>#NUM!</v>
      </c>
      <c r="G3000" s="34"/>
      <c r="H3000" s="33" t="e">
        <f>((H2998/H2988)^(1/10))-1</f>
        <v>#DIV/0!</v>
      </c>
      <c r="I3000" s="33">
        <f>((I2998/I2988)^(1/10))-1</f>
        <v>-7.4371649499758163E-3</v>
      </c>
      <c r="J3000" s="33"/>
      <c r="K3000" s="33"/>
      <c r="L3000" s="32">
        <f>((L2998/L2988)^(1/10))-1</f>
        <v>0.13689061258440494</v>
      </c>
      <c r="M3000" s="32"/>
      <c r="N3000" s="32"/>
      <c r="O3000" s="32"/>
      <c r="P3000" s="32">
        <f>((P2998/P2988)^(1/10))-1</f>
        <v>0.13689061258440494</v>
      </c>
      <c r="Q3000" s="40"/>
      <c r="R3000" s="41"/>
      <c r="S3000" s="46"/>
      <c r="U3000" s="40"/>
      <c r="V3000" s="41"/>
      <c r="W3000" s="46"/>
      <c r="Y3000" s="40"/>
      <c r="Z3000" s="41"/>
      <c r="AA3000" s="46"/>
    </row>
    <row r="3001" spans="1:27">
      <c r="B3001" s="24"/>
      <c r="C3001" s="25"/>
      <c r="E3001" s="26"/>
      <c r="F3001" s="27"/>
      <c r="G3001" s="28"/>
      <c r="H3001" s="27"/>
      <c r="I3001" s="27"/>
      <c r="J3001" s="27"/>
      <c r="K3001" s="27"/>
      <c r="L3001" s="26"/>
      <c r="M3001" s="17"/>
      <c r="N3001" s="17"/>
      <c r="O3001" s="17"/>
      <c r="P3001" s="35"/>
      <c r="Q3001" s="18"/>
      <c r="R3001" s="36"/>
    </row>
    <row r="3002" spans="1:27">
      <c r="A3002" s="9" t="s">
        <v>0</v>
      </c>
      <c r="B3002" s="10"/>
      <c r="C3002" s="9" t="s">
        <v>1</v>
      </c>
      <c r="D3002" s="9" t="s">
        <v>2</v>
      </c>
      <c r="E3002" s="9" t="s">
        <v>3</v>
      </c>
      <c r="F3002" s="11" t="s">
        <v>4</v>
      </c>
      <c r="G3002" s="11" t="s">
        <v>5</v>
      </c>
      <c r="H3002" s="9" t="s">
        <v>6</v>
      </c>
      <c r="I3002" s="11" t="s">
        <v>7</v>
      </c>
      <c r="J3002" s="11" t="s">
        <v>8</v>
      </c>
      <c r="K3002" s="11" t="s">
        <v>9</v>
      </c>
      <c r="L3002" s="11" t="s">
        <v>10</v>
      </c>
      <c r="M3002" s="11" t="s">
        <v>11</v>
      </c>
      <c r="N3002" s="11" t="s">
        <v>12</v>
      </c>
      <c r="O3002" s="11" t="s">
        <v>13</v>
      </c>
      <c r="P3002" s="11" t="s">
        <v>14</v>
      </c>
      <c r="Q3002" s="37" t="s">
        <v>15</v>
      </c>
      <c r="R3002" s="42">
        <f>_xll.ciqfunctions.udf.CIQ(A3003,("IQ_LASTSALEPRICE"))</f>
        <v>25.9</v>
      </c>
      <c r="S3002" s="44"/>
      <c r="U3002" s="37" t="s">
        <v>15</v>
      </c>
      <c r="V3002" s="42">
        <f>_xll.ciqfunctions.udf.CIQ(A3003,("IQ_LASTSALEPRICE"))</f>
        <v>25.9</v>
      </c>
      <c r="W3002" s="44"/>
      <c r="Y3002" s="37" t="s">
        <v>15</v>
      </c>
      <c r="Z3002" s="42">
        <f>_xll.ciqfunctions.udf.CIQ(A3003,("IQ_LASTSALEPRICE"))</f>
        <v>25.9</v>
      </c>
      <c r="AA3002" s="44"/>
    </row>
    <row r="3003" spans="1:27">
      <c r="A3003" s="12" t="str">
        <f>Analysis!B202</f>
        <v>NYSE:BOX</v>
      </c>
      <c r="B3003" s="13">
        <v>1</v>
      </c>
      <c r="C3003" s="14" t="s">
        <v>16</v>
      </c>
      <c r="D3003" s="15">
        <f>IF(A3011=A3012,_xll.ciqfunctions.udf.CIQ(A3003,"IQ_TOTAL_REV",IQ_FY-10)/I3003,_xll.ciqfunctions.udf.CIQ(A3003, "IQ_TOTAL_REV",IQ_FY-9)/I3003)</f>
        <v>11.391619007434382</v>
      </c>
      <c r="E3003" s="16"/>
      <c r="F3003" s="15">
        <f>IF(A3011=A3012,_xll.ciqfunctions.udf.CIQ(A3003,"IQ_DILUT_EPS_EXCL",IQ_FY-10), _xll.ciqfunctions.udf.CIQ(A3003, "IQ_DILUT_EPS_EXCL",IQ_FY-9))</f>
        <v>-14.89269</v>
      </c>
      <c r="G3003" s="15">
        <f>IF(A3011=A3012,_xll.ciqfunctions.udf.CIQ(A3003,"IQ_EBITDA_MARGIN",IQ_FY-10), _xll.ciqfunctions.udf.CIQ(A3003, "IQ_EBITDA_MARGIN",IQ_FY-9))</f>
        <v>-114.92359999999999</v>
      </c>
      <c r="H3003" s="15">
        <f>IF(A3011=A3012,_xll.ciqfunctions.udf.CIQ(A3003,"IQ_TOTAL_DIV_PAID_CF",IQ_FY-10)/-I3003, _xll.ciqfunctions.udf.CIQ(A3003, "IQ_TOTAL_DIV_PAID_CF",IQ_FY-9)/-I3003)</f>
        <v>0</v>
      </c>
      <c r="I3003" s="17">
        <f>IF(A3011=A3012,_xll.ciqfunctions.udf.CIQ(A3003,"IQ_TOTAL_OUTSTANDING_FILING_DATE",IQ_FY-10), _xll.ciqfunctions.udf.CIQ(A3003, "IQ_TOTAL_OUTSTANDING_FILING_DATE",IQ_FY-9))</f>
        <v>10.902049999999999</v>
      </c>
      <c r="J3003" s="17">
        <f>IF(A3011=A3012,_xll.ciqfunctions.udf.CIQ(A3003,"IQ_CASH_OPER",IQ_FY-10), _xll.ciqfunctions.udf.CIQ(A3003, "IQ_CASH_OPER",IQ_FY-9))</f>
        <v>-91.769000000000005</v>
      </c>
      <c r="K3003" s="17">
        <f>IF(A3011=A3012,_xll.ciqfunctions.udf.CIQ(A3003,"IQ_CAPEX",IQ_FY-10), _xll.ciqfunctions.udf.CIQ(A3003, "IQ_CAPEX",IQ_FY-9))</f>
        <v>-24.423999999999999</v>
      </c>
      <c r="L3003" s="15">
        <f t="shared" ref="L3003:L3013" si="800">(J3003+K3003)/I3003</f>
        <v>-10.657903788736983</v>
      </c>
      <c r="M3003" s="17">
        <f>IF(A3011=A3012,_xll.ciqfunctions.udf.CIQ(A3003,"IQ_TOTAL_DEBT_ISSUED",IQ_FY-10), _xll.ciqfunctions.udf.CIQ(A3003, "IQ_TOTAL_DEBT_ISSUED",IQ_FY-9))</f>
        <v>32.744</v>
      </c>
      <c r="N3003" s="17">
        <f>IF(A3011=A3012,_xll.ciqfunctions.udf.CIQ(A3003,"IQ_TOTAL_DEBT_REPAID",IQ_FY-10), _xll.ciqfunctions.udf.CIQ(A3003, "IQ_TOTAL_DEBT_REPAID",IQ_FY-9))</f>
        <v>-30.971</v>
      </c>
      <c r="O3003" s="15">
        <f t="shared" ref="O3003:O3013" si="801">(M3003+N3003)/I3003</f>
        <v>0.16262996408932265</v>
      </c>
      <c r="P3003" s="15">
        <f t="shared" ref="P3003:P3013" si="802">L3003+O3003</f>
        <v>-10.49527382464766</v>
      </c>
      <c r="W3003" s="43"/>
      <c r="AA3003" s="43"/>
    </row>
    <row r="3004" spans="1:27">
      <c r="A3004" s="18" t="str">
        <f>_xll.ciqfunctions.udf.CIQ(A3003,"IQ_COMPANY_NAME")</f>
        <v>Box, Inc.</v>
      </c>
      <c r="B3004" s="13">
        <v>2</v>
      </c>
      <c r="C3004" s="14" t="s">
        <v>17</v>
      </c>
      <c r="D3004" s="15">
        <f>IF(A3011=A3012,_xll.ciqfunctions.udf.CIQ(A3003,"IQ_TOTAL_REV",IQ_FY-9)/I3004, _xll.ciqfunctions.udf.CIQ(A3003, "IQ_TOTAL_REV",IQ_FY-8)/I3004)</f>
        <v>1.8068480744136906</v>
      </c>
      <c r="E3004" s="16">
        <f t="shared" ref="E3004:E3013" si="803">(D3004-D3003)/D3003</f>
        <v>-0.84138794729401434</v>
      </c>
      <c r="F3004" s="15">
        <f>IF(A3011=A3012,_xll.ciqfunctions.udf.CIQ(A3003,"IQ_DILUT_EPS_EXCL",IQ_FY-9), _xll.ciqfunctions.udf.CIQ(A3003, "IQ_DILUT_EPS_EXCL",IQ_FY-8))</f>
        <v>-11.47925</v>
      </c>
      <c r="G3004" s="15">
        <f>IF(A3011=A3012,_xll.ciqfunctions.udf.CIQ(A3003,"IQ_EBITDA_MARGIN",IQ_FY-9), _xll.ciqfunctions.udf.CIQ(A3003, "IQ_EBITDA_MARGIN",IQ_FY-8))</f>
        <v>-63.12</v>
      </c>
      <c r="H3004" s="15">
        <f>IF(A3011=A3012,_xll.ciqfunctions.udf.CIQ(A3003,"IQ_TOTAL_DIV_PAID_CF",IQ_FY-9)/-I3004, _xll.ciqfunctions.udf.CIQ(A3003, "IQ_TOTAL_DIV_PAID_CF",IQ_FY-8)/-I3004)</f>
        <v>0</v>
      </c>
      <c r="I3004" s="17">
        <f>IF(A3011=A3012,_xll.ciqfunctions.udf.CIQ(A3003,"IQ_TOTAL_OUTSTANDING_FILING_DATE",IQ_FY-9), _xll.ciqfunctions.udf.CIQ(A3003, "IQ_TOTAL_OUTSTANDING_FILING_DATE",IQ_FY-8))</f>
        <v>119.78870999999999</v>
      </c>
      <c r="J3004" s="17">
        <f>IF(A3011=A3012,_xll.ciqfunctions.udf.CIQ(A3003,"IQ_CASH_OPER",IQ_FY-9), _xll.ciqfunctions.udf.CIQ(A3003, "IQ_CASH_OPER",IQ_FY-8))</f>
        <v>-84.9</v>
      </c>
      <c r="K3004" s="17">
        <f>IF(A3011=A3012,_xll.ciqfunctions.udf.CIQ(A3003,"IQ_CAPEX",IQ_FY-9), _xll.ciqfunctions.udf.CIQ(A3003, "IQ_CAPEX",IQ_FY-8))</f>
        <v>-38.680999999999997</v>
      </c>
      <c r="L3004" s="15">
        <f t="shared" si="800"/>
        <v>-1.0316581587697204</v>
      </c>
      <c r="M3004" s="17">
        <f>IF(A3011=A3012,_xll.ciqfunctions.udf.CIQ(A3003,"IQ_TOTAL_DEBT_ISSUED",IQ_FY-9), _xll.ciqfunctions.udf.CIQ(A3003, "IQ_TOTAL_DEBT_ISSUED",IQ_FY-8))</f>
        <v>12</v>
      </c>
      <c r="N3004" s="17">
        <f>IF(A3011=A3012,_xll.ciqfunctions.udf.CIQ(A3003,"IQ_TOTAL_DEBT_REPAID",IQ_FY-9), _xll.ciqfunctions.udf.CIQ(A3003, "IQ_TOTAL_DEBT_REPAID",IQ_FY-8))</f>
        <v>-6.069</v>
      </c>
      <c r="O3004" s="15">
        <f t="shared" si="801"/>
        <v>4.951217856841434E-2</v>
      </c>
      <c r="P3004" s="15">
        <f t="shared" si="802"/>
        <v>-0.98214598020130606</v>
      </c>
      <c r="Q3004" s="25" t="s">
        <v>18</v>
      </c>
      <c r="R3004" s="39" t="s">
        <v>19</v>
      </c>
      <c r="S3004" s="1">
        <f>R3002/((AVERAGE(P3008:P3013))*(1+E3014)^3)</f>
        <v>14.450220808439397</v>
      </c>
      <c r="U3004" s="25" t="s">
        <v>48</v>
      </c>
      <c r="V3004" s="39" t="s">
        <v>19</v>
      </c>
      <c r="W3004" s="1">
        <f>V3002/((AVERAGE(P3008:P3013))*(1+E3014)^3)</f>
        <v>14.450220808439397</v>
      </c>
      <c r="Y3004" s="25" t="s">
        <v>39</v>
      </c>
      <c r="Z3004" s="39" t="s">
        <v>19</v>
      </c>
      <c r="AA3004" s="1">
        <f>Z3002/((AVERAGE(P3008:P3013))*(1+E3014)^3)</f>
        <v>14.450220808439397</v>
      </c>
    </row>
    <row r="3005" spans="1:27">
      <c r="B3005" s="13">
        <v>3</v>
      </c>
      <c r="C3005" s="14" t="s">
        <v>20</v>
      </c>
      <c r="D3005" s="15" cm="1">
        <f t="array" ref="D3005">_xlfn.SINGLE(IF(A3011=A3012,_xll.ciqfunctions.udf.CIQ(A3003,"IQ_TOTAL_REV",IQ_FY-8)/I3005, _xll.ciqfunctions.udf.CIQ(A3003, "IQ_TOTAL_REV",IQ_FY-7)/I3005))</f>
        <v>2.4333118971061092</v>
      </c>
      <c r="E3005" s="16">
        <f t="shared" si="803"/>
        <v>0.34671637951392326</v>
      </c>
      <c r="F3005" s="15">
        <f>IF(A3011=A3012,_xll.ciqfunctions.udf.CIQ(A3003,"IQ_DILUT_EPS_EXCL",IQ_FY-8), _xll.ciqfunctions.udf.CIQ(A3003, "IQ_DILUT_EPS_EXCL",IQ_FY-7))</f>
        <v>-1.67394</v>
      </c>
      <c r="G3005" s="15">
        <f>IF(A3011=A3012,_xll.ciqfunctions.udf.CIQ(A3003,"IQ_EBITDA_MARGIN",IQ_FY-8), _xll.ciqfunctions.udf.CIQ(A3003, "IQ_EBITDA_MARGIN",IQ_FY-7))</f>
        <v>-54.3322</v>
      </c>
      <c r="H3005" s="15">
        <f>IF(A3011=A3012,_xll.ciqfunctions.udf.CIQ(A3003,"IQ_TOTAL_DIV_PAID_CF",IQ_FY-8)/-I3005, _xll.ciqfunctions.udf.CIQ(A3003, "IQ_TOTAL_DIV_PAID_CF",IQ_FY-7)/-I3005)</f>
        <v>0</v>
      </c>
      <c r="I3005" s="17">
        <f>IF(A3011=A3012,_xll.ciqfunctions.udf.CIQ(A3003,"IQ_TOTAL_OUTSTANDING_FILING_DATE",IQ_FY-8), _xll.ciqfunctions.udf.CIQ(A3003, "IQ_TOTAL_OUTSTANDING_FILING_DATE",IQ_FY-7))</f>
        <v>124.4</v>
      </c>
      <c r="J3005" s="17">
        <f>IF(A3011=A3012,_xll.ciqfunctions.udf.CIQ(A3003,"IQ_CASH_OPER",IQ_FY-8), _xll.ciqfunctions.udf.CIQ(A3003, "IQ_CASH_OPER",IQ_FY-7))</f>
        <v>-66.320999999999998</v>
      </c>
      <c r="K3005" s="17">
        <f>IF(A3011=A3012,_xll.ciqfunctions.udf.CIQ(A3003,"IQ_CAPEX",IQ_FY-8), _xll.ciqfunctions.udf.CIQ(A3003, "IQ_CAPEX",IQ_FY-7))</f>
        <v>-72.938999999999993</v>
      </c>
      <c r="L3005" s="15">
        <f t="shared" si="800"/>
        <v>-1.1194533762057877</v>
      </c>
      <c r="M3005" s="17">
        <f>IF(A3011=A3012,_xll.ciqfunctions.udf.CIQ(A3003,"IQ_TOTAL_DEBT_ISSUED",IQ_FY-8), _xll.ciqfunctions.udf.CIQ(A3003, "IQ_TOTAL_DEBT_ISSUED",IQ_FY-7))</f>
        <v>39.86</v>
      </c>
      <c r="N3005" s="17">
        <f>IF(A3011=A3012,_xll.ciqfunctions.udf.CIQ(A3003,"IQ_TOTAL_DEBT_REPAID",IQ_FY-8), _xll.ciqfunctions.udf.CIQ(A3003, "IQ_TOTAL_DEBT_REPAID",IQ_FY-7))</f>
        <v>-42.036000000000001</v>
      </c>
      <c r="O3005" s="15">
        <f t="shared" si="801"/>
        <v>-1.7491961414791011E-2</v>
      </c>
      <c r="P3005" s="15">
        <f t="shared" si="802"/>
        <v>-1.1369453376205787</v>
      </c>
      <c r="Q3005" s="25" t="s">
        <v>21</v>
      </c>
      <c r="R3005" s="38" t="s">
        <v>49</v>
      </c>
      <c r="S3005" s="2">
        <f>(R3002*I3013)/1000</f>
        <v>3.7307774139999998</v>
      </c>
      <c r="U3005" s="25" t="s">
        <v>59</v>
      </c>
      <c r="V3005" s="38" t="s">
        <v>49</v>
      </c>
      <c r="W3005" s="2">
        <f>(V3002*I3013)/1000</f>
        <v>3.7307774139999998</v>
      </c>
      <c r="Y3005" s="25" t="s">
        <v>46</v>
      </c>
      <c r="Z3005" s="38" t="s">
        <v>49</v>
      </c>
      <c r="AA3005" s="2">
        <f>(Z3002*I3013)/1000</f>
        <v>3.7307774139999998</v>
      </c>
    </row>
    <row r="3006" spans="1:27">
      <c r="A3006" s="18"/>
      <c r="B3006" s="13">
        <v>4</v>
      </c>
      <c r="C3006" s="14" t="s">
        <v>22</v>
      </c>
      <c r="D3006" s="15" cm="1">
        <f t="array" ref="D3006">_xlfn.SINGLE(IF(A3011=A3012,_xll.ciqfunctions.udf.CIQ(A3003,"IQ_TOTAL_REV",IQ_FY-7)/I3006, _xll.ciqfunctions.udf.CIQ(A3003, "IQ_TOTAL_REV",IQ_FY-6)/I3006))</f>
        <v>3.0492457724757234</v>
      </c>
      <c r="E3006" s="16">
        <f t="shared" si="803"/>
        <v>0.25312574031390406</v>
      </c>
      <c r="F3006" s="15">
        <f>IF(A3011=A3012,_xll.ciqfunctions.udf.CIQ(A3003,"IQ_DILUT_EPS_EXCL",IQ_FY-7), _xll.ciqfunctions.udf.CIQ(A3003, "IQ_DILUT_EPS_EXCL",IQ_FY-6))</f>
        <v>-1.1907799999999999</v>
      </c>
      <c r="G3006" s="15">
        <f>IF(A3011=A3012,_xll.ciqfunctions.udf.CIQ(A3003,"IQ_EBITDA_MARGIN",IQ_FY-7), _xll.ciqfunctions.udf.CIQ(A3003, "IQ_EBITDA_MARGIN",IQ_FY-6))</f>
        <v>-28.941400000000002</v>
      </c>
      <c r="H3006" s="15">
        <f>IF(A3011=A3012,_xll.ciqfunctions.udf.CIQ(A3003,"IQ_TOTAL_DIV_PAID_CF",IQ_FY-7)/-I3006, _xll.ciqfunctions.udf.CIQ(A3003, "IQ_TOTAL_DIV_PAID_CF",IQ_FY-6)/-I3006)</f>
        <v>0</v>
      </c>
      <c r="I3006" s="17">
        <f>IF(A3011=A3012,_xll.ciqfunctions.udf.CIQ(A3003,"IQ_TOTAL_OUTSTANDING_FILING_DATE",IQ_FY-7), _xll.ciqfunctions.udf.CIQ(A3003, "IQ_TOTAL_OUTSTANDING_FILING_DATE",IQ_FY-6))</f>
        <v>130.72248999999999</v>
      </c>
      <c r="J3006" s="17">
        <f>IF(A3011=A3012,_xll.ciqfunctions.udf.CIQ(A3003,"IQ_CASH_OPER",IQ_FY-7), _xll.ciqfunctions.udf.CIQ(A3003, "IQ_CASH_OPER",IQ_FY-6))</f>
        <v>-2.3889999999999998</v>
      </c>
      <c r="K3006" s="17">
        <f>IF(A3011=A3012,_xll.ciqfunctions.udf.CIQ(A3003,"IQ_CAPEX",IQ_FY-7), _xll.ciqfunctions.udf.CIQ(A3003, "IQ_CAPEX",IQ_FY-6))</f>
        <v>-14.956</v>
      </c>
      <c r="L3006" s="15">
        <f t="shared" si="800"/>
        <v>-0.13268566105189702</v>
      </c>
      <c r="M3006" s="17">
        <f>IF(A3011=A3012,_xll.ciqfunctions.udf.CIQ(A3003,"IQ_TOTAL_DEBT_ISSUED",IQ_FY-7), _xll.ciqfunctions.udf.CIQ(A3003, "IQ_TOTAL_DEBT_ISSUED",IQ_FY-6))</f>
        <v>0</v>
      </c>
      <c r="N3006" s="17">
        <f>IF(A3011=A3012,_xll.ciqfunctions.udf.CIQ(A3003,"IQ_TOTAL_DEBT_REPAID",IQ_FY-7), _xll.ciqfunctions.udf.CIQ(A3003, "IQ_TOTAL_DEBT_REPAID",IQ_FY-6))</f>
        <v>-8.6750000000000007</v>
      </c>
      <c r="O3006" s="15">
        <f t="shared" si="801"/>
        <v>-6.6361955008659962E-2</v>
      </c>
      <c r="P3006" s="15">
        <f t="shared" si="802"/>
        <v>-0.19904761606055699</v>
      </c>
      <c r="Q3006" s="25" t="s">
        <v>23</v>
      </c>
      <c r="R3006" s="38" t="s">
        <v>24</v>
      </c>
      <c r="S3006" s="1" t="e">
        <f>R3002/(AVERAGE(H3008:H3013)*(1+H3014)/(0.5-H3014))</f>
        <v>#DIV/0!</v>
      </c>
      <c r="U3006" s="25" t="s">
        <v>40</v>
      </c>
      <c r="V3006" s="38" t="s">
        <v>24</v>
      </c>
      <c r="W3006" s="1" t="e">
        <f>V3002/(AVERAGE(H3008:H3013)*(1+H3014)/(0.5-H3014))</f>
        <v>#DIV/0!</v>
      </c>
      <c r="Y3006" s="25" t="s">
        <v>47</v>
      </c>
      <c r="Z3006" s="38" t="s">
        <v>24</v>
      </c>
      <c r="AA3006" s="1" t="e">
        <f>Z3002/(AVERAGE(H3008:H3013)*(1+H3014)/(0.5-H3014))</f>
        <v>#DIV/0!</v>
      </c>
    </row>
    <row r="3007" spans="1:27">
      <c r="B3007" s="13">
        <v>5</v>
      </c>
      <c r="C3007" s="14" t="s">
        <v>25</v>
      </c>
      <c r="D3007" s="15" cm="1">
        <f t="array" ref="D3007">_xlfn.SINGLE(IF(A3011=A3012,_xll.ciqfunctions.udf.CIQ(A3003,"IQ_TOTAL_REV",IQ_FY-6)/I3007, _xll.ciqfunctions.udf.CIQ(A3003, "IQ_TOTAL_REV",IQ_FY-5)/I3007))</f>
        <v>3.6807484396477888</v>
      </c>
      <c r="E3007" s="16">
        <f t="shared" si="803"/>
        <v>0.20710126840951226</v>
      </c>
      <c r="F3007" s="15">
        <f>IF(A3011=A3012,_xll.ciqfunctions.udf.CIQ(A3003,"IQ_DILUT_EPS_EXCL",IQ_FY-6), _xll.ciqfunctions.udf.CIQ(A3003, "IQ_DILUT_EPS_EXCL",IQ_FY-5))</f>
        <v>-1.1570100000000001</v>
      </c>
      <c r="G3007" s="15">
        <f>IF(A3011=A3012,_xll.ciqfunctions.udf.CIQ(A3003,"IQ_EBITDA_MARGIN",IQ_FY-6), _xll.ciqfunctions.udf.CIQ(A3003, "IQ_EBITDA_MARGIN",IQ_FY-5))</f>
        <v>-22.577400000000001</v>
      </c>
      <c r="H3007" s="15">
        <f>IF(A3011=A3012,_xll.ciqfunctions.udf.CIQ(A3003,"IQ_TOTAL_DIV_PAID_CF",IQ_FY-6)/-I3007, _xll.ciqfunctions.udf.CIQ(A3003, "IQ_TOTAL_DIV_PAID_CF",IQ_FY-5)/-I3007)</f>
        <v>0</v>
      </c>
      <c r="I3007" s="17">
        <f>IF(A3011=A3012,_xll.ciqfunctions.udf.CIQ(A3003,"IQ_TOTAL_OUTSTANDING_FILING_DATE",IQ_FY-6), _xll.ciqfunctions.udf.CIQ(A3003, "IQ_TOTAL_OUTSTANDING_FILING_DATE",IQ_FY-5))</f>
        <v>137.51061999999999</v>
      </c>
      <c r="J3007" s="17">
        <f>IF(A3011=A3012,_xll.ciqfunctions.udf.CIQ(A3003,"IQ_CASH_OPER",IQ_FY-6), _xll.ciqfunctions.udf.CIQ(A3003, "IQ_CASH_OPER",IQ_FY-5))</f>
        <v>35.390999999999998</v>
      </c>
      <c r="K3007" s="17">
        <f>IF(A3011=A3012,_xll.ciqfunctions.udf.CIQ(A3003,"IQ_CAPEX",IQ_FY-6), _xll.ciqfunctions.udf.CIQ(A3003, "IQ_CAPEX",IQ_FY-5))</f>
        <v>-11.821999999999999</v>
      </c>
      <c r="L3007" s="15">
        <f t="shared" si="800"/>
        <v>0.17139767095806854</v>
      </c>
      <c r="M3007" s="17">
        <f>IF(A3011=A3012,_xll.ciqfunctions.udf.CIQ(A3003,"IQ_TOTAL_DEBT_ISSUED",IQ_FY-6), _xll.ciqfunctions.udf.CIQ(A3003, "IQ_TOTAL_DEBT_ISSUED",IQ_FY-5))</f>
        <v>39.93</v>
      </c>
      <c r="N3007" s="17">
        <f>IF(A3011=A3012,_xll.ciqfunctions.udf.CIQ(A3003,"IQ_TOTAL_DEBT_REPAID",IQ_FY-6), _xll.ciqfunctions.udf.CIQ(A3003, "IQ_TOTAL_DEBT_REPAID",IQ_FY-5))</f>
        <v>-56.052</v>
      </c>
      <c r="O3007" s="15">
        <f t="shared" si="801"/>
        <v>-0.11724185375645896</v>
      </c>
      <c r="P3007" s="15">
        <f t="shared" si="802"/>
        <v>5.4155817201609585E-2</v>
      </c>
      <c r="Q3007" s="18"/>
      <c r="R3007" s="38" t="s">
        <v>50</v>
      </c>
      <c r="S3007" s="3">
        <f>I3014</f>
        <v>-3.9771875553917813E-4</v>
      </c>
      <c r="U3007" s="18"/>
      <c r="V3007" s="38" t="s">
        <v>50</v>
      </c>
      <c r="W3007" s="3">
        <f>I3014</f>
        <v>-3.9771875553917813E-4</v>
      </c>
      <c r="Y3007" s="18"/>
      <c r="Z3007" s="38" t="s">
        <v>50</v>
      </c>
      <c r="AA3007" s="3">
        <f>I3014</f>
        <v>-3.9771875553917813E-4</v>
      </c>
    </row>
    <row r="3008" spans="1:27">
      <c r="B3008" s="13">
        <v>6</v>
      </c>
      <c r="C3008" s="14" t="s">
        <v>26</v>
      </c>
      <c r="D3008" s="15" cm="1">
        <f t="array" ref="D3008">_xlfn.SINGLE(IF(A3011=A3012,_xll.ciqfunctions.udf.CIQ(A3003,"IQ_TOTAL_REV",IQ_FY-5)/I3008, _xll.ciqfunctions.udf.CIQ(A3003, "IQ_TOTAL_REV",IQ_FY-4)/I3008))</f>
        <v>4.2151771347013574</v>
      </c>
      <c r="E3008" s="16">
        <f t="shared" si="803"/>
        <v>0.14519565893090705</v>
      </c>
      <c r="F3008" s="15">
        <f>IF(A3011=A3012,_xll.ciqfunctions.udf.CIQ(A3003,"IQ_DILUT_EPS_EXCL",IQ_FY-5), _xll.ciqfunctions.udf.CIQ(A3003, "IQ_DILUT_EPS_EXCL",IQ_FY-4))</f>
        <v>-0.95232000000000006</v>
      </c>
      <c r="G3008" s="15">
        <f>IF(A3011=A3012,_xll.ciqfunctions.udf.CIQ(A3003,"IQ_EBITDA_MARGIN",IQ_FY-5), _xll.ciqfunctions.udf.CIQ(A3003, "IQ_EBITDA_MARGIN",IQ_FY-4))</f>
        <v>-14.450799999999999</v>
      </c>
      <c r="H3008" s="15">
        <f>IF(A3011=A3012,_xll.ciqfunctions.udf.CIQ(A3003,"IQ_TOTAL_DIV_PAID_CF",IQ_FY-5)/-I3008, _xll.ciqfunctions.udf.CIQ(A3003, "IQ_TOTAL_DIV_PAID_CF",IQ_FY-4)/-I3008)</f>
        <v>0</v>
      </c>
      <c r="I3008" s="17">
        <f>IF(A3011=A3012,_xll.ciqfunctions.udf.CIQ(A3003,"IQ_TOTAL_OUTSTANDING_FILING_DATE",IQ_FY-5), _xll.ciqfunctions.udf.CIQ(A3003, "IQ_TOTAL_OUTSTANDING_FILING_DATE",IQ_FY-4))</f>
        <v>144.33224999999999</v>
      </c>
      <c r="J3008" s="17">
        <f>IF(A3011=A3012,_xll.ciqfunctions.udf.CIQ(A3003,"IQ_CASH_OPER",IQ_FY-5), _xll.ciqfunctions.udf.CIQ(A3003, "IQ_CASH_OPER",IQ_FY-4))</f>
        <v>55.320999999999998</v>
      </c>
      <c r="K3008" s="17">
        <f>IF(A3011=A3012,_xll.ciqfunctions.udf.CIQ(A3003,"IQ_CAPEX",IQ_FY-5), _xll.ciqfunctions.udf.CIQ(A3003, "IQ_CAPEX",IQ_FY-4))</f>
        <v>-14.805999999999999</v>
      </c>
      <c r="L3008" s="15">
        <f t="shared" si="800"/>
        <v>0.28070649491018124</v>
      </c>
      <c r="M3008" s="17">
        <f>IF(A3011=A3012,_xll.ciqfunctions.udf.CIQ(A3003,"IQ_TOTAL_DEBT_ISSUED",IQ_FY-5), _xll.ciqfunctions.udf.CIQ(A3003, "IQ_TOTAL_DEBT_ISSUED",IQ_FY-4))</f>
        <v>0</v>
      </c>
      <c r="N3008" s="17">
        <f>IF(A3011=A3012,_xll.ciqfunctions.udf.CIQ(A3003,"IQ_TOTAL_DEBT_REPAID",IQ_FY-5), _xll.ciqfunctions.udf.CIQ(A3003, "IQ_TOTAL_DEBT_REPAID",IQ_FY-4))</f>
        <v>-23.93</v>
      </c>
      <c r="O3008" s="15">
        <f t="shared" si="801"/>
        <v>-0.16579801118599621</v>
      </c>
      <c r="P3008" s="15">
        <f t="shared" si="802"/>
        <v>0.11490848372418502</v>
      </c>
      <c r="Q3008" s="25" t="s">
        <v>27</v>
      </c>
      <c r="R3008" s="38" t="s">
        <v>51</v>
      </c>
      <c r="S3008" s="4">
        <f>AVERAGE(F3008:F3013)/AVERAGE(D3008:D3013)</f>
        <v>-6.8446459455810599E-2</v>
      </c>
      <c r="U3008" s="25" t="s">
        <v>58</v>
      </c>
      <c r="V3008" s="38" t="s">
        <v>51</v>
      </c>
      <c r="W3008" s="4">
        <f>AVERAGE(F3008:F3013)/AVERAGE(D3008:D3013)</f>
        <v>-6.8446459455810599E-2</v>
      </c>
      <c r="Y3008" s="25" t="s">
        <v>56</v>
      </c>
      <c r="Z3008" s="38" t="s">
        <v>51</v>
      </c>
      <c r="AA3008" s="4">
        <f>AVERAGE(F3008:F3013)/AVERAGE(D3008:D3013)</f>
        <v>-6.8446459455810599E-2</v>
      </c>
    </row>
    <row r="3009" spans="1:27">
      <c r="A3009" s="18"/>
      <c r="B3009" s="13">
        <v>7</v>
      </c>
      <c r="C3009" s="14" t="s">
        <v>28</v>
      </c>
      <c r="D3009" s="15" cm="1">
        <f t="array" ref="D3009">_xlfn.SINGLE(IF(A3011=A3012,_xll.ciqfunctions.udf.CIQ(A3003,"IQ_TOTAL_REV",IQ_FY-4)/I3009, _xll.ciqfunctions.udf.CIQ(A3003, "IQ_TOTAL_REV",IQ_FY-3)/I3009))</f>
        <v>4.6200856382424584</v>
      </c>
      <c r="E3009" s="16">
        <f t="shared" si="803"/>
        <v>9.6059665015664542E-2</v>
      </c>
      <c r="F3009" s="15">
        <f>IF(A3011=A3012,_xll.ciqfunctions.udf.CIQ(A3003,"IQ_DILUT_EPS_EXCL",IQ_FY-4), _xll.ciqfunctions.udf.CIQ(A3003, "IQ_DILUT_EPS_EXCL",IQ_FY-3))</f>
        <v>-0.97689999999999999</v>
      </c>
      <c r="G3009" s="15">
        <f>IF(A3011=A3012,_xll.ciqfunctions.udf.CIQ(A3003,"IQ_EBITDA_MARGIN",IQ_FY-4), _xll.ciqfunctions.udf.CIQ(A3003, "IQ_EBITDA_MARGIN",IQ_FY-3))</f>
        <v>-11.496700000000001</v>
      </c>
      <c r="H3009" s="15">
        <f>IF(A3011=A3012,_xll.ciqfunctions.udf.CIQ(A3003,"IQ_TOTAL_DIV_PAID_CF",IQ_FY-4)/-I3009, _xll.ciqfunctions.udf.CIQ(A3003, "IQ_TOTAL_DIV_PAID_CF",IQ_FY-3)/-I3009)</f>
        <v>0</v>
      </c>
      <c r="I3009" s="17">
        <f>IF(A3011=A3012,_xll.ciqfunctions.udf.CIQ(A3003,"IQ_TOTAL_OUTSTANDING_FILING_DATE",IQ_FY-4), _xll.ciqfunctions.udf.CIQ(A3003, "IQ_TOTAL_OUTSTANDING_FILING_DATE",IQ_FY-3))</f>
        <v>150.7037</v>
      </c>
      <c r="J3009" s="17">
        <f>IF(A3011=A3012,_xll.ciqfunctions.udf.CIQ(A3003,"IQ_CASH_OPER",IQ_FY-4), _xll.ciqfunctions.udf.CIQ(A3003, "IQ_CASH_OPER",IQ_FY-3))</f>
        <v>44.713000000000001</v>
      </c>
      <c r="K3009" s="17">
        <f>IF(A3011=A3012,_xll.ciqfunctions.udf.CIQ(A3003,"IQ_CAPEX",IQ_FY-4), _xll.ciqfunctions.udf.CIQ(A3003, "IQ_CAPEX",IQ_FY-3))</f>
        <v>-5.444</v>
      </c>
      <c r="L3009" s="15">
        <f t="shared" si="800"/>
        <v>0.26057090834531599</v>
      </c>
      <c r="M3009" s="17">
        <f>IF(A3011=A3012,_xll.ciqfunctions.udf.CIQ(A3003,"IQ_TOTAL_DEBT_ISSUED",IQ_FY-4), _xll.ciqfunctions.udf.CIQ(A3003, "IQ_TOTAL_DEBT_ISSUED",IQ_FY-3))</f>
        <v>0</v>
      </c>
      <c r="N3009" s="17">
        <f>IF(A3011=A3012,_xll.ciqfunctions.udf.CIQ(A3003,"IQ_TOTAL_DEBT_REPAID",IQ_FY-4), _xll.ciqfunctions.udf.CIQ(A3003, "IQ_TOTAL_DEBT_REPAID",IQ_FY-3))</f>
        <v>-38.542000000000002</v>
      </c>
      <c r="O3009" s="15">
        <f t="shared" si="801"/>
        <v>-0.25574687283722963</v>
      </c>
      <c r="P3009" s="15">
        <f t="shared" si="802"/>
        <v>4.8240355080863551E-3</v>
      </c>
      <c r="Q3009" s="18"/>
      <c r="R3009" s="38" t="s">
        <v>29</v>
      </c>
      <c r="S3009" s="4">
        <f>(AVERAGE(P3008:P3013)/_xlfn.STDEV.P(P3008:P3013))/(IF(A3011=A3012,(_xlfn.SINGLE(_xll.ciqfunctions.udf.CIQ(A3003,"IQ_total_assets",IQ_FY)) - _xlfn.SINGLE(_xll.ciqfunctions.udf.CIQ(A3003,"iq_gw_intan", IQ_FY)))/I3013, (_xlfn.SINGLE(_xll.ciqfunctions.udf.CIQ(A3003, "IQ_total_assets",IQ_LTM))-_xlfn.SINGLE(_xll.ciqfunctions.udf.CIQ(A3003,"iq_gw_intan",IQ_LTM)))/I3013))</f>
        <v>0.18980520309956259</v>
      </c>
      <c r="U3009" s="18"/>
      <c r="V3009" s="38" t="s">
        <v>29</v>
      </c>
      <c r="W3009" s="4">
        <f>(AVERAGE(P3008:P3013)/_xlfn.STDEV.P(P3008:P3013))/(IF(A3011=A3012,(_xlfn.SINGLE(_xll.ciqfunctions.udf.CIQ(A3003,"IQ_total_assets",IQ_FY)) - _xlfn.SINGLE(_xll.ciqfunctions.udf.CIQ(A3003,"iq_gw_intan", IQ_FY)))/I3013, (_xlfn.SINGLE(_xll.ciqfunctions.udf.CIQ(A3003, "IQ_total_assets",IQ_LTM))-_xlfn.SINGLE(_xll.ciqfunctions.udf.CIQ(A3003,"iq_gw_intan",IQ_LTM)))/I3013))</f>
        <v>0.18980520309956259</v>
      </c>
      <c r="Y3009" s="18"/>
      <c r="Z3009" s="38" t="s">
        <v>29</v>
      </c>
      <c r="AA3009" s="4">
        <f>(AVERAGE(P3008:P3013)/_xlfn.STDEV.P(P3008:P3013))/(IF(A3011=A3012,(_xlfn.SINGLE(_xll.ciqfunctions.udf.CIQ(A3003,"IQ_total_assets",IQ_FY)) - _xlfn.SINGLE(_xll.ciqfunctions.udf.CIQ(A3003,"iq_gw_intan", IQ_FY)))/I3013, (_xlfn.SINGLE(_xll.ciqfunctions.udf.CIQ(A3003, "IQ_total_assets",IQ_LTM))-_xlfn.SINGLE(_xll.ciqfunctions.udf.CIQ(A3003,"iq_gw_intan",IQ_LTM)))/I3013))</f>
        <v>0.18980520309956259</v>
      </c>
    </row>
    <row r="3010" spans="1:27">
      <c r="A3010" s="18"/>
      <c r="B3010" s="13">
        <v>8</v>
      </c>
      <c r="C3010" s="14" t="s">
        <v>30</v>
      </c>
      <c r="D3010" s="15" cm="1">
        <f t="array" ref="D3010">_xlfn.SINGLE(IF(A3011=A3012,_xll.ciqfunctions.udf.CIQ(A3003,"IQ_TOTAL_REV",IQ_FY-3)/I3010, _xll.ciqfunctions.udf.CIQ(A3003, "IQ_TOTAL_REV",IQ_FY-2)/I3010))</f>
        <v>4.8215325463612029</v>
      </c>
      <c r="E3010" s="16">
        <f t="shared" si="803"/>
        <v>4.3602418632953631E-2</v>
      </c>
      <c r="F3010" s="15">
        <f>IF(A3011=A3012,_xll.ciqfunctions.udf.CIQ(A3003,"IQ_DILUT_EPS_EXCL",IQ_FY-3), _xll.ciqfunctions.udf.CIQ(A3003, "IQ_DILUT_EPS_EXCL",IQ_FY-2))</f>
        <v>-0.28000000000000003</v>
      </c>
      <c r="G3010" s="15">
        <f>IF(A3011=A3012,_xll.ciqfunctions.udf.CIQ(A3003,"IQ_EBITDA_MARGIN",IQ_FY-3), _xll.ciqfunctions.udf.CIQ(A3003, "IQ_EBITDA_MARGIN",IQ_FY-2))</f>
        <v>5.0907</v>
      </c>
      <c r="H3010" s="15">
        <f>IF(A3011=A3012,_xll.ciqfunctions.udf.CIQ(A3003,"IQ_TOTAL_DIV_PAID_CF",IQ_FY-3)/-I3010, _xll.ciqfunctions.udf.CIQ(A3003, "IQ_TOTAL_DIV_PAID_CF",IQ_FY-2)/-I3010)</f>
        <v>0</v>
      </c>
      <c r="I3010" s="17">
        <f>IF(A3011=A3012,_xll.ciqfunctions.udf.CIQ(A3003,"IQ_TOTAL_OUTSTANDING_FILING_DATE",IQ_FY-3), _xll.ciqfunctions.udf.CIQ(A3003, "IQ_TOTAL_OUTSTANDING_FILING_DATE",IQ_FY-2))</f>
        <v>159.85996</v>
      </c>
      <c r="J3010" s="17">
        <f>IF(A3011=A3012,_xll.ciqfunctions.udf.CIQ(A3003,"IQ_CASH_OPER",IQ_FY-3), _xll.ciqfunctions.udf.CIQ(A3003, "IQ_CASH_OPER",IQ_FY-2))</f>
        <v>196.834</v>
      </c>
      <c r="K3010" s="17">
        <f>IF(A3011=A3012,_xll.ciqfunctions.udf.CIQ(A3003,"IQ_CAPEX",IQ_FY-3), _xll.ciqfunctions.udf.CIQ(A3003, "IQ_CAPEX",IQ_FY-2))</f>
        <v>-9.0519999999999996</v>
      </c>
      <c r="L3010" s="15">
        <f t="shared" si="800"/>
        <v>1.1746656260892347</v>
      </c>
      <c r="M3010" s="17">
        <f>IF(A3011=A3012,_xll.ciqfunctions.udf.CIQ(A3003,"IQ_TOTAL_DEBT_ISSUED",IQ_FY-3), _xll.ciqfunctions.udf.CIQ(A3003, "IQ_TOTAL_DEBT_ISSUED",IQ_FY-2))</f>
        <v>366.375</v>
      </c>
      <c r="N3010" s="17">
        <f>IF(A3011=A3012,_xll.ciqfunctions.udf.CIQ(A3003,"IQ_TOTAL_DEBT_REPAID",IQ_FY-3), _xll.ciqfunctions.udf.CIQ(A3003, "IQ_TOTAL_DEBT_REPAID",IQ_FY-2))</f>
        <v>-100.02</v>
      </c>
      <c r="O3010" s="15">
        <f t="shared" si="801"/>
        <v>1.6661770714818145</v>
      </c>
      <c r="P3010" s="15">
        <f t="shared" si="802"/>
        <v>2.8408426975710492</v>
      </c>
      <c r="Q3010" s="18"/>
      <c r="R3010" s="39" t="s">
        <v>31</v>
      </c>
      <c r="S3010" s="5">
        <f>IF(NOT(D3003&gt;0),FALSE,SLOPE(G3003:G3013,B3003:B3013))</f>
        <v>10.710475454545454</v>
      </c>
      <c r="U3010" s="18"/>
      <c r="V3010" s="39" t="s">
        <v>31</v>
      </c>
      <c r="W3010" s="5">
        <f>IF(NOT(D3003&gt;0),FALSE,SLOPE(G3003:G3013,B3003:B3013))</f>
        <v>10.710475454545454</v>
      </c>
      <c r="Y3010" s="18"/>
      <c r="Z3010" s="39" t="s">
        <v>31</v>
      </c>
      <c r="AA3010" s="5" t="b">
        <f>IF(NOT(L3003&gt;0),FALSE,SLOPE(O3003:O3013,J3003:J3013))</f>
        <v>0</v>
      </c>
    </row>
    <row r="3011" spans="1:27">
      <c r="A3011" s="19">
        <f>_xll.ciqfunctions.udf.CIQ(A3003,"IQ_TOTAL_REV",IQ_FY)</f>
        <v>990.87400000000002</v>
      </c>
      <c r="B3011" s="13">
        <v>9</v>
      </c>
      <c r="C3011" s="14" t="s">
        <v>32</v>
      </c>
      <c r="D3011" s="15" cm="1">
        <f t="array" ref="D3011">_xlfn.SINGLE(IF(A3011=A3012,_xll.ciqfunctions.udf.CIQ(A3003,"IQ_TOTAL_REV",IQ_FY-2)/I3011, _xll.ciqfunctions.udf.CIQ(A3003, "IQ_TOTAL_REV",IQ_FY-1)/I3011))</f>
        <v>6.0961477145093674</v>
      </c>
      <c r="E3011" s="16">
        <f t="shared" si="803"/>
        <v>0.26435892652225546</v>
      </c>
      <c r="F3011" s="15">
        <f>IF(A3011=A3012,_xll.ciqfunctions.udf.CIQ(A3003,"IQ_DILUT_EPS_EXCL",IQ_FY-2), _xll.ciqfunctions.udf.CIQ(A3003, "IQ_DILUT_EPS_EXCL",IQ_FY-1))</f>
        <v>-0.35</v>
      </c>
      <c r="G3011" s="15">
        <f>IF(A3011=A3012,_xll.ciqfunctions.udf.CIQ(A3003,"IQ_EBITDA_MARGIN",IQ_FY-2), _xll.ciqfunctions.udf.CIQ(A3003, "IQ_EBITDA_MARGIN",IQ_FY-1))</f>
        <v>6.9885999999999999</v>
      </c>
      <c r="H3011" s="15">
        <f>IF(A3011=A3012,_xll.ciqfunctions.udf.CIQ(A3003,"IQ_TOTAL_DIV_PAID_CF",IQ_FY-2)/-I3011, _xll.ciqfunctions.udf.CIQ(A3003, "IQ_TOTAL_DIV_PAID_CF",IQ_FY-1)/-I3011)</f>
        <v>6.7067023585852523E-2</v>
      </c>
      <c r="I3011" s="17">
        <f>IF(A3011=A3012,_xll.ciqfunctions.udf.CIQ(A3003,"IQ_TOTAL_OUTSTANDING_FILING_DATE",IQ_FY-2), _xll.ciqfunctions.udf.CIQ(A3003, "IQ_TOTAL_OUTSTANDING_FILING_DATE",IQ_FY-1))</f>
        <v>143.42368999999999</v>
      </c>
      <c r="J3011" s="17">
        <f>IF(A3011=A3012,_xll.ciqfunctions.udf.CIQ(A3003,"IQ_CASH_OPER",IQ_FY-2), _xll.ciqfunctions.udf.CIQ(A3003, "IQ_CASH_OPER",IQ_FY-1))</f>
        <v>234.81800000000001</v>
      </c>
      <c r="K3011" s="17">
        <f>IF(A3011=A3012,_xll.ciqfunctions.udf.CIQ(A3003,"IQ_CAPEX",IQ_FY-2), _xll.ciqfunctions.udf.CIQ(A3003, "IQ_CAPEX",IQ_FY-1))</f>
        <v>-4.702</v>
      </c>
      <c r="L3011" s="15">
        <f t="shared" si="800"/>
        <v>1.6044490279116375</v>
      </c>
      <c r="M3011" s="17">
        <f>IF(A3011=A3012,_xll.ciqfunctions.udf.CIQ(A3003,"IQ_TOTAL_DEBT_ISSUED",IQ_FY-2), _xll.ciqfunctions.udf.CIQ(A3003, "IQ_TOTAL_DEBT_ISSUED",IQ_FY-1))</f>
        <v>0</v>
      </c>
      <c r="N3011" s="17">
        <f>IF(A3011=A3012,_xll.ciqfunctions.udf.CIQ(A3003,"IQ_TOTAL_DEBT_REPAID",IQ_FY-2), _xll.ciqfunctions.udf.CIQ(A3003, "IQ_TOTAL_DEBT_REPAID",IQ_FY-1))</f>
        <v>-50.390999999999998</v>
      </c>
      <c r="O3011" s="15">
        <f t="shared" si="801"/>
        <v>-0.35134363088831422</v>
      </c>
      <c r="P3011" s="15">
        <f t="shared" si="802"/>
        <v>1.2531053970233232</v>
      </c>
      <c r="Q3011" s="25" t="s">
        <v>33</v>
      </c>
      <c r="R3011" s="38" t="s">
        <v>52</v>
      </c>
      <c r="S3011" s="4">
        <f>(AVERAGE(O3008:O3013)/AVERAGE(P3008:P3013))</f>
        <v>4.2737184921631435E-2</v>
      </c>
      <c r="U3011" s="25" t="s">
        <v>54</v>
      </c>
      <c r="V3011" s="38" t="s">
        <v>52</v>
      </c>
      <c r="W3011" s="4">
        <f>(AVERAGE(O3008:O3013)/AVERAGE(P3008:P3013))</f>
        <v>4.2737184921631435E-2</v>
      </c>
      <c r="Y3011" s="25" t="s">
        <v>60</v>
      </c>
      <c r="Z3011" s="38" t="s">
        <v>52</v>
      </c>
      <c r="AA3011" s="4">
        <f>(AVERAGE(O3008:O3013)/AVERAGE(P3008:P3013))</f>
        <v>4.2737184921631435E-2</v>
      </c>
    </row>
    <row r="3012" spans="1:27">
      <c r="A3012" s="19">
        <f>_xll.ciqfunctions.udf.CIQ(A3003,"IQ_TOTAL_REV",IQ_LTM)</f>
        <v>1019.753</v>
      </c>
      <c r="B3012" s="13">
        <v>10</v>
      </c>
      <c r="C3012" s="14" t="s">
        <v>34</v>
      </c>
      <c r="D3012" s="15" cm="1">
        <f t="array" ref="D3012">_xlfn.SINGLE(IF(A3011=A3012,_xll.ciqfunctions.udf.CIQ(A3003,"IQ_TOTAL_REV",IQ_FY-1)/I3012, _xll.ciqfunctions.udf.CIQ(A3003, "IQ_TOTAL_REV",IQ_FY)/I3012))</f>
        <v>6.8667141969316372</v>
      </c>
      <c r="E3012" s="16">
        <f t="shared" si="803"/>
        <v>0.12640219996445523</v>
      </c>
      <c r="F3012" s="15">
        <f>IF(A3011=A3012,_xll.ciqfunctions.udf.CIQ(A3003,"IQ_DILUT_EPS_EXCL",IQ_FY-1), _xll.ciqfunctions.udf.CIQ(A3003, "IQ_DILUT_EPS_EXCL",IQ_FY))</f>
        <v>5.9659999999999998E-2</v>
      </c>
      <c r="G3012" s="15">
        <f>IF(A3011=A3012,_xll.ciqfunctions.udf.CIQ(A3003,"IQ_EBITDA_MARGIN",IQ_FY-1), _xll.ciqfunctions.udf.CIQ(A3003, "IQ_EBITDA_MARGIN",IQ_FY))</f>
        <v>9.7835000000000001</v>
      </c>
      <c r="H3012" s="15">
        <f>IF(A3011=A3012,_xll.ciqfunctions.udf.CIQ(A3003,"IQ_TOTAL_DIV_PAID_CF",IQ_FY-1)/-I3012, _xll.ciqfunctions.udf.CIQ(A3003, "IQ_TOTAL_DIV_PAID_CF",IQ_FY)/-I3012)</f>
        <v>0.10434436231367425</v>
      </c>
      <c r="I3012" s="17">
        <f>IF(A3011=A3012,_xll.ciqfunctions.udf.CIQ(A3003,"IQ_TOTAL_OUTSTANDING_FILING_DATE",IQ_FY-1), _xll.ciqfunctions.udf.CIQ(A3003, "IQ_TOTAL_OUTSTANDING_FILING_DATE",IQ_FY))</f>
        <v>144.30104</v>
      </c>
      <c r="J3012" s="17">
        <f>IF(A3011=A3012,_xll.ciqfunctions.udf.CIQ(A3003,"IQ_CASH_OPER",IQ_FY-1), _xll.ciqfunctions.udf.CIQ(A3003, "IQ_CASH_OPER",IQ_FY))</f>
        <v>297.98200000000003</v>
      </c>
      <c r="K3012" s="17">
        <f>IF(A3011=A3012,_xll.ciqfunctions.udf.CIQ(A3003,"IQ_CAPEX",IQ_FY-1), _xll.ciqfunctions.udf.CIQ(A3003, "IQ_CAPEX",IQ_FY))</f>
        <v>-4.4329999999999998</v>
      </c>
      <c r="L3012" s="15">
        <f t="shared" si="800"/>
        <v>2.0342819428051246</v>
      </c>
      <c r="M3012" s="17">
        <f>IF(A3011=A3012,_xll.ciqfunctions.udf.CIQ(A3003,"IQ_TOTAL_DEBT_ISSUED",IQ_FY-1), _xll.ciqfunctions.udf.CIQ(A3003, "IQ_TOTAL_DEBT_ISSUED",IQ_FY))</f>
        <v>0</v>
      </c>
      <c r="N3012" s="17">
        <f>IF(A3011=A3012,_xll.ciqfunctions.udf.CIQ(A3003,"IQ_TOTAL_DEBT_REPAID",IQ_FY-1), _xll.ciqfunctions.udf.CIQ(A3003, "IQ_TOTAL_DEBT_REPAID",IQ_FY))</f>
        <v>-40.353000000000002</v>
      </c>
      <c r="O3012" s="15">
        <f t="shared" si="801"/>
        <v>-0.27964455419032325</v>
      </c>
      <c r="P3012" s="15">
        <f t="shared" si="802"/>
        <v>1.7546373886148015</v>
      </c>
      <c r="Q3012" s="25" t="s">
        <v>44</v>
      </c>
      <c r="R3012" s="38" t="s">
        <v>35</v>
      </c>
      <c r="S3012" s="1">
        <f>_xll.ciqfunctions.udf.CIQ(A3003,"IQ_TEV_EBITDA")</f>
        <v>28.557680000000001</v>
      </c>
      <c r="U3012" s="25" t="s">
        <v>55</v>
      </c>
      <c r="V3012" s="38" t="s">
        <v>53</v>
      </c>
      <c r="W3012" s="1">
        <f>V3002/(AVERAGE(D3008:D3013)/_xlfn.STDEV.P(E3008:E3013))</f>
        <v>0.35631008383516394</v>
      </c>
      <c r="Y3012" s="25" t="s">
        <v>57</v>
      </c>
      <c r="Z3012" s="38" t="s">
        <v>53</v>
      </c>
      <c r="AA3012" s="1">
        <f>Z3002/(AVERAGE(D3008:D3013)/_xlfn.STDEV.P(E3008:E3013))</f>
        <v>0.35631008383516394</v>
      </c>
    </row>
    <row r="3013" spans="1:27">
      <c r="B3013" s="13">
        <v>11</v>
      </c>
      <c r="C3013" s="20" t="s">
        <v>36</v>
      </c>
      <c r="D3013" s="21" cm="1">
        <f t="array" ref="D3013">_xlfn.SINGLE(IF(A3011=A3012,_xll.ciqfunctions.udf.CIQ(A3003,"IQ_TOTAL_REV",IQ_FY)/I3013, _xll.ciqfunctions.udf.CIQ(A3003, "IQ_TOTAL_REV",IQ_LTM)/I3013))</f>
        <v>7.0793831336301754</v>
      </c>
      <c r="E3013" s="22">
        <f t="shared" si="803"/>
        <v>3.0970989995996685E-2</v>
      </c>
      <c r="F3013" s="21">
        <f>IF(A3011=A3012,_xll.ciqfunctions.udf.CIQ(A3003,"IQ_DILUT_EPS_EXCL",IQ_FY), _xll.ciqfunctions.udf.CIQ(A3003, "IQ_DILUT_EPS_EXCL",IQ_LTM))</f>
        <v>0.19298000000000001</v>
      </c>
      <c r="G3013" s="21">
        <f>IF(A3011=A3012,_xll.ciqfunctions.udf.CIQ(A3003,"IQ_EBITDA_MARGIN",IQ_FY), _xll.ciqfunctions.udf.CIQ(A3003, "IQ_EBITDA_MARGIN",IQ_LTM))</f>
        <v>9.7626000000000008</v>
      </c>
      <c r="H3013" s="21">
        <f>IF(A3011=A3012,_xll.ciqfunctions.udf.CIQ(A3003,"IQ_TOTAL_DIV_PAID_CF",IQ_FY)/-I3013, _xll.ciqfunctions.udf.CIQ(A3003, "IQ_TOTAL_DIV_PAID_CF",IQ_LTM)/-I3013)</f>
        <v>0.104133792206988</v>
      </c>
      <c r="I3013" s="23">
        <f>IF(A3011=A3012,_xll.ciqfunctions.udf.CIQ(A3003,"IQ_TOTAL_OUTSTANDING_FILING_DATE",IQ_FY),_xll.ciqfunctions.udf.CIQ(A3003,"IQ_sharesoutstanding"))</f>
        <v>144.04545999999999</v>
      </c>
      <c r="J3013" s="23">
        <f>IF(A3011=A3012,_xll.ciqfunctions.udf.CIQ(A3003,"IQ_CASH_OPER",IQ_FY), _xll.ciqfunctions.udf.CIQ(A3003, "IQ_CASH_OPER",IQ_LTM))</f>
        <v>319.51900000000001</v>
      </c>
      <c r="K3013" s="23">
        <f>IF(A3011=A3012,_xll.ciqfunctions.udf.CIQ(A3003,"IQ_CAPEX",IQ_FY), _xll.ciqfunctions.udf.CIQ(A3003, "IQ_CAPEX",IQ_LTM))</f>
        <v>-4.4109999999999996</v>
      </c>
      <c r="L3013" s="21">
        <f t="shared" si="800"/>
        <v>2.1875593996506382</v>
      </c>
      <c r="M3013" s="23">
        <f>IF(A3011=A3012,_xll.ciqfunctions.udf.CIQ(A3003,"IQ_TOTAL_DEBT_ISSUED",IQ_FY), _xll.ciqfunctions.udf.CIQ(A3003, "IQ_TOTAL_DEBT_ISSUED",IQ_LTM))</f>
        <v>0</v>
      </c>
      <c r="N3013" s="23">
        <f>IF(A3011=A3012,_xll.ciqfunctions.udf.CIQ(A3003,"IQ_TOTAL_DEBT_REPAID",IQ_FY), _xll.ciqfunctions.udf.CIQ(A3003, "IQ_TOTAL_DEBT_REPAID",IQ_LTM))</f>
        <v>-39.889000000000003</v>
      </c>
      <c r="O3013" s="21">
        <f t="shared" si="801"/>
        <v>-0.27691952248963631</v>
      </c>
      <c r="P3013" s="21">
        <f t="shared" si="802"/>
        <v>1.9106398771610018</v>
      </c>
      <c r="Q3013" s="25" t="s">
        <v>45</v>
      </c>
      <c r="S3013" s="45"/>
      <c r="U3013" s="25"/>
      <c r="W3013" s="45"/>
      <c r="Y3013" s="25"/>
      <c r="AA3013" s="45"/>
    </row>
    <row r="3014" spans="1:27">
      <c r="B3014" s="24"/>
      <c r="C3014" s="25" t="s">
        <v>37</v>
      </c>
      <c r="E3014" s="26">
        <f>((D3013/D3008)^(1/5))-1</f>
        <v>0.10926655104218308</v>
      </c>
      <c r="F3014" s="27">
        <f>((F3013/F3008)^(1/5))-1</f>
        <v>-1.7266844706778195</v>
      </c>
      <c r="G3014" s="28"/>
      <c r="H3014" s="27" t="e">
        <f>((H3013/H3008)^(1/5))-1</f>
        <v>#DIV/0!</v>
      </c>
      <c r="I3014" s="27">
        <f>((I3013/I3008)^(1/5))-1</f>
        <v>-3.9771875553917813E-4</v>
      </c>
      <c r="J3014" s="27"/>
      <c r="K3014" s="27"/>
      <c r="L3014" s="26">
        <f>((L3013/L3008)^(1/5))-1</f>
        <v>0.50779215241884534</v>
      </c>
      <c r="M3014" s="26"/>
      <c r="N3014" s="26"/>
      <c r="O3014" s="26"/>
      <c r="P3014" s="26">
        <f>((P3013/P3008)^(1/5))-1</f>
        <v>0.75454838314583061</v>
      </c>
      <c r="Q3014" s="18"/>
      <c r="R3014" s="36"/>
      <c r="S3014" s="45"/>
      <c r="U3014" s="18"/>
      <c r="V3014" s="36"/>
      <c r="W3014" s="45"/>
      <c r="Y3014" s="18"/>
      <c r="Z3014" s="36"/>
      <c r="AA3014" s="45"/>
    </row>
    <row r="3015" spans="1:27">
      <c r="A3015" s="29"/>
      <c r="B3015" s="30"/>
      <c r="C3015" s="31" t="s">
        <v>38</v>
      </c>
      <c r="D3015" s="29"/>
      <c r="E3015" s="32">
        <f>((D3013/D3003)^(1/10))-1</f>
        <v>-4.6455431885246923E-2</v>
      </c>
      <c r="F3015" s="33" t="e">
        <f>((F3013/F3003)^(1/10))-1</f>
        <v>#NUM!</v>
      </c>
      <c r="G3015" s="34"/>
      <c r="H3015" s="33" t="e">
        <f>((H3013/H3003)^(1/10))-1</f>
        <v>#DIV/0!</v>
      </c>
      <c r="I3015" s="33">
        <f>((I3013/I3003)^(1/10))-1</f>
        <v>0.29449131356636093</v>
      </c>
      <c r="J3015" s="33"/>
      <c r="K3015" s="33"/>
      <c r="L3015" s="32" t="e">
        <f>((L3013/L3003)^(1/10))-1</f>
        <v>#NUM!</v>
      </c>
      <c r="M3015" s="32"/>
      <c r="N3015" s="32"/>
      <c r="O3015" s="32"/>
      <c r="P3015" s="32" t="e">
        <f>((P3013/P3003)^(1/10))-1</f>
        <v>#NUM!</v>
      </c>
      <c r="Q3015" s="40"/>
      <c r="R3015" s="41"/>
      <c r="S3015" s="46"/>
      <c r="U3015" s="40"/>
      <c r="V3015" s="41"/>
      <c r="W3015" s="46"/>
      <c r="Y3015" s="40"/>
      <c r="Z3015" s="41"/>
      <c r="AA3015" s="46"/>
    </row>
    <row r="3016" spans="1:27">
      <c r="B3016" s="24"/>
      <c r="C3016" s="25"/>
      <c r="E3016" s="26"/>
      <c r="F3016" s="27"/>
      <c r="G3016" s="28"/>
      <c r="H3016" s="27"/>
      <c r="I3016" s="27"/>
      <c r="J3016" s="27"/>
      <c r="K3016" s="27"/>
      <c r="L3016" s="26"/>
      <c r="M3016" s="17"/>
      <c r="N3016" s="17"/>
      <c r="O3016" s="17"/>
      <c r="P3016" s="35"/>
      <c r="Q3016" s="18"/>
      <c r="R3016" s="36"/>
    </row>
    <row r="3017" spans="1:27">
      <c r="A3017" s="9" t="s">
        <v>0</v>
      </c>
      <c r="B3017" s="10"/>
      <c r="C3017" s="9" t="s">
        <v>1</v>
      </c>
      <c r="D3017" s="9" t="s">
        <v>2</v>
      </c>
      <c r="E3017" s="9" t="s">
        <v>3</v>
      </c>
      <c r="F3017" s="11" t="s">
        <v>4</v>
      </c>
      <c r="G3017" s="11" t="s">
        <v>5</v>
      </c>
      <c r="H3017" s="9" t="s">
        <v>6</v>
      </c>
      <c r="I3017" s="11" t="s">
        <v>7</v>
      </c>
      <c r="J3017" s="11" t="s">
        <v>8</v>
      </c>
      <c r="K3017" s="11" t="s">
        <v>9</v>
      </c>
      <c r="L3017" s="11" t="s">
        <v>10</v>
      </c>
      <c r="M3017" s="11" t="s">
        <v>11</v>
      </c>
      <c r="N3017" s="11" t="s">
        <v>12</v>
      </c>
      <c r="O3017" s="11" t="s">
        <v>13</v>
      </c>
      <c r="P3017" s="11" t="s">
        <v>14</v>
      </c>
      <c r="Q3017" s="37" t="s">
        <v>15</v>
      </c>
      <c r="R3017" s="42">
        <f>_xll.ciqfunctions.udf.CIQ(A3018,("IQ_LASTSALEPRICE"))</f>
        <v>100.145</v>
      </c>
      <c r="S3017" s="44"/>
      <c r="U3017" s="37" t="s">
        <v>15</v>
      </c>
      <c r="V3017" s="42">
        <f>_xll.ciqfunctions.udf.CIQ(A3018,("IQ_LASTSALEPRICE"))</f>
        <v>100.145</v>
      </c>
      <c r="W3017" s="44"/>
      <c r="Y3017" s="37" t="s">
        <v>15</v>
      </c>
      <c r="Z3017" s="42">
        <f>_xll.ciqfunctions.udf.CIQ(A3018,("IQ_LASTSALEPRICE"))</f>
        <v>100.145</v>
      </c>
      <c r="AA3017" s="44"/>
    </row>
    <row r="3018" spans="1:27">
      <c r="A3018" s="12" t="str">
        <f>Analysis!B203</f>
        <v>NasdaqGS:IDCC</v>
      </c>
      <c r="B3018" s="13">
        <v>1</v>
      </c>
      <c r="C3018" s="14" t="s">
        <v>16</v>
      </c>
      <c r="D3018" s="15">
        <f>IF(A3026=A3027,_xll.ciqfunctions.udf.CIQ(A3018,"IQ_TOTAL_REV",IQ_FY-10)/I3018,_xll.ciqfunctions.udf.CIQ(A3018, "IQ_TOTAL_REV",IQ_FY-9)/I3018)</f>
        <v>8.0430043307400965</v>
      </c>
      <c r="E3018" s="16"/>
      <c r="F3018" s="15">
        <f>IF(A3026=A3027,_xll.ciqfunctions.udf.CIQ(A3018,"IQ_DILUT_EPS_EXCL",IQ_FY-10), _xll.ciqfunctions.udf.CIQ(A3018, "IQ_DILUT_EPS_EXCL",IQ_FY-9))</f>
        <v>0.92</v>
      </c>
      <c r="G3018" s="15">
        <f>IF(A3026=A3027,_xll.ciqfunctions.udf.CIQ(A3018,"IQ_EBITDA_MARGIN",IQ_FY-10), _xll.ciqfunctions.udf.CIQ(A3018, "IQ_EBITDA_MARGIN",IQ_FY-9))</f>
        <v>36.477899999999998</v>
      </c>
      <c r="H3018" s="15">
        <f>IF(A3026=A3027,_xll.ciqfunctions.udf.CIQ(A3018,"IQ_TOTAL_DIV_PAID_CF",IQ_FY-10)/-I3018, _xll.ciqfunctions.udf.CIQ(A3018, "IQ_TOTAL_DIV_PAID_CF",IQ_FY-9)/-I3018)</f>
        <v>0.30539393320638664</v>
      </c>
      <c r="I3018" s="17">
        <f>IF(A3026=A3027,_xll.ciqfunctions.udf.CIQ(A3018,"IQ_TOTAL_OUTSTANDING_FILING_DATE",IQ_FY-10), _xll.ciqfunctions.udf.CIQ(A3018, "IQ_TOTAL_OUTSTANDING_FILING_DATE",IQ_FY-9))</f>
        <v>40.452669999999998</v>
      </c>
      <c r="J3018" s="17">
        <f>IF(A3026=A3027,_xll.ciqfunctions.udf.CIQ(A3018,"IQ_CASH_OPER",IQ_FY-10), _xll.ciqfunctions.udf.CIQ(A3018, "IQ_CASH_OPER",IQ_FY-9))</f>
        <v>218.17500000000001</v>
      </c>
      <c r="K3018" s="17">
        <f>IF(A3026=A3027,_xll.ciqfunctions.udf.CIQ(A3018,"IQ_CAPEX",IQ_FY-10), _xll.ciqfunctions.udf.CIQ(A3018, "IQ_CAPEX",IQ_FY-9))</f>
        <v>-4.5910000000000002</v>
      </c>
      <c r="L3018" s="15">
        <f t="shared" ref="L3018:L3028" si="804">(J3018+K3018)/I3018</f>
        <v>5.2798492658210208</v>
      </c>
      <c r="M3018" s="17">
        <f>IF(A3026=A3027,_xll.ciqfunctions.udf.CIQ(A3018,"IQ_TOTAL_DEBT_ISSUED",IQ_FY-10), _xll.ciqfunctions.udf.CIQ(A3018, "IQ_TOTAL_DEBT_ISSUED",IQ_FY-9))</f>
        <v>0</v>
      </c>
      <c r="N3018" s="17">
        <f>IF(A3026=A3027,_xll.ciqfunctions.udf.CIQ(A3018,"IQ_TOTAL_DEBT_REPAID",IQ_FY-10), _xll.ciqfunctions.udf.CIQ(A3018, "IQ_TOTAL_DEBT_REPAID",IQ_FY-9))</f>
        <v>0</v>
      </c>
      <c r="O3018" s="15">
        <f t="shared" ref="O3018:O3028" si="805">(M3018+N3018)/I3018</f>
        <v>0</v>
      </c>
      <c r="P3018" s="15">
        <f t="shared" ref="P3018:P3028" si="806">L3018+O3018</f>
        <v>5.2798492658210208</v>
      </c>
      <c r="W3018" s="43"/>
      <c r="AA3018" s="43"/>
    </row>
    <row r="3019" spans="1:27">
      <c r="A3019" s="18" t="str">
        <f>_xll.ciqfunctions.udf.CIQ(A3018,"IQ_COMPANY_NAME")</f>
        <v>InterDigital, Inc.</v>
      </c>
      <c r="B3019" s="13">
        <v>2</v>
      </c>
      <c r="C3019" s="14" t="s">
        <v>17</v>
      </c>
      <c r="D3019" s="15">
        <f>IF(A3026=A3027,_xll.ciqfunctions.udf.CIQ(A3018,"IQ_TOTAL_REV",IQ_FY-9)/I3019, _xll.ciqfunctions.udf.CIQ(A3018, "IQ_TOTAL_REV",IQ_FY-8)/I3019)</f>
        <v>11.197241923070916</v>
      </c>
      <c r="E3019" s="16">
        <f t="shared" ref="E3019:E3028" si="807">(D3019-D3018)/D3018</f>
        <v>0.39217156458258112</v>
      </c>
      <c r="F3019" s="15">
        <f>IF(A3026=A3027,_xll.ciqfunctions.udf.CIQ(A3018,"IQ_DILUT_EPS_EXCL",IQ_FY-9), _xll.ciqfunctions.udf.CIQ(A3018, "IQ_DILUT_EPS_EXCL",IQ_FY-8))</f>
        <v>2.62</v>
      </c>
      <c r="G3019" s="15">
        <f>IF(A3026=A3027,_xll.ciqfunctions.udf.CIQ(A3018,"IQ_EBITDA_MARGIN",IQ_FY-9), _xll.ciqfunctions.udf.CIQ(A3018, "IQ_EBITDA_MARGIN",IQ_FY-8))</f>
        <v>50.455800000000004</v>
      </c>
      <c r="H3019" s="15">
        <f>IF(A3026=A3027,_xll.ciqfunctions.udf.CIQ(A3018,"IQ_TOTAL_DIV_PAID_CF",IQ_FY-9)/-I3019, _xll.ciqfunctions.udf.CIQ(A3018, "IQ_TOTAL_DIV_PAID_CF",IQ_FY-8)/-I3019)</f>
        <v>0.63897531291721621</v>
      </c>
      <c r="I3019" s="17">
        <f>IF(A3026=A3027,_xll.ciqfunctions.udf.CIQ(A3018,"IQ_TOTAL_OUTSTANDING_FILING_DATE",IQ_FY-9), _xll.ciqfunctions.udf.CIQ(A3018, "IQ_TOTAL_OUTSTANDING_FILING_DATE",IQ_FY-8))</f>
        <v>37.136020000000002</v>
      </c>
      <c r="J3019" s="17">
        <f>IF(A3026=A3027,_xll.ciqfunctions.udf.CIQ(A3018,"IQ_CASH_OPER",IQ_FY-9), _xll.ciqfunctions.udf.CIQ(A3018, "IQ_CASH_OPER",IQ_FY-8))</f>
        <v>242.01300000000001</v>
      </c>
      <c r="K3019" s="17">
        <f>IF(A3026=A3027,_xll.ciqfunctions.udf.CIQ(A3018,"IQ_CAPEX",IQ_FY-9), _xll.ciqfunctions.udf.CIQ(A3018, "IQ_CAPEX",IQ_FY-8))</f>
        <v>-7.0949999999999998</v>
      </c>
      <c r="L3019" s="15">
        <f t="shared" si="804"/>
        <v>6.3258798331108181</v>
      </c>
      <c r="M3019" s="17">
        <f>IF(A3026=A3027,_xll.ciqfunctions.udf.CIQ(A3018,"IQ_TOTAL_DEBT_ISSUED",IQ_FY-9), _xll.ciqfunctions.udf.CIQ(A3018, "IQ_TOTAL_DEBT_ISSUED",IQ_FY-8))</f>
        <v>0</v>
      </c>
      <c r="N3019" s="17">
        <f>IF(A3026=A3027,_xll.ciqfunctions.udf.CIQ(A3018,"IQ_TOTAL_DEBT_REPAID",IQ_FY-9), _xll.ciqfunctions.udf.CIQ(A3018, "IQ_TOTAL_DEBT_REPAID",IQ_FY-8))</f>
        <v>0</v>
      </c>
      <c r="O3019" s="15">
        <f t="shared" si="805"/>
        <v>0</v>
      </c>
      <c r="P3019" s="15">
        <f t="shared" si="806"/>
        <v>6.3258798331108181</v>
      </c>
      <c r="Q3019" s="25" t="s">
        <v>18</v>
      </c>
      <c r="R3019" s="39" t="s">
        <v>19</v>
      </c>
      <c r="S3019" s="1">
        <f>R3017/((AVERAGE(P3023:P3028))*(1+E3029)^3)</f>
        <v>6.3209680302444555</v>
      </c>
      <c r="U3019" s="25" t="s">
        <v>48</v>
      </c>
      <c r="V3019" s="39" t="s">
        <v>19</v>
      </c>
      <c r="W3019" s="1">
        <f>V3017/((AVERAGE(P3023:P3028))*(1+E3029)^3)</f>
        <v>6.3209680302444555</v>
      </c>
      <c r="Y3019" s="25" t="s">
        <v>39</v>
      </c>
      <c r="Z3019" s="39" t="s">
        <v>19</v>
      </c>
      <c r="AA3019" s="1">
        <f>Z3017/((AVERAGE(P3023:P3028))*(1+E3029)^3)</f>
        <v>6.3209680302444555</v>
      </c>
    </row>
    <row r="3020" spans="1:27">
      <c r="B3020" s="13">
        <v>3</v>
      </c>
      <c r="C3020" s="14" t="s">
        <v>20</v>
      </c>
      <c r="D3020" s="15" cm="1">
        <f t="array" ref="D3020">_xlfn.SINGLE(IF(A3026=A3027,_xll.ciqfunctions.udf.CIQ(A3018,"IQ_TOTAL_REV",IQ_FY-8)/I3020, _xll.ciqfunctions.udf.CIQ(A3018, "IQ_TOTAL_REV",IQ_FY-7)/I3020))</f>
        <v>12.613805278176075</v>
      </c>
      <c r="E3020" s="16">
        <f t="shared" si="807"/>
        <v>0.12651002495413244</v>
      </c>
      <c r="F3020" s="15">
        <f>IF(A3026=A3027,_xll.ciqfunctions.udf.CIQ(A3018,"IQ_DILUT_EPS_EXCL",IQ_FY-8), _xll.ciqfunctions.udf.CIQ(A3018, "IQ_DILUT_EPS_EXCL",IQ_FY-7))</f>
        <v>3.27</v>
      </c>
      <c r="G3020" s="15">
        <f>IF(A3026=A3027,_xll.ciqfunctions.udf.CIQ(A3018,"IQ_EBITDA_MARGIN",IQ_FY-8), _xll.ciqfunctions.udf.CIQ(A3018, "IQ_EBITDA_MARGIN",IQ_FY-7))</f>
        <v>57.753</v>
      </c>
      <c r="H3020" s="15">
        <f>IF(A3026=A3027,_xll.ciqfunctions.udf.CIQ(A3018,"IQ_TOTAL_DIV_PAID_CF",IQ_FY-8)/-I3020, _xll.ciqfunctions.udf.CIQ(A3018, "IQ_TOTAL_DIV_PAID_CF",IQ_FY-7)/-I3020)</f>
        <v>0.82686167461705817</v>
      </c>
      <c r="I3020" s="17">
        <f>IF(A3026=A3027,_xll.ciqfunctions.udf.CIQ(A3018,"IQ_TOTAL_OUTSTANDING_FILING_DATE",IQ_FY-8), _xll.ciqfunctions.udf.CIQ(A3018, "IQ_TOTAL_OUTSTANDING_FILING_DATE",IQ_FY-7))</f>
        <v>34.996180000000003</v>
      </c>
      <c r="J3020" s="17">
        <f>IF(A3026=A3027,_xll.ciqfunctions.udf.CIQ(A3018,"IQ_CASH_OPER",IQ_FY-8), _xll.ciqfunctions.udf.CIQ(A3018, "IQ_CASH_OPER",IQ_FY-7))</f>
        <v>124.348</v>
      </c>
      <c r="K3020" s="17">
        <f>IF(A3026=A3027,_xll.ciqfunctions.udf.CIQ(A3018,"IQ_CAPEX",IQ_FY-8), _xll.ciqfunctions.udf.CIQ(A3018, "IQ_CAPEX",IQ_FY-7))</f>
        <v>-3.7</v>
      </c>
      <c r="L3020" s="15">
        <f t="shared" si="804"/>
        <v>3.4474619801361173</v>
      </c>
      <c r="M3020" s="17">
        <f>IF(A3026=A3027,_xll.ciqfunctions.udf.CIQ(A3018,"IQ_TOTAL_DEBT_ISSUED",IQ_FY-8), _xll.ciqfunctions.udf.CIQ(A3018, "IQ_TOTAL_DEBT_ISSUED",IQ_FY-7))</f>
        <v>316</v>
      </c>
      <c r="N3020" s="17">
        <f>IF(A3026=A3027,_xll.ciqfunctions.udf.CIQ(A3018,"IQ_TOTAL_DEBT_REPAID",IQ_FY-8), _xll.ciqfunctions.udf.CIQ(A3018, "IQ_TOTAL_DEBT_REPAID",IQ_FY-7))</f>
        <v>0</v>
      </c>
      <c r="O3020" s="15">
        <f t="shared" si="805"/>
        <v>9.0295569402146167</v>
      </c>
      <c r="P3020" s="15">
        <f t="shared" si="806"/>
        <v>12.477018920350734</v>
      </c>
      <c r="Q3020" s="25" t="s">
        <v>21</v>
      </c>
      <c r="R3020" s="38" t="s">
        <v>49</v>
      </c>
      <c r="S3020" s="2">
        <f>(R3017*I3028)/1000</f>
        <v>2.5740429582000002</v>
      </c>
      <c r="U3020" s="25" t="s">
        <v>59</v>
      </c>
      <c r="V3020" s="38" t="s">
        <v>49</v>
      </c>
      <c r="W3020" s="2">
        <f>(V3017*I3028)/1000</f>
        <v>2.5740429582000002</v>
      </c>
      <c r="Y3020" s="25" t="s">
        <v>46</v>
      </c>
      <c r="Z3020" s="38" t="s">
        <v>49</v>
      </c>
      <c r="AA3020" s="2">
        <f>(Z3017*I3028)/1000</f>
        <v>2.5740429582000002</v>
      </c>
    </row>
    <row r="3021" spans="1:27">
      <c r="A3021" s="18"/>
      <c r="B3021" s="13">
        <v>4</v>
      </c>
      <c r="C3021" s="14" t="s">
        <v>22</v>
      </c>
      <c r="D3021" s="15" cm="1">
        <f t="array" ref="D3021">_xlfn.SINGLE(IF(A3026=A3027,_xll.ciqfunctions.udf.CIQ(A3018,"IQ_TOTAL_REV",IQ_FY-7)/I3021, _xll.ciqfunctions.udf.CIQ(A3018, "IQ_TOTAL_REV",IQ_FY-6)/I3021))</f>
        <v>19.408867483280957</v>
      </c>
      <c r="E3021" s="16">
        <f t="shared" si="807"/>
        <v>0.53870042031340371</v>
      </c>
      <c r="F3021" s="15">
        <f>IF(A3026=A3027,_xll.ciqfunctions.udf.CIQ(A3018,"IQ_DILUT_EPS_EXCL",IQ_FY-7), _xll.ciqfunctions.udf.CIQ(A3018, "IQ_DILUT_EPS_EXCL",IQ_FY-6))</f>
        <v>8.7799999999999994</v>
      </c>
      <c r="G3021" s="15">
        <f>IF(A3026=A3027,_xll.ciqfunctions.udf.CIQ(A3018,"IQ_EBITDA_MARGIN",IQ_FY-7), _xll.ciqfunctions.udf.CIQ(A3018, "IQ_EBITDA_MARGIN",IQ_FY-6))</f>
        <v>73.448300000000003</v>
      </c>
      <c r="H3021" s="15">
        <f>IF(A3026=A3027,_xll.ciqfunctions.udf.CIQ(A3018,"IQ_TOTAL_DIV_PAID_CF",IQ_FY-7)/-I3021, _xll.ciqfunctions.udf.CIQ(A3018, "IQ_TOTAL_DIV_PAID_CF",IQ_FY-6)/-I3021)</f>
        <v>0.90754893579065765</v>
      </c>
      <c r="I3021" s="17">
        <f>IF(A3026=A3027,_xll.ciqfunctions.udf.CIQ(A3018,"IQ_TOTAL_OUTSTANDING_FILING_DATE",IQ_FY-7), _xll.ciqfunctions.udf.CIQ(A3018, "IQ_TOTAL_OUTSTANDING_FILING_DATE",IQ_FY-6))</f>
        <v>34.306690000000003</v>
      </c>
      <c r="J3021" s="17">
        <f>IF(A3026=A3027,_xll.ciqfunctions.udf.CIQ(A3018,"IQ_CASH_OPER",IQ_FY-7), _xll.ciqfunctions.udf.CIQ(A3018, "IQ_CASH_OPER",IQ_FY-6))</f>
        <v>434.15899999999999</v>
      </c>
      <c r="K3021" s="17">
        <f>IF(A3026=A3027,_xll.ciqfunctions.udf.CIQ(A3018,"IQ_CAPEX",IQ_FY-7), _xll.ciqfunctions.udf.CIQ(A3018, "IQ_CAPEX",IQ_FY-6))</f>
        <v>-5.8819999999999997</v>
      </c>
      <c r="L3021" s="15">
        <f t="shared" si="804"/>
        <v>12.483775030467816</v>
      </c>
      <c r="M3021" s="17">
        <f>IF(A3026=A3027,_xll.ciqfunctions.udf.CIQ(A3018,"IQ_TOTAL_DEBT_ISSUED",IQ_FY-7), _xll.ciqfunctions.udf.CIQ(A3018, "IQ_TOTAL_DEBT_ISSUED",IQ_FY-6))</f>
        <v>0</v>
      </c>
      <c r="N3021" s="17">
        <f>IF(A3026=A3027,_xll.ciqfunctions.udf.CIQ(A3018,"IQ_TOTAL_DEBT_REPAID",IQ_FY-7), _xll.ciqfunctions.udf.CIQ(A3018, "IQ_TOTAL_DEBT_REPAID",IQ_FY-6))</f>
        <v>-230</v>
      </c>
      <c r="O3021" s="15">
        <f t="shared" si="805"/>
        <v>-6.7042317402232623</v>
      </c>
      <c r="P3021" s="15">
        <f t="shared" si="806"/>
        <v>5.779543290244554</v>
      </c>
      <c r="Q3021" s="25" t="s">
        <v>23</v>
      </c>
      <c r="R3021" s="38" t="s">
        <v>24</v>
      </c>
      <c r="S3021" s="1">
        <f>R3017/(AVERAGE(H3023:H3028)*(1+H3029)/(0.5-H3029))</f>
        <v>33.846891408771612</v>
      </c>
      <c r="U3021" s="25" t="s">
        <v>40</v>
      </c>
      <c r="V3021" s="38" t="s">
        <v>24</v>
      </c>
      <c r="W3021" s="1">
        <f>V3017/(AVERAGE(H3023:H3028)*(1+H3029)/(0.5-H3029))</f>
        <v>33.846891408771612</v>
      </c>
      <c r="Y3021" s="25" t="s">
        <v>47</v>
      </c>
      <c r="Z3021" s="38" t="s">
        <v>24</v>
      </c>
      <c r="AA3021" s="1">
        <f>Z3017/(AVERAGE(H3023:H3028)*(1+H3029)/(0.5-H3029))</f>
        <v>33.846891408771612</v>
      </c>
    </row>
    <row r="3022" spans="1:27">
      <c r="B3022" s="13">
        <v>5</v>
      </c>
      <c r="C3022" s="14" t="s">
        <v>25</v>
      </c>
      <c r="D3022" s="15" cm="1">
        <f t="array" ref="D3022">_xlfn.SINGLE(IF(A3026=A3027,_xll.ciqfunctions.udf.CIQ(A3018,"IQ_TOTAL_REV",IQ_FY-6)/I3022, _xll.ciqfunctions.udf.CIQ(A3018, "IQ_TOTAL_REV",IQ_FY-5)/I3022))</f>
        <v>15.390679960216385</v>
      </c>
      <c r="E3022" s="16">
        <f t="shared" si="807"/>
        <v>-0.20702843823968037</v>
      </c>
      <c r="F3022" s="15">
        <f>IF(A3026=A3027,_xll.ciqfunctions.udf.CIQ(A3018,"IQ_DILUT_EPS_EXCL",IQ_FY-6), _xll.ciqfunctions.udf.CIQ(A3018, "IQ_DILUT_EPS_EXCL",IQ_FY-5))</f>
        <v>4.93</v>
      </c>
      <c r="G3022" s="15">
        <f>IF(A3026=A3027,_xll.ciqfunctions.udf.CIQ(A3018,"IQ_EBITDA_MARGIN",IQ_FY-6), _xll.ciqfunctions.udf.CIQ(A3018, "IQ_EBITDA_MARGIN",IQ_FY-5))</f>
        <v>67.183700000000002</v>
      </c>
      <c r="H3022" s="15">
        <f>IF(A3026=A3027,_xll.ciqfunctions.udf.CIQ(A3018,"IQ_TOTAL_DIV_PAID_CF",IQ_FY-6)/-I3022, _xll.ciqfunctions.udf.CIQ(A3018, "IQ_TOTAL_DIV_PAID_CF",IQ_FY-5)/-I3022)</f>
        <v>1.2491581791487185</v>
      </c>
      <c r="I3022" s="17">
        <f>IF(A3026=A3027,_xll.ciqfunctions.udf.CIQ(A3018,"IQ_TOTAL_OUTSTANDING_FILING_DATE",IQ_FY-6), _xll.ciqfunctions.udf.CIQ(A3018, "IQ_TOTAL_OUTSTANDING_FILING_DATE",IQ_FY-5))</f>
        <v>34.627319999999997</v>
      </c>
      <c r="J3022" s="17">
        <f>IF(A3026=A3027,_xll.ciqfunctions.udf.CIQ(A3018,"IQ_CASH_OPER",IQ_FY-6), _xll.ciqfunctions.udf.CIQ(A3018, "IQ_CASH_OPER",IQ_FY-5))</f>
        <v>315.8</v>
      </c>
      <c r="K3022" s="17">
        <f>IF(A3026=A3027,_xll.ciqfunctions.udf.CIQ(A3018,"IQ_CAPEX",IQ_FY-6), _xll.ciqfunctions.udf.CIQ(A3018, "IQ_CAPEX",IQ_FY-5))</f>
        <v>-2.0710000000000002</v>
      </c>
      <c r="L3022" s="15">
        <f t="shared" si="804"/>
        <v>9.0601582796473998</v>
      </c>
      <c r="M3022" s="17">
        <f>IF(A3026=A3027,_xll.ciqfunctions.udf.CIQ(A3018,"IQ_TOTAL_DEBT_ISSUED",IQ_FY-6), _xll.ciqfunctions.udf.CIQ(A3018, "IQ_TOTAL_DEBT_ISSUED",IQ_FY-5))</f>
        <v>0</v>
      </c>
      <c r="N3022" s="17">
        <f>IF(A3026=A3027,_xll.ciqfunctions.udf.CIQ(A3018,"IQ_TOTAL_DEBT_REPAID",IQ_FY-6), _xll.ciqfunctions.udf.CIQ(A3018, "IQ_TOTAL_DEBT_REPAID",IQ_FY-5))</f>
        <v>0</v>
      </c>
      <c r="O3022" s="15">
        <f t="shared" si="805"/>
        <v>0</v>
      </c>
      <c r="P3022" s="15">
        <f t="shared" si="806"/>
        <v>9.0601582796473998</v>
      </c>
      <c r="Q3022" s="18"/>
      <c r="R3022" s="38" t="s">
        <v>50</v>
      </c>
      <c r="S3022" s="3">
        <f>I3029</f>
        <v>-4.6528998143819611E-2</v>
      </c>
      <c r="U3022" s="18"/>
      <c r="V3022" s="38" t="s">
        <v>50</v>
      </c>
      <c r="W3022" s="3">
        <f>I3029</f>
        <v>-4.6528998143819611E-2</v>
      </c>
      <c r="Y3022" s="18"/>
      <c r="Z3022" s="38" t="s">
        <v>50</v>
      </c>
      <c r="AA3022" s="3">
        <f>I3029</f>
        <v>-4.6528998143819611E-2</v>
      </c>
    </row>
    <row r="3023" spans="1:27">
      <c r="B3023" s="13">
        <v>6</v>
      </c>
      <c r="C3023" s="14" t="s">
        <v>26</v>
      </c>
      <c r="D3023" s="15" cm="1">
        <f t="array" ref="D3023">_xlfn.SINGLE(IF(A3026=A3027,_xll.ciqfunctions.udf.CIQ(A3018,"IQ_TOTAL_REV",IQ_FY-5)/I3023, _xll.ciqfunctions.udf.CIQ(A3018, "IQ_TOTAL_REV",IQ_FY-4)/I3023))</f>
        <v>9.4245460548946607</v>
      </c>
      <c r="E3023" s="16">
        <f t="shared" si="807"/>
        <v>-0.38764589483659456</v>
      </c>
      <c r="F3023" s="15">
        <f>IF(A3026=A3027,_xll.ciqfunctions.udf.CIQ(A3018,"IQ_DILUT_EPS_EXCL",IQ_FY-5), _xll.ciqfunctions.udf.CIQ(A3018, "IQ_DILUT_EPS_EXCL",IQ_FY-4))</f>
        <v>1.84</v>
      </c>
      <c r="G3023" s="15">
        <f>IF(A3026=A3027,_xll.ciqfunctions.udf.CIQ(A3018,"IQ_EBITDA_MARGIN",IQ_FY-5), _xll.ciqfunctions.udf.CIQ(A3018, "IQ_EBITDA_MARGIN",IQ_FY-4))</f>
        <v>41.867699999999999</v>
      </c>
      <c r="H3023" s="15">
        <f>IF(A3026=A3027,_xll.ciqfunctions.udf.CIQ(A3018,"IQ_TOTAL_DIV_PAID_CF",IQ_FY-5)/-I3023, _xll.ciqfunctions.udf.CIQ(A3018, "IQ_TOTAL_DIV_PAID_CF",IQ_FY-4)/-I3023)</f>
        <v>1.4859562601288028</v>
      </c>
      <c r="I3023" s="17">
        <f>IF(A3026=A3027,_xll.ciqfunctions.udf.CIQ(A3018,"IQ_TOTAL_OUTSTANDING_FILING_DATE",IQ_FY-5), _xll.ciqfunctions.udf.CIQ(A3018, "IQ_TOTAL_OUTSTANDING_FILING_DATE",IQ_FY-4))</f>
        <v>32.617379999999997</v>
      </c>
      <c r="J3023" s="17">
        <f>IF(A3026=A3027,_xll.ciqfunctions.udf.CIQ(A3018,"IQ_CASH_OPER",IQ_FY-5), _xll.ciqfunctions.udf.CIQ(A3018, "IQ_CASH_OPER",IQ_FY-4))</f>
        <v>146.792</v>
      </c>
      <c r="K3023" s="17">
        <f>IF(A3026=A3027,_xll.ciqfunctions.udf.CIQ(A3018,"IQ_CAPEX",IQ_FY-5), _xll.ciqfunctions.udf.CIQ(A3018, "IQ_CAPEX",IQ_FY-4))</f>
        <v>-2.5760000000000001</v>
      </c>
      <c r="L3023" s="15">
        <f t="shared" si="804"/>
        <v>4.4214464803733478</v>
      </c>
      <c r="M3023" s="17">
        <f>IF(A3026=A3027,_xll.ciqfunctions.udf.CIQ(A3018,"IQ_TOTAL_DEBT_ISSUED",IQ_FY-5), _xll.ciqfunctions.udf.CIQ(A3018, "IQ_TOTAL_DEBT_ISSUED",IQ_FY-4))</f>
        <v>0</v>
      </c>
      <c r="N3023" s="17">
        <f>IF(A3026=A3027,_xll.ciqfunctions.udf.CIQ(A3018,"IQ_TOTAL_DEBT_REPAID",IQ_FY-5), _xll.ciqfunctions.udf.CIQ(A3018, "IQ_TOTAL_DEBT_REPAID",IQ_FY-4))</f>
        <v>0</v>
      </c>
      <c r="O3023" s="15">
        <f t="shared" si="805"/>
        <v>0</v>
      </c>
      <c r="P3023" s="15">
        <f t="shared" si="806"/>
        <v>4.4214464803733478</v>
      </c>
      <c r="Q3023" s="25" t="s">
        <v>27</v>
      </c>
      <c r="R3023" s="38" t="s">
        <v>51</v>
      </c>
      <c r="S3023" s="4">
        <f>AVERAGE(F3023:F3028)/AVERAGE(D3023:D3028)</f>
        <v>0.19377608835111002</v>
      </c>
      <c r="U3023" s="25" t="s">
        <v>58</v>
      </c>
      <c r="V3023" s="38" t="s">
        <v>51</v>
      </c>
      <c r="W3023" s="4">
        <f>AVERAGE(F3023:F3028)/AVERAGE(D3023:D3028)</f>
        <v>0.19377608835111002</v>
      </c>
      <c r="Y3023" s="25" t="s">
        <v>56</v>
      </c>
      <c r="Z3023" s="38" t="s">
        <v>51</v>
      </c>
      <c r="AA3023" s="4">
        <f>AVERAGE(F3023:F3028)/AVERAGE(D3023:D3028)</f>
        <v>0.19377608835111002</v>
      </c>
    </row>
    <row r="3024" spans="1:27">
      <c r="A3024" s="18"/>
      <c r="B3024" s="13">
        <v>7</v>
      </c>
      <c r="C3024" s="14" t="s">
        <v>28</v>
      </c>
      <c r="D3024" s="15" cm="1">
        <f t="array" ref="D3024">_xlfn.SINGLE(IF(A3026=A3027,_xll.ciqfunctions.udf.CIQ(A3018,"IQ_TOTAL_REV",IQ_FY-4)/I3024, _xll.ciqfunctions.udf.CIQ(A3018, "IQ_TOTAL_REV",IQ_FY-3)/I3024))</f>
        <v>10.380664058622088</v>
      </c>
      <c r="E3024" s="16">
        <f t="shared" si="807"/>
        <v>0.10144976725227685</v>
      </c>
      <c r="F3024" s="15">
        <f>IF(A3026=A3027,_xll.ciqfunctions.udf.CIQ(A3018,"IQ_DILUT_EPS_EXCL",IQ_FY-4), _xll.ciqfunctions.udf.CIQ(A3018, "IQ_DILUT_EPS_EXCL",IQ_FY-3))</f>
        <v>0.66</v>
      </c>
      <c r="G3024" s="15">
        <f>IF(A3026=A3027,_xll.ciqfunctions.udf.CIQ(A3018,"IQ_EBITDA_MARGIN",IQ_FY-4), _xll.ciqfunctions.udf.CIQ(A3018, "IQ_EBITDA_MARGIN",IQ_FY-3))</f>
        <v>36.0364</v>
      </c>
      <c r="H3024" s="15">
        <f>IF(A3026=A3027,_xll.ciqfunctions.udf.CIQ(A3018,"IQ_TOTAL_DIV_PAID_CF",IQ_FY-4)/-I3024, _xll.ciqfunctions.udf.CIQ(A3018, "IQ_TOTAL_DIV_PAID_CF",IQ_FY-3)/-I3024)</f>
        <v>1.4510353680919992</v>
      </c>
      <c r="I3024" s="17">
        <f>IF(A3026=A3027,_xll.ciqfunctions.udf.CIQ(A3018,"IQ_TOTAL_OUTSTANDING_FILING_DATE",IQ_FY-4), _xll.ciqfunctions.udf.CIQ(A3018, "IQ_TOTAL_OUTSTANDING_FILING_DATE",IQ_FY-3))</f>
        <v>30.72289</v>
      </c>
      <c r="J3024" s="17">
        <f>IF(A3026=A3027,_xll.ciqfunctions.udf.CIQ(A3018,"IQ_CASH_OPER",IQ_FY-4), _xll.ciqfunctions.udf.CIQ(A3018, "IQ_CASH_OPER",IQ_FY-3))</f>
        <v>89.433000000000007</v>
      </c>
      <c r="K3024" s="17">
        <f>IF(A3026=A3027,_xll.ciqfunctions.udf.CIQ(A3018,"IQ_CAPEX",IQ_FY-4), _xll.ciqfunctions.udf.CIQ(A3018, "IQ_CAPEX",IQ_FY-3))</f>
        <v>-4.5090000000000003</v>
      </c>
      <c r="L3024" s="15">
        <f t="shared" si="804"/>
        <v>2.764193082096118</v>
      </c>
      <c r="M3024" s="17">
        <f>IF(A3026=A3027,_xll.ciqfunctions.udf.CIQ(A3018,"IQ_TOTAL_DEBT_ISSUED",IQ_FY-4), _xll.ciqfunctions.udf.CIQ(A3018, "IQ_TOTAL_DEBT_ISSUED",IQ_FY-3))</f>
        <v>400</v>
      </c>
      <c r="N3024" s="17">
        <f>IF(A3026=A3027,_xll.ciqfunctions.udf.CIQ(A3018,"IQ_TOTAL_DEBT_REPAID",IQ_FY-4), _xll.ciqfunctions.udf.CIQ(A3018, "IQ_TOTAL_DEBT_REPAID",IQ_FY-3))</f>
        <v>-221.09100000000001</v>
      </c>
      <c r="O3024" s="15">
        <f t="shared" si="805"/>
        <v>5.8233128458943799</v>
      </c>
      <c r="P3024" s="15">
        <f t="shared" si="806"/>
        <v>8.5875059279904988</v>
      </c>
      <c r="Q3024" s="18"/>
      <c r="R3024" s="38" t="s">
        <v>29</v>
      </c>
      <c r="S3024" s="4">
        <f>(AVERAGE(P3023:P3028)/_xlfn.STDEV.P(P3023:P3028))/(IF(A3026=A3027,(_xlfn.SINGLE(_xll.ciqfunctions.udf.CIQ(A3018,"IQ_total_assets",IQ_FY)) - _xlfn.SINGLE(_xll.ciqfunctions.udf.CIQ(A3018,"iq_gw_intan", IQ_FY)))/I3028, (_xlfn.SINGLE(_xll.ciqfunctions.udf.CIQ(A3018, "IQ_total_assets",IQ_LTM))-_xlfn.SINGLE(_xll.ciqfunctions.udf.CIQ(A3018,"iq_gw_intan",IQ_LTM)))/I3028))</f>
        <v>2.2500292504903131E-2</v>
      </c>
      <c r="U3024" s="18"/>
      <c r="V3024" s="38" t="s">
        <v>29</v>
      </c>
      <c r="W3024" s="4">
        <f>(AVERAGE(P3023:P3028)/_xlfn.STDEV.P(P3023:P3028))/(IF(A3026=A3027,(_xlfn.SINGLE(_xll.ciqfunctions.udf.CIQ(A3018,"IQ_total_assets",IQ_FY)) - _xlfn.SINGLE(_xll.ciqfunctions.udf.CIQ(A3018,"iq_gw_intan", IQ_FY)))/I3028, (_xlfn.SINGLE(_xll.ciqfunctions.udf.CIQ(A3018, "IQ_total_assets",IQ_LTM))-_xlfn.SINGLE(_xll.ciqfunctions.udf.CIQ(A3018,"iq_gw_intan",IQ_LTM)))/I3028))</f>
        <v>2.2500292504903131E-2</v>
      </c>
      <c r="Y3024" s="18"/>
      <c r="Z3024" s="38" t="s">
        <v>29</v>
      </c>
      <c r="AA3024" s="4">
        <f>(AVERAGE(P3023:P3028)/_xlfn.STDEV.P(P3023:P3028))/(IF(A3026=A3027,(_xlfn.SINGLE(_xll.ciqfunctions.udf.CIQ(A3018,"IQ_total_assets",IQ_FY)) - _xlfn.SINGLE(_xll.ciqfunctions.udf.CIQ(A3018,"iq_gw_intan", IQ_FY)))/I3028, (_xlfn.SINGLE(_xll.ciqfunctions.udf.CIQ(A3018, "IQ_total_assets",IQ_LTM))-_xlfn.SINGLE(_xll.ciqfunctions.udf.CIQ(A3018,"iq_gw_intan",IQ_LTM)))/I3028))</f>
        <v>2.2500292504903131E-2</v>
      </c>
    </row>
    <row r="3025" spans="1:27">
      <c r="A3025" s="18"/>
      <c r="B3025" s="13">
        <v>8</v>
      </c>
      <c r="C3025" s="14" t="s">
        <v>30</v>
      </c>
      <c r="D3025" s="15" cm="1">
        <f t="array" ref="D3025">_xlfn.SINGLE(IF(A3026=A3027,_xll.ciqfunctions.udf.CIQ(A3018,"IQ_TOTAL_REV",IQ_FY-3)/I3025, _xll.ciqfunctions.udf.CIQ(A3018, "IQ_TOTAL_REV",IQ_FY-2)/I3025))</f>
        <v>11.644625659689446</v>
      </c>
      <c r="E3025" s="16">
        <f t="shared" si="807"/>
        <v>0.12176115072498878</v>
      </c>
      <c r="F3025" s="15">
        <f>IF(A3026=A3027,_xll.ciqfunctions.udf.CIQ(A3018,"IQ_DILUT_EPS_EXCL",IQ_FY-3), _xll.ciqfunctions.udf.CIQ(A3018, "IQ_DILUT_EPS_EXCL",IQ_FY-2))</f>
        <v>1.44</v>
      </c>
      <c r="G3025" s="15">
        <f>IF(A3026=A3027,_xll.ciqfunctions.udf.CIQ(A3018,"IQ_EBITDA_MARGIN",IQ_FY-3), _xll.ciqfunctions.udf.CIQ(A3018, "IQ_EBITDA_MARGIN",IQ_FY-2))</f>
        <v>37.942100000000003</v>
      </c>
      <c r="H3025" s="15">
        <f>IF(A3026=A3027,_xll.ciqfunctions.udf.CIQ(A3018,"IQ_TOTAL_DIV_PAID_CF",IQ_FY-3)/-I3025, _xll.ciqfunctions.udf.CIQ(A3018, "IQ_TOTAL_DIV_PAID_CF",IQ_FY-2)/-I3025)</f>
        <v>1.3971306144559164</v>
      </c>
      <c r="I3025" s="17">
        <f>IF(A3026=A3027,_xll.ciqfunctions.udf.CIQ(A3018,"IQ_TOTAL_OUTSTANDING_FILING_DATE",IQ_FY-3), _xll.ciqfunctions.udf.CIQ(A3018, "IQ_TOTAL_OUTSTANDING_FILING_DATE",IQ_FY-2))</f>
        <v>30.828900000000001</v>
      </c>
      <c r="J3025" s="17">
        <f>IF(A3026=A3027,_xll.ciqfunctions.udf.CIQ(A3018,"IQ_CASH_OPER",IQ_FY-3), _xll.ciqfunctions.udf.CIQ(A3018, "IQ_CASH_OPER",IQ_FY-2))</f>
        <v>163.46700000000001</v>
      </c>
      <c r="K3025" s="17">
        <f>IF(A3026=A3027,_xll.ciqfunctions.udf.CIQ(A3018,"IQ_CAPEX",IQ_FY-3), _xll.ciqfunctions.udf.CIQ(A3018, "IQ_CAPEX",IQ_FY-2))</f>
        <v>-11.792999999999999</v>
      </c>
      <c r="L3025" s="15">
        <f t="shared" si="804"/>
        <v>4.9198641534404404</v>
      </c>
      <c r="M3025" s="17">
        <f>IF(A3026=A3027,_xll.ciqfunctions.udf.CIQ(A3018,"IQ_TOTAL_DEBT_ISSUED",IQ_FY-3), _xll.ciqfunctions.udf.CIQ(A3018, "IQ_TOTAL_DEBT_ISSUED",IQ_FY-2))</f>
        <v>0</v>
      </c>
      <c r="N3025" s="17">
        <f>IF(A3026=A3027,_xll.ciqfunctions.udf.CIQ(A3018,"IQ_TOTAL_DEBT_REPAID",IQ_FY-3), _xll.ciqfunctions.udf.CIQ(A3018, "IQ_TOTAL_DEBT_REPAID",IQ_FY-2))</f>
        <v>-94.909000000000006</v>
      </c>
      <c r="O3025" s="15">
        <f t="shared" si="805"/>
        <v>-3.078572378514965</v>
      </c>
      <c r="P3025" s="15">
        <f t="shared" si="806"/>
        <v>1.8412917749254754</v>
      </c>
      <c r="Q3025" s="18"/>
      <c r="R3025" s="39" t="s">
        <v>31</v>
      </c>
      <c r="S3025" s="5">
        <f>IF(NOT(D3018&gt;0),FALSE,SLOPE(G3018:G3028,B3018:B3028))</f>
        <v>-0.47888090909090925</v>
      </c>
      <c r="U3025" s="18"/>
      <c r="V3025" s="39" t="s">
        <v>31</v>
      </c>
      <c r="W3025" s="5">
        <f>IF(NOT(D3018&gt;0),FALSE,SLOPE(G3018:G3028,B3018:B3028))</f>
        <v>-0.47888090909090925</v>
      </c>
      <c r="Y3025" s="18"/>
      <c r="Z3025" s="39" t="s">
        <v>31</v>
      </c>
      <c r="AA3025" s="5">
        <f>IF(NOT(L3018&gt;0),FALSE,SLOPE(O3018:O3028,J3018:J3028))</f>
        <v>-1.2096495422016454E-2</v>
      </c>
    </row>
    <row r="3026" spans="1:27">
      <c r="A3026" s="19">
        <f>_xll.ciqfunctions.udf.CIQ(A3018,"IQ_TOTAL_REV",IQ_FY)</f>
        <v>457.79399999999998</v>
      </c>
      <c r="B3026" s="13">
        <v>9</v>
      </c>
      <c r="C3026" s="14" t="s">
        <v>32</v>
      </c>
      <c r="D3026" s="15" cm="1">
        <f t="array" ref="D3026">_xlfn.SINGLE(IF(A3026=A3027,_xll.ciqfunctions.udf.CIQ(A3018,"IQ_TOTAL_REV",IQ_FY-2)/I3026, _xll.ciqfunctions.udf.CIQ(A3018, "IQ_TOTAL_REV",IQ_FY-1)/I3026))</f>
        <v>13.861476792781497</v>
      </c>
      <c r="E3026" s="16">
        <f t="shared" si="807"/>
        <v>0.19037547430710394</v>
      </c>
      <c r="F3026" s="15">
        <f>IF(A3026=A3027,_xll.ciqfunctions.udf.CIQ(A3018,"IQ_DILUT_EPS_EXCL",IQ_FY-2), _xll.ciqfunctions.udf.CIQ(A3018, "IQ_DILUT_EPS_EXCL",IQ_FY-1))</f>
        <v>1.77</v>
      </c>
      <c r="G3026" s="15">
        <f>IF(A3026=A3027,_xll.ciqfunctions.udf.CIQ(A3018,"IQ_EBITDA_MARGIN",IQ_FY-2), _xll.ciqfunctions.udf.CIQ(A3018, "IQ_EBITDA_MARGIN",IQ_FY-1))</f>
        <v>41.671799999999998</v>
      </c>
      <c r="H3026" s="15">
        <f>IF(A3026=A3027,_xll.ciqfunctions.udf.CIQ(A3018,"IQ_TOTAL_DIV_PAID_CF",IQ_FY-2)/-I3026, _xll.ciqfunctions.udf.CIQ(A3018, "IQ_TOTAL_DIV_PAID_CF",IQ_FY-1)/-I3026)</f>
        <v>1.4029968048244998</v>
      </c>
      <c r="I3026" s="17">
        <f>IF(A3026=A3027,_xll.ciqfunctions.udf.CIQ(A3018,"IQ_TOTAL_OUTSTANDING_FILING_DATE",IQ_FY-2), _xll.ciqfunctions.udf.CIQ(A3018, "IQ_TOTAL_OUTSTANDING_FILING_DATE",IQ_FY-1))</f>
        <v>30.690020000000001</v>
      </c>
      <c r="J3026" s="17">
        <f>IF(A3026=A3027,_xll.ciqfunctions.udf.CIQ(A3018,"IQ_CASH_OPER",IQ_FY-2), _xll.ciqfunctions.udf.CIQ(A3018, "IQ_CASH_OPER",IQ_FY-1))</f>
        <v>130.392</v>
      </c>
      <c r="K3026" s="17">
        <f>IF(A3026=A3027,_xll.ciqfunctions.udf.CIQ(A3018,"IQ_CAPEX",IQ_FY-2), _xll.ciqfunctions.udf.CIQ(A3018, "IQ_CAPEX",IQ_FY-1))</f>
        <v>-2.5110000000000001</v>
      </c>
      <c r="L3026" s="15">
        <f t="shared" si="804"/>
        <v>4.166859454637045</v>
      </c>
      <c r="M3026" s="17">
        <f>IF(A3026=A3027,_xll.ciqfunctions.udf.CIQ(A3018,"IQ_TOTAL_DEBT_ISSUED",IQ_FY-2), _xll.ciqfunctions.udf.CIQ(A3018, "IQ_TOTAL_DEBT_ISSUED",IQ_FY-1))</f>
        <v>0</v>
      </c>
      <c r="N3026" s="17">
        <f>IF(A3026=A3027,_xll.ciqfunctions.udf.CIQ(A3018,"IQ_TOTAL_DEBT_REPAID",IQ_FY-2), _xll.ciqfunctions.udf.CIQ(A3018, "IQ_TOTAL_DEBT_REPAID",IQ_FY-1))</f>
        <v>0</v>
      </c>
      <c r="O3026" s="15">
        <f t="shared" si="805"/>
        <v>0</v>
      </c>
      <c r="P3026" s="15">
        <f t="shared" si="806"/>
        <v>4.166859454637045</v>
      </c>
      <c r="Q3026" s="25" t="s">
        <v>33</v>
      </c>
      <c r="R3026" s="38" t="s">
        <v>52</v>
      </c>
      <c r="S3026" s="4">
        <f>(AVERAGE(O3023:O3028)/AVERAGE(P3023:P3028))</f>
        <v>0.15198042493837474</v>
      </c>
      <c r="U3026" s="25" t="s">
        <v>54</v>
      </c>
      <c r="V3026" s="38" t="s">
        <v>52</v>
      </c>
      <c r="W3026" s="4">
        <f>(AVERAGE(O3023:O3028)/AVERAGE(P3023:P3028))</f>
        <v>0.15198042493837474</v>
      </c>
      <c r="Y3026" s="25" t="s">
        <v>60</v>
      </c>
      <c r="Z3026" s="38" t="s">
        <v>52</v>
      </c>
      <c r="AA3026" s="4">
        <f>(AVERAGE(O3023:O3028)/AVERAGE(P3023:P3028))</f>
        <v>0.15198042493837474</v>
      </c>
    </row>
    <row r="3027" spans="1:27">
      <c r="A3027" s="19">
        <f>_xll.ciqfunctions.udf.CIQ(A3018,"IQ_TOTAL_REV",IQ_LTM)</f>
        <v>561.125</v>
      </c>
      <c r="B3027" s="13">
        <v>10</v>
      </c>
      <c r="C3027" s="14" t="s">
        <v>34</v>
      </c>
      <c r="D3027" s="15" cm="1">
        <f t="array" ref="D3027">_xlfn.SINGLE(IF(A3026=A3027,_xll.ciqfunctions.udf.CIQ(A3018,"IQ_TOTAL_REV",IQ_FY-1)/I3027, _xll.ciqfunctions.udf.CIQ(A3018, "IQ_TOTAL_REV",IQ_FY)/I3027))</f>
        <v>15.430544114137636</v>
      </c>
      <c r="E3027" s="16">
        <f t="shared" si="807"/>
        <v>0.11319625930285047</v>
      </c>
      <c r="F3027" s="15">
        <f>IF(A3026=A3027,_xll.ciqfunctions.udf.CIQ(A3018,"IQ_DILUT_EPS_EXCL",IQ_FY-1), _xll.ciqfunctions.udf.CIQ(A3018, "IQ_DILUT_EPS_EXCL",IQ_FY))</f>
        <v>3.07</v>
      </c>
      <c r="G3027" s="15">
        <f>IF(A3026=A3027,_xll.ciqfunctions.udf.CIQ(A3018,"IQ_EBITDA_MARGIN",IQ_FY-1), _xll.ciqfunctions.udf.CIQ(A3018, "IQ_EBITDA_MARGIN",IQ_FY))</f>
        <v>50.757899999999999</v>
      </c>
      <c r="H3027" s="15">
        <f>IF(A3026=A3027,_xll.ciqfunctions.udf.CIQ(A3018,"IQ_TOTAL_DIV_PAID_CF",IQ_FY-1)/-I3027, _xll.ciqfunctions.udf.CIQ(A3018, "IQ_TOTAL_DIV_PAID_CF",IQ_FY)/-I3027)</f>
        <v>1.4259789322112277</v>
      </c>
      <c r="I3027" s="17">
        <f>IF(A3026=A3027,_xll.ciqfunctions.udf.CIQ(A3018,"IQ_TOTAL_OUTSTANDING_FILING_DATE",IQ_FY-1), _xll.ciqfunctions.udf.CIQ(A3018, "IQ_TOTAL_OUTSTANDING_FILING_DATE",IQ_FY))</f>
        <v>29.668040000000001</v>
      </c>
      <c r="J3027" s="17">
        <f>IF(A3026=A3027,_xll.ciqfunctions.udf.CIQ(A3018,"IQ_CASH_OPER",IQ_FY-1), _xll.ciqfunctions.udf.CIQ(A3018, "IQ_CASH_OPER",IQ_FY))</f>
        <v>286.03899999999999</v>
      </c>
      <c r="K3027" s="17">
        <f>IF(A3026=A3027,_xll.ciqfunctions.udf.CIQ(A3018,"IQ_CAPEX",IQ_FY-1), _xll.ciqfunctions.udf.CIQ(A3018, "IQ_CAPEX",IQ_FY))</f>
        <v>-3.1560000000000001</v>
      </c>
      <c r="L3027" s="15">
        <f t="shared" si="804"/>
        <v>9.5349406297146686</v>
      </c>
      <c r="M3027" s="17">
        <f>IF(A3026=A3027,_xll.ciqfunctions.udf.CIQ(A3018,"IQ_TOTAL_DEBT_ISSUED",IQ_FY-1), _xll.ciqfunctions.udf.CIQ(A3018, "IQ_TOTAL_DEBT_ISSUED",IQ_FY))</f>
        <v>460</v>
      </c>
      <c r="N3027" s="17">
        <f>IF(A3026=A3027,_xll.ciqfunctions.udf.CIQ(A3018,"IQ_TOTAL_DEBT_REPAID",IQ_FY-1), _xll.ciqfunctions.udf.CIQ(A3018, "IQ_TOTAL_DEBT_REPAID",IQ_FY))</f>
        <v>-282.49900000000002</v>
      </c>
      <c r="O3027" s="15">
        <f t="shared" si="805"/>
        <v>5.9829028139371516</v>
      </c>
      <c r="P3027" s="15">
        <f t="shared" si="806"/>
        <v>15.51784344365182</v>
      </c>
      <c r="Q3027" s="25" t="s">
        <v>44</v>
      </c>
      <c r="R3027" s="38" t="s">
        <v>35</v>
      </c>
      <c r="S3027" s="1">
        <f>_xll.ciqfunctions.udf.CIQ(A3018,"IQ_TEV_EBITDA")</f>
        <v>6.5946699999999998</v>
      </c>
      <c r="U3027" s="25" t="s">
        <v>55</v>
      </c>
      <c r="V3027" s="38" t="s">
        <v>53</v>
      </c>
      <c r="W3027" s="1">
        <f>V3017/(AVERAGE(D3023:D3028)/_xlfn.STDEV.P(E3023:E3028))</f>
        <v>1.7458238867468567</v>
      </c>
      <c r="Y3027" s="25" t="s">
        <v>57</v>
      </c>
      <c r="Z3027" s="38" t="s">
        <v>53</v>
      </c>
      <c r="AA3027" s="1">
        <f>Z3017/(AVERAGE(D3023:D3028)/_xlfn.STDEV.P(E3023:E3028))</f>
        <v>1.7458238867468567</v>
      </c>
    </row>
    <row r="3028" spans="1:27">
      <c r="B3028" s="13">
        <v>11</v>
      </c>
      <c r="C3028" s="20" t="s">
        <v>36</v>
      </c>
      <c r="D3028" s="21" cm="1">
        <f t="array" ref="D3028">_xlfn.SINGLE(IF(A3026=A3027,_xll.ciqfunctions.udf.CIQ(A3018,"IQ_TOTAL_REV",IQ_FY)/I3028, _xll.ciqfunctions.udf.CIQ(A3018, "IQ_TOTAL_REV",IQ_LTM)/I3028))</f>
        <v>21.830973312230871</v>
      </c>
      <c r="E3028" s="22">
        <f t="shared" si="807"/>
        <v>0.41478959852291214</v>
      </c>
      <c r="F3028" s="21">
        <f>IF(A3026=A3027,_xll.ciqfunctions.udf.CIQ(A3018,"IQ_DILUT_EPS_EXCL",IQ_FY), _xll.ciqfunctions.udf.CIQ(A3018, "IQ_DILUT_EPS_EXCL",IQ_LTM))</f>
        <v>7.2206400000000004</v>
      </c>
      <c r="G3028" s="21">
        <f>IF(A3026=A3027,_xll.ciqfunctions.udf.CIQ(A3018,"IQ_EBITDA_MARGIN",IQ_FY), _xll.ciqfunctions.udf.CIQ(A3018, "IQ_EBITDA_MARGIN",IQ_LTM))</f>
        <v>55.781500000000001</v>
      </c>
      <c r="H3028" s="21">
        <f>IF(A3026=A3027,_xll.ciqfunctions.udf.CIQ(A3018,"IQ_TOTAL_DIV_PAID_CF",IQ_FY)/-I3028, _xll.ciqfunctions.udf.CIQ(A3018, "IQ_TOTAL_DIV_PAID_CF",IQ_LTM)/-I3028)</f>
        <v>1.5363091542051639</v>
      </c>
      <c r="I3028" s="23">
        <f>IF(A3026=A3027,_xll.ciqfunctions.udf.CIQ(A3018,"IQ_TOTAL_OUTSTANDING_FILING_DATE",IQ_FY),_xll.ciqfunctions.udf.CIQ(A3018,"IQ_sharesoutstanding"))</f>
        <v>25.70316</v>
      </c>
      <c r="J3028" s="23">
        <f>IF(A3026=A3027,_xll.ciqfunctions.udf.CIQ(A3018,"IQ_CASH_OPER",IQ_FY), _xll.ciqfunctions.udf.CIQ(A3018, "IQ_CASH_OPER",IQ_LTM))</f>
        <v>593.82600000000002</v>
      </c>
      <c r="K3028" s="23">
        <f>IF(A3026=A3027,_xll.ciqfunctions.udf.CIQ(A3018,"IQ_CAPEX",IQ_FY), _xll.ciqfunctions.udf.CIQ(A3018, "IQ_CAPEX",IQ_LTM))</f>
        <v>-5.4509999999999996</v>
      </c>
      <c r="L3028" s="21">
        <f t="shared" si="804"/>
        <v>22.891154239400915</v>
      </c>
      <c r="M3028" s="23">
        <f>IF(A3026=A3027,_xll.ciqfunctions.udf.CIQ(A3018,"IQ_TOTAL_DEBT_ISSUED",IQ_FY), _xll.ciqfunctions.udf.CIQ(A3018, "IQ_TOTAL_DEBT_ISSUED",IQ_LTM))</f>
        <v>0</v>
      </c>
      <c r="N3028" s="23">
        <f>IF(A3026=A3027,_xll.ciqfunctions.udf.CIQ(A3018,"IQ_TOTAL_DEBT_REPAID",IQ_FY), _xll.ciqfunctions.udf.CIQ(A3018, "IQ_TOTAL_DEBT_REPAID",IQ_LTM))</f>
        <v>0</v>
      </c>
      <c r="O3028" s="21">
        <f t="shared" si="805"/>
        <v>0</v>
      </c>
      <c r="P3028" s="21">
        <f t="shared" si="806"/>
        <v>22.891154239400915</v>
      </c>
      <c r="Q3028" s="25" t="s">
        <v>45</v>
      </c>
      <c r="S3028" s="45"/>
      <c r="U3028" s="25"/>
      <c r="W3028" s="45"/>
      <c r="Y3028" s="25"/>
      <c r="AA3028" s="45"/>
    </row>
    <row r="3029" spans="1:27">
      <c r="B3029" s="24"/>
      <c r="C3029" s="25" t="s">
        <v>37</v>
      </c>
      <c r="E3029" s="26">
        <f>((D3028/D3023)^(1/5))-1</f>
        <v>0.18293949401763765</v>
      </c>
      <c r="F3029" s="27">
        <f>((F3028/F3023)^(1/5))-1</f>
        <v>0.31447270970576513</v>
      </c>
      <c r="G3029" s="28"/>
      <c r="H3029" s="27">
        <f>((H3028/H3023)^(1/5))-1</f>
        <v>6.6871348087071958E-3</v>
      </c>
      <c r="I3029" s="27">
        <f>((I3028/I3023)^(1/5))-1</f>
        <v>-4.6528998143819611E-2</v>
      </c>
      <c r="J3029" s="27"/>
      <c r="K3029" s="27"/>
      <c r="L3029" s="26">
        <f>((L3028/L3023)^(1/5))-1</f>
        <v>0.38937878714777518</v>
      </c>
      <c r="M3029" s="26"/>
      <c r="N3029" s="26"/>
      <c r="O3029" s="26"/>
      <c r="P3029" s="26">
        <f>((P3028/P3023)^(1/5))-1</f>
        <v>0.38937878714777518</v>
      </c>
      <c r="Q3029" s="18"/>
      <c r="R3029" s="36"/>
      <c r="S3029" s="45"/>
      <c r="U3029" s="18"/>
      <c r="V3029" s="36"/>
      <c r="W3029" s="45"/>
      <c r="Y3029" s="18"/>
      <c r="Z3029" s="36"/>
      <c r="AA3029" s="45"/>
    </row>
    <row r="3030" spans="1:27">
      <c r="A3030" s="29"/>
      <c r="B3030" s="30"/>
      <c r="C3030" s="31" t="s">
        <v>38</v>
      </c>
      <c r="D3030" s="29"/>
      <c r="E3030" s="32">
        <f>((D3028/D3018)^(1/10))-1</f>
        <v>0.10500814603409037</v>
      </c>
      <c r="F3030" s="33">
        <f>((F3028/F3018)^(1/10))-1</f>
        <v>0.22879316376984593</v>
      </c>
      <c r="G3030" s="34"/>
      <c r="H3030" s="33">
        <f>((H3028/H3018)^(1/10))-1</f>
        <v>0.17533541192806146</v>
      </c>
      <c r="I3030" s="33">
        <f>((I3028/I3018)^(1/10))-1</f>
        <v>-4.4338846513791497E-2</v>
      </c>
      <c r="J3030" s="33"/>
      <c r="K3030" s="33"/>
      <c r="L3030" s="32">
        <f>((L3028/L3018)^(1/10))-1</f>
        <v>0.157989487434399</v>
      </c>
      <c r="M3030" s="32"/>
      <c r="N3030" s="32"/>
      <c r="O3030" s="32"/>
      <c r="P3030" s="32">
        <f>((P3028/P3018)^(1/10))-1</f>
        <v>0.157989487434399</v>
      </c>
      <c r="Q3030" s="40"/>
      <c r="R3030" s="41"/>
      <c r="S3030" s="46"/>
      <c r="U3030" s="40"/>
      <c r="V3030" s="41"/>
      <c r="W3030" s="46"/>
      <c r="Y3030" s="40"/>
      <c r="Z3030" s="41"/>
      <c r="AA3030" s="46"/>
    </row>
    <row r="3031" spans="1:27">
      <c r="B3031" s="24"/>
      <c r="C3031" s="25"/>
      <c r="E3031" s="26"/>
      <c r="F3031" s="27"/>
      <c r="G3031" s="28"/>
      <c r="H3031" s="27"/>
      <c r="I3031" s="27"/>
      <c r="J3031" s="27"/>
      <c r="K3031" s="27"/>
      <c r="L3031" s="26"/>
      <c r="M3031" s="17"/>
      <c r="N3031" s="17"/>
      <c r="O3031" s="17"/>
      <c r="P3031" s="35"/>
      <c r="Q3031" s="18"/>
      <c r="R3031" s="36"/>
    </row>
    <row r="3032" spans="1:27">
      <c r="A3032" s="9" t="s">
        <v>0</v>
      </c>
      <c r="B3032" s="10"/>
      <c r="C3032" s="9" t="s">
        <v>1</v>
      </c>
      <c r="D3032" s="9" t="s">
        <v>2</v>
      </c>
      <c r="E3032" s="9" t="s">
        <v>3</v>
      </c>
      <c r="F3032" s="11" t="s">
        <v>4</v>
      </c>
      <c r="G3032" s="11" t="s">
        <v>5</v>
      </c>
      <c r="H3032" s="9" t="s">
        <v>6</v>
      </c>
      <c r="I3032" s="11" t="s">
        <v>7</v>
      </c>
      <c r="J3032" s="11" t="s">
        <v>8</v>
      </c>
      <c r="K3032" s="11" t="s">
        <v>9</v>
      </c>
      <c r="L3032" s="11" t="s">
        <v>10</v>
      </c>
      <c r="M3032" s="11" t="s">
        <v>11</v>
      </c>
      <c r="N3032" s="11" t="s">
        <v>12</v>
      </c>
      <c r="O3032" s="11" t="s">
        <v>13</v>
      </c>
      <c r="P3032" s="11" t="s">
        <v>14</v>
      </c>
      <c r="Q3032" s="37" t="s">
        <v>15</v>
      </c>
      <c r="R3032" s="42">
        <f>_xll.ciqfunctions.udf.CIQ(A3033,("IQ_LASTSALEPRICE"))</f>
        <v>55.84</v>
      </c>
      <c r="S3032" s="44"/>
      <c r="U3032" s="37" t="s">
        <v>15</v>
      </c>
      <c r="V3032" s="42">
        <f>_xll.ciqfunctions.udf.CIQ(A3033,("IQ_LASTSALEPRICE"))</f>
        <v>55.84</v>
      </c>
      <c r="W3032" s="44"/>
      <c r="Y3032" s="37" t="s">
        <v>15</v>
      </c>
      <c r="Z3032" s="42">
        <f>_xll.ciqfunctions.udf.CIQ(A3033,("IQ_LASTSALEPRICE"))</f>
        <v>55.84</v>
      </c>
      <c r="AA3032" s="44"/>
    </row>
    <row r="3033" spans="1:27">
      <c r="A3033" s="12" t="str">
        <f>Analysis!B204</f>
        <v>NasdaqGS:ALRM</v>
      </c>
      <c r="B3033" s="13">
        <v>1</v>
      </c>
      <c r="C3033" s="14" t="s">
        <v>16</v>
      </c>
      <c r="D3033" s="15">
        <f>IF(A3041=A3042,_xll.ciqfunctions.udf.CIQ(A3033,"IQ_TOTAL_REV",IQ_FY-10)/I3033,_xll.ciqfunctions.udf.CIQ(A3033, "IQ_TOTAL_REV",IQ_FY-9)/I3033)</f>
        <v>53.992354448433993</v>
      </c>
      <c r="E3033" s="16"/>
      <c r="F3033" s="15">
        <f>IF(A3041=A3042,_xll.ciqfunctions.udf.CIQ(A3033,"IQ_DILUT_EPS_EXCL",IQ_FY-10), _xll.ciqfunctions.udf.CIQ(A3033, "IQ_DILUT_EPS_EXCL",IQ_FY-9))</f>
        <v>0.04</v>
      </c>
      <c r="G3033" s="15">
        <f>IF(A3041=A3042,_xll.ciqfunctions.udf.CIQ(A3033,"IQ_EBITDA_MARGIN",IQ_FY-10), _xll.ciqfunctions.udf.CIQ(A3033, "IQ_EBITDA_MARGIN",IQ_FY-9))</f>
        <v>21.1968</v>
      </c>
      <c r="H3033" s="15">
        <f>IF(A3041=A3042,_xll.ciqfunctions.udf.CIQ(A3033,"IQ_TOTAL_DIV_PAID_CF",IQ_FY-10)/-I3033, _xll.ciqfunctions.udf.CIQ(A3033, "IQ_TOTAL_DIV_PAID_CF",IQ_FY-9)/-I3033)</f>
        <v>0</v>
      </c>
      <c r="I3033" s="17">
        <f>IF(A3041=A3042,_xll.ciqfunctions.udf.CIQ(A3033,"IQ_TOTAL_OUTSTANDING_FILING_DATE",IQ_FY-10), _xll.ciqfunctions.udf.CIQ(A3033, "IQ_TOTAL_OUTSTANDING_FILING_DATE",IQ_FY-9))</f>
        <v>2.4118599999999999</v>
      </c>
      <c r="J3033" s="17">
        <f>IF(A3041=A3042,_xll.ciqfunctions.udf.CIQ(A3033,"IQ_CASH_OPER",IQ_FY-10), _xll.ciqfunctions.udf.CIQ(A3033, "IQ_CASH_OPER",IQ_FY-9))</f>
        <v>10.654</v>
      </c>
      <c r="K3033" s="17">
        <f>IF(A3041=A3042,_xll.ciqfunctions.udf.CIQ(A3033,"IQ_CAPEX",IQ_FY-10), _xll.ciqfunctions.udf.CIQ(A3033, "IQ_CAPEX",IQ_FY-9))</f>
        <v>-2.2749999999999999</v>
      </c>
      <c r="L3033" s="15">
        <f t="shared" ref="L3033:L3043" si="808">(J3033+K3033)/I3033</f>
        <v>3.4740822435796437</v>
      </c>
      <c r="M3033" s="17">
        <f>IF(A3041=A3042,_xll.ciqfunctions.udf.CIQ(A3033,"IQ_TOTAL_DEBT_ISSUED",IQ_FY-10), _xll.ciqfunctions.udf.CIQ(A3033, "IQ_TOTAL_DEBT_ISSUED",IQ_FY-9))</f>
        <v>0</v>
      </c>
      <c r="N3033" s="17">
        <f>IF(A3041=A3042,_xll.ciqfunctions.udf.CIQ(A3033,"IQ_TOTAL_DEBT_REPAID",IQ_FY-10), _xll.ciqfunctions.udf.CIQ(A3033, "IQ_TOTAL_DEBT_REPAID",IQ_FY-9))</f>
        <v>-1.5</v>
      </c>
      <c r="O3033" s="15">
        <f t="shared" ref="O3033:O3043" si="809">(M3033+N3033)/I3033</f>
        <v>-0.62192664582521373</v>
      </c>
      <c r="P3033" s="15">
        <f t="shared" ref="P3033:P3043" si="810">L3033+O3033</f>
        <v>2.8521555977544297</v>
      </c>
      <c r="W3033" s="43"/>
      <c r="AA3033" s="43"/>
    </row>
    <row r="3034" spans="1:27">
      <c r="A3034" s="18" t="str">
        <f>_xll.ciqfunctions.udf.CIQ(A3033,"IQ_COMPANY_NAME")</f>
        <v>Alarm.com Holdings, Inc.</v>
      </c>
      <c r="B3034" s="13">
        <v>2</v>
      </c>
      <c r="C3034" s="14" t="s">
        <v>17</v>
      </c>
      <c r="D3034" s="15">
        <f>IF(A3041=A3042,_xll.ciqfunctions.udf.CIQ(A3033,"IQ_TOTAL_REV",IQ_FY-9)/I3034, _xll.ciqfunctions.udf.CIQ(A3033, "IQ_TOTAL_REV",IQ_FY-8)/I3034)</f>
        <v>63.995348908370438</v>
      </c>
      <c r="E3034" s="16">
        <f t="shared" ref="E3034:E3043" si="811">(D3034-D3033)/D3033</f>
        <v>0.18526686902476014</v>
      </c>
      <c r="F3034" s="15">
        <f>IF(A3041=A3042,_xll.ciqfunctions.udf.CIQ(A3033,"IQ_DILUT_EPS_EXCL",IQ_FY-9), _xll.ciqfunctions.udf.CIQ(A3033, "IQ_DILUT_EPS_EXCL",IQ_FY-8))</f>
        <v>0.14000000000000001</v>
      </c>
      <c r="G3034" s="15">
        <f>IF(A3041=A3042,_xll.ciqfunctions.udf.CIQ(A3033,"IQ_EBITDA_MARGIN",IQ_FY-9), _xll.ciqfunctions.udf.CIQ(A3033, "IQ_EBITDA_MARGIN",IQ_FY-8))</f>
        <v>15.034700000000001</v>
      </c>
      <c r="H3034" s="15">
        <f>IF(A3041=A3042,_xll.ciqfunctions.udf.CIQ(A3033,"IQ_TOTAL_DIV_PAID_CF",IQ_FY-9)/-I3034, _xll.ciqfunctions.udf.CIQ(A3033, "IQ_TOTAL_DIV_PAID_CF",IQ_FY-8)/-I3034)</f>
        <v>0</v>
      </c>
      <c r="I3034" s="17">
        <f>IF(A3041=A3042,_xll.ciqfunctions.udf.CIQ(A3033,"IQ_TOTAL_OUTSTANDING_FILING_DATE",IQ_FY-9), _xll.ciqfunctions.udf.CIQ(A3033, "IQ_TOTAL_OUTSTANDING_FILING_DATE",IQ_FY-8))</f>
        <v>2.6144400000000001</v>
      </c>
      <c r="J3034" s="17">
        <f>IF(A3041=A3042,_xll.ciqfunctions.udf.CIQ(A3033,"IQ_CASH_OPER",IQ_FY-9), _xll.ciqfunctions.udf.CIQ(A3033, "IQ_CASH_OPER",IQ_FY-8))</f>
        <v>15.635</v>
      </c>
      <c r="K3034" s="17">
        <f>IF(A3041=A3042,_xll.ciqfunctions.udf.CIQ(A3033,"IQ_CAPEX",IQ_FY-9), _xll.ciqfunctions.udf.CIQ(A3033, "IQ_CAPEX",IQ_FY-8))</f>
        <v>-6.8920000000000003</v>
      </c>
      <c r="L3034" s="15">
        <f t="shared" si="808"/>
        <v>3.3441195820137386</v>
      </c>
      <c r="M3034" s="17">
        <f>IF(A3041=A3042,_xll.ciqfunctions.udf.CIQ(A3033,"IQ_TOTAL_DEBT_ISSUED",IQ_FY-9), _xll.ciqfunctions.udf.CIQ(A3033, "IQ_TOTAL_DEBT_ISSUED",IQ_FY-8))</f>
        <v>6.3760000000000003</v>
      </c>
      <c r="N3034" s="17">
        <f>IF(A3041=A3042,_xll.ciqfunctions.udf.CIQ(A3033,"IQ_TOTAL_DEBT_REPAID",IQ_FY-9), _xll.ciqfunctions.udf.CIQ(A3033, "IQ_TOTAL_DEBT_REPAID",IQ_FY-8))</f>
        <v>-7.5</v>
      </c>
      <c r="O3034" s="15">
        <f t="shared" si="809"/>
        <v>-0.42991998286439914</v>
      </c>
      <c r="P3034" s="15">
        <f t="shared" si="810"/>
        <v>2.9141995991493395</v>
      </c>
      <c r="Q3034" s="25" t="s">
        <v>18</v>
      </c>
      <c r="R3034" s="39" t="s">
        <v>19</v>
      </c>
      <c r="S3034" s="1">
        <f>R3032/((AVERAGE(P3038:P3043))*(1+E3044)^3)</f>
        <v>13.317622431057041</v>
      </c>
      <c r="U3034" s="25" t="s">
        <v>48</v>
      </c>
      <c r="V3034" s="39" t="s">
        <v>19</v>
      </c>
      <c r="W3034" s="1">
        <f>V3032/((AVERAGE(P3038:P3043))*(1+E3044)^3)</f>
        <v>13.317622431057041</v>
      </c>
      <c r="Y3034" s="25" t="s">
        <v>39</v>
      </c>
      <c r="Z3034" s="39" t="s">
        <v>19</v>
      </c>
      <c r="AA3034" s="1">
        <f>Z3032/((AVERAGE(P3038:P3043))*(1+E3044)^3)</f>
        <v>13.317622431057041</v>
      </c>
    </row>
    <row r="3035" spans="1:27">
      <c r="B3035" s="13">
        <v>3</v>
      </c>
      <c r="C3035" s="14" t="s">
        <v>20</v>
      </c>
      <c r="D3035" s="15" cm="1">
        <f t="array" ref="D3035">_xlfn.SINGLE(IF(A3041=A3042,_xll.ciqfunctions.udf.CIQ(A3033,"IQ_TOTAL_REV",IQ_FY-8)/I3035, _xll.ciqfunctions.udf.CIQ(A3033, "IQ_TOTAL_REV",IQ_FY-7)/I3035))</f>
        <v>4.582619794456928</v>
      </c>
      <c r="E3035" s="16">
        <f t="shared" si="811"/>
        <v>-0.9283913616750743</v>
      </c>
      <c r="F3035" s="15">
        <f>IF(A3041=A3042,_xll.ciqfunctions.udf.CIQ(A3033,"IQ_DILUT_EPS_EXCL",IQ_FY-8), _xll.ciqfunctions.udf.CIQ(A3033, "IQ_DILUT_EPS_EXCL",IQ_FY-7))</f>
        <v>-0.3</v>
      </c>
      <c r="G3035" s="15">
        <f>IF(A3041=A3042,_xll.ciqfunctions.udf.CIQ(A3033,"IQ_EBITDA_MARGIN",IQ_FY-8), _xll.ciqfunctions.udf.CIQ(A3033, "IQ_EBITDA_MARGIN",IQ_FY-7))</f>
        <v>14.67</v>
      </c>
      <c r="H3035" s="15">
        <f>IF(A3041=A3042,_xll.ciqfunctions.udf.CIQ(A3033,"IQ_TOTAL_DIV_PAID_CF",IQ_FY-8)/-I3035, _xll.ciqfunctions.udf.CIQ(A3033, "IQ_TOTAL_DIV_PAID_CF",IQ_FY-7)/-I3035)</f>
        <v>0.43876333676007501</v>
      </c>
      <c r="I3035" s="17">
        <f>IF(A3041=A3042,_xll.ciqfunctions.udf.CIQ(A3033,"IQ_TOTAL_OUTSTANDING_FILING_DATE",IQ_FY-8), _xll.ciqfunctions.udf.CIQ(A3033, "IQ_TOTAL_OUTSTANDING_FILING_DATE",IQ_FY-7))</f>
        <v>45.582659999999997</v>
      </c>
      <c r="J3035" s="17">
        <f>IF(A3041=A3042,_xll.ciqfunctions.udf.CIQ(A3033,"IQ_CASH_OPER",IQ_FY-8), _xll.ciqfunctions.udf.CIQ(A3033, "IQ_CASH_OPER",IQ_FY-7))</f>
        <v>28.018999999999998</v>
      </c>
      <c r="K3035" s="17">
        <f>IF(A3041=A3042,_xll.ciqfunctions.udf.CIQ(A3033,"IQ_CAPEX",IQ_FY-8), _xll.ciqfunctions.udf.CIQ(A3033, "IQ_CAPEX",IQ_FY-7))</f>
        <v>-10.347</v>
      </c>
      <c r="L3035" s="15">
        <f t="shared" si="808"/>
        <v>0.3876912843612022</v>
      </c>
      <c r="M3035" s="17">
        <f>IF(A3041=A3042,_xll.ciqfunctions.udf.CIQ(A3033,"IQ_TOTAL_DEBT_ISSUED",IQ_FY-8), _xll.ciqfunctions.udf.CIQ(A3033, "IQ_TOTAL_DEBT_ISSUED",IQ_FY-7))</f>
        <v>0</v>
      </c>
      <c r="N3035" s="17">
        <f>IF(A3041=A3042,_xll.ciqfunctions.udf.CIQ(A3033,"IQ_TOTAL_DEBT_REPAID",IQ_FY-8), _xll.ciqfunctions.udf.CIQ(A3033, "IQ_TOTAL_DEBT_REPAID",IQ_FY-7))</f>
        <v>0</v>
      </c>
      <c r="O3035" s="15">
        <f t="shared" si="809"/>
        <v>0</v>
      </c>
      <c r="P3035" s="15">
        <f t="shared" si="810"/>
        <v>0.3876912843612022</v>
      </c>
      <c r="Q3035" s="25" t="s">
        <v>21</v>
      </c>
      <c r="R3035" s="38" t="s">
        <v>49</v>
      </c>
      <c r="S3035" s="2">
        <f>(R3032*I3043)/1000</f>
        <v>2.7913176352</v>
      </c>
      <c r="U3035" s="25" t="s">
        <v>59</v>
      </c>
      <c r="V3035" s="38" t="s">
        <v>49</v>
      </c>
      <c r="W3035" s="2">
        <f>(V3032*I3043)/1000</f>
        <v>2.7913176352</v>
      </c>
      <c r="Y3035" s="25" t="s">
        <v>46</v>
      </c>
      <c r="Z3035" s="38" t="s">
        <v>49</v>
      </c>
      <c r="AA3035" s="2">
        <f>(Z3032*I3043)/1000</f>
        <v>2.7913176352</v>
      </c>
    </row>
    <row r="3036" spans="1:27">
      <c r="A3036" s="18"/>
      <c r="B3036" s="13">
        <v>4</v>
      </c>
      <c r="C3036" s="14" t="s">
        <v>22</v>
      </c>
      <c r="D3036" s="15" cm="1">
        <f t="array" ref="D3036">_xlfn.SINGLE(IF(A3041=A3042,_xll.ciqfunctions.udf.CIQ(A3033,"IQ_TOTAL_REV",IQ_FY-7)/I3036, _xll.ciqfunctions.udf.CIQ(A3033, "IQ_TOTAL_REV",IQ_FY-6)/I3036))</f>
        <v>5.647691637498772</v>
      </c>
      <c r="E3036" s="16">
        <f t="shared" si="811"/>
        <v>0.23241549393430802</v>
      </c>
      <c r="F3036" s="15">
        <f>IF(A3041=A3042,_xll.ciqfunctions.udf.CIQ(A3033,"IQ_DILUT_EPS_EXCL",IQ_FY-7), _xll.ciqfunctions.udf.CIQ(A3033, "IQ_DILUT_EPS_EXCL",IQ_FY-6))</f>
        <v>0.21</v>
      </c>
      <c r="G3036" s="15">
        <f>IF(A3041=A3042,_xll.ciqfunctions.udf.CIQ(A3033,"IQ_EBITDA_MARGIN",IQ_FY-7), _xll.ciqfunctions.udf.CIQ(A3033, "IQ_EBITDA_MARGIN",IQ_FY-6))</f>
        <v>17.306699999999999</v>
      </c>
      <c r="H3036" s="15">
        <f>IF(A3041=A3042,_xll.ciqfunctions.udf.CIQ(A3033,"IQ_TOTAL_DIV_PAID_CF",IQ_FY-7)/-I3036, _xll.ciqfunctions.udf.CIQ(A3033, "IQ_TOTAL_DIV_PAID_CF",IQ_FY-6)/-I3036)</f>
        <v>0</v>
      </c>
      <c r="I3036" s="17">
        <f>IF(A3041=A3042,_xll.ciqfunctions.udf.CIQ(A3033,"IQ_TOTAL_OUTSTANDING_FILING_DATE",IQ_FY-7), _xll.ciqfunctions.udf.CIQ(A3033, "IQ_TOTAL_OUTSTANDING_FILING_DATE",IQ_FY-6))</f>
        <v>46.232340000000001</v>
      </c>
      <c r="J3036" s="17">
        <f>IF(A3041=A3042,_xll.ciqfunctions.udf.CIQ(A3033,"IQ_CASH_OPER",IQ_FY-7), _xll.ciqfunctions.udf.CIQ(A3033, "IQ_CASH_OPER",IQ_FY-6))</f>
        <v>22.6</v>
      </c>
      <c r="K3036" s="17">
        <f>IF(A3041=A3042,_xll.ciqfunctions.udf.CIQ(A3033,"IQ_CAPEX",IQ_FY-7), _xll.ciqfunctions.udf.CIQ(A3033, "IQ_CAPEX",IQ_FY-6))</f>
        <v>-9.0549999999999997</v>
      </c>
      <c r="L3036" s="15">
        <f t="shared" si="808"/>
        <v>0.29297673446769085</v>
      </c>
      <c r="M3036" s="17">
        <f>IF(A3041=A3042,_xll.ciqfunctions.udf.CIQ(A3033,"IQ_TOTAL_DEBT_ISSUED",IQ_FY-7), _xll.ciqfunctions.udf.CIQ(A3033, "IQ_TOTAL_DEBT_ISSUED",IQ_FY-6))</f>
        <v>0</v>
      </c>
      <c r="N3036" s="17">
        <f>IF(A3041=A3042,_xll.ciqfunctions.udf.CIQ(A3033,"IQ_TOTAL_DEBT_REPAID",IQ_FY-7), _xll.ciqfunctions.udf.CIQ(A3033, "IQ_TOTAL_DEBT_REPAID",IQ_FY-6))</f>
        <v>0</v>
      </c>
      <c r="O3036" s="15">
        <f t="shared" si="809"/>
        <v>0</v>
      </c>
      <c r="P3036" s="15">
        <f t="shared" si="810"/>
        <v>0.29297673446769085</v>
      </c>
      <c r="Q3036" s="25" t="s">
        <v>23</v>
      </c>
      <c r="R3036" s="38" t="s">
        <v>24</v>
      </c>
      <c r="S3036" s="1" t="e">
        <f>R3032/(AVERAGE(H3038:H3043)*(1+H3044)/(0.5-H3044))</f>
        <v>#DIV/0!</v>
      </c>
      <c r="U3036" s="25" t="s">
        <v>40</v>
      </c>
      <c r="V3036" s="38" t="s">
        <v>24</v>
      </c>
      <c r="W3036" s="1" t="e">
        <f>V3032/(AVERAGE(H3038:H3043)*(1+H3044)/(0.5-H3044))</f>
        <v>#DIV/0!</v>
      </c>
      <c r="Y3036" s="25" t="s">
        <v>47</v>
      </c>
      <c r="Z3036" s="38" t="s">
        <v>24</v>
      </c>
      <c r="AA3036" s="1" t="e">
        <f>Z3032/(AVERAGE(H3038:H3043)*(1+H3044)/(0.5-H3044))</f>
        <v>#DIV/0!</v>
      </c>
    </row>
    <row r="3037" spans="1:27">
      <c r="B3037" s="13">
        <v>5</v>
      </c>
      <c r="C3037" s="14" t="s">
        <v>25</v>
      </c>
      <c r="D3037" s="15" cm="1">
        <f t="array" ref="D3037">_xlfn.SINGLE(IF(A3041=A3042,_xll.ciqfunctions.udf.CIQ(A3033,"IQ_TOTAL_REV",IQ_FY-6)/I3037, _xll.ciqfunctions.udf.CIQ(A3033, "IQ_TOTAL_REV",IQ_FY-5)/I3037))</f>
        <v>7.1799833156165915</v>
      </c>
      <c r="E3037" s="16">
        <f t="shared" si="811"/>
        <v>0.27131291445586697</v>
      </c>
      <c r="F3037" s="15">
        <f>IF(A3041=A3042,_xll.ciqfunctions.udf.CIQ(A3033,"IQ_DILUT_EPS_EXCL",IQ_FY-6), _xll.ciqfunctions.udf.CIQ(A3033, "IQ_DILUT_EPS_EXCL",IQ_FY-5))</f>
        <v>0.59</v>
      </c>
      <c r="G3037" s="15">
        <f>IF(A3041=A3042,_xll.ciqfunctions.udf.CIQ(A3033,"IQ_EBITDA_MARGIN",IQ_FY-6), _xll.ciqfunctions.udf.CIQ(A3033, "IQ_EBITDA_MARGIN",IQ_FY-5))</f>
        <v>19.1126</v>
      </c>
      <c r="H3037" s="15">
        <f>IF(A3041=A3042,_xll.ciqfunctions.udf.CIQ(A3033,"IQ_TOTAL_DIV_PAID_CF",IQ_FY-6)/-I3037, _xll.ciqfunctions.udf.CIQ(A3033, "IQ_TOTAL_DIV_PAID_CF",IQ_FY-5)/-I3037)</f>
        <v>0</v>
      </c>
      <c r="I3037" s="17">
        <f>IF(A3041=A3042,_xll.ciqfunctions.udf.CIQ(A3033,"IQ_TOTAL_OUTSTANDING_FILING_DATE",IQ_FY-6), _xll.ciqfunctions.udf.CIQ(A3033, "IQ_TOTAL_OUTSTANDING_FILING_DATE",IQ_FY-5))</f>
        <v>47.205820000000003</v>
      </c>
      <c r="J3037" s="17">
        <f>IF(A3041=A3042,_xll.ciqfunctions.udf.CIQ(A3033,"IQ_CASH_OPER",IQ_FY-6), _xll.ciqfunctions.udf.CIQ(A3033, "IQ_CASH_OPER",IQ_FY-5))</f>
        <v>57.186999999999998</v>
      </c>
      <c r="K3037" s="17">
        <f>IF(A3041=A3042,_xll.ciqfunctions.udf.CIQ(A3033,"IQ_CAPEX",IQ_FY-6), _xll.ciqfunctions.udf.CIQ(A3033, "IQ_CAPEX",IQ_FY-5))</f>
        <v>-10.464</v>
      </c>
      <c r="L3037" s="15">
        <f t="shared" si="808"/>
        <v>0.98977202387332741</v>
      </c>
      <c r="M3037" s="17">
        <f>IF(A3041=A3042,_xll.ciqfunctions.udf.CIQ(A3033,"IQ_TOTAL_DEBT_ISSUED",IQ_FY-6), _xll.ciqfunctions.udf.CIQ(A3033, "IQ_TOTAL_DEBT_ISSUED",IQ_FY-5))</f>
        <v>139</v>
      </c>
      <c r="N3037" s="17">
        <f>IF(A3041=A3042,_xll.ciqfunctions.udf.CIQ(A3033,"IQ_TOTAL_DEBT_REPAID",IQ_FY-6), _xll.ciqfunctions.udf.CIQ(A3033, "IQ_TOTAL_DEBT_REPAID",IQ_FY-5))</f>
        <v>-74.7</v>
      </c>
      <c r="O3037" s="15">
        <f t="shared" si="809"/>
        <v>1.362120179249084</v>
      </c>
      <c r="P3037" s="15">
        <f t="shared" si="810"/>
        <v>2.3518922031224117</v>
      </c>
      <c r="Q3037" s="18"/>
      <c r="R3037" s="38" t="s">
        <v>50</v>
      </c>
      <c r="S3037" s="3">
        <f>I3044</f>
        <v>7.3844584901641142E-3</v>
      </c>
      <c r="U3037" s="18"/>
      <c r="V3037" s="38" t="s">
        <v>50</v>
      </c>
      <c r="W3037" s="3">
        <f>I3044</f>
        <v>7.3844584901641142E-3</v>
      </c>
      <c r="Y3037" s="18"/>
      <c r="Z3037" s="38" t="s">
        <v>50</v>
      </c>
      <c r="AA3037" s="3">
        <f>I3044</f>
        <v>7.3844584901641142E-3</v>
      </c>
    </row>
    <row r="3038" spans="1:27">
      <c r="B3038" s="13">
        <v>6</v>
      </c>
      <c r="C3038" s="14" t="s">
        <v>26</v>
      </c>
      <c r="D3038" s="15" cm="1">
        <f t="array" ref="D3038">_xlfn.SINGLE(IF(A3041=A3042,_xll.ciqfunctions.udf.CIQ(A3033,"IQ_TOTAL_REV",IQ_FY-5)/I3038, _xll.ciqfunctions.udf.CIQ(A3033, "IQ_TOTAL_REV",IQ_FY-4)/I3038))</f>
        <v>8.7271448795211359</v>
      </c>
      <c r="E3038" s="16">
        <f t="shared" si="811"/>
        <v>0.21548261268789309</v>
      </c>
      <c r="F3038" s="15">
        <f>IF(A3041=A3042,_xll.ciqfunctions.udf.CIQ(A3033,"IQ_DILUT_EPS_EXCL",IQ_FY-5), _xll.ciqfunctions.udf.CIQ(A3033, "IQ_DILUT_EPS_EXCL",IQ_FY-4))</f>
        <v>0.43</v>
      </c>
      <c r="G3038" s="15">
        <f>IF(A3041=A3042,_xll.ciqfunctions.udf.CIQ(A3033,"IQ_EBITDA_MARGIN",IQ_FY-5), _xll.ciqfunctions.udf.CIQ(A3033, "IQ_EBITDA_MARGIN",IQ_FY-4))</f>
        <v>18.966200000000001</v>
      </c>
      <c r="H3038" s="15">
        <f>IF(A3041=A3042,_xll.ciqfunctions.udf.CIQ(A3033,"IQ_TOTAL_DIV_PAID_CF",IQ_FY-5)/-I3038, _xll.ciqfunctions.udf.CIQ(A3033, "IQ_TOTAL_DIV_PAID_CF",IQ_FY-4)/-I3038)</f>
        <v>0</v>
      </c>
      <c r="I3038" s="17">
        <f>IF(A3041=A3042,_xll.ciqfunctions.udf.CIQ(A3033,"IQ_TOTAL_OUTSTANDING_FILING_DATE",IQ_FY-5), _xll.ciqfunctions.udf.CIQ(A3033, "IQ_TOTAL_OUTSTANDING_FILING_DATE",IQ_FY-4))</f>
        <v>48.182310000000001</v>
      </c>
      <c r="J3038" s="17">
        <f>IF(A3041=A3042,_xll.ciqfunctions.udf.CIQ(A3033,"IQ_CASH_OPER",IQ_FY-5), _xll.ciqfunctions.udf.CIQ(A3033, "IQ_CASH_OPER",IQ_FY-4))</f>
        <v>60.71</v>
      </c>
      <c r="K3038" s="17">
        <f>IF(A3041=A3042,_xll.ciqfunctions.udf.CIQ(A3033,"IQ_CAPEX",IQ_FY-5), _xll.ciqfunctions.udf.CIQ(A3033, "IQ_CAPEX",IQ_FY-4))</f>
        <v>-11.015000000000001</v>
      </c>
      <c r="L3038" s="15">
        <f t="shared" si="808"/>
        <v>1.0313951323628943</v>
      </c>
      <c r="M3038" s="17">
        <f>IF(A3041=A3042,_xll.ciqfunctions.udf.CIQ(A3033,"IQ_TOTAL_DEBT_ISSUED",IQ_FY-5), _xll.ciqfunctions.udf.CIQ(A3033, "IQ_TOTAL_DEBT_ISSUED",IQ_FY-4))</f>
        <v>0</v>
      </c>
      <c r="N3038" s="17">
        <f>IF(A3041=A3042,_xll.ciqfunctions.udf.CIQ(A3033,"IQ_TOTAL_DEBT_REPAID",IQ_FY-5), _xll.ciqfunctions.udf.CIQ(A3033, "IQ_TOTAL_DEBT_REPAID",IQ_FY-4))</f>
        <v>-4</v>
      </c>
      <c r="O3038" s="15">
        <f t="shared" si="809"/>
        <v>-8.3018020514167956E-2</v>
      </c>
      <c r="P3038" s="15">
        <f t="shared" si="810"/>
        <v>0.94837711184872631</v>
      </c>
      <c r="Q3038" s="25" t="s">
        <v>27</v>
      </c>
      <c r="R3038" s="38" t="s">
        <v>51</v>
      </c>
      <c r="S3038" s="4">
        <f>AVERAGE(F3038:F3043)/AVERAGE(D3038:D3043)</f>
        <v>7.9163259654468771E-2</v>
      </c>
      <c r="U3038" s="25" t="s">
        <v>58</v>
      </c>
      <c r="V3038" s="38" t="s">
        <v>51</v>
      </c>
      <c r="W3038" s="4">
        <f>AVERAGE(F3038:F3043)/AVERAGE(D3038:D3043)</f>
        <v>7.9163259654468771E-2</v>
      </c>
      <c r="Y3038" s="25" t="s">
        <v>56</v>
      </c>
      <c r="Z3038" s="38" t="s">
        <v>51</v>
      </c>
      <c r="AA3038" s="4">
        <f>AVERAGE(F3038:F3043)/AVERAGE(D3038:D3043)</f>
        <v>7.9163259654468771E-2</v>
      </c>
    </row>
    <row r="3039" spans="1:27">
      <c r="A3039" s="18"/>
      <c r="B3039" s="13">
        <v>7</v>
      </c>
      <c r="C3039" s="14" t="s">
        <v>28</v>
      </c>
      <c r="D3039" s="15" cm="1">
        <f t="array" ref="D3039">_xlfn.SINGLE(IF(A3041=A3042,_xll.ciqfunctions.udf.CIQ(A3033,"IQ_TOTAL_REV",IQ_FY-4)/I3039, _xll.ciqfunctions.udf.CIQ(A3033, "IQ_TOTAL_REV",IQ_FY-3)/I3039))</f>
        <v>10.305450700766873</v>
      </c>
      <c r="E3039" s="16">
        <f t="shared" si="811"/>
        <v>0.18085019133225841</v>
      </c>
      <c r="F3039" s="15">
        <f>IF(A3041=A3042,_xll.ciqfunctions.udf.CIQ(A3033,"IQ_DILUT_EPS_EXCL",IQ_FY-4), _xll.ciqfunctions.udf.CIQ(A3033, "IQ_DILUT_EPS_EXCL",IQ_FY-3))</f>
        <v>1.06</v>
      </c>
      <c r="G3039" s="15">
        <f>IF(A3041=A3042,_xll.ciqfunctions.udf.CIQ(A3033,"IQ_EBITDA_MARGIN",IQ_FY-4), _xll.ciqfunctions.udf.CIQ(A3033, "IQ_EBITDA_MARGIN",IQ_FY-3))</f>
        <v>16.932500000000001</v>
      </c>
      <c r="H3039" s="15">
        <f>IF(A3041=A3042,_xll.ciqfunctions.udf.CIQ(A3033,"IQ_TOTAL_DIV_PAID_CF",IQ_FY-4)/-I3039, _xll.ciqfunctions.udf.CIQ(A3033, "IQ_TOTAL_DIV_PAID_CF",IQ_FY-3)/-I3039)</f>
        <v>0</v>
      </c>
      <c r="I3039" s="17">
        <f>IF(A3041=A3042,_xll.ciqfunctions.udf.CIQ(A3033,"IQ_TOTAL_OUTSTANDING_FILING_DATE",IQ_FY-4), _xll.ciqfunctions.udf.CIQ(A3033, "IQ_TOTAL_OUTSTANDING_FILING_DATE",IQ_FY-3))</f>
        <v>48.747309999999999</v>
      </c>
      <c r="J3039" s="17">
        <f>IF(A3041=A3042,_xll.ciqfunctions.udf.CIQ(A3033,"IQ_CASH_OPER",IQ_FY-4), _xll.ciqfunctions.udf.CIQ(A3033, "IQ_CASH_OPER",IQ_FY-3))</f>
        <v>47.112000000000002</v>
      </c>
      <c r="K3039" s="17">
        <f>IF(A3041=A3042,_xll.ciqfunctions.udf.CIQ(A3033,"IQ_CAPEX",IQ_FY-4), _xll.ciqfunctions.udf.CIQ(A3033, "IQ_CAPEX",IQ_FY-3))</f>
        <v>-19.324000000000002</v>
      </c>
      <c r="L3039" s="15">
        <f t="shared" si="808"/>
        <v>0.57004171101954138</v>
      </c>
      <c r="M3039" s="17">
        <f>IF(A3041=A3042,_xll.ciqfunctions.udf.CIQ(A3033,"IQ_TOTAL_DEBT_ISSUED",IQ_FY-4), _xll.ciqfunctions.udf.CIQ(A3033, "IQ_TOTAL_DEBT_ISSUED",IQ_FY-3))</f>
        <v>0</v>
      </c>
      <c r="N3039" s="17">
        <f>IF(A3041=A3042,_xll.ciqfunctions.udf.CIQ(A3033,"IQ_TOTAL_DEBT_REPAID",IQ_FY-4), _xll.ciqfunctions.udf.CIQ(A3033, "IQ_TOTAL_DEBT_REPAID",IQ_FY-3))</f>
        <v>-4</v>
      </c>
      <c r="O3039" s="15">
        <f t="shared" si="809"/>
        <v>-8.2055809848789601E-2</v>
      </c>
      <c r="P3039" s="15">
        <f t="shared" si="810"/>
        <v>0.4879859011707518</v>
      </c>
      <c r="Q3039" s="18"/>
      <c r="R3039" s="38" t="s">
        <v>29</v>
      </c>
      <c r="S3039" s="4">
        <f>(AVERAGE(P3038:P3043)/_xlfn.STDEV.P(P3038:P3043))/(IF(A3041=A3042,(_xlfn.SINGLE(_xll.ciqfunctions.udf.CIQ(A3033,"IQ_total_assets",IQ_FY)) - _xlfn.SINGLE(_xll.ciqfunctions.udf.CIQ(A3033,"iq_gw_intan", IQ_FY)))/I3043, (_xlfn.SINGLE(_xll.ciqfunctions.udf.CIQ(A3033, "IQ_total_assets",IQ_LTM))-_xlfn.SINGLE(_xll.ciqfunctions.udf.CIQ(A3033,"iq_gw_intan",IQ_LTM)))/I3043))</f>
        <v>3.7479781712529366E-2</v>
      </c>
      <c r="U3039" s="18"/>
      <c r="V3039" s="38" t="s">
        <v>29</v>
      </c>
      <c r="W3039" s="4">
        <f>(AVERAGE(P3038:P3043)/_xlfn.STDEV.P(P3038:P3043))/(IF(A3041=A3042,(_xlfn.SINGLE(_xll.ciqfunctions.udf.CIQ(A3033,"IQ_total_assets",IQ_FY)) - _xlfn.SINGLE(_xll.ciqfunctions.udf.CIQ(A3033,"iq_gw_intan", IQ_FY)))/I3043, (_xlfn.SINGLE(_xll.ciqfunctions.udf.CIQ(A3033, "IQ_total_assets",IQ_LTM))-_xlfn.SINGLE(_xll.ciqfunctions.udf.CIQ(A3033,"iq_gw_intan",IQ_LTM)))/I3043))</f>
        <v>3.7479781712529366E-2</v>
      </c>
      <c r="Y3039" s="18"/>
      <c r="Z3039" s="38" t="s">
        <v>29</v>
      </c>
      <c r="AA3039" s="4">
        <f>(AVERAGE(P3038:P3043)/_xlfn.STDEV.P(P3038:P3043))/(IF(A3041=A3042,(_xlfn.SINGLE(_xll.ciqfunctions.udf.CIQ(A3033,"IQ_total_assets",IQ_FY)) - _xlfn.SINGLE(_xll.ciqfunctions.udf.CIQ(A3033,"iq_gw_intan", IQ_FY)))/I3043, (_xlfn.SINGLE(_xll.ciqfunctions.udf.CIQ(A3033, "IQ_total_assets",IQ_LTM))-_xlfn.SINGLE(_xll.ciqfunctions.udf.CIQ(A3033,"iq_gw_intan",IQ_LTM)))/I3043))</f>
        <v>3.7479781712529366E-2</v>
      </c>
    </row>
    <row r="3040" spans="1:27">
      <c r="A3040" s="18"/>
      <c r="B3040" s="13">
        <v>8</v>
      </c>
      <c r="C3040" s="14" t="s">
        <v>30</v>
      </c>
      <c r="D3040" s="15" cm="1">
        <f t="array" ref="D3040">_xlfn.SINGLE(IF(A3041=A3042,_xll.ciqfunctions.udf.CIQ(A3033,"IQ_TOTAL_REV",IQ_FY-3)/I3040, _xll.ciqfunctions.udf.CIQ(A3033, "IQ_TOTAL_REV",IQ_FY-2)/I3040))</f>
        <v>12.463057197289844</v>
      </c>
      <c r="E3040" s="16">
        <f t="shared" si="811"/>
        <v>0.20936556383336197</v>
      </c>
      <c r="F3040" s="15">
        <f>IF(A3041=A3042,_xll.ciqfunctions.udf.CIQ(A3033,"IQ_DILUT_EPS_EXCL",IQ_FY-3), _xll.ciqfunctions.udf.CIQ(A3033, "IQ_DILUT_EPS_EXCL",IQ_FY-2))</f>
        <v>1.53</v>
      </c>
      <c r="G3040" s="15">
        <f>IF(A3041=A3042,_xll.ciqfunctions.udf.CIQ(A3033,"IQ_EBITDA_MARGIN",IQ_FY-3), _xll.ciqfunctions.udf.CIQ(A3033, "IQ_EBITDA_MARGIN",IQ_FY-2))</f>
        <v>15.2135</v>
      </c>
      <c r="H3040" s="15">
        <f>IF(A3041=A3042,_xll.ciqfunctions.udf.CIQ(A3033,"IQ_TOTAL_DIV_PAID_CF",IQ_FY-3)/-I3040, _xll.ciqfunctions.udf.CIQ(A3033, "IQ_TOTAL_DIV_PAID_CF",IQ_FY-2)/-I3040)</f>
        <v>0</v>
      </c>
      <c r="I3040" s="17">
        <f>IF(A3041=A3042,_xll.ciqfunctions.udf.CIQ(A3033,"IQ_TOTAL_OUTSTANDING_FILING_DATE",IQ_FY-3), _xll.ciqfunctions.udf.CIQ(A3033, "IQ_TOTAL_OUTSTANDING_FILING_DATE",IQ_FY-2))</f>
        <v>49.586790000000001</v>
      </c>
      <c r="J3040" s="17">
        <f>IF(A3041=A3042,_xll.ciqfunctions.udf.CIQ(A3033,"IQ_CASH_OPER",IQ_FY-3), _xll.ciqfunctions.udf.CIQ(A3033, "IQ_CASH_OPER",IQ_FY-2))</f>
        <v>102.08</v>
      </c>
      <c r="K3040" s="17">
        <f>IF(A3041=A3042,_xll.ciqfunctions.udf.CIQ(A3033,"IQ_CAPEX",IQ_FY-3), _xll.ciqfunctions.udf.CIQ(A3033, "IQ_CAPEX",IQ_FY-2))</f>
        <v>-16.140999999999998</v>
      </c>
      <c r="L3040" s="15">
        <f t="shared" si="808"/>
        <v>1.7331027073944489</v>
      </c>
      <c r="M3040" s="17">
        <f>IF(A3041=A3042,_xll.ciqfunctions.udf.CIQ(A3033,"IQ_TOTAL_DEBT_ISSUED",IQ_FY-3), _xll.ciqfunctions.udf.CIQ(A3033, "IQ_TOTAL_DEBT_ISSUED",IQ_FY-2))</f>
        <v>50</v>
      </c>
      <c r="N3040" s="17">
        <f>IF(A3041=A3042,_xll.ciqfunctions.udf.CIQ(A3033,"IQ_TOTAL_DEBT_REPAID",IQ_FY-3), _xll.ciqfunctions.udf.CIQ(A3033, "IQ_TOTAL_DEBT_REPAID",IQ_FY-2))</f>
        <v>-3</v>
      </c>
      <c r="O3040" s="15">
        <f t="shared" si="809"/>
        <v>0.94783308215756656</v>
      </c>
      <c r="P3040" s="15">
        <f t="shared" si="810"/>
        <v>2.6809357895520156</v>
      </c>
      <c r="Q3040" s="18"/>
      <c r="R3040" s="39" t="s">
        <v>31</v>
      </c>
      <c r="S3040" s="5">
        <f>IF(NOT(D3033&gt;0),FALSE,SLOPE(G3033:G3043,B3033:B3043))</f>
        <v>-0.76649999999999996</v>
      </c>
      <c r="U3040" s="18"/>
      <c r="V3040" s="39" t="s">
        <v>31</v>
      </c>
      <c r="W3040" s="5">
        <f>IF(NOT(D3033&gt;0),FALSE,SLOPE(G3033:G3043,B3033:B3043))</f>
        <v>-0.76649999999999996</v>
      </c>
      <c r="Y3040" s="18"/>
      <c r="Z3040" s="39" t="s">
        <v>31</v>
      </c>
      <c r="AA3040" s="5">
        <f>IF(NOT(L3033&gt;0),FALSE,SLOPE(O3033:O3043,J3033:J3043))</f>
        <v>2.8107766664116914E-2</v>
      </c>
    </row>
    <row r="3041" spans="1:27">
      <c r="A3041" s="19">
        <f>_xll.ciqfunctions.udf.CIQ(A3033,"IQ_TOTAL_REV",IQ_FY)</f>
        <v>842.55899999999997</v>
      </c>
      <c r="B3041" s="13">
        <v>9</v>
      </c>
      <c r="C3041" s="14" t="s">
        <v>32</v>
      </c>
      <c r="D3041" s="15" cm="1">
        <f t="array" ref="D3041">_xlfn.SINGLE(IF(A3041=A3042,_xll.ciqfunctions.udf.CIQ(A3033,"IQ_TOTAL_REV",IQ_FY-2)/I3041, _xll.ciqfunctions.udf.CIQ(A3033, "IQ_TOTAL_REV",IQ_FY-1)/I3041))</f>
        <v>14.884455871127473</v>
      </c>
      <c r="E3041" s="16">
        <f t="shared" si="811"/>
        <v>0.19428609172749162</v>
      </c>
      <c r="F3041" s="15">
        <f>IF(A3041=A3042,_xll.ciqfunctions.udf.CIQ(A3033,"IQ_DILUT_EPS_EXCL",IQ_FY-2), _xll.ciqfunctions.udf.CIQ(A3033, "IQ_DILUT_EPS_EXCL",IQ_FY-1))</f>
        <v>1.01</v>
      </c>
      <c r="G3041" s="15">
        <f>IF(A3041=A3042,_xll.ciqfunctions.udf.CIQ(A3033,"IQ_EBITDA_MARGIN",IQ_FY-2), _xll.ciqfunctions.udf.CIQ(A3033, "IQ_EBITDA_MARGIN",IQ_FY-1))</f>
        <v>13.3042</v>
      </c>
      <c r="H3041" s="15">
        <f>IF(A3041=A3042,_xll.ciqfunctions.udf.CIQ(A3033,"IQ_TOTAL_DIV_PAID_CF",IQ_FY-2)/-I3041, _xll.ciqfunctions.udf.CIQ(A3033, "IQ_TOTAL_DIV_PAID_CF",IQ_FY-1)/-I3041)</f>
        <v>0</v>
      </c>
      <c r="I3041" s="17">
        <f>IF(A3041=A3042,_xll.ciqfunctions.udf.CIQ(A3033,"IQ_TOTAL_OUTSTANDING_FILING_DATE",IQ_FY-2), _xll.ciqfunctions.udf.CIQ(A3033, "IQ_TOTAL_OUTSTANDING_FILING_DATE",IQ_FY-1))</f>
        <v>50.318869999999997</v>
      </c>
      <c r="J3041" s="17">
        <f>IF(A3041=A3042,_xll.ciqfunctions.udf.CIQ(A3033,"IQ_CASH_OPER",IQ_FY-2), _xll.ciqfunctions.udf.CIQ(A3033, "IQ_CASH_OPER",IQ_FY-1))</f>
        <v>103.157</v>
      </c>
      <c r="K3041" s="17">
        <f>IF(A3041=A3042,_xll.ciqfunctions.udf.CIQ(A3033,"IQ_CAPEX",IQ_FY-2), _xll.ciqfunctions.udf.CIQ(A3033, "IQ_CAPEX",IQ_FY-1))</f>
        <v>-11.061999999999999</v>
      </c>
      <c r="L3041" s="15">
        <f t="shared" si="808"/>
        <v>1.8302279045614498</v>
      </c>
      <c r="M3041" s="17">
        <f>IF(A3041=A3042,_xll.ciqfunctions.udf.CIQ(A3033,"IQ_TOTAL_DEBT_ISSUED",IQ_FY-2), _xll.ciqfunctions.udf.CIQ(A3033, "IQ_TOTAL_DEBT_ISSUED",IQ_FY-1))</f>
        <v>500</v>
      </c>
      <c r="N3041" s="17">
        <f>IF(A3041=A3042,_xll.ciqfunctions.udf.CIQ(A3033,"IQ_TOTAL_DEBT_REPAID",IQ_FY-2), _xll.ciqfunctions.udf.CIQ(A3033, "IQ_TOTAL_DEBT_REPAID",IQ_FY-1))</f>
        <v>-110</v>
      </c>
      <c r="O3041" s="15">
        <f t="shared" si="809"/>
        <v>7.7505715052822133</v>
      </c>
      <c r="P3041" s="15">
        <f t="shared" si="810"/>
        <v>9.5807994098436637</v>
      </c>
      <c r="Q3041" s="25" t="s">
        <v>33</v>
      </c>
      <c r="R3041" s="38" t="s">
        <v>52</v>
      </c>
      <c r="S3041" s="4">
        <f>(AVERAGE(O3038:O3043)/AVERAGE(P3038:P3043))</f>
        <v>0.50735059153531625</v>
      </c>
      <c r="U3041" s="25" t="s">
        <v>54</v>
      </c>
      <c r="V3041" s="38" t="s">
        <v>52</v>
      </c>
      <c r="W3041" s="4">
        <f>(AVERAGE(O3038:O3043)/AVERAGE(P3038:P3043))</f>
        <v>0.50735059153531625</v>
      </c>
      <c r="Y3041" s="25" t="s">
        <v>60</v>
      </c>
      <c r="Z3041" s="38" t="s">
        <v>52</v>
      </c>
      <c r="AA3041" s="4">
        <f>(AVERAGE(O3038:O3043)/AVERAGE(P3038:P3043))</f>
        <v>0.50735059153531625</v>
      </c>
    </row>
    <row r="3042" spans="1:27">
      <c r="A3042" s="19">
        <f>_xll.ciqfunctions.udf.CIQ(A3033,"IQ_TOTAL_REV",IQ_LTM)</f>
        <v>863.58399999999995</v>
      </c>
      <c r="B3042" s="13">
        <v>10</v>
      </c>
      <c r="C3042" s="14" t="s">
        <v>34</v>
      </c>
      <c r="D3042" s="15" cm="1">
        <f t="array" ref="D3042">_xlfn.SINGLE(IF(A3041=A3042,_xll.ciqfunctions.udf.CIQ(A3033,"IQ_TOTAL_REV",IQ_FY-1)/I3042, _xll.ciqfunctions.udf.CIQ(A3033, "IQ_TOTAL_REV",IQ_FY)/I3042))</f>
        <v>16.976469741989835</v>
      </c>
      <c r="E3042" s="16">
        <f t="shared" si="811"/>
        <v>0.14055024174047248</v>
      </c>
      <c r="F3042" s="15">
        <f>IF(A3041=A3042,_xll.ciqfunctions.udf.CIQ(A3033,"IQ_DILUT_EPS_EXCL",IQ_FY-1), _xll.ciqfunctions.udf.CIQ(A3033, "IQ_DILUT_EPS_EXCL",IQ_FY))</f>
        <v>1.0684</v>
      </c>
      <c r="G3042" s="15">
        <f>IF(A3041=A3042,_xll.ciqfunctions.udf.CIQ(A3033,"IQ_EBITDA_MARGIN",IQ_FY-1), _xll.ciqfunctions.udf.CIQ(A3033, "IQ_EBITDA_MARGIN",IQ_FY))</f>
        <v>10.5898</v>
      </c>
      <c r="H3042" s="15">
        <f>IF(A3041=A3042,_xll.ciqfunctions.udf.CIQ(A3033,"IQ_TOTAL_DIV_PAID_CF",IQ_FY-1)/-I3042, _xll.ciqfunctions.udf.CIQ(A3033, "IQ_TOTAL_DIV_PAID_CF",IQ_FY)/-I3042)</f>
        <v>0</v>
      </c>
      <c r="I3042" s="17">
        <f>IF(A3041=A3042,_xll.ciqfunctions.udf.CIQ(A3033,"IQ_TOTAL_OUTSTANDING_FILING_DATE",IQ_FY-1), _xll.ciqfunctions.udf.CIQ(A3033, "IQ_TOTAL_OUTSTANDING_FILING_DATE",IQ_FY))</f>
        <v>49.630989999999997</v>
      </c>
      <c r="J3042" s="17">
        <f>IF(A3041=A3042,_xll.ciqfunctions.udf.CIQ(A3033,"IQ_CASH_OPER",IQ_FY-1), _xll.ciqfunctions.udf.CIQ(A3033, "IQ_CASH_OPER",IQ_FY))</f>
        <v>56.901000000000003</v>
      </c>
      <c r="K3042" s="17">
        <f>IF(A3041=A3042,_xll.ciqfunctions.udf.CIQ(A3033,"IQ_CAPEX",IQ_FY-1), _xll.ciqfunctions.udf.CIQ(A3033, "IQ_CAPEX",IQ_FY))</f>
        <v>-28.64</v>
      </c>
      <c r="L3042" s="15">
        <f t="shared" si="808"/>
        <v>0.56942245157712967</v>
      </c>
      <c r="M3042" s="17">
        <f>IF(A3041=A3042,_xll.ciqfunctions.udf.CIQ(A3033,"IQ_TOTAL_DEBT_ISSUED",IQ_FY-1), _xll.ciqfunctions.udf.CIQ(A3033, "IQ_TOTAL_DEBT_ISSUED",IQ_FY))</f>
        <v>0</v>
      </c>
      <c r="N3042" s="17">
        <f>IF(A3041=A3042,_xll.ciqfunctions.udf.CIQ(A3033,"IQ_TOTAL_DEBT_REPAID",IQ_FY-1), _xll.ciqfunctions.udf.CIQ(A3033, "IQ_TOTAL_DEBT_REPAID",IQ_FY))</f>
        <v>0</v>
      </c>
      <c r="O3042" s="15">
        <f t="shared" si="809"/>
        <v>0</v>
      </c>
      <c r="P3042" s="15">
        <f t="shared" si="810"/>
        <v>0.56942245157712967</v>
      </c>
      <c r="Q3042" s="25" t="s">
        <v>44</v>
      </c>
      <c r="R3042" s="38" t="s">
        <v>35</v>
      </c>
      <c r="S3042" s="1">
        <f>_xll.ciqfunctions.udf.CIQ(A3033,"IQ_TEV_EBITDA")</f>
        <v>27.85894</v>
      </c>
      <c r="U3042" s="25" t="s">
        <v>55</v>
      </c>
      <c r="V3042" s="38" t="s">
        <v>53</v>
      </c>
      <c r="W3042" s="1">
        <f>V3032/(AVERAGE(D3038:D3043)/_xlfn.STDEV.P(E3038:E3043))</f>
        <v>0.28268351755026772</v>
      </c>
      <c r="Y3042" s="25" t="s">
        <v>57</v>
      </c>
      <c r="Z3042" s="38" t="s">
        <v>53</v>
      </c>
      <c r="AA3042" s="1">
        <f>Z3032/(AVERAGE(D3038:D3043)/_xlfn.STDEV.P(E3038:E3043))</f>
        <v>0.28268351755026772</v>
      </c>
    </row>
    <row r="3043" spans="1:27">
      <c r="B3043" s="13">
        <v>11</v>
      </c>
      <c r="C3043" s="20" t="s">
        <v>36</v>
      </c>
      <c r="D3043" s="21" cm="1">
        <f t="array" ref="D3043">_xlfn.SINGLE(IF(A3041=A3042,_xll.ciqfunctions.udf.CIQ(A3033,"IQ_TOTAL_REV",IQ_FY)/I3043, _xll.ciqfunctions.udf.CIQ(A3033, "IQ_TOTAL_REV",IQ_LTM)/I3043))</f>
        <v>17.275902230505135</v>
      </c>
      <c r="E3043" s="22">
        <f t="shared" si="811"/>
        <v>1.7638089253308072E-2</v>
      </c>
      <c r="F3043" s="21">
        <f>IF(A3041=A3042,_xll.ciqfunctions.udf.CIQ(A3033,"IQ_DILUT_EPS_EXCL",IQ_FY), _xll.ciqfunctions.udf.CIQ(A3033, "IQ_DILUT_EPS_EXCL",IQ_LTM))</f>
        <v>1.2847299999999999</v>
      </c>
      <c r="G3043" s="21">
        <f>IF(A3041=A3042,_xll.ciqfunctions.udf.CIQ(A3033,"IQ_EBITDA_MARGIN",IQ_FY), _xll.ciqfunctions.udf.CIQ(A3033, "IQ_EBITDA_MARGIN",IQ_LTM))</f>
        <v>9.9824999999999999</v>
      </c>
      <c r="H3043" s="21">
        <f>IF(A3041=A3042,_xll.ciqfunctions.udf.CIQ(A3033,"IQ_TOTAL_DIV_PAID_CF",IQ_FY)/-I3043, _xll.ciqfunctions.udf.CIQ(A3033, "IQ_TOTAL_DIV_PAID_CF",IQ_LTM)/-I3043)</f>
        <v>0</v>
      </c>
      <c r="I3043" s="23">
        <f>IF(A3041=A3042,_xll.ciqfunctions.udf.CIQ(A3033,"IQ_TOTAL_OUTSTANDING_FILING_DATE",IQ_FY),_xll.ciqfunctions.udf.CIQ(A3033,"IQ_sharesoutstanding"))</f>
        <v>49.987780000000001</v>
      </c>
      <c r="J3043" s="23">
        <f>IF(A3041=A3042,_xll.ciqfunctions.udf.CIQ(A3033,"IQ_CASH_OPER",IQ_FY), _xll.ciqfunctions.udf.CIQ(A3033, "IQ_CASH_OPER",IQ_LTM))</f>
        <v>130.53899999999999</v>
      </c>
      <c r="K3043" s="23">
        <f>IF(A3041=A3042,_xll.ciqfunctions.udf.CIQ(A3033,"IQ_CAPEX",IQ_FY), _xll.ciqfunctions.udf.CIQ(A3033, "IQ_CAPEX",IQ_LTM))</f>
        <v>-5.9050000000000002</v>
      </c>
      <c r="L3043" s="21">
        <f t="shared" si="808"/>
        <v>2.4932893599195642</v>
      </c>
      <c r="M3043" s="23">
        <f>IF(A3041=A3042,_xll.ciqfunctions.udf.CIQ(A3033,"IQ_TOTAL_DEBT_ISSUED",IQ_FY), _xll.ciqfunctions.udf.CIQ(A3033, "IQ_TOTAL_DEBT_ISSUED",IQ_LTM))</f>
        <v>0</v>
      </c>
      <c r="N3043" s="23">
        <f>IF(A3041=A3042,_xll.ciqfunctions.udf.CIQ(A3033,"IQ_TOTAL_DEBT_REPAID",IQ_FY), _xll.ciqfunctions.udf.CIQ(A3033, "IQ_TOTAL_DEBT_REPAID",IQ_LTM))</f>
        <v>-3.016</v>
      </c>
      <c r="O3043" s="21">
        <f t="shared" si="809"/>
        <v>-6.0334745811876422E-2</v>
      </c>
      <c r="P3043" s="21">
        <f t="shared" si="810"/>
        <v>2.4329546141076879</v>
      </c>
      <c r="Q3043" s="25" t="s">
        <v>45</v>
      </c>
      <c r="S3043" s="45"/>
      <c r="U3043" s="25"/>
      <c r="W3043" s="45"/>
      <c r="Y3043" s="25"/>
      <c r="AA3043" s="45"/>
    </row>
    <row r="3044" spans="1:27">
      <c r="B3044" s="24"/>
      <c r="C3044" s="25" t="s">
        <v>37</v>
      </c>
      <c r="E3044" s="26">
        <f>((D3043/D3038)^(1/5))-1</f>
        <v>0.1463406956976705</v>
      </c>
      <c r="F3044" s="27">
        <f>((F3043/F3038)^(1/5))-1</f>
        <v>0.24471144250715571</v>
      </c>
      <c r="G3044" s="28"/>
      <c r="H3044" s="27" t="e">
        <f>((H3043/H3038)^(1/5))-1</f>
        <v>#DIV/0!</v>
      </c>
      <c r="I3044" s="27">
        <f>((I3043/I3038)^(1/5))-1</f>
        <v>7.3844584901641142E-3</v>
      </c>
      <c r="J3044" s="27"/>
      <c r="K3044" s="27"/>
      <c r="L3044" s="26">
        <f>((L3043/L3038)^(1/5))-1</f>
        <v>0.19307987832143247</v>
      </c>
      <c r="M3044" s="26"/>
      <c r="N3044" s="26"/>
      <c r="O3044" s="26"/>
      <c r="P3044" s="26">
        <f>((P3043/P3038)^(1/5))-1</f>
        <v>0.20734277807057322</v>
      </c>
      <c r="Q3044" s="18"/>
      <c r="R3044" s="36"/>
      <c r="S3044" s="45"/>
      <c r="U3044" s="18"/>
      <c r="V3044" s="36"/>
      <c r="W3044" s="45"/>
      <c r="Y3044" s="18"/>
      <c r="Z3044" s="36"/>
      <c r="AA3044" s="45"/>
    </row>
    <row r="3045" spans="1:27">
      <c r="A3045" s="29"/>
      <c r="B3045" s="30"/>
      <c r="C3045" s="31" t="s">
        <v>38</v>
      </c>
      <c r="D3045" s="29"/>
      <c r="E3045" s="32">
        <f>((D3043/D3033)^(1/10))-1</f>
        <v>-0.10770009419797821</v>
      </c>
      <c r="F3045" s="33">
        <f>((F3043/F3033)^(1/10))-1</f>
        <v>0.41473529148679211</v>
      </c>
      <c r="G3045" s="34"/>
      <c r="H3045" s="33" t="e">
        <f>((H3043/H3033)^(1/10))-1</f>
        <v>#DIV/0!</v>
      </c>
      <c r="I3045" s="33">
        <f>((I3043/I3033)^(1/10))-1</f>
        <v>0.35410136377282786</v>
      </c>
      <c r="J3045" s="33"/>
      <c r="K3045" s="33"/>
      <c r="L3045" s="32">
        <f>((L3043/L3033)^(1/10))-1</f>
        <v>-3.2628565823438427E-2</v>
      </c>
      <c r="M3045" s="32"/>
      <c r="N3045" s="32"/>
      <c r="O3045" s="32"/>
      <c r="P3045" s="32">
        <f>((P3043/P3033)^(1/10))-1</f>
        <v>-1.5771176655312247E-2</v>
      </c>
      <c r="Q3045" s="40"/>
      <c r="R3045" s="41"/>
      <c r="S3045" s="46"/>
      <c r="U3045" s="40"/>
      <c r="V3045" s="41"/>
      <c r="W3045" s="46"/>
      <c r="Y3045" s="40"/>
      <c r="Z3045" s="41"/>
      <c r="AA3045" s="46"/>
    </row>
    <row r="3046" spans="1:27">
      <c r="B3046" s="24"/>
      <c r="C3046" s="25"/>
      <c r="E3046" s="26"/>
      <c r="F3046" s="27"/>
      <c r="G3046" s="28"/>
      <c r="H3046" s="27"/>
      <c r="I3046" s="27"/>
      <c r="J3046" s="27"/>
      <c r="K3046" s="27"/>
      <c r="L3046" s="26"/>
      <c r="M3046" s="17"/>
      <c r="N3046" s="17"/>
      <c r="O3046" s="17"/>
      <c r="P3046" s="35"/>
      <c r="Q3046" s="18"/>
      <c r="R3046" s="36"/>
    </row>
    <row r="3047" spans="1:27">
      <c r="A3047" s="9" t="s">
        <v>0</v>
      </c>
      <c r="B3047" s="10"/>
      <c r="C3047" s="9" t="s">
        <v>1</v>
      </c>
      <c r="D3047" s="9" t="s">
        <v>2</v>
      </c>
      <c r="E3047" s="9" t="s">
        <v>3</v>
      </c>
      <c r="F3047" s="11" t="s">
        <v>4</v>
      </c>
      <c r="G3047" s="11" t="s">
        <v>5</v>
      </c>
      <c r="H3047" s="9" t="s">
        <v>6</v>
      </c>
      <c r="I3047" s="11" t="s">
        <v>7</v>
      </c>
      <c r="J3047" s="11" t="s">
        <v>8</v>
      </c>
      <c r="K3047" s="11" t="s">
        <v>9</v>
      </c>
      <c r="L3047" s="11" t="s">
        <v>10</v>
      </c>
      <c r="M3047" s="11" t="s">
        <v>11</v>
      </c>
      <c r="N3047" s="11" t="s">
        <v>12</v>
      </c>
      <c r="O3047" s="11" t="s">
        <v>13</v>
      </c>
      <c r="P3047" s="11" t="s">
        <v>14</v>
      </c>
      <c r="Q3047" s="37" t="s">
        <v>15</v>
      </c>
      <c r="R3047" s="42">
        <f>_xll.ciqfunctions.udf.CIQ(A3048,("IQ_LASTSALEPRICE"))</f>
        <v>37.25</v>
      </c>
      <c r="S3047" s="44"/>
      <c r="U3047" s="37" t="s">
        <v>15</v>
      </c>
      <c r="V3047" s="42">
        <f>_xll.ciqfunctions.udf.CIQ(A3048,("IQ_LASTSALEPRICE"))</f>
        <v>37.25</v>
      </c>
      <c r="W3047" s="44"/>
      <c r="Y3047" s="37" t="s">
        <v>15</v>
      </c>
      <c r="Z3047" s="42">
        <f>_xll.ciqfunctions.udf.CIQ(A3048,("IQ_LASTSALEPRICE"))</f>
        <v>37.25</v>
      </c>
      <c r="AA3047" s="44"/>
    </row>
    <row r="3048" spans="1:27">
      <c r="A3048" s="12" t="str">
        <f>Analysis!B205</f>
        <v>NYSE:ENV</v>
      </c>
      <c r="B3048" s="13">
        <v>1</v>
      </c>
      <c r="C3048" s="14" t="s">
        <v>16</v>
      </c>
      <c r="D3048" s="15">
        <f>IF(A3056=A3057,_xll.ciqfunctions.udf.CIQ(A3048,"IQ_TOTAL_REV",IQ_FY-10)/I3048,_xll.ciqfunctions.udf.CIQ(A3048, "IQ_TOTAL_REV",IQ_FY-9)/I3048)</f>
        <v>7.1293563634653374</v>
      </c>
      <c r="E3048" s="16"/>
      <c r="F3048" s="15">
        <f>IF(A3056=A3057,_xll.ciqfunctions.udf.CIQ(A3048,"IQ_DILUT_EPS_EXCL",IQ_FY-10), _xll.ciqfunctions.udf.CIQ(A3048, "IQ_DILUT_EPS_EXCL",IQ_FY-9))</f>
        <v>0.1</v>
      </c>
      <c r="G3048" s="15">
        <f>IF(A3056=A3057,_xll.ciqfunctions.udf.CIQ(A3048,"IQ_EBITDA_MARGIN",IQ_FY-10), _xll.ciqfunctions.udf.CIQ(A3048, "IQ_EBITDA_MARGIN",IQ_FY-9))</f>
        <v>9.9556000000000004</v>
      </c>
      <c r="H3048" s="15">
        <f>IF(A3056=A3057,_xll.ciqfunctions.udf.CIQ(A3048,"IQ_TOTAL_DIV_PAID_CF",IQ_FY-10)/-I3048, _xll.ciqfunctions.udf.CIQ(A3048, "IQ_TOTAL_DIV_PAID_CF",IQ_FY-9)/-I3048)</f>
        <v>0</v>
      </c>
      <c r="I3048" s="17">
        <f>IF(A3056=A3057,_xll.ciqfunctions.udf.CIQ(A3048,"IQ_TOTAL_OUTSTANDING_FILING_DATE",IQ_FY-10), _xll.ciqfunctions.udf.CIQ(A3048, "IQ_TOTAL_OUTSTANDING_FILING_DATE",IQ_FY-9))</f>
        <v>34.019199999999998</v>
      </c>
      <c r="J3048" s="17">
        <f>IF(A3056=A3057,_xll.ciqfunctions.udf.CIQ(A3048,"IQ_CASH_OPER",IQ_FY-10), _xll.ciqfunctions.udf.CIQ(A3048, "IQ_CASH_OPER",IQ_FY-9))</f>
        <v>28.856999999999999</v>
      </c>
      <c r="K3048" s="17">
        <f>IF(A3056=A3057,_xll.ciqfunctions.udf.CIQ(A3048,"IQ_CAPEX",IQ_FY-10), _xll.ciqfunctions.udf.CIQ(A3048, "IQ_CAPEX",IQ_FY-9))</f>
        <v>-6.125</v>
      </c>
      <c r="L3048" s="15">
        <f t="shared" ref="L3048:L3058" si="812">(J3048+K3048)/I3048</f>
        <v>0.66821089267237332</v>
      </c>
      <c r="M3048" s="17">
        <f>IF(A3056=A3057,_xll.ciqfunctions.udf.CIQ(A3048,"IQ_TOTAL_DEBT_ISSUED",IQ_FY-10), _xll.ciqfunctions.udf.CIQ(A3048, "IQ_TOTAL_DEBT_ISSUED",IQ_FY-9))</f>
        <v>0</v>
      </c>
      <c r="N3048" s="17">
        <f>IF(A3056=A3057,_xll.ciqfunctions.udf.CIQ(A3048,"IQ_TOTAL_DEBT_REPAID",IQ_FY-10), _xll.ciqfunctions.udf.CIQ(A3048, "IQ_TOTAL_DEBT_REPAID",IQ_FY-9))</f>
        <v>0</v>
      </c>
      <c r="O3048" s="15">
        <f t="shared" ref="O3048:O3058" si="813">(M3048+N3048)/I3048</f>
        <v>0</v>
      </c>
      <c r="P3048" s="15">
        <f t="shared" ref="P3048:P3058" si="814">L3048+O3048</f>
        <v>0.66821089267237332</v>
      </c>
      <c r="W3048" s="43"/>
      <c r="AA3048" s="43"/>
    </row>
    <row r="3049" spans="1:27">
      <c r="A3049" s="18" t="str">
        <f>_xll.ciqfunctions.udf.CIQ(A3048,"IQ_COMPANY_NAME")</f>
        <v>Envestnet, Inc.</v>
      </c>
      <c r="B3049" s="13">
        <v>2</v>
      </c>
      <c r="C3049" s="14" t="s">
        <v>17</v>
      </c>
      <c r="D3049" s="15">
        <f>IF(A3056=A3057,_xll.ciqfunctions.udf.CIQ(A3048,"IQ_TOTAL_REV",IQ_FY-9)/I3049, _xll.ciqfunctions.udf.CIQ(A3048, "IQ_TOTAL_REV",IQ_FY-8)/I3049)</f>
        <v>10.094823865660931</v>
      </c>
      <c r="E3049" s="16">
        <f t="shared" ref="E3049:E3058" si="815">(D3049-D3048)/D3048</f>
        <v>0.41595164430161563</v>
      </c>
      <c r="F3049" s="15">
        <f>IF(A3056=A3057,_xll.ciqfunctions.udf.CIQ(A3048,"IQ_DILUT_EPS_EXCL",IQ_FY-9), _xll.ciqfunctions.udf.CIQ(A3048, "IQ_DILUT_EPS_EXCL",IQ_FY-8))</f>
        <v>0.38</v>
      </c>
      <c r="G3049" s="15">
        <f>IF(A3056=A3057,_xll.ciqfunctions.udf.CIQ(A3048,"IQ_EBITDA_MARGIN",IQ_FY-9), _xll.ciqfunctions.udf.CIQ(A3048, "IQ_EBITDA_MARGIN",IQ_FY-8))</f>
        <v>11.1774</v>
      </c>
      <c r="H3049" s="15">
        <f>IF(A3056=A3057,_xll.ciqfunctions.udf.CIQ(A3048,"IQ_TOTAL_DIV_PAID_CF",IQ_FY-9)/-I3049, _xll.ciqfunctions.udf.CIQ(A3048, "IQ_TOTAL_DIV_PAID_CF",IQ_FY-8)/-I3049)</f>
        <v>0</v>
      </c>
      <c r="I3049" s="17">
        <f>IF(A3056=A3057,_xll.ciqfunctions.udf.CIQ(A3048,"IQ_TOTAL_OUTSTANDING_FILING_DATE",IQ_FY-9), _xll.ciqfunctions.udf.CIQ(A3048, "IQ_TOTAL_OUTSTANDING_FILING_DATE",IQ_FY-8))</f>
        <v>34.54721</v>
      </c>
      <c r="J3049" s="17">
        <f>IF(A3056=A3057,_xll.ciqfunctions.udf.CIQ(A3048,"IQ_CASH_OPER",IQ_FY-9), _xll.ciqfunctions.udf.CIQ(A3048, "IQ_CASH_OPER",IQ_FY-8))</f>
        <v>55.997</v>
      </c>
      <c r="K3049" s="17">
        <f>IF(A3056=A3057,_xll.ciqfunctions.udf.CIQ(A3048,"IQ_CAPEX",IQ_FY-9), _xll.ciqfunctions.udf.CIQ(A3048, "IQ_CAPEX",IQ_FY-8))</f>
        <v>-6.1769999999999996</v>
      </c>
      <c r="L3049" s="15">
        <f t="shared" si="812"/>
        <v>1.4420846140686903</v>
      </c>
      <c r="M3049" s="17">
        <f>IF(A3056=A3057,_xll.ciqfunctions.udf.CIQ(A3048,"IQ_TOTAL_DEBT_ISSUED",IQ_FY-9), _xll.ciqfunctions.udf.CIQ(A3048, "IQ_TOTAL_DEBT_ISSUED",IQ_FY-8))</f>
        <v>202.5</v>
      </c>
      <c r="N3049" s="17">
        <f>IF(A3056=A3057,_xll.ciqfunctions.udf.CIQ(A3048,"IQ_TOTAL_DEBT_REPAID",IQ_FY-9), _xll.ciqfunctions.udf.CIQ(A3048, "IQ_TOTAL_DEBT_REPAID",IQ_FY-8))</f>
        <v>-31.5</v>
      </c>
      <c r="O3049" s="15">
        <f t="shared" si="813"/>
        <v>4.9497484746235658</v>
      </c>
      <c r="P3049" s="15">
        <f t="shared" si="814"/>
        <v>6.3918330886922563</v>
      </c>
      <c r="Q3049" s="25" t="s">
        <v>18</v>
      </c>
      <c r="R3049" s="39" t="s">
        <v>19</v>
      </c>
      <c r="S3049" s="1">
        <f>R3047/((AVERAGE(P3053:P3058))*(1+E3059)^3)</f>
        <v>6.6198676220147084</v>
      </c>
      <c r="U3049" s="25" t="s">
        <v>48</v>
      </c>
      <c r="V3049" s="39" t="s">
        <v>19</v>
      </c>
      <c r="W3049" s="1">
        <f>V3047/((AVERAGE(P3053:P3058))*(1+E3059)^3)</f>
        <v>6.6198676220147084</v>
      </c>
      <c r="Y3049" s="25" t="s">
        <v>39</v>
      </c>
      <c r="Z3049" s="39" t="s">
        <v>19</v>
      </c>
      <c r="AA3049" s="1">
        <f>Z3047/((AVERAGE(P3053:P3058))*(1+E3059)^3)</f>
        <v>6.6198676220147084</v>
      </c>
    </row>
    <row r="3050" spans="1:27">
      <c r="B3050" s="13">
        <v>3</v>
      </c>
      <c r="C3050" s="14" t="s">
        <v>20</v>
      </c>
      <c r="D3050" s="15" cm="1">
        <f t="array" ref="D3050">_xlfn.SINGLE(IF(A3056=A3057,_xll.ciqfunctions.udf.CIQ(A3048,"IQ_TOTAL_REV",IQ_FY-8)/I3050, _xll.ciqfunctions.udf.CIQ(A3048, "IQ_TOTAL_REV",IQ_FY-7)/I3050))</f>
        <v>10.020115503458914</v>
      </c>
      <c r="E3050" s="16">
        <f t="shared" si="815"/>
        <v>-7.4006602984078625E-3</v>
      </c>
      <c r="F3050" s="15">
        <f>IF(A3056=A3057,_xll.ciqfunctions.udf.CIQ(A3048,"IQ_DILUT_EPS_EXCL",IQ_FY-8), _xll.ciqfunctions.udf.CIQ(A3048, "IQ_DILUT_EPS_EXCL",IQ_FY-7))</f>
        <v>0.12</v>
      </c>
      <c r="G3050" s="15">
        <f>IF(A3056=A3057,_xll.ciqfunctions.udf.CIQ(A3048,"IQ_EBITDA_MARGIN",IQ_FY-8), _xll.ciqfunctions.udf.CIQ(A3048, "IQ_EBITDA_MARGIN",IQ_FY-7))</f>
        <v>11.2211</v>
      </c>
      <c r="H3050" s="15">
        <f>IF(A3056=A3057,_xll.ciqfunctions.udf.CIQ(A3048,"IQ_TOTAL_DIV_PAID_CF",IQ_FY-8)/-I3050, _xll.ciqfunctions.udf.CIQ(A3048, "IQ_TOTAL_DIV_PAID_CF",IQ_FY-7)/-I3050)</f>
        <v>0</v>
      </c>
      <c r="I3050" s="17">
        <f>IF(A3056=A3057,_xll.ciqfunctions.udf.CIQ(A3048,"IQ_TOTAL_OUTSTANDING_FILING_DATE",IQ_FY-8), _xll.ciqfunctions.udf.CIQ(A3048, "IQ_TOTAL_OUTSTANDING_FILING_DATE",IQ_FY-7))</f>
        <v>42.007399999999997</v>
      </c>
      <c r="J3050" s="17">
        <f>IF(A3056=A3057,_xll.ciqfunctions.udf.CIQ(A3048,"IQ_CASH_OPER",IQ_FY-8), _xll.ciqfunctions.udf.CIQ(A3048, "IQ_CASH_OPER",IQ_FY-7))</f>
        <v>42.034999999999997</v>
      </c>
      <c r="K3050" s="17">
        <f>IF(A3056=A3057,_xll.ciqfunctions.udf.CIQ(A3048,"IQ_CAPEX",IQ_FY-8), _xll.ciqfunctions.udf.CIQ(A3048, "IQ_CAPEX",IQ_FY-7))</f>
        <v>-9.1839999999999993</v>
      </c>
      <c r="L3050" s="15">
        <f t="shared" si="812"/>
        <v>0.78202888062579456</v>
      </c>
      <c r="M3050" s="17">
        <f>IF(A3056=A3057,_xll.ciqfunctions.udf.CIQ(A3048,"IQ_TOTAL_DEBT_ISSUED",IQ_FY-8), _xll.ciqfunctions.udf.CIQ(A3048, "IQ_TOTAL_DEBT_ISSUED",IQ_FY-7))</f>
        <v>170</v>
      </c>
      <c r="N3050" s="17">
        <f>IF(A3056=A3057,_xll.ciqfunctions.udf.CIQ(A3048,"IQ_TOTAL_DEBT_REPAID",IQ_FY-8), _xll.ciqfunctions.udf.CIQ(A3048, "IQ_TOTAL_DEBT_REPAID",IQ_FY-7))</f>
        <v>-20</v>
      </c>
      <c r="O3050" s="15">
        <f t="shared" si="813"/>
        <v>3.5707994305765176</v>
      </c>
      <c r="P3050" s="15">
        <f t="shared" si="814"/>
        <v>4.3528283112023125</v>
      </c>
      <c r="Q3050" s="25" t="s">
        <v>21</v>
      </c>
      <c r="R3050" s="38" t="s">
        <v>49</v>
      </c>
      <c r="S3050" s="2">
        <f>(R3047*I3058)/1000</f>
        <v>2.0359486649999998</v>
      </c>
      <c r="U3050" s="25" t="s">
        <v>59</v>
      </c>
      <c r="V3050" s="38" t="s">
        <v>49</v>
      </c>
      <c r="W3050" s="2">
        <f>(V3047*I3058)/1000</f>
        <v>2.0359486649999998</v>
      </c>
      <c r="Y3050" s="25" t="s">
        <v>46</v>
      </c>
      <c r="Z3050" s="38" t="s">
        <v>49</v>
      </c>
      <c r="AA3050" s="2">
        <f>(Z3047*I3058)/1000</f>
        <v>2.0359486649999998</v>
      </c>
    </row>
    <row r="3051" spans="1:27">
      <c r="A3051" s="18"/>
      <c r="B3051" s="13">
        <v>4</v>
      </c>
      <c r="C3051" s="14" t="s">
        <v>22</v>
      </c>
      <c r="D3051" s="15" cm="1">
        <f t="array" ref="D3051">_xlfn.SINGLE(IF(A3056=A3057,_xll.ciqfunctions.udf.CIQ(A3048,"IQ_TOTAL_REV",IQ_FY-7)/I3051, _xll.ciqfunctions.udf.CIQ(A3048, "IQ_TOTAL_REV",IQ_FY-6)/I3051))</f>
        <v>13.311509877538915</v>
      </c>
      <c r="E3051" s="16">
        <f t="shared" si="815"/>
        <v>0.32847868599357177</v>
      </c>
      <c r="F3051" s="15">
        <f>IF(A3056=A3057,_xll.ciqfunctions.udf.CIQ(A3048,"IQ_DILUT_EPS_EXCL",IQ_FY-7), _xll.ciqfunctions.udf.CIQ(A3048, "IQ_DILUT_EPS_EXCL",IQ_FY-6))</f>
        <v>-1.3</v>
      </c>
      <c r="G3051" s="15">
        <f>IF(A3056=A3057,_xll.ciqfunctions.udf.CIQ(A3048,"IQ_EBITDA_MARGIN",IQ_FY-7), _xll.ciqfunctions.udf.CIQ(A3048, "IQ_EBITDA_MARGIN",IQ_FY-6))</f>
        <v>7.7118000000000002</v>
      </c>
      <c r="H3051" s="15">
        <f>IF(A3056=A3057,_xll.ciqfunctions.udf.CIQ(A3048,"IQ_TOTAL_DIV_PAID_CF",IQ_FY-7)/-I3051, _xll.ciqfunctions.udf.CIQ(A3048, "IQ_TOTAL_DIV_PAID_CF",IQ_FY-6)/-I3051)</f>
        <v>0</v>
      </c>
      <c r="I3051" s="17">
        <f>IF(A3056=A3057,_xll.ciqfunctions.udf.CIQ(A3048,"IQ_TOTAL_OUTSTANDING_FILING_DATE",IQ_FY-7), _xll.ciqfunctions.udf.CIQ(A3048, "IQ_TOTAL_OUTSTANDING_FILING_DATE",IQ_FY-6))</f>
        <v>43.433390000000003</v>
      </c>
      <c r="J3051" s="17">
        <f>IF(A3056=A3057,_xll.ciqfunctions.udf.CIQ(A3048,"IQ_CASH_OPER",IQ_FY-7), _xll.ciqfunctions.udf.CIQ(A3048, "IQ_CASH_OPER",IQ_FY-6))</f>
        <v>83.146000000000001</v>
      </c>
      <c r="K3051" s="17">
        <f>IF(A3056=A3057,_xll.ciqfunctions.udf.CIQ(A3048,"IQ_CAPEX",IQ_FY-7), _xll.ciqfunctions.udf.CIQ(A3048, "IQ_CAPEX",IQ_FY-6))</f>
        <v>-13.967000000000001</v>
      </c>
      <c r="L3051" s="15">
        <f t="shared" si="812"/>
        <v>1.5927607769045888</v>
      </c>
      <c r="M3051" s="17">
        <f>IF(A3056=A3057,_xll.ciqfunctions.udf.CIQ(A3048,"IQ_TOTAL_DEBT_ISSUED",IQ_FY-7), _xll.ciqfunctions.udf.CIQ(A3048, "IQ_TOTAL_DEBT_ISSUED",IQ_FY-6))</f>
        <v>40</v>
      </c>
      <c r="N3051" s="17">
        <f>IF(A3056=A3057,_xll.ciqfunctions.udf.CIQ(A3048,"IQ_TOTAL_DEBT_REPAID",IQ_FY-7), _xll.ciqfunctions.udf.CIQ(A3048, "IQ_TOTAL_DEBT_REPAID",IQ_FY-6))</f>
        <v>-48</v>
      </c>
      <c r="O3051" s="15">
        <f t="shared" si="813"/>
        <v>-0.1841900896982713</v>
      </c>
      <c r="P3051" s="15">
        <f t="shared" si="814"/>
        <v>1.4085706872063175</v>
      </c>
      <c r="Q3051" s="25" t="s">
        <v>23</v>
      </c>
      <c r="R3051" s="38" t="s">
        <v>24</v>
      </c>
      <c r="S3051" s="1" t="e">
        <f>R3047/(AVERAGE(H3053:H3058)*(1+H3059)/(0.5-H3059))</f>
        <v>#DIV/0!</v>
      </c>
      <c r="U3051" s="25" t="s">
        <v>40</v>
      </c>
      <c r="V3051" s="38" t="s">
        <v>24</v>
      </c>
      <c r="W3051" s="1" t="e">
        <f>V3047/(AVERAGE(H3053:H3058)*(1+H3059)/(0.5-H3059))</f>
        <v>#DIV/0!</v>
      </c>
      <c r="Y3051" s="25" t="s">
        <v>47</v>
      </c>
      <c r="Z3051" s="38" t="s">
        <v>24</v>
      </c>
      <c r="AA3051" s="1" t="e">
        <f>Z3047/(AVERAGE(H3053:H3058)*(1+H3059)/(0.5-H3059))</f>
        <v>#DIV/0!</v>
      </c>
    </row>
    <row r="3052" spans="1:27">
      <c r="B3052" s="13">
        <v>5</v>
      </c>
      <c r="C3052" s="14" t="s">
        <v>25</v>
      </c>
      <c r="D3052" s="15" cm="1">
        <f t="array" ref="D3052">_xlfn.SINGLE(IF(A3056=A3057,_xll.ciqfunctions.udf.CIQ(A3048,"IQ_TOTAL_REV",IQ_FY-6)/I3052, _xll.ciqfunctions.udf.CIQ(A3048, "IQ_TOTAL_REV",IQ_FY-5)/I3052))</f>
        <v>15.286351196651522</v>
      </c>
      <c r="E3052" s="16">
        <f t="shared" si="815"/>
        <v>0.14835592185112231</v>
      </c>
      <c r="F3052" s="15">
        <f>IF(A3056=A3057,_xll.ciqfunctions.udf.CIQ(A3048,"IQ_DILUT_EPS_EXCL",IQ_FY-6), _xll.ciqfunctions.udf.CIQ(A3048, "IQ_DILUT_EPS_EXCL",IQ_FY-5))</f>
        <v>-0.08</v>
      </c>
      <c r="G3052" s="15">
        <f>IF(A3056=A3057,_xll.ciqfunctions.udf.CIQ(A3048,"IQ_EBITDA_MARGIN",IQ_FY-6), _xll.ciqfunctions.udf.CIQ(A3048, "IQ_EBITDA_MARGIN",IQ_FY-5))</f>
        <v>10.964600000000001</v>
      </c>
      <c r="H3052" s="15">
        <f>IF(A3056=A3057,_xll.ciqfunctions.udf.CIQ(A3048,"IQ_TOTAL_DIV_PAID_CF",IQ_FY-6)/-I3052, _xll.ciqfunctions.udf.CIQ(A3048, "IQ_TOTAL_DIV_PAID_CF",IQ_FY-5)/-I3052)</f>
        <v>0</v>
      </c>
      <c r="I3052" s="17">
        <f>IF(A3056=A3057,_xll.ciqfunctions.udf.CIQ(A3048,"IQ_TOTAL_OUTSTANDING_FILING_DATE",IQ_FY-6), _xll.ciqfunctions.udf.CIQ(A3048, "IQ_TOTAL_OUTSTANDING_FILING_DATE",IQ_FY-5))</f>
        <v>44.724800000000002</v>
      </c>
      <c r="J3052" s="17">
        <f>IF(A3056=A3057,_xll.ciqfunctions.udf.CIQ(A3048,"IQ_CASH_OPER",IQ_FY-6), _xll.ciqfunctions.udf.CIQ(A3048, "IQ_CASH_OPER",IQ_FY-5))</f>
        <v>108.25</v>
      </c>
      <c r="K3052" s="17">
        <f>IF(A3056=A3057,_xll.ciqfunctions.udf.CIQ(A3048,"IQ_CAPEX",IQ_FY-6), _xll.ciqfunctions.udf.CIQ(A3048, "IQ_CAPEX",IQ_FY-5))</f>
        <v>-14.945</v>
      </c>
      <c r="L3052" s="15">
        <f t="shared" si="812"/>
        <v>2.0862027331592317</v>
      </c>
      <c r="M3052" s="17">
        <f>IF(A3056=A3057,_xll.ciqfunctions.udf.CIQ(A3048,"IQ_TOTAL_DEBT_ISSUED",IQ_FY-6), _xll.ciqfunctions.udf.CIQ(A3048, "IQ_TOTAL_DEBT_ISSUED",IQ_FY-5))</f>
        <v>35</v>
      </c>
      <c r="N3052" s="17">
        <f>IF(A3056=A3057,_xll.ciqfunctions.udf.CIQ(A3048,"IQ_TOTAL_DEBT_REPAID",IQ_FY-6), _xll.ciqfunctions.udf.CIQ(A3048, "IQ_TOTAL_DEBT_REPAID",IQ_FY-5))</f>
        <v>-98.361999999999995</v>
      </c>
      <c r="O3052" s="15">
        <f t="shared" si="813"/>
        <v>-1.4167084033914068</v>
      </c>
      <c r="P3052" s="15">
        <f t="shared" si="814"/>
        <v>0.66949432976782486</v>
      </c>
      <c r="Q3052" s="18"/>
      <c r="R3052" s="38" t="s">
        <v>50</v>
      </c>
      <c r="S3052" s="3">
        <f>I3059</f>
        <v>2.5675087342343472E-2</v>
      </c>
      <c r="U3052" s="18"/>
      <c r="V3052" s="38" t="s">
        <v>50</v>
      </c>
      <c r="W3052" s="3">
        <f>I3059</f>
        <v>2.5675087342343472E-2</v>
      </c>
      <c r="Y3052" s="18"/>
      <c r="Z3052" s="38" t="s">
        <v>50</v>
      </c>
      <c r="AA3052" s="3">
        <f>I3059</f>
        <v>2.5675087342343472E-2</v>
      </c>
    </row>
    <row r="3053" spans="1:27">
      <c r="B3053" s="13">
        <v>6</v>
      </c>
      <c r="C3053" s="14" t="s">
        <v>26</v>
      </c>
      <c r="D3053" s="15" cm="1">
        <f t="array" ref="D3053">_xlfn.SINGLE(IF(A3056=A3057,_xll.ciqfunctions.udf.CIQ(A3048,"IQ_TOTAL_REV",IQ_FY-5)/I3053, _xll.ciqfunctions.udf.CIQ(A3048, "IQ_TOTAL_REV",IQ_FY-4)/I3053))</f>
        <v>16.871691422563945</v>
      </c>
      <c r="E3053" s="16">
        <f t="shared" si="815"/>
        <v>0.10370952528290024</v>
      </c>
      <c r="F3053" s="15">
        <f>IF(A3056=A3057,_xll.ciqfunctions.udf.CIQ(A3048,"IQ_DILUT_EPS_EXCL",IQ_FY-5), _xll.ciqfunctions.udf.CIQ(A3048, "IQ_DILUT_EPS_EXCL",IQ_FY-4))</f>
        <v>0.12</v>
      </c>
      <c r="G3053" s="15">
        <f>IF(A3056=A3057,_xll.ciqfunctions.udf.CIQ(A3048,"IQ_EBITDA_MARGIN",IQ_FY-5), _xll.ciqfunctions.udf.CIQ(A3048, "IQ_EBITDA_MARGIN",IQ_FY-4))</f>
        <v>12.228199999999999</v>
      </c>
      <c r="H3053" s="15">
        <f>IF(A3056=A3057,_xll.ciqfunctions.udf.CIQ(A3048,"IQ_TOTAL_DIV_PAID_CF",IQ_FY-5)/-I3053, _xll.ciqfunctions.udf.CIQ(A3048, "IQ_TOTAL_DIV_PAID_CF",IQ_FY-4)/-I3053)</f>
        <v>0</v>
      </c>
      <c r="I3053" s="17">
        <f>IF(A3056=A3057,_xll.ciqfunctions.udf.CIQ(A3048,"IQ_TOTAL_OUTSTANDING_FILING_DATE",IQ_FY-5), _xll.ciqfunctions.udf.CIQ(A3048, "IQ_TOTAL_OUTSTANDING_FILING_DATE",IQ_FY-4))</f>
        <v>48.149470000000001</v>
      </c>
      <c r="J3053" s="17">
        <f>IF(A3056=A3057,_xll.ciqfunctions.udf.CIQ(A3048,"IQ_CASH_OPER",IQ_FY-5), _xll.ciqfunctions.udf.CIQ(A3048, "IQ_CASH_OPER",IQ_FY-4))</f>
        <v>117.38500000000001</v>
      </c>
      <c r="K3053" s="17">
        <f>IF(A3056=A3057,_xll.ciqfunctions.udf.CIQ(A3048,"IQ_CAPEX",IQ_FY-5), _xll.ciqfunctions.udf.CIQ(A3048, "IQ_CAPEX",IQ_FY-4))</f>
        <v>-20.524000000000001</v>
      </c>
      <c r="L3053" s="15">
        <f t="shared" si="812"/>
        <v>2.0116732333710008</v>
      </c>
      <c r="M3053" s="17">
        <f>IF(A3056=A3057,_xll.ciqfunctions.udf.CIQ(A3048,"IQ_TOTAL_DEBT_ISSUED",IQ_FY-5), _xll.ciqfunctions.udf.CIQ(A3048, "IQ_TOTAL_DEBT_ISSUED",IQ_FY-4))</f>
        <v>540</v>
      </c>
      <c r="N3053" s="17">
        <f>IF(A3056=A3057,_xll.ciqfunctions.udf.CIQ(A3048,"IQ_TOTAL_DEBT_REPAID",IQ_FY-5), _xll.ciqfunctions.udf.CIQ(A3048, "IQ_TOTAL_DEBT_REPAID",IQ_FY-4))</f>
        <v>-276.16800000000001</v>
      </c>
      <c r="O3053" s="15">
        <f t="shared" si="813"/>
        <v>5.479437260680128</v>
      </c>
      <c r="P3053" s="15">
        <f t="shared" si="814"/>
        <v>7.4911104940511288</v>
      </c>
      <c r="Q3053" s="25" t="s">
        <v>27</v>
      </c>
      <c r="R3053" s="38" t="s">
        <v>51</v>
      </c>
      <c r="S3053" s="4">
        <f>AVERAGE(F3053:F3058)/AVERAGE(D3053:D3058)</f>
        <v>-2.91360541094089E-2</v>
      </c>
      <c r="U3053" s="25" t="s">
        <v>58</v>
      </c>
      <c r="V3053" s="38" t="s">
        <v>51</v>
      </c>
      <c r="W3053" s="4">
        <f>AVERAGE(F3053:F3058)/AVERAGE(D3053:D3058)</f>
        <v>-2.91360541094089E-2</v>
      </c>
      <c r="Y3053" s="25" t="s">
        <v>56</v>
      </c>
      <c r="Z3053" s="38" t="s">
        <v>51</v>
      </c>
      <c r="AA3053" s="4">
        <f>AVERAGE(F3053:F3058)/AVERAGE(D3053:D3058)</f>
        <v>-2.91360541094089E-2</v>
      </c>
    </row>
    <row r="3054" spans="1:27">
      <c r="A3054" s="18"/>
      <c r="B3054" s="13">
        <v>7</v>
      </c>
      <c r="C3054" s="14" t="s">
        <v>28</v>
      </c>
      <c r="D3054" s="15" cm="1">
        <f t="array" ref="D3054">_xlfn.SINGLE(IF(A3056=A3057,_xll.ciqfunctions.udf.CIQ(A3048,"IQ_TOTAL_REV",IQ_FY-4)/I3054, _xll.ciqfunctions.udf.CIQ(A3048, "IQ_TOTAL_REV",IQ_FY-3)/I3054))</f>
        <v>17.014301716274002</v>
      </c>
      <c r="E3054" s="16">
        <f t="shared" si="815"/>
        <v>8.4526376246623243E-3</v>
      </c>
      <c r="F3054" s="15">
        <f>IF(A3056=A3057,_xll.ciqfunctions.udf.CIQ(A3048,"IQ_DILUT_EPS_EXCL",IQ_FY-4), _xll.ciqfunctions.udf.CIQ(A3048, "IQ_DILUT_EPS_EXCL",IQ_FY-3))</f>
        <v>-0.33</v>
      </c>
      <c r="G3054" s="15">
        <f>IF(A3056=A3057,_xll.ciqfunctions.udf.CIQ(A3048,"IQ_EBITDA_MARGIN",IQ_FY-4), _xll.ciqfunctions.udf.CIQ(A3048, "IQ_EBITDA_MARGIN",IQ_FY-3))</f>
        <v>13.007899999999999</v>
      </c>
      <c r="H3054" s="15">
        <f>IF(A3056=A3057,_xll.ciqfunctions.udf.CIQ(A3048,"IQ_TOTAL_DIV_PAID_CF",IQ_FY-4)/-I3054, _xll.ciqfunctions.udf.CIQ(A3048, "IQ_TOTAL_DIV_PAID_CF",IQ_FY-3)/-I3054)</f>
        <v>0</v>
      </c>
      <c r="I3054" s="17">
        <f>IF(A3056=A3057,_xll.ciqfunctions.udf.CIQ(A3048,"IQ_TOTAL_OUTSTANDING_FILING_DATE",IQ_FY-4), _xll.ciqfunctions.udf.CIQ(A3048, "IQ_TOTAL_OUTSTANDING_FILING_DATE",IQ_FY-3))</f>
        <v>52.904139999999998</v>
      </c>
      <c r="J3054" s="17">
        <f>IF(A3056=A3057,_xll.ciqfunctions.udf.CIQ(A3048,"IQ_CASH_OPER",IQ_FY-4), _xll.ciqfunctions.udf.CIQ(A3048, "IQ_CASH_OPER",IQ_FY-3))</f>
        <v>108.726</v>
      </c>
      <c r="K3054" s="17">
        <f>IF(A3056=A3057,_xll.ciqfunctions.udf.CIQ(A3048,"IQ_CAPEX",IQ_FY-4), _xll.ciqfunctions.udf.CIQ(A3048, "IQ_CAPEX",IQ_FY-3))</f>
        <v>-19.847000000000001</v>
      </c>
      <c r="L3054" s="15">
        <f t="shared" si="812"/>
        <v>1.6800008468146348</v>
      </c>
      <c r="M3054" s="17">
        <f>IF(A3056=A3057,_xll.ciqfunctions.udf.CIQ(A3048,"IQ_TOTAL_DEBT_ISSUED",IQ_FY-4), _xll.ciqfunctions.udf.CIQ(A3048, "IQ_TOTAL_DEBT_ISSUED",IQ_FY-3))</f>
        <v>345</v>
      </c>
      <c r="N3054" s="17">
        <f>IF(A3056=A3057,_xll.ciqfunctions.udf.CIQ(A3048,"IQ_TOTAL_DEBT_REPAID",IQ_FY-4), _xll.ciqfunctions.udf.CIQ(A3048, "IQ_TOTAL_DEBT_REPAID",IQ_FY-3))</f>
        <v>-269.75099999999998</v>
      </c>
      <c r="O3054" s="15">
        <f t="shared" si="813"/>
        <v>1.4223650549843552</v>
      </c>
      <c r="P3054" s="15">
        <f t="shared" si="814"/>
        <v>3.10236590179899</v>
      </c>
      <c r="Q3054" s="18"/>
      <c r="R3054" s="38" t="s">
        <v>29</v>
      </c>
      <c r="S3054" s="4">
        <f>(AVERAGE(P3053:P3058)/_xlfn.STDEV.P(P3053:P3058))/(IF(A3056=A3057,(_xlfn.SINGLE(_xll.ciqfunctions.udf.CIQ(A3048,"IQ_total_assets",IQ_FY)) - _xlfn.SINGLE(_xll.ciqfunctions.udf.CIQ(A3048,"iq_gw_intan", IQ_FY)))/I3058, (_xlfn.SINGLE(_xll.ciqfunctions.udf.CIQ(A3048, "IQ_total_assets",IQ_LTM))-_xlfn.SINGLE(_xll.ciqfunctions.udf.CIQ(A3048,"iq_gw_intan",IQ_LTM)))/I3058))</f>
        <v>0.27239139775262022</v>
      </c>
      <c r="U3054" s="18"/>
      <c r="V3054" s="38" t="s">
        <v>29</v>
      </c>
      <c r="W3054" s="4">
        <f>(AVERAGE(P3053:P3058)/_xlfn.STDEV.P(P3053:P3058))/(IF(A3056=A3057,(_xlfn.SINGLE(_xll.ciqfunctions.udf.CIQ(A3048,"IQ_total_assets",IQ_FY)) - _xlfn.SINGLE(_xll.ciqfunctions.udf.CIQ(A3048,"iq_gw_intan", IQ_FY)))/I3058, (_xlfn.SINGLE(_xll.ciqfunctions.udf.CIQ(A3048, "IQ_total_assets",IQ_LTM))-_xlfn.SINGLE(_xll.ciqfunctions.udf.CIQ(A3048,"iq_gw_intan",IQ_LTM)))/I3058))</f>
        <v>0.27239139775262022</v>
      </c>
      <c r="Y3054" s="18"/>
      <c r="Z3054" s="38" t="s">
        <v>29</v>
      </c>
      <c r="AA3054" s="4">
        <f>(AVERAGE(P3053:P3058)/_xlfn.STDEV.P(P3053:P3058))/(IF(A3056=A3057,(_xlfn.SINGLE(_xll.ciqfunctions.udf.CIQ(A3048,"IQ_total_assets",IQ_FY)) - _xlfn.SINGLE(_xll.ciqfunctions.udf.CIQ(A3048,"iq_gw_intan", IQ_FY)))/I3058, (_xlfn.SINGLE(_xll.ciqfunctions.udf.CIQ(A3048, "IQ_total_assets",IQ_LTM))-_xlfn.SINGLE(_xll.ciqfunctions.udf.CIQ(A3048,"iq_gw_intan",IQ_LTM)))/I3058))</f>
        <v>0.27239139775262022</v>
      </c>
    </row>
    <row r="3055" spans="1:27">
      <c r="A3055" s="18"/>
      <c r="B3055" s="13">
        <v>8</v>
      </c>
      <c r="C3055" s="14" t="s">
        <v>30</v>
      </c>
      <c r="D3055" s="15" cm="1">
        <f t="array" ref="D3055">_xlfn.SINGLE(IF(A3056=A3057,_xll.ciqfunctions.udf.CIQ(A3048,"IQ_TOTAL_REV",IQ_FY-3)/I3055, _xll.ciqfunctions.udf.CIQ(A3048, "IQ_TOTAL_REV",IQ_FY-2)/I3055))</f>
        <v>18.445662415348281</v>
      </c>
      <c r="E3055" s="16">
        <f t="shared" si="815"/>
        <v>8.4126914106924383E-2</v>
      </c>
      <c r="F3055" s="15">
        <f>IF(A3056=A3057,_xll.ciqfunctions.udf.CIQ(A3048,"IQ_DILUT_EPS_EXCL",IQ_FY-3), _xll.ciqfunctions.udf.CIQ(A3048, "IQ_DILUT_EPS_EXCL",IQ_FY-2))</f>
        <v>-0.06</v>
      </c>
      <c r="G3055" s="15">
        <f>IF(A3056=A3057,_xll.ciqfunctions.udf.CIQ(A3048,"IQ_EBITDA_MARGIN",IQ_FY-3), _xll.ciqfunctions.udf.CIQ(A3048, "IQ_EBITDA_MARGIN",IQ_FY-2))</f>
        <v>15.876200000000001</v>
      </c>
      <c r="H3055" s="15">
        <f>IF(A3056=A3057,_xll.ciqfunctions.udf.CIQ(A3048,"IQ_TOTAL_DIV_PAID_CF",IQ_FY-3)/-I3055, _xll.ciqfunctions.udf.CIQ(A3048, "IQ_TOTAL_DIV_PAID_CF",IQ_FY-2)/-I3055)</f>
        <v>0</v>
      </c>
      <c r="I3055" s="17">
        <f>IF(A3056=A3057,_xll.ciqfunctions.udf.CIQ(A3048,"IQ_TOTAL_OUTSTANDING_FILING_DATE",IQ_FY-3), _xll.ciqfunctions.udf.CIQ(A3048, "IQ_TOTAL_OUTSTANDING_FILING_DATE",IQ_FY-2))</f>
        <v>54.117330000000003</v>
      </c>
      <c r="J3055" s="17">
        <f>IF(A3056=A3057,_xll.ciqfunctions.udf.CIQ(A3048,"IQ_CASH_OPER",IQ_FY-3), _xll.ciqfunctions.udf.CIQ(A3048, "IQ_CASH_OPER",IQ_FY-2))</f>
        <v>169.83600000000001</v>
      </c>
      <c r="K3055" s="17">
        <f>IF(A3056=A3057,_xll.ciqfunctions.udf.CIQ(A3048,"IQ_CAPEX",IQ_FY-3), _xll.ciqfunctions.udf.CIQ(A3048, "IQ_CAPEX",IQ_FY-2))</f>
        <v>-12.087999999999999</v>
      </c>
      <c r="L3055" s="15">
        <f t="shared" si="812"/>
        <v>2.9149257733151286</v>
      </c>
      <c r="M3055" s="17">
        <f>IF(A3056=A3057,_xll.ciqfunctions.udf.CIQ(A3048,"IQ_TOTAL_DEBT_ISSUED",IQ_FY-3), _xll.ciqfunctions.udf.CIQ(A3048, "IQ_TOTAL_DEBT_ISSUED",IQ_FY-2))</f>
        <v>562.5</v>
      </c>
      <c r="N3055" s="17">
        <f>IF(A3056=A3057,_xll.ciqfunctions.udf.CIQ(A3048,"IQ_TOTAL_DEBT_REPAID",IQ_FY-3), _xll.ciqfunctions.udf.CIQ(A3048, "IQ_TOTAL_DEBT_REPAID",IQ_FY-2))</f>
        <v>-305</v>
      </c>
      <c r="O3055" s="15">
        <f t="shared" si="813"/>
        <v>4.7581800506418181</v>
      </c>
      <c r="P3055" s="15">
        <f t="shared" si="814"/>
        <v>7.6731058239569467</v>
      </c>
      <c r="Q3055" s="18"/>
      <c r="R3055" s="39" t="s">
        <v>31</v>
      </c>
      <c r="S3055" s="5">
        <f>IF(NOT(D3048&gt;0),FALSE,SLOPE(G3048:G3058,B3048:B3058))</f>
        <v>3.2210909090909047E-2</v>
      </c>
      <c r="U3055" s="18"/>
      <c r="V3055" s="39" t="s">
        <v>31</v>
      </c>
      <c r="W3055" s="5">
        <f>IF(NOT(D3048&gt;0),FALSE,SLOPE(G3048:G3058,B3048:B3058))</f>
        <v>3.2210909090909047E-2</v>
      </c>
      <c r="Y3055" s="18"/>
      <c r="Z3055" s="39" t="s">
        <v>31</v>
      </c>
      <c r="AA3055" s="5">
        <f>IF(NOT(L3048&gt;0),FALSE,SLOPE(O3048:O3058,J3048:J3058))</f>
        <v>-3.5578697906102413E-3</v>
      </c>
    </row>
    <row r="3056" spans="1:27">
      <c r="A3056" s="19">
        <f>_xll.ciqfunctions.udf.CIQ(A3048,"IQ_TOTAL_REV",IQ_FY)</f>
        <v>1239.7840000000001</v>
      </c>
      <c r="B3056" s="13">
        <v>9</v>
      </c>
      <c r="C3056" s="14" t="s">
        <v>32</v>
      </c>
      <c r="D3056" s="15" cm="1">
        <f t="array" ref="D3056">_xlfn.SINGLE(IF(A3056=A3057,_xll.ciqfunctions.udf.CIQ(A3048,"IQ_TOTAL_REV",IQ_FY-2)/I3056, _xll.ciqfunctions.udf.CIQ(A3048, "IQ_TOTAL_REV",IQ_FY-1)/I3056))</f>
        <v>21.643985347605817</v>
      </c>
      <c r="E3056" s="16">
        <f t="shared" si="815"/>
        <v>0.17339160070479623</v>
      </c>
      <c r="F3056" s="15">
        <f>IF(A3056=A3057,_xll.ciqfunctions.udf.CIQ(A3048,"IQ_DILUT_EPS_EXCL",IQ_FY-2), _xll.ciqfunctions.udf.CIQ(A3048, "IQ_DILUT_EPS_EXCL",IQ_FY-1))</f>
        <v>0.24</v>
      </c>
      <c r="G3056" s="15">
        <f>IF(A3056=A3057,_xll.ciqfunctions.udf.CIQ(A3048,"IQ_EBITDA_MARGIN",IQ_FY-2), _xll.ciqfunctions.udf.CIQ(A3048, "IQ_EBITDA_MARGIN",IQ_FY-1))</f>
        <v>13.6965</v>
      </c>
      <c r="H3056" s="15">
        <f>IF(A3056=A3057,_xll.ciqfunctions.udf.CIQ(A3048,"IQ_TOTAL_DIV_PAID_CF",IQ_FY-2)/-I3056, _xll.ciqfunctions.udf.CIQ(A3048, "IQ_TOTAL_DIV_PAID_CF",IQ_FY-1)/-I3056)</f>
        <v>0</v>
      </c>
      <c r="I3056" s="17">
        <f>IF(A3056=A3057,_xll.ciqfunctions.udf.CIQ(A3048,"IQ_TOTAL_OUTSTANDING_FILING_DATE",IQ_FY-2), _xll.ciqfunctions.udf.CIQ(A3048, "IQ_TOTAL_OUTSTANDING_FILING_DATE",IQ_FY-1))</f>
        <v>54.819710000000001</v>
      </c>
      <c r="J3056" s="17">
        <f>IF(A3056=A3057,_xll.ciqfunctions.udf.CIQ(A3048,"IQ_CASH_OPER",IQ_FY-2), _xll.ciqfunctions.udf.CIQ(A3048, "IQ_CASH_OPER",IQ_FY-1))</f>
        <v>250.577</v>
      </c>
      <c r="K3056" s="17">
        <f>IF(A3056=A3057,_xll.ciqfunctions.udf.CIQ(A3048,"IQ_CAPEX",IQ_FY-2), _xll.ciqfunctions.udf.CIQ(A3048, "IQ_CAPEX",IQ_FY-1))</f>
        <v>-23.731000000000002</v>
      </c>
      <c r="L3056" s="15">
        <f t="shared" si="812"/>
        <v>4.1380372132577863</v>
      </c>
      <c r="M3056" s="17">
        <f>IF(A3056=A3057,_xll.ciqfunctions.udf.CIQ(A3048,"IQ_TOTAL_DEBT_ISSUED",IQ_FY-2), _xll.ciqfunctions.udf.CIQ(A3048, "IQ_TOTAL_DEBT_ISSUED",IQ_FY-1))</f>
        <v>0</v>
      </c>
      <c r="N3056" s="17">
        <f>IF(A3056=A3057,_xll.ciqfunctions.udf.CIQ(A3048,"IQ_TOTAL_DEBT_REPAID",IQ_FY-2), _xll.ciqfunctions.udf.CIQ(A3048, "IQ_TOTAL_DEBT_REPAID",IQ_FY-1))</f>
        <v>0</v>
      </c>
      <c r="O3056" s="15">
        <f t="shared" si="813"/>
        <v>0</v>
      </c>
      <c r="P3056" s="15">
        <f t="shared" si="814"/>
        <v>4.1380372132577863</v>
      </c>
      <c r="Q3056" s="25" t="s">
        <v>33</v>
      </c>
      <c r="R3056" s="38" t="s">
        <v>52</v>
      </c>
      <c r="S3056" s="4">
        <f>(AVERAGE(O3053:O3058)/AVERAGE(P3053:P3058))</f>
        <v>0.50103982902209176</v>
      </c>
      <c r="U3056" s="25" t="s">
        <v>54</v>
      </c>
      <c r="V3056" s="38" t="s">
        <v>52</v>
      </c>
      <c r="W3056" s="4">
        <f>(AVERAGE(O3053:O3058)/AVERAGE(P3053:P3058))</f>
        <v>0.50103982902209176</v>
      </c>
      <c r="Y3056" s="25" t="s">
        <v>60</v>
      </c>
      <c r="Z3056" s="38" t="s">
        <v>52</v>
      </c>
      <c r="AA3056" s="4">
        <f>(AVERAGE(O3053:O3058)/AVERAGE(P3053:P3058))</f>
        <v>0.50103982902209176</v>
      </c>
    </row>
    <row r="3057" spans="1:27">
      <c r="A3057" s="19">
        <f>_xll.ciqfunctions.udf.CIQ(A3048,"IQ_TOTAL_REV",IQ_LTM)</f>
        <v>1220.8620000000001</v>
      </c>
      <c r="B3057" s="13">
        <v>10</v>
      </c>
      <c r="C3057" s="14" t="s">
        <v>34</v>
      </c>
      <c r="D3057" s="15" cm="1">
        <f t="array" ref="D3057">_xlfn.SINGLE(IF(A3056=A3057,_xll.ciqfunctions.udf.CIQ(A3048,"IQ_TOTAL_REV",IQ_FY-1)/I3057, _xll.ciqfunctions.udf.CIQ(A3048, "IQ_TOTAL_REV",IQ_FY)/I3057))</f>
        <v>22.950530767954884</v>
      </c>
      <c r="E3057" s="16">
        <f t="shared" si="815"/>
        <v>6.0365288525460629E-2</v>
      </c>
      <c r="F3057" s="15">
        <f>IF(A3056=A3057,_xll.ciqfunctions.udf.CIQ(A3048,"IQ_DILUT_EPS_EXCL",IQ_FY-1), _xll.ciqfunctions.udf.CIQ(A3048, "IQ_DILUT_EPS_EXCL",IQ_FY))</f>
        <v>-1.59148</v>
      </c>
      <c r="G3057" s="15">
        <f>IF(A3056=A3057,_xll.ciqfunctions.udf.CIQ(A3048,"IQ_EBITDA_MARGIN",IQ_FY-1), _xll.ciqfunctions.udf.CIQ(A3048, "IQ_EBITDA_MARGIN",IQ_FY))</f>
        <v>7.609</v>
      </c>
      <c r="H3057" s="15">
        <f>IF(A3056=A3057,_xll.ciqfunctions.udf.CIQ(A3048,"IQ_TOTAL_DIV_PAID_CF",IQ_FY-1)/-I3057, _xll.ciqfunctions.udf.CIQ(A3048, "IQ_TOTAL_DIV_PAID_CF",IQ_FY)/-I3057)</f>
        <v>0</v>
      </c>
      <c r="I3057" s="17">
        <f>IF(A3056=A3057,_xll.ciqfunctions.udf.CIQ(A3048,"IQ_TOTAL_OUTSTANDING_FILING_DATE",IQ_FY-1), _xll.ciqfunctions.udf.CIQ(A3048, "IQ_TOTAL_OUTSTANDING_FILING_DATE",IQ_FY))</f>
        <v>54.019840000000002</v>
      </c>
      <c r="J3057" s="17">
        <f>IF(A3056=A3057,_xll.ciqfunctions.udf.CIQ(A3048,"IQ_CASH_OPER",IQ_FY-1), _xll.ciqfunctions.udf.CIQ(A3048, "IQ_CASH_OPER",IQ_FY))</f>
        <v>117.03700000000001</v>
      </c>
      <c r="K3057" s="17">
        <f>IF(A3056=A3057,_xll.ciqfunctions.udf.CIQ(A3048,"IQ_CAPEX",IQ_FY-1), _xll.ciqfunctions.udf.CIQ(A3048, "IQ_CAPEX",IQ_FY))</f>
        <v>-16.172000000000001</v>
      </c>
      <c r="L3057" s="15">
        <f t="shared" si="812"/>
        <v>1.8671843530080801</v>
      </c>
      <c r="M3057" s="17">
        <f>IF(A3056=A3057,_xll.ciqfunctions.udf.CIQ(A3048,"IQ_TOTAL_DEBT_ISSUED",IQ_FY-1), _xll.ciqfunctions.udf.CIQ(A3048, "IQ_TOTAL_DEBT_ISSUED",IQ_FY))</f>
        <v>575</v>
      </c>
      <c r="N3057" s="17">
        <f>IF(A3056=A3057,_xll.ciqfunctions.udf.CIQ(A3048,"IQ_TOTAL_DEBT_REPAID",IQ_FY-1), _xll.ciqfunctions.udf.CIQ(A3048, "IQ_TOTAL_DEBT_REPAID",IQ_FY))</f>
        <v>-512.87599999999998</v>
      </c>
      <c r="O3057" s="15">
        <f t="shared" si="813"/>
        <v>1.1500219178731375</v>
      </c>
      <c r="P3057" s="15">
        <f t="shared" si="814"/>
        <v>3.0172062708812177</v>
      </c>
      <c r="Q3057" s="25" t="s">
        <v>44</v>
      </c>
      <c r="R3057" s="38" t="s">
        <v>35</v>
      </c>
      <c r="S3057" s="1">
        <f>_xll.ciqfunctions.udf.CIQ(A3048,"IQ_TEV_EBITDA")</f>
        <v>24.902529999999999</v>
      </c>
      <c r="U3057" s="25" t="s">
        <v>55</v>
      </c>
      <c r="V3057" s="38" t="s">
        <v>53</v>
      </c>
      <c r="W3057" s="1">
        <f>V3047/(AVERAGE(D3053:D3058)/_xlfn.STDEV.P(E3053:E3058))</f>
        <v>0.12149029404222707</v>
      </c>
      <c r="Y3057" s="25" t="s">
        <v>57</v>
      </c>
      <c r="Z3057" s="38" t="s">
        <v>53</v>
      </c>
      <c r="AA3057" s="1">
        <f>Z3047/(AVERAGE(D3053:D3058)/_xlfn.STDEV.P(E3053:E3058))</f>
        <v>0.12149029404222707</v>
      </c>
    </row>
    <row r="3058" spans="1:27">
      <c r="B3058" s="13">
        <v>11</v>
      </c>
      <c r="C3058" s="20" t="s">
        <v>36</v>
      </c>
      <c r="D3058" s="21" cm="1">
        <f t="array" ref="D3058">_xlfn.SINGLE(IF(A3056=A3057,_xll.ciqfunctions.udf.CIQ(A3048,"IQ_TOTAL_REV",IQ_FY)/I3058, _xll.ciqfunctions.udf.CIQ(A3048, "IQ_TOTAL_REV",IQ_LTM)/I3058))</f>
        <v>22.33706098871604</v>
      </c>
      <c r="E3058" s="22">
        <f t="shared" si="815"/>
        <v>-2.6730091144358772E-2</v>
      </c>
      <c r="F3058" s="21">
        <f>IF(A3056=A3057,_xll.ciqfunctions.udf.CIQ(A3048,"IQ_DILUT_EPS_EXCL",IQ_FY), _xll.ciqfunctions.udf.CIQ(A3048, "IQ_DILUT_EPS_EXCL",IQ_LTM))</f>
        <v>-1.85338</v>
      </c>
      <c r="G3058" s="21">
        <f>IF(A3056=A3057,_xll.ciqfunctions.udf.CIQ(A3048,"IQ_EBITDA_MARGIN",IQ_FY), _xll.ciqfunctions.udf.CIQ(A3048, "IQ_EBITDA_MARGIN",IQ_LTM))</f>
        <v>8.3592999999999993</v>
      </c>
      <c r="H3058" s="21">
        <f>IF(A3056=A3057,_xll.ciqfunctions.udf.CIQ(A3048,"IQ_TOTAL_DIV_PAID_CF",IQ_FY)/-I3058, _xll.ciqfunctions.udf.CIQ(A3048, "IQ_TOTAL_DIV_PAID_CF",IQ_LTM)/-I3058)</f>
        <v>0</v>
      </c>
      <c r="I3058" s="23">
        <f>IF(A3056=A3057,_xll.ciqfunctions.udf.CIQ(A3048,"IQ_TOTAL_OUTSTANDING_FILING_DATE",IQ_FY),_xll.ciqfunctions.udf.CIQ(A3048,"IQ_sharesoutstanding"))</f>
        <v>54.65634</v>
      </c>
      <c r="J3058" s="23">
        <f>IF(A3056=A3057,_xll.ciqfunctions.udf.CIQ(A3048,"IQ_CASH_OPER",IQ_FY), _xll.ciqfunctions.udf.CIQ(A3048, "IQ_CASH_OPER",IQ_LTM))</f>
        <v>110.07899999999999</v>
      </c>
      <c r="K3058" s="23">
        <f>IF(A3056=A3057,_xll.ciqfunctions.udf.CIQ(A3048,"IQ_CAPEX",IQ_FY), _xll.ciqfunctions.udf.CIQ(A3048, "IQ_CAPEX",IQ_LTM))</f>
        <v>-21.332999999999998</v>
      </c>
      <c r="L3058" s="21">
        <f t="shared" si="812"/>
        <v>1.6237091616452912</v>
      </c>
      <c r="M3058" s="23">
        <f>IF(A3056=A3057,_xll.ciqfunctions.udf.CIQ(A3048,"IQ_TOTAL_DEBT_ISSUED",IQ_FY), _xll.ciqfunctions.udf.CIQ(A3048, "IQ_TOTAL_DEBT_ISSUED",IQ_LTM))</f>
        <v>630</v>
      </c>
      <c r="N3058" s="23">
        <f>IF(A3056=A3057,_xll.ciqfunctions.udf.CIQ(A3048,"IQ_TOTAL_DEBT_REPAID",IQ_FY), _xll.ciqfunctions.udf.CIQ(A3048, "IQ_TOTAL_DEBT_REPAID",IQ_LTM))</f>
        <v>-548.84299999999996</v>
      </c>
      <c r="O3058" s="21">
        <f t="shared" si="813"/>
        <v>1.4848597619233201</v>
      </c>
      <c r="P3058" s="21">
        <f t="shared" si="814"/>
        <v>3.1085689235686114</v>
      </c>
      <c r="Q3058" s="25" t="s">
        <v>45</v>
      </c>
      <c r="S3058" s="45"/>
      <c r="U3058" s="25"/>
      <c r="W3058" s="45"/>
      <c r="Y3058" s="25"/>
      <c r="AA3058" s="45"/>
    </row>
    <row r="3059" spans="1:27">
      <c r="B3059" s="24"/>
      <c r="C3059" s="25" t="s">
        <v>37</v>
      </c>
      <c r="E3059" s="26">
        <f>((D3058/D3053)^(1/5))-1</f>
        <v>5.7726733978365807E-2</v>
      </c>
      <c r="F3059" s="27">
        <f>((F3058/F3053)^(1/5))-1</f>
        <v>-2.728847336672215</v>
      </c>
      <c r="G3059" s="28"/>
      <c r="H3059" s="27" t="e">
        <f>((H3058/H3053)^(1/5))-1</f>
        <v>#DIV/0!</v>
      </c>
      <c r="I3059" s="27">
        <f>((I3058/I3053)^(1/5))-1</f>
        <v>2.5675087342343472E-2</v>
      </c>
      <c r="J3059" s="27"/>
      <c r="K3059" s="27"/>
      <c r="L3059" s="26">
        <f>((L3058/L3053)^(1/5))-1</f>
        <v>-4.1945619902218012E-2</v>
      </c>
      <c r="M3059" s="26"/>
      <c r="N3059" s="26"/>
      <c r="O3059" s="26"/>
      <c r="P3059" s="26">
        <f>((P3058/P3053)^(1/5))-1</f>
        <v>-0.16130730639443247</v>
      </c>
      <c r="Q3059" s="18"/>
      <c r="R3059" s="36"/>
      <c r="S3059" s="45"/>
      <c r="U3059" s="18"/>
      <c r="V3059" s="36"/>
      <c r="W3059" s="45"/>
      <c r="Y3059" s="18"/>
      <c r="Z3059" s="36"/>
      <c r="AA3059" s="45"/>
    </row>
    <row r="3060" spans="1:27">
      <c r="A3060" s="29"/>
      <c r="B3060" s="30"/>
      <c r="C3060" s="31" t="s">
        <v>38</v>
      </c>
      <c r="D3060" s="29"/>
      <c r="E3060" s="32">
        <f>((D3058/D3048)^(1/10))-1</f>
        <v>0.12097924230891977</v>
      </c>
      <c r="F3060" s="33" t="e">
        <f>((F3058/F3048)^(1/10))-1</f>
        <v>#NUM!</v>
      </c>
      <c r="G3060" s="34"/>
      <c r="H3060" s="33" t="e">
        <f>((H3058/H3048)^(1/10))-1</f>
        <v>#DIV/0!</v>
      </c>
      <c r="I3060" s="33">
        <f>((I3058/I3048)^(1/10))-1</f>
        <v>4.8556036919298329E-2</v>
      </c>
      <c r="J3060" s="33"/>
      <c r="K3060" s="33"/>
      <c r="L3060" s="32">
        <f>((L3058/L3048)^(1/10))-1</f>
        <v>9.2847263242689992E-2</v>
      </c>
      <c r="M3060" s="32"/>
      <c r="N3060" s="32"/>
      <c r="O3060" s="32"/>
      <c r="P3060" s="32">
        <f>((P3058/P3048)^(1/10))-1</f>
        <v>0.16617759946219612</v>
      </c>
      <c r="Q3060" s="40"/>
      <c r="R3060" s="41"/>
      <c r="S3060" s="46"/>
      <c r="U3060" s="40"/>
      <c r="V3060" s="41"/>
      <c r="W3060" s="46"/>
      <c r="Y3060" s="40"/>
      <c r="Z3060" s="41"/>
      <c r="AA3060" s="46"/>
    </row>
    <row r="3061" spans="1:27">
      <c r="B3061" s="24"/>
      <c r="C3061" s="25"/>
      <c r="E3061" s="26"/>
      <c r="F3061" s="27"/>
      <c r="G3061" s="28"/>
      <c r="H3061" s="27"/>
      <c r="I3061" s="27"/>
      <c r="J3061" s="27"/>
      <c r="K3061" s="27"/>
      <c r="L3061" s="26"/>
      <c r="M3061" s="17"/>
      <c r="N3061" s="17"/>
      <c r="O3061" s="17"/>
      <c r="P3061" s="35"/>
      <c r="Q3061" s="18"/>
      <c r="R3061" s="36"/>
    </row>
    <row r="3062" spans="1:27">
      <c r="A3062" s="9" t="s">
        <v>0</v>
      </c>
      <c r="B3062" s="10"/>
      <c r="C3062" s="9" t="s">
        <v>1</v>
      </c>
      <c r="D3062" s="9" t="s">
        <v>2</v>
      </c>
      <c r="E3062" s="9" t="s">
        <v>3</v>
      </c>
      <c r="F3062" s="11" t="s">
        <v>4</v>
      </c>
      <c r="G3062" s="11" t="s">
        <v>5</v>
      </c>
      <c r="H3062" s="9" t="s">
        <v>6</v>
      </c>
      <c r="I3062" s="11" t="s">
        <v>7</v>
      </c>
      <c r="J3062" s="11" t="s">
        <v>8</v>
      </c>
      <c r="K3062" s="11" t="s">
        <v>9</v>
      </c>
      <c r="L3062" s="11" t="s">
        <v>10</v>
      </c>
      <c r="M3062" s="11" t="s">
        <v>11</v>
      </c>
      <c r="N3062" s="11" t="s">
        <v>12</v>
      </c>
      <c r="O3062" s="11" t="s">
        <v>13</v>
      </c>
      <c r="P3062" s="11" t="s">
        <v>14</v>
      </c>
      <c r="Q3062" s="37" t="s">
        <v>15</v>
      </c>
      <c r="R3062" s="42">
        <f>_xll.ciqfunctions.udf.CIQ(A3063,("IQ_LASTSALEPRICE"))</f>
        <v>35.695</v>
      </c>
      <c r="S3062" s="44"/>
      <c r="U3062" s="37" t="s">
        <v>15</v>
      </c>
      <c r="V3062" s="42">
        <f>_xll.ciqfunctions.udf.CIQ(A3063,("IQ_LASTSALEPRICE"))</f>
        <v>35.695</v>
      </c>
      <c r="W3062" s="44"/>
      <c r="Y3062" s="37" t="s">
        <v>15</v>
      </c>
      <c r="Z3062" s="42">
        <f>_xll.ciqfunctions.udf.CIQ(A3063,("IQ_LASTSALEPRICE"))</f>
        <v>35.695</v>
      </c>
      <c r="AA3062" s="44"/>
    </row>
    <row r="3063" spans="1:27">
      <c r="A3063" s="12" t="str">
        <f>Analysis!B206</f>
        <v>NasdaqGM:APPN</v>
      </c>
      <c r="B3063" s="13">
        <v>1</v>
      </c>
      <c r="C3063" s="14" t="s">
        <v>16</v>
      </c>
      <c r="D3063" s="15" t="e">
        <f>IF(A3071=A3072,_xll.ciqfunctions.udf.CIQ(A3063,"IQ_TOTAL_REV",IQ_FY-10)/I3063,_xll.ciqfunctions.udf.CIQ(A3063, "IQ_TOTAL_REV",IQ_FY-9)/I3063)</f>
        <v>#DIV/0!</v>
      </c>
      <c r="E3063" s="16"/>
      <c r="F3063" s="15">
        <f>IF(A3071=A3072,_xll.ciqfunctions.udf.CIQ(A3063,"IQ_DILUT_EPS_EXCL",IQ_FY-10), _xll.ciqfunctions.udf.CIQ(A3063, "IQ_DILUT_EPS_EXCL",IQ_FY-9))</f>
        <v>0</v>
      </c>
      <c r="G3063" s="15">
        <f>IF(A3071=A3072,_xll.ciqfunctions.udf.CIQ(A3063,"IQ_EBITDA_MARGIN",IQ_FY-10), _xll.ciqfunctions.udf.CIQ(A3063, "IQ_EBITDA_MARGIN",IQ_FY-9))</f>
        <v>0</v>
      </c>
      <c r="H3063" s="15" t="e">
        <f>IF(A3071=A3072,_xll.ciqfunctions.udf.CIQ(A3063,"IQ_TOTAL_DIV_PAID_CF",IQ_FY-10)/-I3063, _xll.ciqfunctions.udf.CIQ(A3063, "IQ_TOTAL_DIV_PAID_CF",IQ_FY-9)/-I3063)</f>
        <v>#DIV/0!</v>
      </c>
      <c r="I3063" s="17">
        <f>IF(A3071=A3072,_xll.ciqfunctions.udf.CIQ(A3063,"IQ_TOTAL_OUTSTANDING_FILING_DATE",IQ_FY-10), _xll.ciqfunctions.udf.CIQ(A3063, "IQ_TOTAL_OUTSTANDING_FILING_DATE",IQ_FY-9))</f>
        <v>0</v>
      </c>
      <c r="J3063" s="17">
        <f>IF(A3071=A3072,_xll.ciqfunctions.udf.CIQ(A3063,"IQ_CASH_OPER",IQ_FY-10), _xll.ciqfunctions.udf.CIQ(A3063, "IQ_CASH_OPER",IQ_FY-9))</f>
        <v>0</v>
      </c>
      <c r="K3063" s="17">
        <f>IF(A3071=A3072,_xll.ciqfunctions.udf.CIQ(A3063,"IQ_CAPEX",IQ_FY-10), _xll.ciqfunctions.udf.CIQ(A3063, "IQ_CAPEX",IQ_FY-9))</f>
        <v>0</v>
      </c>
      <c r="L3063" s="15" t="e">
        <f t="shared" ref="L3063:L3073" si="816">(J3063+K3063)/I3063</f>
        <v>#DIV/0!</v>
      </c>
      <c r="M3063" s="17">
        <f>IF(A3071=A3072,_xll.ciqfunctions.udf.CIQ(A3063,"IQ_TOTAL_DEBT_ISSUED",IQ_FY-10), _xll.ciqfunctions.udf.CIQ(A3063, "IQ_TOTAL_DEBT_ISSUED",IQ_FY-9))</f>
        <v>0</v>
      </c>
      <c r="N3063" s="17">
        <f>IF(A3071=A3072,_xll.ciqfunctions.udf.CIQ(A3063,"IQ_TOTAL_DEBT_REPAID",IQ_FY-10), _xll.ciqfunctions.udf.CIQ(A3063, "IQ_TOTAL_DEBT_REPAID",IQ_FY-9))</f>
        <v>0</v>
      </c>
      <c r="O3063" s="15" t="e">
        <f t="shared" ref="O3063:O3073" si="817">(M3063+N3063)/I3063</f>
        <v>#DIV/0!</v>
      </c>
      <c r="P3063" s="15" t="e">
        <f t="shared" ref="P3063:P3073" si="818">L3063+O3063</f>
        <v>#DIV/0!</v>
      </c>
      <c r="W3063" s="43"/>
      <c r="AA3063" s="43"/>
    </row>
    <row r="3064" spans="1:27">
      <c r="A3064" s="18" t="str">
        <f>_xll.ciqfunctions.udf.CIQ(A3063,"IQ_COMPANY_NAME")</f>
        <v>Appian Corporation</v>
      </c>
      <c r="B3064" s="13">
        <v>2</v>
      </c>
      <c r="C3064" s="14" t="s">
        <v>17</v>
      </c>
      <c r="D3064" s="15">
        <f>IF(A3071=A3072,_xll.ciqfunctions.udf.CIQ(A3063,"IQ_TOTAL_REV",IQ_FY-9)/I3064, _xll.ciqfunctions.udf.CIQ(A3063, "IQ_TOTAL_REV",IQ_FY-8)/I3064)</f>
        <v>2.4916428223462814</v>
      </c>
      <c r="E3064" s="16" t="e">
        <f t="shared" ref="E3064:E3073" si="819">(D3064-D3063)/D3063</f>
        <v>#DIV/0!</v>
      </c>
      <c r="F3064" s="15">
        <f>IF(A3071=A3072,_xll.ciqfunctions.udf.CIQ(A3063,"IQ_DILUT_EPS_EXCL",IQ_FY-9), _xll.ciqfunctions.udf.CIQ(A3063, "IQ_DILUT_EPS_EXCL",IQ_FY-8))</f>
        <v>-0.50156999999999996</v>
      </c>
      <c r="G3064" s="15">
        <f>IF(A3071=A3072,_xll.ciqfunctions.udf.CIQ(A3063,"IQ_EBITDA_MARGIN",IQ_FY-9), _xll.ciqfunctions.udf.CIQ(A3063, "IQ_EBITDA_MARGIN",IQ_FY-8))</f>
        <v>-14.764699999999999</v>
      </c>
      <c r="H3064" s="15">
        <f>IF(A3071=A3072,_xll.ciqfunctions.udf.CIQ(A3063,"IQ_TOTAL_DIV_PAID_CF",IQ_FY-9)/-I3064, _xll.ciqfunctions.udf.CIQ(A3063, "IQ_TOTAL_DIV_PAID_CF",IQ_FY-8)/-I3064)</f>
        <v>0</v>
      </c>
      <c r="I3064" s="17">
        <f>IF(A3071=A3072,_xll.ciqfunctions.udf.CIQ(A3063,"IQ_TOTAL_OUTSTANDING_FILING_DATE",IQ_FY-9), _xll.ciqfunctions.udf.CIQ(A3063, "IQ_TOTAL_OUTSTANDING_FILING_DATE",IQ_FY-8))</f>
        <v>35.717799999999997</v>
      </c>
      <c r="J3064" s="17">
        <f>IF(A3071=A3072,_xll.ciqfunctions.udf.CIQ(A3063,"IQ_CASH_OPER",IQ_FY-9), _xll.ciqfunctions.udf.CIQ(A3063, "IQ_CASH_OPER",IQ_FY-8))</f>
        <v>1.534</v>
      </c>
      <c r="K3064" s="17">
        <f>IF(A3071=A3072,_xll.ciqfunctions.udf.CIQ(A3063,"IQ_CAPEX",IQ_FY-9), _xll.ciqfunctions.udf.CIQ(A3063, "IQ_CAPEX",IQ_FY-8))</f>
        <v>-2.633</v>
      </c>
      <c r="L3064" s="15">
        <f t="shared" si="816"/>
        <v>-3.0768972333122424E-2</v>
      </c>
      <c r="M3064" s="17">
        <f>IF(A3071=A3072,_xll.ciqfunctions.udf.CIQ(A3063,"IQ_TOTAL_DEBT_ISSUED",IQ_FY-9), _xll.ciqfunctions.udf.CIQ(A3063, "IQ_TOTAL_DEBT_ISSUED",IQ_FY-8))</f>
        <v>0</v>
      </c>
      <c r="N3064" s="17">
        <f>IF(A3071=A3072,_xll.ciqfunctions.udf.CIQ(A3063,"IQ_TOTAL_DEBT_REPAID",IQ_FY-9), _xll.ciqfunctions.udf.CIQ(A3063, "IQ_TOTAL_DEBT_REPAID",IQ_FY-8))</f>
        <v>0</v>
      </c>
      <c r="O3064" s="15">
        <f t="shared" si="817"/>
        <v>0</v>
      </c>
      <c r="P3064" s="15">
        <f t="shared" si="818"/>
        <v>-3.0768972333122424E-2</v>
      </c>
      <c r="Q3064" s="25" t="s">
        <v>18</v>
      </c>
      <c r="R3064" s="39" t="s">
        <v>19</v>
      </c>
      <c r="S3064" s="1">
        <f>R3062/((AVERAGE(P3068:P3073))*(1+E3074)^3)</f>
        <v>-132.9630441428537</v>
      </c>
      <c r="U3064" s="25" t="s">
        <v>48</v>
      </c>
      <c r="V3064" s="39" t="s">
        <v>19</v>
      </c>
      <c r="W3064" s="1">
        <f>V3062/((AVERAGE(P3068:P3073))*(1+E3074)^3)</f>
        <v>-132.9630441428537</v>
      </c>
      <c r="Y3064" s="25" t="s">
        <v>39</v>
      </c>
      <c r="Z3064" s="39" t="s">
        <v>19</v>
      </c>
      <c r="AA3064" s="1">
        <f>Z3062/((AVERAGE(P3068:P3073))*(1+E3074)^3)</f>
        <v>-132.9630441428537</v>
      </c>
    </row>
    <row r="3065" spans="1:27">
      <c r="B3065" s="13">
        <v>3</v>
      </c>
      <c r="C3065" s="14" t="s">
        <v>20</v>
      </c>
      <c r="D3065" s="15" cm="1">
        <f t="array" ref="D3065">_xlfn.SINGLE(IF(A3071=A3072,_xll.ciqfunctions.udf.CIQ(A3063,"IQ_TOTAL_REV",IQ_FY-8)/I3065, _xll.ciqfunctions.udf.CIQ(A3063, "IQ_TOTAL_REV",IQ_FY-7)/I3065))</f>
        <v>3.2444903999215744</v>
      </c>
      <c r="E3065" s="16">
        <f t="shared" si="819"/>
        <v>0.30214907643398353</v>
      </c>
      <c r="F3065" s="15">
        <f>IF(A3071=A3072,_xll.ciqfunctions.udf.CIQ(A3063,"IQ_DILUT_EPS_EXCL",IQ_FY-8), _xll.ciqfunctions.udf.CIQ(A3063, "IQ_DILUT_EPS_EXCL",IQ_FY-7))</f>
        <v>-0.22897000000000001</v>
      </c>
      <c r="G3065" s="15">
        <f>IF(A3071=A3072,_xll.ciqfunctions.udf.CIQ(A3063,"IQ_EBITDA_MARGIN",IQ_FY-8), _xll.ciqfunctions.udf.CIQ(A3063, "IQ_EBITDA_MARGIN",IQ_FY-7))</f>
        <v>-3.6680000000000001</v>
      </c>
      <c r="H3065" s="15">
        <f>IF(A3071=A3072,_xll.ciqfunctions.udf.CIQ(A3063,"IQ_TOTAL_DIV_PAID_CF",IQ_FY-8)/-I3065, _xll.ciqfunctions.udf.CIQ(A3063, "IQ_TOTAL_DIV_PAID_CF",IQ_FY-7)/-I3065)</f>
        <v>0</v>
      </c>
      <c r="I3065" s="17">
        <f>IF(A3071=A3072,_xll.ciqfunctions.udf.CIQ(A3063,"IQ_TOTAL_OUTSTANDING_FILING_DATE",IQ_FY-8), _xll.ciqfunctions.udf.CIQ(A3063, "IQ_TOTAL_OUTSTANDING_FILING_DATE",IQ_FY-7))</f>
        <v>34.274720000000002</v>
      </c>
      <c r="J3065" s="17">
        <f>IF(A3071=A3072,_xll.ciqfunctions.udf.CIQ(A3063,"IQ_CASH_OPER",IQ_FY-8), _xll.ciqfunctions.udf.CIQ(A3063, "IQ_CASH_OPER",IQ_FY-7))</f>
        <v>-2.145</v>
      </c>
      <c r="K3065" s="17">
        <f>IF(A3071=A3072,_xll.ciqfunctions.udf.CIQ(A3063,"IQ_CAPEX",IQ_FY-8), _xll.ciqfunctions.udf.CIQ(A3063, "IQ_CAPEX",IQ_FY-7))</f>
        <v>-0.52400000000000002</v>
      </c>
      <c r="L3065" s="15">
        <f t="shared" si="816"/>
        <v>-7.7870803904452029E-2</v>
      </c>
      <c r="M3065" s="17">
        <f>IF(A3071=A3072,_xll.ciqfunctions.udf.CIQ(A3063,"IQ_TOTAL_DEBT_ISSUED",IQ_FY-8), _xll.ciqfunctions.udf.CIQ(A3063, "IQ_TOTAL_DEBT_ISSUED",IQ_FY-7))</f>
        <v>10</v>
      </c>
      <c r="N3065" s="17">
        <f>IF(A3071=A3072,_xll.ciqfunctions.udf.CIQ(A3063,"IQ_TOTAL_DEBT_REPAID",IQ_FY-8), _xll.ciqfunctions.udf.CIQ(A3063, "IQ_TOTAL_DEBT_REPAID",IQ_FY-7))</f>
        <v>0</v>
      </c>
      <c r="O3065" s="15">
        <f t="shared" si="817"/>
        <v>0.29176022444530542</v>
      </c>
      <c r="P3065" s="15">
        <f t="shared" si="818"/>
        <v>0.21388942054085339</v>
      </c>
      <c r="Q3065" s="25" t="s">
        <v>21</v>
      </c>
      <c r="R3065" s="38" t="s">
        <v>49</v>
      </c>
      <c r="S3065" s="2">
        <f>(R3062*I3073)/1000</f>
        <v>2.6138770294999998</v>
      </c>
      <c r="U3065" s="25" t="s">
        <v>59</v>
      </c>
      <c r="V3065" s="38" t="s">
        <v>49</v>
      </c>
      <c r="W3065" s="2">
        <f>(V3062*I3073)/1000</f>
        <v>2.6138770294999998</v>
      </c>
      <c r="Y3065" s="25" t="s">
        <v>46</v>
      </c>
      <c r="Z3065" s="38" t="s">
        <v>49</v>
      </c>
      <c r="AA3065" s="2">
        <f>(Z3062*I3073)/1000</f>
        <v>2.6138770294999998</v>
      </c>
    </row>
    <row r="3066" spans="1:27">
      <c r="A3066" s="18"/>
      <c r="B3066" s="13">
        <v>4</v>
      </c>
      <c r="C3066" s="14" t="s">
        <v>22</v>
      </c>
      <c r="D3066" s="15" cm="1">
        <f t="array" ref="D3066">_xlfn.SINGLE(IF(A3071=A3072,_xll.ciqfunctions.udf.CIQ(A3063,"IQ_TOTAL_REV",IQ_FY-7)/I3066, _xll.ciqfunctions.udf.CIQ(A3063, "IQ_TOTAL_REV",IQ_FY-6)/I3066))</f>
        <v>3.8781644313943335</v>
      </c>
      <c r="E3066" s="16">
        <f t="shared" si="819"/>
        <v>0.19530772274378627</v>
      </c>
      <c r="F3066" s="15">
        <f>IF(A3071=A3072,_xll.ciqfunctions.udf.CIQ(A3063,"IQ_DILUT_EPS_EXCL",IQ_FY-7), _xll.ciqfunctions.udf.CIQ(A3063, "IQ_DILUT_EPS_EXCL",IQ_FY-6))</f>
        <v>-0.38857000000000003</v>
      </c>
      <c r="G3066" s="15">
        <f>IF(A3071=A3072,_xll.ciqfunctions.udf.CIQ(A3063,"IQ_EBITDA_MARGIN",IQ_FY-7), _xll.ciqfunctions.udf.CIQ(A3063, "IQ_EBITDA_MARGIN",IQ_FY-6))</f>
        <v>-7.9790000000000001</v>
      </c>
      <c r="H3066" s="15">
        <f>IF(A3071=A3072,_xll.ciqfunctions.udf.CIQ(A3063,"IQ_TOTAL_DIV_PAID_CF",IQ_FY-7)/-I3066, _xll.ciqfunctions.udf.CIQ(A3063, "IQ_TOTAL_DIV_PAID_CF",IQ_FY-6)/-I3066)</f>
        <v>0</v>
      </c>
      <c r="I3066" s="17">
        <f>IF(A3071=A3072,_xll.ciqfunctions.udf.CIQ(A3063,"IQ_TOTAL_OUTSTANDING_FILING_DATE",IQ_FY-7), _xll.ciqfunctions.udf.CIQ(A3063, "IQ_TOTAL_OUTSTANDING_FILING_DATE",IQ_FY-6))</f>
        <v>34.274720000000002</v>
      </c>
      <c r="J3066" s="17">
        <f>IF(A3071=A3072,_xll.ciqfunctions.udf.CIQ(A3063,"IQ_CASH_OPER",IQ_FY-7), _xll.ciqfunctions.udf.CIQ(A3063, "IQ_CASH_OPER",IQ_FY-6))</f>
        <v>-7.7560000000000002</v>
      </c>
      <c r="K3066" s="17">
        <f>IF(A3071=A3072,_xll.ciqfunctions.udf.CIQ(A3063,"IQ_CAPEX",IQ_FY-7), _xll.ciqfunctions.udf.CIQ(A3063, "IQ_CAPEX",IQ_FY-6))</f>
        <v>-0.98399999999999999</v>
      </c>
      <c r="L3066" s="15">
        <f t="shared" si="816"/>
        <v>-0.25499843616519696</v>
      </c>
      <c r="M3066" s="17">
        <f>IF(A3071=A3072,_xll.ciqfunctions.udf.CIQ(A3063,"IQ_TOTAL_DEBT_ISSUED",IQ_FY-7), _xll.ciqfunctions.udf.CIQ(A3063, "IQ_TOTAL_DEBT_ISSUED",IQ_FY-6))</f>
        <v>20</v>
      </c>
      <c r="N3066" s="17">
        <f>IF(A3071=A3072,_xll.ciqfunctions.udf.CIQ(A3063,"IQ_TOTAL_DEBT_REPAID",IQ_FY-7), _xll.ciqfunctions.udf.CIQ(A3063, "IQ_TOTAL_DEBT_REPAID",IQ_FY-6))</f>
        <v>-10</v>
      </c>
      <c r="O3066" s="15">
        <f t="shared" si="817"/>
        <v>0.29176022444530542</v>
      </c>
      <c r="P3066" s="15">
        <f t="shared" si="818"/>
        <v>3.6761788280108454E-2</v>
      </c>
      <c r="Q3066" s="25" t="s">
        <v>23</v>
      </c>
      <c r="R3066" s="38" t="s">
        <v>24</v>
      </c>
      <c r="S3066" s="1" t="e">
        <f>R3062/(AVERAGE(H3068:H3073)*(1+H3074)/(0.5-H3074))</f>
        <v>#DIV/0!</v>
      </c>
      <c r="U3066" s="25" t="s">
        <v>40</v>
      </c>
      <c r="V3066" s="38" t="s">
        <v>24</v>
      </c>
      <c r="W3066" s="1" t="e">
        <f>V3062/(AVERAGE(H3068:H3073)*(1+H3074)/(0.5-H3074))</f>
        <v>#DIV/0!</v>
      </c>
      <c r="Y3066" s="25" t="s">
        <v>47</v>
      </c>
      <c r="Z3066" s="38" t="s">
        <v>24</v>
      </c>
      <c r="AA3066" s="1" t="e">
        <f>Z3062/(AVERAGE(H3068:H3073)*(1+H3074)/(0.5-H3074))</f>
        <v>#DIV/0!</v>
      </c>
    </row>
    <row r="3067" spans="1:27">
      <c r="B3067" s="13">
        <v>5</v>
      </c>
      <c r="C3067" s="14" t="s">
        <v>25</v>
      </c>
      <c r="D3067" s="15" cm="1">
        <f t="array" ref="D3067">_xlfn.SINGLE(IF(A3071=A3072,_xll.ciqfunctions.udf.CIQ(A3063,"IQ_TOTAL_REV",IQ_FY-6)/I3067, _xll.ciqfunctions.udf.CIQ(A3063, "IQ_TOTAL_REV",IQ_FY-5)/I3067))</f>
        <v>2.909663410731957</v>
      </c>
      <c r="E3067" s="16">
        <f t="shared" si="819"/>
        <v>-0.24973180941535456</v>
      </c>
      <c r="F3067" s="15">
        <f>IF(A3071=A3072,_xll.ciqfunctions.udf.CIQ(A3063,"IQ_DILUT_EPS_EXCL",IQ_FY-6), _xll.ciqfunctions.udf.CIQ(A3063, "IQ_DILUT_EPS_EXCL",IQ_FY-5))</f>
        <v>-0.63322999999999996</v>
      </c>
      <c r="G3067" s="15">
        <f>IF(A3071=A3072,_xll.ciqfunctions.udf.CIQ(A3063,"IQ_EBITDA_MARGIN",IQ_FY-6), _xll.ciqfunctions.udf.CIQ(A3063, "IQ_EBITDA_MARGIN",IQ_FY-5))</f>
        <v>-17.497699999999998</v>
      </c>
      <c r="H3067" s="15">
        <f>IF(A3071=A3072,_xll.ciqfunctions.udf.CIQ(A3063,"IQ_TOTAL_DIV_PAID_CF",IQ_FY-6)/-I3067, _xll.ciqfunctions.udf.CIQ(A3063, "IQ_TOTAL_DIV_PAID_CF",IQ_FY-5)/-I3067)</f>
        <v>0.12454440044918301</v>
      </c>
      <c r="I3067" s="17">
        <f>IF(A3071=A3072,_xll.ciqfunctions.udf.CIQ(A3063,"IQ_TOTAL_OUTSTANDING_FILING_DATE",IQ_FY-6), _xll.ciqfunctions.udf.CIQ(A3063, "IQ_TOTAL_OUTSTANDING_FILING_DATE",IQ_FY-5))</f>
        <v>60.741390000000003</v>
      </c>
      <c r="J3067" s="17">
        <f>IF(A3071=A3072,_xll.ciqfunctions.udf.CIQ(A3063,"IQ_CASH_OPER",IQ_FY-6), _xll.ciqfunctions.udf.CIQ(A3063, "IQ_CASH_OPER",IQ_FY-5))</f>
        <v>-9.1280000000000001</v>
      </c>
      <c r="K3067" s="17">
        <f>IF(A3071=A3072,_xll.ciqfunctions.udf.CIQ(A3063,"IQ_CAPEX",IQ_FY-6), _xll.ciqfunctions.udf.CIQ(A3063, "IQ_CAPEX",IQ_FY-5))</f>
        <v>-0.433</v>
      </c>
      <c r="L3067" s="15">
        <f t="shared" si="816"/>
        <v>-0.1574050248109238</v>
      </c>
      <c r="M3067" s="17">
        <f>IF(A3071=A3072,_xll.ciqfunctions.udf.CIQ(A3063,"IQ_TOTAL_DEBT_ISSUED",IQ_FY-6), _xll.ciqfunctions.udf.CIQ(A3063, "IQ_TOTAL_DEBT_ISSUED",IQ_FY-5))</f>
        <v>19.616</v>
      </c>
      <c r="N3067" s="17">
        <f>IF(A3071=A3072,_xll.ciqfunctions.udf.CIQ(A3063,"IQ_TOTAL_DEBT_REPAID",IQ_FY-6), _xll.ciqfunctions.udf.CIQ(A3063, "IQ_TOTAL_DEBT_REPAID",IQ_FY-5))</f>
        <v>-40</v>
      </c>
      <c r="O3067" s="15">
        <f t="shared" si="817"/>
        <v>-0.33558665680847932</v>
      </c>
      <c r="P3067" s="15">
        <f t="shared" si="818"/>
        <v>-0.4929916816194031</v>
      </c>
      <c r="Q3067" s="18"/>
      <c r="R3067" s="38" t="s">
        <v>50</v>
      </c>
      <c r="S3067" s="3">
        <f>I3074</f>
        <v>2.6488911263322867E-2</v>
      </c>
      <c r="U3067" s="18"/>
      <c r="V3067" s="38" t="s">
        <v>50</v>
      </c>
      <c r="W3067" s="3">
        <f>I3074</f>
        <v>2.6488911263322867E-2</v>
      </c>
      <c r="Y3067" s="18"/>
      <c r="Z3067" s="38" t="s">
        <v>50</v>
      </c>
      <c r="AA3067" s="3">
        <f>I3074</f>
        <v>2.6488911263322867E-2</v>
      </c>
    </row>
    <row r="3068" spans="1:27">
      <c r="B3068" s="13">
        <v>6</v>
      </c>
      <c r="C3068" s="14" t="s">
        <v>26</v>
      </c>
      <c r="D3068" s="15" cm="1">
        <f t="array" ref="D3068">_xlfn.SINGLE(IF(A3071=A3072,_xll.ciqfunctions.udf.CIQ(A3063,"IQ_TOTAL_REV",IQ_FY-5)/I3068, _xll.ciqfunctions.udf.CIQ(A3063, "IQ_TOTAL_REV",IQ_FY-4)/I3068))</f>
        <v>3.5288031595396649</v>
      </c>
      <c r="E3068" s="16">
        <f t="shared" si="819"/>
        <v>0.21278741263476819</v>
      </c>
      <c r="F3068" s="15">
        <f>IF(A3071=A3072,_xll.ciqfunctions.udf.CIQ(A3063,"IQ_DILUT_EPS_EXCL",IQ_FY-5), _xll.ciqfunctions.udf.CIQ(A3063, "IQ_DILUT_EPS_EXCL",IQ_FY-4))</f>
        <v>-0.79579</v>
      </c>
      <c r="G3068" s="15">
        <f>IF(A3071=A3072,_xll.ciqfunctions.udf.CIQ(A3063,"IQ_EBITDA_MARGIN",IQ_FY-5), _xll.ciqfunctions.udf.CIQ(A3063, "IQ_EBITDA_MARGIN",IQ_FY-4))</f>
        <v>-19.713000000000001</v>
      </c>
      <c r="H3068" s="15">
        <f>IF(A3071=A3072,_xll.ciqfunctions.udf.CIQ(A3063,"IQ_TOTAL_DIV_PAID_CF",IQ_FY-5)/-I3068, _xll.ciqfunctions.udf.CIQ(A3063, "IQ_TOTAL_DIV_PAID_CF",IQ_FY-4)/-I3068)</f>
        <v>0</v>
      </c>
      <c r="I3068" s="17">
        <f>IF(A3071=A3072,_xll.ciqfunctions.udf.CIQ(A3063,"IQ_TOTAL_OUTSTANDING_FILING_DATE",IQ_FY-5), _xll.ciqfunctions.udf.CIQ(A3063, "IQ_TOTAL_OUTSTANDING_FILING_DATE",IQ_FY-4))</f>
        <v>64.254930000000002</v>
      </c>
      <c r="J3068" s="17">
        <f>IF(A3071=A3072,_xll.ciqfunctions.udf.CIQ(A3063,"IQ_CASH_OPER",IQ_FY-5), _xll.ciqfunctions.udf.CIQ(A3063, "IQ_CASH_OPER",IQ_FY-4))</f>
        <v>-31.321000000000002</v>
      </c>
      <c r="K3068" s="17">
        <f>IF(A3071=A3072,_xll.ciqfunctions.udf.CIQ(A3063,"IQ_CAPEX",IQ_FY-5), _xll.ciqfunctions.udf.CIQ(A3063, "IQ_CAPEX",IQ_FY-4))</f>
        <v>-7.0140000000000002</v>
      </c>
      <c r="L3068" s="15">
        <f t="shared" si="816"/>
        <v>-0.59660791786715817</v>
      </c>
      <c r="M3068" s="17">
        <f>IF(A3071=A3072,_xll.ciqfunctions.udf.CIQ(A3063,"IQ_TOTAL_DEBT_ISSUED",IQ_FY-5), _xll.ciqfunctions.udf.CIQ(A3063, "IQ_TOTAL_DEBT_ISSUED",IQ_FY-4))</f>
        <v>0</v>
      </c>
      <c r="N3068" s="17">
        <f>IF(A3071=A3072,_xll.ciqfunctions.udf.CIQ(A3063,"IQ_TOTAL_DEBT_REPAID",IQ_FY-5), _xll.ciqfunctions.udf.CIQ(A3063, "IQ_TOTAL_DEBT_REPAID",IQ_FY-4))</f>
        <v>0</v>
      </c>
      <c r="O3068" s="15">
        <f t="shared" si="817"/>
        <v>0</v>
      </c>
      <c r="P3068" s="15">
        <f t="shared" si="818"/>
        <v>-0.59660791786715817</v>
      </c>
      <c r="Q3068" s="25" t="s">
        <v>27</v>
      </c>
      <c r="R3068" s="38" t="s">
        <v>51</v>
      </c>
      <c r="S3068" s="4">
        <f>AVERAGE(F3068:F3073)/AVERAGE(D3068:D3073)</f>
        <v>-0.23832412797907473</v>
      </c>
      <c r="U3068" s="25" t="s">
        <v>58</v>
      </c>
      <c r="V3068" s="38" t="s">
        <v>51</v>
      </c>
      <c r="W3068" s="4">
        <f>AVERAGE(F3068:F3073)/AVERAGE(D3068:D3073)</f>
        <v>-0.23832412797907473</v>
      </c>
      <c r="Y3068" s="25" t="s">
        <v>56</v>
      </c>
      <c r="Z3068" s="38" t="s">
        <v>51</v>
      </c>
      <c r="AA3068" s="4">
        <f>AVERAGE(F3068:F3073)/AVERAGE(D3068:D3073)</f>
        <v>-0.23832412797907473</v>
      </c>
    </row>
    <row r="3069" spans="1:27">
      <c r="A3069" s="18"/>
      <c r="B3069" s="13">
        <v>7</v>
      </c>
      <c r="C3069" s="14" t="s">
        <v>28</v>
      </c>
      <c r="D3069" s="15" cm="1">
        <f t="array" ref="D3069">_xlfn.SINGLE(IF(A3071=A3072,_xll.ciqfunctions.udf.CIQ(A3063,"IQ_TOTAL_REV",IQ_FY-4)/I3069, _xll.ciqfunctions.udf.CIQ(A3063, "IQ_TOTAL_REV",IQ_FY-3)/I3069))</f>
        <v>3.8579131213826319</v>
      </c>
      <c r="E3069" s="16">
        <f t="shared" si="819"/>
        <v>9.3263904775549897E-2</v>
      </c>
      <c r="F3069" s="15">
        <f>IF(A3071=A3072,_xll.ciqfunctions.udf.CIQ(A3063,"IQ_DILUT_EPS_EXCL",IQ_FY-4), _xll.ciqfunctions.udf.CIQ(A3063, "IQ_DILUT_EPS_EXCL",IQ_FY-3))</f>
        <v>-0.77449999999999997</v>
      </c>
      <c r="G3069" s="15">
        <f>IF(A3071=A3072,_xll.ciqfunctions.udf.CIQ(A3063,"IQ_EBITDA_MARGIN",IQ_FY-4), _xll.ciqfunctions.udf.CIQ(A3063, "IQ_EBITDA_MARGIN",IQ_FY-3))</f>
        <v>-17.563099999999999</v>
      </c>
      <c r="H3069" s="15">
        <f>IF(A3071=A3072,_xll.ciqfunctions.udf.CIQ(A3063,"IQ_TOTAL_DIV_PAID_CF",IQ_FY-4)/-I3069, _xll.ciqfunctions.udf.CIQ(A3063, "IQ_TOTAL_DIV_PAID_CF",IQ_FY-3)/-I3069)</f>
        <v>0</v>
      </c>
      <c r="I3069" s="17">
        <f>IF(A3071=A3072,_xll.ciqfunctions.udf.CIQ(A3063,"IQ_TOTAL_OUTSTANDING_FILING_DATE",IQ_FY-4), _xll.ciqfunctions.udf.CIQ(A3063, "IQ_TOTAL_OUTSTANDING_FILING_DATE",IQ_FY-3))</f>
        <v>67.485190000000003</v>
      </c>
      <c r="J3069" s="17">
        <f>IF(A3071=A3072,_xll.ciqfunctions.udf.CIQ(A3063,"IQ_CASH_OPER",IQ_FY-4), _xll.ciqfunctions.udf.CIQ(A3063, "IQ_CASH_OPER",IQ_FY-3))</f>
        <v>-8.9260000000000002</v>
      </c>
      <c r="K3069" s="17">
        <f>IF(A3071=A3072,_xll.ciqfunctions.udf.CIQ(A3063,"IQ_CAPEX",IQ_FY-4), _xll.ciqfunctions.udf.CIQ(A3063, "IQ_CAPEX",IQ_FY-3))</f>
        <v>-32.420999999999999</v>
      </c>
      <c r="L3069" s="15">
        <f t="shared" si="816"/>
        <v>-0.61268257524354597</v>
      </c>
      <c r="M3069" s="17">
        <f>IF(A3071=A3072,_xll.ciqfunctions.udf.CIQ(A3063,"IQ_TOTAL_DEBT_ISSUED",IQ_FY-4), _xll.ciqfunctions.udf.CIQ(A3063, "IQ_TOTAL_DEBT_ISSUED",IQ_FY-3))</f>
        <v>0</v>
      </c>
      <c r="N3069" s="17">
        <f>IF(A3071=A3072,_xll.ciqfunctions.udf.CIQ(A3063,"IQ_TOTAL_DEBT_REPAID",IQ_FY-4), _xll.ciqfunctions.udf.CIQ(A3063, "IQ_TOTAL_DEBT_REPAID",IQ_FY-3))</f>
        <v>-0.65300000000000002</v>
      </c>
      <c r="O3069" s="15">
        <f t="shared" si="817"/>
        <v>-9.6761971033940929E-3</v>
      </c>
      <c r="P3069" s="15">
        <f t="shared" si="818"/>
        <v>-0.62235877234694004</v>
      </c>
      <c r="Q3069" s="18"/>
      <c r="R3069" s="38" t="s">
        <v>29</v>
      </c>
      <c r="S3069" s="4">
        <f>(AVERAGE(P3068:P3073)/_xlfn.STDEV.P(P3068:P3073))/(IF(A3071=A3072,(_xlfn.SINGLE(_xll.ciqfunctions.udf.CIQ(A3063,"IQ_total_assets",IQ_FY)) - _xlfn.SINGLE(_xll.ciqfunctions.udf.CIQ(A3063,"iq_gw_intan", IQ_FY)))/I3073, (_xlfn.SINGLE(_xll.ciqfunctions.udf.CIQ(A3063, "IQ_total_assets",IQ_LTM))-_xlfn.SINGLE(_xll.ciqfunctions.udf.CIQ(A3063,"iq_gw_intan",IQ_LTM)))/I3073))</f>
        <v>-3.4723000329561174E-2</v>
      </c>
      <c r="U3069" s="18"/>
      <c r="V3069" s="38" t="s">
        <v>29</v>
      </c>
      <c r="W3069" s="4">
        <f>(AVERAGE(P3068:P3073)/_xlfn.STDEV.P(P3068:P3073))/(IF(A3071=A3072,(_xlfn.SINGLE(_xll.ciqfunctions.udf.CIQ(A3063,"IQ_total_assets",IQ_FY)) - _xlfn.SINGLE(_xll.ciqfunctions.udf.CIQ(A3063,"iq_gw_intan", IQ_FY)))/I3073, (_xlfn.SINGLE(_xll.ciqfunctions.udf.CIQ(A3063, "IQ_total_assets",IQ_LTM))-_xlfn.SINGLE(_xll.ciqfunctions.udf.CIQ(A3063,"iq_gw_intan",IQ_LTM)))/I3073))</f>
        <v>-3.4723000329561174E-2</v>
      </c>
      <c r="Y3069" s="18"/>
      <c r="Z3069" s="38" t="s">
        <v>29</v>
      </c>
      <c r="AA3069" s="4">
        <f>(AVERAGE(P3068:P3073)/_xlfn.STDEV.P(P3068:P3073))/(IF(A3071=A3072,(_xlfn.SINGLE(_xll.ciqfunctions.udf.CIQ(A3063,"IQ_total_assets",IQ_FY)) - _xlfn.SINGLE(_xll.ciqfunctions.udf.CIQ(A3063,"iq_gw_intan", IQ_FY)))/I3073, (_xlfn.SINGLE(_xll.ciqfunctions.udf.CIQ(A3063, "IQ_total_assets",IQ_LTM))-_xlfn.SINGLE(_xll.ciqfunctions.udf.CIQ(A3063,"iq_gw_intan",IQ_LTM)))/I3073))</f>
        <v>-3.4723000329561174E-2</v>
      </c>
    </row>
    <row r="3070" spans="1:27">
      <c r="A3070" s="18"/>
      <c r="B3070" s="13">
        <v>8</v>
      </c>
      <c r="C3070" s="14" t="s">
        <v>30</v>
      </c>
      <c r="D3070" s="15" cm="1">
        <f t="array" ref="D3070">_xlfn.SINGLE(IF(A3071=A3072,_xll.ciqfunctions.udf.CIQ(A3063,"IQ_TOTAL_REV",IQ_FY-3)/I3070, _xll.ciqfunctions.udf.CIQ(A3063, "IQ_TOTAL_REV",IQ_FY-2)/I3070))</f>
        <v>4.308203314300683</v>
      </c>
      <c r="E3070" s="16">
        <f t="shared" si="819"/>
        <v>0.11671859338208018</v>
      </c>
      <c r="F3070" s="15">
        <f>IF(A3071=A3072,_xll.ciqfunctions.udf.CIQ(A3063,"IQ_DILUT_EPS_EXCL",IQ_FY-3), _xll.ciqfunctions.udf.CIQ(A3063, "IQ_DILUT_EPS_EXCL",IQ_FY-2))</f>
        <v>-0.48481999999999997</v>
      </c>
      <c r="G3070" s="15">
        <f>IF(A3071=A3072,_xll.ciqfunctions.udf.CIQ(A3063,"IQ_EBITDA_MARGIN",IQ_FY-3), _xll.ciqfunctions.udf.CIQ(A3063, "IQ_EBITDA_MARGIN",IQ_FY-2))</f>
        <v>-10.523199999999999</v>
      </c>
      <c r="H3070" s="15">
        <f>IF(A3071=A3072,_xll.ciqfunctions.udf.CIQ(A3063,"IQ_TOTAL_DIV_PAID_CF",IQ_FY-3)/-I3070, _xll.ciqfunctions.udf.CIQ(A3063, "IQ_TOTAL_DIV_PAID_CF",IQ_FY-2)/-I3070)</f>
        <v>0</v>
      </c>
      <c r="I3070" s="17">
        <f>IF(A3071=A3072,_xll.ciqfunctions.udf.CIQ(A3063,"IQ_TOTAL_OUTSTANDING_FILING_DATE",IQ_FY-3), _xll.ciqfunctions.udf.CIQ(A3063, "IQ_TOTAL_OUTSTANDING_FILING_DATE",IQ_FY-2))</f>
        <v>70.696060000000003</v>
      </c>
      <c r="J3070" s="17">
        <f>IF(A3071=A3072,_xll.ciqfunctions.udf.CIQ(A3063,"IQ_CASH_OPER",IQ_FY-3), _xll.ciqfunctions.udf.CIQ(A3063, "IQ_CASH_OPER",IQ_FY-2))</f>
        <v>-7.62</v>
      </c>
      <c r="K3070" s="17">
        <f>IF(A3071=A3072,_xll.ciqfunctions.udf.CIQ(A3063,"IQ_CAPEX",IQ_FY-3), _xll.ciqfunctions.udf.CIQ(A3063, "IQ_CAPEX",IQ_FY-2))</f>
        <v>-1.2509999999999999</v>
      </c>
      <c r="L3070" s="15">
        <f t="shared" si="816"/>
        <v>-0.12548082594701884</v>
      </c>
      <c r="M3070" s="17">
        <f>IF(A3071=A3072,_xll.ciqfunctions.udf.CIQ(A3063,"IQ_TOTAL_DEBT_ISSUED",IQ_FY-3), _xll.ciqfunctions.udf.CIQ(A3063, "IQ_TOTAL_DEBT_ISSUED",IQ_FY-2))</f>
        <v>0</v>
      </c>
      <c r="N3070" s="17">
        <f>IF(A3071=A3072,_xll.ciqfunctions.udf.CIQ(A3063,"IQ_TOTAL_DEBT_REPAID",IQ_FY-3), _xll.ciqfunctions.udf.CIQ(A3063, "IQ_TOTAL_DEBT_REPAID",IQ_FY-2))</f>
        <v>-3.8220000000000001</v>
      </c>
      <c r="O3070" s="15">
        <f t="shared" si="817"/>
        <v>-5.4062418754312475E-2</v>
      </c>
      <c r="P3070" s="15">
        <f t="shared" si="818"/>
        <v>-0.17954324470133132</v>
      </c>
      <c r="Q3070" s="18"/>
      <c r="R3070" s="39" t="s">
        <v>31</v>
      </c>
      <c r="S3070" s="5" t="e">
        <f>IF(NOT(D3063&gt;0),FALSE,SLOPE(G3063:G3073,B3063:B3073))</f>
        <v>#DIV/0!</v>
      </c>
      <c r="U3070" s="18"/>
      <c r="V3070" s="39" t="s">
        <v>31</v>
      </c>
      <c r="W3070" s="5" t="e">
        <f>IF(NOT(D3063&gt;0),FALSE,SLOPE(G3063:G3073,B3063:B3073))</f>
        <v>#DIV/0!</v>
      </c>
      <c r="Y3070" s="18"/>
      <c r="Z3070" s="39" t="s">
        <v>31</v>
      </c>
      <c r="AA3070" s="5" t="e">
        <f>IF(NOT(L3063&gt;0),FALSE,SLOPE(O3063:O3073,J3063:J3073))</f>
        <v>#DIV/0!</v>
      </c>
    </row>
    <row r="3071" spans="1:27">
      <c r="A3071" s="19">
        <f>_xll.ciqfunctions.udf.CIQ(A3063,"IQ_TOTAL_REV",IQ_FY)</f>
        <v>467.99099999999999</v>
      </c>
      <c r="B3071" s="13">
        <v>9</v>
      </c>
      <c r="C3071" s="14" t="s">
        <v>32</v>
      </c>
      <c r="D3071" s="15" cm="1">
        <f t="array" ref="D3071">_xlfn.SINGLE(IF(A3071=A3072,_xll.ciqfunctions.udf.CIQ(A3063,"IQ_TOTAL_REV",IQ_FY-2)/I3071, _xll.ciqfunctions.udf.CIQ(A3063, "IQ_TOTAL_REV",IQ_FY-1)/I3071))</f>
        <v>5.1120257387856585</v>
      </c>
      <c r="E3071" s="16">
        <f t="shared" si="819"/>
        <v>0.18657950097590825</v>
      </c>
      <c r="F3071" s="15">
        <f>IF(A3071=A3072,_xll.ciqfunctions.udf.CIQ(A3063,"IQ_DILUT_EPS_EXCL",IQ_FY-2), _xll.ciqfunctions.udf.CIQ(A3063, "IQ_DILUT_EPS_EXCL",IQ_FY-1))</f>
        <v>-1.2478199999999999</v>
      </c>
      <c r="G3071" s="15">
        <f>IF(A3071=A3072,_xll.ciqfunctions.udf.CIQ(A3063,"IQ_EBITDA_MARGIN",IQ_FY-2), _xll.ciqfunctions.udf.CIQ(A3063, "IQ_EBITDA_MARGIN",IQ_FY-1))</f>
        <v>-21.1677</v>
      </c>
      <c r="H3071" s="15">
        <f>IF(A3071=A3072,_xll.ciqfunctions.udf.CIQ(A3063,"IQ_TOTAL_DIV_PAID_CF",IQ_FY-2)/-I3071, _xll.ciqfunctions.udf.CIQ(A3063, "IQ_TOTAL_DIV_PAID_CF",IQ_FY-1)/-I3071)</f>
        <v>0</v>
      </c>
      <c r="I3071" s="17">
        <f>IF(A3071=A3072,_xll.ciqfunctions.udf.CIQ(A3063,"IQ_TOTAL_OUTSTANDING_FILING_DATE",IQ_FY-2), _xll.ciqfunctions.udf.CIQ(A3063, "IQ_TOTAL_OUTSTANDING_FILING_DATE",IQ_FY-1))</f>
        <v>72.233400000000003</v>
      </c>
      <c r="J3071" s="17">
        <f>IF(A3071=A3072,_xll.ciqfunctions.udf.CIQ(A3063,"IQ_CASH_OPER",IQ_FY-2), _xll.ciqfunctions.udf.CIQ(A3063, "IQ_CASH_OPER",IQ_FY-1))</f>
        <v>-53.917999999999999</v>
      </c>
      <c r="K3071" s="17">
        <f>IF(A3071=A3072,_xll.ciqfunctions.udf.CIQ(A3063,"IQ_CAPEX",IQ_FY-2), _xll.ciqfunctions.udf.CIQ(A3063, "IQ_CAPEX",IQ_FY-1))</f>
        <v>-6.0579999999999998</v>
      </c>
      <c r="L3071" s="15">
        <f t="shared" si="816"/>
        <v>-0.83030841688194101</v>
      </c>
      <c r="M3071" s="17">
        <f>IF(A3071=A3072,_xll.ciqfunctions.udf.CIQ(A3063,"IQ_TOTAL_DEBT_ISSUED",IQ_FY-2), _xll.ciqfunctions.udf.CIQ(A3063, "IQ_TOTAL_DEBT_ISSUED",IQ_FY-1))</f>
        <v>0</v>
      </c>
      <c r="N3071" s="17">
        <f>IF(A3071=A3072,_xll.ciqfunctions.udf.CIQ(A3063,"IQ_TOTAL_DEBT_REPAID",IQ_FY-2), _xll.ciqfunctions.udf.CIQ(A3063, "IQ_TOTAL_DEBT_REPAID",IQ_FY-1))</f>
        <v>0</v>
      </c>
      <c r="O3071" s="15">
        <f t="shared" si="817"/>
        <v>0</v>
      </c>
      <c r="P3071" s="15">
        <f t="shared" si="818"/>
        <v>-0.83030841688194101</v>
      </c>
      <c r="Q3071" s="25" t="s">
        <v>33</v>
      </c>
      <c r="R3071" s="38" t="s">
        <v>52</v>
      </c>
      <c r="S3071" s="4">
        <f>(AVERAGE(O3068:O3073)/AVERAGE(P3068:P3073))</f>
        <v>-4.2082099952899759</v>
      </c>
      <c r="U3071" s="25" t="s">
        <v>54</v>
      </c>
      <c r="V3071" s="38" t="s">
        <v>52</v>
      </c>
      <c r="W3071" s="4">
        <f>(AVERAGE(O3068:O3073)/AVERAGE(P3068:P3073))</f>
        <v>-4.2082099952899759</v>
      </c>
      <c r="Y3071" s="25" t="s">
        <v>60</v>
      </c>
      <c r="Z3071" s="38" t="s">
        <v>52</v>
      </c>
      <c r="AA3071" s="4">
        <f>(AVERAGE(O3068:O3073)/AVERAGE(P3068:P3073))</f>
        <v>-4.2082099952899759</v>
      </c>
    </row>
    <row r="3072" spans="1:27">
      <c r="A3072" s="19">
        <f>_xll.ciqfunctions.udf.CIQ(A3063,"IQ_TOTAL_REV",IQ_LTM)</f>
        <v>525.83000000000004</v>
      </c>
      <c r="B3072" s="13">
        <v>10</v>
      </c>
      <c r="C3072" s="14" t="s">
        <v>34</v>
      </c>
      <c r="D3072" s="15" cm="1">
        <f t="array" ref="D3072">_xlfn.SINGLE(IF(A3071=A3072,_xll.ciqfunctions.udf.CIQ(A3063,"IQ_TOTAL_REV",IQ_FY-1)/I3072, _xll.ciqfunctions.udf.CIQ(A3063, "IQ_TOTAL_REV",IQ_FY)/I3072))</f>
        <v>6.4252501811255192</v>
      </c>
      <c r="E3072" s="16">
        <f t="shared" si="819"/>
        <v>0.25688924693321519</v>
      </c>
      <c r="F3072" s="15">
        <f>IF(A3071=A3072,_xll.ciqfunctions.udf.CIQ(A3063,"IQ_DILUT_EPS_EXCL",IQ_FY-1), _xll.ciqfunctions.udf.CIQ(A3063, "IQ_DILUT_EPS_EXCL",IQ_FY))</f>
        <v>-2.0829399999999998</v>
      </c>
      <c r="G3072" s="15">
        <f>IF(A3071=A3072,_xll.ciqfunctions.udf.CIQ(A3063,"IQ_EBITDA_MARGIN",IQ_FY-1), _xll.ciqfunctions.udf.CIQ(A3063, "IQ_EBITDA_MARGIN",IQ_FY))</f>
        <v>-29.426400000000001</v>
      </c>
      <c r="H3072" s="15">
        <f>IF(A3071=A3072,_xll.ciqfunctions.udf.CIQ(A3063,"IQ_TOTAL_DIV_PAID_CF",IQ_FY-1)/-I3072, _xll.ciqfunctions.udf.CIQ(A3063, "IQ_TOTAL_DIV_PAID_CF",IQ_FY)/-I3072)</f>
        <v>0</v>
      </c>
      <c r="I3072" s="17">
        <f>IF(A3071=A3072,_xll.ciqfunctions.udf.CIQ(A3063,"IQ_TOTAL_OUTSTANDING_FILING_DATE",IQ_FY-1), _xll.ciqfunctions.udf.CIQ(A3063, "IQ_TOTAL_OUTSTANDING_FILING_DATE",IQ_FY))</f>
        <v>72.83623</v>
      </c>
      <c r="J3072" s="17">
        <f>IF(A3071=A3072,_xll.ciqfunctions.udf.CIQ(A3063,"IQ_CASH_OPER",IQ_FY-1), _xll.ciqfunctions.udf.CIQ(A3063, "IQ_CASH_OPER",IQ_FY))</f>
        <v>-106.551</v>
      </c>
      <c r="K3072" s="17">
        <f>IF(A3071=A3072,_xll.ciqfunctions.udf.CIQ(A3063,"IQ_CAPEX",IQ_FY-1), _xll.ciqfunctions.udf.CIQ(A3063, "IQ_CAPEX",IQ_FY))</f>
        <v>-9.0950000000000006</v>
      </c>
      <c r="L3072" s="15">
        <f t="shared" si="816"/>
        <v>-1.5877537868173572</v>
      </c>
      <c r="M3072" s="17">
        <f>IF(A3071=A3072,_xll.ciqfunctions.udf.CIQ(A3063,"IQ_TOTAL_DEBT_ISSUED",IQ_FY-1), _xll.ciqfunctions.udf.CIQ(A3063, "IQ_TOTAL_DEBT_ISSUED",IQ_FY))</f>
        <v>120</v>
      </c>
      <c r="N3072" s="17">
        <f>IF(A3071=A3072,_xll.ciqfunctions.udf.CIQ(A3063,"IQ_TOTAL_DEBT_REPAID",IQ_FY-1), _xll.ciqfunctions.udf.CIQ(A3063, "IQ_TOTAL_DEBT_REPAID",IQ_FY))</f>
        <v>-0.625</v>
      </c>
      <c r="O3072" s="15">
        <f t="shared" si="817"/>
        <v>1.6389508353191811</v>
      </c>
      <c r="P3072" s="15">
        <f t="shared" si="818"/>
        <v>5.1197048501823827E-2</v>
      </c>
      <c r="Q3072" s="25" t="s">
        <v>44</v>
      </c>
      <c r="R3072" s="38" t="s">
        <v>35</v>
      </c>
      <c r="S3072" s="1" t="str">
        <f>_xll.ciqfunctions.udf.CIQ(A3063,"IQ_TEV_EBITDA")</f>
        <v>NM</v>
      </c>
      <c r="U3072" s="25" t="s">
        <v>55</v>
      </c>
      <c r="V3072" s="38" t="s">
        <v>53</v>
      </c>
      <c r="W3072" s="1">
        <f>V3062/(AVERAGE(D3068:D3073)/_xlfn.STDEV.P(E3068:E3073))</f>
        <v>0.41574744610249736</v>
      </c>
      <c r="Y3072" s="25" t="s">
        <v>57</v>
      </c>
      <c r="Z3072" s="38" t="s">
        <v>53</v>
      </c>
      <c r="AA3072" s="1">
        <f>Z3062/(AVERAGE(D3068:D3073)/_xlfn.STDEV.P(E3068:E3073))</f>
        <v>0.41574744610249736</v>
      </c>
    </row>
    <row r="3073" spans="1:27">
      <c r="B3073" s="13">
        <v>11</v>
      </c>
      <c r="C3073" s="20" t="s">
        <v>36</v>
      </c>
      <c r="D3073" s="21" cm="1">
        <f t="array" ref="D3073">_xlfn.SINGLE(IF(A3071=A3072,_xll.ciqfunctions.udf.CIQ(A3063,"IQ_TOTAL_REV",IQ_FY)/I3073, _xll.ciqfunctions.udf.CIQ(A3063, "IQ_TOTAL_REV",IQ_LTM)/I3073))</f>
        <v>7.1807134146591274</v>
      </c>
      <c r="E3073" s="22">
        <f t="shared" si="819"/>
        <v>0.11757724792613021</v>
      </c>
      <c r="F3073" s="21">
        <f>IF(A3071=A3072,_xll.ciqfunctions.udf.CIQ(A3063,"IQ_DILUT_EPS_EXCL",IQ_FY), _xll.ciqfunctions.udf.CIQ(A3063, "IQ_DILUT_EPS_EXCL",IQ_LTM))</f>
        <v>-1.86226</v>
      </c>
      <c r="G3073" s="21">
        <f>IF(A3071=A3072,_xll.ciqfunctions.udf.CIQ(A3063,"IQ_EBITDA_MARGIN",IQ_FY), _xll.ciqfunctions.udf.CIQ(A3063, "IQ_EBITDA_MARGIN",IQ_LTM))</f>
        <v>-23.344799999999999</v>
      </c>
      <c r="H3073" s="21">
        <f>IF(A3071=A3072,_xll.ciqfunctions.udf.CIQ(A3063,"IQ_TOTAL_DIV_PAID_CF",IQ_FY)/-I3073, _xll.ciqfunctions.udf.CIQ(A3063, "IQ_TOTAL_DIV_PAID_CF",IQ_LTM)/-I3073)</f>
        <v>0</v>
      </c>
      <c r="I3073" s="23">
        <f>IF(A3071=A3072,_xll.ciqfunctions.udf.CIQ(A3063,"IQ_TOTAL_OUTSTANDING_FILING_DATE",IQ_FY),_xll.ciqfunctions.udf.CIQ(A3063,"IQ_sharesoutstanding"))</f>
        <v>73.228099999999998</v>
      </c>
      <c r="J3073" s="23">
        <f>IF(A3071=A3072,_xll.ciqfunctions.udf.CIQ(A3063,"IQ_CASH_OPER",IQ_FY), _xll.ciqfunctions.udf.CIQ(A3063, "IQ_CASH_OPER",IQ_LTM))</f>
        <v>-114.791</v>
      </c>
      <c r="K3073" s="23">
        <f>IF(A3071=A3072,_xll.ciqfunctions.udf.CIQ(A3063,"IQ_CAPEX",IQ_FY), _xll.ciqfunctions.udf.CIQ(A3063, "IQ_CAPEX",IQ_LTM))</f>
        <v>-11.512</v>
      </c>
      <c r="L3073" s="21">
        <f t="shared" si="816"/>
        <v>-1.7247887081598459</v>
      </c>
      <c r="M3073" s="23">
        <f>IF(A3071=A3072,_xll.ciqfunctions.udf.CIQ(A3063,"IQ_TOTAL_DEBT_ISSUED",IQ_FY), _xll.ciqfunctions.udf.CIQ(A3063, "IQ_TOTAL_DEBT_ISSUED",IQ_LTM))</f>
        <v>212</v>
      </c>
      <c r="N3073" s="23">
        <f>IF(A3071=A3072,_xll.ciqfunctions.udf.CIQ(A3063,"IQ_TOTAL_DEBT_REPAID",IQ_FY), _xll.ciqfunctions.udf.CIQ(A3063, "IQ_TOTAL_DEBT_REPAID",IQ_LTM))</f>
        <v>-3.25</v>
      </c>
      <c r="O3073" s="21">
        <f t="shared" si="817"/>
        <v>2.8506816372403492</v>
      </c>
      <c r="P3073" s="21">
        <f t="shared" si="818"/>
        <v>1.1258929290805033</v>
      </c>
      <c r="Q3073" s="25" t="s">
        <v>45</v>
      </c>
      <c r="S3073" s="45"/>
      <c r="U3073" s="25"/>
      <c r="W3073" s="45"/>
      <c r="Y3073" s="25"/>
      <c r="AA3073" s="45"/>
    </row>
    <row r="3074" spans="1:27">
      <c r="B3074" s="24"/>
      <c r="C3074" s="25" t="s">
        <v>37</v>
      </c>
      <c r="E3074" s="26">
        <f>((D3073/D3068)^(1/5))-1</f>
        <v>0.15267807382735676</v>
      </c>
      <c r="F3074" s="27">
        <f>((F3073/F3068)^(1/5))-1</f>
        <v>0.18535481319746561</v>
      </c>
      <c r="G3074" s="28"/>
      <c r="H3074" s="27" t="e">
        <f>((H3073/H3068)^(1/5))-1</f>
        <v>#DIV/0!</v>
      </c>
      <c r="I3074" s="27">
        <f>((I3073/I3068)^(1/5))-1</f>
        <v>2.6488911263322867E-2</v>
      </c>
      <c r="J3074" s="27"/>
      <c r="K3074" s="27"/>
      <c r="L3074" s="26">
        <f>((L3073/L3068)^(1/5))-1</f>
        <v>0.23654343910677045</v>
      </c>
      <c r="M3074" s="26"/>
      <c r="N3074" s="26"/>
      <c r="O3074" s="26"/>
      <c r="P3074" s="26">
        <f>((P3073/P3068)^(1/5))-1</f>
        <v>-2.1354332704631722</v>
      </c>
      <c r="Q3074" s="18"/>
      <c r="R3074" s="36"/>
      <c r="S3074" s="45"/>
      <c r="U3074" s="18"/>
      <c r="V3074" s="36"/>
      <c r="W3074" s="45"/>
      <c r="Y3074" s="18"/>
      <c r="Z3074" s="36"/>
      <c r="AA3074" s="45"/>
    </row>
    <row r="3075" spans="1:27">
      <c r="A3075" s="29"/>
      <c r="B3075" s="30"/>
      <c r="C3075" s="31" t="s">
        <v>38</v>
      </c>
      <c r="D3075" s="29"/>
      <c r="E3075" s="32" t="e">
        <f>((D3073/D3063)^(1/10))-1</f>
        <v>#DIV/0!</v>
      </c>
      <c r="F3075" s="33" t="e">
        <f>((F3073/F3063)^(1/10))-1</f>
        <v>#DIV/0!</v>
      </c>
      <c r="G3075" s="34"/>
      <c r="H3075" s="33" t="e">
        <f>((H3073/H3063)^(1/10))-1</f>
        <v>#DIV/0!</v>
      </c>
      <c r="I3075" s="33" t="e">
        <f>((I3073/I3063)^(1/10))-1</f>
        <v>#DIV/0!</v>
      </c>
      <c r="J3075" s="33"/>
      <c r="K3075" s="33"/>
      <c r="L3075" s="32" t="e">
        <f>((L3073/L3063)^(1/10))-1</f>
        <v>#DIV/0!</v>
      </c>
      <c r="M3075" s="32"/>
      <c r="N3075" s="32"/>
      <c r="O3075" s="32"/>
      <c r="P3075" s="32" t="e">
        <f>((P3073/P3063)^(1/10))-1</f>
        <v>#DIV/0!</v>
      </c>
      <c r="Q3075" s="40"/>
      <c r="R3075" s="41"/>
      <c r="S3075" s="46"/>
      <c r="U3075" s="40"/>
      <c r="V3075" s="41"/>
      <c r="W3075" s="46"/>
      <c r="Y3075" s="40"/>
      <c r="Z3075" s="41"/>
      <c r="AA3075" s="46"/>
    </row>
    <row r="3076" spans="1:27">
      <c r="B3076" s="24"/>
      <c r="C3076" s="25"/>
      <c r="E3076" s="26"/>
      <c r="F3076" s="27"/>
      <c r="G3076" s="28"/>
      <c r="H3076" s="27"/>
      <c r="I3076" s="27"/>
      <c r="J3076" s="27"/>
      <c r="K3076" s="27"/>
      <c r="L3076" s="26"/>
      <c r="M3076" s="17"/>
      <c r="N3076" s="17"/>
      <c r="O3076" s="17"/>
      <c r="P3076" s="35"/>
      <c r="Q3076" s="18"/>
      <c r="R3076" s="36"/>
    </row>
    <row r="3077" spans="1:27">
      <c r="A3077" s="9" t="s">
        <v>0</v>
      </c>
      <c r="B3077" s="10"/>
      <c r="C3077" s="9" t="s">
        <v>1</v>
      </c>
      <c r="D3077" s="9" t="s">
        <v>2</v>
      </c>
      <c r="E3077" s="9" t="s">
        <v>3</v>
      </c>
      <c r="F3077" s="11" t="s">
        <v>4</v>
      </c>
      <c r="G3077" s="11" t="s">
        <v>5</v>
      </c>
      <c r="H3077" s="9" t="s">
        <v>6</v>
      </c>
      <c r="I3077" s="11" t="s">
        <v>7</v>
      </c>
      <c r="J3077" s="11" t="s">
        <v>8</v>
      </c>
      <c r="K3077" s="11" t="s">
        <v>9</v>
      </c>
      <c r="L3077" s="11" t="s">
        <v>10</v>
      </c>
      <c r="M3077" s="11" t="s">
        <v>11</v>
      </c>
      <c r="N3077" s="11" t="s">
        <v>12</v>
      </c>
      <c r="O3077" s="11" t="s">
        <v>13</v>
      </c>
      <c r="P3077" s="11" t="s">
        <v>14</v>
      </c>
      <c r="Q3077" s="37" t="s">
        <v>15</v>
      </c>
      <c r="R3077" s="42">
        <f>_xll.ciqfunctions.udf.CIQ(A3078,("IQ_LASTSALEPRICE"))</f>
        <v>32.26</v>
      </c>
      <c r="S3077" s="44"/>
      <c r="U3077" s="37" t="s">
        <v>15</v>
      </c>
      <c r="V3077" s="42">
        <f>_xll.ciqfunctions.udf.CIQ(A3078,("IQ_LASTSALEPRICE"))</f>
        <v>32.26</v>
      </c>
      <c r="W3077" s="44"/>
      <c r="Y3077" s="37" t="s">
        <v>15</v>
      </c>
      <c r="Z3077" s="42">
        <f>_xll.ciqfunctions.udf.CIQ(A3078,("IQ_LASTSALEPRICE"))</f>
        <v>32.26</v>
      </c>
      <c r="AA3077" s="44"/>
    </row>
    <row r="3078" spans="1:27">
      <c r="A3078" s="12" t="str">
        <f>Analysis!B207</f>
        <v>NYSE:DV</v>
      </c>
      <c r="B3078" s="13">
        <v>1</v>
      </c>
      <c r="C3078" s="14" t="s">
        <v>16</v>
      </c>
      <c r="D3078" s="15" t="e">
        <f>IF(A3086=A3087,_xll.ciqfunctions.udf.CIQ(A3078,"IQ_TOTAL_REV",IQ_FY-10)/I3078,_xll.ciqfunctions.udf.CIQ(A3078, "IQ_TOTAL_REV",IQ_FY-9)/I3078)</f>
        <v>#DIV/0!</v>
      </c>
      <c r="E3078" s="16"/>
      <c r="F3078" s="15">
        <f>IF(A3086=A3087,_xll.ciqfunctions.udf.CIQ(A3078,"IQ_DILUT_EPS_EXCL",IQ_FY-10), _xll.ciqfunctions.udf.CIQ(A3078, "IQ_DILUT_EPS_EXCL",IQ_FY-9))</f>
        <v>0</v>
      </c>
      <c r="G3078" s="15">
        <f>IF(A3086=A3087,_xll.ciqfunctions.udf.CIQ(A3078,"IQ_EBITDA_MARGIN",IQ_FY-10), _xll.ciqfunctions.udf.CIQ(A3078, "IQ_EBITDA_MARGIN",IQ_FY-9))</f>
        <v>0</v>
      </c>
      <c r="H3078" s="15" t="e">
        <f>IF(A3086=A3087,_xll.ciqfunctions.udf.CIQ(A3078,"IQ_TOTAL_DIV_PAID_CF",IQ_FY-10)/-I3078, _xll.ciqfunctions.udf.CIQ(A3078, "IQ_TOTAL_DIV_PAID_CF",IQ_FY-9)/-I3078)</f>
        <v>#DIV/0!</v>
      </c>
      <c r="I3078" s="17">
        <f>IF(A3086=A3087,_xll.ciqfunctions.udf.CIQ(A3078,"IQ_TOTAL_OUTSTANDING_FILING_DATE",IQ_FY-10), _xll.ciqfunctions.udf.CIQ(A3078, "IQ_TOTAL_OUTSTANDING_FILING_DATE",IQ_FY-9))</f>
        <v>0</v>
      </c>
      <c r="J3078" s="17">
        <f>IF(A3086=A3087,_xll.ciqfunctions.udf.CIQ(A3078,"IQ_CASH_OPER",IQ_FY-10), _xll.ciqfunctions.udf.CIQ(A3078, "IQ_CASH_OPER",IQ_FY-9))</f>
        <v>0</v>
      </c>
      <c r="K3078" s="17">
        <f>IF(A3086=A3087,_xll.ciqfunctions.udf.CIQ(A3078,"IQ_CAPEX",IQ_FY-10), _xll.ciqfunctions.udf.CIQ(A3078, "IQ_CAPEX",IQ_FY-9))</f>
        <v>0</v>
      </c>
      <c r="L3078" s="15" t="e">
        <f t="shared" ref="L3078:L3088" si="820">(J3078+K3078)/I3078</f>
        <v>#DIV/0!</v>
      </c>
      <c r="M3078" s="17">
        <f>IF(A3086=A3087,_xll.ciqfunctions.udf.CIQ(A3078,"IQ_TOTAL_DEBT_ISSUED",IQ_FY-10), _xll.ciqfunctions.udf.CIQ(A3078, "IQ_TOTAL_DEBT_ISSUED",IQ_FY-9))</f>
        <v>0</v>
      </c>
      <c r="N3078" s="17">
        <f>IF(A3086=A3087,_xll.ciqfunctions.udf.CIQ(A3078,"IQ_TOTAL_DEBT_REPAID",IQ_FY-10), _xll.ciqfunctions.udf.CIQ(A3078, "IQ_TOTAL_DEBT_REPAID",IQ_FY-9))</f>
        <v>0</v>
      </c>
      <c r="O3078" s="15" t="e">
        <f t="shared" ref="O3078:O3088" si="821">(M3078+N3078)/I3078</f>
        <v>#DIV/0!</v>
      </c>
      <c r="P3078" s="15" t="e">
        <f t="shared" ref="P3078:P3088" si="822">L3078+O3078</f>
        <v>#DIV/0!</v>
      </c>
      <c r="W3078" s="43"/>
      <c r="AA3078" s="43"/>
    </row>
    <row r="3079" spans="1:27">
      <c r="A3079" s="18" t="str">
        <f>_xll.ciqfunctions.udf.CIQ(A3078,"IQ_COMPANY_NAME")</f>
        <v>DoubleVerify Holdings, Inc.</v>
      </c>
      <c r="B3079" s="13">
        <v>2</v>
      </c>
      <c r="C3079" s="14" t="s">
        <v>17</v>
      </c>
      <c r="D3079" s="15" t="e">
        <f>IF(A3086=A3087,_xll.ciqfunctions.udf.CIQ(A3078,"IQ_TOTAL_REV",IQ_FY-9)/I3079, _xll.ciqfunctions.udf.CIQ(A3078, "IQ_TOTAL_REV",IQ_FY-8)/I3079)</f>
        <v>#DIV/0!</v>
      </c>
      <c r="E3079" s="16" t="e">
        <f t="shared" ref="E3079:E3088" si="823">(D3079-D3078)/D3078</f>
        <v>#DIV/0!</v>
      </c>
      <c r="F3079" s="15">
        <f>IF(A3086=A3087,_xll.ciqfunctions.udf.CIQ(A3078,"IQ_DILUT_EPS_EXCL",IQ_FY-9), _xll.ciqfunctions.udf.CIQ(A3078, "IQ_DILUT_EPS_EXCL",IQ_FY-8))</f>
        <v>0</v>
      </c>
      <c r="G3079" s="15">
        <f>IF(A3086=A3087,_xll.ciqfunctions.udf.CIQ(A3078,"IQ_EBITDA_MARGIN",IQ_FY-9), _xll.ciqfunctions.udf.CIQ(A3078, "IQ_EBITDA_MARGIN",IQ_FY-8))</f>
        <v>0</v>
      </c>
      <c r="H3079" s="15" t="e">
        <f>IF(A3086=A3087,_xll.ciqfunctions.udf.CIQ(A3078,"IQ_TOTAL_DIV_PAID_CF",IQ_FY-9)/-I3079, _xll.ciqfunctions.udf.CIQ(A3078, "IQ_TOTAL_DIV_PAID_CF",IQ_FY-8)/-I3079)</f>
        <v>#DIV/0!</v>
      </c>
      <c r="I3079" s="17">
        <f>IF(A3086=A3087,_xll.ciqfunctions.udf.CIQ(A3078,"IQ_TOTAL_OUTSTANDING_FILING_DATE",IQ_FY-9), _xll.ciqfunctions.udf.CIQ(A3078, "IQ_TOTAL_OUTSTANDING_FILING_DATE",IQ_FY-8))</f>
        <v>0</v>
      </c>
      <c r="J3079" s="17">
        <f>IF(A3086=A3087,_xll.ciqfunctions.udf.CIQ(A3078,"IQ_CASH_OPER",IQ_FY-9), _xll.ciqfunctions.udf.CIQ(A3078, "IQ_CASH_OPER",IQ_FY-8))</f>
        <v>0</v>
      </c>
      <c r="K3079" s="17">
        <f>IF(A3086=A3087,_xll.ciqfunctions.udf.CIQ(A3078,"IQ_CAPEX",IQ_FY-9), _xll.ciqfunctions.udf.CIQ(A3078, "IQ_CAPEX",IQ_FY-8))</f>
        <v>0</v>
      </c>
      <c r="L3079" s="15" t="e">
        <f t="shared" si="820"/>
        <v>#DIV/0!</v>
      </c>
      <c r="M3079" s="17">
        <f>IF(A3086=A3087,_xll.ciqfunctions.udf.CIQ(A3078,"IQ_TOTAL_DEBT_ISSUED",IQ_FY-9), _xll.ciqfunctions.udf.CIQ(A3078, "IQ_TOTAL_DEBT_ISSUED",IQ_FY-8))</f>
        <v>0</v>
      </c>
      <c r="N3079" s="17">
        <f>IF(A3086=A3087,_xll.ciqfunctions.udf.CIQ(A3078,"IQ_TOTAL_DEBT_REPAID",IQ_FY-9), _xll.ciqfunctions.udf.CIQ(A3078, "IQ_TOTAL_DEBT_REPAID",IQ_FY-8))</f>
        <v>0</v>
      </c>
      <c r="O3079" s="15" t="e">
        <f t="shared" si="821"/>
        <v>#DIV/0!</v>
      </c>
      <c r="P3079" s="15" t="e">
        <f t="shared" si="822"/>
        <v>#DIV/0!</v>
      </c>
      <c r="Q3079" s="25" t="s">
        <v>18</v>
      </c>
      <c r="R3079" s="39" t="s">
        <v>19</v>
      </c>
      <c r="S3079" s="1">
        <f>R3077/((AVERAGE(P3083:P3088))*(1+E3089)^3)</f>
        <v>64.216166508772943</v>
      </c>
      <c r="U3079" s="25" t="s">
        <v>48</v>
      </c>
      <c r="V3079" s="39" t="s">
        <v>19</v>
      </c>
      <c r="W3079" s="1">
        <f>V3077/((AVERAGE(P3083:P3088))*(1+E3089)^3)</f>
        <v>64.216166508772943</v>
      </c>
      <c r="Y3079" s="25" t="s">
        <v>39</v>
      </c>
      <c r="Z3079" s="39" t="s">
        <v>19</v>
      </c>
      <c r="AA3079" s="1">
        <f>Z3077/((AVERAGE(P3083:P3088))*(1+E3089)^3)</f>
        <v>64.216166508772943</v>
      </c>
    </row>
    <row r="3080" spans="1:27">
      <c r="B3080" s="13">
        <v>3</v>
      </c>
      <c r="C3080" s="14" t="s">
        <v>20</v>
      </c>
      <c r="D3080" s="15" t="e" cm="1">
        <f t="array" ref="D3080">_xlfn.SINGLE(IF(A3086=A3087,_xll.ciqfunctions.udf.CIQ(A3078,"IQ_TOTAL_REV",IQ_FY-8)/I3080, _xll.ciqfunctions.udf.CIQ(A3078, "IQ_TOTAL_REV",IQ_FY-7)/I3080))</f>
        <v>#DIV/0!</v>
      </c>
      <c r="E3080" s="16" t="e">
        <f t="shared" si="823"/>
        <v>#DIV/0!</v>
      </c>
      <c r="F3080" s="15">
        <f>IF(A3086=A3087,_xll.ciqfunctions.udf.CIQ(A3078,"IQ_DILUT_EPS_EXCL",IQ_FY-8), _xll.ciqfunctions.udf.CIQ(A3078, "IQ_DILUT_EPS_EXCL",IQ_FY-7))</f>
        <v>0</v>
      </c>
      <c r="G3080" s="15">
        <f>IF(A3086=A3087,_xll.ciqfunctions.udf.CIQ(A3078,"IQ_EBITDA_MARGIN",IQ_FY-8), _xll.ciqfunctions.udf.CIQ(A3078, "IQ_EBITDA_MARGIN",IQ_FY-7))</f>
        <v>0</v>
      </c>
      <c r="H3080" s="15" t="e">
        <f>IF(A3086=A3087,_xll.ciqfunctions.udf.CIQ(A3078,"IQ_TOTAL_DIV_PAID_CF",IQ_FY-8)/-I3080, _xll.ciqfunctions.udf.CIQ(A3078, "IQ_TOTAL_DIV_PAID_CF",IQ_FY-7)/-I3080)</f>
        <v>#DIV/0!</v>
      </c>
      <c r="I3080" s="17">
        <f>IF(A3086=A3087,_xll.ciqfunctions.udf.CIQ(A3078,"IQ_TOTAL_OUTSTANDING_FILING_DATE",IQ_FY-8), _xll.ciqfunctions.udf.CIQ(A3078, "IQ_TOTAL_OUTSTANDING_FILING_DATE",IQ_FY-7))</f>
        <v>0</v>
      </c>
      <c r="J3080" s="17">
        <f>IF(A3086=A3087,_xll.ciqfunctions.udf.CIQ(A3078,"IQ_CASH_OPER",IQ_FY-8), _xll.ciqfunctions.udf.CIQ(A3078, "IQ_CASH_OPER",IQ_FY-7))</f>
        <v>0</v>
      </c>
      <c r="K3080" s="17">
        <f>IF(A3086=A3087,_xll.ciqfunctions.udf.CIQ(A3078,"IQ_CAPEX",IQ_FY-8), _xll.ciqfunctions.udf.CIQ(A3078, "IQ_CAPEX",IQ_FY-7))</f>
        <v>0</v>
      </c>
      <c r="L3080" s="15" t="e">
        <f t="shared" si="820"/>
        <v>#DIV/0!</v>
      </c>
      <c r="M3080" s="17">
        <f>IF(A3086=A3087,_xll.ciqfunctions.udf.CIQ(A3078,"IQ_TOTAL_DEBT_ISSUED",IQ_FY-8), _xll.ciqfunctions.udf.CIQ(A3078, "IQ_TOTAL_DEBT_ISSUED",IQ_FY-7))</f>
        <v>0</v>
      </c>
      <c r="N3080" s="17">
        <f>IF(A3086=A3087,_xll.ciqfunctions.udf.CIQ(A3078,"IQ_TOTAL_DEBT_REPAID",IQ_FY-8), _xll.ciqfunctions.udf.CIQ(A3078, "IQ_TOTAL_DEBT_REPAID",IQ_FY-7))</f>
        <v>0</v>
      </c>
      <c r="O3080" s="15" t="e">
        <f t="shared" si="821"/>
        <v>#DIV/0!</v>
      </c>
      <c r="P3080" s="15" t="e">
        <f t="shared" si="822"/>
        <v>#DIV/0!</v>
      </c>
      <c r="Q3080" s="25" t="s">
        <v>21</v>
      </c>
      <c r="R3080" s="38" t="s">
        <v>49</v>
      </c>
      <c r="S3080" s="2">
        <f>(R3077*I3088)/1000</f>
        <v>5.4837499730000001</v>
      </c>
      <c r="U3080" s="25" t="s">
        <v>59</v>
      </c>
      <c r="V3080" s="38" t="s">
        <v>49</v>
      </c>
      <c r="W3080" s="2">
        <f>(V3077*I3088)/1000</f>
        <v>5.4837499730000001</v>
      </c>
      <c r="Y3080" s="25" t="s">
        <v>46</v>
      </c>
      <c r="Z3080" s="38" t="s">
        <v>49</v>
      </c>
      <c r="AA3080" s="2">
        <f>(Z3077*I3088)/1000</f>
        <v>5.4837499730000001</v>
      </c>
    </row>
    <row r="3081" spans="1:27">
      <c r="A3081" s="18"/>
      <c r="B3081" s="13">
        <v>4</v>
      </c>
      <c r="C3081" s="14" t="s">
        <v>22</v>
      </c>
      <c r="D3081" s="15" t="e" cm="1">
        <f t="array" ref="D3081">_xlfn.SINGLE(IF(A3086=A3087,_xll.ciqfunctions.udf.CIQ(A3078,"IQ_TOTAL_REV",IQ_FY-7)/I3081, _xll.ciqfunctions.udf.CIQ(A3078, "IQ_TOTAL_REV",IQ_FY-6)/I3081))</f>
        <v>#DIV/0!</v>
      </c>
      <c r="E3081" s="16" t="e">
        <f t="shared" si="823"/>
        <v>#DIV/0!</v>
      </c>
      <c r="F3081" s="15">
        <f>IF(A3086=A3087,_xll.ciqfunctions.udf.CIQ(A3078,"IQ_DILUT_EPS_EXCL",IQ_FY-7), _xll.ciqfunctions.udf.CIQ(A3078, "IQ_DILUT_EPS_EXCL",IQ_FY-6))</f>
        <v>0</v>
      </c>
      <c r="G3081" s="15">
        <f>IF(A3086=A3087,_xll.ciqfunctions.udf.CIQ(A3078,"IQ_EBITDA_MARGIN",IQ_FY-7), _xll.ciqfunctions.udf.CIQ(A3078, "IQ_EBITDA_MARGIN",IQ_FY-6))</f>
        <v>0</v>
      </c>
      <c r="H3081" s="15" t="e">
        <f>IF(A3086=A3087,_xll.ciqfunctions.udf.CIQ(A3078,"IQ_TOTAL_DIV_PAID_CF",IQ_FY-7)/-I3081, _xll.ciqfunctions.udf.CIQ(A3078, "IQ_TOTAL_DIV_PAID_CF",IQ_FY-6)/-I3081)</f>
        <v>#DIV/0!</v>
      </c>
      <c r="I3081" s="17">
        <f>IF(A3086=A3087,_xll.ciqfunctions.udf.CIQ(A3078,"IQ_TOTAL_OUTSTANDING_FILING_DATE",IQ_FY-7), _xll.ciqfunctions.udf.CIQ(A3078, "IQ_TOTAL_OUTSTANDING_FILING_DATE",IQ_FY-6))</f>
        <v>0</v>
      </c>
      <c r="J3081" s="17">
        <f>IF(A3086=A3087,_xll.ciqfunctions.udf.CIQ(A3078,"IQ_CASH_OPER",IQ_FY-7), _xll.ciqfunctions.udf.CIQ(A3078, "IQ_CASH_OPER",IQ_FY-6))</f>
        <v>0</v>
      </c>
      <c r="K3081" s="17">
        <f>IF(A3086=A3087,_xll.ciqfunctions.udf.CIQ(A3078,"IQ_CAPEX",IQ_FY-7), _xll.ciqfunctions.udf.CIQ(A3078, "IQ_CAPEX",IQ_FY-6))</f>
        <v>0</v>
      </c>
      <c r="L3081" s="15" t="e">
        <f t="shared" si="820"/>
        <v>#DIV/0!</v>
      </c>
      <c r="M3081" s="17">
        <f>IF(A3086=A3087,_xll.ciqfunctions.udf.CIQ(A3078,"IQ_TOTAL_DEBT_ISSUED",IQ_FY-7), _xll.ciqfunctions.udf.CIQ(A3078, "IQ_TOTAL_DEBT_ISSUED",IQ_FY-6))</f>
        <v>0</v>
      </c>
      <c r="N3081" s="17">
        <f>IF(A3086=A3087,_xll.ciqfunctions.udf.CIQ(A3078,"IQ_TOTAL_DEBT_REPAID",IQ_FY-7), _xll.ciqfunctions.udf.CIQ(A3078, "IQ_TOTAL_DEBT_REPAID",IQ_FY-6))</f>
        <v>0</v>
      </c>
      <c r="O3081" s="15" t="e">
        <f t="shared" si="821"/>
        <v>#DIV/0!</v>
      </c>
      <c r="P3081" s="15" t="e">
        <f t="shared" si="822"/>
        <v>#DIV/0!</v>
      </c>
      <c r="Q3081" s="25" t="s">
        <v>23</v>
      </c>
      <c r="R3081" s="38" t="s">
        <v>24</v>
      </c>
      <c r="S3081" s="1" t="e">
        <f>R3077/(AVERAGE(H3083:H3088)*(1+H3089)/(0.5-H3089))</f>
        <v>#DIV/0!</v>
      </c>
      <c r="U3081" s="25" t="s">
        <v>40</v>
      </c>
      <c r="V3081" s="38" t="s">
        <v>24</v>
      </c>
      <c r="W3081" s="1" t="e">
        <f>V3077/(AVERAGE(H3083:H3088)*(1+H3089)/(0.5-H3089))</f>
        <v>#DIV/0!</v>
      </c>
      <c r="Y3081" s="25" t="s">
        <v>47</v>
      </c>
      <c r="Z3081" s="38" t="s">
        <v>24</v>
      </c>
      <c r="AA3081" s="1" t="e">
        <f>Z3077/(AVERAGE(H3083:H3088)*(1+H3089)/(0.5-H3089))</f>
        <v>#DIV/0!</v>
      </c>
    </row>
    <row r="3082" spans="1:27">
      <c r="B3082" s="13">
        <v>5</v>
      </c>
      <c r="C3082" s="14" t="s">
        <v>25</v>
      </c>
      <c r="D3082" s="15" t="e" cm="1">
        <f t="array" ref="D3082">_xlfn.SINGLE(IF(A3086=A3087,_xll.ciqfunctions.udf.CIQ(A3078,"IQ_TOTAL_REV",IQ_FY-6)/I3082, _xll.ciqfunctions.udf.CIQ(A3078, "IQ_TOTAL_REV",IQ_FY-5)/I3082))</f>
        <v>#DIV/0!</v>
      </c>
      <c r="E3082" s="16" t="e">
        <f t="shared" si="823"/>
        <v>#DIV/0!</v>
      </c>
      <c r="F3082" s="15">
        <f>IF(A3086=A3087,_xll.ciqfunctions.udf.CIQ(A3078,"IQ_DILUT_EPS_EXCL",IQ_FY-6), _xll.ciqfunctions.udf.CIQ(A3078, "IQ_DILUT_EPS_EXCL",IQ_FY-5))</f>
        <v>0</v>
      </c>
      <c r="G3082" s="15">
        <f>IF(A3086=A3087,_xll.ciqfunctions.udf.CIQ(A3078,"IQ_EBITDA_MARGIN",IQ_FY-6), _xll.ciqfunctions.udf.CIQ(A3078, "IQ_EBITDA_MARGIN",IQ_FY-5))</f>
        <v>0</v>
      </c>
      <c r="H3082" s="15" t="e">
        <f>IF(A3086=A3087,_xll.ciqfunctions.udf.CIQ(A3078,"IQ_TOTAL_DIV_PAID_CF",IQ_FY-6)/-I3082, _xll.ciqfunctions.udf.CIQ(A3078, "IQ_TOTAL_DIV_PAID_CF",IQ_FY-5)/-I3082)</f>
        <v>#DIV/0!</v>
      </c>
      <c r="I3082" s="17">
        <f>IF(A3086=A3087,_xll.ciqfunctions.udf.CIQ(A3078,"IQ_TOTAL_OUTSTANDING_FILING_DATE",IQ_FY-6), _xll.ciqfunctions.udf.CIQ(A3078, "IQ_TOTAL_OUTSTANDING_FILING_DATE",IQ_FY-5))</f>
        <v>0</v>
      </c>
      <c r="J3082" s="17">
        <f>IF(A3086=A3087,_xll.ciqfunctions.udf.CIQ(A3078,"IQ_CASH_OPER",IQ_FY-6), _xll.ciqfunctions.udf.CIQ(A3078, "IQ_CASH_OPER",IQ_FY-5))</f>
        <v>0</v>
      </c>
      <c r="K3082" s="17">
        <f>IF(A3086=A3087,_xll.ciqfunctions.udf.CIQ(A3078,"IQ_CAPEX",IQ_FY-6), _xll.ciqfunctions.udf.CIQ(A3078, "IQ_CAPEX",IQ_FY-5))</f>
        <v>0</v>
      </c>
      <c r="L3082" s="15" t="e">
        <f t="shared" si="820"/>
        <v>#DIV/0!</v>
      </c>
      <c r="M3082" s="17">
        <f>IF(A3086=A3087,_xll.ciqfunctions.udf.CIQ(A3078,"IQ_TOTAL_DEBT_ISSUED",IQ_FY-6), _xll.ciqfunctions.udf.CIQ(A3078, "IQ_TOTAL_DEBT_ISSUED",IQ_FY-5))</f>
        <v>0</v>
      </c>
      <c r="N3082" s="17">
        <f>IF(A3086=A3087,_xll.ciqfunctions.udf.CIQ(A3078,"IQ_TOTAL_DEBT_REPAID",IQ_FY-6), _xll.ciqfunctions.udf.CIQ(A3078, "IQ_TOTAL_DEBT_REPAID",IQ_FY-5))</f>
        <v>0</v>
      </c>
      <c r="O3082" s="15" t="e">
        <f t="shared" si="821"/>
        <v>#DIV/0!</v>
      </c>
      <c r="P3082" s="15" t="e">
        <f t="shared" si="822"/>
        <v>#DIV/0!</v>
      </c>
      <c r="Q3082" s="18"/>
      <c r="R3082" s="38" t="s">
        <v>50</v>
      </c>
      <c r="S3082" s="3">
        <f>I3089</f>
        <v>4.019069579692669E-2</v>
      </c>
      <c r="U3082" s="18"/>
      <c r="V3082" s="38" t="s">
        <v>50</v>
      </c>
      <c r="W3082" s="3">
        <f>I3089</f>
        <v>4.019069579692669E-2</v>
      </c>
      <c r="Y3082" s="18"/>
      <c r="Z3082" s="38" t="s">
        <v>50</v>
      </c>
      <c r="AA3082" s="3">
        <f>I3089</f>
        <v>4.019069579692669E-2</v>
      </c>
    </row>
    <row r="3083" spans="1:27">
      <c r="B3083" s="13">
        <v>6</v>
      </c>
      <c r="C3083" s="14" t="s">
        <v>26</v>
      </c>
      <c r="D3083" s="15" cm="1">
        <f t="array" ref="D3083">_xlfn.SINGLE(IF(A3086=A3087,_xll.ciqfunctions.udf.CIQ(A3078,"IQ_TOTAL_REV",IQ_FY-5)/I3083, _xll.ciqfunctions.udf.CIQ(A3078, "IQ_TOTAL_REV",IQ_FY-4)/I3083))</f>
        <v>0.74722691300663691</v>
      </c>
      <c r="E3083" s="16" t="e">
        <f t="shared" si="823"/>
        <v>#DIV/0!</v>
      </c>
      <c r="F3083" s="15">
        <f>IF(A3086=A3087,_xll.ciqfunctions.udf.CIQ(A3078,"IQ_DILUT_EPS_EXCL",IQ_FY-5), _xll.ciqfunctions.udf.CIQ(A3078, "IQ_DILUT_EPS_EXCL",IQ_FY-4))</f>
        <v>2.2759999999999999E-2</v>
      </c>
      <c r="G3083" s="15">
        <f>IF(A3086=A3087,_xll.ciqfunctions.udf.CIQ(A3078,"IQ_EBITDA_MARGIN",IQ_FY-5), _xll.ciqfunctions.udf.CIQ(A3078, "IQ_EBITDA_MARGIN",IQ_FY-4))</f>
        <v>23.234000000000002</v>
      </c>
      <c r="H3083" s="15">
        <f>IF(A3086=A3087,_xll.ciqfunctions.udf.CIQ(A3078,"IQ_TOTAL_DIV_PAID_CF",IQ_FY-5)/-I3083, _xll.ciqfunctions.udf.CIQ(A3078, "IQ_TOTAL_DIV_PAID_CF",IQ_FY-4)/-I3083)</f>
        <v>0</v>
      </c>
      <c r="I3083" s="17">
        <f>IF(A3086=A3087,_xll.ciqfunctions.udf.CIQ(A3078,"IQ_TOTAL_OUTSTANDING_FILING_DATE",IQ_FY-5), _xll.ciqfunctions.udf.CIQ(A3078, "IQ_TOTAL_OUTSTANDING_FILING_DATE",IQ_FY-4))</f>
        <v>139.58812</v>
      </c>
      <c r="J3083" s="17">
        <f>IF(A3086=A3087,_xll.ciqfunctions.udf.CIQ(A3078,"IQ_CASH_OPER",IQ_FY-5), _xll.ciqfunctions.udf.CIQ(A3078, "IQ_CASH_OPER",IQ_FY-4))</f>
        <v>12.058</v>
      </c>
      <c r="K3083" s="17">
        <f>IF(A3086=A3087,_xll.ciqfunctions.udf.CIQ(A3078,"IQ_CAPEX",IQ_FY-5), _xll.ciqfunctions.udf.CIQ(A3078, "IQ_CAPEX",IQ_FY-4))</f>
        <v>-1.64</v>
      </c>
      <c r="L3083" s="15">
        <f t="shared" si="820"/>
        <v>7.4633858526069408E-2</v>
      </c>
      <c r="M3083" s="17">
        <f>IF(A3086=A3087,_xll.ciqfunctions.udf.CIQ(A3078,"IQ_TOTAL_DEBT_ISSUED",IQ_FY-5), _xll.ciqfunctions.udf.CIQ(A3078, "IQ_TOTAL_DEBT_ISSUED",IQ_FY-4))</f>
        <v>25.225000000000001</v>
      </c>
      <c r="N3083" s="17">
        <f>IF(A3086=A3087,_xll.ciqfunctions.udf.CIQ(A3078,"IQ_TOTAL_DEBT_REPAID",IQ_FY-5), _xll.ciqfunctions.udf.CIQ(A3078, "IQ_TOTAL_DEBT_REPAID",IQ_FY-4))</f>
        <v>-2.286</v>
      </c>
      <c r="O3083" s="15">
        <f t="shared" si="821"/>
        <v>0.16433346906599214</v>
      </c>
      <c r="P3083" s="15">
        <f t="shared" si="822"/>
        <v>0.23896732759206155</v>
      </c>
      <c r="Q3083" s="25" t="s">
        <v>27</v>
      </c>
      <c r="R3083" s="38" t="s">
        <v>51</v>
      </c>
      <c r="S3083" s="4">
        <f>AVERAGE(F3083:F3088)/AVERAGE(D3083:D3088)</f>
        <v>8.9947168554723386E-2</v>
      </c>
      <c r="U3083" s="25" t="s">
        <v>58</v>
      </c>
      <c r="V3083" s="38" t="s">
        <v>51</v>
      </c>
      <c r="W3083" s="4">
        <f>AVERAGE(F3083:F3088)/AVERAGE(D3083:D3088)</f>
        <v>8.9947168554723386E-2</v>
      </c>
      <c r="Y3083" s="25" t="s">
        <v>56</v>
      </c>
      <c r="Z3083" s="38" t="s">
        <v>51</v>
      </c>
      <c r="AA3083" s="4">
        <f>AVERAGE(F3083:F3088)/AVERAGE(D3083:D3088)</f>
        <v>8.9947168554723386E-2</v>
      </c>
    </row>
    <row r="3084" spans="1:27">
      <c r="A3084" s="18"/>
      <c r="B3084" s="13">
        <v>7</v>
      </c>
      <c r="C3084" s="14" t="s">
        <v>28</v>
      </c>
      <c r="D3084" s="15" cm="1">
        <f t="array" ref="D3084">_xlfn.SINGLE(IF(A3086=A3087,_xll.ciqfunctions.udf.CIQ(A3078,"IQ_TOTAL_REV",IQ_FY-4)/I3084, _xll.ciqfunctions.udf.CIQ(A3078, "IQ_TOTAL_REV",IQ_FY-3)/I3084))</f>
        <v>1.3060867677550452</v>
      </c>
      <c r="E3084" s="16">
        <f t="shared" si="823"/>
        <v>0.74791183912221382</v>
      </c>
      <c r="F3084" s="15">
        <f>IF(A3086=A3087,_xll.ciqfunctions.udf.CIQ(A3078,"IQ_DILUT_EPS_EXCL",IQ_FY-4), _xll.ciqfunctions.udf.CIQ(A3078, "IQ_DILUT_EPS_EXCL",IQ_FY-3))</f>
        <v>0.16</v>
      </c>
      <c r="G3084" s="15">
        <f>IF(A3086=A3087,_xll.ciqfunctions.udf.CIQ(A3078,"IQ_EBITDA_MARGIN",IQ_FY-4), _xll.ciqfunctions.udf.CIQ(A3078, "IQ_EBITDA_MARGIN",IQ_FY-3))</f>
        <v>33.130400000000002</v>
      </c>
      <c r="H3084" s="15">
        <f>IF(A3086=A3087,_xll.ciqfunctions.udf.CIQ(A3078,"IQ_TOTAL_DIV_PAID_CF",IQ_FY-4)/-I3084, _xll.ciqfunctions.udf.CIQ(A3078, "IQ_TOTAL_DIV_PAID_CF",IQ_FY-3)/-I3084)</f>
        <v>0</v>
      </c>
      <c r="I3084" s="17">
        <f>IF(A3086=A3087,_xll.ciqfunctions.udf.CIQ(A3078,"IQ_TOTAL_OUTSTANDING_FILING_DATE",IQ_FY-4), _xll.ciqfunctions.udf.CIQ(A3078, "IQ_TOTAL_OUTSTANDING_FILING_DATE",IQ_FY-3))</f>
        <v>139.85517999999999</v>
      </c>
      <c r="J3084" s="17">
        <f>IF(A3086=A3087,_xll.ciqfunctions.udf.CIQ(A3078,"IQ_CASH_OPER",IQ_FY-4), _xll.ciqfunctions.udf.CIQ(A3078, "IQ_CASH_OPER",IQ_FY-3))</f>
        <v>29.433</v>
      </c>
      <c r="K3084" s="17">
        <f>IF(A3086=A3087,_xll.ciqfunctions.udf.CIQ(A3078,"IQ_CAPEX",IQ_FY-4), _xll.ciqfunctions.udf.CIQ(A3078, "IQ_CAPEX",IQ_FY-3))</f>
        <v>-5.9429999999999996</v>
      </c>
      <c r="L3084" s="15">
        <f t="shared" si="820"/>
        <v>0.16795945634620044</v>
      </c>
      <c r="M3084" s="17">
        <f>IF(A3086=A3087,_xll.ciqfunctions.udf.CIQ(A3078,"IQ_TOTAL_DEBT_ISSUED",IQ_FY-4), _xll.ciqfunctions.udf.CIQ(A3078, "IQ_TOTAL_DEBT_ISSUED",IQ_FY-3))</f>
        <v>20</v>
      </c>
      <c r="N3084" s="17">
        <f>IF(A3086=A3087,_xll.ciqfunctions.udf.CIQ(A3078,"IQ_TOTAL_DEBT_REPAID",IQ_FY-4), _xll.ciqfunctions.udf.CIQ(A3078, "IQ_TOTAL_DEBT_REPAID",IQ_FY-3))</f>
        <v>-2.2709999999999999</v>
      </c>
      <c r="O3084" s="15">
        <f t="shared" si="821"/>
        <v>0.12676684553264314</v>
      </c>
      <c r="P3084" s="15">
        <f t="shared" si="822"/>
        <v>0.29472630187884358</v>
      </c>
      <c r="Q3084" s="18"/>
      <c r="R3084" s="38" t="s">
        <v>29</v>
      </c>
      <c r="S3084" s="4">
        <f>(AVERAGE(P3083:P3088)/_xlfn.STDEV.P(P3083:P3088))/(IF(A3086=A3087,(_xlfn.SINGLE(_xll.ciqfunctions.udf.CIQ(A3078,"IQ_total_assets",IQ_FY)) - _xlfn.SINGLE(_xll.ciqfunctions.udf.CIQ(A3078,"iq_gw_intan", IQ_FY)))/I3088, (_xlfn.SINGLE(_xll.ciqfunctions.udf.CIQ(A3078, "IQ_total_assets",IQ_LTM))-_xlfn.SINGLE(_xll.ciqfunctions.udf.CIQ(A3078,"iq_gw_intan",IQ_LTM)))/I3088))</f>
        <v>0.23701687795345217</v>
      </c>
      <c r="U3084" s="18"/>
      <c r="V3084" s="38" t="s">
        <v>29</v>
      </c>
      <c r="W3084" s="4">
        <f>(AVERAGE(P3083:P3088)/_xlfn.STDEV.P(P3083:P3088))/(IF(A3086=A3087,(_xlfn.SINGLE(_xll.ciqfunctions.udf.CIQ(A3078,"IQ_total_assets",IQ_FY)) - _xlfn.SINGLE(_xll.ciqfunctions.udf.CIQ(A3078,"iq_gw_intan", IQ_FY)))/I3088, (_xlfn.SINGLE(_xll.ciqfunctions.udf.CIQ(A3078, "IQ_total_assets",IQ_LTM))-_xlfn.SINGLE(_xll.ciqfunctions.udf.CIQ(A3078,"iq_gw_intan",IQ_LTM)))/I3088))</f>
        <v>0.23701687795345217</v>
      </c>
      <c r="Y3084" s="18"/>
      <c r="Z3084" s="38" t="s">
        <v>29</v>
      </c>
      <c r="AA3084" s="4">
        <f>(AVERAGE(P3083:P3088)/_xlfn.STDEV.P(P3083:P3088))/(IF(A3086=A3087,(_xlfn.SINGLE(_xll.ciqfunctions.udf.CIQ(A3078,"IQ_total_assets",IQ_FY)) - _xlfn.SINGLE(_xll.ciqfunctions.udf.CIQ(A3078,"iq_gw_intan", IQ_FY)))/I3088, (_xlfn.SINGLE(_xll.ciqfunctions.udf.CIQ(A3078, "IQ_total_assets",IQ_LTM))-_xlfn.SINGLE(_xll.ciqfunctions.udf.CIQ(A3078,"iq_gw_intan",IQ_LTM)))/I3088))</f>
        <v>0.23701687795345217</v>
      </c>
    </row>
    <row r="3085" spans="1:27">
      <c r="A3085" s="18"/>
      <c r="B3085" s="13">
        <v>8</v>
      </c>
      <c r="C3085" s="14" t="s">
        <v>30</v>
      </c>
      <c r="D3085" s="15" cm="1">
        <f t="array" ref="D3085">_xlfn.SINGLE(IF(A3086=A3087,_xll.ciqfunctions.udf.CIQ(A3078,"IQ_TOTAL_REV",IQ_FY-3)/I3085, _xll.ciqfunctions.udf.CIQ(A3078, "IQ_TOTAL_REV",IQ_FY-2)/I3085))</f>
        <v>1.9495841816377477</v>
      </c>
      <c r="E3085" s="16">
        <f t="shared" si="823"/>
        <v>0.49269116705681965</v>
      </c>
      <c r="F3085" s="15">
        <f>IF(A3086=A3087,_xll.ciqfunctions.udf.CIQ(A3078,"IQ_DILUT_EPS_EXCL",IQ_FY-3), _xll.ciqfunctions.udf.CIQ(A3078, "IQ_DILUT_EPS_EXCL",IQ_FY-2))</f>
        <v>0.14000000000000001</v>
      </c>
      <c r="G3085" s="15">
        <f>IF(A3086=A3087,_xll.ciqfunctions.udf.CIQ(A3078,"IQ_EBITDA_MARGIN",IQ_FY-3), _xll.ciqfunctions.udf.CIQ(A3078, "IQ_EBITDA_MARGIN",IQ_FY-2))</f>
        <v>17.895399999999999</v>
      </c>
      <c r="H3085" s="15">
        <f>IF(A3086=A3087,_xll.ciqfunctions.udf.CIQ(A3078,"IQ_TOTAL_DIV_PAID_CF",IQ_FY-3)/-I3085, _xll.ciqfunctions.udf.CIQ(A3078, "IQ_TOTAL_DIV_PAID_CF",IQ_FY-2)/-I3085)</f>
        <v>0</v>
      </c>
      <c r="I3085" s="17">
        <f>IF(A3086=A3087,_xll.ciqfunctions.udf.CIQ(A3078,"IQ_TOTAL_OUTSTANDING_FILING_DATE",IQ_FY-3), _xll.ciqfunctions.udf.CIQ(A3078, "IQ_TOTAL_OUTSTANDING_FILING_DATE",IQ_FY-2))</f>
        <v>125.11232</v>
      </c>
      <c r="J3085" s="17">
        <f>IF(A3086=A3087,_xll.ciqfunctions.udf.CIQ(A3078,"IQ_CASH_OPER",IQ_FY-3), _xll.ciqfunctions.udf.CIQ(A3078, "IQ_CASH_OPER",IQ_FY-2))</f>
        <v>21.216000000000001</v>
      </c>
      <c r="K3085" s="17">
        <f>IF(A3086=A3087,_xll.ciqfunctions.udf.CIQ(A3078,"IQ_CAPEX",IQ_FY-3), _xll.ciqfunctions.udf.CIQ(A3078, "IQ_CAPEX",IQ_FY-2))</f>
        <v>-9.7509999999999994</v>
      </c>
      <c r="L3085" s="15">
        <f t="shared" si="820"/>
        <v>9.1637658065968255E-2</v>
      </c>
      <c r="M3085" s="17">
        <f>IF(A3086=A3087,_xll.ciqfunctions.udf.CIQ(A3078,"IQ_TOTAL_DEBT_ISSUED",IQ_FY-3), _xll.ciqfunctions.udf.CIQ(A3078, "IQ_TOTAL_DEBT_ISSUED",IQ_FY-2))</f>
        <v>89.65</v>
      </c>
      <c r="N3085" s="17">
        <f>IF(A3086=A3087,_xll.ciqfunctions.udf.CIQ(A3078,"IQ_TOTAL_DEBT_REPAID",IQ_FY-3), _xll.ciqfunctions.udf.CIQ(A3078, "IQ_TOTAL_DEBT_REPAID",IQ_FY-2))</f>
        <v>-143.55600000000001</v>
      </c>
      <c r="O3085" s="15">
        <f t="shared" si="821"/>
        <v>-0.43086084567850719</v>
      </c>
      <c r="P3085" s="15">
        <f t="shared" si="822"/>
        <v>-0.33922318761253895</v>
      </c>
      <c r="Q3085" s="18"/>
      <c r="R3085" s="39" t="s">
        <v>31</v>
      </c>
      <c r="S3085" s="5" t="e">
        <f>IF(NOT(D3078&gt;0),FALSE,SLOPE(G3078:G3088,B3078:B3088))</f>
        <v>#DIV/0!</v>
      </c>
      <c r="U3085" s="18"/>
      <c r="V3085" s="39" t="s">
        <v>31</v>
      </c>
      <c r="W3085" s="5" t="e">
        <f>IF(NOT(D3078&gt;0),FALSE,SLOPE(G3078:G3088,B3078:B3088))</f>
        <v>#DIV/0!</v>
      </c>
      <c r="Y3085" s="18"/>
      <c r="Z3085" s="39" t="s">
        <v>31</v>
      </c>
      <c r="AA3085" s="5" t="e">
        <f>IF(NOT(L3078&gt;0),FALSE,SLOPE(O3078:O3088,J3078:J3088))</f>
        <v>#DIV/0!</v>
      </c>
    </row>
    <row r="3086" spans="1:27">
      <c r="A3086" s="19">
        <f>_xll.ciqfunctions.udf.CIQ(A3078,"IQ_TOTAL_REV",IQ_FY)</f>
        <v>452.41800000000001</v>
      </c>
      <c r="B3086" s="13">
        <v>9</v>
      </c>
      <c r="C3086" s="14" t="s">
        <v>32</v>
      </c>
      <c r="D3086" s="15" cm="1">
        <f t="array" ref="D3086">_xlfn.SINGLE(IF(A3086=A3087,_xll.ciqfunctions.udf.CIQ(A3078,"IQ_TOTAL_REV",IQ_FY-2)/I3086, _xll.ciqfunctions.udf.CIQ(A3078, "IQ_TOTAL_REV",IQ_FY-1)/I3086))</f>
        <v>2.0457207436652718</v>
      </c>
      <c r="E3086" s="16">
        <f t="shared" si="823"/>
        <v>4.931131619398172E-2</v>
      </c>
      <c r="F3086" s="15">
        <f>IF(A3086=A3087,_xll.ciqfunctions.udf.CIQ(A3078,"IQ_DILUT_EPS_EXCL",IQ_FY-2), _xll.ciqfunctions.udf.CIQ(A3078, "IQ_DILUT_EPS_EXCL",IQ_FY-1))</f>
        <v>0.18</v>
      </c>
      <c r="G3086" s="15">
        <f>IF(A3086=A3087,_xll.ciqfunctions.udf.CIQ(A3078,"IQ_EBITDA_MARGIN",IQ_FY-2), _xll.ciqfunctions.udf.CIQ(A3078, "IQ_EBITDA_MARGIN",IQ_FY-1))</f>
        <v>16.940799999999999</v>
      </c>
      <c r="H3086" s="15">
        <f>IF(A3086=A3087,_xll.ciqfunctions.udf.CIQ(A3078,"IQ_TOTAL_DIV_PAID_CF",IQ_FY-2)/-I3086, _xll.ciqfunctions.udf.CIQ(A3078, "IQ_TOTAL_DIV_PAID_CF",IQ_FY-1)/-I3086)</f>
        <v>0</v>
      </c>
      <c r="I3086" s="17">
        <f>IF(A3086=A3087,_xll.ciqfunctions.udf.CIQ(A3078,"IQ_TOTAL_OUTSTANDING_FILING_DATE",IQ_FY-2), _xll.ciqfunctions.udf.CIQ(A3078, "IQ_TOTAL_OUTSTANDING_FILING_DATE",IQ_FY-1))</f>
        <v>162.65221</v>
      </c>
      <c r="J3086" s="17">
        <f>IF(A3086=A3087,_xll.ciqfunctions.udf.CIQ(A3078,"IQ_CASH_OPER",IQ_FY-2), _xll.ciqfunctions.udf.CIQ(A3078, "IQ_CASH_OPER",IQ_FY-1))</f>
        <v>82.748999999999995</v>
      </c>
      <c r="K3086" s="17">
        <f>IF(A3086=A3087,_xll.ciqfunctions.udf.CIQ(A3078,"IQ_CAPEX",IQ_FY-2), _xll.ciqfunctions.udf.CIQ(A3078, "IQ_CAPEX",IQ_FY-1))</f>
        <v>-9.3970000000000002</v>
      </c>
      <c r="L3086" s="15">
        <f t="shared" si="820"/>
        <v>0.45097450566457098</v>
      </c>
      <c r="M3086" s="17">
        <f>IF(A3086=A3087,_xll.ciqfunctions.udf.CIQ(A3078,"IQ_TOTAL_DEBT_ISSUED",IQ_FY-2), _xll.ciqfunctions.udf.CIQ(A3078, "IQ_TOTAL_DEBT_ISSUED",IQ_FY-1))</f>
        <v>0</v>
      </c>
      <c r="N3086" s="17">
        <f>IF(A3086=A3087,_xll.ciqfunctions.udf.CIQ(A3078,"IQ_TOTAL_DEBT_REPAID",IQ_FY-2), _xll.ciqfunctions.udf.CIQ(A3078, "IQ_TOTAL_DEBT_REPAID",IQ_FY-1))</f>
        <v>-23.917999999999999</v>
      </c>
      <c r="O3086" s="15">
        <f t="shared" si="821"/>
        <v>-0.14704995400923235</v>
      </c>
      <c r="P3086" s="15">
        <f t="shared" si="822"/>
        <v>0.3039245516553386</v>
      </c>
      <c r="Q3086" s="25" t="s">
        <v>33</v>
      </c>
      <c r="R3086" s="38" t="s">
        <v>52</v>
      </c>
      <c r="S3086" s="4">
        <f>(AVERAGE(O3083:O3088)/AVERAGE(P3083:P3088))</f>
        <v>-0.24470665012972403</v>
      </c>
      <c r="U3086" s="25" t="s">
        <v>54</v>
      </c>
      <c r="V3086" s="38" t="s">
        <v>52</v>
      </c>
      <c r="W3086" s="4">
        <f>(AVERAGE(O3083:O3088)/AVERAGE(P3083:P3088))</f>
        <v>-0.24470665012972403</v>
      </c>
      <c r="Y3086" s="25" t="s">
        <v>60</v>
      </c>
      <c r="Z3086" s="38" t="s">
        <v>52</v>
      </c>
      <c r="AA3086" s="4">
        <f>(AVERAGE(O3083:O3088)/AVERAGE(P3083:P3088))</f>
        <v>-0.24470665012972403</v>
      </c>
    </row>
    <row r="3087" spans="1:27">
      <c r="A3087" s="19">
        <f>_xll.ciqfunctions.udf.CIQ(A3078,"IQ_TOTAL_REV",IQ_LTM)</f>
        <v>533.94799999999998</v>
      </c>
      <c r="B3087" s="13">
        <v>10</v>
      </c>
      <c r="C3087" s="14" t="s">
        <v>34</v>
      </c>
      <c r="D3087" s="15" cm="1">
        <f t="array" ref="D3087">_xlfn.SINGLE(IF(A3086=A3087,_xll.ciqfunctions.udf.CIQ(A3078,"IQ_TOTAL_REV",IQ_FY-1)/I3087, _xll.ciqfunctions.udf.CIQ(A3078, "IQ_TOTAL_REV",IQ_FY)/I3087))</f>
        <v>2.7330296875318094</v>
      </c>
      <c r="E3087" s="16">
        <f t="shared" si="823"/>
        <v>0.33597398178360438</v>
      </c>
      <c r="F3087" s="15">
        <f>IF(A3086=A3087,_xll.ciqfunctions.udf.CIQ(A3078,"IQ_DILUT_EPS_EXCL",IQ_FY-1), _xll.ciqfunctions.udf.CIQ(A3078, "IQ_DILUT_EPS_EXCL",IQ_FY))</f>
        <v>0.25</v>
      </c>
      <c r="G3087" s="15">
        <f>IF(A3086=A3087,_xll.ciqfunctions.udf.CIQ(A3078,"IQ_EBITDA_MARGIN",IQ_FY-1), _xll.ciqfunctions.udf.CIQ(A3078, "IQ_EBITDA_MARGIN",IQ_FY))</f>
        <v>19.462499999999999</v>
      </c>
      <c r="H3087" s="15">
        <f>IF(A3086=A3087,_xll.ciqfunctions.udf.CIQ(A3078,"IQ_TOTAL_DIV_PAID_CF",IQ_FY-1)/-I3087, _xll.ciqfunctions.udf.CIQ(A3078, "IQ_TOTAL_DIV_PAID_CF",IQ_FY)/-I3087)</f>
        <v>0</v>
      </c>
      <c r="I3087" s="17">
        <f>IF(A3086=A3087,_xll.ciqfunctions.udf.CIQ(A3078,"IQ_TOTAL_OUTSTANDING_FILING_DATE",IQ_FY-1), _xll.ciqfunctions.udf.CIQ(A3078, "IQ_TOTAL_OUTSTANDING_FILING_DATE",IQ_FY))</f>
        <v>165.53717</v>
      </c>
      <c r="J3087" s="17">
        <f>IF(A3086=A3087,_xll.ciqfunctions.udf.CIQ(A3078,"IQ_CASH_OPER",IQ_FY-1), _xll.ciqfunctions.udf.CIQ(A3078, "IQ_CASH_OPER",IQ_FY))</f>
        <v>94.861999999999995</v>
      </c>
      <c r="K3087" s="17">
        <f>IF(A3086=A3087,_xll.ciqfunctions.udf.CIQ(A3078,"IQ_CAPEX",IQ_FY-1), _xll.ciqfunctions.udf.CIQ(A3078, "IQ_CAPEX",IQ_FY))</f>
        <v>-39.981000000000002</v>
      </c>
      <c r="L3087" s="15">
        <f t="shared" si="820"/>
        <v>0.33153279109459216</v>
      </c>
      <c r="M3087" s="17">
        <f>IF(A3086=A3087,_xll.ciqfunctions.udf.CIQ(A3078,"IQ_TOTAL_DEBT_ISSUED",IQ_FY-1), _xll.ciqfunctions.udf.CIQ(A3078, "IQ_TOTAL_DEBT_ISSUED",IQ_FY))</f>
        <v>0</v>
      </c>
      <c r="N3087" s="17">
        <f>IF(A3086=A3087,_xll.ciqfunctions.udf.CIQ(A3078,"IQ_TOTAL_DEBT_REPAID",IQ_FY-1), _xll.ciqfunctions.udf.CIQ(A3078, "IQ_TOTAL_DEBT_REPAID",IQ_FY))</f>
        <v>-1.9239999999999999</v>
      </c>
      <c r="O3087" s="15">
        <f t="shared" si="821"/>
        <v>-1.162276726127431E-2</v>
      </c>
      <c r="P3087" s="15">
        <f t="shared" si="822"/>
        <v>0.31991002383331785</v>
      </c>
      <c r="Q3087" s="25" t="s">
        <v>44</v>
      </c>
      <c r="R3087" s="38" t="s">
        <v>35</v>
      </c>
      <c r="S3087" s="1">
        <f>_xll.ciqfunctions.udf.CIQ(A3078,"IQ_TEV_EBITDA")</f>
        <v>44.538029999999999</v>
      </c>
      <c r="U3087" s="25" t="s">
        <v>55</v>
      </c>
      <c r="V3087" s="38" t="s">
        <v>53</v>
      </c>
      <c r="W3087" s="1" t="e">
        <f>V3077/(AVERAGE(D3083:D3088)/_xlfn.STDEV.P(E3083:E3088))</f>
        <v>#DIV/0!</v>
      </c>
      <c r="Y3087" s="25" t="s">
        <v>57</v>
      </c>
      <c r="Z3087" s="38" t="s">
        <v>53</v>
      </c>
      <c r="AA3087" s="1" t="e">
        <f>Z3077/(AVERAGE(D3083:D3088)/_xlfn.STDEV.P(E3083:E3088))</f>
        <v>#DIV/0!</v>
      </c>
    </row>
    <row r="3088" spans="1:27">
      <c r="B3088" s="13">
        <v>11</v>
      </c>
      <c r="C3088" s="20" t="s">
        <v>36</v>
      </c>
      <c r="D3088" s="21" cm="1">
        <f t="array" ref="D3088">_xlfn.SINGLE(IF(A3086=A3087,_xll.ciqfunctions.udf.CIQ(A3078,"IQ_TOTAL_REV",IQ_FY)/I3088, _xll.ciqfunctions.udf.CIQ(A3078, "IQ_TOTAL_REV",IQ_LTM)/I3088))</f>
        <v>3.1411283455318832</v>
      </c>
      <c r="E3088" s="22">
        <f t="shared" si="823"/>
        <v>0.1493209751294822</v>
      </c>
      <c r="F3088" s="21">
        <f>IF(A3086=A3087,_xll.ciqfunctions.udf.CIQ(A3078,"IQ_DILUT_EPS_EXCL",IQ_FY), _xll.ciqfunctions.udf.CIQ(A3078, "IQ_DILUT_EPS_EXCL",IQ_LTM))</f>
        <v>0.31966</v>
      </c>
      <c r="G3088" s="21">
        <f>IF(A3086=A3087,_xll.ciqfunctions.udf.CIQ(A3078,"IQ_EBITDA_MARGIN",IQ_FY), _xll.ciqfunctions.udf.CIQ(A3078, "IQ_EBITDA_MARGIN",IQ_LTM))</f>
        <v>20.249300000000002</v>
      </c>
      <c r="H3088" s="21">
        <f>IF(A3086=A3087,_xll.ciqfunctions.udf.CIQ(A3078,"IQ_TOTAL_DIV_PAID_CF",IQ_FY)/-I3088, _xll.ciqfunctions.udf.CIQ(A3078, "IQ_TOTAL_DIV_PAID_CF",IQ_LTM)/-I3088)</f>
        <v>0</v>
      </c>
      <c r="I3088" s="23">
        <f>IF(A3086=A3087,_xll.ciqfunctions.udf.CIQ(A3078,"IQ_TOTAL_OUTSTANDING_FILING_DATE",IQ_FY),_xll.ciqfunctions.udf.CIQ(A3078,"IQ_sharesoutstanding"))</f>
        <v>169.98605000000001</v>
      </c>
      <c r="J3088" s="23">
        <f>IF(A3086=A3087,_xll.ciqfunctions.udf.CIQ(A3078,"IQ_CASH_OPER",IQ_FY), _xll.ciqfunctions.udf.CIQ(A3078, "IQ_CASH_OPER",IQ_LTM))</f>
        <v>104.187</v>
      </c>
      <c r="K3088" s="23">
        <f>IF(A3086=A3087,_xll.ciqfunctions.udf.CIQ(A3078,"IQ_CAPEX",IQ_FY), _xll.ciqfunctions.udf.CIQ(A3078, "IQ_CAPEX",IQ_LTM))</f>
        <v>-24.571000000000002</v>
      </c>
      <c r="L3088" s="21">
        <f t="shared" si="820"/>
        <v>0.46836784547908489</v>
      </c>
      <c r="M3088" s="23">
        <f>IF(A3086=A3087,_xll.ciqfunctions.udf.CIQ(A3078,"IQ_TOTAL_DEBT_ISSUED",IQ_FY), _xll.ciqfunctions.udf.CIQ(A3078, "IQ_TOTAL_DEBT_ISSUED",IQ_LTM))</f>
        <v>50</v>
      </c>
      <c r="N3088" s="23">
        <f>IF(A3086=A3087,_xll.ciqfunctions.udf.CIQ(A3078,"IQ_TOTAL_DEBT_REPAID",IQ_FY), _xll.ciqfunctions.udf.CIQ(A3078, "IQ_TOTAL_DEBT_REPAID",IQ_LTM))</f>
        <v>-52.243000000000002</v>
      </c>
      <c r="O3088" s="21">
        <f t="shared" si="821"/>
        <v>-1.319520042968233E-2</v>
      </c>
      <c r="P3088" s="21">
        <f t="shared" si="822"/>
        <v>0.45517264504940258</v>
      </c>
      <c r="Q3088" s="25" t="s">
        <v>45</v>
      </c>
      <c r="S3088" s="45"/>
      <c r="U3088" s="25"/>
      <c r="W3088" s="45"/>
      <c r="Y3088" s="25"/>
      <c r="AA3088" s="45"/>
    </row>
    <row r="3089" spans="1:27">
      <c r="B3089" s="24"/>
      <c r="C3089" s="25" t="s">
        <v>37</v>
      </c>
      <c r="E3089" s="26">
        <f>((D3088/D3083)^(1/5))-1</f>
        <v>0.33268231713468044</v>
      </c>
      <c r="F3089" s="27">
        <f>((F3088/F3083)^(1/5))-1</f>
        <v>0.69630213024360499</v>
      </c>
      <c r="G3089" s="28"/>
      <c r="H3089" s="27" t="e">
        <f>((H3088/H3083)^(1/5))-1</f>
        <v>#DIV/0!</v>
      </c>
      <c r="I3089" s="27">
        <f>((I3088/I3083)^(1/5))-1</f>
        <v>4.019069579692669E-2</v>
      </c>
      <c r="J3089" s="27"/>
      <c r="K3089" s="27"/>
      <c r="L3089" s="26">
        <f>((L3088/L3083)^(1/5))-1</f>
        <v>0.44387712301209148</v>
      </c>
      <c r="M3089" s="26"/>
      <c r="N3089" s="26"/>
      <c r="O3089" s="26"/>
      <c r="P3089" s="26">
        <f>((P3088/P3083)^(1/5))-1</f>
        <v>0.13754222239149128</v>
      </c>
      <c r="Q3089" s="18"/>
      <c r="R3089" s="36"/>
      <c r="S3089" s="45"/>
      <c r="U3089" s="18"/>
      <c r="V3089" s="36"/>
      <c r="W3089" s="45"/>
      <c r="Y3089" s="18"/>
      <c r="Z3089" s="36"/>
      <c r="AA3089" s="45"/>
    </row>
    <row r="3090" spans="1:27">
      <c r="A3090" s="29"/>
      <c r="B3090" s="30"/>
      <c r="C3090" s="31" t="s">
        <v>38</v>
      </c>
      <c r="D3090" s="29"/>
      <c r="E3090" s="32" t="e">
        <f>((D3088/D3078)^(1/10))-1</f>
        <v>#DIV/0!</v>
      </c>
      <c r="F3090" s="33" t="e">
        <f>((F3088/F3078)^(1/10))-1</f>
        <v>#DIV/0!</v>
      </c>
      <c r="G3090" s="34"/>
      <c r="H3090" s="33" t="e">
        <f>((H3088/H3078)^(1/10))-1</f>
        <v>#DIV/0!</v>
      </c>
      <c r="I3090" s="33" t="e">
        <f>((I3088/I3078)^(1/10))-1</f>
        <v>#DIV/0!</v>
      </c>
      <c r="J3090" s="33"/>
      <c r="K3090" s="33"/>
      <c r="L3090" s="32" t="e">
        <f>((L3088/L3078)^(1/10))-1</f>
        <v>#DIV/0!</v>
      </c>
      <c r="M3090" s="32"/>
      <c r="N3090" s="32"/>
      <c r="O3090" s="32"/>
      <c r="P3090" s="32" t="e">
        <f>((P3088/P3078)^(1/10))-1</f>
        <v>#DIV/0!</v>
      </c>
      <c r="Q3090" s="40"/>
      <c r="R3090" s="41"/>
      <c r="S3090" s="46"/>
      <c r="U3090" s="40"/>
      <c r="V3090" s="41"/>
      <c r="W3090" s="46"/>
      <c r="Y3090" s="40"/>
      <c r="Z3090" s="41"/>
      <c r="AA3090" s="46"/>
    </row>
    <row r="3091" spans="1:27">
      <c r="B3091" s="24"/>
      <c r="C3091" s="25"/>
      <c r="E3091" s="26"/>
      <c r="F3091" s="27"/>
      <c r="G3091" s="28"/>
      <c r="H3091" s="27"/>
      <c r="I3091" s="27"/>
      <c r="J3091" s="27"/>
      <c r="K3091" s="27"/>
      <c r="L3091" s="26"/>
      <c r="M3091" s="17"/>
      <c r="N3091" s="17"/>
      <c r="O3091" s="17"/>
      <c r="P3091" s="35"/>
      <c r="Q3091" s="18"/>
      <c r="R3091" s="36"/>
    </row>
    <row r="3092" spans="1:27">
      <c r="A3092" s="9" t="s">
        <v>0</v>
      </c>
      <c r="B3092" s="10"/>
      <c r="C3092" s="9" t="s">
        <v>1</v>
      </c>
      <c r="D3092" s="9" t="s">
        <v>2</v>
      </c>
      <c r="E3092" s="9" t="s">
        <v>3</v>
      </c>
      <c r="F3092" s="11" t="s">
        <v>4</v>
      </c>
      <c r="G3092" s="11" t="s">
        <v>5</v>
      </c>
      <c r="H3092" s="9" t="s">
        <v>6</v>
      </c>
      <c r="I3092" s="11" t="s">
        <v>7</v>
      </c>
      <c r="J3092" s="11" t="s">
        <v>8</v>
      </c>
      <c r="K3092" s="11" t="s">
        <v>9</v>
      </c>
      <c r="L3092" s="11" t="s">
        <v>10</v>
      </c>
      <c r="M3092" s="11" t="s">
        <v>11</v>
      </c>
      <c r="N3092" s="11" t="s">
        <v>12</v>
      </c>
      <c r="O3092" s="11" t="s">
        <v>13</v>
      </c>
      <c r="P3092" s="11" t="s">
        <v>14</v>
      </c>
      <c r="Q3092" s="37" t="s">
        <v>15</v>
      </c>
      <c r="R3092" s="42">
        <f>_xll.ciqfunctions.udf.CIQ(A3093,("IQ_LASTSALEPRICE"))</f>
        <v>28.17</v>
      </c>
      <c r="S3092" s="44"/>
      <c r="U3092" s="37" t="s">
        <v>15</v>
      </c>
      <c r="V3092" s="42">
        <f>_xll.ciqfunctions.udf.CIQ(A3093,("IQ_LASTSALEPRICE"))</f>
        <v>28.17</v>
      </c>
      <c r="W3092" s="44"/>
      <c r="Y3092" s="37" t="s">
        <v>15</v>
      </c>
      <c r="Z3092" s="42">
        <f>_xll.ciqfunctions.udf.CIQ(A3093,("IQ_LASTSALEPRICE"))</f>
        <v>28.17</v>
      </c>
      <c r="AA3092" s="44"/>
    </row>
    <row r="3093" spans="1:27">
      <c r="A3093" s="12" t="str">
        <f>Analysis!B208</f>
        <v>NYSE:RNG</v>
      </c>
      <c r="B3093" s="13">
        <v>1</v>
      </c>
      <c r="C3093" s="14" t="s">
        <v>16</v>
      </c>
      <c r="D3093" s="15">
        <f>IF(A3101=A3102,_xll.ciqfunctions.udf.CIQ(A3093,"IQ_TOTAL_REV",IQ_FY-10)/I3093,_xll.ciqfunctions.udf.CIQ(A3093, "IQ_TOTAL_REV",IQ_FY-9)/I3093)</f>
        <v>2.4983628839206484</v>
      </c>
      <c r="E3093" s="16"/>
      <c r="F3093" s="15">
        <f>IF(A3101=A3102,_xll.ciqfunctions.udf.CIQ(A3093,"IQ_DILUT_EPS_EXCL",IQ_FY-10), _xll.ciqfunctions.udf.CIQ(A3093, "IQ_DILUT_EPS_EXCL",IQ_FY-9))</f>
        <v>-1.3903799999999999</v>
      </c>
      <c r="G3093" s="15">
        <f>IF(A3101=A3102,_xll.ciqfunctions.udf.CIQ(A3093,"IQ_EBITDA_MARGIN",IQ_FY-10), _xll.ciqfunctions.udf.CIQ(A3093, "IQ_EBITDA_MARGIN",IQ_FY-9))</f>
        <v>-18.038599999999999</v>
      </c>
      <c r="H3093" s="15">
        <f>IF(A3101=A3102,_xll.ciqfunctions.udf.CIQ(A3093,"IQ_TOTAL_DIV_PAID_CF",IQ_FY-10)/-I3093, _xll.ciqfunctions.udf.CIQ(A3093, "IQ_TOTAL_DIV_PAID_CF",IQ_FY-9)/-I3093)</f>
        <v>0</v>
      </c>
      <c r="I3093" s="17">
        <f>IF(A3101=A3102,_xll.ciqfunctions.udf.CIQ(A3093,"IQ_TOTAL_OUTSTANDING_FILING_DATE",IQ_FY-10), _xll.ciqfunctions.udf.CIQ(A3093, "IQ_TOTAL_OUTSTANDING_FILING_DATE",IQ_FY-9))</f>
        <v>64.244069999999994</v>
      </c>
      <c r="J3093" s="17">
        <f>IF(A3101=A3102,_xll.ciqfunctions.udf.CIQ(A3093,"IQ_CASH_OPER",IQ_FY-10), _xll.ciqfunctions.udf.CIQ(A3093, "IQ_CASH_OPER",IQ_FY-9))</f>
        <v>-23.771000000000001</v>
      </c>
      <c r="K3093" s="17">
        <f>IF(A3101=A3102,_xll.ciqfunctions.udf.CIQ(A3093,"IQ_CAPEX",IQ_FY-10), _xll.ciqfunctions.udf.CIQ(A3093, "IQ_CAPEX",IQ_FY-9))</f>
        <v>-10.789</v>
      </c>
      <c r="L3093" s="15">
        <f t="shared" ref="L3093:L3103" si="824">(J3093+K3093)/I3093</f>
        <v>-0.53794848302730514</v>
      </c>
      <c r="M3093" s="17">
        <f>IF(A3101=A3102,_xll.ciqfunctions.udf.CIQ(A3093,"IQ_TOTAL_DEBT_ISSUED",IQ_FY-10), _xll.ciqfunctions.udf.CIQ(A3093, "IQ_TOTAL_DEBT_ISSUED",IQ_FY-9))</f>
        <v>37.856999999999999</v>
      </c>
      <c r="N3093" s="17">
        <f>IF(A3101=A3102,_xll.ciqfunctions.udf.CIQ(A3093,"IQ_TOTAL_DEBT_REPAID",IQ_FY-10), _xll.ciqfunctions.udf.CIQ(A3093, "IQ_TOTAL_DEBT_REPAID",IQ_FY-9))</f>
        <v>-26.731000000000002</v>
      </c>
      <c r="O3093" s="15">
        <f t="shared" ref="O3093:O3103" si="825">(M3093+N3093)/I3093</f>
        <v>0.17318329925236678</v>
      </c>
      <c r="P3093" s="15">
        <f t="shared" ref="P3093:P3103" si="826">L3093+O3093</f>
        <v>-0.36476518377493838</v>
      </c>
      <c r="W3093" s="43"/>
      <c r="AA3093" s="43"/>
    </row>
    <row r="3094" spans="1:27">
      <c r="A3094" s="18" t="str">
        <f>_xll.ciqfunctions.udf.CIQ(A3093,"IQ_COMPANY_NAME")</f>
        <v>RingCentral, Inc.</v>
      </c>
      <c r="B3094" s="13">
        <v>2</v>
      </c>
      <c r="C3094" s="14" t="s">
        <v>17</v>
      </c>
      <c r="D3094" s="15">
        <f>IF(A3101=A3102,_xll.ciqfunctions.udf.CIQ(A3093,"IQ_TOTAL_REV",IQ_FY-9)/I3094, _xll.ciqfunctions.udf.CIQ(A3093, "IQ_TOTAL_REV",IQ_FY-8)/I3094)</f>
        <v>3.1979665605850514</v>
      </c>
      <c r="E3094" s="16">
        <f t="shared" ref="E3094:E3103" si="827">(D3094-D3093)/D3093</f>
        <v>0.28002484393561111</v>
      </c>
      <c r="F3094" s="15">
        <f>IF(A3101=A3102,_xll.ciqfunctions.udf.CIQ(A3093,"IQ_DILUT_EPS_EXCL",IQ_FY-9), _xll.ciqfunctions.udf.CIQ(A3093, "IQ_DILUT_EPS_EXCL",IQ_FY-8))</f>
        <v>-0.72345999999999999</v>
      </c>
      <c r="G3094" s="15">
        <f>IF(A3101=A3102,_xll.ciqfunctions.udf.CIQ(A3093,"IQ_EBITDA_MARGIN",IQ_FY-9), _xll.ciqfunctions.udf.CIQ(A3093, "IQ_EBITDA_MARGIN",IQ_FY-8))</f>
        <v>-15.8385</v>
      </c>
      <c r="H3094" s="15">
        <f>IF(A3101=A3102,_xll.ciqfunctions.udf.CIQ(A3093,"IQ_TOTAL_DIV_PAID_CF",IQ_FY-9)/-I3094, _xll.ciqfunctions.udf.CIQ(A3093, "IQ_TOTAL_DIV_PAID_CF",IQ_FY-8)/-I3094)</f>
        <v>0</v>
      </c>
      <c r="I3094" s="17">
        <f>IF(A3101=A3102,_xll.ciqfunctions.udf.CIQ(A3093,"IQ_TOTAL_OUTSTANDING_FILING_DATE",IQ_FY-9), _xll.ciqfunctions.udf.CIQ(A3093, "IQ_TOTAL_OUTSTANDING_FILING_DATE",IQ_FY-8))</f>
        <v>68.758380000000002</v>
      </c>
      <c r="J3094" s="17">
        <f>IF(A3101=A3102,_xll.ciqfunctions.udf.CIQ(A3093,"IQ_CASH_OPER",IQ_FY-9), _xll.ciqfunctions.udf.CIQ(A3093, "IQ_CASH_OPER",IQ_FY-8))</f>
        <v>-11.43</v>
      </c>
      <c r="K3094" s="17">
        <f>IF(A3101=A3102,_xll.ciqfunctions.udf.CIQ(A3093,"IQ_CAPEX",IQ_FY-9), _xll.ciqfunctions.udf.CIQ(A3093, "IQ_CAPEX",IQ_FY-8))</f>
        <v>-17.266999999999999</v>
      </c>
      <c r="L3094" s="15">
        <f t="shared" si="824"/>
        <v>-0.41736003669661792</v>
      </c>
      <c r="M3094" s="17">
        <f>IF(A3101=A3102,_xll.ciqfunctions.udf.CIQ(A3093,"IQ_TOTAL_DEBT_ISSUED",IQ_FY-9), _xll.ciqfunctions.udf.CIQ(A3093, "IQ_TOTAL_DEBT_ISSUED",IQ_FY-8))</f>
        <v>0</v>
      </c>
      <c r="N3094" s="17">
        <f>IF(A3101=A3102,_xll.ciqfunctions.udf.CIQ(A3093,"IQ_TOTAL_DEBT_REPAID",IQ_FY-9), _xll.ciqfunctions.udf.CIQ(A3093, "IQ_TOTAL_DEBT_REPAID",IQ_FY-8))</f>
        <v>-10.606999999999999</v>
      </c>
      <c r="O3094" s="15">
        <f t="shared" si="825"/>
        <v>-0.15426483288291548</v>
      </c>
      <c r="P3094" s="15">
        <f t="shared" si="826"/>
        <v>-0.5716248695795334</v>
      </c>
      <c r="Q3094" s="25" t="s">
        <v>18</v>
      </c>
      <c r="R3094" s="39" t="s">
        <v>19</v>
      </c>
      <c r="S3094" s="1">
        <f>R3092/((AVERAGE(P3098:P3103))*(1+E3104)^3)</f>
        <v>5.6623865412332544</v>
      </c>
      <c r="U3094" s="25" t="s">
        <v>48</v>
      </c>
      <c r="V3094" s="39" t="s">
        <v>19</v>
      </c>
      <c r="W3094" s="1">
        <f>V3092/((AVERAGE(P3098:P3103))*(1+E3104)^3)</f>
        <v>5.6623865412332544</v>
      </c>
      <c r="Y3094" s="25" t="s">
        <v>39</v>
      </c>
      <c r="Z3094" s="39" t="s">
        <v>19</v>
      </c>
      <c r="AA3094" s="1">
        <f>Z3092/((AVERAGE(P3098:P3103))*(1+E3104)^3)</f>
        <v>5.6623865412332544</v>
      </c>
    </row>
    <row r="3095" spans="1:27">
      <c r="B3095" s="13">
        <v>3</v>
      </c>
      <c r="C3095" s="14" t="s">
        <v>20</v>
      </c>
      <c r="D3095" s="15" cm="1">
        <f t="array" ref="D3095">_xlfn.SINGLE(IF(A3101=A3102,_xll.ciqfunctions.udf.CIQ(A3093,"IQ_TOTAL_REV",IQ_FY-8)/I3095, _xll.ciqfunctions.udf.CIQ(A3093, "IQ_TOTAL_REV",IQ_FY-7)/I3095))</f>
        <v>4.1138812453355191</v>
      </c>
      <c r="E3095" s="16">
        <f t="shared" si="827"/>
        <v>0.28640533520241246</v>
      </c>
      <c r="F3095" s="15">
        <f>IF(A3101=A3102,_xll.ciqfunctions.udf.CIQ(A3093,"IQ_DILUT_EPS_EXCL",IQ_FY-8), _xll.ciqfunctions.udf.CIQ(A3093, "IQ_DILUT_EPS_EXCL",IQ_FY-7))</f>
        <v>-0.45811000000000002</v>
      </c>
      <c r="G3095" s="15">
        <f>IF(A3101=A3102,_xll.ciqfunctions.udf.CIQ(A3093,"IQ_EBITDA_MARGIN",IQ_FY-8), _xll.ciqfunctions.udf.CIQ(A3093, "IQ_EBITDA_MARGIN",IQ_FY-7))</f>
        <v>-5.8956999999999997</v>
      </c>
      <c r="H3095" s="15">
        <f>IF(A3101=A3102,_xll.ciqfunctions.udf.CIQ(A3093,"IQ_TOTAL_DIV_PAID_CF",IQ_FY-8)/-I3095, _xll.ciqfunctions.udf.CIQ(A3093, "IQ_TOTAL_DIV_PAID_CF",IQ_FY-7)/-I3095)</f>
        <v>0</v>
      </c>
      <c r="I3095" s="17">
        <f>IF(A3101=A3102,_xll.ciqfunctions.udf.CIQ(A3093,"IQ_TOTAL_OUTSTANDING_FILING_DATE",IQ_FY-8), _xll.ciqfunctions.udf.CIQ(A3093, "IQ_TOTAL_OUTSTANDING_FILING_DATE",IQ_FY-7))</f>
        <v>72.00694</v>
      </c>
      <c r="J3095" s="17">
        <f>IF(A3101=A3102,_xll.ciqfunctions.udf.CIQ(A3093,"IQ_CASH_OPER",IQ_FY-8), _xll.ciqfunctions.udf.CIQ(A3093, "IQ_CASH_OPER",IQ_FY-7))</f>
        <v>5.0860000000000003</v>
      </c>
      <c r="K3095" s="17">
        <f>IF(A3101=A3102,_xll.ciqfunctions.udf.CIQ(A3093,"IQ_CAPEX",IQ_FY-8), _xll.ciqfunctions.udf.CIQ(A3093, "IQ_CAPEX",IQ_FY-7))</f>
        <v>-14.631</v>
      </c>
      <c r="L3095" s="15">
        <f t="shared" si="824"/>
        <v>-0.13255666745455369</v>
      </c>
      <c r="M3095" s="17">
        <f>IF(A3101=A3102,_xll.ciqfunctions.udf.CIQ(A3093,"IQ_TOTAL_DEBT_ISSUED",IQ_FY-8), _xll.ciqfunctions.udf.CIQ(A3093, "IQ_TOTAL_DEBT_ISSUED",IQ_FY-7))</f>
        <v>0</v>
      </c>
      <c r="N3095" s="17">
        <f>IF(A3101=A3102,_xll.ciqfunctions.udf.CIQ(A3093,"IQ_TOTAL_DEBT_REPAID",IQ_FY-8), _xll.ciqfunctions.udf.CIQ(A3093, "IQ_TOTAL_DEBT_REPAID",IQ_FY-7))</f>
        <v>-6.7359999999999998</v>
      </c>
      <c r="O3095" s="15">
        <f t="shared" si="825"/>
        <v>-9.3546538708630028E-2</v>
      </c>
      <c r="P3095" s="15">
        <f t="shared" si="826"/>
        <v>-0.22610320616318372</v>
      </c>
      <c r="Q3095" s="25" t="s">
        <v>21</v>
      </c>
      <c r="R3095" s="38" t="s">
        <v>49</v>
      </c>
      <c r="S3095" s="2">
        <f>(R3092*I3103)/1000</f>
        <v>2.6408549619000001</v>
      </c>
      <c r="U3095" s="25" t="s">
        <v>59</v>
      </c>
      <c r="V3095" s="38" t="s">
        <v>49</v>
      </c>
      <c r="W3095" s="2">
        <f>(V3092*I3103)/1000</f>
        <v>2.6408549619000001</v>
      </c>
      <c r="Y3095" s="25" t="s">
        <v>46</v>
      </c>
      <c r="Z3095" s="38" t="s">
        <v>49</v>
      </c>
      <c r="AA3095" s="2">
        <f>(Z3092*I3103)/1000</f>
        <v>2.6408549619000001</v>
      </c>
    </row>
    <row r="3096" spans="1:27">
      <c r="A3096" s="18"/>
      <c r="B3096" s="13">
        <v>4</v>
      </c>
      <c r="C3096" s="14" t="s">
        <v>22</v>
      </c>
      <c r="D3096" s="15" cm="1">
        <f t="array" ref="D3096">_xlfn.SINGLE(IF(A3101=A3102,_xll.ciqfunctions.udf.CIQ(A3093,"IQ_TOTAL_REV",IQ_FY-7)/I3096, _xll.ciqfunctions.udf.CIQ(A3093, "IQ_TOTAL_REV",IQ_FY-6)/I3096))</f>
        <v>5.1047015568537351</v>
      </c>
      <c r="E3096" s="16">
        <f t="shared" si="827"/>
        <v>0.24084805866519532</v>
      </c>
      <c r="F3096" s="15">
        <f>IF(A3101=A3102,_xll.ciqfunctions.udf.CIQ(A3093,"IQ_DILUT_EPS_EXCL",IQ_FY-7), _xll.ciqfunctions.udf.CIQ(A3093, "IQ_DILUT_EPS_EXCL",IQ_FY-6))</f>
        <v>-0.22228000000000001</v>
      </c>
      <c r="G3096" s="15">
        <f>IF(A3101=A3102,_xll.ciqfunctions.udf.CIQ(A3093,"IQ_EBITDA_MARGIN",IQ_FY-7), _xll.ciqfunctions.udf.CIQ(A3093, "IQ_EBITDA_MARGIN",IQ_FY-6))</f>
        <v>0.4718</v>
      </c>
      <c r="H3096" s="15">
        <f>IF(A3101=A3102,_xll.ciqfunctions.udf.CIQ(A3093,"IQ_TOTAL_DIV_PAID_CF",IQ_FY-7)/-I3096, _xll.ciqfunctions.udf.CIQ(A3093, "IQ_TOTAL_DIV_PAID_CF",IQ_FY-6)/-I3096)</f>
        <v>0</v>
      </c>
      <c r="I3096" s="17">
        <f>IF(A3101=A3102,_xll.ciqfunctions.udf.CIQ(A3093,"IQ_TOTAL_OUTSTANDING_FILING_DATE",IQ_FY-7), _xll.ciqfunctions.udf.CIQ(A3093, "IQ_TOTAL_OUTSTANDING_FILING_DATE",IQ_FY-6))</f>
        <v>74.526589999999999</v>
      </c>
      <c r="J3096" s="17">
        <f>IF(A3101=A3102,_xll.ciqfunctions.udf.CIQ(A3093,"IQ_CASH_OPER",IQ_FY-7), _xll.ciqfunctions.udf.CIQ(A3093, "IQ_CASH_OPER",IQ_FY-6))</f>
        <v>29.707999999999998</v>
      </c>
      <c r="K3096" s="17">
        <f>IF(A3101=A3102,_xll.ciqfunctions.udf.CIQ(A3093,"IQ_CAPEX",IQ_FY-7), _xll.ciqfunctions.udf.CIQ(A3093, "IQ_CAPEX",IQ_FY-6))</f>
        <v>-14.236000000000001</v>
      </c>
      <c r="L3096" s="15">
        <f t="shared" si="824"/>
        <v>0.20760375592120878</v>
      </c>
      <c r="M3096" s="17">
        <f>IF(A3101=A3102,_xll.ciqfunctions.udf.CIQ(A3093,"IQ_TOTAL_DEBT_ISSUED",IQ_FY-7), _xll.ciqfunctions.udf.CIQ(A3093, "IQ_TOTAL_DEBT_ISSUED",IQ_FY-6))</f>
        <v>0</v>
      </c>
      <c r="N3096" s="17">
        <f>IF(A3101=A3102,_xll.ciqfunctions.udf.CIQ(A3093,"IQ_TOTAL_DEBT_REPAID",IQ_FY-7), _xll.ciqfunctions.udf.CIQ(A3093, "IQ_TOTAL_DEBT_REPAID",IQ_FY-6))</f>
        <v>-4.0190000000000001</v>
      </c>
      <c r="O3096" s="15">
        <f t="shared" si="825"/>
        <v>-5.3927061468933439E-2</v>
      </c>
      <c r="P3096" s="15">
        <f t="shared" si="826"/>
        <v>0.15367669445227533</v>
      </c>
      <c r="Q3096" s="25" t="s">
        <v>23</v>
      </c>
      <c r="R3096" s="38" t="s">
        <v>24</v>
      </c>
      <c r="S3096" s="1" t="e">
        <f>R3092/(AVERAGE(H3098:H3103)*(1+H3104)/(0.5-H3104))</f>
        <v>#DIV/0!</v>
      </c>
      <c r="U3096" s="25" t="s">
        <v>40</v>
      </c>
      <c r="V3096" s="38" t="s">
        <v>24</v>
      </c>
      <c r="W3096" s="1" t="e">
        <f>V3092/(AVERAGE(H3098:H3103)*(1+H3104)/(0.5-H3104))</f>
        <v>#DIV/0!</v>
      </c>
      <c r="Y3096" s="25" t="s">
        <v>47</v>
      </c>
      <c r="Z3096" s="38" t="s">
        <v>24</v>
      </c>
      <c r="AA3096" s="1" t="e">
        <f>Z3092/(AVERAGE(H3098:H3103)*(1+H3104)/(0.5-H3104))</f>
        <v>#DIV/0!</v>
      </c>
    </row>
    <row r="3097" spans="1:27">
      <c r="B3097" s="13">
        <v>5</v>
      </c>
      <c r="C3097" s="14" t="s">
        <v>25</v>
      </c>
      <c r="D3097" s="15" cm="1">
        <f t="array" ref="D3097">_xlfn.SINGLE(IF(A3101=A3102,_xll.ciqfunctions.udf.CIQ(A3093,"IQ_TOTAL_REV",IQ_FY-6)/I3097, _xll.ciqfunctions.udf.CIQ(A3093, "IQ_TOTAL_REV",IQ_FY-5)/I3097))</f>
        <v>6.4014835280491438</v>
      </c>
      <c r="E3097" s="16">
        <f t="shared" si="827"/>
        <v>0.25403678486439779</v>
      </c>
      <c r="F3097" s="15">
        <f>IF(A3101=A3102,_xll.ciqfunctions.udf.CIQ(A3093,"IQ_DILUT_EPS_EXCL",IQ_FY-6), _xll.ciqfunctions.udf.CIQ(A3093, "IQ_DILUT_EPS_EXCL",IQ_FY-5))</f>
        <v>-5.5109999999999999E-2</v>
      </c>
      <c r="G3097" s="15">
        <f>IF(A3101=A3102,_xll.ciqfunctions.udf.CIQ(A3093,"IQ_EBITDA_MARGIN",IQ_FY-6), _xll.ciqfunctions.udf.CIQ(A3093, "IQ_EBITDA_MARGIN",IQ_FY-5))</f>
        <v>2.1595</v>
      </c>
      <c r="H3097" s="15">
        <f>IF(A3101=A3102,_xll.ciqfunctions.udf.CIQ(A3093,"IQ_TOTAL_DIV_PAID_CF",IQ_FY-6)/-I3097, _xll.ciqfunctions.udf.CIQ(A3093, "IQ_TOTAL_DIV_PAID_CF",IQ_FY-5)/-I3097)</f>
        <v>0</v>
      </c>
      <c r="I3097" s="17">
        <f>IF(A3101=A3102,_xll.ciqfunctions.udf.CIQ(A3093,"IQ_TOTAL_OUTSTANDING_FILING_DATE",IQ_FY-6), _xll.ciqfunctions.udf.CIQ(A3093, "IQ_TOTAL_OUTSTANDING_FILING_DATE",IQ_FY-5))</f>
        <v>78.67192</v>
      </c>
      <c r="J3097" s="17">
        <f>IF(A3101=A3102,_xll.ciqfunctions.udf.CIQ(A3093,"IQ_CASH_OPER",IQ_FY-6), _xll.ciqfunctions.udf.CIQ(A3093, "IQ_CASH_OPER",IQ_FY-5))</f>
        <v>41.164999999999999</v>
      </c>
      <c r="K3097" s="17">
        <f>IF(A3101=A3102,_xll.ciqfunctions.udf.CIQ(A3093,"IQ_CAPEX",IQ_FY-6), _xll.ciqfunctions.udf.CIQ(A3093, "IQ_CAPEX",IQ_FY-5))</f>
        <v>-19.497</v>
      </c>
      <c r="L3097" s="15">
        <f t="shared" si="824"/>
        <v>0.2754222853592489</v>
      </c>
      <c r="M3097" s="17">
        <f>IF(A3101=A3102,_xll.ciqfunctions.udf.CIQ(A3093,"IQ_TOTAL_DEBT_ISSUED",IQ_FY-6), _xll.ciqfunctions.udf.CIQ(A3093, "IQ_TOTAL_DEBT_ISSUED",IQ_FY-5))</f>
        <v>0</v>
      </c>
      <c r="N3097" s="17">
        <f>IF(A3101=A3102,_xll.ciqfunctions.udf.CIQ(A3093,"IQ_TOTAL_DEBT_REPAID",IQ_FY-6), _xll.ciqfunctions.udf.CIQ(A3093, "IQ_TOTAL_DEBT_REPAID",IQ_FY-5))</f>
        <v>-15.021000000000001</v>
      </c>
      <c r="O3097" s="15">
        <f t="shared" si="825"/>
        <v>-0.19093216486899012</v>
      </c>
      <c r="P3097" s="15">
        <f t="shared" si="826"/>
        <v>8.449012049025878E-2</v>
      </c>
      <c r="Q3097" s="18"/>
      <c r="R3097" s="38" t="s">
        <v>50</v>
      </c>
      <c r="S3097" s="3">
        <f>I3104</f>
        <v>2.9038855663037433E-2</v>
      </c>
      <c r="U3097" s="18"/>
      <c r="V3097" s="38" t="s">
        <v>50</v>
      </c>
      <c r="W3097" s="3">
        <f>I3104</f>
        <v>2.9038855663037433E-2</v>
      </c>
      <c r="Y3097" s="18"/>
      <c r="Z3097" s="38" t="s">
        <v>50</v>
      </c>
      <c r="AA3097" s="3">
        <f>I3104</f>
        <v>2.9038855663037433E-2</v>
      </c>
    </row>
    <row r="3098" spans="1:27">
      <c r="B3098" s="13">
        <v>6</v>
      </c>
      <c r="C3098" s="14" t="s">
        <v>26</v>
      </c>
      <c r="D3098" s="15" cm="1">
        <f t="array" ref="D3098">_xlfn.SINGLE(IF(A3101=A3102,_xll.ciqfunctions.udf.CIQ(A3093,"IQ_TOTAL_REV",IQ_FY-5)/I3098, _xll.ciqfunctions.udf.CIQ(A3093, "IQ_TOTAL_REV",IQ_FY-4)/I3098))</f>
        <v>8.2912253135284804</v>
      </c>
      <c r="E3098" s="16">
        <f t="shared" si="827"/>
        <v>0.29520372538633033</v>
      </c>
      <c r="F3098" s="15">
        <f>IF(A3101=A3102,_xll.ciqfunctions.udf.CIQ(A3093,"IQ_DILUT_EPS_EXCL",IQ_FY-5), _xll.ciqfunctions.udf.CIQ(A3093, "IQ_DILUT_EPS_EXCL",IQ_FY-4))</f>
        <v>-0.3296</v>
      </c>
      <c r="G3098" s="15">
        <f>IF(A3101=A3102,_xll.ciqfunctions.udf.CIQ(A3093,"IQ_EBITDA_MARGIN",IQ_FY-5), _xll.ciqfunctions.udf.CIQ(A3093, "IQ_EBITDA_MARGIN",IQ_FY-4))</f>
        <v>1.0148999999999999</v>
      </c>
      <c r="H3098" s="15">
        <f>IF(A3101=A3102,_xll.ciqfunctions.udf.CIQ(A3093,"IQ_TOTAL_DIV_PAID_CF",IQ_FY-5)/-I3098, _xll.ciqfunctions.udf.CIQ(A3093, "IQ_TOTAL_DIV_PAID_CF",IQ_FY-4)/-I3098)</f>
        <v>0</v>
      </c>
      <c r="I3098" s="17">
        <f>IF(A3101=A3102,_xll.ciqfunctions.udf.CIQ(A3093,"IQ_TOTAL_OUTSTANDING_FILING_DATE",IQ_FY-5), _xll.ciqfunctions.udf.CIQ(A3093, "IQ_TOTAL_OUTSTANDING_FILING_DATE",IQ_FY-4))</f>
        <v>81.245410000000007</v>
      </c>
      <c r="J3098" s="17">
        <f>IF(A3101=A3102,_xll.ciqfunctions.udf.CIQ(A3093,"IQ_CASH_OPER",IQ_FY-5), _xll.ciqfunctions.udf.CIQ(A3093, "IQ_CASH_OPER",IQ_FY-4))</f>
        <v>72.13</v>
      </c>
      <c r="K3098" s="17">
        <f>IF(A3101=A3102,_xll.ciqfunctions.udf.CIQ(A3093,"IQ_CAPEX",IQ_FY-5), _xll.ciqfunctions.udf.CIQ(A3093, "IQ_CAPEX",IQ_FY-4))</f>
        <v>-27.123000000000001</v>
      </c>
      <c r="L3098" s="15">
        <f t="shared" si="824"/>
        <v>0.5539636023745832</v>
      </c>
      <c r="M3098" s="17">
        <f>IF(A3101=A3102,_xll.ciqfunctions.udf.CIQ(A3093,"IQ_TOTAL_DEBT_ISSUED",IQ_FY-5), _xll.ciqfunctions.udf.CIQ(A3093, "IQ_TOTAL_DEBT_ISSUED",IQ_FY-4))</f>
        <v>449.45699999999999</v>
      </c>
      <c r="N3098" s="17">
        <f>IF(A3101=A3102,_xll.ciqfunctions.udf.CIQ(A3093,"IQ_TOTAL_DEBT_REPAID",IQ_FY-5), _xll.ciqfunctions.udf.CIQ(A3093, "IQ_TOTAL_DEBT_REPAID",IQ_FY-4))</f>
        <v>-0.74099999999999999</v>
      </c>
      <c r="O3098" s="15">
        <f t="shared" si="825"/>
        <v>5.522970466885452</v>
      </c>
      <c r="P3098" s="15">
        <f t="shared" si="826"/>
        <v>6.0769340692600355</v>
      </c>
      <c r="Q3098" s="25" t="s">
        <v>27</v>
      </c>
      <c r="R3098" s="38" t="s">
        <v>51</v>
      </c>
      <c r="S3098" s="4">
        <f>AVERAGE(F3098:F3103)/AVERAGE(D3098:D3103)</f>
        <v>-0.21050859546690465</v>
      </c>
      <c r="U3098" s="25" t="s">
        <v>58</v>
      </c>
      <c r="V3098" s="38" t="s">
        <v>51</v>
      </c>
      <c r="W3098" s="4">
        <f>AVERAGE(F3098:F3103)/AVERAGE(D3098:D3103)</f>
        <v>-0.21050859546690465</v>
      </c>
      <c r="Y3098" s="25" t="s">
        <v>56</v>
      </c>
      <c r="Z3098" s="38" t="s">
        <v>51</v>
      </c>
      <c r="AA3098" s="4">
        <f>AVERAGE(F3098:F3103)/AVERAGE(D3098:D3103)</f>
        <v>-0.21050859546690465</v>
      </c>
    </row>
    <row r="3099" spans="1:27">
      <c r="A3099" s="18"/>
      <c r="B3099" s="13">
        <v>7</v>
      </c>
      <c r="C3099" s="14" t="s">
        <v>28</v>
      </c>
      <c r="D3099" s="15" cm="1">
        <f t="array" ref="D3099">_xlfn.SINGLE(IF(A3101=A3102,_xll.ciqfunctions.udf.CIQ(A3093,"IQ_TOTAL_REV",IQ_FY-4)/I3099, _xll.ciqfunctions.udf.CIQ(A3093, "IQ_TOTAL_REV",IQ_FY-3)/I3099))</f>
        <v>10.365223213393929</v>
      </c>
      <c r="E3099" s="16">
        <f t="shared" si="827"/>
        <v>0.25014371476329123</v>
      </c>
      <c r="F3099" s="15">
        <f>IF(A3101=A3102,_xll.ciqfunctions.udf.CIQ(A3093,"IQ_DILUT_EPS_EXCL",IQ_FY-4), _xll.ciqfunctions.udf.CIQ(A3093, "IQ_DILUT_EPS_EXCL",IQ_FY-3))</f>
        <v>-0.64485999999999999</v>
      </c>
      <c r="G3099" s="15">
        <f>IF(A3101=A3102,_xll.ciqfunctions.udf.CIQ(A3093,"IQ_EBITDA_MARGIN",IQ_FY-4), _xll.ciqfunctions.udf.CIQ(A3093, "IQ_EBITDA_MARGIN",IQ_FY-3))</f>
        <v>-0.86439999999999995</v>
      </c>
      <c r="H3099" s="15">
        <f>IF(A3101=A3102,_xll.ciqfunctions.udf.CIQ(A3093,"IQ_TOTAL_DIV_PAID_CF",IQ_FY-4)/-I3099, _xll.ciqfunctions.udf.CIQ(A3093, "IQ_TOTAL_DIV_PAID_CF",IQ_FY-3)/-I3099)</f>
        <v>0</v>
      </c>
      <c r="I3099" s="17">
        <f>IF(A3101=A3102,_xll.ciqfunctions.udf.CIQ(A3093,"IQ_TOTAL_OUTSTANDING_FILING_DATE",IQ_FY-4), _xll.ciqfunctions.udf.CIQ(A3093, "IQ_TOTAL_OUTSTANDING_FILING_DATE",IQ_FY-3))</f>
        <v>87.10454</v>
      </c>
      <c r="J3099" s="17">
        <f>IF(A3101=A3102,_xll.ciqfunctions.udf.CIQ(A3093,"IQ_CASH_OPER",IQ_FY-4), _xll.ciqfunctions.udf.CIQ(A3093, "IQ_CASH_OPER",IQ_FY-3))</f>
        <v>64.846000000000004</v>
      </c>
      <c r="K3099" s="17">
        <f>IF(A3101=A3102,_xll.ciqfunctions.udf.CIQ(A3093,"IQ_CAPEX",IQ_FY-4), _xll.ciqfunctions.udf.CIQ(A3093, "IQ_CAPEX",IQ_FY-3))</f>
        <v>-27.766999999999999</v>
      </c>
      <c r="L3099" s="15">
        <f t="shared" si="824"/>
        <v>0.42568389661434419</v>
      </c>
      <c r="M3099" s="17">
        <f>IF(A3101=A3102,_xll.ciqfunctions.udf.CIQ(A3093,"IQ_TOTAL_DEBT_ISSUED",IQ_FY-4), _xll.ciqfunctions.udf.CIQ(A3093, "IQ_TOTAL_DEBT_ISSUED",IQ_FY-3))</f>
        <v>0</v>
      </c>
      <c r="N3099" s="17">
        <f>IF(A3101=A3102,_xll.ciqfunctions.udf.CIQ(A3093,"IQ_TOTAL_DEBT_REPAID",IQ_FY-4), _xll.ciqfunctions.udf.CIQ(A3093, "IQ_TOTAL_DEBT_REPAID",IQ_FY-3))</f>
        <v>-0.94299999999999995</v>
      </c>
      <c r="O3099" s="15">
        <f t="shared" si="825"/>
        <v>-1.0826071752402343E-2</v>
      </c>
      <c r="P3099" s="15">
        <f t="shared" si="826"/>
        <v>0.41485782486194184</v>
      </c>
      <c r="Q3099" s="18"/>
      <c r="R3099" s="38" t="s">
        <v>29</v>
      </c>
      <c r="S3099" s="4">
        <f>(AVERAGE(P3098:P3103)/_xlfn.STDEV.P(P3098:P3103))/(IF(A3101=A3102,(_xlfn.SINGLE(_xll.ciqfunctions.udf.CIQ(A3093,"IQ_total_assets",IQ_FY)) - _xlfn.SINGLE(_xll.ciqfunctions.udf.CIQ(A3093,"iq_gw_intan", IQ_FY)))/I3103, (_xlfn.SINGLE(_xll.ciqfunctions.udf.CIQ(A3093, "IQ_total_assets",IQ_LTM))-_xlfn.SINGLE(_xll.ciqfunctions.udf.CIQ(A3093,"iq_gw_intan",IQ_LTM)))/I3103))</f>
        <v>4.9674449020514044E-2</v>
      </c>
      <c r="U3099" s="18"/>
      <c r="V3099" s="38" t="s">
        <v>29</v>
      </c>
      <c r="W3099" s="4">
        <f>(AVERAGE(P3098:P3103)/_xlfn.STDEV.P(P3098:P3103))/(IF(A3101=A3102,(_xlfn.SINGLE(_xll.ciqfunctions.udf.CIQ(A3093,"IQ_total_assets",IQ_FY)) - _xlfn.SINGLE(_xll.ciqfunctions.udf.CIQ(A3093,"iq_gw_intan", IQ_FY)))/I3103, (_xlfn.SINGLE(_xll.ciqfunctions.udf.CIQ(A3093, "IQ_total_assets",IQ_LTM))-_xlfn.SINGLE(_xll.ciqfunctions.udf.CIQ(A3093,"iq_gw_intan",IQ_LTM)))/I3103))</f>
        <v>4.9674449020514044E-2</v>
      </c>
      <c r="Y3099" s="18"/>
      <c r="Z3099" s="38" t="s">
        <v>29</v>
      </c>
      <c r="AA3099" s="4">
        <f>(AVERAGE(P3098:P3103)/_xlfn.STDEV.P(P3098:P3103))/(IF(A3101=A3102,(_xlfn.SINGLE(_xll.ciqfunctions.udf.CIQ(A3093,"IQ_total_assets",IQ_FY)) - _xlfn.SINGLE(_xll.ciqfunctions.udf.CIQ(A3093,"iq_gw_intan", IQ_FY)))/I3103, (_xlfn.SINGLE(_xll.ciqfunctions.udf.CIQ(A3093, "IQ_total_assets",IQ_LTM))-_xlfn.SINGLE(_xll.ciqfunctions.udf.CIQ(A3093,"iq_gw_intan",IQ_LTM)))/I3103))</f>
        <v>4.9674449020514044E-2</v>
      </c>
    </row>
    <row r="3100" spans="1:27">
      <c r="A3100" s="18"/>
      <c r="B3100" s="13">
        <v>8</v>
      </c>
      <c r="C3100" s="14" t="s">
        <v>30</v>
      </c>
      <c r="D3100" s="15" cm="1">
        <f t="array" ref="D3100">_xlfn.SINGLE(IF(A3101=A3102,_xll.ciqfunctions.udf.CIQ(A3093,"IQ_TOTAL_REV",IQ_FY-3)/I3100, _xll.ciqfunctions.udf.CIQ(A3093, "IQ_TOTAL_REV",IQ_FY-2)/I3100))</f>
        <v>13.080161082891472</v>
      </c>
      <c r="E3100" s="16">
        <f t="shared" si="827"/>
        <v>0.26192758357478535</v>
      </c>
      <c r="F3100" s="15">
        <f>IF(A3101=A3102,_xll.ciqfunctions.udf.CIQ(A3093,"IQ_DILUT_EPS_EXCL",IQ_FY-3), _xll.ciqfunctions.udf.CIQ(A3093, "IQ_DILUT_EPS_EXCL",IQ_FY-2))</f>
        <v>-0.93586000000000003</v>
      </c>
      <c r="G3100" s="15">
        <f>IF(A3101=A3102,_xll.ciqfunctions.udf.CIQ(A3093,"IQ_EBITDA_MARGIN",IQ_FY-3), _xll.ciqfunctions.udf.CIQ(A3093, "IQ_EBITDA_MARGIN",IQ_FY-2))</f>
        <v>-3.1787999999999998</v>
      </c>
      <c r="H3100" s="15">
        <f>IF(A3101=A3102,_xll.ciqfunctions.udf.CIQ(A3093,"IQ_TOTAL_DIV_PAID_CF",IQ_FY-3)/-I3100, _xll.ciqfunctions.udf.CIQ(A3093, "IQ_TOTAL_DIV_PAID_CF",IQ_FY-2)/-I3100)</f>
        <v>0</v>
      </c>
      <c r="I3100" s="17">
        <f>IF(A3101=A3102,_xll.ciqfunctions.udf.CIQ(A3093,"IQ_TOTAL_OUTSTANDING_FILING_DATE",IQ_FY-3), _xll.ciqfunctions.udf.CIQ(A3093, "IQ_TOTAL_OUTSTANDING_FILING_DATE",IQ_FY-2))</f>
        <v>90.492540000000005</v>
      </c>
      <c r="J3100" s="17">
        <f>IF(A3101=A3102,_xll.ciqfunctions.udf.CIQ(A3093,"IQ_CASH_OPER",IQ_FY-3), _xll.ciqfunctions.udf.CIQ(A3093, "IQ_CASH_OPER",IQ_FY-2))</f>
        <v>-35.191000000000003</v>
      </c>
      <c r="K3100" s="17">
        <f>IF(A3101=A3102,_xll.ciqfunctions.udf.CIQ(A3093,"IQ_CAPEX",IQ_FY-3), _xll.ciqfunctions.udf.CIQ(A3093, "IQ_CAPEX",IQ_FY-2))</f>
        <v>-43.618000000000002</v>
      </c>
      <c r="L3100" s="15">
        <f t="shared" si="824"/>
        <v>-0.87088946779480381</v>
      </c>
      <c r="M3100" s="17">
        <f>IF(A3101=A3102,_xll.ciqfunctions.udf.CIQ(A3093,"IQ_TOTAL_DEBT_ISSUED",IQ_FY-3), _xll.ciqfunctions.udf.CIQ(A3093, "IQ_TOTAL_DEBT_ISSUED",IQ_FY-2))</f>
        <v>1627.1769999999999</v>
      </c>
      <c r="N3100" s="17">
        <f>IF(A3101=A3102,_xll.ciqfunctions.udf.CIQ(A3093,"IQ_TOTAL_DEBT_REPAID",IQ_FY-3), _xll.ciqfunctions.udf.CIQ(A3093, "IQ_TOTAL_DEBT_REPAID",IQ_FY-2))</f>
        <v>-1087.7570000000001</v>
      </c>
      <c r="O3100" s="15">
        <f t="shared" si="825"/>
        <v>5.9609333542853342</v>
      </c>
      <c r="P3100" s="15">
        <f t="shared" si="826"/>
        <v>5.0900438864905304</v>
      </c>
      <c r="Q3100" s="18"/>
      <c r="R3100" s="39" t="s">
        <v>31</v>
      </c>
      <c r="S3100" s="5">
        <f>IF(NOT(D3093&gt;0),FALSE,SLOPE(G3093:G3103,B3093:B3103))</f>
        <v>1.0407345454545456</v>
      </c>
      <c r="U3100" s="18"/>
      <c r="V3100" s="39" t="s">
        <v>31</v>
      </c>
      <c r="W3100" s="5">
        <f>IF(NOT(D3093&gt;0),FALSE,SLOPE(G3093:G3103,B3093:B3103))</f>
        <v>1.0407345454545456</v>
      </c>
      <c r="Y3100" s="18"/>
      <c r="Z3100" s="39" t="s">
        <v>31</v>
      </c>
      <c r="AA3100" s="5" t="b">
        <f>IF(NOT(L3093&gt;0),FALSE,SLOPE(O3093:O3103,J3093:J3103))</f>
        <v>0</v>
      </c>
    </row>
    <row r="3101" spans="1:27">
      <c r="A3101" s="19">
        <f>_xll.ciqfunctions.udf.CIQ(A3093,"IQ_TOTAL_REV",IQ_FY)</f>
        <v>1988.33</v>
      </c>
      <c r="B3101" s="13">
        <v>9</v>
      </c>
      <c r="C3101" s="14" t="s">
        <v>32</v>
      </c>
      <c r="D3101" s="15" cm="1">
        <f t="array" ref="D3101">_xlfn.SINGLE(IF(A3101=A3102,_xll.ciqfunctions.udf.CIQ(A3093,"IQ_TOTAL_REV",IQ_FY-2)/I3101, _xll.ciqfunctions.udf.CIQ(A3093, "IQ_TOTAL_REV",IQ_FY-1)/I3101))</f>
        <v>16.886037243743974</v>
      </c>
      <c r="E3101" s="16">
        <f t="shared" si="827"/>
        <v>0.2909655421469155</v>
      </c>
      <c r="F3101" s="15">
        <f>IF(A3101=A3102,_xll.ciqfunctions.udf.CIQ(A3093,"IQ_DILUT_EPS_EXCL",IQ_FY-2), _xll.ciqfunctions.udf.CIQ(A3093, "IQ_DILUT_EPS_EXCL",IQ_FY-1))</f>
        <v>-4.1013500000000001</v>
      </c>
      <c r="G3101" s="15">
        <f>IF(A3101=A3102,_xll.ciqfunctions.udf.CIQ(A3093,"IQ_EBITDA_MARGIN",IQ_FY-2), _xll.ciqfunctions.udf.CIQ(A3093, "IQ_EBITDA_MARGIN",IQ_FY-1))</f>
        <v>-11.0671</v>
      </c>
      <c r="H3101" s="15">
        <f>IF(A3101=A3102,_xll.ciqfunctions.udf.CIQ(A3093,"IQ_TOTAL_DIV_PAID_CF",IQ_FY-2)/-I3101, _xll.ciqfunctions.udf.CIQ(A3093, "IQ_TOTAL_DIV_PAID_CF",IQ_FY-1)/-I3101)</f>
        <v>0</v>
      </c>
      <c r="I3101" s="17">
        <f>IF(A3101=A3102,_xll.ciqfunctions.udf.CIQ(A3093,"IQ_TOTAL_OUTSTANDING_FILING_DATE",IQ_FY-2), _xll.ciqfunctions.udf.CIQ(A3093, "IQ_TOTAL_OUTSTANDING_FILING_DATE",IQ_FY-1))</f>
        <v>94.442170000000004</v>
      </c>
      <c r="J3101" s="17">
        <f>IF(A3101=A3102,_xll.ciqfunctions.udf.CIQ(A3093,"IQ_CASH_OPER",IQ_FY-2), _xll.ciqfunctions.udf.CIQ(A3093, "IQ_CASH_OPER",IQ_FY-1))</f>
        <v>152.15100000000001</v>
      </c>
      <c r="K3101" s="17">
        <f>IF(A3101=A3102,_xll.ciqfunctions.udf.CIQ(A3093,"IQ_CAPEX",IQ_FY-2), _xll.ciqfunctions.udf.CIQ(A3093, "IQ_CAPEX",IQ_FY-1))</f>
        <v>-28.959</v>
      </c>
      <c r="L3101" s="15">
        <f t="shared" si="824"/>
        <v>1.304417295790641</v>
      </c>
      <c r="M3101" s="17">
        <f>IF(A3101=A3102,_xll.ciqfunctions.udf.CIQ(A3093,"IQ_TOTAL_DEBT_ISSUED",IQ_FY-2), _xll.ciqfunctions.udf.CIQ(A3093, "IQ_TOTAL_DEBT_ISSUED",IQ_FY-1))</f>
        <v>0</v>
      </c>
      <c r="N3101" s="17">
        <f>IF(A3101=A3102,_xll.ciqfunctions.udf.CIQ(A3093,"IQ_TOTAL_DEBT_REPAID",IQ_FY-2), _xll.ciqfunctions.udf.CIQ(A3093, "IQ_TOTAL_DEBT_REPAID",IQ_FY-1))</f>
        <v>-337.79199999999997</v>
      </c>
      <c r="O3101" s="15">
        <f t="shared" si="825"/>
        <v>-3.5767073119984425</v>
      </c>
      <c r="P3101" s="15">
        <f t="shared" si="826"/>
        <v>-2.2722900162078012</v>
      </c>
      <c r="Q3101" s="25" t="s">
        <v>33</v>
      </c>
      <c r="R3101" s="38" t="s">
        <v>52</v>
      </c>
      <c r="S3101" s="4">
        <f>(AVERAGE(O3098:O3103)/AVERAGE(P3098:P3103))</f>
        <v>0.61312636208074245</v>
      </c>
      <c r="U3101" s="25" t="s">
        <v>54</v>
      </c>
      <c r="V3101" s="38" t="s">
        <v>52</v>
      </c>
      <c r="W3101" s="4">
        <f>(AVERAGE(O3098:O3103)/AVERAGE(P3098:P3103))</f>
        <v>0.61312636208074245</v>
      </c>
      <c r="Y3101" s="25" t="s">
        <v>60</v>
      </c>
      <c r="Z3101" s="38" t="s">
        <v>52</v>
      </c>
      <c r="AA3101" s="4">
        <f>(AVERAGE(O3098:O3103)/AVERAGE(P3098:P3103))</f>
        <v>0.61312636208074245</v>
      </c>
    </row>
    <row r="3102" spans="1:27">
      <c r="A3102" s="19">
        <f>_xll.ciqfunctions.udf.CIQ(A3093,"IQ_TOTAL_REV",IQ_LTM)</f>
        <v>2155.904</v>
      </c>
      <c r="B3102" s="13">
        <v>10</v>
      </c>
      <c r="C3102" s="14" t="s">
        <v>34</v>
      </c>
      <c r="D3102" s="15" cm="1">
        <f t="array" ref="D3102">_xlfn.SINGLE(IF(A3101=A3102,_xll.ciqfunctions.udf.CIQ(A3093,"IQ_TOTAL_REV",IQ_FY-1)/I3102, _xll.ciqfunctions.udf.CIQ(A3093, "IQ_TOTAL_REV",IQ_FY)/I3102))</f>
        <v>20.825813857760675</v>
      </c>
      <c r="E3102" s="16">
        <f t="shared" si="827"/>
        <v>0.23331564162434437</v>
      </c>
      <c r="F3102" s="15">
        <f>IF(A3101=A3102,_xll.ciqfunctions.udf.CIQ(A3093,"IQ_DILUT_EPS_EXCL",IQ_FY-1), _xll.ciqfunctions.udf.CIQ(A3093, "IQ_DILUT_EPS_EXCL",IQ_FY))</f>
        <v>-9.2311599999999991</v>
      </c>
      <c r="G3102" s="15">
        <f>IF(A3101=A3102,_xll.ciqfunctions.udf.CIQ(A3093,"IQ_EBITDA_MARGIN",IQ_FY-1), _xll.ciqfunctions.udf.CIQ(A3093, "IQ_EBITDA_MARGIN",IQ_FY))</f>
        <v>-5.1045999999999996</v>
      </c>
      <c r="H3102" s="15">
        <f>IF(A3101=A3102,_xll.ciqfunctions.udf.CIQ(A3093,"IQ_TOTAL_DIV_PAID_CF",IQ_FY-1)/-I3102, _xll.ciqfunctions.udf.CIQ(A3093, "IQ_TOTAL_DIV_PAID_CF",IQ_FY)/-I3102)</f>
        <v>0</v>
      </c>
      <c r="I3102" s="17">
        <f>IF(A3101=A3102,_xll.ciqfunctions.udf.CIQ(A3093,"IQ_TOTAL_OUTSTANDING_FILING_DATE",IQ_FY-1), _xll.ciqfunctions.udf.CIQ(A3093, "IQ_TOTAL_OUTSTANDING_FILING_DATE",IQ_FY))</f>
        <v>95.474299999999999</v>
      </c>
      <c r="J3102" s="17">
        <f>IF(A3101=A3102,_xll.ciqfunctions.udf.CIQ(A3093,"IQ_CASH_OPER",IQ_FY-1), _xll.ciqfunctions.udf.CIQ(A3093, "IQ_CASH_OPER",IQ_FY))</f>
        <v>191.30500000000001</v>
      </c>
      <c r="K3102" s="17">
        <f>IF(A3101=A3102,_xll.ciqfunctions.udf.CIQ(A3093,"IQ_CAPEX",IQ_FY-1), _xll.ciqfunctions.udf.CIQ(A3093, "IQ_CAPEX",IQ_FY))</f>
        <v>-32.713000000000001</v>
      </c>
      <c r="L3102" s="15">
        <f t="shared" si="824"/>
        <v>1.6610962321797595</v>
      </c>
      <c r="M3102" s="17">
        <f>IF(A3101=A3102,_xll.ciqfunctions.udf.CIQ(A3093,"IQ_TOTAL_DEBT_ISSUED",IQ_FY-1), _xll.ciqfunctions.udf.CIQ(A3093, "IQ_TOTAL_DEBT_ISSUED",IQ_FY))</f>
        <v>0</v>
      </c>
      <c r="N3102" s="17">
        <f>IF(A3101=A3102,_xll.ciqfunctions.udf.CIQ(A3093,"IQ_TOTAL_DEBT_REPAID",IQ_FY-1), _xll.ciqfunctions.udf.CIQ(A3093, "IQ_TOTAL_DEBT_REPAID",IQ_FY))</f>
        <v>-4.8150000000000004</v>
      </c>
      <c r="O3102" s="15">
        <f t="shared" si="825"/>
        <v>-5.0432420033454037E-2</v>
      </c>
      <c r="P3102" s="15">
        <f t="shared" si="826"/>
        <v>1.6106638121463055</v>
      </c>
      <c r="Q3102" s="25" t="s">
        <v>44</v>
      </c>
      <c r="R3102" s="38" t="s">
        <v>35</v>
      </c>
      <c r="S3102" s="1">
        <f>_xll.ciqfunctions.udf.CIQ(A3093,"IQ_TEV_EBITDA")</f>
        <v>73.815989999999999</v>
      </c>
      <c r="U3102" s="25" t="s">
        <v>55</v>
      </c>
      <c r="V3102" s="38" t="s">
        <v>53</v>
      </c>
      <c r="W3102" s="1">
        <f>V3092/(AVERAGE(D3098:D3103)/_xlfn.STDEV.P(E3098:E3103))</f>
        <v>0.11729990992191372</v>
      </c>
      <c r="Y3102" s="25" t="s">
        <v>57</v>
      </c>
      <c r="Z3102" s="38" t="s">
        <v>53</v>
      </c>
      <c r="AA3102" s="1">
        <f>Z3092/(AVERAGE(D3098:D3103)/_xlfn.STDEV.P(E3098:E3103))</f>
        <v>0.11729990992191372</v>
      </c>
    </row>
    <row r="3103" spans="1:27">
      <c r="B3103" s="13">
        <v>11</v>
      </c>
      <c r="C3103" s="20" t="s">
        <v>36</v>
      </c>
      <c r="D3103" s="21" cm="1">
        <f t="array" ref="D3103">_xlfn.SINGLE(IF(A3101=A3102,_xll.ciqfunctions.udf.CIQ(A3093,"IQ_TOTAL_REV",IQ_FY)/I3103, _xll.ciqfunctions.udf.CIQ(A3093, "IQ_TOTAL_REV",IQ_LTM)/I3103))</f>
        <v>22.997028067117192</v>
      </c>
      <c r="E3103" s="22">
        <f t="shared" si="827"/>
        <v>0.10425591163859466</v>
      </c>
      <c r="F3103" s="21">
        <f>IF(A3101=A3102,_xll.ciqfunctions.udf.CIQ(A3093,"IQ_DILUT_EPS_EXCL",IQ_FY), _xll.ciqfunctions.udf.CIQ(A3093, "IQ_DILUT_EPS_EXCL",IQ_LTM))</f>
        <v>-4.21774</v>
      </c>
      <c r="G3103" s="21">
        <f>IF(A3101=A3102,_xll.ciqfunctions.udf.CIQ(A3093,"IQ_EBITDA_MARGIN",IQ_FY), _xll.ciqfunctions.udf.CIQ(A3093, "IQ_EBITDA_MARGIN",IQ_LTM))</f>
        <v>1.4382999999999999</v>
      </c>
      <c r="H3103" s="21">
        <f>IF(A3101=A3102,_xll.ciqfunctions.udf.CIQ(A3093,"IQ_TOTAL_DIV_PAID_CF",IQ_FY)/-I3103, _xll.ciqfunctions.udf.CIQ(A3093, "IQ_TOTAL_DIV_PAID_CF",IQ_LTM)/-I3103)</f>
        <v>0</v>
      </c>
      <c r="I3103" s="23">
        <f>IF(A3101=A3102,_xll.ciqfunctions.udf.CIQ(A3093,"IQ_TOTAL_OUTSTANDING_FILING_DATE",IQ_FY),_xll.ciqfunctions.udf.CIQ(A3093,"IQ_sharesoutstanding"))</f>
        <v>93.747069999999994</v>
      </c>
      <c r="J3103" s="23">
        <f>IF(A3101=A3102,_xll.ciqfunctions.udf.CIQ(A3093,"IQ_CASH_OPER",IQ_FY), _xll.ciqfunctions.udf.CIQ(A3093, "IQ_CASH_OPER",IQ_LTM))</f>
        <v>325.19</v>
      </c>
      <c r="K3103" s="23">
        <f>IF(A3101=A3102,_xll.ciqfunctions.udf.CIQ(A3093,"IQ_CAPEX",IQ_FY), _xll.ciqfunctions.udf.CIQ(A3093, "IQ_CAPEX",IQ_LTM))</f>
        <v>-26.4</v>
      </c>
      <c r="L3103" s="21">
        <f t="shared" si="824"/>
        <v>3.1871929437368021</v>
      </c>
      <c r="M3103" s="23">
        <f>IF(A3101=A3102,_xll.ciqfunctions.udf.CIQ(A3093,"IQ_TOTAL_DEBT_ISSUED",IQ_FY), _xll.ciqfunctions.udf.CIQ(A3093, "IQ_TOTAL_DEBT_ISSUED",IQ_LTM))</f>
        <v>786.31100000000004</v>
      </c>
      <c r="N3103" s="23">
        <f>IF(A3101=A3102,_xll.ciqfunctions.udf.CIQ(A3093,"IQ_TOTAL_DEBT_REPAID",IQ_FY), _xll.ciqfunctions.udf.CIQ(A3093, "IQ_TOTAL_DEBT_REPAID",IQ_LTM))</f>
        <v>-591.56299999999999</v>
      </c>
      <c r="O3103" s="21">
        <f t="shared" si="825"/>
        <v>2.0773769249534952</v>
      </c>
      <c r="P3103" s="21">
        <f t="shared" si="826"/>
        <v>5.2645698686902973</v>
      </c>
      <c r="Q3103" s="25" t="s">
        <v>45</v>
      </c>
      <c r="S3103" s="45"/>
      <c r="U3103" s="25"/>
      <c r="W3103" s="45"/>
      <c r="Y3103" s="25"/>
      <c r="AA3103" s="45"/>
    </row>
    <row r="3104" spans="1:27">
      <c r="B3104" s="24"/>
      <c r="C3104" s="25" t="s">
        <v>37</v>
      </c>
      <c r="E3104" s="26">
        <f>((D3103/D3098)^(1/5))-1</f>
        <v>0.22633916858305825</v>
      </c>
      <c r="F3104" s="27">
        <f>((F3103/F3098)^(1/5))-1</f>
        <v>0.66501641809767964</v>
      </c>
      <c r="G3104" s="28"/>
      <c r="H3104" s="27" t="e">
        <f>((H3103/H3098)^(1/5))-1</f>
        <v>#DIV/0!</v>
      </c>
      <c r="I3104" s="27">
        <f>((I3103/I3098)^(1/5))-1</f>
        <v>2.9038855663037433E-2</v>
      </c>
      <c r="J3104" s="27"/>
      <c r="K3104" s="27"/>
      <c r="L3104" s="26">
        <f>((L3103/L3098)^(1/5))-1</f>
        <v>0.419009898313353</v>
      </c>
      <c r="M3104" s="26"/>
      <c r="N3104" s="26"/>
      <c r="O3104" s="26"/>
      <c r="P3104" s="26">
        <f>((P3103/P3098)^(1/5))-1</f>
        <v>-2.8292233616332485E-2</v>
      </c>
      <c r="Q3104" s="18"/>
      <c r="R3104" s="36"/>
      <c r="S3104" s="45"/>
      <c r="U3104" s="18"/>
      <c r="V3104" s="36"/>
      <c r="W3104" s="45"/>
      <c r="Y3104" s="18"/>
      <c r="Z3104" s="36"/>
      <c r="AA3104" s="45"/>
    </row>
    <row r="3105" spans="1:27">
      <c r="A3105" s="29"/>
      <c r="B3105" s="30"/>
      <c r="C3105" s="31" t="s">
        <v>38</v>
      </c>
      <c r="D3105" s="29"/>
      <c r="E3105" s="32">
        <f>((D3103/D3093)^(1/10))-1</f>
        <v>0.24853758226258482</v>
      </c>
      <c r="F3105" s="33">
        <f>((F3103/F3093)^(1/10))-1</f>
        <v>0.11736388264718256</v>
      </c>
      <c r="G3105" s="34"/>
      <c r="H3105" s="33" t="e">
        <f>((H3103/H3093)^(1/10))-1</f>
        <v>#DIV/0!</v>
      </c>
      <c r="I3105" s="33">
        <f>((I3103/I3093)^(1/10))-1</f>
        <v>3.8514263261186565E-2</v>
      </c>
      <c r="J3105" s="33"/>
      <c r="K3105" s="33"/>
      <c r="L3105" s="32" t="e">
        <f>((L3103/L3093)^(1/10))-1</f>
        <v>#NUM!</v>
      </c>
      <c r="M3105" s="32"/>
      <c r="N3105" s="32"/>
      <c r="O3105" s="32"/>
      <c r="P3105" s="32" t="e">
        <f>((P3103/P3093)^(1/10))-1</f>
        <v>#NUM!</v>
      </c>
      <c r="Q3105" s="40"/>
      <c r="R3105" s="41"/>
      <c r="S3105" s="46"/>
      <c r="U3105" s="40"/>
      <c r="V3105" s="41"/>
      <c r="W3105" s="46"/>
      <c r="Y3105" s="40"/>
      <c r="Z3105" s="41"/>
      <c r="AA3105" s="46"/>
    </row>
    <row r="3106" spans="1:27">
      <c r="B3106" s="24"/>
      <c r="C3106" s="25"/>
      <c r="E3106" s="26"/>
      <c r="F3106" s="27"/>
      <c r="G3106" s="28"/>
      <c r="H3106" s="27"/>
      <c r="I3106" s="27"/>
      <c r="J3106" s="27"/>
      <c r="K3106" s="27"/>
      <c r="L3106" s="26"/>
      <c r="M3106" s="17"/>
      <c r="N3106" s="17"/>
      <c r="O3106" s="17"/>
      <c r="P3106" s="35"/>
      <c r="Q3106" s="18"/>
      <c r="R3106" s="36"/>
    </row>
    <row r="3107" spans="1:27">
      <c r="A3107" s="9" t="s">
        <v>0</v>
      </c>
      <c r="B3107" s="10"/>
      <c r="C3107" s="9" t="s">
        <v>1</v>
      </c>
      <c r="D3107" s="9" t="s">
        <v>2</v>
      </c>
      <c r="E3107" s="9" t="s">
        <v>3</v>
      </c>
      <c r="F3107" s="11" t="s">
        <v>4</v>
      </c>
      <c r="G3107" s="11" t="s">
        <v>5</v>
      </c>
      <c r="H3107" s="9" t="s">
        <v>6</v>
      </c>
      <c r="I3107" s="11" t="s">
        <v>7</v>
      </c>
      <c r="J3107" s="11" t="s">
        <v>8</v>
      </c>
      <c r="K3107" s="11" t="s">
        <v>9</v>
      </c>
      <c r="L3107" s="11" t="s">
        <v>10</v>
      </c>
      <c r="M3107" s="11" t="s">
        <v>11</v>
      </c>
      <c r="N3107" s="11" t="s">
        <v>12</v>
      </c>
      <c r="O3107" s="11" t="s">
        <v>13</v>
      </c>
      <c r="P3107" s="11" t="s">
        <v>14</v>
      </c>
      <c r="Q3107" s="37" t="s">
        <v>15</v>
      </c>
      <c r="R3107" s="42">
        <f>_xll.ciqfunctions.udf.CIQ(A3108,("IQ_LASTSALEPRICE"))</f>
        <v>88.48</v>
      </c>
      <c r="S3107" s="44"/>
      <c r="U3107" s="37" t="s">
        <v>15</v>
      </c>
      <c r="V3107" s="42">
        <f>_xll.ciqfunctions.udf.CIQ(A3108,("IQ_LASTSALEPRICE"))</f>
        <v>88.48</v>
      </c>
      <c r="W3107" s="44"/>
      <c r="Y3107" s="37" t="s">
        <v>15</v>
      </c>
      <c r="Z3107" s="42">
        <f>_xll.ciqfunctions.udf.CIQ(A3108,("IQ_LASTSALEPRICE"))</f>
        <v>88.48</v>
      </c>
      <c r="AA3107" s="44"/>
    </row>
    <row r="3108" spans="1:27">
      <c r="A3108" s="12" t="str">
        <f>Analysis!B209</f>
        <v>NasdaqGS:AGYS</v>
      </c>
      <c r="B3108" s="13">
        <v>1</v>
      </c>
      <c r="C3108" s="14" t="s">
        <v>16</v>
      </c>
      <c r="D3108" s="15">
        <f>IF(A3116=A3117,_xll.ciqfunctions.udf.CIQ(A3108,"IQ_TOTAL_REV",IQ_FY-10)/I3108,_xll.ciqfunctions.udf.CIQ(A3108, "IQ_TOTAL_REV",IQ_FY-9)/I3108)</f>
        <v>4.5350662495605381</v>
      </c>
      <c r="E3108" s="16"/>
      <c r="F3108" s="15">
        <f>IF(A3116=A3117,_xll.ciqfunctions.udf.CIQ(A3108,"IQ_DILUT_EPS_EXCL",IQ_FY-10), _xll.ciqfunctions.udf.CIQ(A3108, "IQ_DILUT_EPS_EXCL",IQ_FY-9))</f>
        <v>-0.13078999999999999</v>
      </c>
      <c r="G3108" s="15">
        <f>IF(A3116=A3117,_xll.ciqfunctions.udf.CIQ(A3108,"IQ_EBITDA_MARGIN",IQ_FY-10), _xll.ciqfunctions.udf.CIQ(A3108, "IQ_EBITDA_MARGIN",IQ_FY-9))</f>
        <v>1.9069</v>
      </c>
      <c r="H3108" s="15">
        <f>IF(A3116=A3117,_xll.ciqfunctions.udf.CIQ(A3108,"IQ_TOTAL_DIV_PAID_CF",IQ_FY-10)/-I3108, _xll.ciqfunctions.udf.CIQ(A3108, "IQ_TOTAL_DIV_PAID_CF",IQ_FY-9)/-I3108)</f>
        <v>0</v>
      </c>
      <c r="I3108" s="17">
        <f>IF(A3116=A3117,_xll.ciqfunctions.udf.CIQ(A3108,"IQ_TOTAL_OUTSTANDING_FILING_DATE",IQ_FY-10), _xll.ciqfunctions.udf.CIQ(A3108, "IQ_TOTAL_OUTSTANDING_FILING_DATE",IQ_FY-9))</f>
        <v>22.32845</v>
      </c>
      <c r="J3108" s="17">
        <f>IF(A3116=A3117,_xll.ciqfunctions.udf.CIQ(A3108,"IQ_CASH_OPER",IQ_FY-10), _xll.ciqfunctions.udf.CIQ(A3108, "IQ_CASH_OPER",IQ_FY-9))</f>
        <v>7.2999999999999995E-2</v>
      </c>
      <c r="K3108" s="17">
        <f>IF(A3116=A3117,_xll.ciqfunctions.udf.CIQ(A3108,"IQ_CAPEX",IQ_FY-10), _xll.ciqfunctions.udf.CIQ(A3108, "IQ_CAPEX",IQ_FY-9))</f>
        <v>-4.0229999999999997</v>
      </c>
      <c r="L3108" s="15">
        <f t="shared" ref="L3108:L3118" si="828">(J3108+K3108)/I3108</f>
        <v>-0.17690435296673077</v>
      </c>
      <c r="M3108" s="17">
        <f>IF(A3116=A3117,_xll.ciqfunctions.udf.CIQ(A3108,"IQ_TOTAL_DEBT_ISSUED",IQ_FY-10), _xll.ciqfunctions.udf.CIQ(A3108, "IQ_TOTAL_DEBT_ISSUED",IQ_FY-9))</f>
        <v>0</v>
      </c>
      <c r="N3108" s="17">
        <f>IF(A3116=A3117,_xll.ciqfunctions.udf.CIQ(A3108,"IQ_TOTAL_DEBT_REPAID",IQ_FY-10), _xll.ciqfunctions.udf.CIQ(A3108, "IQ_TOTAL_DEBT_REPAID",IQ_FY-9))</f>
        <v>-0.17699999999999999</v>
      </c>
      <c r="O3108" s="15">
        <f t="shared" ref="O3108:O3118" si="829">(M3108+N3108)/I3108</f>
        <v>-7.9271064493952777E-3</v>
      </c>
      <c r="P3108" s="15">
        <f t="shared" ref="P3108:P3118" si="830">L3108+O3108</f>
        <v>-0.18483145941612605</v>
      </c>
      <c r="W3108" s="43"/>
      <c r="AA3108" s="43"/>
    </row>
    <row r="3109" spans="1:27">
      <c r="A3109" s="18" t="str">
        <f>_xll.ciqfunctions.udf.CIQ(A3108,"IQ_COMPANY_NAME")</f>
        <v>Agilysys, Inc.</v>
      </c>
      <c r="B3109" s="13">
        <v>2</v>
      </c>
      <c r="C3109" s="14" t="s">
        <v>17</v>
      </c>
      <c r="D3109" s="15">
        <f>IF(A3116=A3117,_xll.ciqfunctions.udf.CIQ(A3108,"IQ_TOTAL_REV",IQ_FY-9)/I3109, _xll.ciqfunctions.udf.CIQ(A3108, "IQ_TOTAL_REV",IQ_FY-8)/I3109)</f>
        <v>4.6112855639062236</v>
      </c>
      <c r="E3109" s="16">
        <f t="shared" ref="E3109:E3118" si="831">(D3109-D3108)/D3108</f>
        <v>1.68066595175035E-2</v>
      </c>
      <c r="F3109" s="15">
        <f>IF(A3116=A3117,_xll.ciqfunctions.udf.CIQ(A3108,"IQ_DILUT_EPS_EXCL",IQ_FY-9), _xll.ciqfunctions.udf.CIQ(A3108, "IQ_DILUT_EPS_EXCL",IQ_FY-8))</f>
        <v>-0.51468000000000003</v>
      </c>
      <c r="G3109" s="15">
        <f>IF(A3116=A3117,_xll.ciqfunctions.udf.CIQ(A3108,"IQ_EBITDA_MARGIN",IQ_FY-9), _xll.ciqfunctions.udf.CIQ(A3108, "IQ_EBITDA_MARGIN",IQ_FY-8))</f>
        <v>-4.6950000000000003</v>
      </c>
      <c r="H3109" s="15">
        <f>IF(A3116=A3117,_xll.ciqfunctions.udf.CIQ(A3108,"IQ_TOTAL_DIV_PAID_CF",IQ_FY-9)/-I3109, _xll.ciqfunctions.udf.CIQ(A3108, "IQ_TOTAL_DIV_PAID_CF",IQ_FY-8)/-I3109)</f>
        <v>0</v>
      </c>
      <c r="I3109" s="17">
        <f>IF(A3116=A3117,_xll.ciqfunctions.udf.CIQ(A3108,"IQ_TOTAL_OUTSTANDING_FILING_DATE",IQ_FY-9), _xll.ciqfunctions.udf.CIQ(A3108, "IQ_TOTAL_OUTSTANDING_FILING_DATE",IQ_FY-8))</f>
        <v>22.447970000000002</v>
      </c>
      <c r="J3109" s="17">
        <f>IF(A3116=A3117,_xll.ciqfunctions.udf.CIQ(A3108,"IQ_CASH_OPER",IQ_FY-9), _xll.ciqfunctions.udf.CIQ(A3108, "IQ_CASH_OPER",IQ_FY-8))</f>
        <v>-2.1859999999999999</v>
      </c>
      <c r="K3109" s="17">
        <f>IF(A3116=A3117,_xll.ciqfunctions.udf.CIQ(A3108,"IQ_CAPEX",IQ_FY-9), _xll.ciqfunctions.udf.CIQ(A3108, "IQ_CAPEX",IQ_FY-8))</f>
        <v>-4.6500000000000004</v>
      </c>
      <c r="L3109" s="15">
        <f t="shared" si="828"/>
        <v>-0.30452642265648072</v>
      </c>
      <c r="M3109" s="17">
        <f>IF(A3116=A3117,_xll.ciqfunctions.udf.CIQ(A3108,"IQ_TOTAL_DEBT_ISSUED",IQ_FY-9), _xll.ciqfunctions.udf.CIQ(A3108, "IQ_TOTAL_DEBT_ISSUED",IQ_FY-8))</f>
        <v>0</v>
      </c>
      <c r="N3109" s="17">
        <f>IF(A3116=A3117,_xll.ciqfunctions.udf.CIQ(A3108,"IQ_TOTAL_DEBT_REPAID",IQ_FY-9), _xll.ciqfunctions.udf.CIQ(A3108, "IQ_TOTAL_DEBT_REPAID",IQ_FY-8))</f>
        <v>-0.14399999999999999</v>
      </c>
      <c r="O3109" s="15">
        <f t="shared" si="829"/>
        <v>-6.4148339471230571E-3</v>
      </c>
      <c r="P3109" s="15">
        <f t="shared" si="830"/>
        <v>-0.31094125660360378</v>
      </c>
      <c r="Q3109" s="25" t="s">
        <v>18</v>
      </c>
      <c r="R3109" s="39" t="s">
        <v>19</v>
      </c>
      <c r="S3109" s="1">
        <f>R3107/((AVERAGE(P3113:P3118))*(1+E3119)^3)</f>
        <v>89.593532547034229</v>
      </c>
      <c r="U3109" s="25" t="s">
        <v>48</v>
      </c>
      <c r="V3109" s="39" t="s">
        <v>19</v>
      </c>
      <c r="W3109" s="1">
        <f>V3107/((AVERAGE(P3113:P3118))*(1+E3119)^3)</f>
        <v>89.593532547034229</v>
      </c>
      <c r="Y3109" s="25" t="s">
        <v>39</v>
      </c>
      <c r="Z3109" s="39" t="s">
        <v>19</v>
      </c>
      <c r="AA3109" s="1">
        <f>Z3107/((AVERAGE(P3113:P3118))*(1+E3119)^3)</f>
        <v>89.593532547034229</v>
      </c>
    </row>
    <row r="3110" spans="1:27">
      <c r="B3110" s="13">
        <v>3</v>
      </c>
      <c r="C3110" s="14" t="s">
        <v>20</v>
      </c>
      <c r="D3110" s="15" cm="1">
        <f t="array" ref="D3110">_xlfn.SINGLE(IF(A3116=A3117,_xll.ciqfunctions.udf.CIQ(A3108,"IQ_TOTAL_REV",IQ_FY-8)/I3110, _xll.ciqfunctions.udf.CIQ(A3108, "IQ_TOTAL_REV",IQ_FY-7)/I3110))</f>
        <v>5.3244072711959332</v>
      </c>
      <c r="E3110" s="16">
        <f t="shared" si="831"/>
        <v>0.15464704959317757</v>
      </c>
      <c r="F3110" s="15">
        <f>IF(A3116=A3117,_xll.ciqfunctions.udf.CIQ(A3108,"IQ_DILUT_EPS_EXCL",IQ_FY-8), _xll.ciqfunctions.udf.CIQ(A3108, "IQ_DILUT_EPS_EXCL",IQ_FY-7))</f>
        <v>-0.16746</v>
      </c>
      <c r="G3110" s="15">
        <f>IF(A3116=A3117,_xll.ciqfunctions.udf.CIQ(A3108,"IQ_EBITDA_MARGIN",IQ_FY-8), _xll.ciqfunctions.udf.CIQ(A3108, "IQ_EBITDA_MARGIN",IQ_FY-7))</f>
        <v>-1.1132</v>
      </c>
      <c r="H3110" s="15">
        <f>IF(A3116=A3117,_xll.ciqfunctions.udf.CIQ(A3108,"IQ_TOTAL_DIV_PAID_CF",IQ_FY-8)/-I3110, _xll.ciqfunctions.udf.CIQ(A3108, "IQ_TOTAL_DIV_PAID_CF",IQ_FY-7)/-I3110)</f>
        <v>0</v>
      </c>
      <c r="I3110" s="17">
        <f>IF(A3116=A3117,_xll.ciqfunctions.udf.CIQ(A3108,"IQ_TOTAL_OUTSTANDING_FILING_DATE",IQ_FY-8), _xll.ciqfunctions.udf.CIQ(A3108, "IQ_TOTAL_OUTSTANDING_FILING_DATE",IQ_FY-7))</f>
        <v>22.606459999999998</v>
      </c>
      <c r="J3110" s="17">
        <f>IF(A3116=A3117,_xll.ciqfunctions.udf.CIQ(A3108,"IQ_CASH_OPER",IQ_FY-8), _xll.ciqfunctions.udf.CIQ(A3108, "IQ_CASH_OPER",IQ_FY-7))</f>
        <v>7.218</v>
      </c>
      <c r="K3110" s="17">
        <f>IF(A3116=A3117,_xll.ciqfunctions.udf.CIQ(A3108,"IQ_CAPEX",IQ_FY-8), _xll.ciqfunctions.udf.CIQ(A3108, "IQ_CAPEX",IQ_FY-7))</f>
        <v>-5.9</v>
      </c>
      <c r="L3110" s="15">
        <f t="shared" si="828"/>
        <v>5.8301919008991225E-2</v>
      </c>
      <c r="M3110" s="17">
        <f>IF(A3116=A3117,_xll.ciqfunctions.udf.CIQ(A3108,"IQ_TOTAL_DEBT_ISSUED",IQ_FY-8), _xll.ciqfunctions.udf.CIQ(A3108, "IQ_TOTAL_DEBT_ISSUED",IQ_FY-7))</f>
        <v>0</v>
      </c>
      <c r="N3110" s="17">
        <f>IF(A3116=A3117,_xll.ciqfunctions.udf.CIQ(A3108,"IQ_TOTAL_DEBT_REPAID",IQ_FY-8), _xll.ciqfunctions.udf.CIQ(A3108, "IQ_TOTAL_DEBT_REPAID",IQ_FY-7))</f>
        <v>-0.14199999999999999</v>
      </c>
      <c r="O3110" s="15">
        <f t="shared" si="829"/>
        <v>-6.2813903636394193E-3</v>
      </c>
      <c r="P3110" s="15">
        <f t="shared" si="830"/>
        <v>5.2020528645351803E-2</v>
      </c>
      <c r="Q3110" s="25" t="s">
        <v>21</v>
      </c>
      <c r="R3110" s="38" t="s">
        <v>49</v>
      </c>
      <c r="S3110" s="2">
        <f>(R3107*I3118)/1000</f>
        <v>2.2161576752000003</v>
      </c>
      <c r="U3110" s="25" t="s">
        <v>59</v>
      </c>
      <c r="V3110" s="38" t="s">
        <v>49</v>
      </c>
      <c r="W3110" s="2">
        <f>(V3107*I3118)/1000</f>
        <v>2.2161576752000003</v>
      </c>
      <c r="Y3110" s="25" t="s">
        <v>46</v>
      </c>
      <c r="Z3110" s="38" t="s">
        <v>49</v>
      </c>
      <c r="AA3110" s="2">
        <f>(Z3107*I3118)/1000</f>
        <v>2.2161576752000003</v>
      </c>
    </row>
    <row r="3111" spans="1:27">
      <c r="A3111" s="18"/>
      <c r="B3111" s="13">
        <v>4</v>
      </c>
      <c r="C3111" s="14" t="s">
        <v>22</v>
      </c>
      <c r="D3111" s="15" cm="1">
        <f t="array" ref="D3111">_xlfn.SINGLE(IF(A3116=A3117,_xll.ciqfunctions.udf.CIQ(A3108,"IQ_TOTAL_REV",IQ_FY-7)/I3111, _xll.ciqfunctions.udf.CIQ(A3108, "IQ_TOTAL_REV",IQ_FY-6)/I3111))</f>
        <v>5.6195486597245727</v>
      </c>
      <c r="E3111" s="16">
        <f t="shared" si="831"/>
        <v>5.5431783012787235E-2</v>
      </c>
      <c r="F3111" s="15">
        <f>IF(A3116=A3117,_xll.ciqfunctions.udf.CIQ(A3108,"IQ_DILUT_EPS_EXCL",IQ_FY-7), _xll.ciqfunctions.udf.CIQ(A3108, "IQ_DILUT_EPS_EXCL",IQ_FY-6))</f>
        <v>-0.51827999999999996</v>
      </c>
      <c r="G3111" s="15">
        <f>IF(A3116=A3117,_xll.ciqfunctions.udf.CIQ(A3108,"IQ_EBITDA_MARGIN",IQ_FY-7), _xll.ciqfunctions.udf.CIQ(A3108, "IQ_EBITDA_MARGIN",IQ_FY-6))</f>
        <v>-5.7652000000000001</v>
      </c>
      <c r="H3111" s="15">
        <f>IF(A3116=A3117,_xll.ciqfunctions.udf.CIQ(A3108,"IQ_TOTAL_DIV_PAID_CF",IQ_FY-7)/-I3111, _xll.ciqfunctions.udf.CIQ(A3108, "IQ_TOTAL_DIV_PAID_CF",IQ_FY-6)/-I3111)</f>
        <v>0</v>
      </c>
      <c r="I3111" s="17">
        <f>IF(A3116=A3117,_xll.ciqfunctions.udf.CIQ(A3108,"IQ_TOTAL_OUTSTANDING_FILING_DATE",IQ_FY-7), _xll.ciqfunctions.udf.CIQ(A3108, "IQ_TOTAL_OUTSTANDING_FILING_DATE",IQ_FY-6))</f>
        <v>22.720330000000001</v>
      </c>
      <c r="J3111" s="17">
        <f>IF(A3116=A3117,_xll.ciqfunctions.udf.CIQ(A3108,"IQ_CASH_OPER",IQ_FY-7), _xll.ciqfunctions.udf.CIQ(A3108, "IQ_CASH_OPER",IQ_FY-6))</f>
        <v>3.4329999999999998</v>
      </c>
      <c r="K3111" s="17">
        <f>IF(A3116=A3117,_xll.ciqfunctions.udf.CIQ(A3108,"IQ_CAPEX",IQ_FY-7), _xll.ciqfunctions.udf.CIQ(A3108, "IQ_CAPEX",IQ_FY-6))</f>
        <v>-4.1580000000000004</v>
      </c>
      <c r="L3111" s="15">
        <f t="shared" si="828"/>
        <v>-3.190974778975484E-2</v>
      </c>
      <c r="M3111" s="17">
        <f>IF(A3116=A3117,_xll.ciqfunctions.udf.CIQ(A3108,"IQ_TOTAL_DEBT_ISSUED",IQ_FY-7), _xll.ciqfunctions.udf.CIQ(A3108, "IQ_TOTAL_DEBT_ISSUED",IQ_FY-6))</f>
        <v>0</v>
      </c>
      <c r="N3111" s="17">
        <f>IF(A3116=A3117,_xll.ciqfunctions.udf.CIQ(A3108,"IQ_TOTAL_DEBT_REPAID",IQ_FY-7), _xll.ciqfunctions.udf.CIQ(A3108, "IQ_TOTAL_DEBT_REPAID",IQ_FY-6))</f>
        <v>-0.11700000000000001</v>
      </c>
      <c r="O3111" s="15">
        <f t="shared" si="829"/>
        <v>-5.1495730915880186E-3</v>
      </c>
      <c r="P3111" s="15">
        <f t="shared" si="830"/>
        <v>-3.705932088134286E-2</v>
      </c>
      <c r="Q3111" s="25" t="s">
        <v>23</v>
      </c>
      <c r="R3111" s="38" t="s">
        <v>24</v>
      </c>
      <c r="S3111" s="1" t="e">
        <f>R3107/(AVERAGE(H3113:H3118)*(1+H3119)/(0.5-H3119))</f>
        <v>#DIV/0!</v>
      </c>
      <c r="U3111" s="25" t="s">
        <v>40</v>
      </c>
      <c r="V3111" s="38" t="s">
        <v>24</v>
      </c>
      <c r="W3111" s="1" t="e">
        <f>V3107/(AVERAGE(H3113:H3118)*(1+H3119)/(0.5-H3119))</f>
        <v>#DIV/0!</v>
      </c>
      <c r="Y3111" s="25" t="s">
        <v>47</v>
      </c>
      <c r="Z3111" s="38" t="s">
        <v>24</v>
      </c>
      <c r="AA3111" s="1" t="e">
        <f>Z3107/(AVERAGE(H3113:H3118)*(1+H3119)/(0.5-H3119))</f>
        <v>#DIV/0!</v>
      </c>
    </row>
    <row r="3112" spans="1:27">
      <c r="B3112" s="13">
        <v>5</v>
      </c>
      <c r="C3112" s="14" t="s">
        <v>25</v>
      </c>
      <c r="D3112" s="15" cm="1">
        <f t="array" ref="D3112">_xlfn.SINGLE(IF(A3116=A3117,_xll.ciqfunctions.udf.CIQ(A3108,"IQ_TOTAL_REV",IQ_FY-6)/I3112, _xll.ciqfunctions.udf.CIQ(A3108, "IQ_TOTAL_REV",IQ_FY-5)/I3112))</f>
        <v>5.5615987675049965</v>
      </c>
      <c r="E3112" s="16">
        <f t="shared" si="831"/>
        <v>-1.0312196891345453E-2</v>
      </c>
      <c r="F3112" s="15">
        <f>IF(A3116=A3117,_xll.ciqfunctions.udf.CIQ(A3108,"IQ_DILUT_EPS_EXCL",IQ_FY-6), _xll.ciqfunctions.udf.CIQ(A3108, "IQ_DILUT_EPS_EXCL",IQ_FY-5))</f>
        <v>-0.36620999999999998</v>
      </c>
      <c r="G3112" s="15">
        <f>IF(A3116=A3117,_xll.ciqfunctions.udf.CIQ(A3108,"IQ_EBITDA_MARGIN",IQ_FY-6), _xll.ciqfunctions.udf.CIQ(A3108, "IQ_EBITDA_MARGIN",IQ_FY-5))</f>
        <v>-5.8274999999999997</v>
      </c>
      <c r="H3112" s="15">
        <f>IF(A3116=A3117,_xll.ciqfunctions.udf.CIQ(A3108,"IQ_TOTAL_DIV_PAID_CF",IQ_FY-6)/-I3112, _xll.ciqfunctions.udf.CIQ(A3108, "IQ_TOTAL_DIV_PAID_CF",IQ_FY-5)/-I3112)</f>
        <v>0</v>
      </c>
      <c r="I3112" s="17">
        <f>IF(A3116=A3117,_xll.ciqfunctions.udf.CIQ(A3108,"IQ_TOTAL_OUTSTANDING_FILING_DATE",IQ_FY-6), _xll.ciqfunctions.udf.CIQ(A3108, "IQ_TOTAL_OUTSTANDING_FILING_DATE",IQ_FY-5))</f>
        <v>22.899889999999999</v>
      </c>
      <c r="J3112" s="17">
        <f>IF(A3116=A3117,_xll.ciqfunctions.udf.CIQ(A3108,"IQ_CASH_OPER",IQ_FY-6), _xll.ciqfunctions.udf.CIQ(A3108, "IQ_CASH_OPER",IQ_FY-5))</f>
        <v>6.8739999999999997</v>
      </c>
      <c r="K3112" s="17">
        <f>IF(A3116=A3117,_xll.ciqfunctions.udf.CIQ(A3108,"IQ_CAPEX",IQ_FY-6), _xll.ciqfunctions.udf.CIQ(A3108, "IQ_CAPEX",IQ_FY-5))</f>
        <v>-6.14</v>
      </c>
      <c r="L3112" s="15">
        <f t="shared" si="828"/>
        <v>3.2052555710966296E-2</v>
      </c>
      <c r="M3112" s="17">
        <f>IF(A3116=A3117,_xll.ciqfunctions.udf.CIQ(A3108,"IQ_TOTAL_DEBT_ISSUED",IQ_FY-6), _xll.ciqfunctions.udf.CIQ(A3108, "IQ_TOTAL_DEBT_ISSUED",IQ_FY-5))</f>
        <v>0</v>
      </c>
      <c r="N3112" s="17">
        <f>IF(A3116=A3117,_xll.ciqfunctions.udf.CIQ(A3108,"IQ_TOTAL_DEBT_REPAID",IQ_FY-6), _xll.ciqfunctions.udf.CIQ(A3108, "IQ_TOTAL_DEBT_REPAID",IQ_FY-5))</f>
        <v>-0.124</v>
      </c>
      <c r="O3112" s="15">
        <f t="shared" si="829"/>
        <v>-5.4148731718798651E-3</v>
      </c>
      <c r="P3112" s="15">
        <f t="shared" si="830"/>
        <v>2.6637682539086431E-2</v>
      </c>
      <c r="Q3112" s="18"/>
      <c r="R3112" s="38" t="s">
        <v>50</v>
      </c>
      <c r="S3112" s="3">
        <f>I3119</f>
        <v>1.5485597999795431E-2</v>
      </c>
      <c r="U3112" s="18"/>
      <c r="V3112" s="38" t="s">
        <v>50</v>
      </c>
      <c r="W3112" s="3">
        <f>I3119</f>
        <v>1.5485597999795431E-2</v>
      </c>
      <c r="Y3112" s="18"/>
      <c r="Z3112" s="38" t="s">
        <v>50</v>
      </c>
      <c r="AA3112" s="3">
        <f>I3119</f>
        <v>1.5485597999795431E-2</v>
      </c>
    </row>
    <row r="3113" spans="1:27">
      <c r="B3113" s="13">
        <v>6</v>
      </c>
      <c r="C3113" s="14" t="s">
        <v>26</v>
      </c>
      <c r="D3113" s="15" cm="1">
        <f t="array" ref="D3113">_xlfn.SINGLE(IF(A3116=A3117,_xll.ciqfunctions.udf.CIQ(A3108,"IQ_TOTAL_REV",IQ_FY-5)/I3113, _xll.ciqfunctions.udf.CIQ(A3108, "IQ_TOTAL_REV",IQ_FY-4)/I3113))</f>
        <v>6.0721918343889678</v>
      </c>
      <c r="E3113" s="16">
        <f t="shared" si="831"/>
        <v>9.1806886513862956E-2</v>
      </c>
      <c r="F3113" s="15">
        <f>IF(A3116=A3117,_xll.ciqfunctions.udf.CIQ(A3108,"IQ_DILUT_EPS_EXCL",IQ_FY-5), _xll.ciqfunctions.udf.CIQ(A3108, "IQ_DILUT_EPS_EXCL",IQ_FY-4))</f>
        <v>-0.57142999999999999</v>
      </c>
      <c r="G3113" s="15">
        <f>IF(A3116=A3117,_xll.ciqfunctions.udf.CIQ(A3108,"IQ_EBITDA_MARGIN",IQ_FY-5), _xll.ciqfunctions.udf.CIQ(A3108, "IQ_EBITDA_MARGIN",IQ_FY-4))</f>
        <v>-6.5327999999999999</v>
      </c>
      <c r="H3113" s="15">
        <f>IF(A3116=A3117,_xll.ciqfunctions.udf.CIQ(A3108,"IQ_TOTAL_DIV_PAID_CF",IQ_FY-5)/-I3113, _xll.ciqfunctions.udf.CIQ(A3108, "IQ_TOTAL_DIV_PAID_CF",IQ_FY-4)/-I3113)</f>
        <v>0</v>
      </c>
      <c r="I3113" s="17">
        <f>IF(A3116=A3117,_xll.ciqfunctions.udf.CIQ(A3108,"IQ_TOTAL_OUTSTANDING_FILING_DATE",IQ_FY-5), _xll.ciqfunctions.udf.CIQ(A3108, "IQ_TOTAL_OUTSTANDING_FILING_DATE",IQ_FY-4))</f>
        <v>23.194590000000002</v>
      </c>
      <c r="J3113" s="17">
        <f>IF(A3116=A3117,_xll.ciqfunctions.udf.CIQ(A3108,"IQ_CASH_OPER",IQ_FY-5), _xll.ciqfunctions.udf.CIQ(A3108, "IQ_CASH_OPER",IQ_FY-4))</f>
        <v>7.2409999999999997</v>
      </c>
      <c r="K3113" s="17">
        <f>IF(A3116=A3117,_xll.ciqfunctions.udf.CIQ(A3108,"IQ_CAPEX",IQ_FY-5), _xll.ciqfunctions.udf.CIQ(A3108, "IQ_CAPEX",IQ_FY-4))</f>
        <v>-3.3180000000000001</v>
      </c>
      <c r="L3113" s="15">
        <f t="shared" si="828"/>
        <v>0.16913426794782746</v>
      </c>
      <c r="M3113" s="17">
        <f>IF(A3116=A3117,_xll.ciqfunctions.udf.CIQ(A3108,"IQ_TOTAL_DEBT_ISSUED",IQ_FY-5), _xll.ciqfunctions.udf.CIQ(A3108, "IQ_TOTAL_DEBT_ISSUED",IQ_FY-4))</f>
        <v>0</v>
      </c>
      <c r="N3113" s="17">
        <f>IF(A3116=A3117,_xll.ciqfunctions.udf.CIQ(A3108,"IQ_TOTAL_DEBT_REPAID",IQ_FY-5), _xll.ciqfunctions.udf.CIQ(A3108, "IQ_TOTAL_DEBT_REPAID",IQ_FY-4))</f>
        <v>-0.12</v>
      </c>
      <c r="O3113" s="15">
        <f t="shared" si="829"/>
        <v>-5.1736202278203662E-3</v>
      </c>
      <c r="P3113" s="15">
        <f t="shared" si="830"/>
        <v>0.1639606477200071</v>
      </c>
      <c r="Q3113" s="25" t="s">
        <v>27</v>
      </c>
      <c r="R3113" s="38" t="s">
        <v>51</v>
      </c>
      <c r="S3113" s="4">
        <f>AVERAGE(F3113:F3118)/AVERAGE(D3113:D3118)</f>
        <v>-4.5500709426371945E-2</v>
      </c>
      <c r="U3113" s="25" t="s">
        <v>58</v>
      </c>
      <c r="V3113" s="38" t="s">
        <v>51</v>
      </c>
      <c r="W3113" s="4">
        <f>AVERAGE(F3113:F3118)/AVERAGE(D3113:D3118)</f>
        <v>-4.5500709426371945E-2</v>
      </c>
      <c r="Y3113" s="25" t="s">
        <v>56</v>
      </c>
      <c r="Z3113" s="38" t="s">
        <v>51</v>
      </c>
      <c r="AA3113" s="4">
        <f>AVERAGE(F3113:F3118)/AVERAGE(D3113:D3118)</f>
        <v>-4.5500709426371945E-2</v>
      </c>
    </row>
    <row r="3114" spans="1:27">
      <c r="A3114" s="18"/>
      <c r="B3114" s="13">
        <v>7</v>
      </c>
      <c r="C3114" s="14" t="s">
        <v>28</v>
      </c>
      <c r="D3114" s="15" cm="1">
        <f t="array" ref="D3114">_xlfn.SINGLE(IF(A3116=A3117,_xll.ciqfunctions.udf.CIQ(A3108,"IQ_TOTAL_REV",IQ_FY-4)/I3114, _xll.ciqfunctions.udf.CIQ(A3108, "IQ_TOTAL_REV",IQ_FY-3)/I3114))</f>
        <v>6.931502490273683</v>
      </c>
      <c r="E3114" s="16">
        <f t="shared" si="831"/>
        <v>0.1415157292986258</v>
      </c>
      <c r="F3114" s="15">
        <f>IF(A3116=A3117,_xll.ciqfunctions.udf.CIQ(A3108,"IQ_DILUT_EPS_EXCL",IQ_FY-4), _xll.ciqfunctions.udf.CIQ(A3108, "IQ_DILUT_EPS_EXCL",IQ_FY-3))</f>
        <v>-1.47</v>
      </c>
      <c r="G3114" s="15">
        <f>IF(A3116=A3117,_xll.ciqfunctions.udf.CIQ(A3108,"IQ_EBITDA_MARGIN",IQ_FY-4), _xll.ciqfunctions.udf.CIQ(A3108, "IQ_EBITDA_MARGIN",IQ_FY-3))</f>
        <v>-4.5091999999999999</v>
      </c>
      <c r="H3114" s="15">
        <f>IF(A3116=A3117,_xll.ciqfunctions.udf.CIQ(A3108,"IQ_TOTAL_DIV_PAID_CF",IQ_FY-4)/-I3114, _xll.ciqfunctions.udf.CIQ(A3108, "IQ_TOTAL_DIV_PAID_CF",IQ_FY-3)/-I3114)</f>
        <v>0</v>
      </c>
      <c r="I3114" s="17">
        <f>IF(A3116=A3117,_xll.ciqfunctions.udf.CIQ(A3108,"IQ_TOTAL_OUTSTANDING_FILING_DATE",IQ_FY-4), _xll.ciqfunctions.udf.CIQ(A3108, "IQ_TOTAL_OUTSTANDING_FILING_DATE",IQ_FY-3))</f>
        <v>23.192229999999999</v>
      </c>
      <c r="J3114" s="17">
        <f>IF(A3116=A3117,_xll.ciqfunctions.udf.CIQ(A3108,"IQ_CASH_OPER",IQ_FY-4), _xll.ciqfunctions.udf.CIQ(A3108, "IQ_CASH_OPER",IQ_FY-3))</f>
        <v>10.574999999999999</v>
      </c>
      <c r="K3114" s="17">
        <f>IF(A3116=A3117,_xll.ciqfunctions.udf.CIQ(A3108,"IQ_CAPEX",IQ_FY-4), _xll.ciqfunctions.udf.CIQ(A3108, "IQ_CAPEX",IQ_FY-3))</f>
        <v>-3.42</v>
      </c>
      <c r="L3114" s="15">
        <f t="shared" si="828"/>
        <v>0.3085084961644482</v>
      </c>
      <c r="M3114" s="17">
        <f>IF(A3116=A3117,_xll.ciqfunctions.udf.CIQ(A3108,"IQ_TOTAL_DEBT_ISSUED",IQ_FY-4), _xll.ciqfunctions.udf.CIQ(A3108, "IQ_TOTAL_DEBT_ISSUED",IQ_FY-3))</f>
        <v>0</v>
      </c>
      <c r="N3114" s="17">
        <f>IF(A3116=A3117,_xll.ciqfunctions.udf.CIQ(A3108,"IQ_TOTAL_DEBT_REPAID",IQ_FY-4), _xll.ciqfunctions.udf.CIQ(A3108, "IQ_TOTAL_DEBT_REPAID",IQ_FY-3))</f>
        <v>-2.4E-2</v>
      </c>
      <c r="O3114" s="15">
        <f t="shared" si="829"/>
        <v>-1.0348293372392393E-3</v>
      </c>
      <c r="P3114" s="15">
        <f t="shared" si="830"/>
        <v>0.30747366682720895</v>
      </c>
      <c r="Q3114" s="18"/>
      <c r="R3114" s="38" t="s">
        <v>29</v>
      </c>
      <c r="S3114" s="4">
        <f>(AVERAGE(P3113:P3118)/_xlfn.STDEV.P(P3113:P3118))/(IF(A3116=A3117,(_xlfn.SINGLE(_xll.ciqfunctions.udf.CIQ(A3108,"IQ_total_assets",IQ_FY)) - _xlfn.SINGLE(_xll.ciqfunctions.udf.CIQ(A3108,"iq_gw_intan", IQ_FY)))/I3118, (_xlfn.SINGLE(_xll.ciqfunctions.udf.CIQ(A3108, "IQ_total_assets",IQ_LTM))-_xlfn.SINGLE(_xll.ciqfunctions.udf.CIQ(A3108,"iq_gw_intan",IQ_LTM)))/I3118))</f>
        <v>0.24214311303471439</v>
      </c>
      <c r="U3114" s="18"/>
      <c r="V3114" s="38" t="s">
        <v>29</v>
      </c>
      <c r="W3114" s="4">
        <f>(AVERAGE(P3113:P3118)/_xlfn.STDEV.P(P3113:P3118))/(IF(A3116=A3117,(_xlfn.SINGLE(_xll.ciqfunctions.udf.CIQ(A3108,"IQ_total_assets",IQ_FY)) - _xlfn.SINGLE(_xll.ciqfunctions.udf.CIQ(A3108,"iq_gw_intan", IQ_FY)))/I3118, (_xlfn.SINGLE(_xll.ciqfunctions.udf.CIQ(A3108, "IQ_total_assets",IQ_LTM))-_xlfn.SINGLE(_xll.ciqfunctions.udf.CIQ(A3108,"iq_gw_intan",IQ_LTM)))/I3118))</f>
        <v>0.24214311303471439</v>
      </c>
      <c r="Y3114" s="18"/>
      <c r="Z3114" s="38" t="s">
        <v>29</v>
      </c>
      <c r="AA3114" s="4">
        <f>(AVERAGE(P3113:P3118)/_xlfn.STDEV.P(P3113:P3118))/(IF(A3116=A3117,(_xlfn.SINGLE(_xll.ciqfunctions.udf.CIQ(A3108,"IQ_total_assets",IQ_FY)) - _xlfn.SINGLE(_xll.ciqfunctions.udf.CIQ(A3108,"iq_gw_intan", IQ_FY)))/I3118, (_xlfn.SINGLE(_xll.ciqfunctions.udf.CIQ(A3108, "IQ_total_assets",IQ_LTM))-_xlfn.SINGLE(_xll.ciqfunctions.udf.CIQ(A3108,"iq_gw_intan",IQ_LTM)))/I3118))</f>
        <v>0.24214311303471439</v>
      </c>
    </row>
    <row r="3115" spans="1:27">
      <c r="A3115" s="18"/>
      <c r="B3115" s="13">
        <v>8</v>
      </c>
      <c r="C3115" s="14" t="s">
        <v>30</v>
      </c>
      <c r="D3115" s="15" cm="1">
        <f t="array" ref="D3115">_xlfn.SINGLE(IF(A3116=A3117,_xll.ciqfunctions.udf.CIQ(A3108,"IQ_TOTAL_REV",IQ_FY-3)/I3115, _xll.ciqfunctions.udf.CIQ(A3108, "IQ_TOTAL_REV",IQ_FY-2)/I3115))</f>
        <v>5.7728175605157723</v>
      </c>
      <c r="E3115" s="16">
        <f t="shared" si="831"/>
        <v>-0.16716216020751387</v>
      </c>
      <c r="F3115" s="15">
        <f>IF(A3116=A3117,_xll.ciqfunctions.udf.CIQ(A3108,"IQ_DILUT_EPS_EXCL",IQ_FY-3), _xll.ciqfunctions.udf.CIQ(A3108, "IQ_DILUT_EPS_EXCL",IQ_FY-2))</f>
        <v>-1.01</v>
      </c>
      <c r="G3115" s="15">
        <f>IF(A3116=A3117,_xll.ciqfunctions.udf.CIQ(A3108,"IQ_EBITDA_MARGIN",IQ_FY-3), _xll.ciqfunctions.udf.CIQ(A3108, "IQ_EBITDA_MARGIN",IQ_FY-2))</f>
        <v>-13.0977</v>
      </c>
      <c r="H3115" s="15">
        <f>IF(A3116=A3117,_xll.ciqfunctions.udf.CIQ(A3108,"IQ_TOTAL_DIV_PAID_CF",IQ_FY-3)/-I3115, _xll.ciqfunctions.udf.CIQ(A3108, "IQ_TOTAL_DIV_PAID_CF",IQ_FY-2)/-I3115)</f>
        <v>4.7007036326297005E-2</v>
      </c>
      <c r="I3115" s="17">
        <f>IF(A3116=A3117,_xll.ciqfunctions.udf.CIQ(A3108,"IQ_TOTAL_OUTSTANDING_FILING_DATE",IQ_FY-3), _xll.ciqfunctions.udf.CIQ(A3108, "IQ_TOTAL_OUTSTANDING_FILING_DATE",IQ_FY-2))</f>
        <v>23.7624</v>
      </c>
      <c r="J3115" s="17">
        <f>IF(A3116=A3117,_xll.ciqfunctions.udf.CIQ(A3108,"IQ_CASH_OPER",IQ_FY-3), _xll.ciqfunctions.udf.CIQ(A3108, "IQ_CASH_OPER",IQ_FY-2))</f>
        <v>28.407</v>
      </c>
      <c r="K3115" s="17">
        <f>IF(A3116=A3117,_xll.ciqfunctions.udf.CIQ(A3108,"IQ_CAPEX",IQ_FY-3), _xll.ciqfunctions.udf.CIQ(A3108, "IQ_CAPEX",IQ_FY-2))</f>
        <v>-1.389</v>
      </c>
      <c r="L3115" s="15">
        <f t="shared" si="828"/>
        <v>1.1370063629936371</v>
      </c>
      <c r="M3115" s="17">
        <f>IF(A3116=A3117,_xll.ciqfunctions.udf.CIQ(A3108,"IQ_TOTAL_DEBT_ISSUED",IQ_FY-3), _xll.ciqfunctions.udf.CIQ(A3108, "IQ_TOTAL_DEBT_ISSUED",IQ_FY-2))</f>
        <v>0</v>
      </c>
      <c r="N3115" s="17">
        <f>IF(A3116=A3117,_xll.ciqfunctions.udf.CIQ(A3108,"IQ_TOTAL_DEBT_REPAID",IQ_FY-3), _xll.ciqfunctions.udf.CIQ(A3108, "IQ_TOTAL_DEBT_REPAID",IQ_FY-2))</f>
        <v>-2.4E-2</v>
      </c>
      <c r="O3115" s="15">
        <f t="shared" si="829"/>
        <v>-1.00999899000101E-3</v>
      </c>
      <c r="P3115" s="15">
        <f t="shared" si="830"/>
        <v>1.1359963640036361</v>
      </c>
      <c r="Q3115" s="18"/>
      <c r="R3115" s="39" t="s">
        <v>31</v>
      </c>
      <c r="S3115" s="5">
        <f>IF(NOT(D3108&gt;0),FALSE,SLOPE(G3108:G3118,B3108:B3118))</f>
        <v>0.81497181818181808</v>
      </c>
      <c r="U3115" s="18"/>
      <c r="V3115" s="39" t="s">
        <v>31</v>
      </c>
      <c r="W3115" s="5">
        <f>IF(NOT(D3108&gt;0),FALSE,SLOPE(G3108:G3118,B3108:B3118))</f>
        <v>0.81497181818181808</v>
      </c>
      <c r="Y3115" s="18"/>
      <c r="Z3115" s="39" t="s">
        <v>31</v>
      </c>
      <c r="AA3115" s="5" t="b">
        <f>IF(NOT(L3108&gt;0),FALSE,SLOPE(O3108:O3118,J3108:J3118))</f>
        <v>0</v>
      </c>
    </row>
    <row r="3116" spans="1:27">
      <c r="A3116" s="19">
        <f>_xll.ciqfunctions.udf.CIQ(A3108,"IQ_TOTAL_REV",IQ_FY)</f>
        <v>198.065</v>
      </c>
      <c r="B3116" s="13">
        <v>9</v>
      </c>
      <c r="C3116" s="14" t="s">
        <v>32</v>
      </c>
      <c r="D3116" s="15" cm="1">
        <f t="array" ref="D3116">_xlfn.SINGLE(IF(A3116=A3117,_xll.ciqfunctions.udf.CIQ(A3108,"IQ_TOTAL_REV",IQ_FY-2)/I3116, _xll.ciqfunctions.udf.CIQ(A3108, "IQ_TOTAL_REV",IQ_FY-1)/I3116))</f>
        <v>6.614416480160533</v>
      </c>
      <c r="E3116" s="16">
        <f t="shared" si="831"/>
        <v>0.14578650906985668</v>
      </c>
      <c r="F3116" s="15">
        <f>IF(A3116=A3117,_xll.ciqfunctions.udf.CIQ(A3108,"IQ_DILUT_EPS_EXCL",IQ_FY-2), _xll.ciqfunctions.udf.CIQ(A3108, "IQ_DILUT_EPS_EXCL",IQ_FY-1))</f>
        <v>0.18</v>
      </c>
      <c r="G3116" s="15">
        <f>IF(A3116=A3117,_xll.ciqfunctions.udf.CIQ(A3108,"IQ_EBITDA_MARGIN",IQ_FY-2), _xll.ciqfunctions.udf.CIQ(A3108, "IQ_EBITDA_MARGIN",IQ_FY-1))</f>
        <v>6.3651</v>
      </c>
      <c r="H3116" s="15">
        <f>IF(A3116=A3117,_xll.ciqfunctions.udf.CIQ(A3108,"IQ_TOTAL_DIV_PAID_CF",IQ_FY-2)/-I3116, _xll.ciqfunctions.udf.CIQ(A3108, "IQ_TOTAL_DIV_PAID_CF",IQ_FY-1)/-I3116)</f>
        <v>7.4670236955992147E-2</v>
      </c>
      <c r="I3116" s="17">
        <f>IF(A3116=A3117,_xll.ciqfunctions.udf.CIQ(A3108,"IQ_TOTAL_OUTSTANDING_FILING_DATE",IQ_FY-2), _xll.ciqfunctions.udf.CIQ(A3108, "IQ_TOTAL_OUTSTANDING_FILING_DATE",IQ_FY-1))</f>
        <v>24.58811</v>
      </c>
      <c r="J3116" s="17">
        <f>IF(A3116=A3117,_xll.ciqfunctions.udf.CIQ(A3108,"IQ_CASH_OPER",IQ_FY-2), _xll.ciqfunctions.udf.CIQ(A3108, "IQ_CASH_OPER",IQ_FY-1))</f>
        <v>28.475000000000001</v>
      </c>
      <c r="K3116" s="17">
        <f>IF(A3116=A3117,_xll.ciqfunctions.udf.CIQ(A3108,"IQ_CAPEX",IQ_FY-2), _xll.ciqfunctions.udf.CIQ(A3108, "IQ_CAPEX",IQ_FY-1))</f>
        <v>-1.1970000000000001</v>
      </c>
      <c r="L3116" s="15">
        <f t="shared" si="828"/>
        <v>1.1093979976500838</v>
      </c>
      <c r="M3116" s="17">
        <f>IF(A3116=A3117,_xll.ciqfunctions.udf.CIQ(A3108,"IQ_TOTAL_DEBT_ISSUED",IQ_FY-2), _xll.ciqfunctions.udf.CIQ(A3108, "IQ_TOTAL_DEBT_ISSUED",IQ_FY-1))</f>
        <v>0</v>
      </c>
      <c r="N3116" s="17">
        <f>IF(A3116=A3117,_xll.ciqfunctions.udf.CIQ(A3108,"IQ_TOTAL_DEBT_REPAID",IQ_FY-2), _xll.ciqfunctions.udf.CIQ(A3108, "IQ_TOTAL_DEBT_REPAID",IQ_FY-1))</f>
        <v>-1.9E-2</v>
      </c>
      <c r="O3116" s="15">
        <f t="shared" si="829"/>
        <v>-7.7273121032889473E-4</v>
      </c>
      <c r="P3116" s="15">
        <f t="shared" si="830"/>
        <v>1.1086252664397549</v>
      </c>
      <c r="Q3116" s="25" t="s">
        <v>33</v>
      </c>
      <c r="R3116" s="38" t="s">
        <v>52</v>
      </c>
      <c r="S3116" s="4">
        <f>(AVERAGE(O3113:O3118)/AVERAGE(P3113:P3118))</f>
        <v>-1.7384320930809484E-3</v>
      </c>
      <c r="U3116" s="25" t="s">
        <v>54</v>
      </c>
      <c r="V3116" s="38" t="s">
        <v>52</v>
      </c>
      <c r="W3116" s="4">
        <f>(AVERAGE(O3113:O3118)/AVERAGE(P3113:P3118))</f>
        <v>-1.7384320930809484E-3</v>
      </c>
      <c r="Y3116" s="25" t="s">
        <v>60</v>
      </c>
      <c r="Z3116" s="38" t="s">
        <v>52</v>
      </c>
      <c r="AA3116" s="4">
        <f>(AVERAGE(O3113:O3118)/AVERAGE(P3113:P3118))</f>
        <v>-1.7384320930809484E-3</v>
      </c>
    </row>
    <row r="3117" spans="1:27">
      <c r="A3117" s="19">
        <f>_xll.ciqfunctions.udf.CIQ(A3108,"IQ_TOTAL_REV",IQ_LTM)</f>
        <v>217.49299999999999</v>
      </c>
      <c r="B3117" s="13">
        <v>10</v>
      </c>
      <c r="C3117" s="14" t="s">
        <v>34</v>
      </c>
      <c r="D3117" s="15" cm="1">
        <f t="array" ref="D3117">_xlfn.SINGLE(IF(A3116=A3117,_xll.ciqfunctions.udf.CIQ(A3108,"IQ_TOTAL_REV",IQ_FY-1)/I3117, _xll.ciqfunctions.udf.CIQ(A3108, "IQ_TOTAL_REV",IQ_FY)/I3117))</f>
        <v>7.9452375708869711</v>
      </c>
      <c r="E3117" s="16">
        <f t="shared" si="831"/>
        <v>0.20120007482415728</v>
      </c>
      <c r="F3117" s="15">
        <f>IF(A3116=A3117,_xll.ciqfunctions.udf.CIQ(A3108,"IQ_DILUT_EPS_EXCL",IQ_FY-1), _xll.ciqfunctions.udf.CIQ(A3108, "IQ_DILUT_EPS_EXCL",IQ_FY))</f>
        <v>0.49</v>
      </c>
      <c r="G3117" s="15">
        <f>IF(A3116=A3117,_xll.ciqfunctions.udf.CIQ(A3108,"IQ_EBITDA_MARGIN",IQ_FY-1), _xll.ciqfunctions.udf.CIQ(A3108, "IQ_EBITDA_MARGIN",IQ_FY))</f>
        <v>8.2492999999999999</v>
      </c>
      <c r="H3117" s="15">
        <f>IF(A3116=A3117,_xll.ciqfunctions.udf.CIQ(A3108,"IQ_TOTAL_DIV_PAID_CF",IQ_FY-1)/-I3117, _xll.ciqfunctions.udf.CIQ(A3108, "IQ_TOTAL_DIV_PAID_CF",IQ_FY)/-I3117)</f>
        <v>7.3649843133054699E-2</v>
      </c>
      <c r="I3117" s="17">
        <f>IF(A3116=A3117,_xll.ciqfunctions.udf.CIQ(A3108,"IQ_TOTAL_OUTSTANDING_FILING_DATE",IQ_FY-1), _xll.ciqfunctions.udf.CIQ(A3108, "IQ_TOTAL_OUTSTANDING_FILING_DATE",IQ_FY))</f>
        <v>24.92877</v>
      </c>
      <c r="J3117" s="17">
        <f>IF(A3116=A3117,_xll.ciqfunctions.udf.CIQ(A3108,"IQ_CASH_OPER",IQ_FY-1), _xll.ciqfunctions.udf.CIQ(A3108, "IQ_CASH_OPER",IQ_FY))</f>
        <v>34.463000000000001</v>
      </c>
      <c r="K3117" s="17">
        <f>IF(A3116=A3117,_xll.ciqfunctions.udf.CIQ(A3108,"IQ_CAPEX",IQ_FY-1), _xll.ciqfunctions.udf.CIQ(A3108, "IQ_CAPEX",IQ_FY))</f>
        <v>-7.2380000000000004</v>
      </c>
      <c r="L3117" s="15">
        <f t="shared" si="828"/>
        <v>1.0921116444975023</v>
      </c>
      <c r="M3117" s="17">
        <f>IF(A3116=A3117,_xll.ciqfunctions.udf.CIQ(A3108,"IQ_TOTAL_DEBT_ISSUED",IQ_FY-1), _xll.ciqfunctions.udf.CIQ(A3108, "IQ_TOTAL_DEBT_ISSUED",IQ_FY))</f>
        <v>0</v>
      </c>
      <c r="N3117" s="17">
        <f>IF(A3116=A3117,_xll.ciqfunctions.udf.CIQ(A3108,"IQ_TOTAL_DEBT_REPAID",IQ_FY-1), _xll.ciqfunctions.udf.CIQ(A3108, "IQ_TOTAL_DEBT_REPAID",IQ_FY))</f>
        <v>-4.0000000000000001E-3</v>
      </c>
      <c r="O3117" s="15">
        <f t="shared" si="829"/>
        <v>-1.6045717458181851E-4</v>
      </c>
      <c r="P3117" s="15">
        <f t="shared" si="830"/>
        <v>1.0919511873229204</v>
      </c>
      <c r="Q3117" s="25" t="s">
        <v>44</v>
      </c>
      <c r="R3117" s="38" t="s">
        <v>35</v>
      </c>
      <c r="S3117" s="1">
        <f>_xll.ciqfunctions.udf.CIQ(A3108,"IQ_TEV_EBITDA")</f>
        <v>95.304779999999994</v>
      </c>
      <c r="U3117" s="25" t="s">
        <v>55</v>
      </c>
      <c r="V3117" s="38" t="s">
        <v>53</v>
      </c>
      <c r="W3117" s="1">
        <f>V3107/(AVERAGE(D3113:D3118)/_xlfn.STDEV.P(E3113:E3118))</f>
        <v>1.4956312801223111</v>
      </c>
      <c r="Y3117" s="25" t="s">
        <v>57</v>
      </c>
      <c r="Z3117" s="38" t="s">
        <v>53</v>
      </c>
      <c r="AA3117" s="1">
        <f>Z3107/(AVERAGE(D3113:D3118)/_xlfn.STDEV.P(E3113:E3118))</f>
        <v>1.4956312801223111</v>
      </c>
    </row>
    <row r="3118" spans="1:27">
      <c r="B3118" s="13">
        <v>11</v>
      </c>
      <c r="C3118" s="20" t="s">
        <v>36</v>
      </c>
      <c r="D3118" s="21" cm="1">
        <f t="array" ref="D3118">_xlfn.SINGLE(IF(A3116=A3117,_xll.ciqfunctions.udf.CIQ(A3108,"IQ_TOTAL_REV",IQ_FY)/I3118, _xll.ciqfunctions.udf.CIQ(A3108, "IQ_TOTAL_REV",IQ_LTM)/I3118))</f>
        <v>8.6833986838338646</v>
      </c>
      <c r="E3118" s="22">
        <f t="shared" si="831"/>
        <v>9.290610964883815E-2</v>
      </c>
      <c r="F3118" s="21">
        <f>IF(A3116=A3117,_xll.ciqfunctions.udf.CIQ(A3108,"IQ_DILUT_EPS_EXCL",IQ_FY), _xll.ciqfunctions.udf.CIQ(A3108, "IQ_DILUT_EPS_EXCL",IQ_LTM))</f>
        <v>0.46950999999999998</v>
      </c>
      <c r="G3118" s="21">
        <f>IF(A3116=A3117,_xll.ciqfunctions.udf.CIQ(A3108,"IQ_EBITDA_MARGIN",IQ_FY), _xll.ciqfunctions.udf.CIQ(A3108, "IQ_EBITDA_MARGIN",IQ_LTM))</f>
        <v>7.6631999999999998</v>
      </c>
      <c r="H3118" s="21">
        <f>IF(A3116=A3117,_xll.ciqfunctions.udf.CIQ(A3108,"IQ_TOTAL_DIV_PAID_CF",IQ_FY)/-I3118, _xll.ciqfunctions.udf.CIQ(A3108, "IQ_TOTAL_DIV_PAID_CF",IQ_LTM)/-I3118)</f>
        <v>7.3302221145135599E-2</v>
      </c>
      <c r="I3118" s="23">
        <f>IF(A3116=A3117,_xll.ciqfunctions.udf.CIQ(A3108,"IQ_TOTAL_OUTSTANDING_FILING_DATE",IQ_FY),_xll.ciqfunctions.udf.CIQ(A3108,"IQ_sharesoutstanding"))</f>
        <v>25.046990000000001</v>
      </c>
      <c r="J3118" s="23">
        <f>IF(A3116=A3117,_xll.ciqfunctions.udf.CIQ(A3108,"IQ_CASH_OPER",IQ_FY), _xll.ciqfunctions.udf.CIQ(A3108, "IQ_CASH_OPER",IQ_LTM))</f>
        <v>36.816000000000003</v>
      </c>
      <c r="K3118" s="23">
        <f>IF(A3116=A3117,_xll.ciqfunctions.udf.CIQ(A3108,"IQ_CAPEX",IQ_FY), _xll.ciqfunctions.udf.CIQ(A3108, "IQ_CAPEX",IQ_LTM))</f>
        <v>-12.443</v>
      </c>
      <c r="L3118" s="21">
        <f t="shared" si="828"/>
        <v>0.97309097819738033</v>
      </c>
      <c r="M3118" s="23">
        <f>IF(A3116=A3117,_xll.ciqfunctions.udf.CIQ(A3108,"IQ_TOTAL_DEBT_ISSUED",IQ_FY), _xll.ciqfunctions.udf.CIQ(A3108, "IQ_TOTAL_DEBT_ISSUED",IQ_LTM))</f>
        <v>0</v>
      </c>
      <c r="N3118" s="23">
        <f>IF(A3116=A3117,_xll.ciqfunctions.udf.CIQ(A3108,"IQ_TOTAL_DEBT_REPAID",IQ_FY), _xll.ciqfunctions.udf.CIQ(A3108, "IQ_TOTAL_DEBT_REPAID",IQ_LTM))</f>
        <v>-4.0000000000000001E-3</v>
      </c>
      <c r="O3118" s="21">
        <f t="shared" si="829"/>
        <v>-1.5969982820290981E-4</v>
      </c>
      <c r="P3118" s="21">
        <f t="shared" si="830"/>
        <v>0.97293127836917737</v>
      </c>
      <c r="Q3118" s="25" t="s">
        <v>45</v>
      </c>
      <c r="S3118" s="45"/>
      <c r="U3118" s="25"/>
      <c r="W3118" s="45"/>
      <c r="Y3118" s="25"/>
      <c r="AA3118" s="45"/>
    </row>
    <row r="3119" spans="1:27">
      <c r="B3119" s="24"/>
      <c r="C3119" s="25" t="s">
        <v>37</v>
      </c>
      <c r="E3119" s="26">
        <f>((D3118/D3113)^(1/5))-1</f>
        <v>7.4159692508345421E-2</v>
      </c>
      <c r="F3119" s="27">
        <f>((F3118/F3113)^(1/5))-1</f>
        <v>-1.9614713816474272</v>
      </c>
      <c r="G3119" s="28"/>
      <c r="H3119" s="27" t="e">
        <f>((H3118/H3113)^(1/5))-1</f>
        <v>#DIV/0!</v>
      </c>
      <c r="I3119" s="27">
        <f>((I3118/I3113)^(1/5))-1</f>
        <v>1.5485597999795431E-2</v>
      </c>
      <c r="J3119" s="27"/>
      <c r="K3119" s="27"/>
      <c r="L3119" s="26">
        <f>((L3118/L3113)^(1/5))-1</f>
        <v>0.41900644378223317</v>
      </c>
      <c r="M3119" s="26"/>
      <c r="N3119" s="26"/>
      <c r="O3119" s="26"/>
      <c r="P3119" s="26">
        <f>((P3118/P3113)^(1/5))-1</f>
        <v>0.42780371644069515</v>
      </c>
      <c r="Q3119" s="18"/>
      <c r="R3119" s="36"/>
      <c r="S3119" s="45"/>
      <c r="U3119" s="18"/>
      <c r="V3119" s="36"/>
      <c r="W3119" s="45"/>
      <c r="Y3119" s="18"/>
      <c r="Z3119" s="36"/>
      <c r="AA3119" s="45"/>
    </row>
    <row r="3120" spans="1:27">
      <c r="A3120" s="29"/>
      <c r="B3120" s="30"/>
      <c r="C3120" s="31" t="s">
        <v>38</v>
      </c>
      <c r="D3120" s="29"/>
      <c r="E3120" s="32">
        <f>((D3118/D3108)^(1/10))-1</f>
        <v>6.7113491121678415E-2</v>
      </c>
      <c r="F3120" s="33" t="e">
        <f>((F3118/F3108)^(1/10))-1</f>
        <v>#NUM!</v>
      </c>
      <c r="G3120" s="34"/>
      <c r="H3120" s="33" t="e">
        <f>((H3118/H3108)^(1/10))-1</f>
        <v>#DIV/0!</v>
      </c>
      <c r="I3120" s="33">
        <f>((I3118/I3108)^(1/10))-1</f>
        <v>1.1555455417159743E-2</v>
      </c>
      <c r="J3120" s="33"/>
      <c r="K3120" s="33"/>
      <c r="L3120" s="32" t="e">
        <f>((L3118/L3108)^(1/10))-1</f>
        <v>#NUM!</v>
      </c>
      <c r="M3120" s="32"/>
      <c r="N3120" s="32"/>
      <c r="O3120" s="32"/>
      <c r="P3120" s="32" t="e">
        <f>((P3118/P3108)^(1/10))-1</f>
        <v>#NUM!</v>
      </c>
      <c r="Q3120" s="40"/>
      <c r="R3120" s="41"/>
      <c r="S3120" s="46"/>
      <c r="U3120" s="40"/>
      <c r="V3120" s="41"/>
      <c r="W3120" s="46"/>
      <c r="Y3120" s="40"/>
      <c r="Z3120" s="41"/>
      <c r="AA3120" s="46"/>
    </row>
    <row r="3121" spans="1:27">
      <c r="B3121" s="24"/>
      <c r="C3121" s="25"/>
      <c r="E3121" s="26"/>
      <c r="F3121" s="27"/>
      <c r="G3121" s="28"/>
      <c r="H3121" s="27"/>
      <c r="I3121" s="27"/>
      <c r="J3121" s="27"/>
      <c r="K3121" s="27"/>
      <c r="L3121" s="26"/>
      <c r="M3121" s="17"/>
      <c r="N3121" s="17"/>
      <c r="O3121" s="17"/>
      <c r="P3121" s="35"/>
      <c r="Q3121" s="18"/>
      <c r="R3121" s="36"/>
    </row>
    <row r="3122" spans="1:27">
      <c r="A3122" s="9" t="s">
        <v>0</v>
      </c>
      <c r="B3122" s="10"/>
      <c r="C3122" s="9" t="s">
        <v>1</v>
      </c>
      <c r="D3122" s="9" t="s">
        <v>2</v>
      </c>
      <c r="E3122" s="9" t="s">
        <v>3</v>
      </c>
      <c r="F3122" s="11" t="s">
        <v>4</v>
      </c>
      <c r="G3122" s="11" t="s">
        <v>5</v>
      </c>
      <c r="H3122" s="9" t="s">
        <v>6</v>
      </c>
      <c r="I3122" s="11" t="s">
        <v>7</v>
      </c>
      <c r="J3122" s="11" t="s">
        <v>8</v>
      </c>
      <c r="K3122" s="11" t="s">
        <v>9</v>
      </c>
      <c r="L3122" s="11" t="s">
        <v>10</v>
      </c>
      <c r="M3122" s="11" t="s">
        <v>11</v>
      </c>
      <c r="N3122" s="11" t="s">
        <v>12</v>
      </c>
      <c r="O3122" s="11" t="s">
        <v>13</v>
      </c>
      <c r="P3122" s="11" t="s">
        <v>14</v>
      </c>
      <c r="Q3122" s="37" t="s">
        <v>15</v>
      </c>
      <c r="R3122" s="42">
        <f>_xll.ciqfunctions.udf.CIQ(A3123,("IQ_LASTSALEPRICE"))</f>
        <v>20.79</v>
      </c>
      <c r="S3122" s="44"/>
      <c r="U3122" s="37" t="s">
        <v>15</v>
      </c>
      <c r="V3122" s="42">
        <f>_xll.ciqfunctions.udf.CIQ(A3123,("IQ_LASTSALEPRICE"))</f>
        <v>20.79</v>
      </c>
      <c r="W3122" s="44"/>
      <c r="Y3122" s="37" t="s">
        <v>15</v>
      </c>
      <c r="Z3122" s="42">
        <f>_xll.ciqfunctions.udf.CIQ(A3123,("IQ_LASTSALEPRICE"))</f>
        <v>20.79</v>
      </c>
      <c r="AA3122" s="44"/>
    </row>
    <row r="3123" spans="1:27">
      <c r="A3123" s="12" t="str">
        <f>Analysis!B210</f>
        <v>NasdaqGM:EVBG</v>
      </c>
      <c r="B3123" s="13">
        <v>1</v>
      </c>
      <c r="C3123" s="14" t="s">
        <v>16</v>
      </c>
      <c r="D3123" s="15">
        <f>IF(A3131=A3132,_xll.ciqfunctions.udf.CIQ(A3123,"IQ_TOTAL_REV",IQ_FY-10)/I3123,_xll.ciqfunctions.udf.CIQ(A3123, "IQ_TOTAL_REV",IQ_FY-9)/I3123)</f>
        <v>2.6437587842933974</v>
      </c>
      <c r="E3123" s="16"/>
      <c r="F3123" s="15">
        <f>IF(A3131=A3132,_xll.ciqfunctions.udf.CIQ(A3123,"IQ_DILUT_EPS_EXCL",IQ_FY-10), _xll.ciqfunctions.udf.CIQ(A3123, "IQ_DILUT_EPS_EXCL",IQ_FY-9))</f>
        <v>-8.0519999999999994E-2</v>
      </c>
      <c r="G3123" s="15">
        <f>IF(A3131=A3132,_xll.ciqfunctions.udf.CIQ(A3123,"IQ_EBITDA_MARGIN",IQ_FY-10), _xll.ciqfunctions.udf.CIQ(A3123, "IQ_EBITDA_MARGIN",IQ_FY-9))</f>
        <v>2.0937999999999999</v>
      </c>
      <c r="H3123" s="15">
        <f>IF(A3131=A3132,_xll.ciqfunctions.udf.CIQ(A3123,"IQ_TOTAL_DIV_PAID_CF",IQ_FY-10)/-I3123, _xll.ciqfunctions.udf.CIQ(A3123, "IQ_TOTAL_DIV_PAID_CF",IQ_FY-9)/-I3123)</f>
        <v>0</v>
      </c>
      <c r="I3123" s="17">
        <f>IF(A3131=A3132,_xll.ciqfunctions.udf.CIQ(A3123,"IQ_TOTAL_OUTSTANDING_FILING_DATE",IQ_FY-10), _xll.ciqfunctions.udf.CIQ(A3123, "IQ_TOTAL_OUTSTANDING_FILING_DATE",IQ_FY-9))</f>
        <v>11.36261</v>
      </c>
      <c r="J3123" s="17">
        <f>IF(A3131=A3132,_xll.ciqfunctions.udf.CIQ(A3123,"IQ_CASH_OPER",IQ_FY-10), _xll.ciqfunctions.udf.CIQ(A3123, "IQ_CASH_OPER",IQ_FY-9))</f>
        <v>3.9980000000000002</v>
      </c>
      <c r="K3123" s="17">
        <f>IF(A3131=A3132,_xll.ciqfunctions.udf.CIQ(A3123,"IQ_CAPEX",IQ_FY-10), _xll.ciqfunctions.udf.CIQ(A3123, "IQ_CAPEX",IQ_FY-9))</f>
        <v>-0.68799999999999994</v>
      </c>
      <c r="L3123" s="15">
        <f t="shared" ref="L3123:L3133" si="832">(J3123+K3123)/I3123</f>
        <v>0.29130631078599023</v>
      </c>
      <c r="M3123" s="17">
        <f>IF(A3131=A3132,_xll.ciqfunctions.udf.CIQ(A3123,"IQ_TOTAL_DEBT_ISSUED",IQ_FY-10), _xll.ciqfunctions.udf.CIQ(A3123, "IQ_TOTAL_DEBT_ISSUED",IQ_FY-9))</f>
        <v>28.954999999999998</v>
      </c>
      <c r="N3123" s="17">
        <f>IF(A3131=A3132,_xll.ciqfunctions.udf.CIQ(A3123,"IQ_TOTAL_DEBT_REPAID",IQ_FY-10), _xll.ciqfunctions.udf.CIQ(A3123, "IQ_TOTAL_DEBT_REPAID",IQ_FY-9))</f>
        <v>-30.332000000000001</v>
      </c>
      <c r="O3123" s="15">
        <f t="shared" ref="O3123:O3133" si="833">(M3123+N3123)/I3123</f>
        <v>-0.12118694560492725</v>
      </c>
      <c r="P3123" s="15">
        <f t="shared" ref="P3123:P3133" si="834">L3123+O3123</f>
        <v>0.17011936518106296</v>
      </c>
      <c r="W3123" s="43"/>
      <c r="AA3123" s="43"/>
    </row>
    <row r="3124" spans="1:27">
      <c r="A3124" s="18" t="str">
        <f>_xll.ciqfunctions.udf.CIQ(A3123,"IQ_COMPANY_NAME")</f>
        <v>Everbridge, Inc.</v>
      </c>
      <c r="B3124" s="13">
        <v>2</v>
      </c>
      <c r="C3124" s="14" t="s">
        <v>17</v>
      </c>
      <c r="D3124" s="15">
        <f>IF(A3131=A3132,_xll.ciqfunctions.udf.CIQ(A3123,"IQ_TOTAL_REV",IQ_FY-9)/I3124, _xll.ciqfunctions.udf.CIQ(A3123, "IQ_TOTAL_REV",IQ_FY-8)/I3124)</f>
        <v>3.4206732164859335</v>
      </c>
      <c r="E3124" s="16">
        <f t="shared" ref="E3124:E3133" si="835">(D3124-D3123)/D3123</f>
        <v>0.29386736672354302</v>
      </c>
      <c r="F3124" s="15">
        <f>IF(A3131=A3132,_xll.ciqfunctions.udf.CIQ(A3123,"IQ_DILUT_EPS_EXCL",IQ_FY-9), _xll.ciqfunctions.udf.CIQ(A3123, "IQ_DILUT_EPS_EXCL",IQ_FY-8))</f>
        <v>-5.2850000000000001E-2</v>
      </c>
      <c r="G3124" s="15">
        <f>IF(A3131=A3132,_xll.ciqfunctions.udf.CIQ(A3123,"IQ_EBITDA_MARGIN",IQ_FY-9), _xll.ciqfunctions.udf.CIQ(A3123, "IQ_EBITDA_MARGIN",IQ_FY-8))</f>
        <v>2.89</v>
      </c>
      <c r="H3124" s="15">
        <f>IF(A3131=A3132,_xll.ciqfunctions.udf.CIQ(A3123,"IQ_TOTAL_DIV_PAID_CF",IQ_FY-9)/-I3124, _xll.ciqfunctions.udf.CIQ(A3123, "IQ_TOTAL_DIV_PAID_CF",IQ_FY-8)/-I3124)</f>
        <v>0</v>
      </c>
      <c r="I3124" s="17">
        <f>IF(A3131=A3132,_xll.ciqfunctions.udf.CIQ(A3123,"IQ_TOTAL_OUTSTANDING_FILING_DATE",IQ_FY-9), _xll.ciqfunctions.udf.CIQ(A3123, "IQ_TOTAL_OUTSTANDING_FILING_DATE",IQ_FY-8))</f>
        <v>12.40136</v>
      </c>
      <c r="J3124" s="17">
        <f>IF(A3131=A3132,_xll.ciqfunctions.udf.CIQ(A3123,"IQ_CASH_OPER",IQ_FY-9), _xll.ciqfunctions.udf.CIQ(A3123, "IQ_CASH_OPER",IQ_FY-8))</f>
        <v>7.7160000000000002</v>
      </c>
      <c r="K3124" s="17">
        <f>IF(A3131=A3132,_xll.ciqfunctions.udf.CIQ(A3123,"IQ_CAPEX",IQ_FY-9), _xll.ciqfunctions.udf.CIQ(A3123, "IQ_CAPEX",IQ_FY-8))</f>
        <v>-2.1549999999999998</v>
      </c>
      <c r="L3124" s="15">
        <f t="shared" si="832"/>
        <v>0.44841856054497248</v>
      </c>
      <c r="M3124" s="17">
        <f>IF(A3131=A3132,_xll.ciqfunctions.udf.CIQ(A3123,"IQ_TOTAL_DEBT_ISSUED",IQ_FY-9), _xll.ciqfunctions.udf.CIQ(A3123, "IQ_TOTAL_DEBT_ISSUED",IQ_FY-8))</f>
        <v>6.4</v>
      </c>
      <c r="N3124" s="17">
        <f>IF(A3131=A3132,_xll.ciqfunctions.udf.CIQ(A3123,"IQ_TOTAL_DEBT_REPAID",IQ_FY-9), _xll.ciqfunctions.udf.CIQ(A3123, "IQ_TOTAL_DEBT_REPAID",IQ_FY-8))</f>
        <v>-8.7449999999999992</v>
      </c>
      <c r="O3124" s="15">
        <f t="shared" si="833"/>
        <v>-0.18909216408522928</v>
      </c>
      <c r="P3124" s="15">
        <f t="shared" si="834"/>
        <v>0.2593263964597432</v>
      </c>
      <c r="Q3124" s="25" t="s">
        <v>18</v>
      </c>
      <c r="R3124" s="39" t="s">
        <v>19</v>
      </c>
      <c r="S3124" s="1">
        <f>R3122/((AVERAGE(P3128:P3133))*(1+E3134)^3)</f>
        <v>16.01930214759814</v>
      </c>
      <c r="U3124" s="25" t="s">
        <v>48</v>
      </c>
      <c r="V3124" s="39" t="s">
        <v>19</v>
      </c>
      <c r="W3124" s="1">
        <f>V3122/((AVERAGE(P3128:P3133))*(1+E3134)^3)</f>
        <v>16.01930214759814</v>
      </c>
      <c r="Y3124" s="25" t="s">
        <v>39</v>
      </c>
      <c r="Z3124" s="39" t="s">
        <v>19</v>
      </c>
      <c r="AA3124" s="1">
        <f>Z3122/((AVERAGE(P3128:P3133))*(1+E3134)^3)</f>
        <v>16.01930214759814</v>
      </c>
    </row>
    <row r="3125" spans="1:27">
      <c r="B3125" s="13">
        <v>3</v>
      </c>
      <c r="C3125" s="14" t="s">
        <v>20</v>
      </c>
      <c r="D3125" s="15" cm="1">
        <f t="array" ref="D3125">_xlfn.SINGLE(IF(A3131=A3132,_xll.ciqfunctions.udf.CIQ(A3123,"IQ_TOTAL_REV",IQ_FY-8)/I3125, _xll.ciqfunctions.udf.CIQ(A3123, "IQ_TOTAL_REV",IQ_FY-7)/I3125))</f>
        <v>2.1809861979824392</v>
      </c>
      <c r="E3125" s="16">
        <f t="shared" si="835"/>
        <v>-0.36241024501516927</v>
      </c>
      <c r="F3125" s="15">
        <f>IF(A3131=A3132,_xll.ciqfunctions.udf.CIQ(A3123,"IQ_DILUT_EPS_EXCL",IQ_FY-8), _xll.ciqfunctions.udf.CIQ(A3123, "IQ_DILUT_EPS_EXCL",IQ_FY-7))</f>
        <v>-0.88305999999999996</v>
      </c>
      <c r="G3125" s="15">
        <f>IF(A3131=A3132,_xll.ciqfunctions.udf.CIQ(A3123,"IQ_EBITDA_MARGIN",IQ_FY-8), _xll.ciqfunctions.udf.CIQ(A3123, "IQ_EBITDA_MARGIN",IQ_FY-7))</f>
        <v>-13.9833</v>
      </c>
      <c r="H3125" s="15">
        <f>IF(A3131=A3132,_xll.ciqfunctions.udf.CIQ(A3123,"IQ_TOTAL_DIV_PAID_CF",IQ_FY-8)/-I3125, _xll.ciqfunctions.udf.CIQ(A3123, "IQ_TOTAL_DIV_PAID_CF",IQ_FY-7)/-I3125)</f>
        <v>0</v>
      </c>
      <c r="I3125" s="17">
        <f>IF(A3131=A3132,_xll.ciqfunctions.udf.CIQ(A3123,"IQ_TOTAL_OUTSTANDING_FILING_DATE",IQ_FY-8), _xll.ciqfunctions.udf.CIQ(A3123, "IQ_TOTAL_OUTSTANDING_FILING_DATE",IQ_FY-7))</f>
        <v>26.9236</v>
      </c>
      <c r="J3125" s="17">
        <f>IF(A3131=A3132,_xll.ciqfunctions.udf.CIQ(A3123,"IQ_CASH_OPER",IQ_FY-8), _xll.ciqfunctions.udf.CIQ(A3123, "IQ_CASH_OPER",IQ_FY-7))</f>
        <v>4.4509999999999996</v>
      </c>
      <c r="K3125" s="17">
        <f>IF(A3131=A3132,_xll.ciqfunctions.udf.CIQ(A3123,"IQ_CAPEX",IQ_FY-8), _xll.ciqfunctions.udf.CIQ(A3123, "IQ_CAPEX",IQ_FY-7))</f>
        <v>-2.5019999999999998</v>
      </c>
      <c r="L3125" s="15">
        <f t="shared" si="832"/>
        <v>7.2390022136712764E-2</v>
      </c>
      <c r="M3125" s="17">
        <f>IF(A3131=A3132,_xll.ciqfunctions.udf.CIQ(A3123,"IQ_TOTAL_DEBT_ISSUED",IQ_FY-8), _xll.ciqfunctions.udf.CIQ(A3123, "IQ_TOTAL_DEBT_ISSUED",IQ_FY-7))</f>
        <v>17</v>
      </c>
      <c r="N3125" s="17">
        <f>IF(A3131=A3132,_xll.ciqfunctions.udf.CIQ(A3123,"IQ_TOTAL_DEBT_REPAID",IQ_FY-8), _xll.ciqfunctions.udf.CIQ(A3123, "IQ_TOTAL_DEBT_REPAID",IQ_FY-7))</f>
        <v>-6.88</v>
      </c>
      <c r="O3125" s="15">
        <f t="shared" si="833"/>
        <v>0.37587841150514795</v>
      </c>
      <c r="P3125" s="15">
        <f t="shared" si="834"/>
        <v>0.4482684336418607</v>
      </c>
      <c r="Q3125" s="25" t="s">
        <v>21</v>
      </c>
      <c r="R3125" s="38" t="s">
        <v>49</v>
      </c>
      <c r="S3125" s="2">
        <f>(R3122*I3133)/1000</f>
        <v>0.85382596529999999</v>
      </c>
      <c r="U3125" s="25" t="s">
        <v>59</v>
      </c>
      <c r="V3125" s="38" t="s">
        <v>49</v>
      </c>
      <c r="W3125" s="2">
        <f>(V3122*I3133)/1000</f>
        <v>0.85382596529999999</v>
      </c>
      <c r="Y3125" s="25" t="s">
        <v>46</v>
      </c>
      <c r="Z3125" s="38" t="s">
        <v>49</v>
      </c>
      <c r="AA3125" s="2">
        <f>(Z3122*I3133)/1000</f>
        <v>0.85382596529999999</v>
      </c>
    </row>
    <row r="3126" spans="1:27">
      <c r="A3126" s="18"/>
      <c r="B3126" s="13">
        <v>4</v>
      </c>
      <c r="C3126" s="14" t="s">
        <v>22</v>
      </c>
      <c r="D3126" s="15" cm="1">
        <f t="array" ref="D3126">_xlfn.SINGLE(IF(A3131=A3132,_xll.ciqfunctions.udf.CIQ(A3123,"IQ_TOTAL_REV",IQ_FY-7)/I3126, _xll.ciqfunctions.udf.CIQ(A3123, "IQ_TOTAL_REV",IQ_FY-6)/I3126))</f>
        <v>2.8215245984763344</v>
      </c>
      <c r="E3126" s="16">
        <f t="shared" si="835"/>
        <v>0.29369209263517432</v>
      </c>
      <c r="F3126" s="15">
        <f>IF(A3131=A3132,_xll.ciqfunctions.udf.CIQ(A3123,"IQ_DILUT_EPS_EXCL",IQ_FY-7), _xll.ciqfunctions.udf.CIQ(A3123, "IQ_DILUT_EPS_EXCL",IQ_FY-6))</f>
        <v>-0.68</v>
      </c>
      <c r="G3126" s="15">
        <f>IF(A3131=A3132,_xll.ciqfunctions.udf.CIQ(A3123,"IQ_EBITDA_MARGIN",IQ_FY-7), _xll.ciqfunctions.udf.CIQ(A3123, "IQ_EBITDA_MARGIN",IQ_FY-6))</f>
        <v>-10.649800000000001</v>
      </c>
      <c r="H3126" s="15">
        <f>IF(A3131=A3132,_xll.ciqfunctions.udf.CIQ(A3123,"IQ_TOTAL_DIV_PAID_CF",IQ_FY-7)/-I3126, _xll.ciqfunctions.udf.CIQ(A3123, "IQ_TOTAL_DIV_PAID_CF",IQ_FY-6)/-I3126)</f>
        <v>0</v>
      </c>
      <c r="I3126" s="17">
        <f>IF(A3131=A3132,_xll.ciqfunctions.udf.CIQ(A3123,"IQ_TOTAL_OUTSTANDING_FILING_DATE",IQ_FY-7), _xll.ciqfunctions.udf.CIQ(A3123, "IQ_TOTAL_OUTSTANDING_FILING_DATE",IQ_FY-6))</f>
        <v>27.23563</v>
      </c>
      <c r="J3126" s="17">
        <f>IF(A3131=A3132,_xll.ciqfunctions.udf.CIQ(A3123,"IQ_CASH_OPER",IQ_FY-7), _xll.ciqfunctions.udf.CIQ(A3123, "IQ_CASH_OPER",IQ_FY-6))</f>
        <v>9.5030000000000001</v>
      </c>
      <c r="K3126" s="17">
        <f>IF(A3131=A3132,_xll.ciqfunctions.udf.CIQ(A3123,"IQ_CAPEX",IQ_FY-7), _xll.ciqfunctions.udf.CIQ(A3123, "IQ_CAPEX",IQ_FY-6))</f>
        <v>-0.97</v>
      </c>
      <c r="L3126" s="15">
        <f t="shared" si="832"/>
        <v>0.31330283162166617</v>
      </c>
      <c r="M3126" s="17">
        <f>IF(A3131=A3132,_xll.ciqfunctions.udf.CIQ(A3123,"IQ_TOTAL_DEBT_ISSUED",IQ_FY-7), _xll.ciqfunctions.udf.CIQ(A3123, "IQ_TOTAL_DEBT_ISSUED",IQ_FY-6))</f>
        <v>9.5</v>
      </c>
      <c r="N3126" s="17">
        <f>IF(A3131=A3132,_xll.ciqfunctions.udf.CIQ(A3123,"IQ_TOTAL_DEBT_REPAID",IQ_FY-7), _xll.ciqfunctions.udf.CIQ(A3123, "IQ_TOTAL_DEBT_REPAID",IQ_FY-6))</f>
        <v>-26.576000000000001</v>
      </c>
      <c r="O3126" s="15">
        <f t="shared" si="833"/>
        <v>-0.62697282934156473</v>
      </c>
      <c r="P3126" s="15">
        <f t="shared" si="834"/>
        <v>-0.31366999771989856</v>
      </c>
      <c r="Q3126" s="25" t="s">
        <v>23</v>
      </c>
      <c r="R3126" s="38" t="s">
        <v>24</v>
      </c>
      <c r="S3126" s="1" t="e">
        <f>R3122/(AVERAGE(H3128:H3133)*(1+H3134)/(0.5-H3134))</f>
        <v>#DIV/0!</v>
      </c>
      <c r="U3126" s="25" t="s">
        <v>40</v>
      </c>
      <c r="V3126" s="38" t="s">
        <v>24</v>
      </c>
      <c r="W3126" s="1" t="e">
        <f>V3122/(AVERAGE(H3128:H3133)*(1+H3134)/(0.5-H3134))</f>
        <v>#DIV/0!</v>
      </c>
      <c r="Y3126" s="25" t="s">
        <v>47</v>
      </c>
      <c r="Z3126" s="38" t="s">
        <v>24</v>
      </c>
      <c r="AA3126" s="1" t="e">
        <f>Z3122/(AVERAGE(H3128:H3133)*(1+H3134)/(0.5-H3134))</f>
        <v>#DIV/0!</v>
      </c>
    </row>
    <row r="3127" spans="1:27">
      <c r="B3127" s="13">
        <v>5</v>
      </c>
      <c r="C3127" s="14" t="s">
        <v>25</v>
      </c>
      <c r="D3127" s="15" cm="1">
        <f t="array" ref="D3127">_xlfn.SINGLE(IF(A3131=A3132,_xll.ciqfunctions.udf.CIQ(A3123,"IQ_TOTAL_REV",IQ_FY-6)/I3127, _xll.ciqfunctions.udf.CIQ(A3123, "IQ_TOTAL_REV",IQ_FY-5)/I3127))</f>
        <v>3.6690525306132353</v>
      </c>
      <c r="E3127" s="16">
        <f t="shared" si="835"/>
        <v>0.30037942344879032</v>
      </c>
      <c r="F3127" s="15">
        <f>IF(A3131=A3132,_xll.ciqfunctions.udf.CIQ(A3123,"IQ_DILUT_EPS_EXCL",IQ_FY-6), _xll.ciqfunctions.udf.CIQ(A3123, "IQ_DILUT_EPS_EXCL",IQ_FY-5))</f>
        <v>-0.70467999999999997</v>
      </c>
      <c r="G3127" s="15">
        <f>IF(A3131=A3132,_xll.ciqfunctions.udf.CIQ(A3123,"IQ_EBITDA_MARGIN",IQ_FY-6), _xll.ciqfunctions.udf.CIQ(A3123, "IQ_EBITDA_MARGIN",IQ_FY-5))</f>
        <v>-14.545</v>
      </c>
      <c r="H3127" s="15">
        <f>IF(A3131=A3132,_xll.ciqfunctions.udf.CIQ(A3123,"IQ_TOTAL_DIV_PAID_CF",IQ_FY-6)/-I3127, _xll.ciqfunctions.udf.CIQ(A3123, "IQ_TOTAL_DIV_PAID_CF",IQ_FY-5)/-I3127)</f>
        <v>0</v>
      </c>
      <c r="I3127" s="17">
        <f>IF(A3131=A3132,_xll.ciqfunctions.udf.CIQ(A3123,"IQ_TOTAL_OUTSTANDING_FILING_DATE",IQ_FY-6), _xll.ciqfunctions.udf.CIQ(A3123, "IQ_TOTAL_OUTSTANDING_FILING_DATE",IQ_FY-5))</f>
        <v>28.441130000000001</v>
      </c>
      <c r="J3127" s="17">
        <f>IF(A3131=A3132,_xll.ciqfunctions.udf.CIQ(A3123,"IQ_CASH_OPER",IQ_FY-6), _xll.ciqfunctions.udf.CIQ(A3123, "IQ_CASH_OPER",IQ_FY-5))</f>
        <v>4.8630000000000004</v>
      </c>
      <c r="K3127" s="17">
        <f>IF(A3131=A3132,_xll.ciqfunctions.udf.CIQ(A3123,"IQ_CAPEX",IQ_FY-6), _xll.ciqfunctions.udf.CIQ(A3123, "IQ_CAPEX",IQ_FY-5))</f>
        <v>-1.667</v>
      </c>
      <c r="L3127" s="15">
        <f t="shared" si="832"/>
        <v>0.11237246902637134</v>
      </c>
      <c r="M3127" s="17">
        <f>IF(A3131=A3132,_xll.ciqfunctions.udf.CIQ(A3123,"IQ_TOTAL_DEBT_ISSUED",IQ_FY-6), _xll.ciqfunctions.udf.CIQ(A3123, "IQ_TOTAL_DEBT_ISSUED",IQ_FY-5))</f>
        <v>115</v>
      </c>
      <c r="N3127" s="17">
        <f>IF(A3131=A3132,_xll.ciqfunctions.udf.CIQ(A3123,"IQ_TOTAL_DEBT_REPAID",IQ_FY-6), _xll.ciqfunctions.udf.CIQ(A3123, "IQ_TOTAL_DEBT_REPAID",IQ_FY-5))</f>
        <v>0</v>
      </c>
      <c r="O3127" s="15">
        <f t="shared" si="833"/>
        <v>4.0434399055171157</v>
      </c>
      <c r="P3127" s="15">
        <f t="shared" si="834"/>
        <v>4.155812374543487</v>
      </c>
      <c r="Q3127" s="18"/>
      <c r="R3127" s="38" t="s">
        <v>50</v>
      </c>
      <c r="S3127" s="3">
        <f>I3134</f>
        <v>4.5941368070216759E-2</v>
      </c>
      <c r="U3127" s="18"/>
      <c r="V3127" s="38" t="s">
        <v>50</v>
      </c>
      <c r="W3127" s="3">
        <f>I3134</f>
        <v>4.5941368070216759E-2</v>
      </c>
      <c r="Y3127" s="18"/>
      <c r="Z3127" s="38" t="s">
        <v>50</v>
      </c>
      <c r="AA3127" s="3">
        <f>I3134</f>
        <v>4.5941368070216759E-2</v>
      </c>
    </row>
    <row r="3128" spans="1:27">
      <c r="B3128" s="13">
        <v>6</v>
      </c>
      <c r="C3128" s="14" t="s">
        <v>26</v>
      </c>
      <c r="D3128" s="15" cm="1">
        <f t="array" ref="D3128">_xlfn.SINGLE(IF(A3131=A3132,_xll.ciqfunctions.udf.CIQ(A3123,"IQ_TOTAL_REV",IQ_FY-5)/I3128, _xll.ciqfunctions.udf.CIQ(A3123, "IQ_TOTAL_REV",IQ_FY-4)/I3128))</f>
        <v>4.4834960381469333</v>
      </c>
      <c r="E3128" s="16">
        <f t="shared" si="835"/>
        <v>0.22197651866204657</v>
      </c>
      <c r="F3128" s="15">
        <f>IF(A3131=A3132,_xll.ciqfunctions.udf.CIQ(A3123,"IQ_DILUT_EPS_EXCL",IQ_FY-5), _xll.ciqfunctions.udf.CIQ(A3123, "IQ_DILUT_EPS_EXCL",IQ_FY-4))</f>
        <v>-1.6324099999999999</v>
      </c>
      <c r="G3128" s="15">
        <f>IF(A3131=A3132,_xll.ciqfunctions.udf.CIQ(A3123,"IQ_EBITDA_MARGIN",IQ_FY-5), _xll.ciqfunctions.udf.CIQ(A3123, "IQ_EBITDA_MARGIN",IQ_FY-4))</f>
        <v>-24.370799999999999</v>
      </c>
      <c r="H3128" s="15">
        <f>IF(A3131=A3132,_xll.ciqfunctions.udf.CIQ(A3123,"IQ_TOTAL_DIV_PAID_CF",IQ_FY-5)/-I3128, _xll.ciqfunctions.udf.CIQ(A3123, "IQ_TOTAL_DIV_PAID_CF",IQ_FY-4)/-I3128)</f>
        <v>0</v>
      </c>
      <c r="I3128" s="17">
        <f>IF(A3131=A3132,_xll.ciqfunctions.udf.CIQ(A3123,"IQ_TOTAL_OUTSTANDING_FILING_DATE",IQ_FY-5), _xll.ciqfunctions.udf.CIQ(A3123, "IQ_TOTAL_OUTSTANDING_FILING_DATE",IQ_FY-4))</f>
        <v>32.807879999999997</v>
      </c>
      <c r="J3128" s="17">
        <f>IF(A3131=A3132,_xll.ciqfunctions.udf.CIQ(A3123,"IQ_CASH_OPER",IQ_FY-5), _xll.ciqfunctions.udf.CIQ(A3123, "IQ_CASH_OPER",IQ_FY-4))</f>
        <v>3.2949999999999999</v>
      </c>
      <c r="K3128" s="17">
        <f>IF(A3131=A3132,_xll.ciqfunctions.udf.CIQ(A3123,"IQ_CAPEX",IQ_FY-5), _xll.ciqfunctions.udf.CIQ(A3123, "IQ_CAPEX",IQ_FY-4))</f>
        <v>-1.7210000000000001</v>
      </c>
      <c r="L3128" s="15">
        <f t="shared" si="832"/>
        <v>4.7976278869588648E-2</v>
      </c>
      <c r="M3128" s="17">
        <f>IF(A3131=A3132,_xll.ciqfunctions.udf.CIQ(A3123,"IQ_TOTAL_DEBT_ISSUED",IQ_FY-5), _xll.ciqfunctions.udf.CIQ(A3123, "IQ_TOTAL_DEBT_ISSUED",IQ_FY-4))</f>
        <v>0</v>
      </c>
      <c r="N3128" s="17">
        <f>IF(A3131=A3132,_xll.ciqfunctions.udf.CIQ(A3123,"IQ_TOTAL_DEBT_REPAID",IQ_FY-5), _xll.ciqfunctions.udf.CIQ(A3123, "IQ_TOTAL_DEBT_REPAID",IQ_FY-4))</f>
        <v>0</v>
      </c>
      <c r="O3128" s="15">
        <f t="shared" si="833"/>
        <v>0</v>
      </c>
      <c r="P3128" s="15">
        <f t="shared" si="834"/>
        <v>4.7976278869588648E-2</v>
      </c>
      <c r="Q3128" s="25" t="s">
        <v>27</v>
      </c>
      <c r="R3128" s="38" t="s">
        <v>51</v>
      </c>
      <c r="S3128" s="4">
        <f>AVERAGE(F3128:F3133)/AVERAGE(D3128:D3133)</f>
        <v>-0.22889780964910464</v>
      </c>
      <c r="U3128" s="25" t="s">
        <v>58</v>
      </c>
      <c r="V3128" s="38" t="s">
        <v>51</v>
      </c>
      <c r="W3128" s="4">
        <f>AVERAGE(F3128:F3133)/AVERAGE(D3128:D3133)</f>
        <v>-0.22889780964910464</v>
      </c>
      <c r="Y3128" s="25" t="s">
        <v>56</v>
      </c>
      <c r="Z3128" s="38" t="s">
        <v>51</v>
      </c>
      <c r="AA3128" s="4">
        <f>AVERAGE(F3128:F3133)/AVERAGE(D3128:D3133)</f>
        <v>-0.22889780964910464</v>
      </c>
    </row>
    <row r="3129" spans="1:27">
      <c r="A3129" s="18"/>
      <c r="B3129" s="13">
        <v>7</v>
      </c>
      <c r="C3129" s="14" t="s">
        <v>28</v>
      </c>
      <c r="D3129" s="15" cm="1">
        <f t="array" ref="D3129">_xlfn.SINGLE(IF(A3131=A3132,_xll.ciqfunctions.udf.CIQ(A3123,"IQ_TOTAL_REV",IQ_FY-4)/I3129, _xll.ciqfunctions.udf.CIQ(A3123, "IQ_TOTAL_REV",IQ_FY-3)/I3129))</f>
        <v>5.8688691262226689</v>
      </c>
      <c r="E3129" s="16">
        <f t="shared" si="835"/>
        <v>0.30899393604646119</v>
      </c>
      <c r="F3129" s="15">
        <f>IF(A3131=A3132,_xll.ciqfunctions.udf.CIQ(A3123,"IQ_DILUT_EPS_EXCL",IQ_FY-4), _xll.ciqfunctions.udf.CIQ(A3123, "IQ_DILUT_EPS_EXCL",IQ_FY-3))</f>
        <v>-1.58</v>
      </c>
      <c r="G3129" s="15">
        <f>IF(A3131=A3132,_xll.ciqfunctions.udf.CIQ(A3123,"IQ_EBITDA_MARGIN",IQ_FY-4), _xll.ciqfunctions.udf.CIQ(A3123, "IQ_EBITDA_MARGIN",IQ_FY-3))</f>
        <v>-18.521799999999999</v>
      </c>
      <c r="H3129" s="15">
        <f>IF(A3131=A3132,_xll.ciqfunctions.udf.CIQ(A3123,"IQ_TOTAL_DIV_PAID_CF",IQ_FY-4)/-I3129, _xll.ciqfunctions.udf.CIQ(A3123, "IQ_TOTAL_DIV_PAID_CF",IQ_FY-3)/-I3129)</f>
        <v>0</v>
      </c>
      <c r="I3129" s="17">
        <f>IF(A3131=A3132,_xll.ciqfunctions.udf.CIQ(A3123,"IQ_TOTAL_OUTSTANDING_FILING_DATE",IQ_FY-4), _xll.ciqfunctions.udf.CIQ(A3123, "IQ_TOTAL_OUTSTANDING_FILING_DATE",IQ_FY-3))</f>
        <v>34.228400000000001</v>
      </c>
      <c r="J3129" s="17">
        <f>IF(A3131=A3132,_xll.ciqfunctions.udf.CIQ(A3123,"IQ_CASH_OPER",IQ_FY-4), _xll.ciqfunctions.udf.CIQ(A3123, "IQ_CASH_OPER",IQ_FY-3))</f>
        <v>10.317</v>
      </c>
      <c r="K3129" s="17">
        <f>IF(A3131=A3132,_xll.ciqfunctions.udf.CIQ(A3123,"IQ_CAPEX",IQ_FY-4), _xll.ciqfunctions.udf.CIQ(A3123, "IQ_CAPEX",IQ_FY-3))</f>
        <v>-5.2690000000000001</v>
      </c>
      <c r="L3129" s="15">
        <f t="shared" si="832"/>
        <v>0.14747987051688072</v>
      </c>
      <c r="M3129" s="17">
        <f>IF(A3131=A3132,_xll.ciqfunctions.udf.CIQ(A3123,"IQ_TOTAL_DEBT_ISSUED",IQ_FY-4), _xll.ciqfunctions.udf.CIQ(A3123, "IQ_TOTAL_DEBT_ISSUED",IQ_FY-3))</f>
        <v>450</v>
      </c>
      <c r="N3129" s="17">
        <f>IF(A3131=A3132,_xll.ciqfunctions.udf.CIQ(A3123,"IQ_TOTAL_DEBT_REPAID",IQ_FY-4), _xll.ciqfunctions.udf.CIQ(A3123, "IQ_TOTAL_DEBT_REPAID",IQ_FY-3))</f>
        <v>-57.790999999999997</v>
      </c>
      <c r="O3129" s="15">
        <f t="shared" si="833"/>
        <v>11.458584099753422</v>
      </c>
      <c r="P3129" s="15">
        <f t="shared" si="834"/>
        <v>11.606063970270302</v>
      </c>
      <c r="Q3129" s="18"/>
      <c r="R3129" s="38" t="s">
        <v>29</v>
      </c>
      <c r="S3129" s="4">
        <f>(AVERAGE(P3128:P3133)/_xlfn.STDEV.P(P3128:P3133))/(IF(A3131=A3132,(_xlfn.SINGLE(_xll.ciqfunctions.udf.CIQ(A3123,"IQ_total_assets",IQ_FY)) - _xlfn.SINGLE(_xll.ciqfunctions.udf.CIQ(A3123,"iq_gw_intan", IQ_FY)))/I3133, (_xlfn.SINGLE(_xll.ciqfunctions.udf.CIQ(A3123, "IQ_total_assets",IQ_LTM))-_xlfn.SINGLE(_xll.ciqfunctions.udf.CIQ(A3123,"iq_gw_intan",IQ_LTM)))/I3133))</f>
        <v>1.410584900059433E-2</v>
      </c>
      <c r="U3129" s="18"/>
      <c r="V3129" s="38" t="s">
        <v>29</v>
      </c>
      <c r="W3129" s="4">
        <f>(AVERAGE(P3128:P3133)/_xlfn.STDEV.P(P3128:P3133))/(IF(A3131=A3132,(_xlfn.SINGLE(_xll.ciqfunctions.udf.CIQ(A3123,"IQ_total_assets",IQ_FY)) - _xlfn.SINGLE(_xll.ciqfunctions.udf.CIQ(A3123,"iq_gw_intan", IQ_FY)))/I3133, (_xlfn.SINGLE(_xll.ciqfunctions.udf.CIQ(A3123, "IQ_total_assets",IQ_LTM))-_xlfn.SINGLE(_xll.ciqfunctions.udf.CIQ(A3123,"iq_gw_intan",IQ_LTM)))/I3133))</f>
        <v>1.410584900059433E-2</v>
      </c>
      <c r="Y3129" s="18"/>
      <c r="Z3129" s="38" t="s">
        <v>29</v>
      </c>
      <c r="AA3129" s="4">
        <f>(AVERAGE(P3128:P3133)/_xlfn.STDEV.P(P3128:P3133))/(IF(A3131=A3132,(_xlfn.SINGLE(_xll.ciqfunctions.udf.CIQ(A3123,"IQ_total_assets",IQ_FY)) - _xlfn.SINGLE(_xll.ciqfunctions.udf.CIQ(A3123,"iq_gw_intan", IQ_FY)))/I3133, (_xlfn.SINGLE(_xll.ciqfunctions.udf.CIQ(A3123, "IQ_total_assets",IQ_LTM))-_xlfn.SINGLE(_xll.ciqfunctions.udf.CIQ(A3123,"iq_gw_intan",IQ_LTM)))/I3133))</f>
        <v>1.410584900059433E-2</v>
      </c>
    </row>
    <row r="3130" spans="1:27">
      <c r="A3130" s="18"/>
      <c r="B3130" s="13">
        <v>8</v>
      </c>
      <c r="C3130" s="14" t="s">
        <v>30</v>
      </c>
      <c r="D3130" s="15" cm="1">
        <f t="array" ref="D3130">_xlfn.SINGLE(IF(A3131=A3132,_xll.ciqfunctions.udf.CIQ(A3123,"IQ_TOTAL_REV",IQ_FY-3)/I3130, _xll.ciqfunctions.udf.CIQ(A3123, "IQ_TOTAL_REV",IQ_FY-2)/I3130))</f>
        <v>7.4806844881072072</v>
      </c>
      <c r="E3130" s="16">
        <f t="shared" si="835"/>
        <v>0.27463815042029016</v>
      </c>
      <c r="F3130" s="15">
        <f>IF(A3131=A3132,_xll.ciqfunctions.udf.CIQ(A3123,"IQ_DILUT_EPS_EXCL",IQ_FY-3), _xll.ciqfunctions.udf.CIQ(A3123, "IQ_DILUT_EPS_EXCL",IQ_FY-2))</f>
        <v>-2.70078</v>
      </c>
      <c r="G3130" s="15">
        <f>IF(A3131=A3132,_xll.ciqfunctions.udf.CIQ(A3123,"IQ_EBITDA_MARGIN",IQ_FY-3), _xll.ciqfunctions.udf.CIQ(A3123, "IQ_EBITDA_MARGIN",IQ_FY-2))</f>
        <v>-18.403700000000001</v>
      </c>
      <c r="H3130" s="15">
        <f>IF(A3131=A3132,_xll.ciqfunctions.udf.CIQ(A3123,"IQ_TOTAL_DIV_PAID_CF",IQ_FY-3)/-I3130, _xll.ciqfunctions.udf.CIQ(A3123, "IQ_TOTAL_DIV_PAID_CF",IQ_FY-2)/-I3130)</f>
        <v>0</v>
      </c>
      <c r="I3130" s="17">
        <f>IF(A3131=A3132,_xll.ciqfunctions.udf.CIQ(A3123,"IQ_TOTAL_OUTSTANDING_FILING_DATE",IQ_FY-3), _xll.ciqfunctions.udf.CIQ(A3123, "IQ_TOTAL_OUTSTANDING_FILING_DATE",IQ_FY-2))</f>
        <v>36.245480000000001</v>
      </c>
      <c r="J3130" s="17">
        <f>IF(A3131=A3132,_xll.ciqfunctions.udf.CIQ(A3123,"IQ_CASH_OPER",IQ_FY-3), _xll.ciqfunctions.udf.CIQ(A3123, "IQ_CASH_OPER",IQ_FY-2))</f>
        <v>15.803000000000001</v>
      </c>
      <c r="K3130" s="17">
        <f>IF(A3131=A3132,_xll.ciqfunctions.udf.CIQ(A3123,"IQ_CAPEX",IQ_FY-3), _xll.ciqfunctions.udf.CIQ(A3123, "IQ_CAPEX",IQ_FY-2))</f>
        <v>-3.2570000000000001</v>
      </c>
      <c r="L3130" s="15">
        <f t="shared" si="832"/>
        <v>0.34613971176543945</v>
      </c>
      <c r="M3130" s="17">
        <f>IF(A3131=A3132,_xll.ciqfunctions.udf.CIQ(A3123,"IQ_TOTAL_DEBT_ISSUED",IQ_FY-3), _xll.ciqfunctions.udf.CIQ(A3123, "IQ_TOTAL_DEBT_ISSUED",IQ_FY-2))</f>
        <v>0</v>
      </c>
      <c r="N3130" s="17">
        <f>IF(A3131=A3132,_xll.ciqfunctions.udf.CIQ(A3123,"IQ_TOTAL_DEBT_REPAID",IQ_FY-3), _xll.ciqfunctions.udf.CIQ(A3123, "IQ_TOTAL_DEBT_REPAID",IQ_FY-2))</f>
        <v>0</v>
      </c>
      <c r="O3130" s="15">
        <f t="shared" si="833"/>
        <v>0</v>
      </c>
      <c r="P3130" s="15">
        <f t="shared" si="834"/>
        <v>0.34613971176543945</v>
      </c>
      <c r="Q3130" s="18"/>
      <c r="R3130" s="39" t="s">
        <v>31</v>
      </c>
      <c r="S3130" s="5">
        <f>IF(NOT(D3123&gt;0),FALSE,SLOPE(G3123:G3133,B3123:B3133))</f>
        <v>-0.63056181818181822</v>
      </c>
      <c r="U3130" s="18"/>
      <c r="V3130" s="39" t="s">
        <v>31</v>
      </c>
      <c r="W3130" s="5">
        <f>IF(NOT(D3123&gt;0),FALSE,SLOPE(G3123:G3133,B3123:B3133))</f>
        <v>-0.63056181818181822</v>
      </c>
      <c r="Y3130" s="18"/>
      <c r="Z3130" s="39" t="s">
        <v>31</v>
      </c>
      <c r="AA3130" s="5">
        <f>IF(NOT(L3123&gt;0),FALSE,SLOPE(O3123:O3133,J3123:J3133))</f>
        <v>-0.23414821545986125</v>
      </c>
    </row>
    <row r="3131" spans="1:27">
      <c r="A3131" s="19">
        <f>_xll.ciqfunctions.udf.CIQ(A3123,"IQ_TOTAL_REV",IQ_FY)</f>
        <v>431.892</v>
      </c>
      <c r="B3131" s="13">
        <v>9</v>
      </c>
      <c r="C3131" s="14" t="s">
        <v>32</v>
      </c>
      <c r="D3131" s="15" cm="1">
        <f t="array" ref="D3131">_xlfn.SINGLE(IF(A3131=A3132,_xll.ciqfunctions.udf.CIQ(A3123,"IQ_TOTAL_REV",IQ_FY-2)/I3131, _xll.ciqfunctions.udf.CIQ(A3123, "IQ_TOTAL_REV",IQ_FY-1)/I3131))</f>
        <v>9.3443890245220054</v>
      </c>
      <c r="E3131" s="16">
        <f t="shared" si="835"/>
        <v>0.24913556231087086</v>
      </c>
      <c r="F3131" s="15">
        <f>IF(A3131=A3132,_xll.ciqfunctions.udf.CIQ(A3123,"IQ_DILUT_EPS_EXCL",IQ_FY-2), _xll.ciqfunctions.udf.CIQ(A3123, "IQ_DILUT_EPS_EXCL",IQ_FY-1))</f>
        <v>-2.5</v>
      </c>
      <c r="G3131" s="15">
        <f>IF(A3131=A3132,_xll.ciqfunctions.udf.CIQ(A3123,"IQ_EBITDA_MARGIN",IQ_FY-2), _xll.ciqfunctions.udf.CIQ(A3123, "IQ_EBITDA_MARGIN",IQ_FY-1))</f>
        <v>-13.442600000000001</v>
      </c>
      <c r="H3131" s="15">
        <f>IF(A3131=A3132,_xll.ciqfunctions.udf.CIQ(A3123,"IQ_TOTAL_DIV_PAID_CF",IQ_FY-2)/-I3131, _xll.ciqfunctions.udf.CIQ(A3123, "IQ_TOTAL_DIV_PAID_CF",IQ_FY-1)/-I3131)</f>
        <v>0</v>
      </c>
      <c r="I3131" s="17">
        <f>IF(A3131=A3132,_xll.ciqfunctions.udf.CIQ(A3123,"IQ_TOTAL_OUTSTANDING_FILING_DATE",IQ_FY-2), _xll.ciqfunctions.udf.CIQ(A3123, "IQ_TOTAL_OUTSTANDING_FILING_DATE",IQ_FY-1))</f>
        <v>39.428260000000002</v>
      </c>
      <c r="J3131" s="17">
        <f>IF(A3131=A3132,_xll.ciqfunctions.udf.CIQ(A3123,"IQ_CASH_OPER",IQ_FY-2), _xll.ciqfunctions.udf.CIQ(A3123, "IQ_CASH_OPER",IQ_FY-1))</f>
        <v>22.193000000000001</v>
      </c>
      <c r="K3131" s="17">
        <f>IF(A3131=A3132,_xll.ciqfunctions.udf.CIQ(A3123,"IQ_CAPEX",IQ_FY-2), _xll.ciqfunctions.udf.CIQ(A3123, "IQ_CAPEX",IQ_FY-1))</f>
        <v>-5.0549999999999997</v>
      </c>
      <c r="L3131" s="15">
        <f t="shared" si="832"/>
        <v>0.43466285349645156</v>
      </c>
      <c r="M3131" s="17">
        <f>IF(A3131=A3132,_xll.ciqfunctions.udf.CIQ(A3123,"IQ_TOTAL_DEBT_ISSUED",IQ_FY-2), _xll.ciqfunctions.udf.CIQ(A3123, "IQ_TOTAL_DEBT_ISSUED",IQ_FY-1))</f>
        <v>375</v>
      </c>
      <c r="N3131" s="17">
        <f>IF(A3131=A3132,_xll.ciqfunctions.udf.CIQ(A3123,"IQ_TOTAL_DEBT_REPAID",IQ_FY-2), _xll.ciqfunctions.udf.CIQ(A3123, "IQ_TOTAL_DEBT_REPAID",IQ_FY-1))</f>
        <v>-58.643000000000001</v>
      </c>
      <c r="O3131" s="15">
        <f t="shared" si="833"/>
        <v>8.0236104763436167</v>
      </c>
      <c r="P3131" s="15">
        <f t="shared" si="834"/>
        <v>8.4582733298400683</v>
      </c>
      <c r="Q3131" s="25" t="s">
        <v>33</v>
      </c>
      <c r="R3131" s="38" t="s">
        <v>52</v>
      </c>
      <c r="S3131" s="4">
        <f>(AVERAGE(O3128:O3133)/AVERAGE(P3128:P3133))</f>
        <v>0.4663931355604935</v>
      </c>
      <c r="U3131" s="25" t="s">
        <v>54</v>
      </c>
      <c r="V3131" s="38" t="s">
        <v>52</v>
      </c>
      <c r="W3131" s="4">
        <f>(AVERAGE(O3128:O3133)/AVERAGE(P3128:P3133))</f>
        <v>0.4663931355604935</v>
      </c>
      <c r="Y3131" s="25" t="s">
        <v>60</v>
      </c>
      <c r="Z3131" s="38" t="s">
        <v>52</v>
      </c>
      <c r="AA3131" s="4">
        <f>(AVERAGE(O3128:O3133)/AVERAGE(P3128:P3133))</f>
        <v>0.4663931355604935</v>
      </c>
    </row>
    <row r="3132" spans="1:27">
      <c r="A3132" s="19">
        <f>_xll.ciqfunctions.udf.CIQ(A3123,"IQ_TOTAL_REV",IQ_LTM)</f>
        <v>450.15800000000002</v>
      </c>
      <c r="B3132" s="13">
        <v>10</v>
      </c>
      <c r="C3132" s="14" t="s">
        <v>34</v>
      </c>
      <c r="D3132" s="15" cm="1">
        <f t="array" ref="D3132">_xlfn.SINGLE(IF(A3131=A3132,_xll.ciqfunctions.udf.CIQ(A3123,"IQ_TOTAL_REV",IQ_FY-1)/I3132, _xll.ciqfunctions.udf.CIQ(A3123, "IQ_TOTAL_REV",IQ_FY)/I3132))</f>
        <v>10.726731515045394</v>
      </c>
      <c r="E3132" s="16">
        <f t="shared" si="835"/>
        <v>0.14793289180231872</v>
      </c>
      <c r="F3132" s="15">
        <f>IF(A3131=A3132,_xll.ciqfunctions.udf.CIQ(A3123,"IQ_DILUT_EPS_EXCL",IQ_FY-1), _xll.ciqfunctions.udf.CIQ(A3123, "IQ_DILUT_EPS_EXCL",IQ_FY))</f>
        <v>-1.7564299999999999</v>
      </c>
      <c r="G3132" s="15">
        <f>IF(A3131=A3132,_xll.ciqfunctions.udf.CIQ(A3123,"IQ_EBITDA_MARGIN",IQ_FY-1), _xll.ciqfunctions.udf.CIQ(A3123, "IQ_EBITDA_MARGIN",IQ_FY))</f>
        <v>-7.0117000000000003</v>
      </c>
      <c r="H3132" s="15">
        <f>IF(A3131=A3132,_xll.ciqfunctions.udf.CIQ(A3123,"IQ_TOTAL_DIV_PAID_CF",IQ_FY-1)/-I3132, _xll.ciqfunctions.udf.CIQ(A3123, "IQ_TOTAL_DIV_PAID_CF",IQ_FY)/-I3132)</f>
        <v>0</v>
      </c>
      <c r="I3132" s="17">
        <f>IF(A3131=A3132,_xll.ciqfunctions.udf.CIQ(A3123,"IQ_TOTAL_OUTSTANDING_FILING_DATE",IQ_FY-1), _xll.ciqfunctions.udf.CIQ(A3123, "IQ_TOTAL_OUTSTANDING_FILING_DATE",IQ_FY))</f>
        <v>40.263150000000003</v>
      </c>
      <c r="J3132" s="17">
        <f>IF(A3131=A3132,_xll.ciqfunctions.udf.CIQ(A3123,"IQ_CASH_OPER",IQ_FY-1), _xll.ciqfunctions.udf.CIQ(A3123, "IQ_CASH_OPER",IQ_FY))</f>
        <v>20.167000000000002</v>
      </c>
      <c r="K3132" s="17">
        <f>IF(A3131=A3132,_xll.ciqfunctions.udf.CIQ(A3123,"IQ_CAPEX",IQ_FY-1), _xll.ciqfunctions.udf.CIQ(A3123, "IQ_CAPEX",IQ_FY))</f>
        <v>-3.4620000000000002</v>
      </c>
      <c r="L3132" s="15">
        <f t="shared" si="832"/>
        <v>0.41489550618866133</v>
      </c>
      <c r="M3132" s="17">
        <f>IF(A3131=A3132,_xll.ciqfunctions.udf.CIQ(A3123,"IQ_TOTAL_DEBT_ISSUED",IQ_FY-1), _xll.ciqfunctions.udf.CIQ(A3123, "IQ_TOTAL_DEBT_ISSUED",IQ_FY))</f>
        <v>0</v>
      </c>
      <c r="N3132" s="17">
        <f>IF(A3131=A3132,_xll.ciqfunctions.udf.CIQ(A3123,"IQ_TOTAL_DEBT_REPAID",IQ_FY-1), _xll.ciqfunctions.udf.CIQ(A3123, "IQ_TOTAL_DEBT_REPAID",IQ_FY))</f>
        <v>-288.76100000000002</v>
      </c>
      <c r="O3132" s="15">
        <f t="shared" si="833"/>
        <v>-7.1718432363091313</v>
      </c>
      <c r="P3132" s="15">
        <f t="shared" si="834"/>
        <v>-6.7569477301204701</v>
      </c>
      <c r="Q3132" s="25" t="s">
        <v>44</v>
      </c>
      <c r="R3132" s="38" t="s">
        <v>35</v>
      </c>
      <c r="S3132" s="1">
        <f>_xll.ciqfunctions.udf.CIQ(A3123,"IQ_TEV_EBITDA")</f>
        <v>272.58515999999997</v>
      </c>
      <c r="U3132" s="25" t="s">
        <v>55</v>
      </c>
      <c r="V3132" s="38" t="s">
        <v>53</v>
      </c>
      <c r="W3132" s="1">
        <f>V3122/(AVERAGE(D3128:D3133)/_xlfn.STDEV.P(E3128:E3133))</f>
        <v>0.24373811821241426</v>
      </c>
      <c r="Y3132" s="25" t="s">
        <v>57</v>
      </c>
      <c r="Z3132" s="38" t="s">
        <v>53</v>
      </c>
      <c r="AA3132" s="1">
        <f>Z3122/(AVERAGE(D3128:D3133)/_xlfn.STDEV.P(E3128:E3133))</f>
        <v>0.24373811821241426</v>
      </c>
    </row>
    <row r="3133" spans="1:27">
      <c r="B3133" s="13">
        <v>11</v>
      </c>
      <c r="C3133" s="20" t="s">
        <v>36</v>
      </c>
      <c r="D3133" s="21" cm="1">
        <f t="array" ref="D3133">_xlfn.SINGLE(IF(A3131=A3132,_xll.ciqfunctions.udf.CIQ(A3123,"IQ_TOTAL_REV",IQ_FY)/I3133, _xll.ciqfunctions.udf.CIQ(A3123, "IQ_TOTAL_REV",IQ_LTM)/I3133))</f>
        <v>10.960998142884657</v>
      </c>
      <c r="E3133" s="22">
        <f t="shared" si="835"/>
        <v>2.1839516306591526E-2</v>
      </c>
      <c r="F3133" s="21">
        <f>IF(A3131=A3132,_xll.ciqfunctions.udf.CIQ(A3123,"IQ_DILUT_EPS_EXCL",IQ_FY), _xll.ciqfunctions.udf.CIQ(A3123, "IQ_DILUT_EPS_EXCL",IQ_LTM))</f>
        <v>-1.0155099999999999</v>
      </c>
      <c r="G3133" s="21">
        <f>IF(A3131=A3132,_xll.ciqfunctions.udf.CIQ(A3123,"IQ_EBITDA_MARGIN",IQ_FY), _xll.ciqfunctions.udf.CIQ(A3123, "IQ_EBITDA_MARGIN",IQ_LTM))</f>
        <v>-0.28470000000000001</v>
      </c>
      <c r="H3133" s="21">
        <f>IF(A3131=A3132,_xll.ciqfunctions.udf.CIQ(A3123,"IQ_TOTAL_DIV_PAID_CF",IQ_FY)/-I3133, _xll.ciqfunctions.udf.CIQ(A3123, "IQ_TOTAL_DIV_PAID_CF",IQ_LTM)/-I3133)</f>
        <v>0</v>
      </c>
      <c r="I3133" s="23">
        <f>IF(A3131=A3132,_xll.ciqfunctions.udf.CIQ(A3123,"IQ_TOTAL_OUTSTANDING_FILING_DATE",IQ_FY),_xll.ciqfunctions.udf.CIQ(A3123,"IQ_sharesoutstanding"))</f>
        <v>41.069070000000004</v>
      </c>
      <c r="J3133" s="23">
        <f>IF(A3131=A3132,_xll.ciqfunctions.udf.CIQ(A3123,"IQ_CASH_OPER",IQ_FY), _xll.ciqfunctions.udf.CIQ(A3123, "IQ_CASH_OPER",IQ_LTM))</f>
        <v>47.308</v>
      </c>
      <c r="K3133" s="23">
        <f>IF(A3131=A3132,_xll.ciqfunctions.udf.CIQ(A3123,"IQ_CAPEX",IQ_FY), _xll.ciqfunctions.udf.CIQ(A3123, "IQ_CAPEX",IQ_LTM))</f>
        <v>-4.6349999999999998</v>
      </c>
      <c r="L3133" s="21">
        <f t="shared" si="832"/>
        <v>1.0390544514399767</v>
      </c>
      <c r="M3133" s="23">
        <f>IF(A3131=A3132,_xll.ciqfunctions.udf.CIQ(A3123,"IQ_TOTAL_DEBT_ISSUED",IQ_FY), _xll.ciqfunctions.udf.CIQ(A3123, "IQ_TOTAL_DEBT_ISSUED",IQ_LTM))</f>
        <v>0</v>
      </c>
      <c r="N3133" s="23">
        <f>IF(A3131=A3132,_xll.ciqfunctions.udf.CIQ(A3123,"IQ_TOTAL_DEBT_REPAID",IQ_FY), _xll.ciqfunctions.udf.CIQ(A3123, "IQ_TOTAL_DEBT_REPAID",IQ_LTM))</f>
        <v>-418.34</v>
      </c>
      <c r="O3133" s="21">
        <f t="shared" si="833"/>
        <v>-10.186254521955329</v>
      </c>
      <c r="P3133" s="21">
        <f t="shared" si="834"/>
        <v>-9.1472000705153516</v>
      </c>
      <c r="Q3133" s="25" t="s">
        <v>45</v>
      </c>
      <c r="S3133" s="45"/>
      <c r="U3133" s="25"/>
      <c r="W3133" s="45"/>
      <c r="Y3133" s="25"/>
      <c r="AA3133" s="45"/>
    </row>
    <row r="3134" spans="1:27">
      <c r="B3134" s="24"/>
      <c r="C3134" s="25" t="s">
        <v>37</v>
      </c>
      <c r="E3134" s="26">
        <f>((D3133/D3128)^(1/5))-1</f>
        <v>0.19576727229229474</v>
      </c>
      <c r="F3134" s="27">
        <f>((F3133/F3128)^(1/5))-1</f>
        <v>-9.0566408538698906E-2</v>
      </c>
      <c r="G3134" s="28"/>
      <c r="H3134" s="27" t="e">
        <f>((H3133/H3128)^(1/5))-1</f>
        <v>#DIV/0!</v>
      </c>
      <c r="I3134" s="27">
        <f>((I3133/I3128)^(1/5))-1</f>
        <v>4.5941368070216759E-2</v>
      </c>
      <c r="J3134" s="27"/>
      <c r="K3134" s="27"/>
      <c r="L3134" s="26">
        <f>((L3133/L3128)^(1/5))-1</f>
        <v>0.84978966817177715</v>
      </c>
      <c r="M3134" s="26"/>
      <c r="N3134" s="26"/>
      <c r="O3134" s="26"/>
      <c r="P3134" s="26">
        <f>((P3133/P3128)^(1/5))-1</f>
        <v>-3.8579348452827844</v>
      </c>
      <c r="Q3134" s="18"/>
      <c r="R3134" s="36"/>
      <c r="S3134" s="45"/>
      <c r="U3134" s="18"/>
      <c r="V3134" s="36"/>
      <c r="W3134" s="45"/>
      <c r="Y3134" s="18"/>
      <c r="Z3134" s="36"/>
      <c r="AA3134" s="45"/>
    </row>
    <row r="3135" spans="1:27">
      <c r="A3135" s="29"/>
      <c r="B3135" s="30"/>
      <c r="C3135" s="31" t="s">
        <v>38</v>
      </c>
      <c r="D3135" s="29"/>
      <c r="E3135" s="32">
        <f>((D3133/D3123)^(1/10))-1</f>
        <v>0.152823517971028</v>
      </c>
      <c r="F3135" s="33">
        <f>((F3133/F3123)^(1/10))-1</f>
        <v>0.28848107419529945</v>
      </c>
      <c r="G3135" s="34"/>
      <c r="H3135" s="33" t="e">
        <f>((H3133/H3123)^(1/10))-1</f>
        <v>#DIV/0!</v>
      </c>
      <c r="I3135" s="33">
        <f>((I3133/I3123)^(1/10))-1</f>
        <v>0.13711313659828517</v>
      </c>
      <c r="J3135" s="33"/>
      <c r="K3135" s="33"/>
      <c r="L3135" s="32">
        <f>((L3133/L3123)^(1/10))-1</f>
        <v>0.13560904090628267</v>
      </c>
      <c r="M3135" s="32"/>
      <c r="N3135" s="32"/>
      <c r="O3135" s="32"/>
      <c r="P3135" s="32" t="e">
        <f>((P3133/P3123)^(1/10))-1</f>
        <v>#NUM!</v>
      </c>
      <c r="Q3135" s="40"/>
      <c r="R3135" s="41"/>
      <c r="S3135" s="46"/>
      <c r="U3135" s="40"/>
      <c r="V3135" s="41"/>
      <c r="W3135" s="46"/>
      <c r="Y3135" s="40"/>
      <c r="Z3135" s="41"/>
      <c r="AA3135" s="46"/>
    </row>
    <row r="3136" spans="1:27">
      <c r="B3136" s="24"/>
      <c r="C3136" s="25"/>
      <c r="E3136" s="26"/>
      <c r="F3136" s="27"/>
      <c r="G3136" s="28"/>
      <c r="H3136" s="27"/>
      <c r="I3136" s="27"/>
      <c r="J3136" s="27"/>
      <c r="K3136" s="27"/>
      <c r="L3136" s="26"/>
      <c r="M3136" s="17"/>
      <c r="N3136" s="17"/>
      <c r="O3136" s="17"/>
      <c r="P3136" s="35"/>
      <c r="Q3136" s="18"/>
      <c r="R3136" s="36"/>
    </row>
    <row r="3137" spans="1:27">
      <c r="A3137" s="9" t="s">
        <v>0</v>
      </c>
      <c r="B3137" s="10"/>
      <c r="C3137" s="9" t="s">
        <v>1</v>
      </c>
      <c r="D3137" s="9" t="s">
        <v>2</v>
      </c>
      <c r="E3137" s="9" t="s">
        <v>3</v>
      </c>
      <c r="F3137" s="11" t="s">
        <v>4</v>
      </c>
      <c r="G3137" s="11" t="s">
        <v>5</v>
      </c>
      <c r="H3137" s="9" t="s">
        <v>6</v>
      </c>
      <c r="I3137" s="11" t="s">
        <v>7</v>
      </c>
      <c r="J3137" s="11" t="s">
        <v>8</v>
      </c>
      <c r="K3137" s="11" t="s">
        <v>9</v>
      </c>
      <c r="L3137" s="11" t="s">
        <v>10</v>
      </c>
      <c r="M3137" s="11" t="s">
        <v>11</v>
      </c>
      <c r="N3137" s="11" t="s">
        <v>12</v>
      </c>
      <c r="O3137" s="11" t="s">
        <v>13</v>
      </c>
      <c r="P3137" s="11" t="s">
        <v>14</v>
      </c>
      <c r="Q3137" s="37" t="s">
        <v>15</v>
      </c>
      <c r="R3137" s="42">
        <f>_xll.ciqfunctions.udf.CIQ(A3138,("IQ_LASTSALEPRICE"))</f>
        <v>28</v>
      </c>
      <c r="S3137" s="44"/>
      <c r="U3137" s="37" t="s">
        <v>15</v>
      </c>
      <c r="V3137" s="42">
        <f>_xll.ciqfunctions.udf.CIQ(A3138,("IQ_LASTSALEPRICE"))</f>
        <v>28</v>
      </c>
      <c r="W3137" s="44"/>
      <c r="Y3137" s="37" t="s">
        <v>15</v>
      </c>
      <c r="Z3137" s="42">
        <f>_xll.ciqfunctions.udf.CIQ(A3138,("IQ_LASTSALEPRICE"))</f>
        <v>28</v>
      </c>
      <c r="AA3137" s="44"/>
    </row>
    <row r="3138" spans="1:27">
      <c r="A3138" s="12" t="str">
        <f>Analysis!B211</f>
        <v>NasdaqGM:VERX</v>
      </c>
      <c r="B3138" s="13">
        <v>1</v>
      </c>
      <c r="C3138" s="14" t="s">
        <v>16</v>
      </c>
      <c r="D3138" s="15" t="e">
        <f>IF(A3146=A3147,_xll.ciqfunctions.udf.CIQ(A3138,"IQ_TOTAL_REV",IQ_FY-10)/I3138,_xll.ciqfunctions.udf.CIQ(A3138, "IQ_TOTAL_REV",IQ_FY-9)/I3138)</f>
        <v>#DIV/0!</v>
      </c>
      <c r="E3138" s="16"/>
      <c r="F3138" s="15">
        <f>IF(A3146=A3147,_xll.ciqfunctions.udf.CIQ(A3138,"IQ_DILUT_EPS_EXCL",IQ_FY-10), _xll.ciqfunctions.udf.CIQ(A3138, "IQ_DILUT_EPS_EXCL",IQ_FY-9))</f>
        <v>0</v>
      </c>
      <c r="G3138" s="15">
        <f>IF(A3146=A3147,_xll.ciqfunctions.udf.CIQ(A3138,"IQ_EBITDA_MARGIN",IQ_FY-10), _xll.ciqfunctions.udf.CIQ(A3138, "IQ_EBITDA_MARGIN",IQ_FY-9))</f>
        <v>0</v>
      </c>
      <c r="H3138" s="15" t="e">
        <f>IF(A3146=A3147,_xll.ciqfunctions.udf.CIQ(A3138,"IQ_TOTAL_DIV_PAID_CF",IQ_FY-10)/-I3138, _xll.ciqfunctions.udf.CIQ(A3138, "IQ_TOTAL_DIV_PAID_CF",IQ_FY-9)/-I3138)</f>
        <v>#DIV/0!</v>
      </c>
      <c r="I3138" s="17">
        <f>IF(A3146=A3147,_xll.ciqfunctions.udf.CIQ(A3138,"IQ_TOTAL_OUTSTANDING_FILING_DATE",IQ_FY-10), _xll.ciqfunctions.udf.CIQ(A3138, "IQ_TOTAL_OUTSTANDING_FILING_DATE",IQ_FY-9))</f>
        <v>0</v>
      </c>
      <c r="J3138" s="17">
        <f>IF(A3146=A3147,_xll.ciqfunctions.udf.CIQ(A3138,"IQ_CASH_OPER",IQ_FY-10), _xll.ciqfunctions.udf.CIQ(A3138, "IQ_CASH_OPER",IQ_FY-9))</f>
        <v>0</v>
      </c>
      <c r="K3138" s="17">
        <f>IF(A3146=A3147,_xll.ciqfunctions.udf.CIQ(A3138,"IQ_CAPEX",IQ_FY-10), _xll.ciqfunctions.udf.CIQ(A3138, "IQ_CAPEX",IQ_FY-9))</f>
        <v>0</v>
      </c>
      <c r="L3138" s="15" t="e">
        <f t="shared" ref="L3138:L3148" si="836">(J3138+K3138)/I3138</f>
        <v>#DIV/0!</v>
      </c>
      <c r="M3138" s="17">
        <f>IF(A3146=A3147,_xll.ciqfunctions.udf.CIQ(A3138,"IQ_TOTAL_DEBT_ISSUED",IQ_FY-10), _xll.ciqfunctions.udf.CIQ(A3138, "IQ_TOTAL_DEBT_ISSUED",IQ_FY-9))</f>
        <v>0</v>
      </c>
      <c r="N3138" s="17">
        <f>IF(A3146=A3147,_xll.ciqfunctions.udf.CIQ(A3138,"IQ_TOTAL_DEBT_REPAID",IQ_FY-10), _xll.ciqfunctions.udf.CIQ(A3138, "IQ_TOTAL_DEBT_REPAID",IQ_FY-9))</f>
        <v>0</v>
      </c>
      <c r="O3138" s="15" t="e">
        <f t="shared" ref="O3138:O3148" si="837">(M3138+N3138)/I3138</f>
        <v>#DIV/0!</v>
      </c>
      <c r="P3138" s="15" t="e">
        <f t="shared" ref="P3138:P3148" si="838">L3138+O3138</f>
        <v>#DIV/0!</v>
      </c>
      <c r="W3138" s="43"/>
      <c r="AA3138" s="43"/>
    </row>
    <row r="3139" spans="1:27">
      <c r="A3139" s="18" t="str">
        <f>_xll.ciqfunctions.udf.CIQ(A3138,"IQ_COMPANY_NAME")</f>
        <v>Vertex, Inc.</v>
      </c>
      <c r="B3139" s="13">
        <v>2</v>
      </c>
      <c r="C3139" s="14" t="s">
        <v>17</v>
      </c>
      <c r="D3139" s="15" t="e">
        <f>IF(A3146=A3147,_xll.ciqfunctions.udf.CIQ(A3138,"IQ_TOTAL_REV",IQ_FY-9)/I3139, _xll.ciqfunctions.udf.CIQ(A3138, "IQ_TOTAL_REV",IQ_FY-8)/I3139)</f>
        <v>#DIV/0!</v>
      </c>
      <c r="E3139" s="16" t="e">
        <f t="shared" ref="E3139:E3148" si="839">(D3139-D3138)/D3138</f>
        <v>#DIV/0!</v>
      </c>
      <c r="F3139" s="15">
        <f>IF(A3146=A3147,_xll.ciqfunctions.udf.CIQ(A3138,"IQ_DILUT_EPS_EXCL",IQ_FY-9), _xll.ciqfunctions.udf.CIQ(A3138, "IQ_DILUT_EPS_EXCL",IQ_FY-8))</f>
        <v>0</v>
      </c>
      <c r="G3139" s="15">
        <f>IF(A3146=A3147,_xll.ciqfunctions.udf.CIQ(A3138,"IQ_EBITDA_MARGIN",IQ_FY-9), _xll.ciqfunctions.udf.CIQ(A3138, "IQ_EBITDA_MARGIN",IQ_FY-8))</f>
        <v>0</v>
      </c>
      <c r="H3139" s="15" t="e">
        <f>IF(A3146=A3147,_xll.ciqfunctions.udf.CIQ(A3138,"IQ_TOTAL_DIV_PAID_CF",IQ_FY-9)/-I3139, _xll.ciqfunctions.udf.CIQ(A3138, "IQ_TOTAL_DIV_PAID_CF",IQ_FY-8)/-I3139)</f>
        <v>#DIV/0!</v>
      </c>
      <c r="I3139" s="17">
        <f>IF(A3146=A3147,_xll.ciqfunctions.udf.CIQ(A3138,"IQ_TOTAL_OUTSTANDING_FILING_DATE",IQ_FY-9), _xll.ciqfunctions.udf.CIQ(A3138, "IQ_TOTAL_OUTSTANDING_FILING_DATE",IQ_FY-8))</f>
        <v>0</v>
      </c>
      <c r="J3139" s="17">
        <f>IF(A3146=A3147,_xll.ciqfunctions.udf.CIQ(A3138,"IQ_CASH_OPER",IQ_FY-9), _xll.ciqfunctions.udf.CIQ(A3138, "IQ_CASH_OPER",IQ_FY-8))</f>
        <v>0</v>
      </c>
      <c r="K3139" s="17">
        <f>IF(A3146=A3147,_xll.ciqfunctions.udf.CIQ(A3138,"IQ_CAPEX",IQ_FY-9), _xll.ciqfunctions.udf.CIQ(A3138, "IQ_CAPEX",IQ_FY-8))</f>
        <v>0</v>
      </c>
      <c r="L3139" s="15" t="e">
        <f t="shared" si="836"/>
        <v>#DIV/0!</v>
      </c>
      <c r="M3139" s="17">
        <f>IF(A3146=A3147,_xll.ciqfunctions.udf.CIQ(A3138,"IQ_TOTAL_DEBT_ISSUED",IQ_FY-9), _xll.ciqfunctions.udf.CIQ(A3138, "IQ_TOTAL_DEBT_ISSUED",IQ_FY-8))</f>
        <v>0</v>
      </c>
      <c r="N3139" s="17">
        <f>IF(A3146=A3147,_xll.ciqfunctions.udf.CIQ(A3138,"IQ_TOTAL_DEBT_REPAID",IQ_FY-9), _xll.ciqfunctions.udf.CIQ(A3138, "IQ_TOTAL_DEBT_REPAID",IQ_FY-8))</f>
        <v>0</v>
      </c>
      <c r="O3139" s="15" t="e">
        <f t="shared" si="837"/>
        <v>#DIV/0!</v>
      </c>
      <c r="P3139" s="15" t="e">
        <f t="shared" si="838"/>
        <v>#DIV/0!</v>
      </c>
      <c r="Q3139" s="25" t="s">
        <v>18</v>
      </c>
      <c r="R3139" s="39" t="s">
        <v>19</v>
      </c>
      <c r="S3139" s="1">
        <f>R3137/((AVERAGE(P3143:P3148))*(1+E3149)^3)</f>
        <v>68.351671861850036</v>
      </c>
      <c r="U3139" s="25" t="s">
        <v>48</v>
      </c>
      <c r="V3139" s="39" t="s">
        <v>19</v>
      </c>
      <c r="W3139" s="1">
        <f>V3137/((AVERAGE(P3143:P3148))*(1+E3149)^3)</f>
        <v>68.351671861850036</v>
      </c>
      <c r="Y3139" s="25" t="s">
        <v>39</v>
      </c>
      <c r="Z3139" s="39" t="s">
        <v>19</v>
      </c>
      <c r="AA3139" s="1">
        <f>Z3137/((AVERAGE(P3143:P3148))*(1+E3149)^3)</f>
        <v>68.351671861850036</v>
      </c>
    </row>
    <row r="3140" spans="1:27">
      <c r="B3140" s="13">
        <v>3</v>
      </c>
      <c r="C3140" s="14" t="s">
        <v>20</v>
      </c>
      <c r="D3140" s="15" t="e" cm="1">
        <f t="array" ref="D3140">_xlfn.SINGLE(IF(A3146=A3147,_xll.ciqfunctions.udf.CIQ(A3138,"IQ_TOTAL_REV",IQ_FY-8)/I3140, _xll.ciqfunctions.udf.CIQ(A3138, "IQ_TOTAL_REV",IQ_FY-7)/I3140))</f>
        <v>#DIV/0!</v>
      </c>
      <c r="E3140" s="16" t="e">
        <f t="shared" si="839"/>
        <v>#DIV/0!</v>
      </c>
      <c r="F3140" s="15">
        <f>IF(A3146=A3147,_xll.ciqfunctions.udf.CIQ(A3138,"IQ_DILUT_EPS_EXCL",IQ_FY-8), _xll.ciqfunctions.udf.CIQ(A3138, "IQ_DILUT_EPS_EXCL",IQ_FY-7))</f>
        <v>0</v>
      </c>
      <c r="G3140" s="15">
        <f>IF(A3146=A3147,_xll.ciqfunctions.udf.CIQ(A3138,"IQ_EBITDA_MARGIN",IQ_FY-8), _xll.ciqfunctions.udf.CIQ(A3138, "IQ_EBITDA_MARGIN",IQ_FY-7))</f>
        <v>0</v>
      </c>
      <c r="H3140" s="15" t="e">
        <f>IF(A3146=A3147,_xll.ciqfunctions.udf.CIQ(A3138,"IQ_TOTAL_DIV_PAID_CF",IQ_FY-8)/-I3140, _xll.ciqfunctions.udf.CIQ(A3138, "IQ_TOTAL_DIV_PAID_CF",IQ_FY-7)/-I3140)</f>
        <v>#DIV/0!</v>
      </c>
      <c r="I3140" s="17">
        <f>IF(A3146=A3147,_xll.ciqfunctions.udf.CIQ(A3138,"IQ_TOTAL_OUTSTANDING_FILING_DATE",IQ_FY-8), _xll.ciqfunctions.udf.CIQ(A3138, "IQ_TOTAL_OUTSTANDING_FILING_DATE",IQ_FY-7))</f>
        <v>0</v>
      </c>
      <c r="J3140" s="17">
        <f>IF(A3146=A3147,_xll.ciqfunctions.udf.CIQ(A3138,"IQ_CASH_OPER",IQ_FY-8), _xll.ciqfunctions.udf.CIQ(A3138, "IQ_CASH_OPER",IQ_FY-7))</f>
        <v>0</v>
      </c>
      <c r="K3140" s="17">
        <f>IF(A3146=A3147,_xll.ciqfunctions.udf.CIQ(A3138,"IQ_CAPEX",IQ_FY-8), _xll.ciqfunctions.udf.CIQ(A3138, "IQ_CAPEX",IQ_FY-7))</f>
        <v>0</v>
      </c>
      <c r="L3140" s="15" t="e">
        <f t="shared" si="836"/>
        <v>#DIV/0!</v>
      </c>
      <c r="M3140" s="17">
        <f>IF(A3146=A3147,_xll.ciqfunctions.udf.CIQ(A3138,"IQ_TOTAL_DEBT_ISSUED",IQ_FY-8), _xll.ciqfunctions.udf.CIQ(A3138, "IQ_TOTAL_DEBT_ISSUED",IQ_FY-7))</f>
        <v>0</v>
      </c>
      <c r="N3140" s="17">
        <f>IF(A3146=A3147,_xll.ciqfunctions.udf.CIQ(A3138,"IQ_TOTAL_DEBT_REPAID",IQ_FY-8), _xll.ciqfunctions.udf.CIQ(A3138, "IQ_TOTAL_DEBT_REPAID",IQ_FY-7))</f>
        <v>0</v>
      </c>
      <c r="O3140" s="15" t="e">
        <f t="shared" si="837"/>
        <v>#DIV/0!</v>
      </c>
      <c r="P3140" s="15" t="e">
        <f t="shared" si="838"/>
        <v>#DIV/0!</v>
      </c>
      <c r="Q3140" s="25" t="s">
        <v>21</v>
      </c>
      <c r="R3140" s="38" t="s">
        <v>49</v>
      </c>
      <c r="S3140" s="2">
        <f>(R3137*I3148)/1000</f>
        <v>4.2836189200000003</v>
      </c>
      <c r="U3140" s="25" t="s">
        <v>59</v>
      </c>
      <c r="V3140" s="38" t="s">
        <v>49</v>
      </c>
      <c r="W3140" s="2">
        <f>(V3137*I3148)/1000</f>
        <v>4.2836189200000003</v>
      </c>
      <c r="Y3140" s="25" t="s">
        <v>46</v>
      </c>
      <c r="Z3140" s="38" t="s">
        <v>49</v>
      </c>
      <c r="AA3140" s="2">
        <f>(Z3137*I3148)/1000</f>
        <v>4.2836189200000003</v>
      </c>
    </row>
    <row r="3141" spans="1:27">
      <c r="A3141" s="18"/>
      <c r="B3141" s="13">
        <v>4</v>
      </c>
      <c r="C3141" s="14" t="s">
        <v>22</v>
      </c>
      <c r="D3141" s="15" t="e" cm="1">
        <f t="array" ref="D3141">_xlfn.SINGLE(IF(A3146=A3147,_xll.ciqfunctions.udf.CIQ(A3138,"IQ_TOTAL_REV",IQ_FY-7)/I3141, _xll.ciqfunctions.udf.CIQ(A3138, "IQ_TOTAL_REV",IQ_FY-6)/I3141))</f>
        <v>#DIV/0!</v>
      </c>
      <c r="E3141" s="16" t="e">
        <f t="shared" si="839"/>
        <v>#DIV/0!</v>
      </c>
      <c r="F3141" s="15">
        <f>IF(A3146=A3147,_xll.ciqfunctions.udf.CIQ(A3138,"IQ_DILUT_EPS_EXCL",IQ_FY-7), _xll.ciqfunctions.udf.CIQ(A3138, "IQ_DILUT_EPS_EXCL",IQ_FY-6))</f>
        <v>0</v>
      </c>
      <c r="G3141" s="15">
        <f>IF(A3146=A3147,_xll.ciqfunctions.udf.CIQ(A3138,"IQ_EBITDA_MARGIN",IQ_FY-7), _xll.ciqfunctions.udf.CIQ(A3138, "IQ_EBITDA_MARGIN",IQ_FY-6))</f>
        <v>0</v>
      </c>
      <c r="H3141" s="15" t="e">
        <f>IF(A3146=A3147,_xll.ciqfunctions.udf.CIQ(A3138,"IQ_TOTAL_DIV_PAID_CF",IQ_FY-7)/-I3141, _xll.ciqfunctions.udf.CIQ(A3138, "IQ_TOTAL_DIV_PAID_CF",IQ_FY-6)/-I3141)</f>
        <v>#DIV/0!</v>
      </c>
      <c r="I3141" s="17">
        <f>IF(A3146=A3147,_xll.ciqfunctions.udf.CIQ(A3138,"IQ_TOTAL_OUTSTANDING_FILING_DATE",IQ_FY-7), _xll.ciqfunctions.udf.CIQ(A3138, "IQ_TOTAL_OUTSTANDING_FILING_DATE",IQ_FY-6))</f>
        <v>0</v>
      </c>
      <c r="J3141" s="17">
        <f>IF(A3146=A3147,_xll.ciqfunctions.udf.CIQ(A3138,"IQ_CASH_OPER",IQ_FY-7), _xll.ciqfunctions.udf.CIQ(A3138, "IQ_CASH_OPER",IQ_FY-6))</f>
        <v>0</v>
      </c>
      <c r="K3141" s="17">
        <f>IF(A3146=A3147,_xll.ciqfunctions.udf.CIQ(A3138,"IQ_CAPEX",IQ_FY-7), _xll.ciqfunctions.udf.CIQ(A3138, "IQ_CAPEX",IQ_FY-6))</f>
        <v>0</v>
      </c>
      <c r="L3141" s="15" t="e">
        <f t="shared" si="836"/>
        <v>#DIV/0!</v>
      </c>
      <c r="M3141" s="17">
        <f>IF(A3146=A3147,_xll.ciqfunctions.udf.CIQ(A3138,"IQ_TOTAL_DEBT_ISSUED",IQ_FY-7), _xll.ciqfunctions.udf.CIQ(A3138, "IQ_TOTAL_DEBT_ISSUED",IQ_FY-6))</f>
        <v>0</v>
      </c>
      <c r="N3141" s="17">
        <f>IF(A3146=A3147,_xll.ciqfunctions.udf.CIQ(A3138,"IQ_TOTAL_DEBT_REPAID",IQ_FY-7), _xll.ciqfunctions.udf.CIQ(A3138, "IQ_TOTAL_DEBT_REPAID",IQ_FY-6))</f>
        <v>0</v>
      </c>
      <c r="O3141" s="15" t="e">
        <f t="shared" si="837"/>
        <v>#DIV/0!</v>
      </c>
      <c r="P3141" s="15" t="e">
        <f t="shared" si="838"/>
        <v>#DIV/0!</v>
      </c>
      <c r="Q3141" s="25" t="s">
        <v>23</v>
      </c>
      <c r="R3141" s="38" t="s">
        <v>24</v>
      </c>
      <c r="S3141" s="1" t="e">
        <f>R3137/(AVERAGE(H3143:H3148)*(1+H3149)/(0.5-H3149))</f>
        <v>#DIV/0!</v>
      </c>
      <c r="U3141" s="25" t="s">
        <v>40</v>
      </c>
      <c r="V3141" s="38" t="s">
        <v>24</v>
      </c>
      <c r="W3141" s="1" t="e">
        <f>V3137/(AVERAGE(H3143:H3148)*(1+H3149)/(0.5-H3149))</f>
        <v>#DIV/0!</v>
      </c>
      <c r="Y3141" s="25" t="s">
        <v>47</v>
      </c>
      <c r="Z3141" s="38" t="s">
        <v>24</v>
      </c>
      <c r="AA3141" s="1" t="e">
        <f>Z3137/(AVERAGE(H3143:H3148)*(1+H3149)/(0.5-H3149))</f>
        <v>#DIV/0!</v>
      </c>
    </row>
    <row r="3142" spans="1:27">
      <c r="B3142" s="13">
        <v>5</v>
      </c>
      <c r="C3142" s="14" t="s">
        <v>25</v>
      </c>
      <c r="D3142" s="15" t="e" cm="1">
        <f t="array" ref="D3142">_xlfn.SINGLE(IF(A3146=A3147,_xll.ciqfunctions.udf.CIQ(A3138,"IQ_TOTAL_REV",IQ_FY-6)/I3142, _xll.ciqfunctions.udf.CIQ(A3138, "IQ_TOTAL_REV",IQ_FY-5)/I3142))</f>
        <v>#DIV/0!</v>
      </c>
      <c r="E3142" s="16" t="e">
        <f t="shared" si="839"/>
        <v>#DIV/0!</v>
      </c>
      <c r="F3142" s="15">
        <f>IF(A3146=A3147,_xll.ciqfunctions.udf.CIQ(A3138,"IQ_DILUT_EPS_EXCL",IQ_FY-6), _xll.ciqfunctions.udf.CIQ(A3138, "IQ_DILUT_EPS_EXCL",IQ_FY-5))</f>
        <v>0</v>
      </c>
      <c r="G3142" s="15">
        <f>IF(A3146=A3147,_xll.ciqfunctions.udf.CIQ(A3138,"IQ_EBITDA_MARGIN",IQ_FY-6), _xll.ciqfunctions.udf.CIQ(A3138, "IQ_EBITDA_MARGIN",IQ_FY-5))</f>
        <v>0</v>
      </c>
      <c r="H3142" s="15" t="e">
        <f>IF(A3146=A3147,_xll.ciqfunctions.udf.CIQ(A3138,"IQ_TOTAL_DIV_PAID_CF",IQ_FY-6)/-I3142, _xll.ciqfunctions.udf.CIQ(A3138, "IQ_TOTAL_DIV_PAID_CF",IQ_FY-5)/-I3142)</f>
        <v>#DIV/0!</v>
      </c>
      <c r="I3142" s="17">
        <f>IF(A3146=A3147,_xll.ciqfunctions.udf.CIQ(A3138,"IQ_TOTAL_OUTSTANDING_FILING_DATE",IQ_FY-6), _xll.ciqfunctions.udf.CIQ(A3138, "IQ_TOTAL_OUTSTANDING_FILING_DATE",IQ_FY-5))</f>
        <v>0</v>
      </c>
      <c r="J3142" s="17">
        <f>IF(A3146=A3147,_xll.ciqfunctions.udf.CIQ(A3138,"IQ_CASH_OPER",IQ_FY-6), _xll.ciqfunctions.udf.CIQ(A3138, "IQ_CASH_OPER",IQ_FY-5))</f>
        <v>0</v>
      </c>
      <c r="K3142" s="17">
        <f>IF(A3146=A3147,_xll.ciqfunctions.udf.CIQ(A3138,"IQ_CAPEX",IQ_FY-6), _xll.ciqfunctions.udf.CIQ(A3138, "IQ_CAPEX",IQ_FY-5))</f>
        <v>0</v>
      </c>
      <c r="L3142" s="15" t="e">
        <f t="shared" si="836"/>
        <v>#DIV/0!</v>
      </c>
      <c r="M3142" s="17">
        <f>IF(A3146=A3147,_xll.ciqfunctions.udf.CIQ(A3138,"IQ_TOTAL_DEBT_ISSUED",IQ_FY-6), _xll.ciqfunctions.udf.CIQ(A3138, "IQ_TOTAL_DEBT_ISSUED",IQ_FY-5))</f>
        <v>0</v>
      </c>
      <c r="N3142" s="17">
        <f>IF(A3146=A3147,_xll.ciqfunctions.udf.CIQ(A3138,"IQ_TOTAL_DEBT_REPAID",IQ_FY-6), _xll.ciqfunctions.udf.CIQ(A3138, "IQ_TOTAL_DEBT_REPAID",IQ_FY-5))</f>
        <v>0</v>
      </c>
      <c r="O3142" s="15" t="e">
        <f t="shared" si="837"/>
        <v>#DIV/0!</v>
      </c>
      <c r="P3142" s="15" t="e">
        <f t="shared" si="838"/>
        <v>#DIV/0!</v>
      </c>
      <c r="Q3142" s="18"/>
      <c r="R3142" s="38" t="s">
        <v>50</v>
      </c>
      <c r="S3142" s="3">
        <f>I3149</f>
        <v>4.8676784988681998E-2</v>
      </c>
      <c r="U3142" s="18"/>
      <c r="V3142" s="38" t="s">
        <v>50</v>
      </c>
      <c r="W3142" s="3">
        <f>I3149</f>
        <v>4.8676784988681998E-2</v>
      </c>
      <c r="Y3142" s="18"/>
      <c r="Z3142" s="38" t="s">
        <v>50</v>
      </c>
      <c r="AA3142" s="3">
        <f>I3149</f>
        <v>4.8676784988681998E-2</v>
      </c>
    </row>
    <row r="3143" spans="1:27">
      <c r="B3143" s="13">
        <v>6</v>
      </c>
      <c r="C3143" s="14" t="s">
        <v>26</v>
      </c>
      <c r="D3143" s="15" cm="1">
        <f t="array" ref="D3143">_xlfn.SINGLE(IF(A3146=A3147,_xll.ciqfunctions.udf.CIQ(A3138,"IQ_TOTAL_REV",IQ_FY-5)/I3143, _xll.ciqfunctions.udf.CIQ(A3138, "IQ_TOTAL_REV",IQ_FY-4)/I3143))</f>
        <v>2.258225770349922</v>
      </c>
      <c r="E3143" s="16" t="e">
        <f t="shared" si="839"/>
        <v>#DIV/0!</v>
      </c>
      <c r="F3143" s="15">
        <f>IF(A3146=A3147,_xll.ciqfunctions.udf.CIQ(A3138,"IQ_DILUT_EPS_EXCL",IQ_FY-5), _xll.ciqfunctions.udf.CIQ(A3138, "IQ_DILUT_EPS_EXCL",IQ_FY-4))</f>
        <v>-5.0619999999999998E-2</v>
      </c>
      <c r="G3143" s="15">
        <f>IF(A3146=A3147,_xll.ciqfunctions.udf.CIQ(A3138,"IQ_EBITDA_MARGIN",IQ_FY-5), _xll.ciqfunctions.udf.CIQ(A3138, "IQ_EBITDA_MARGIN",IQ_FY-4))</f>
        <v>13.692500000000001</v>
      </c>
      <c r="H3143" s="15">
        <f>IF(A3146=A3147,_xll.ciqfunctions.udf.CIQ(A3138,"IQ_TOTAL_DIV_PAID_CF",IQ_FY-5)/-I3143, _xll.ciqfunctions.udf.CIQ(A3138, "IQ_TOTAL_DIV_PAID_CF",IQ_FY-4)/-I3143)</f>
        <v>0.23231946413323717</v>
      </c>
      <c r="I3143" s="17">
        <f>IF(A3146=A3147,_xll.ciqfunctions.udf.CIQ(A3138,"IQ_TOTAL_OUTSTANDING_FILING_DATE",IQ_FY-5), _xll.ciqfunctions.udf.CIQ(A3138, "IQ_TOTAL_OUTSTANDING_FILING_DATE",IQ_FY-4))</f>
        <v>120.627</v>
      </c>
      <c r="J3143" s="17">
        <f>IF(A3146=A3147,_xll.ciqfunctions.udf.CIQ(A3138,"IQ_CASH_OPER",IQ_FY-5), _xll.ciqfunctions.udf.CIQ(A3138, "IQ_CASH_OPER",IQ_FY-4))</f>
        <v>80.448999999999998</v>
      </c>
      <c r="K3143" s="17">
        <f>IF(A3146=A3147,_xll.ciqfunctions.udf.CIQ(A3138,"IQ_CAPEX",IQ_FY-5), _xll.ciqfunctions.udf.CIQ(A3138, "IQ_CAPEX",IQ_FY-4))</f>
        <v>-21.053000000000001</v>
      </c>
      <c r="L3143" s="15">
        <f t="shared" si="836"/>
        <v>0.49239390849478148</v>
      </c>
      <c r="M3143" s="17">
        <f>IF(A3146=A3147,_xll.ciqfunctions.udf.CIQ(A3138,"IQ_TOTAL_DEBT_ISSUED",IQ_FY-5), _xll.ciqfunctions.udf.CIQ(A3138, "IQ_TOTAL_DEBT_ISSUED",IQ_FY-4))</f>
        <v>0</v>
      </c>
      <c r="N3143" s="17">
        <f>IF(A3146=A3147,_xll.ciqfunctions.udf.CIQ(A3138,"IQ_TOTAL_DEBT_REPAID",IQ_FY-5), _xll.ciqfunctions.udf.CIQ(A3138, "IQ_TOTAL_DEBT_REPAID",IQ_FY-4))</f>
        <v>-3.2839999999999998</v>
      </c>
      <c r="O3143" s="15">
        <f t="shared" si="837"/>
        <v>-2.7224419076989397E-2</v>
      </c>
      <c r="P3143" s="15">
        <f t="shared" si="838"/>
        <v>0.46516948941779207</v>
      </c>
      <c r="Q3143" s="25" t="s">
        <v>27</v>
      </c>
      <c r="R3143" s="38" t="s">
        <v>51</v>
      </c>
      <c r="S3143" s="4">
        <f>AVERAGE(F3143:F3148)/AVERAGE(D3143:D3148)</f>
        <v>-3.9542940726391931E-2</v>
      </c>
      <c r="U3143" s="25" t="s">
        <v>58</v>
      </c>
      <c r="V3143" s="38" t="s">
        <v>51</v>
      </c>
      <c r="W3143" s="4">
        <f>AVERAGE(F3143:F3148)/AVERAGE(D3143:D3148)</f>
        <v>-3.9542940726391931E-2</v>
      </c>
      <c r="Y3143" s="25" t="s">
        <v>56</v>
      </c>
      <c r="Z3143" s="38" t="s">
        <v>51</v>
      </c>
      <c r="AA3143" s="4">
        <f>AVERAGE(F3143:F3148)/AVERAGE(D3143:D3148)</f>
        <v>-3.9542940726391931E-2</v>
      </c>
    </row>
    <row r="3144" spans="1:27">
      <c r="A3144" s="18"/>
      <c r="B3144" s="13">
        <v>7</v>
      </c>
      <c r="C3144" s="14" t="s">
        <v>28</v>
      </c>
      <c r="D3144" s="15" cm="1">
        <f t="array" ref="D3144">_xlfn.SINGLE(IF(A3146=A3147,_xll.ciqfunctions.udf.CIQ(A3138,"IQ_TOTAL_REV",IQ_FY-4)/I3144, _xll.ciqfunctions.udf.CIQ(A3138, "IQ_TOTAL_REV",IQ_FY-3)/I3144))</f>
        <v>2.6698888030759775</v>
      </c>
      <c r="E3144" s="16">
        <f t="shared" si="839"/>
        <v>0.18229489634345397</v>
      </c>
      <c r="F3144" s="15">
        <f>IF(A3146=A3147,_xll.ciqfunctions.udf.CIQ(A3138,"IQ_DILUT_EPS_EXCL",IQ_FY-4), _xll.ciqfunctions.udf.CIQ(A3138, "IQ_DILUT_EPS_EXCL",IQ_FY-3))</f>
        <v>0.25766</v>
      </c>
      <c r="G3144" s="15">
        <f>IF(A3146=A3147,_xll.ciqfunctions.udf.CIQ(A3138,"IQ_EBITDA_MARGIN",IQ_FY-4), _xll.ciqfunctions.udf.CIQ(A3138, "IQ_EBITDA_MARGIN",IQ_FY-3))</f>
        <v>12.407400000000001</v>
      </c>
      <c r="H3144" s="15">
        <f>IF(A3146=A3147,_xll.ciqfunctions.udf.CIQ(A3138,"IQ_TOTAL_DIV_PAID_CF",IQ_FY-4)/-I3144, _xll.ciqfunctions.udf.CIQ(A3138, "IQ_TOTAL_DIV_PAID_CF",IQ_FY-3)/-I3144)</f>
        <v>0.23722564089787987</v>
      </c>
      <c r="I3144" s="17">
        <f>IF(A3146=A3147,_xll.ciqfunctions.udf.CIQ(A3138,"IQ_TOTAL_OUTSTANDING_FILING_DATE",IQ_FY-4), _xll.ciqfunctions.udf.CIQ(A3138, "IQ_TOTAL_OUTSTANDING_FILING_DATE",IQ_FY-3))</f>
        <v>120.417</v>
      </c>
      <c r="J3144" s="17">
        <f>IF(A3146=A3147,_xll.ciqfunctions.udf.CIQ(A3138,"IQ_CASH_OPER",IQ_FY-4), _xll.ciqfunctions.udf.CIQ(A3138, "IQ_CASH_OPER",IQ_FY-3))</f>
        <v>92.498000000000005</v>
      </c>
      <c r="K3144" s="17">
        <f>IF(A3146=A3147,_xll.ciqfunctions.udf.CIQ(A3138,"IQ_CAPEX",IQ_FY-4), _xll.ciqfunctions.udf.CIQ(A3138, "IQ_CAPEX",IQ_FY-3))</f>
        <v>-20.338999999999999</v>
      </c>
      <c r="L3144" s="15">
        <f t="shared" si="836"/>
        <v>0.59924263185430637</v>
      </c>
      <c r="M3144" s="17">
        <f>IF(A3146=A3147,_xll.ciqfunctions.udf.CIQ(A3138,"IQ_TOTAL_DEBT_ISSUED",IQ_FY-4), _xll.ciqfunctions.udf.CIQ(A3138, "IQ_TOTAL_DEBT_ISSUED",IQ_FY-3))</f>
        <v>0</v>
      </c>
      <c r="N3144" s="17">
        <f>IF(A3146=A3147,_xll.ciqfunctions.udf.CIQ(A3138,"IQ_TOTAL_DEBT_REPAID",IQ_FY-4), _xll.ciqfunctions.udf.CIQ(A3138, "IQ_TOTAL_DEBT_REPAID",IQ_FY-3))</f>
        <v>-5.5659999999999998</v>
      </c>
      <c r="O3144" s="15">
        <f t="shared" si="837"/>
        <v>-4.6222709418105412E-2</v>
      </c>
      <c r="P3144" s="15">
        <f t="shared" si="838"/>
        <v>0.55301992243620091</v>
      </c>
      <c r="Q3144" s="18"/>
      <c r="R3144" s="38" t="s">
        <v>29</v>
      </c>
      <c r="S3144" s="4">
        <f>(AVERAGE(P3143:P3148)/_xlfn.STDEV.P(P3143:P3148))/(IF(A3146=A3147,(_xlfn.SINGLE(_xll.ciqfunctions.udf.CIQ(A3138,"IQ_total_assets",IQ_FY)) - _xlfn.SINGLE(_xll.ciqfunctions.udf.CIQ(A3138,"iq_gw_intan", IQ_FY)))/I3148, (_xlfn.SINGLE(_xll.ciqfunctions.udf.CIQ(A3138, "IQ_total_assets",IQ_LTM))-_xlfn.SINGLE(_xll.ciqfunctions.udf.CIQ(A3138,"iq_gw_intan",IQ_LTM)))/I3148))</f>
        <v>0.6226690581069475</v>
      </c>
      <c r="U3144" s="18"/>
      <c r="V3144" s="38" t="s">
        <v>29</v>
      </c>
      <c r="W3144" s="4">
        <f>(AVERAGE(P3143:P3148)/_xlfn.STDEV.P(P3143:P3148))/(IF(A3146=A3147,(_xlfn.SINGLE(_xll.ciqfunctions.udf.CIQ(A3138,"IQ_total_assets",IQ_FY)) - _xlfn.SINGLE(_xll.ciqfunctions.udf.CIQ(A3138,"iq_gw_intan", IQ_FY)))/I3148, (_xlfn.SINGLE(_xll.ciqfunctions.udf.CIQ(A3138, "IQ_total_assets",IQ_LTM))-_xlfn.SINGLE(_xll.ciqfunctions.udf.CIQ(A3138,"iq_gw_intan",IQ_LTM)))/I3148))</f>
        <v>0.6226690581069475</v>
      </c>
      <c r="Y3144" s="18"/>
      <c r="Z3144" s="38" t="s">
        <v>29</v>
      </c>
      <c r="AA3144" s="4">
        <f>(AVERAGE(P3143:P3148)/_xlfn.STDEV.P(P3143:P3148))/(IF(A3146=A3147,(_xlfn.SINGLE(_xll.ciqfunctions.udf.CIQ(A3138,"IQ_total_assets",IQ_FY)) - _xlfn.SINGLE(_xll.ciqfunctions.udf.CIQ(A3138,"iq_gw_intan", IQ_FY)))/I3148, (_xlfn.SINGLE(_xll.ciqfunctions.udf.CIQ(A3138, "IQ_total_assets",IQ_LTM))-_xlfn.SINGLE(_xll.ciqfunctions.udf.CIQ(A3138,"iq_gw_intan",IQ_LTM)))/I3148))</f>
        <v>0.6226690581069475</v>
      </c>
    </row>
    <row r="3145" spans="1:27">
      <c r="A3145" s="18"/>
      <c r="B3145" s="13">
        <v>8</v>
      </c>
      <c r="C3145" s="14" t="s">
        <v>30</v>
      </c>
      <c r="D3145" s="15" cm="1">
        <f t="array" ref="D3145">_xlfn.SINGLE(IF(A3146=A3147,_xll.ciqfunctions.udf.CIQ(A3138,"IQ_TOTAL_REV",IQ_FY-3)/I3145, _xll.ciqfunctions.udf.CIQ(A3138, "IQ_TOTAL_REV",IQ_FY-2)/I3145))</f>
        <v>2.5584182349567075</v>
      </c>
      <c r="E3145" s="16">
        <f t="shared" si="839"/>
        <v>-4.1751015244846472E-2</v>
      </c>
      <c r="F3145" s="15">
        <f>IF(A3146=A3147,_xll.ciqfunctions.udf.CIQ(A3138,"IQ_DILUT_EPS_EXCL",IQ_FY-3), _xll.ciqfunctions.udf.CIQ(A3138, "IQ_DILUT_EPS_EXCL",IQ_FY-2))</f>
        <v>-0.57091000000000003</v>
      </c>
      <c r="G3145" s="15">
        <f>IF(A3146=A3147,_xll.ciqfunctions.udf.CIQ(A3138,"IQ_EBITDA_MARGIN",IQ_FY-3), _xll.ciqfunctions.udf.CIQ(A3138, "IQ_EBITDA_MARGIN",IQ_FY-2))</f>
        <v>-25.511800000000001</v>
      </c>
      <c r="H3145" s="15">
        <f>IF(A3146=A3147,_xll.ciqfunctions.udf.CIQ(A3138,"IQ_TOTAL_DIV_PAID_CF",IQ_FY-3)/-I3145, _xll.ciqfunctions.udf.CIQ(A3138, "IQ_TOTAL_DIV_PAID_CF",IQ_FY-2)/-I3145)</f>
        <v>0.99776023599464658</v>
      </c>
      <c r="I3145" s="17">
        <f>IF(A3146=A3147,_xll.ciqfunctions.udf.CIQ(A3138,"IQ_TOTAL_OUTSTANDING_FILING_DATE",IQ_FY-3), _xll.ciqfunctions.udf.CIQ(A3138, "IQ_TOTAL_OUTSTANDING_FILING_DATE",IQ_FY-2))</f>
        <v>146.44399999999999</v>
      </c>
      <c r="J3145" s="17">
        <f>IF(A3146=A3147,_xll.ciqfunctions.udf.CIQ(A3138,"IQ_CASH_OPER",IQ_FY-3), _xll.ciqfunctions.udf.CIQ(A3138, "IQ_CASH_OPER",IQ_FY-2))</f>
        <v>59.542999999999999</v>
      </c>
      <c r="K3145" s="17">
        <f>IF(A3146=A3147,_xll.ciqfunctions.udf.CIQ(A3138,"IQ_CAPEX",IQ_FY-3), _xll.ciqfunctions.udf.CIQ(A3138, "IQ_CAPEX",IQ_FY-2))</f>
        <v>-20.954999999999998</v>
      </c>
      <c r="L3145" s="15">
        <f t="shared" si="836"/>
        <v>0.26350004097129281</v>
      </c>
      <c r="M3145" s="17">
        <f>IF(A3146=A3147,_xll.ciqfunctions.udf.CIQ(A3138,"IQ_TOTAL_DEBT_ISSUED",IQ_FY-3), _xll.ciqfunctions.udf.CIQ(A3138, "IQ_TOTAL_DEBT_ISSUED",IQ_FY-2))</f>
        <v>187.5</v>
      </c>
      <c r="N3145" s="17">
        <f>IF(A3146=A3147,_xll.ciqfunctions.udf.CIQ(A3138,"IQ_TOTAL_DEBT_REPAID",IQ_FY-3), _xll.ciqfunctions.udf.CIQ(A3138, "IQ_TOTAL_DEBT_REPAID",IQ_FY-2))</f>
        <v>-238.751</v>
      </c>
      <c r="O3145" s="15">
        <f t="shared" si="837"/>
        <v>-0.3499699543852941</v>
      </c>
      <c r="P3145" s="15">
        <f t="shared" si="838"/>
        <v>-8.6469913414001287E-2</v>
      </c>
      <c r="Q3145" s="18"/>
      <c r="R3145" s="39" t="s">
        <v>31</v>
      </c>
      <c r="S3145" s="5" t="e">
        <f>IF(NOT(D3138&gt;0),FALSE,SLOPE(G3138:G3148,B3138:B3148))</f>
        <v>#DIV/0!</v>
      </c>
      <c r="U3145" s="18"/>
      <c r="V3145" s="39" t="s">
        <v>31</v>
      </c>
      <c r="W3145" s="5" t="e">
        <f>IF(NOT(D3138&gt;0),FALSE,SLOPE(G3138:G3148,B3138:B3148))</f>
        <v>#DIV/0!</v>
      </c>
      <c r="Y3145" s="18"/>
      <c r="Z3145" s="39" t="s">
        <v>31</v>
      </c>
      <c r="AA3145" s="5" t="e">
        <f>IF(NOT(L3138&gt;0),FALSE,SLOPE(O3138:O3148,J3138:J3148))</f>
        <v>#DIV/0!</v>
      </c>
    </row>
    <row r="3146" spans="1:27">
      <c r="A3146" s="19">
        <f>_xll.ciqfunctions.udf.CIQ(A3138,"IQ_TOTAL_REV",IQ_FY)</f>
        <v>491.62400000000002</v>
      </c>
      <c r="B3146" s="13">
        <v>9</v>
      </c>
      <c r="C3146" s="14" t="s">
        <v>32</v>
      </c>
      <c r="D3146" s="15" cm="1">
        <f t="array" ref="D3146">_xlfn.SINGLE(IF(A3146=A3147,_xll.ciqfunctions.udf.CIQ(A3138,"IQ_TOTAL_REV",IQ_FY-2)/I3146, _xll.ciqfunctions.udf.CIQ(A3138, "IQ_TOTAL_REV",IQ_FY-1)/I3146))</f>
        <v>2.8532421578885896</v>
      </c>
      <c r="E3146" s="16">
        <f t="shared" si="839"/>
        <v>0.11523679705826947</v>
      </c>
      <c r="F3146" s="15">
        <f>IF(A3146=A3147,_xll.ciqfunctions.udf.CIQ(A3138,"IQ_DILUT_EPS_EXCL",IQ_FY-2), _xll.ciqfunctions.udf.CIQ(A3138, "IQ_DILUT_EPS_EXCL",IQ_FY-1))</f>
        <v>-1.001E-2</v>
      </c>
      <c r="G3146" s="15">
        <f>IF(A3146=A3147,_xll.ciqfunctions.udf.CIQ(A3138,"IQ_EBITDA_MARGIN",IQ_FY-2), _xll.ciqfunctions.udf.CIQ(A3138, "IQ_EBITDA_MARGIN",IQ_FY-1))</f>
        <v>3.8954</v>
      </c>
      <c r="H3146" s="15">
        <f>IF(A3146=A3147,_xll.ciqfunctions.udf.CIQ(A3138,"IQ_TOTAL_DIV_PAID_CF",IQ_FY-2)/-I3146, _xll.ciqfunctions.udf.CIQ(A3138, "IQ_TOTAL_DIV_PAID_CF",IQ_FY-1)/-I3146)</f>
        <v>0</v>
      </c>
      <c r="I3146" s="17">
        <f>IF(A3146=A3147,_xll.ciqfunctions.udf.CIQ(A3138,"IQ_TOTAL_OUTSTANDING_FILING_DATE",IQ_FY-2), _xll.ciqfunctions.udf.CIQ(A3138, "IQ_TOTAL_OUTSTANDING_FILING_DATE",IQ_FY-1))</f>
        <v>149.14542</v>
      </c>
      <c r="J3146" s="17">
        <f>IF(A3146=A3147,_xll.ciqfunctions.udf.CIQ(A3138,"IQ_CASH_OPER",IQ_FY-2), _xll.ciqfunctions.udf.CIQ(A3138, "IQ_CASH_OPER",IQ_FY-1))</f>
        <v>91.968999999999994</v>
      </c>
      <c r="K3146" s="17">
        <f>IF(A3146=A3147,_xll.ciqfunctions.udf.CIQ(A3138,"IQ_CAPEX",IQ_FY-2), _xll.ciqfunctions.udf.CIQ(A3138, "IQ_CAPEX",IQ_FY-1))</f>
        <v>-33.386000000000003</v>
      </c>
      <c r="L3146" s="15">
        <f t="shared" si="836"/>
        <v>0.39279114303342327</v>
      </c>
      <c r="M3146" s="17">
        <f>IF(A3146=A3147,_xll.ciqfunctions.udf.CIQ(A3138,"IQ_TOTAL_DEBT_ISSUED",IQ_FY-2), _xll.ciqfunctions.udf.CIQ(A3138, "IQ_TOTAL_DEBT_ISSUED",IQ_FY-1))</f>
        <v>0</v>
      </c>
      <c r="N3146" s="17">
        <f>IF(A3146=A3147,_xll.ciqfunctions.udf.CIQ(A3138,"IQ_TOTAL_DEBT_REPAID",IQ_FY-2), _xll.ciqfunctions.udf.CIQ(A3138, "IQ_TOTAL_DEBT_REPAID",IQ_FY-1))</f>
        <v>-0.96399999999999997</v>
      </c>
      <c r="O3146" s="15">
        <f t="shared" si="837"/>
        <v>-6.4634904645412506E-3</v>
      </c>
      <c r="P3146" s="15">
        <f t="shared" si="838"/>
        <v>0.38632765256888202</v>
      </c>
      <c r="Q3146" s="25" t="s">
        <v>33</v>
      </c>
      <c r="R3146" s="38" t="s">
        <v>52</v>
      </c>
      <c r="S3146" s="4">
        <f>(AVERAGE(O3143:O3148)/AVERAGE(P3143:P3148))</f>
        <v>-7.2483150010684172E-2</v>
      </c>
      <c r="U3146" s="25" t="s">
        <v>54</v>
      </c>
      <c r="V3146" s="38" t="s">
        <v>52</v>
      </c>
      <c r="W3146" s="4">
        <f>(AVERAGE(O3143:O3148)/AVERAGE(P3143:P3148))</f>
        <v>-7.2483150010684172E-2</v>
      </c>
      <c r="Y3146" s="25" t="s">
        <v>60</v>
      </c>
      <c r="Z3146" s="38" t="s">
        <v>52</v>
      </c>
      <c r="AA3146" s="4">
        <f>(AVERAGE(O3143:O3148)/AVERAGE(P3143:P3148))</f>
        <v>-7.2483150010684172E-2</v>
      </c>
    </row>
    <row r="3147" spans="1:27">
      <c r="A3147" s="19">
        <f>_xll.ciqfunctions.udf.CIQ(A3138,"IQ_TOTAL_REV",IQ_LTM)</f>
        <v>548.59900000000005</v>
      </c>
      <c r="B3147" s="13">
        <v>10</v>
      </c>
      <c r="C3147" s="14" t="s">
        <v>34</v>
      </c>
      <c r="D3147" s="15" cm="1">
        <f t="array" ref="D3147">_xlfn.SINGLE(IF(A3146=A3147,_xll.ciqfunctions.udf.CIQ(A3138,"IQ_TOTAL_REV",IQ_FY-1)/I3147, _xll.ciqfunctions.udf.CIQ(A3138, "IQ_TOTAL_REV",IQ_FY)/I3147))</f>
        <v>3.2551079559204683</v>
      </c>
      <c r="E3147" s="16">
        <f t="shared" si="839"/>
        <v>0.14084531764007754</v>
      </c>
      <c r="F3147" s="15">
        <f>IF(A3146=A3147,_xll.ciqfunctions.udf.CIQ(A3138,"IQ_DILUT_EPS_EXCL",IQ_FY-1), _xll.ciqfunctions.udf.CIQ(A3138, "IQ_DILUT_EPS_EXCL",IQ_FY))</f>
        <v>-8.2220000000000001E-2</v>
      </c>
      <c r="G3147" s="15">
        <f>IF(A3146=A3147,_xll.ciqfunctions.udf.CIQ(A3138,"IQ_EBITDA_MARGIN",IQ_FY-1), _xll.ciqfunctions.udf.CIQ(A3138, "IQ_EBITDA_MARGIN",IQ_FY))</f>
        <v>1.4988999999999999</v>
      </c>
      <c r="H3147" s="15">
        <f>IF(A3146=A3147,_xll.ciqfunctions.udf.CIQ(A3138,"IQ_TOTAL_DIV_PAID_CF",IQ_FY-1)/-I3147, _xll.ciqfunctions.udf.CIQ(A3138, "IQ_TOTAL_DIV_PAID_CF",IQ_FY)/-I3147)</f>
        <v>0</v>
      </c>
      <c r="I3147" s="17">
        <f>IF(A3146=A3147,_xll.ciqfunctions.udf.CIQ(A3138,"IQ_TOTAL_OUTSTANDING_FILING_DATE",IQ_FY-1), _xll.ciqfunctions.udf.CIQ(A3138, "IQ_TOTAL_OUTSTANDING_FILING_DATE",IQ_FY))</f>
        <v>151.03155000000001</v>
      </c>
      <c r="J3147" s="17">
        <f>IF(A3146=A3147,_xll.ciqfunctions.udf.CIQ(A3138,"IQ_CASH_OPER",IQ_FY-1), _xll.ciqfunctions.udf.CIQ(A3138, "IQ_CASH_OPER",IQ_FY))</f>
        <v>76.846000000000004</v>
      </c>
      <c r="K3147" s="17">
        <f>IF(A3146=A3147,_xll.ciqfunctions.udf.CIQ(A3138,"IQ_CAPEX",IQ_FY-1), _xll.ciqfunctions.udf.CIQ(A3138, "IQ_CAPEX",IQ_FY))</f>
        <v>-58.53</v>
      </c>
      <c r="L3147" s="15">
        <f t="shared" si="836"/>
        <v>0.12127267448423856</v>
      </c>
      <c r="M3147" s="17">
        <f>IF(A3146=A3147,_xll.ciqfunctions.udf.CIQ(A3138,"IQ_TOTAL_DEBT_ISSUED",IQ_FY-1), _xll.ciqfunctions.udf.CIQ(A3138, "IQ_TOTAL_DEBT_ISSUED",IQ_FY))</f>
        <v>50</v>
      </c>
      <c r="N3147" s="17">
        <f>IF(A3146=A3147,_xll.ciqfunctions.udf.CIQ(A3138,"IQ_TOTAL_DEBT_REPAID",IQ_FY-1), _xll.ciqfunctions.udf.CIQ(A3138, "IQ_TOTAL_DEBT_REPAID",IQ_FY))</f>
        <v>-2.2919999999999998</v>
      </c>
      <c r="O3147" s="15">
        <f t="shared" si="837"/>
        <v>0.31588101956180675</v>
      </c>
      <c r="P3147" s="15">
        <f t="shared" si="838"/>
        <v>0.43715369404604532</v>
      </c>
      <c r="Q3147" s="25" t="s">
        <v>44</v>
      </c>
      <c r="R3147" s="38" t="s">
        <v>35</v>
      </c>
      <c r="S3147" s="1" t="str">
        <f>_xll.ciqfunctions.udf.CIQ(A3138,"IQ_TEV_EBITDA")</f>
        <v>NM</v>
      </c>
      <c r="U3147" s="25" t="s">
        <v>55</v>
      </c>
      <c r="V3147" s="38" t="s">
        <v>53</v>
      </c>
      <c r="W3147" s="1" t="e">
        <f>V3137/(AVERAGE(D3143:D3148)/_xlfn.STDEV.P(E3143:E3148))</f>
        <v>#DIV/0!</v>
      </c>
      <c r="Y3147" s="25" t="s">
        <v>57</v>
      </c>
      <c r="Z3147" s="38" t="s">
        <v>53</v>
      </c>
      <c r="AA3147" s="1" t="e">
        <f>Z3137/(AVERAGE(D3143:D3148)/_xlfn.STDEV.P(E3143:E3148))</f>
        <v>#DIV/0!</v>
      </c>
    </row>
    <row r="3148" spans="1:27">
      <c r="B3148" s="13">
        <v>11</v>
      </c>
      <c r="C3148" s="20" t="s">
        <v>36</v>
      </c>
      <c r="D3148" s="21" cm="1">
        <f t="array" ref="D3148">_xlfn.SINGLE(IF(A3146=A3147,_xll.ciqfunctions.udf.CIQ(A3138,"IQ_TOTAL_REV",IQ_FY)/I3148, _xll.ciqfunctions.udf.CIQ(A3138, "IQ_TOTAL_REV",IQ_LTM)/I3148))</f>
        <v>3.5859333630919719</v>
      </c>
      <c r="E3148" s="22">
        <f t="shared" si="839"/>
        <v>0.10163269902302023</v>
      </c>
      <c r="F3148" s="21">
        <f>IF(A3146=A3147,_xll.ciqfunctions.udf.CIQ(A3138,"IQ_DILUT_EPS_EXCL",IQ_FY), _xll.ciqfunctions.udf.CIQ(A3138, "IQ_DILUT_EPS_EXCL",IQ_LTM))</f>
        <v>-0.22328000000000001</v>
      </c>
      <c r="G3148" s="21">
        <f>IF(A3146=A3147,_xll.ciqfunctions.udf.CIQ(A3138,"IQ_EBITDA_MARGIN",IQ_FY), _xll.ciqfunctions.udf.CIQ(A3138, "IQ_EBITDA_MARGIN",IQ_LTM))</f>
        <v>-0.59470000000000001</v>
      </c>
      <c r="H3148" s="21">
        <f>IF(A3146=A3147,_xll.ciqfunctions.udf.CIQ(A3138,"IQ_TOTAL_DIV_PAID_CF",IQ_FY)/-I3148, _xll.ciqfunctions.udf.CIQ(A3138, "IQ_TOTAL_DIV_PAID_CF",IQ_LTM)/-I3148)</f>
        <v>0</v>
      </c>
      <c r="I3148" s="23">
        <f>IF(A3146=A3147,_xll.ciqfunctions.udf.CIQ(A3138,"IQ_TOTAL_OUTSTANDING_FILING_DATE",IQ_FY),_xll.ciqfunctions.udf.CIQ(A3138,"IQ_sharesoutstanding"))</f>
        <v>152.98639</v>
      </c>
      <c r="J3148" s="23">
        <f>IF(A3146=A3147,_xll.ciqfunctions.udf.CIQ(A3138,"IQ_CASH_OPER",IQ_FY), _xll.ciqfunctions.udf.CIQ(A3138, "IQ_CASH_OPER",IQ_LTM))</f>
        <v>79.942999999999998</v>
      </c>
      <c r="K3148" s="23">
        <f>IF(A3146=A3147,_xll.ciqfunctions.udf.CIQ(A3138,"IQ_CAPEX",IQ_FY), _xll.ciqfunctions.udf.CIQ(A3138, "IQ_CAPEX",IQ_LTM))</f>
        <v>-60.341000000000001</v>
      </c>
      <c r="L3148" s="21">
        <f t="shared" si="836"/>
        <v>0.12812904468168701</v>
      </c>
      <c r="M3148" s="23">
        <f>IF(A3146=A3147,_xll.ciqfunctions.udf.CIQ(A3138,"IQ_TOTAL_DEBT_ISSUED",IQ_FY), _xll.ciqfunctions.udf.CIQ(A3138, "IQ_TOTAL_DEBT_ISSUED",IQ_LTM))</f>
        <v>0</v>
      </c>
      <c r="N3148" s="23">
        <f>IF(A3146=A3147,_xll.ciqfunctions.udf.CIQ(A3138,"IQ_TOTAL_DEBT_REPAID",IQ_FY), _xll.ciqfunctions.udf.CIQ(A3138, "IQ_TOTAL_DEBT_REPAID",IQ_LTM))</f>
        <v>-3.2109999999999999</v>
      </c>
      <c r="O3148" s="21">
        <f t="shared" si="837"/>
        <v>-2.0988795147071578E-2</v>
      </c>
      <c r="P3148" s="21">
        <f t="shared" si="838"/>
        <v>0.10714024953461543</v>
      </c>
      <c r="Q3148" s="25" t="s">
        <v>45</v>
      </c>
      <c r="S3148" s="45"/>
      <c r="U3148" s="25"/>
      <c r="W3148" s="45"/>
      <c r="Y3148" s="25"/>
      <c r="AA3148" s="45"/>
    </row>
    <row r="3149" spans="1:27">
      <c r="B3149" s="24"/>
      <c r="C3149" s="25" t="s">
        <v>37</v>
      </c>
      <c r="E3149" s="26">
        <f>((D3148/D3143)^(1/5))-1</f>
        <v>9.6899834964597531E-2</v>
      </c>
      <c r="F3149" s="27">
        <f>((F3148/F3143)^(1/5))-1</f>
        <v>0.3455676475706122</v>
      </c>
      <c r="G3149" s="28"/>
      <c r="H3149" s="27">
        <f>((H3148/H3143)^(1/5))-1</f>
        <v>-1</v>
      </c>
      <c r="I3149" s="27">
        <f>((I3148/I3143)^(1/5))-1</f>
        <v>4.8676784988681998E-2</v>
      </c>
      <c r="J3149" s="27"/>
      <c r="K3149" s="27"/>
      <c r="L3149" s="26">
        <f>((L3148/L3143)^(1/5))-1</f>
        <v>-0.23604639729873544</v>
      </c>
      <c r="M3149" s="26"/>
      <c r="N3149" s="26"/>
      <c r="O3149" s="26"/>
      <c r="P3149" s="26">
        <f>((P3148/P3143)^(1/5))-1</f>
        <v>-0.25446457138174738</v>
      </c>
      <c r="Q3149" s="18"/>
      <c r="R3149" s="36"/>
      <c r="S3149" s="45"/>
      <c r="U3149" s="18"/>
      <c r="V3149" s="36"/>
      <c r="W3149" s="45"/>
      <c r="Y3149" s="18"/>
      <c r="Z3149" s="36"/>
      <c r="AA3149" s="45"/>
    </row>
    <row r="3150" spans="1:27">
      <c r="A3150" s="29"/>
      <c r="B3150" s="30"/>
      <c r="C3150" s="31" t="s">
        <v>38</v>
      </c>
      <c r="D3150" s="29"/>
      <c r="E3150" s="32" t="e">
        <f>((D3148/D3138)^(1/10))-1</f>
        <v>#DIV/0!</v>
      </c>
      <c r="F3150" s="33" t="e">
        <f>((F3148/F3138)^(1/10))-1</f>
        <v>#DIV/0!</v>
      </c>
      <c r="G3150" s="34"/>
      <c r="H3150" s="33" t="e">
        <f>((H3148/H3138)^(1/10))-1</f>
        <v>#DIV/0!</v>
      </c>
      <c r="I3150" s="33" t="e">
        <f>((I3148/I3138)^(1/10))-1</f>
        <v>#DIV/0!</v>
      </c>
      <c r="J3150" s="33"/>
      <c r="K3150" s="33"/>
      <c r="L3150" s="32" t="e">
        <f>((L3148/L3138)^(1/10))-1</f>
        <v>#DIV/0!</v>
      </c>
      <c r="M3150" s="32"/>
      <c r="N3150" s="32"/>
      <c r="O3150" s="32"/>
      <c r="P3150" s="32" t="e">
        <f>((P3148/P3138)^(1/10))-1</f>
        <v>#DIV/0!</v>
      </c>
      <c r="Q3150" s="40"/>
      <c r="R3150" s="41"/>
      <c r="S3150" s="46"/>
      <c r="U3150" s="40"/>
      <c r="V3150" s="41"/>
      <c r="W3150" s="46"/>
      <c r="Y3150" s="40"/>
      <c r="Z3150" s="41"/>
      <c r="AA3150" s="46"/>
    </row>
    <row r="3151" spans="1:27">
      <c r="B3151" s="24"/>
      <c r="C3151" s="25"/>
      <c r="E3151" s="26"/>
      <c r="F3151" s="27"/>
      <c r="G3151" s="28"/>
      <c r="H3151" s="27"/>
      <c r="I3151" s="27"/>
      <c r="J3151" s="27"/>
      <c r="K3151" s="27"/>
      <c r="L3151" s="26"/>
      <c r="M3151" s="17"/>
      <c r="N3151" s="17"/>
      <c r="O3151" s="17"/>
      <c r="P3151" s="35"/>
      <c r="Q3151" s="18"/>
      <c r="R3151" s="36"/>
    </row>
    <row r="3152" spans="1:27">
      <c r="A3152" s="9" t="s">
        <v>0</v>
      </c>
      <c r="B3152" s="10"/>
      <c r="C3152" s="9" t="s">
        <v>1</v>
      </c>
      <c r="D3152" s="9" t="s">
        <v>2</v>
      </c>
      <c r="E3152" s="9" t="s">
        <v>3</v>
      </c>
      <c r="F3152" s="11" t="s">
        <v>4</v>
      </c>
      <c r="G3152" s="11" t="s">
        <v>5</v>
      </c>
      <c r="H3152" s="9" t="s">
        <v>6</v>
      </c>
      <c r="I3152" s="11" t="s">
        <v>7</v>
      </c>
      <c r="J3152" s="11" t="s">
        <v>8</v>
      </c>
      <c r="K3152" s="11" t="s">
        <v>9</v>
      </c>
      <c r="L3152" s="11" t="s">
        <v>10</v>
      </c>
      <c r="M3152" s="11" t="s">
        <v>11</v>
      </c>
      <c r="N3152" s="11" t="s">
        <v>12</v>
      </c>
      <c r="O3152" s="11" t="s">
        <v>13</v>
      </c>
      <c r="P3152" s="11" t="s">
        <v>14</v>
      </c>
      <c r="Q3152" s="37" t="s">
        <v>15</v>
      </c>
      <c r="R3152" s="42">
        <f>_xll.ciqfunctions.udf.CIQ(A3153,("IQ_LASTSALEPRICE"))</f>
        <v>509</v>
      </c>
      <c r="S3152" s="44"/>
      <c r="U3152" s="37" t="s">
        <v>15</v>
      </c>
      <c r="V3152" s="42">
        <f>_xll.ciqfunctions.udf.CIQ(A3153,("IQ_LASTSALEPRICE"))</f>
        <v>509</v>
      </c>
      <c r="W3152" s="44"/>
      <c r="Y3152" s="37" t="s">
        <v>15</v>
      </c>
      <c r="Z3152" s="42">
        <f>_xll.ciqfunctions.udf.CIQ(A3153,("IQ_LASTSALEPRICE"))</f>
        <v>509</v>
      </c>
      <c r="AA3152" s="44"/>
    </row>
    <row r="3153" spans="1:27">
      <c r="A3153" s="12" t="str">
        <f>Analysis!B212</f>
        <v>NasdaqGS:MSTR</v>
      </c>
      <c r="B3153" s="13">
        <v>1</v>
      </c>
      <c r="C3153" s="14" t="s">
        <v>16</v>
      </c>
      <c r="D3153" s="15">
        <f>IF(A3161=A3162,_xll.ciqfunctions.udf.CIQ(A3153,"IQ_TOTAL_REV",IQ_FY-10)/I3153,_xll.ciqfunctions.udf.CIQ(A3153, "IQ_TOTAL_REV",IQ_FY-9)/I3153)</f>
        <v>50.958849804973703</v>
      </c>
      <c r="E3153" s="16"/>
      <c r="F3153" s="15">
        <f>IF(A3161=A3162,_xll.ciqfunctions.udf.CIQ(A3153,"IQ_DILUT_EPS_EXCL",IQ_FY-10), _xll.ciqfunctions.udf.CIQ(A3153, "IQ_DILUT_EPS_EXCL",IQ_FY-9))</f>
        <v>2.3495599999999999</v>
      </c>
      <c r="G3153" s="15">
        <f>IF(A3161=A3162,_xll.ciqfunctions.udf.CIQ(A3153,"IQ_EBITDA_MARGIN",IQ_FY-10), _xll.ciqfunctions.udf.CIQ(A3153, "IQ_EBITDA_MARGIN",IQ_FY-9))</f>
        <v>7.0042999999999997</v>
      </c>
      <c r="H3153" s="15">
        <f>IF(A3161=A3162,_xll.ciqfunctions.udf.CIQ(A3153,"IQ_TOTAL_DIV_PAID_CF",IQ_FY-10)/-I3153, _xll.ciqfunctions.udf.CIQ(A3153, "IQ_TOTAL_DIV_PAID_CF",IQ_FY-9)/-I3153)</f>
        <v>0</v>
      </c>
      <c r="I3153" s="17">
        <f>IF(A3161=A3162,_xll.ciqfunctions.udf.CIQ(A3153,"IQ_TOTAL_OUTSTANDING_FILING_DATE",IQ_FY-10), _xll.ciqfunctions.udf.CIQ(A3153, "IQ_TOTAL_OUTSTANDING_FILING_DATE",IQ_FY-9))</f>
        <v>11.30104</v>
      </c>
      <c r="J3153" s="17">
        <f>IF(A3161=A3162,_xll.ciqfunctions.udf.CIQ(A3153,"IQ_CASH_OPER",IQ_FY-10), _xll.ciqfunctions.udf.CIQ(A3153, "IQ_CASH_OPER",IQ_FY-9))</f>
        <v>29.934000000000001</v>
      </c>
      <c r="K3153" s="17">
        <f>IF(A3161=A3162,_xll.ciqfunctions.udf.CIQ(A3153,"IQ_CAPEX",IQ_FY-10), _xll.ciqfunctions.udf.CIQ(A3153, "IQ_CAPEX",IQ_FY-9))</f>
        <v>-11.042999999999999</v>
      </c>
      <c r="L3153" s="15">
        <f t="shared" ref="L3153:L3163" si="840">(J3153+K3153)/I3153</f>
        <v>1.6716160636543187</v>
      </c>
      <c r="M3153" s="17">
        <f>IF(A3161=A3162,_xll.ciqfunctions.udf.CIQ(A3153,"IQ_TOTAL_DEBT_ISSUED",IQ_FY-10), _xll.ciqfunctions.udf.CIQ(A3153, "IQ_TOTAL_DEBT_ISSUED",IQ_FY-9))</f>
        <v>0</v>
      </c>
      <c r="N3153" s="17">
        <f>IF(A3161=A3162,_xll.ciqfunctions.udf.CIQ(A3153,"IQ_TOTAL_DEBT_REPAID",IQ_FY-10), _xll.ciqfunctions.udf.CIQ(A3153, "IQ_TOTAL_DEBT_REPAID",IQ_FY-9))</f>
        <v>-2.2839999999999998</v>
      </c>
      <c r="O3153" s="15">
        <f t="shared" ref="O3153:O3163" si="841">(M3153+N3153)/I3153</f>
        <v>-0.20210529296418733</v>
      </c>
      <c r="P3153" s="15">
        <f t="shared" ref="P3153:P3163" si="842">L3153+O3153</f>
        <v>1.4695107706901314</v>
      </c>
      <c r="W3153" s="43"/>
      <c r="AA3153" s="43"/>
    </row>
    <row r="3154" spans="1:27">
      <c r="A3154" s="18" t="str">
        <f>_xll.ciqfunctions.udf.CIQ(A3153,"IQ_COMPANY_NAME")</f>
        <v>MicroStrategy Incorporated</v>
      </c>
      <c r="B3154" s="13">
        <v>2</v>
      </c>
      <c r="C3154" s="14" t="s">
        <v>17</v>
      </c>
      <c r="D3154" s="15">
        <f>IF(A3161=A3162,_xll.ciqfunctions.udf.CIQ(A3153,"IQ_TOTAL_REV",IQ_FY-9)/I3154, _xll.ciqfunctions.udf.CIQ(A3153, "IQ_TOTAL_REV",IQ_FY-8)/I3154)</f>
        <v>51.194415700456645</v>
      </c>
      <c r="E3154" s="16">
        <f t="shared" ref="E3154:E3163" si="843">(D3154-D3153)/D3153</f>
        <v>4.6226690041962148E-3</v>
      </c>
      <c r="F3154" s="15">
        <f>IF(A3161=A3162,_xll.ciqfunctions.udf.CIQ(A3153,"IQ_DILUT_EPS_EXCL",IQ_FY-9), _xll.ciqfunctions.udf.CIQ(A3153, "IQ_DILUT_EPS_EXCL",IQ_FY-8))</f>
        <v>0.44</v>
      </c>
      <c r="G3154" s="15">
        <f>IF(A3161=A3162,_xll.ciqfunctions.udf.CIQ(A3153,"IQ_EBITDA_MARGIN",IQ_FY-9), _xll.ciqfunctions.udf.CIQ(A3153, "IQ_EBITDA_MARGIN",IQ_FY-8))</f>
        <v>6.8827999999999996</v>
      </c>
      <c r="H3154" s="15">
        <f>IF(A3161=A3162,_xll.ciqfunctions.udf.CIQ(A3153,"IQ_TOTAL_DIV_PAID_CF",IQ_FY-9)/-I3154, _xll.ciqfunctions.udf.CIQ(A3153, "IQ_TOTAL_DIV_PAID_CF",IQ_FY-8)/-I3154)</f>
        <v>0</v>
      </c>
      <c r="I3154" s="17">
        <f>IF(A3161=A3162,_xll.ciqfunctions.udf.CIQ(A3153,"IQ_TOTAL_OUTSTANDING_FILING_DATE",IQ_FY-9), _xll.ciqfunctions.udf.CIQ(A3153, "IQ_TOTAL_OUTSTANDING_FILING_DATE",IQ_FY-8))</f>
        <v>11.326040000000001</v>
      </c>
      <c r="J3154" s="17">
        <f>IF(A3161=A3162,_xll.ciqfunctions.udf.CIQ(A3153,"IQ_CASH_OPER",IQ_FY-9), _xll.ciqfunctions.udf.CIQ(A3153, "IQ_CASH_OPER",IQ_FY-8))</f>
        <v>14.6</v>
      </c>
      <c r="K3154" s="17">
        <f>IF(A3161=A3162,_xll.ciqfunctions.udf.CIQ(A3153,"IQ_CAPEX",IQ_FY-9), _xll.ciqfunctions.udf.CIQ(A3153, "IQ_CAPEX",IQ_FY-8))</f>
        <v>-12.4</v>
      </c>
      <c r="L3154" s="15">
        <f t="shared" si="840"/>
        <v>0.19424264791577631</v>
      </c>
      <c r="M3154" s="17">
        <f>IF(A3161=A3162,_xll.ciqfunctions.udf.CIQ(A3153,"IQ_TOTAL_DEBT_ISSUED",IQ_FY-9), _xll.ciqfunctions.udf.CIQ(A3153, "IQ_TOTAL_DEBT_ISSUED",IQ_FY-8))</f>
        <v>0</v>
      </c>
      <c r="N3154" s="17">
        <f>IF(A3161=A3162,_xll.ciqfunctions.udf.CIQ(A3153,"IQ_TOTAL_DEBT_REPAID",IQ_FY-9), _xll.ciqfunctions.udf.CIQ(A3153, "IQ_TOTAL_DEBT_REPAID",IQ_FY-8))</f>
        <v>-2.3260000000000001</v>
      </c>
      <c r="O3154" s="15">
        <f t="shared" si="841"/>
        <v>-0.20536745411458904</v>
      </c>
      <c r="P3154" s="15">
        <f t="shared" si="842"/>
        <v>-1.1124806198812731E-2</v>
      </c>
      <c r="Q3154" s="25" t="s">
        <v>18</v>
      </c>
      <c r="R3154" s="39" t="s">
        <v>19</v>
      </c>
      <c r="S3154" s="1">
        <f>R3152/((AVERAGE(P3158:P3163))*(1+E3164)^3)</f>
        <v>17.354248047474773</v>
      </c>
      <c r="U3154" s="25" t="s">
        <v>48</v>
      </c>
      <c r="V3154" s="39" t="s">
        <v>19</v>
      </c>
      <c r="W3154" s="1">
        <f>V3152/((AVERAGE(P3158:P3163))*(1+E3164)^3)</f>
        <v>17.354248047474773</v>
      </c>
      <c r="Y3154" s="25" t="s">
        <v>39</v>
      </c>
      <c r="Z3154" s="39" t="s">
        <v>19</v>
      </c>
      <c r="AA3154" s="1">
        <f>Z3152/((AVERAGE(P3158:P3163))*(1+E3164)^3)</f>
        <v>17.354248047474773</v>
      </c>
    </row>
    <row r="3155" spans="1:27">
      <c r="B3155" s="13">
        <v>3</v>
      </c>
      <c r="C3155" s="14" t="s">
        <v>20</v>
      </c>
      <c r="D3155" s="15" cm="1">
        <f t="array" ref="D3155">_xlfn.SINGLE(IF(A3161=A3162,_xll.ciqfunctions.udf.CIQ(A3153,"IQ_TOTAL_REV",IQ_FY-8)/I3155, _xll.ciqfunctions.udf.CIQ(A3153, "IQ_TOTAL_REV",IQ_FY-7)/I3155))</f>
        <v>46.470401998195101</v>
      </c>
      <c r="E3155" s="16">
        <f t="shared" si="843"/>
        <v>-9.2275957008713494E-2</v>
      </c>
      <c r="F3155" s="15">
        <f>IF(A3161=A3162,_xll.ciqfunctions.udf.CIQ(A3153,"IQ_DILUT_EPS_EXCL",IQ_FY-8), _xll.ciqfunctions.udf.CIQ(A3153, "IQ_DILUT_EPS_EXCL",IQ_FY-7))</f>
        <v>9.18</v>
      </c>
      <c r="G3155" s="15">
        <f>IF(A3161=A3162,_xll.ciqfunctions.udf.CIQ(A3153,"IQ_EBITDA_MARGIN",IQ_FY-8), _xll.ciqfunctions.udf.CIQ(A3153, "IQ_EBITDA_MARGIN",IQ_FY-7))</f>
        <v>27.988600000000002</v>
      </c>
      <c r="H3155" s="15">
        <f>IF(A3161=A3162,_xll.ciqfunctions.udf.CIQ(A3153,"IQ_TOTAL_DIV_PAID_CF",IQ_FY-8)/-I3155, _xll.ciqfunctions.udf.CIQ(A3153, "IQ_TOTAL_DIV_PAID_CF",IQ_FY-7)/-I3155)</f>
        <v>0</v>
      </c>
      <c r="I3155" s="17">
        <f>IF(A3161=A3162,_xll.ciqfunctions.udf.CIQ(A3153,"IQ_TOTAL_OUTSTANDING_FILING_DATE",IQ_FY-8), _xll.ciqfunctions.udf.CIQ(A3153, "IQ_TOTAL_OUTSTANDING_FILING_DATE",IQ_FY-7))</f>
        <v>11.402290000000001</v>
      </c>
      <c r="J3155" s="17">
        <f>IF(A3161=A3162,_xll.ciqfunctions.udf.CIQ(A3153,"IQ_CASH_OPER",IQ_FY-8), _xll.ciqfunctions.udf.CIQ(A3153, "IQ_CASH_OPER",IQ_FY-7))</f>
        <v>149.69900000000001</v>
      </c>
      <c r="K3155" s="17">
        <f>IF(A3161=A3162,_xll.ciqfunctions.udf.CIQ(A3153,"IQ_CAPEX",IQ_FY-8), _xll.ciqfunctions.udf.CIQ(A3153, "IQ_CAPEX",IQ_FY-7))</f>
        <v>-3.484</v>
      </c>
      <c r="L3155" s="15">
        <f t="shared" si="840"/>
        <v>12.823301284215715</v>
      </c>
      <c r="M3155" s="17">
        <f>IF(A3161=A3162,_xll.ciqfunctions.udf.CIQ(A3153,"IQ_TOTAL_DEBT_ISSUED",IQ_FY-8), _xll.ciqfunctions.udf.CIQ(A3153, "IQ_TOTAL_DEBT_ISSUED",IQ_FY-7))</f>
        <v>0</v>
      </c>
      <c r="N3155" s="17">
        <f>IF(A3161=A3162,_xll.ciqfunctions.udf.CIQ(A3153,"IQ_TOTAL_DEBT_REPAID",IQ_FY-8), _xll.ciqfunctions.udf.CIQ(A3153, "IQ_TOTAL_DEBT_REPAID",IQ_FY-7))</f>
        <v>-1.4470000000000001</v>
      </c>
      <c r="O3155" s="15">
        <f t="shared" si="841"/>
        <v>-0.12690433237533863</v>
      </c>
      <c r="P3155" s="15">
        <f t="shared" si="842"/>
        <v>12.696396951840375</v>
      </c>
      <c r="Q3155" s="25" t="s">
        <v>21</v>
      </c>
      <c r="R3155" s="38" t="s">
        <v>49</v>
      </c>
      <c r="S3155" s="2">
        <f>(R3152*I3163)/1000</f>
        <v>7.3897536199999996</v>
      </c>
      <c r="U3155" s="25" t="s">
        <v>59</v>
      </c>
      <c r="V3155" s="38" t="s">
        <v>49</v>
      </c>
      <c r="W3155" s="2">
        <f>(V3152*I3163)/1000</f>
        <v>7.3897536199999996</v>
      </c>
      <c r="Y3155" s="25" t="s">
        <v>46</v>
      </c>
      <c r="Z3155" s="38" t="s">
        <v>49</v>
      </c>
      <c r="AA3155" s="2">
        <f>(Z3152*I3163)/1000</f>
        <v>7.3897536199999996</v>
      </c>
    </row>
    <row r="3156" spans="1:27">
      <c r="A3156" s="18"/>
      <c r="B3156" s="13">
        <v>4</v>
      </c>
      <c r="C3156" s="14" t="s">
        <v>22</v>
      </c>
      <c r="D3156" s="15" cm="1">
        <f t="array" ref="D3156">_xlfn.SINGLE(IF(A3161=A3162,_xll.ciqfunctions.udf.CIQ(A3153,"IQ_TOTAL_REV",IQ_FY-7)/I3156, _xll.ciqfunctions.udf.CIQ(A3153, "IQ_TOTAL_REV",IQ_FY-6)/I3156))</f>
        <v>44.912634485002137</v>
      </c>
      <c r="E3156" s="16">
        <f t="shared" si="843"/>
        <v>-3.3521713740575498E-2</v>
      </c>
      <c r="F3156" s="15">
        <f>IF(A3161=A3162,_xll.ciqfunctions.udf.CIQ(A3153,"IQ_DILUT_EPS_EXCL",IQ_FY-7), _xll.ciqfunctions.udf.CIQ(A3153, "IQ_DILUT_EPS_EXCL",IQ_FY-6))</f>
        <v>8.01</v>
      </c>
      <c r="G3156" s="15">
        <f>IF(A3161=A3162,_xll.ciqfunctions.udf.CIQ(A3153,"IQ_EBITDA_MARGIN",IQ_FY-7), _xll.ciqfunctions.udf.CIQ(A3153, "IQ_EBITDA_MARGIN",IQ_FY-6))</f>
        <v>23.782399999999999</v>
      </c>
      <c r="H3156" s="15">
        <f>IF(A3161=A3162,_xll.ciqfunctions.udf.CIQ(A3153,"IQ_TOTAL_DIV_PAID_CF",IQ_FY-7)/-I3156, _xll.ciqfunctions.udf.CIQ(A3153, "IQ_TOTAL_DIV_PAID_CF",IQ_FY-6)/-I3156)</f>
        <v>0</v>
      </c>
      <c r="I3156" s="17">
        <f>IF(A3161=A3162,_xll.ciqfunctions.udf.CIQ(A3153,"IQ_TOTAL_OUTSTANDING_FILING_DATE",IQ_FY-7), _xll.ciqfunctions.udf.CIQ(A3153, "IQ_TOTAL_OUTSTANDING_FILING_DATE",IQ_FY-6))</f>
        <v>11.43529</v>
      </c>
      <c r="J3156" s="17">
        <f>IF(A3161=A3162,_xll.ciqfunctions.udf.CIQ(A3153,"IQ_CASH_OPER",IQ_FY-7), _xll.ciqfunctions.udf.CIQ(A3153, "IQ_CASH_OPER",IQ_FY-6))</f>
        <v>110.589</v>
      </c>
      <c r="K3156" s="17">
        <f>IF(A3161=A3162,_xll.ciqfunctions.udf.CIQ(A3153,"IQ_CAPEX",IQ_FY-7), _xll.ciqfunctions.udf.CIQ(A3153, "IQ_CAPEX",IQ_FY-6))</f>
        <v>-2.3370000000000002</v>
      </c>
      <c r="L3156" s="15">
        <f t="shared" si="840"/>
        <v>9.4664848901951757</v>
      </c>
      <c r="M3156" s="17">
        <f>IF(A3161=A3162,_xll.ciqfunctions.udf.CIQ(A3153,"IQ_TOTAL_DEBT_ISSUED",IQ_FY-7), _xll.ciqfunctions.udf.CIQ(A3153, "IQ_TOTAL_DEBT_ISSUED",IQ_FY-6))</f>
        <v>0</v>
      </c>
      <c r="N3156" s="17">
        <f>IF(A3161=A3162,_xll.ciqfunctions.udf.CIQ(A3153,"IQ_TOTAL_DEBT_REPAID",IQ_FY-7), _xll.ciqfunctions.udf.CIQ(A3153, "IQ_TOTAL_DEBT_REPAID",IQ_FY-6))</f>
        <v>-0.17199999999999999</v>
      </c>
      <c r="O3156" s="15">
        <f t="shared" si="841"/>
        <v>-1.5041157679429203E-2</v>
      </c>
      <c r="P3156" s="15">
        <f t="shared" si="842"/>
        <v>9.451443732515747</v>
      </c>
      <c r="Q3156" s="25" t="s">
        <v>23</v>
      </c>
      <c r="R3156" s="38" t="s">
        <v>24</v>
      </c>
      <c r="S3156" s="1" t="e">
        <f>R3152/(AVERAGE(H3158:H3163)*(1+H3164)/(0.5-H3164))</f>
        <v>#DIV/0!</v>
      </c>
      <c r="U3156" s="25" t="s">
        <v>40</v>
      </c>
      <c r="V3156" s="38" t="s">
        <v>24</v>
      </c>
      <c r="W3156" s="1" t="e">
        <f>V3152/(AVERAGE(H3158:H3163)*(1+H3164)/(0.5-H3164))</f>
        <v>#DIV/0!</v>
      </c>
      <c r="Y3156" s="25" t="s">
        <v>47</v>
      </c>
      <c r="Z3156" s="38" t="s">
        <v>24</v>
      </c>
      <c r="AA3156" s="1" t="e">
        <f>Z3152/(AVERAGE(H3158:H3163)*(1+H3164)/(0.5-H3164))</f>
        <v>#DIV/0!</v>
      </c>
    </row>
    <row r="3157" spans="1:27">
      <c r="B3157" s="13">
        <v>5</v>
      </c>
      <c r="C3157" s="14" t="s">
        <v>25</v>
      </c>
      <c r="D3157" s="15" cm="1">
        <f t="array" ref="D3157">_xlfn.SINGLE(IF(A3161=A3162,_xll.ciqfunctions.udf.CIQ(A3153,"IQ_TOTAL_REV",IQ_FY-6)/I3157, _xll.ciqfunctions.udf.CIQ(A3153, "IQ_TOTAL_REV",IQ_FY-5)/I3157))</f>
        <v>44.015326299752168</v>
      </c>
      <c r="E3157" s="16">
        <f t="shared" si="843"/>
        <v>-1.9978970183760002E-2</v>
      </c>
      <c r="F3157" s="15">
        <f>IF(A3161=A3162,_xll.ciqfunctions.udf.CIQ(A3153,"IQ_DILUT_EPS_EXCL",IQ_FY-6), _xll.ciqfunctions.udf.CIQ(A3153, "IQ_DILUT_EPS_EXCL",IQ_FY-5))</f>
        <v>1.5757300000000001</v>
      </c>
      <c r="G3157" s="15">
        <f>IF(A3161=A3162,_xll.ciqfunctions.udf.CIQ(A3153,"IQ_EBITDA_MARGIN",IQ_FY-6), _xll.ciqfunctions.udf.CIQ(A3153, "IQ_EBITDA_MARGIN",IQ_FY-5))</f>
        <v>17.615400000000001</v>
      </c>
      <c r="H3157" s="15">
        <f>IF(A3161=A3162,_xll.ciqfunctions.udf.CIQ(A3153,"IQ_TOTAL_DIV_PAID_CF",IQ_FY-6)/-I3157, _xll.ciqfunctions.udf.CIQ(A3153, "IQ_TOTAL_DIV_PAID_CF",IQ_FY-5)/-I3157)</f>
        <v>0</v>
      </c>
      <c r="I3157" s="17">
        <f>IF(A3161=A3162,_xll.ciqfunctions.udf.CIQ(A3153,"IQ_TOTAL_OUTSTANDING_FILING_DATE",IQ_FY-6), _xll.ciqfunctions.udf.CIQ(A3153, "IQ_TOTAL_OUTSTANDING_FILING_DATE",IQ_FY-5))</f>
        <v>11.44699</v>
      </c>
      <c r="J3157" s="17">
        <f>IF(A3161=A3162,_xll.ciqfunctions.udf.CIQ(A3153,"IQ_CASH_OPER",IQ_FY-6), _xll.ciqfunctions.udf.CIQ(A3153, "IQ_CASH_OPER",IQ_FY-5))</f>
        <v>78.322000000000003</v>
      </c>
      <c r="K3157" s="17">
        <f>IF(A3161=A3162,_xll.ciqfunctions.udf.CIQ(A3153,"IQ_CAPEX",IQ_FY-6), _xll.ciqfunctions.udf.CIQ(A3153, "IQ_CAPEX",IQ_FY-5))</f>
        <v>-3.9820000000000002</v>
      </c>
      <c r="L3157" s="15">
        <f t="shared" si="840"/>
        <v>6.4942836501123882</v>
      </c>
      <c r="M3157" s="17">
        <f>IF(A3161=A3162,_xll.ciqfunctions.udf.CIQ(A3153,"IQ_TOTAL_DEBT_ISSUED",IQ_FY-6), _xll.ciqfunctions.udf.CIQ(A3153, "IQ_TOTAL_DEBT_ISSUED",IQ_FY-5))</f>
        <v>0</v>
      </c>
      <c r="N3157" s="17">
        <f>IF(A3161=A3162,_xll.ciqfunctions.udf.CIQ(A3153,"IQ_TOTAL_DEBT_REPAID",IQ_FY-6), _xll.ciqfunctions.udf.CIQ(A3153, "IQ_TOTAL_DEBT_REPAID",IQ_FY-5))</f>
        <v>-2.1000000000000001E-2</v>
      </c>
      <c r="O3157" s="15">
        <f t="shared" si="841"/>
        <v>-1.8345434039865503E-3</v>
      </c>
      <c r="P3157" s="15">
        <f t="shared" si="842"/>
        <v>6.4924491067084018</v>
      </c>
      <c r="Q3157" s="18"/>
      <c r="R3157" s="38" t="s">
        <v>50</v>
      </c>
      <c r="S3157" s="3">
        <f>I3164</f>
        <v>7.1542958181648464E-2</v>
      </c>
      <c r="U3157" s="18"/>
      <c r="V3157" s="38" t="s">
        <v>50</v>
      </c>
      <c r="W3157" s="3">
        <f>I3164</f>
        <v>7.1542958181648464E-2</v>
      </c>
      <c r="Y3157" s="18"/>
      <c r="Z3157" s="38" t="s">
        <v>50</v>
      </c>
      <c r="AA3157" s="3">
        <f>I3164</f>
        <v>7.1542958181648464E-2</v>
      </c>
    </row>
    <row r="3158" spans="1:27">
      <c r="B3158" s="13">
        <v>6</v>
      </c>
      <c r="C3158" s="14" t="s">
        <v>26</v>
      </c>
      <c r="D3158" s="15" cm="1">
        <f t="array" ref="D3158">_xlfn.SINGLE(IF(A3161=A3162,_xll.ciqfunctions.udf.CIQ(A3153,"IQ_TOTAL_REV",IQ_FY-5)/I3158, _xll.ciqfunctions.udf.CIQ(A3153, "IQ_TOTAL_REV",IQ_FY-4)/I3158))</f>
        <v>48.422732425476433</v>
      </c>
      <c r="E3158" s="16">
        <f t="shared" si="843"/>
        <v>0.1001334420585468</v>
      </c>
      <c r="F3158" s="15">
        <f>IF(A3161=A3162,_xll.ciqfunctions.udf.CIQ(A3153,"IQ_DILUT_EPS_EXCL",IQ_FY-5), _xll.ciqfunctions.udf.CIQ(A3153, "IQ_DILUT_EPS_EXCL",IQ_FY-4))</f>
        <v>1.97</v>
      </c>
      <c r="G3158" s="15">
        <f>IF(A3161=A3162,_xll.ciqfunctions.udf.CIQ(A3153,"IQ_EBITDA_MARGIN",IQ_FY-5), _xll.ciqfunctions.udf.CIQ(A3153, "IQ_EBITDA_MARGIN",IQ_FY-4))</f>
        <v>1.0412999999999999</v>
      </c>
      <c r="H3158" s="15">
        <f>IF(A3161=A3162,_xll.ciqfunctions.udf.CIQ(A3153,"IQ_TOTAL_DIV_PAID_CF",IQ_FY-5)/-I3158, _xll.ciqfunctions.udf.CIQ(A3153, "IQ_TOTAL_DIV_PAID_CF",IQ_FY-4)/-I3158)</f>
        <v>0</v>
      </c>
      <c r="I3158" s="17">
        <f>IF(A3161=A3162,_xll.ciqfunctions.udf.CIQ(A3153,"IQ_TOTAL_OUTSTANDING_FILING_DATE",IQ_FY-5), _xll.ciqfunctions.udf.CIQ(A3153, "IQ_TOTAL_OUTSTANDING_FILING_DATE",IQ_FY-4))</f>
        <v>10.276949999999999</v>
      </c>
      <c r="J3158" s="17">
        <f>IF(A3161=A3162,_xll.ciqfunctions.udf.CIQ(A3153,"IQ_CASH_OPER",IQ_FY-5), _xll.ciqfunctions.udf.CIQ(A3153, "IQ_CASH_OPER",IQ_FY-4))</f>
        <v>10.627000000000001</v>
      </c>
      <c r="K3158" s="17">
        <f>IF(A3161=A3162,_xll.ciqfunctions.udf.CIQ(A3153,"IQ_CAPEX",IQ_FY-5), _xll.ciqfunctions.udf.CIQ(A3153, "IQ_CAPEX",IQ_FY-4))</f>
        <v>-6.8460000000000001</v>
      </c>
      <c r="L3158" s="15">
        <f t="shared" si="840"/>
        <v>0.36791071280876142</v>
      </c>
      <c r="M3158" s="17">
        <f>IF(A3161=A3162,_xll.ciqfunctions.udf.CIQ(A3153,"IQ_TOTAL_DEBT_ISSUED",IQ_FY-5), _xll.ciqfunctions.udf.CIQ(A3153, "IQ_TOTAL_DEBT_ISSUED",IQ_FY-4))</f>
        <v>0</v>
      </c>
      <c r="N3158" s="17">
        <f>IF(A3161=A3162,_xll.ciqfunctions.udf.CIQ(A3153,"IQ_TOTAL_DEBT_REPAID",IQ_FY-5), _xll.ciqfunctions.udf.CIQ(A3153, "IQ_TOTAL_DEBT_REPAID",IQ_FY-4))</f>
        <v>-8.9999999999999993E-3</v>
      </c>
      <c r="O3158" s="15">
        <f t="shared" si="841"/>
        <v>-8.7574620874870457E-4</v>
      </c>
      <c r="P3158" s="15">
        <f t="shared" si="842"/>
        <v>0.36703496660001272</v>
      </c>
      <c r="Q3158" s="25" t="s">
        <v>27</v>
      </c>
      <c r="R3158" s="38" t="s">
        <v>51</v>
      </c>
      <c r="S3158" s="4">
        <f>AVERAGE(F3158:F3163)/AVERAGE(D3158:D3163)</f>
        <v>-0.63611777948956361</v>
      </c>
      <c r="U3158" s="25" t="s">
        <v>58</v>
      </c>
      <c r="V3158" s="38" t="s">
        <v>51</v>
      </c>
      <c r="W3158" s="4">
        <f>AVERAGE(F3158:F3163)/AVERAGE(D3158:D3163)</f>
        <v>-0.63611777948956361</v>
      </c>
      <c r="Y3158" s="25" t="s">
        <v>56</v>
      </c>
      <c r="Z3158" s="38" t="s">
        <v>51</v>
      </c>
      <c r="AA3158" s="4">
        <f>AVERAGE(F3158:F3163)/AVERAGE(D3158:D3163)</f>
        <v>-0.63611777948956361</v>
      </c>
    </row>
    <row r="3159" spans="1:27">
      <c r="A3159" s="18"/>
      <c r="B3159" s="13">
        <v>7</v>
      </c>
      <c r="C3159" s="14" t="s">
        <v>28</v>
      </c>
      <c r="D3159" s="15" cm="1">
        <f t="array" ref="D3159">_xlfn.SINGLE(IF(A3161=A3162,_xll.ciqfunctions.udf.CIQ(A3153,"IQ_TOTAL_REV",IQ_FY-4)/I3159, _xll.ciqfunctions.udf.CIQ(A3153, "IQ_TOTAL_REV",IQ_FY-3)/I3159))</f>
        <v>48.127315064507606</v>
      </c>
      <c r="E3159" s="16">
        <f t="shared" si="843"/>
        <v>-6.1007990704258618E-3</v>
      </c>
      <c r="F3159" s="15">
        <f>IF(A3161=A3162,_xll.ciqfunctions.udf.CIQ(A3153,"IQ_DILUT_EPS_EXCL",IQ_FY-4), _xll.ciqfunctions.udf.CIQ(A3153, "IQ_DILUT_EPS_EXCL",IQ_FY-3))</f>
        <v>3.33</v>
      </c>
      <c r="G3159" s="15">
        <f>IF(A3161=A3162,_xll.ciqfunctions.udf.CIQ(A3153,"IQ_EBITDA_MARGIN",IQ_FY-4), _xll.ciqfunctions.udf.CIQ(A3153, "IQ_EBITDA_MARGIN",IQ_FY-3))</f>
        <v>1.5609999999999999</v>
      </c>
      <c r="H3159" s="15">
        <f>IF(A3161=A3162,_xll.ciqfunctions.udf.CIQ(A3153,"IQ_TOTAL_DIV_PAID_CF",IQ_FY-4)/-I3159, _xll.ciqfunctions.udf.CIQ(A3153, "IQ_TOTAL_DIV_PAID_CF",IQ_FY-3)/-I3159)</f>
        <v>0</v>
      </c>
      <c r="I3159" s="17">
        <f>IF(A3161=A3162,_xll.ciqfunctions.udf.CIQ(A3153,"IQ_TOTAL_OUTSTANDING_FILING_DATE",IQ_FY-4), _xll.ciqfunctions.udf.CIQ(A3153, "IQ_TOTAL_OUTSTANDING_FILING_DATE",IQ_FY-3))</f>
        <v>10.10501</v>
      </c>
      <c r="J3159" s="17">
        <f>IF(A3161=A3162,_xll.ciqfunctions.udf.CIQ(A3153,"IQ_CASH_OPER",IQ_FY-4), _xll.ciqfunctions.udf.CIQ(A3153, "IQ_CASH_OPER",IQ_FY-3))</f>
        <v>60.866999999999997</v>
      </c>
      <c r="K3159" s="17">
        <f>IF(A3161=A3162,_xll.ciqfunctions.udf.CIQ(A3153,"IQ_CAPEX",IQ_FY-4), _xll.ciqfunctions.udf.CIQ(A3153, "IQ_CAPEX",IQ_FY-3))</f>
        <v>-10.182</v>
      </c>
      <c r="L3159" s="15">
        <f t="shared" si="840"/>
        <v>5.0158287819606313</v>
      </c>
      <c r="M3159" s="17">
        <f>IF(A3161=A3162,_xll.ciqfunctions.udf.CIQ(A3153,"IQ_TOTAL_DEBT_ISSUED",IQ_FY-4), _xll.ciqfunctions.udf.CIQ(A3153, "IQ_TOTAL_DEBT_ISSUED",IQ_FY-3))</f>
        <v>0</v>
      </c>
      <c r="N3159" s="17">
        <f>IF(A3161=A3162,_xll.ciqfunctions.udf.CIQ(A3153,"IQ_TOTAL_DEBT_REPAID",IQ_FY-4), _xll.ciqfunctions.udf.CIQ(A3153, "IQ_TOTAL_DEBT_REPAID",IQ_FY-3))</f>
        <v>0</v>
      </c>
      <c r="O3159" s="15">
        <f t="shared" si="841"/>
        <v>0</v>
      </c>
      <c r="P3159" s="15">
        <f t="shared" si="842"/>
        <v>5.0158287819606313</v>
      </c>
      <c r="Q3159" s="18"/>
      <c r="R3159" s="38" t="s">
        <v>29</v>
      </c>
      <c r="S3159" s="4">
        <f>(AVERAGE(P3158:P3163)/_xlfn.STDEV.P(P3158:P3163))/(IF(A3161=A3162,(_xlfn.SINGLE(_xll.ciqfunctions.udf.CIQ(A3153,"IQ_total_assets",IQ_FY)) - _xlfn.SINGLE(_xll.ciqfunctions.udf.CIQ(A3153,"iq_gw_intan", IQ_FY)))/I3163, (_xlfn.SINGLE(_xll.ciqfunctions.udf.CIQ(A3153, "IQ_total_assets",IQ_LTM))-_xlfn.SINGLE(_xll.ciqfunctions.udf.CIQ(A3153,"iq_gw_intan",IQ_LTM)))/I3163))</f>
        <v>2.875318183211917E-3</v>
      </c>
      <c r="U3159" s="18"/>
      <c r="V3159" s="38" t="s">
        <v>29</v>
      </c>
      <c r="W3159" s="4">
        <f>(AVERAGE(P3158:P3163)/_xlfn.STDEV.P(P3158:P3163))/(IF(A3161=A3162,(_xlfn.SINGLE(_xll.ciqfunctions.udf.CIQ(A3153,"IQ_total_assets",IQ_FY)) - _xlfn.SINGLE(_xll.ciqfunctions.udf.CIQ(A3153,"iq_gw_intan", IQ_FY)))/I3163, (_xlfn.SINGLE(_xll.ciqfunctions.udf.CIQ(A3153, "IQ_total_assets",IQ_LTM))-_xlfn.SINGLE(_xll.ciqfunctions.udf.CIQ(A3153,"iq_gw_intan",IQ_LTM)))/I3163))</f>
        <v>2.875318183211917E-3</v>
      </c>
      <c r="Y3159" s="18"/>
      <c r="Z3159" s="38" t="s">
        <v>29</v>
      </c>
      <c r="AA3159" s="4">
        <f>(AVERAGE(P3158:P3163)/_xlfn.STDEV.P(P3158:P3163))/(IF(A3161=A3162,(_xlfn.SINGLE(_xll.ciqfunctions.udf.CIQ(A3153,"IQ_total_assets",IQ_FY)) - _xlfn.SINGLE(_xll.ciqfunctions.udf.CIQ(A3153,"iq_gw_intan", IQ_FY)))/I3163, (_xlfn.SINGLE(_xll.ciqfunctions.udf.CIQ(A3153, "IQ_total_assets",IQ_LTM))-_xlfn.SINGLE(_xll.ciqfunctions.udf.CIQ(A3153,"iq_gw_intan",IQ_LTM)))/I3163))</f>
        <v>2.875318183211917E-3</v>
      </c>
    </row>
    <row r="3160" spans="1:27">
      <c r="A3160" s="18"/>
      <c r="B3160" s="13">
        <v>8</v>
      </c>
      <c r="C3160" s="14" t="s">
        <v>30</v>
      </c>
      <c r="D3160" s="15" cm="1">
        <f t="array" ref="D3160">_xlfn.SINGLE(IF(A3161=A3162,_xll.ciqfunctions.udf.CIQ(A3153,"IQ_TOTAL_REV",IQ_FY-3)/I3160, _xll.ciqfunctions.udf.CIQ(A3153, "IQ_TOTAL_REV",IQ_FY-2)/I3160))</f>
        <v>50.144361855926029</v>
      </c>
      <c r="E3160" s="16">
        <f t="shared" si="843"/>
        <v>4.1910644479436834E-2</v>
      </c>
      <c r="F3160" s="15">
        <f>IF(A3161=A3162,_xll.ciqfunctions.udf.CIQ(A3153,"IQ_DILUT_EPS_EXCL",IQ_FY-3), _xll.ciqfunctions.udf.CIQ(A3153, "IQ_DILUT_EPS_EXCL",IQ_FY-2))</f>
        <v>-0.78</v>
      </c>
      <c r="G3160" s="15">
        <f>IF(A3161=A3162,_xll.ciqfunctions.udf.CIQ(A3153,"IQ_EBITDA_MARGIN",IQ_FY-3), _xll.ciqfunctions.udf.CIQ(A3153, "IQ_EBITDA_MARGIN",IQ_FY-2))</f>
        <v>-6.0900000000000003E-2</v>
      </c>
      <c r="H3160" s="15">
        <f>IF(A3161=A3162,_xll.ciqfunctions.udf.CIQ(A3153,"IQ_TOTAL_DIV_PAID_CF",IQ_FY-3)/-I3160, _xll.ciqfunctions.udf.CIQ(A3153, "IQ_TOTAL_DIV_PAID_CF",IQ_FY-2)/-I3160)</f>
        <v>0</v>
      </c>
      <c r="I3160" s="17">
        <f>IF(A3161=A3162,_xll.ciqfunctions.udf.CIQ(A3153,"IQ_TOTAL_OUTSTANDING_FILING_DATE",IQ_FY-3), _xll.ciqfunctions.udf.CIQ(A3153, "IQ_TOTAL_OUTSTANDING_FILING_DATE",IQ_FY-2))</f>
        <v>9.5870200000000008</v>
      </c>
      <c r="J3160" s="17">
        <f>IF(A3161=A3162,_xll.ciqfunctions.udf.CIQ(A3153,"IQ_CASH_OPER",IQ_FY-3), _xll.ciqfunctions.udf.CIQ(A3153, "IQ_CASH_OPER",IQ_FY-2))</f>
        <v>53.619</v>
      </c>
      <c r="K3160" s="17">
        <f>IF(A3161=A3162,_xll.ciqfunctions.udf.CIQ(A3153,"IQ_CAPEX",IQ_FY-3), _xll.ciqfunctions.udf.CIQ(A3153, "IQ_CAPEX",IQ_FY-2))</f>
        <v>-3.6509999999999998</v>
      </c>
      <c r="L3160" s="15">
        <f t="shared" si="840"/>
        <v>5.2120471220462665</v>
      </c>
      <c r="M3160" s="17">
        <f>IF(A3161=A3162,_xll.ciqfunctions.udf.CIQ(A3153,"IQ_TOTAL_DEBT_ISSUED",IQ_FY-3), _xll.ciqfunctions.udf.CIQ(A3153, "IQ_TOTAL_DEBT_ISSUED",IQ_FY-2))</f>
        <v>496.47300000000001</v>
      </c>
      <c r="N3160" s="17">
        <f>IF(A3161=A3162,_xll.ciqfunctions.udf.CIQ(A3153,"IQ_TOTAL_DEBT_REPAID",IQ_FY-3), _xll.ciqfunctions.udf.CIQ(A3153, "IQ_TOTAL_DEBT_REPAID",IQ_FY-2))</f>
        <v>0</v>
      </c>
      <c r="O3160" s="15">
        <f t="shared" si="841"/>
        <v>51.785956428587816</v>
      </c>
      <c r="P3160" s="15">
        <f t="shared" si="842"/>
        <v>56.998003550634081</v>
      </c>
      <c r="Q3160" s="18"/>
      <c r="R3160" s="39" t="s">
        <v>31</v>
      </c>
      <c r="S3160" s="5">
        <f>IF(NOT(D3153&gt;0),FALSE,SLOPE(G3153:G3163,B3153:B3163))</f>
        <v>-17.529268181818182</v>
      </c>
      <c r="U3160" s="18"/>
      <c r="V3160" s="39" t="s">
        <v>31</v>
      </c>
      <c r="W3160" s="5">
        <f>IF(NOT(D3153&gt;0),FALSE,SLOPE(G3153:G3163,B3153:B3163))</f>
        <v>-17.529268181818182</v>
      </c>
      <c r="Y3160" s="18"/>
      <c r="Z3160" s="39" t="s">
        <v>31</v>
      </c>
      <c r="AA3160" s="5">
        <f>IF(NOT(L3153&gt;0),FALSE,SLOPE(O3153:O3163,J3153:J3163))</f>
        <v>0.20482729419554094</v>
      </c>
    </row>
    <row r="3161" spans="1:27">
      <c r="A3161" s="19">
        <f>_xll.ciqfunctions.udf.CIQ(A3153,"IQ_TOTAL_REV",IQ_FY)</f>
        <v>499.26400000000001</v>
      </c>
      <c r="B3161" s="13">
        <v>9</v>
      </c>
      <c r="C3161" s="14" t="s">
        <v>32</v>
      </c>
      <c r="D3161" s="15" cm="1">
        <f t="array" ref="D3161">_xlfn.SINGLE(IF(A3161=A3162,_xll.ciqfunctions.udf.CIQ(A3153,"IQ_TOTAL_REV",IQ_FY-2)/I3161, _xll.ciqfunctions.udf.CIQ(A3153, "IQ_TOTAL_REV",IQ_FY-1)/I3161))</f>
        <v>45.258572565309933</v>
      </c>
      <c r="E3161" s="16">
        <f t="shared" si="843"/>
        <v>-9.7434469395659404E-2</v>
      </c>
      <c r="F3161" s="15">
        <f>IF(A3161=A3162,_xll.ciqfunctions.udf.CIQ(A3153,"IQ_DILUT_EPS_EXCL",IQ_FY-2), _xll.ciqfunctions.udf.CIQ(A3153, "IQ_DILUT_EPS_EXCL",IQ_FY-1))</f>
        <v>-53.441119999999998</v>
      </c>
      <c r="G3161" s="15">
        <f>IF(A3161=A3162,_xll.ciqfunctions.udf.CIQ(A3153,"IQ_EBITDA_MARGIN",IQ_FY-2), _xll.ciqfunctions.udf.CIQ(A3153, "IQ_EBITDA_MARGIN",IQ_FY-1))</f>
        <v>-151.37549999999999</v>
      </c>
      <c r="H3161" s="15">
        <f>IF(A3161=A3162,_xll.ciqfunctions.udf.CIQ(A3153,"IQ_TOTAL_DIV_PAID_CF",IQ_FY-2)/-I3161, _xll.ciqfunctions.udf.CIQ(A3153, "IQ_TOTAL_DIV_PAID_CF",IQ_FY-1)/-I3161)</f>
        <v>0</v>
      </c>
      <c r="I3161" s="17">
        <f>IF(A3161=A3162,_xll.ciqfunctions.udf.CIQ(A3153,"IQ_TOTAL_OUTSTANDING_FILING_DATE",IQ_FY-2), _xll.ciqfunctions.udf.CIQ(A3153, "IQ_TOTAL_OUTSTANDING_FILING_DATE",IQ_FY-1))</f>
        <v>11.28542</v>
      </c>
      <c r="J3161" s="17">
        <f>IF(A3161=A3162,_xll.ciqfunctions.udf.CIQ(A3153,"IQ_CASH_OPER",IQ_FY-2), _xll.ciqfunctions.udf.CIQ(A3153, "IQ_CASH_OPER",IQ_FY-1))</f>
        <v>93.832999999999998</v>
      </c>
      <c r="K3161" s="17">
        <f>IF(A3161=A3162,_xll.ciqfunctions.udf.CIQ(A3153,"IQ_CAPEX",IQ_FY-2), _xll.ciqfunctions.udf.CIQ(A3153, "IQ_CAPEX",IQ_FY-1))</f>
        <v>-2.706</v>
      </c>
      <c r="L3161" s="15">
        <f t="shared" si="840"/>
        <v>8.0747548606963662</v>
      </c>
      <c r="M3161" s="17">
        <f>IF(A3161=A3162,_xll.ciqfunctions.udf.CIQ(A3153,"IQ_TOTAL_DEBT_ISSUED",IQ_FY-2), _xll.ciqfunctions.udf.CIQ(A3153, "IQ_TOTAL_DEBT_ISSUED",IQ_FY-1))</f>
        <v>1550</v>
      </c>
      <c r="N3161" s="17">
        <f>IF(A3161=A3162,_xll.ciqfunctions.udf.CIQ(A3153,"IQ_TOTAL_DEBT_REPAID",IQ_FY-2), _xll.ciqfunctions.udf.CIQ(A3153, "IQ_TOTAL_DEBT_REPAID",IQ_FY-1))</f>
        <v>0</v>
      </c>
      <c r="O3161" s="15">
        <f t="shared" si="841"/>
        <v>137.34535356238402</v>
      </c>
      <c r="P3161" s="15">
        <f t="shared" si="842"/>
        <v>145.42010842308039</v>
      </c>
      <c r="Q3161" s="25" t="s">
        <v>33</v>
      </c>
      <c r="R3161" s="38" t="s">
        <v>52</v>
      </c>
      <c r="S3161" s="4">
        <f>(AVERAGE(O3158:O3163)/AVERAGE(P3158:P3163))</f>
        <v>0.91595591232391471</v>
      </c>
      <c r="U3161" s="25" t="s">
        <v>54</v>
      </c>
      <c r="V3161" s="38" t="s">
        <v>52</v>
      </c>
      <c r="W3161" s="4">
        <f>(AVERAGE(O3158:O3163)/AVERAGE(P3158:P3163))</f>
        <v>0.91595591232391471</v>
      </c>
      <c r="Y3161" s="25" t="s">
        <v>60</v>
      </c>
      <c r="Z3161" s="38" t="s">
        <v>52</v>
      </c>
      <c r="AA3161" s="4">
        <f>(AVERAGE(O3158:O3163)/AVERAGE(P3158:P3163))</f>
        <v>0.91595591232391471</v>
      </c>
    </row>
    <row r="3162" spans="1:27">
      <c r="A3162" s="19">
        <f>_xll.ciqfunctions.udf.CIQ(A3153,"IQ_TOTAL_REV",IQ_LTM)</f>
        <v>504.33100000000002</v>
      </c>
      <c r="B3162" s="13">
        <v>10</v>
      </c>
      <c r="C3162" s="14" t="s">
        <v>34</v>
      </c>
      <c r="D3162" s="15" cm="1">
        <f t="array" ref="D3162">_xlfn.SINGLE(IF(A3161=A3162,_xll.ciqfunctions.udf.CIQ(A3153,"IQ_TOTAL_REV",IQ_FY-1)/I3162, _xll.ciqfunctions.udf.CIQ(A3153, "IQ_TOTAL_REV",IQ_FY)/I3162))</f>
        <v>43.230961592413387</v>
      </c>
      <c r="E3162" s="16">
        <f t="shared" si="843"/>
        <v>-4.4800594847984272E-2</v>
      </c>
      <c r="F3162" s="15">
        <f>IF(A3161=A3162,_xll.ciqfunctions.udf.CIQ(A3153,"IQ_DILUT_EPS_EXCL",IQ_FY-1), _xll.ciqfunctions.udf.CIQ(A3153, "IQ_DILUT_EPS_EXCL",IQ_FY))</f>
        <v>-129.83000000000001</v>
      </c>
      <c r="G3162" s="15">
        <f>IF(A3161=A3162,_xll.ciqfunctions.udf.CIQ(A3153,"IQ_EBITDA_MARGIN",IQ_FY-1), _xll.ciqfunctions.udf.CIQ(A3153, "IQ_EBITDA_MARGIN",IQ_FY))</f>
        <v>-253.34649999999999</v>
      </c>
      <c r="H3162" s="15">
        <f>IF(A3161=A3162,_xll.ciqfunctions.udf.CIQ(A3153,"IQ_TOTAL_DIV_PAID_CF",IQ_FY-1)/-I3162, _xll.ciqfunctions.udf.CIQ(A3153, "IQ_TOTAL_DIV_PAID_CF",IQ_FY)/-I3162)</f>
        <v>0</v>
      </c>
      <c r="I3162" s="17">
        <f>IF(A3161=A3162,_xll.ciqfunctions.udf.CIQ(A3153,"IQ_TOTAL_OUTSTANDING_FILING_DATE",IQ_FY-1), _xll.ciqfunctions.udf.CIQ(A3153, "IQ_TOTAL_OUTSTANDING_FILING_DATE",IQ_FY))</f>
        <v>11.54876</v>
      </c>
      <c r="J3162" s="17">
        <f>IF(A3161=A3162,_xll.ciqfunctions.udf.CIQ(A3153,"IQ_CASH_OPER",IQ_FY-1), _xll.ciqfunctions.udf.CIQ(A3153, "IQ_CASH_OPER",IQ_FY))</f>
        <v>3.2109999999999999</v>
      </c>
      <c r="K3162" s="17">
        <f>IF(A3161=A3162,_xll.ciqfunctions.udf.CIQ(A3153,"IQ_CAPEX",IQ_FY-1), _xll.ciqfunctions.udf.CIQ(A3153, "IQ_CAPEX",IQ_FY))</f>
        <v>-2.4860000000000002</v>
      </c>
      <c r="L3162" s="15">
        <f t="shared" si="840"/>
        <v>6.2777302498276844E-2</v>
      </c>
      <c r="M3162" s="17">
        <f>IF(A3161=A3162,_xll.ciqfunctions.udf.CIQ(A3153,"IQ_TOTAL_DEBT_ISSUED",IQ_FY-1), _xll.ciqfunctions.udf.CIQ(A3153, "IQ_TOTAL_DEBT_ISSUED",IQ_FY))</f>
        <v>215.79300000000001</v>
      </c>
      <c r="N3162" s="17">
        <f>IF(A3161=A3162,_xll.ciqfunctions.udf.CIQ(A3153,"IQ_TOTAL_DEBT_REPAID",IQ_FY-1), _xll.ciqfunctions.udf.CIQ(A3153, "IQ_TOTAL_DEBT_REPAID",IQ_FY))</f>
        <v>-0.246</v>
      </c>
      <c r="O3162" s="15">
        <f t="shared" si="841"/>
        <v>18.664081684960117</v>
      </c>
      <c r="P3162" s="15">
        <f t="shared" si="842"/>
        <v>18.726858987458392</v>
      </c>
      <c r="Q3162" s="25" t="s">
        <v>44</v>
      </c>
      <c r="R3162" s="38" t="s">
        <v>35</v>
      </c>
      <c r="S3162" s="1" t="str">
        <f>_xll.ciqfunctions.udf.CIQ(A3153,"IQ_TEV_EBITDA")</f>
        <v>NM</v>
      </c>
      <c r="U3162" s="25" t="s">
        <v>55</v>
      </c>
      <c r="V3162" s="38" t="s">
        <v>53</v>
      </c>
      <c r="W3162" s="1">
        <f>V3152/(AVERAGE(D3158:D3163)/_xlfn.STDEV.P(E3158:E3163))</f>
        <v>1.0839147991556539</v>
      </c>
      <c r="Y3162" s="25" t="s">
        <v>57</v>
      </c>
      <c r="Z3162" s="38" t="s">
        <v>53</v>
      </c>
      <c r="AA3162" s="1">
        <f>Z3152/(AVERAGE(D3158:D3163)/_xlfn.STDEV.P(E3158:E3163))</f>
        <v>1.0839147991556539</v>
      </c>
    </row>
    <row r="3163" spans="1:27">
      <c r="B3163" s="13">
        <v>11</v>
      </c>
      <c r="C3163" s="20" t="s">
        <v>36</v>
      </c>
      <c r="D3163" s="21" cm="1">
        <f t="array" ref="D3163">_xlfn.SINGLE(IF(A3161=A3162,_xll.ciqfunctions.udf.CIQ(A3153,"IQ_TOTAL_REV",IQ_FY)/I3163, _xll.ciqfunctions.udf.CIQ(A3153, "IQ_TOTAL_REV",IQ_LTM)/I3163))</f>
        <v>34.737894143756314</v>
      </c>
      <c r="E3163" s="22">
        <f t="shared" si="843"/>
        <v>-0.19645798140533435</v>
      </c>
      <c r="F3163" s="21">
        <f>IF(A3161=A3162,_xll.ciqfunctions.udf.CIQ(A3153,"IQ_DILUT_EPS_EXCL",IQ_FY), _xll.ciqfunctions.udf.CIQ(A3153, "IQ_DILUT_EPS_EXCL",IQ_LTM))</f>
        <v>7.0490399999999998</v>
      </c>
      <c r="G3163" s="21">
        <f>IF(A3161=A3162,_xll.ciqfunctions.udf.CIQ(A3153,"IQ_EBITDA_MARGIN",IQ_FY), _xll.ciqfunctions.udf.CIQ(A3153, "IQ_EBITDA_MARGIN",IQ_LTM))</f>
        <v>-50.089500000000001</v>
      </c>
      <c r="H3163" s="21">
        <f>IF(A3161=A3162,_xll.ciqfunctions.udf.CIQ(A3153,"IQ_TOTAL_DIV_PAID_CF",IQ_FY)/-I3163, _xll.ciqfunctions.udf.CIQ(A3153, "IQ_TOTAL_DIV_PAID_CF",IQ_LTM)/-I3163)</f>
        <v>0</v>
      </c>
      <c r="I3163" s="23">
        <f>IF(A3161=A3162,_xll.ciqfunctions.udf.CIQ(A3153,"IQ_TOTAL_OUTSTANDING_FILING_DATE",IQ_FY),_xll.ciqfunctions.udf.CIQ(A3153,"IQ_sharesoutstanding"))</f>
        <v>14.518179999999999</v>
      </c>
      <c r="J3163" s="23">
        <f>IF(A3161=A3162,_xll.ciqfunctions.udf.CIQ(A3153,"IQ_CASH_OPER",IQ_FY), _xll.ciqfunctions.udf.CIQ(A3153, "IQ_CASH_OPER",IQ_LTM))</f>
        <v>-6.67</v>
      </c>
      <c r="K3163" s="23">
        <f>IF(A3161=A3162,_xll.ciqfunctions.udf.CIQ(A3153,"IQ_CAPEX",IQ_FY), _xll.ciqfunctions.udf.CIQ(A3153, "IQ_CAPEX",IQ_LTM))</f>
        <v>-3.226</v>
      </c>
      <c r="L3163" s="21">
        <f t="shared" si="840"/>
        <v>-0.68162813796219646</v>
      </c>
      <c r="M3163" s="23">
        <f>IF(A3161=A3162,_xll.ciqfunctions.udf.CIQ(A3153,"IQ_TOTAL_DEBT_ISSUED",IQ_FY), _xll.ciqfunctions.udf.CIQ(A3153, "IQ_TOTAL_DEBT_ISSUED",IQ_LTM))</f>
        <v>0</v>
      </c>
      <c r="N3163" s="23">
        <f>IF(A3161=A3162,_xll.ciqfunctions.udf.CIQ(A3153,"IQ_TOTAL_DEBT_REPAID",IQ_FY), _xll.ciqfunctions.udf.CIQ(A3153, "IQ_TOTAL_DEBT_REPAID",IQ_LTM))</f>
        <v>-160.54</v>
      </c>
      <c r="O3163" s="21">
        <f t="shared" si="841"/>
        <v>-11.057859869487773</v>
      </c>
      <c r="P3163" s="21">
        <f t="shared" si="842"/>
        <v>-11.739488007449969</v>
      </c>
      <c r="Q3163" s="25" t="s">
        <v>45</v>
      </c>
      <c r="S3163" s="45"/>
      <c r="U3163" s="25"/>
      <c r="W3163" s="45"/>
      <c r="Y3163" s="25"/>
      <c r="AA3163" s="45"/>
    </row>
    <row r="3164" spans="1:27">
      <c r="B3164" s="24"/>
      <c r="C3164" s="25" t="s">
        <v>37</v>
      </c>
      <c r="E3164" s="26">
        <f>((D3163/D3158)^(1/5))-1</f>
        <v>-6.426938467093346E-2</v>
      </c>
      <c r="F3164" s="27">
        <f>((F3163/F3158)^(1/5))-1</f>
        <v>0.290424945078404</v>
      </c>
      <c r="G3164" s="28"/>
      <c r="H3164" s="27" t="e">
        <f>((H3163/H3158)^(1/5))-1</f>
        <v>#DIV/0!</v>
      </c>
      <c r="I3164" s="27">
        <f>((I3163/I3158)^(1/5))-1</f>
        <v>7.1542958181648464E-2</v>
      </c>
      <c r="J3164" s="27"/>
      <c r="K3164" s="27"/>
      <c r="L3164" s="26">
        <f>((L3163/L3158)^(1/5))-1</f>
        <v>-2.1312563115400245</v>
      </c>
      <c r="M3164" s="26"/>
      <c r="N3164" s="26"/>
      <c r="O3164" s="26"/>
      <c r="P3164" s="26">
        <f>((P3163/P3158)^(1/5))-1</f>
        <v>-2.9998081925286493</v>
      </c>
      <c r="Q3164" s="18"/>
      <c r="R3164" s="36"/>
      <c r="S3164" s="45"/>
      <c r="U3164" s="18"/>
      <c r="V3164" s="36"/>
      <c r="W3164" s="45"/>
      <c r="Y3164" s="18"/>
      <c r="Z3164" s="36"/>
      <c r="AA3164" s="45"/>
    </row>
    <row r="3165" spans="1:27">
      <c r="A3165" s="29"/>
      <c r="B3165" s="30"/>
      <c r="C3165" s="31" t="s">
        <v>38</v>
      </c>
      <c r="D3165" s="29"/>
      <c r="E3165" s="32">
        <f>((D3163/D3153)^(1/10))-1</f>
        <v>-3.7593855623665462E-2</v>
      </c>
      <c r="F3165" s="33">
        <f>((F3163/F3153)^(1/10))-1</f>
        <v>0.11612887432258634</v>
      </c>
      <c r="G3165" s="34"/>
      <c r="H3165" s="33" t="e">
        <f>((H3163/H3153)^(1/10))-1</f>
        <v>#DIV/0!</v>
      </c>
      <c r="I3165" s="33">
        <f>((I3163/I3153)^(1/10))-1</f>
        <v>2.53670950965732E-2</v>
      </c>
      <c r="J3165" s="33"/>
      <c r="K3165" s="33"/>
      <c r="L3165" s="32" t="e">
        <f>((L3163/L3153)^(1/10))-1</f>
        <v>#NUM!</v>
      </c>
      <c r="M3165" s="32"/>
      <c r="N3165" s="32"/>
      <c r="O3165" s="32"/>
      <c r="P3165" s="32" t="e">
        <f>((P3163/P3153)^(1/10))-1</f>
        <v>#NUM!</v>
      </c>
      <c r="Q3165" s="40"/>
      <c r="R3165" s="41"/>
      <c r="S3165" s="46"/>
      <c r="U3165" s="40"/>
      <c r="V3165" s="41"/>
      <c r="W3165" s="46"/>
      <c r="Y3165" s="40"/>
      <c r="Z3165" s="41"/>
      <c r="AA3165" s="46"/>
    </row>
    <row r="3166" spans="1:27">
      <c r="B3166" s="24"/>
      <c r="C3166" s="25"/>
      <c r="E3166" s="26"/>
      <c r="F3166" s="27"/>
      <c r="G3166" s="28"/>
      <c r="H3166" s="27"/>
      <c r="I3166" s="27"/>
      <c r="J3166" s="27"/>
      <c r="K3166" s="27"/>
      <c r="L3166" s="26"/>
      <c r="M3166" s="17"/>
      <c r="N3166" s="17"/>
      <c r="O3166" s="17"/>
      <c r="P3166" s="35"/>
      <c r="Q3166" s="18"/>
      <c r="R3166" s="36"/>
    </row>
    <row r="3167" spans="1:27">
      <c r="A3167" s="9" t="s">
        <v>0</v>
      </c>
      <c r="B3167" s="10"/>
      <c r="C3167" s="9" t="s">
        <v>1</v>
      </c>
      <c r="D3167" s="9" t="s">
        <v>2</v>
      </c>
      <c r="E3167" s="9" t="s">
        <v>3</v>
      </c>
      <c r="F3167" s="11" t="s">
        <v>4</v>
      </c>
      <c r="G3167" s="11" t="s">
        <v>5</v>
      </c>
      <c r="H3167" s="9" t="s">
        <v>6</v>
      </c>
      <c r="I3167" s="11" t="s">
        <v>7</v>
      </c>
      <c r="J3167" s="11" t="s">
        <v>8</v>
      </c>
      <c r="K3167" s="11" t="s">
        <v>9</v>
      </c>
      <c r="L3167" s="11" t="s">
        <v>10</v>
      </c>
      <c r="M3167" s="11" t="s">
        <v>11</v>
      </c>
      <c r="N3167" s="11" t="s">
        <v>12</v>
      </c>
      <c r="O3167" s="11" t="s">
        <v>13</v>
      </c>
      <c r="P3167" s="11" t="s">
        <v>14</v>
      </c>
      <c r="Q3167" s="37" t="s">
        <v>15</v>
      </c>
      <c r="R3167" s="42">
        <f>_xll.ciqfunctions.udf.CIQ(A3168,("IQ_LASTSALEPRICE"))</f>
        <v>33.71</v>
      </c>
      <c r="S3167" s="44"/>
      <c r="U3167" s="37" t="s">
        <v>15</v>
      </c>
      <c r="V3167" s="42">
        <f>_xll.ciqfunctions.udf.CIQ(A3168,("IQ_LASTSALEPRICE"))</f>
        <v>33.71</v>
      </c>
      <c r="W3167" s="44"/>
      <c r="Y3167" s="37" t="s">
        <v>15</v>
      </c>
      <c r="Z3167" s="42">
        <f>_xll.ciqfunctions.udf.CIQ(A3168,("IQ_LASTSALEPRICE"))</f>
        <v>33.71</v>
      </c>
      <c r="AA3167" s="44"/>
    </row>
    <row r="3168" spans="1:27">
      <c r="A3168" s="12" t="str">
        <f>Analysis!B213</f>
        <v>NYSE:RAMP</v>
      </c>
      <c r="B3168" s="13">
        <v>1</v>
      </c>
      <c r="C3168" s="14" t="s">
        <v>16</v>
      </c>
      <c r="D3168" s="15">
        <f>IF(A3176=A3177,_xll.ciqfunctions.udf.CIQ(A3168,"IQ_TOTAL_REV",IQ_FY-10)/I3168,_xll.ciqfunctions.udf.CIQ(A3168, "IQ_TOTAL_REV",IQ_FY-9)/I3168)</f>
        <v>10.462627967410624</v>
      </c>
      <c r="E3168" s="16"/>
      <c r="F3168" s="15">
        <f>IF(A3176=A3177,_xll.ciqfunctions.udf.CIQ(A3168,"IQ_DILUT_EPS_EXCL",IQ_FY-10), _xll.ciqfunctions.udf.CIQ(A3168, "IQ_DILUT_EPS_EXCL",IQ_FY-9))</f>
        <v>-0.23136000000000001</v>
      </c>
      <c r="G3168" s="15">
        <f>IF(A3176=A3177,_xll.ciqfunctions.udf.CIQ(A3168,"IQ_EBITDA_MARGIN",IQ_FY-10), _xll.ciqfunctions.udf.CIQ(A3168, "IQ_EBITDA_MARGIN",IQ_FY-9))</f>
        <v>10.7902</v>
      </c>
      <c r="H3168" s="15">
        <f>IF(A3176=A3177,_xll.ciqfunctions.udf.CIQ(A3168,"IQ_TOTAL_DIV_PAID_CF",IQ_FY-10)/-I3168, _xll.ciqfunctions.udf.CIQ(A3168, "IQ_TOTAL_DIV_PAID_CF",IQ_FY-9)/-I3168)</f>
        <v>0</v>
      </c>
      <c r="I3168" s="17">
        <f>IF(A3176=A3177,_xll.ciqfunctions.udf.CIQ(A3168,"IQ_TOTAL_OUTSTANDING_FILING_DATE",IQ_FY-10), _xll.ciqfunctions.udf.CIQ(A3168, "IQ_TOTAL_OUTSTANDING_FILING_DATE",IQ_FY-9))</f>
        <v>76.95514</v>
      </c>
      <c r="J3168" s="17">
        <f>IF(A3176=A3177,_xll.ciqfunctions.udf.CIQ(A3168,"IQ_CASH_OPER",IQ_FY-10), _xll.ciqfunctions.udf.CIQ(A3168, "IQ_CASH_OPER",IQ_FY-9))</f>
        <v>164.976</v>
      </c>
      <c r="K3168" s="17">
        <f>IF(A3176=A3177,_xll.ciqfunctions.udf.CIQ(A3168,"IQ_CAPEX",IQ_FY-10), _xll.ciqfunctions.udf.CIQ(A3168, "IQ_CAPEX",IQ_FY-9))</f>
        <v>-25.951000000000001</v>
      </c>
      <c r="L3168" s="15">
        <f t="shared" ref="L3168:L3178" si="844">(J3168+K3168)/I3168</f>
        <v>1.8065719846653518</v>
      </c>
      <c r="M3168" s="17">
        <f>IF(A3176=A3177,_xll.ciqfunctions.udf.CIQ(A3168,"IQ_TOTAL_DEBT_ISSUED",IQ_FY-10), _xll.ciqfunctions.udf.CIQ(A3168, "IQ_TOTAL_DEBT_ISSUED",IQ_FY-9))</f>
        <v>300</v>
      </c>
      <c r="N3168" s="17">
        <f>IF(A3176=A3177,_xll.ciqfunctions.udf.CIQ(A3168,"IQ_TOTAL_DEBT_REPAID",IQ_FY-10), _xll.ciqfunctions.udf.CIQ(A3168, "IQ_TOTAL_DEBT_REPAID",IQ_FY-9))</f>
        <v>-231.15100000000001</v>
      </c>
      <c r="O3168" s="15">
        <f t="shared" ref="O3168:O3178" si="845">(M3168+N3168)/I3168</f>
        <v>0.8946640861156252</v>
      </c>
      <c r="P3168" s="15">
        <f t="shared" ref="P3168:P3178" si="846">L3168+O3168</f>
        <v>2.7012360707809773</v>
      </c>
      <c r="W3168" s="43"/>
      <c r="AA3168" s="43"/>
    </row>
    <row r="3169" spans="1:27">
      <c r="A3169" s="18" t="str">
        <f>_xll.ciqfunctions.udf.CIQ(A3168,"IQ_COMPANY_NAME")</f>
        <v>LiveRamp Holdings, Inc.</v>
      </c>
      <c r="B3169" s="13">
        <v>2</v>
      </c>
      <c r="C3169" s="14" t="s">
        <v>17</v>
      </c>
      <c r="D3169" s="15">
        <f>IF(A3176=A3177,_xll.ciqfunctions.udf.CIQ(A3168,"IQ_TOTAL_REV",IQ_FY-9)/I3169, _xll.ciqfunctions.udf.CIQ(A3168, "IQ_TOTAL_REV",IQ_FY-8)/I3169)</f>
        <v>10.29642396996233</v>
      </c>
      <c r="E3169" s="16">
        <f t="shared" ref="E3169:E3178" si="847">(D3169-D3168)/D3168</f>
        <v>-1.5885492437081043E-2</v>
      </c>
      <c r="F3169" s="15">
        <f>IF(A3176=A3177,_xll.ciqfunctions.udf.CIQ(A3168,"IQ_DILUT_EPS_EXCL",IQ_FY-9), _xll.ciqfunctions.udf.CIQ(A3168, "IQ_DILUT_EPS_EXCL",IQ_FY-8))</f>
        <v>-0.34422999999999998</v>
      </c>
      <c r="G3169" s="15">
        <f>IF(A3176=A3177,_xll.ciqfunctions.udf.CIQ(A3168,"IQ_EBITDA_MARGIN",IQ_FY-9), _xll.ciqfunctions.udf.CIQ(A3168, "IQ_EBITDA_MARGIN",IQ_FY-8))</f>
        <v>5.0513000000000003</v>
      </c>
      <c r="H3169" s="15">
        <f>IF(A3176=A3177,_xll.ciqfunctions.udf.CIQ(A3168,"IQ_TOTAL_DIV_PAID_CF",IQ_FY-9)/-I3169, _xll.ciqfunctions.udf.CIQ(A3168, "IQ_TOTAL_DIV_PAID_CF",IQ_FY-8)/-I3169)</f>
        <v>0</v>
      </c>
      <c r="I3169" s="17">
        <f>IF(A3176=A3177,_xll.ciqfunctions.udf.CIQ(A3168,"IQ_TOTAL_OUTSTANDING_FILING_DATE",IQ_FY-9), _xll.ciqfunctions.udf.CIQ(A3168, "IQ_TOTAL_OUTSTANDING_FILING_DATE",IQ_FY-8))</f>
        <v>78.173839999999998</v>
      </c>
      <c r="J3169" s="17">
        <f>IF(A3176=A3177,_xll.ciqfunctions.udf.CIQ(A3168,"IQ_CASH_OPER",IQ_FY-9), _xll.ciqfunctions.udf.CIQ(A3168, "IQ_CASH_OPER",IQ_FY-8))</f>
        <v>104.98399999999999</v>
      </c>
      <c r="K3169" s="17">
        <f>IF(A3176=A3177,_xll.ciqfunctions.udf.CIQ(A3168,"IQ_CAPEX",IQ_FY-9), _xll.ciqfunctions.udf.CIQ(A3168, "IQ_CAPEX",IQ_FY-8))</f>
        <v>-56.951999999999998</v>
      </c>
      <c r="L3169" s="15">
        <f t="shared" si="844"/>
        <v>0.61442549067565311</v>
      </c>
      <c r="M3169" s="17">
        <f>IF(A3176=A3177,_xll.ciqfunctions.udf.CIQ(A3168,"IQ_TOTAL_DEBT_ISSUED",IQ_FY-9), _xll.ciqfunctions.udf.CIQ(A3168, "IQ_TOTAL_DEBT_ISSUED",IQ_FY-8))</f>
        <v>0</v>
      </c>
      <c r="N3169" s="17">
        <f>IF(A3176=A3177,_xll.ciqfunctions.udf.CIQ(A3168,"IQ_TOTAL_DEBT_REPAID",IQ_FY-9), _xll.ciqfunctions.udf.CIQ(A3168, "IQ_TOTAL_DEBT_REPAID",IQ_FY-8))</f>
        <v>-26.600999999999999</v>
      </c>
      <c r="O3169" s="15">
        <f t="shared" si="845"/>
        <v>-0.3402800732316591</v>
      </c>
      <c r="P3169" s="15">
        <f t="shared" si="846"/>
        <v>0.27414541744399401</v>
      </c>
      <c r="Q3169" s="25" t="s">
        <v>18</v>
      </c>
      <c r="R3169" s="39" t="s">
        <v>19</v>
      </c>
      <c r="S3169" s="1">
        <f>R3167/((AVERAGE(P3173:P3178))*(1+E3179)^3)</f>
        <v>-15.807641910465206</v>
      </c>
      <c r="U3169" s="25" t="s">
        <v>48</v>
      </c>
      <c r="V3169" s="39" t="s">
        <v>19</v>
      </c>
      <c r="W3169" s="1">
        <f>V3167/((AVERAGE(P3173:P3178))*(1+E3179)^3)</f>
        <v>-15.807641910465206</v>
      </c>
      <c r="Y3169" s="25" t="s">
        <v>39</v>
      </c>
      <c r="Z3169" s="39" t="s">
        <v>19</v>
      </c>
      <c r="AA3169" s="1">
        <f>Z3167/((AVERAGE(P3173:P3178))*(1+E3179)^3)</f>
        <v>-15.807641910465206</v>
      </c>
    </row>
    <row r="3170" spans="1:27">
      <c r="B3170" s="13">
        <v>3</v>
      </c>
      <c r="C3170" s="14" t="s">
        <v>20</v>
      </c>
      <c r="D3170" s="15" cm="1">
        <f t="array" ref="D3170">_xlfn.SINGLE(IF(A3176=A3177,_xll.ciqfunctions.udf.CIQ(A3168,"IQ_TOTAL_REV",IQ_FY-8)/I3170, _xll.ciqfunctions.udf.CIQ(A3168, "IQ_TOTAL_REV",IQ_FY-7)/I3170))</f>
        <v>10.965395375739394</v>
      </c>
      <c r="E3170" s="16">
        <f t="shared" si="847"/>
        <v>6.4971237366356419E-2</v>
      </c>
      <c r="F3170" s="15">
        <f>IF(A3176=A3177,_xll.ciqfunctions.udf.CIQ(A3168,"IQ_DILUT_EPS_EXCL",IQ_FY-8), _xll.ciqfunctions.udf.CIQ(A3168, "IQ_DILUT_EPS_EXCL",IQ_FY-7))</f>
        <v>-0.11142000000000001</v>
      </c>
      <c r="G3170" s="15">
        <f>IF(A3176=A3177,_xll.ciqfunctions.udf.CIQ(A3168,"IQ_EBITDA_MARGIN",IQ_FY-8), _xll.ciqfunctions.udf.CIQ(A3168, "IQ_EBITDA_MARGIN",IQ_FY-7))</f>
        <v>6.8924000000000003</v>
      </c>
      <c r="H3170" s="15">
        <f>IF(A3176=A3177,_xll.ciqfunctions.udf.CIQ(A3168,"IQ_TOTAL_DIV_PAID_CF",IQ_FY-8)/-I3170, _xll.ciqfunctions.udf.CIQ(A3168, "IQ_TOTAL_DIV_PAID_CF",IQ_FY-7)/-I3170)</f>
        <v>0</v>
      </c>
      <c r="I3170" s="17">
        <f>IF(A3176=A3177,_xll.ciqfunctions.udf.CIQ(A3168,"IQ_TOTAL_OUTSTANDING_FILING_DATE",IQ_FY-8), _xll.ciqfunctions.udf.CIQ(A3168, "IQ_TOTAL_OUTSTANDING_FILING_DATE",IQ_FY-7))</f>
        <v>77.524609999999996</v>
      </c>
      <c r="J3170" s="17">
        <f>IF(A3176=A3177,_xll.ciqfunctions.udf.CIQ(A3168,"IQ_CASH_OPER",IQ_FY-8), _xll.ciqfunctions.udf.CIQ(A3168, "IQ_CASH_OPER",IQ_FY-7))</f>
        <v>119.965</v>
      </c>
      <c r="K3170" s="17">
        <f>IF(A3176=A3177,_xll.ciqfunctions.udf.CIQ(A3168,"IQ_CAPEX",IQ_FY-8), _xll.ciqfunctions.udf.CIQ(A3168, "IQ_CAPEX",IQ_FY-7))</f>
        <v>-47.423000000000002</v>
      </c>
      <c r="L3170" s="15">
        <f t="shared" si="844"/>
        <v>0.93572866732254445</v>
      </c>
      <c r="M3170" s="17">
        <f>IF(A3176=A3177,_xll.ciqfunctions.udf.CIQ(A3168,"IQ_TOTAL_DEBT_ISSUED",IQ_FY-8), _xll.ciqfunctions.udf.CIQ(A3168, "IQ_TOTAL_DEBT_ISSUED",IQ_FY-7))</f>
        <v>0</v>
      </c>
      <c r="N3170" s="17">
        <f>IF(A3176=A3177,_xll.ciqfunctions.udf.CIQ(A3168,"IQ_TOTAL_DEBT_REPAID",IQ_FY-8), _xll.ciqfunctions.udf.CIQ(A3168, "IQ_TOTAL_DEBT_REPAID",IQ_FY-7))</f>
        <v>-87.230999999999995</v>
      </c>
      <c r="O3170" s="15">
        <f t="shared" si="845"/>
        <v>-1.1252039836124297</v>
      </c>
      <c r="P3170" s="15">
        <f t="shared" si="846"/>
        <v>-0.18947531628988523</v>
      </c>
      <c r="Q3170" s="25" t="s">
        <v>21</v>
      </c>
      <c r="R3170" s="38" t="s">
        <v>49</v>
      </c>
      <c r="S3170" s="2">
        <f>(R3167*I3178)/1000</f>
        <v>2.2097842137999999</v>
      </c>
      <c r="U3170" s="25" t="s">
        <v>59</v>
      </c>
      <c r="V3170" s="38" t="s">
        <v>49</v>
      </c>
      <c r="W3170" s="2">
        <f>(V3167*I3178)/1000</f>
        <v>2.2097842137999999</v>
      </c>
      <c r="Y3170" s="25" t="s">
        <v>46</v>
      </c>
      <c r="Z3170" s="38" t="s">
        <v>49</v>
      </c>
      <c r="AA3170" s="2">
        <f>(Z3167*I3178)/1000</f>
        <v>2.2097842137999999</v>
      </c>
    </row>
    <row r="3171" spans="1:27">
      <c r="A3171" s="18"/>
      <c r="B3171" s="13">
        <v>4</v>
      </c>
      <c r="C3171" s="14" t="s">
        <v>22</v>
      </c>
      <c r="D3171" s="15" cm="1">
        <f t="array" ref="D3171">_xlfn.SINGLE(IF(A3176=A3177,_xll.ciqfunctions.udf.CIQ(A3168,"IQ_TOTAL_REV",IQ_FY-7)/I3171, _xll.ciqfunctions.udf.CIQ(A3168, "IQ_TOTAL_REV",IQ_FY-6)/I3171))</f>
        <v>2.2260276589923316</v>
      </c>
      <c r="E3171" s="16">
        <f t="shared" si="847"/>
        <v>-0.79699522153871893</v>
      </c>
      <c r="F3171" s="15">
        <f>IF(A3176=A3177,_xll.ciqfunctions.udf.CIQ(A3168,"IQ_DILUT_EPS_EXCL",IQ_FY-7), _xll.ciqfunctions.udf.CIQ(A3168, "IQ_DILUT_EPS_EXCL",IQ_FY-6))</f>
        <v>-1.10266</v>
      </c>
      <c r="G3171" s="15">
        <f>IF(A3176=A3177,_xll.ciqfunctions.udf.CIQ(A3168,"IQ_EBITDA_MARGIN",IQ_FY-7), _xll.ciqfunctions.udf.CIQ(A3168, "IQ_EBITDA_MARGIN",IQ_FY-6))</f>
        <v>-62.075899999999997</v>
      </c>
      <c r="H3171" s="15">
        <f>IF(A3176=A3177,_xll.ciqfunctions.udf.CIQ(A3168,"IQ_TOTAL_DIV_PAID_CF",IQ_FY-7)/-I3171, _xll.ciqfunctions.udf.CIQ(A3168, "IQ_TOTAL_DIV_PAID_CF",IQ_FY-6)/-I3171)</f>
        <v>0</v>
      </c>
      <c r="I3171" s="17">
        <f>IF(A3176=A3177,_xll.ciqfunctions.udf.CIQ(A3168,"IQ_TOTAL_OUTSTANDING_FILING_DATE",IQ_FY-7), _xll.ciqfunctions.udf.CIQ(A3168, "IQ_TOTAL_OUTSTANDING_FILING_DATE",IQ_FY-6))</f>
        <v>78.507559999999998</v>
      </c>
      <c r="J3171" s="17">
        <f>IF(A3176=A3177,_xll.ciqfunctions.udf.CIQ(A3168,"IQ_CASH_OPER",IQ_FY-7), _xll.ciqfunctions.udf.CIQ(A3168, "IQ_CASH_OPER",IQ_FY-6))</f>
        <v>115.128</v>
      </c>
      <c r="K3171" s="17">
        <f>IF(A3176=A3177,_xll.ciqfunctions.udf.CIQ(A3168,"IQ_CAPEX",IQ_FY-7), _xll.ciqfunctions.udf.CIQ(A3168, "IQ_CAPEX",IQ_FY-6))</f>
        <v>-23.11</v>
      </c>
      <c r="L3171" s="15">
        <f t="shared" si="844"/>
        <v>1.172090942579288</v>
      </c>
      <c r="M3171" s="17">
        <f>IF(A3176=A3177,_xll.ciqfunctions.udf.CIQ(A3168,"IQ_TOTAL_DEBT_ISSUED",IQ_FY-7), _xll.ciqfunctions.udf.CIQ(A3168, "IQ_TOTAL_DEBT_ISSUED",IQ_FY-6))</f>
        <v>70</v>
      </c>
      <c r="N3171" s="17">
        <f>IF(A3176=A3177,_xll.ciqfunctions.udf.CIQ(A3168,"IQ_TOTAL_DEBT_REPAID",IQ_FY-7), _xll.ciqfunctions.udf.CIQ(A3168, "IQ_TOTAL_DEBT_REPAID",IQ_FY-6))</f>
        <v>-32.243000000000002</v>
      </c>
      <c r="O3171" s="15">
        <f t="shared" si="845"/>
        <v>0.48093457496322645</v>
      </c>
      <c r="P3171" s="15">
        <f t="shared" si="846"/>
        <v>1.6530255175425146</v>
      </c>
      <c r="Q3171" s="25" t="s">
        <v>23</v>
      </c>
      <c r="R3171" s="38" t="s">
        <v>24</v>
      </c>
      <c r="S3171" s="1" t="e">
        <f>R3167/(AVERAGE(H3173:H3178)*(1+H3179)/(0.5-H3179))</f>
        <v>#DIV/0!</v>
      </c>
      <c r="U3171" s="25" t="s">
        <v>40</v>
      </c>
      <c r="V3171" s="38" t="s">
        <v>24</v>
      </c>
      <c r="W3171" s="1" t="e">
        <f>V3167/(AVERAGE(H3173:H3178)*(1+H3179)/(0.5-H3179))</f>
        <v>#DIV/0!</v>
      </c>
      <c r="Y3171" s="25" t="s">
        <v>47</v>
      </c>
      <c r="Z3171" s="38" t="s">
        <v>24</v>
      </c>
      <c r="AA3171" s="1" t="e">
        <f>Z3167/(AVERAGE(H3173:H3178)*(1+H3179)/(0.5-H3179))</f>
        <v>#DIV/0!</v>
      </c>
    </row>
    <row r="3172" spans="1:27">
      <c r="B3172" s="13">
        <v>5</v>
      </c>
      <c r="C3172" s="14" t="s">
        <v>25</v>
      </c>
      <c r="D3172" s="15" cm="1">
        <f t="array" ref="D3172">_xlfn.SINGLE(IF(A3176=A3177,_xll.ciqfunctions.udf.CIQ(A3168,"IQ_TOTAL_REV",IQ_FY-6)/I3172, _xll.ciqfunctions.udf.CIQ(A3168, "IQ_TOTAL_REV",IQ_FY-5)/I3172))</f>
        <v>2.8562185343733502</v>
      </c>
      <c r="E3172" s="16">
        <f t="shared" si="847"/>
        <v>0.28310109842313935</v>
      </c>
      <c r="F3172" s="15">
        <f>IF(A3176=A3177,_xll.ciqfunctions.udf.CIQ(A3168,"IQ_DILUT_EPS_EXCL",IQ_FY-6), _xll.ciqfunctions.udf.CIQ(A3168, "IQ_DILUT_EPS_EXCL",IQ_FY-5))</f>
        <v>-0.85306000000000004</v>
      </c>
      <c r="G3172" s="15">
        <f>IF(A3176=A3177,_xll.ciqfunctions.udf.CIQ(A3168,"IQ_EBITDA_MARGIN",IQ_FY-6), _xll.ciqfunctions.udf.CIQ(A3168, "IQ_EBITDA_MARGIN",IQ_FY-5))</f>
        <v>-34.2256</v>
      </c>
      <c r="H3172" s="15">
        <f>IF(A3176=A3177,_xll.ciqfunctions.udf.CIQ(A3168,"IQ_TOTAL_DIV_PAID_CF",IQ_FY-6)/-I3172, _xll.ciqfunctions.udf.CIQ(A3168, "IQ_TOTAL_DIV_PAID_CF",IQ_FY-5)/-I3172)</f>
        <v>0</v>
      </c>
      <c r="I3172" s="17">
        <f>IF(A3176=A3177,_xll.ciqfunctions.udf.CIQ(A3168,"IQ_TOTAL_OUTSTANDING_FILING_DATE",IQ_FY-6), _xll.ciqfunctions.udf.CIQ(A3168, "IQ_TOTAL_OUTSTANDING_FILING_DATE",IQ_FY-5))</f>
        <v>77.060280000000006</v>
      </c>
      <c r="J3172" s="17">
        <f>IF(A3176=A3177,_xll.ciqfunctions.udf.CIQ(A3168,"IQ_CASH_OPER",IQ_FY-6), _xll.ciqfunctions.udf.CIQ(A3168, "IQ_CASH_OPER",IQ_FY-5))</f>
        <v>111.55500000000001</v>
      </c>
      <c r="K3172" s="17">
        <f>IF(A3176=A3177,_xll.ciqfunctions.udf.CIQ(A3168,"IQ_CAPEX",IQ_FY-6), _xll.ciqfunctions.udf.CIQ(A3168, "IQ_CAPEX",IQ_FY-5))</f>
        <v>-9.375</v>
      </c>
      <c r="L3172" s="15">
        <f t="shared" si="844"/>
        <v>1.325974938061476</v>
      </c>
      <c r="M3172" s="17">
        <f>IF(A3176=A3177,_xll.ciqfunctions.udf.CIQ(A3168,"IQ_TOTAL_DEBT_ISSUED",IQ_FY-6), _xll.ciqfunctions.udf.CIQ(A3168, "IQ_TOTAL_DEBT_ISSUED",IQ_FY-5))</f>
        <v>230</v>
      </c>
      <c r="N3172" s="17">
        <f>IF(A3176=A3177,_xll.ciqfunctions.udf.CIQ(A3168,"IQ_TOTAL_DEBT_REPAID",IQ_FY-6), _xll.ciqfunctions.udf.CIQ(A3168, "IQ_TOTAL_DEBT_REPAID",IQ_FY-5))</f>
        <v>-227.32</v>
      </c>
      <c r="O3172" s="15">
        <f t="shared" si="845"/>
        <v>3.4777968624043497E-2</v>
      </c>
      <c r="P3172" s="15">
        <f t="shared" si="846"/>
        <v>1.3607529066855195</v>
      </c>
      <c r="Q3172" s="18"/>
      <c r="R3172" s="38" t="s">
        <v>50</v>
      </c>
      <c r="S3172" s="3">
        <f>I3179</f>
        <v>-1.0118189210650108E-2</v>
      </c>
      <c r="U3172" s="18"/>
      <c r="V3172" s="38" t="s">
        <v>50</v>
      </c>
      <c r="W3172" s="3">
        <f>I3179</f>
        <v>-1.0118189210650108E-2</v>
      </c>
      <c r="Y3172" s="18"/>
      <c r="Z3172" s="38" t="s">
        <v>50</v>
      </c>
      <c r="AA3172" s="3">
        <f>I3179</f>
        <v>-1.0118189210650108E-2</v>
      </c>
    </row>
    <row r="3173" spans="1:27">
      <c r="B3173" s="13">
        <v>6</v>
      </c>
      <c r="C3173" s="14" t="s">
        <v>26</v>
      </c>
      <c r="D3173" s="15" cm="1">
        <f t="array" ref="D3173">_xlfn.SINGLE(IF(A3176=A3177,_xll.ciqfunctions.udf.CIQ(A3168,"IQ_TOTAL_REV",IQ_FY-5)/I3173, _xll.ciqfunctions.udf.CIQ(A3168, "IQ_TOTAL_REV",IQ_FY-4)/I3173))</f>
        <v>4.14108572650595</v>
      </c>
      <c r="E3173" s="16">
        <f t="shared" si="847"/>
        <v>0.44984904924808133</v>
      </c>
      <c r="F3173" s="15">
        <f>IF(A3176=A3177,_xll.ciqfunctions.udf.CIQ(A3168,"IQ_DILUT_EPS_EXCL",IQ_FY-5), _xll.ciqfunctions.udf.CIQ(A3168, "IQ_DILUT_EPS_EXCL",IQ_FY-4))</f>
        <v>-1.79</v>
      </c>
      <c r="G3173" s="15">
        <f>IF(A3176=A3177,_xll.ciqfunctions.udf.CIQ(A3168,"IQ_EBITDA_MARGIN",IQ_FY-5), _xll.ciqfunctions.udf.CIQ(A3168, "IQ_EBITDA_MARGIN",IQ_FY-4))</f>
        <v>-51.8979</v>
      </c>
      <c r="H3173" s="15">
        <f>IF(A3176=A3177,_xll.ciqfunctions.udf.CIQ(A3168,"IQ_TOTAL_DIV_PAID_CF",IQ_FY-5)/-I3173, _xll.ciqfunctions.udf.CIQ(A3168, "IQ_TOTAL_DIV_PAID_CF",IQ_FY-4)/-I3173)</f>
        <v>0</v>
      </c>
      <c r="I3173" s="17">
        <f>IF(A3176=A3177,_xll.ciqfunctions.udf.CIQ(A3168,"IQ_TOTAL_OUTSTANDING_FILING_DATE",IQ_FY-5), _xll.ciqfunctions.udf.CIQ(A3168, "IQ_TOTAL_OUTSTANDING_FILING_DATE",IQ_FY-4))</f>
        <v>68.972250000000003</v>
      </c>
      <c r="J3173" s="17">
        <f>IF(A3176=A3177,_xll.ciqfunctions.udf.CIQ(A3168,"IQ_CASH_OPER",IQ_FY-5), _xll.ciqfunctions.udf.CIQ(A3168, "IQ_CASH_OPER",IQ_FY-4))</f>
        <v>-460.50299999999999</v>
      </c>
      <c r="K3173" s="17">
        <f>IF(A3176=A3177,_xll.ciqfunctions.udf.CIQ(A3168,"IQ_CAPEX",IQ_FY-5), _xll.ciqfunctions.udf.CIQ(A3168, "IQ_CAPEX",IQ_FY-4))</f>
        <v>-7.32</v>
      </c>
      <c r="L3173" s="15">
        <f t="shared" si="844"/>
        <v>-6.7827713319487177</v>
      </c>
      <c r="M3173" s="17">
        <f>IF(A3176=A3177,_xll.ciqfunctions.udf.CIQ(A3168,"IQ_TOTAL_DEBT_ISSUED",IQ_FY-5), _xll.ciqfunctions.udf.CIQ(A3168, "IQ_TOTAL_DEBT_ISSUED",IQ_FY-4))</f>
        <v>0</v>
      </c>
      <c r="N3173" s="17">
        <f>IF(A3176=A3177,_xll.ciqfunctions.udf.CIQ(A3168,"IQ_TOTAL_DEBT_REPAID",IQ_FY-5), _xll.ciqfunctions.udf.CIQ(A3168, "IQ_TOTAL_DEBT_REPAID",IQ_FY-4))</f>
        <v>-233.29300000000001</v>
      </c>
      <c r="O3173" s="15">
        <f t="shared" si="845"/>
        <v>-3.3824182914143006</v>
      </c>
      <c r="P3173" s="15">
        <f t="shared" si="846"/>
        <v>-10.165189623363018</v>
      </c>
      <c r="Q3173" s="25" t="s">
        <v>27</v>
      </c>
      <c r="R3173" s="38" t="s">
        <v>51</v>
      </c>
      <c r="S3173" s="4">
        <f>AVERAGE(F3173:F3178)/AVERAGE(D3173:D3178)</f>
        <v>-0.19571435628653228</v>
      </c>
      <c r="U3173" s="25" t="s">
        <v>58</v>
      </c>
      <c r="V3173" s="38" t="s">
        <v>51</v>
      </c>
      <c r="W3173" s="4">
        <f>AVERAGE(F3173:F3178)/AVERAGE(D3173:D3178)</f>
        <v>-0.19571435628653228</v>
      </c>
      <c r="Y3173" s="25" t="s">
        <v>56</v>
      </c>
      <c r="Z3173" s="38" t="s">
        <v>51</v>
      </c>
      <c r="AA3173" s="4">
        <f>AVERAGE(F3173:F3178)/AVERAGE(D3173:D3178)</f>
        <v>-0.19571435628653228</v>
      </c>
    </row>
    <row r="3174" spans="1:27">
      <c r="A3174" s="18"/>
      <c r="B3174" s="13">
        <v>7</v>
      </c>
      <c r="C3174" s="14" t="s">
        <v>28</v>
      </c>
      <c r="D3174" s="15" cm="1">
        <f t="array" ref="D3174">_xlfn.SINGLE(IF(A3176=A3177,_xll.ciqfunctions.udf.CIQ(A3168,"IQ_TOTAL_REV",IQ_FY-4)/I3174, _xll.ciqfunctions.udf.CIQ(A3168, "IQ_TOTAL_REV",IQ_FY-3)/I3174))</f>
        <v>5.8241557107553712</v>
      </c>
      <c r="E3174" s="16">
        <f t="shared" si="847"/>
        <v>0.40643205560236378</v>
      </c>
      <c r="F3174" s="15">
        <f>IF(A3176=A3177,_xll.ciqfunctions.udf.CIQ(A3168,"IQ_DILUT_EPS_EXCL",IQ_FY-4), _xll.ciqfunctions.udf.CIQ(A3168, "IQ_DILUT_EPS_EXCL",IQ_FY-3))</f>
        <v>-1.85</v>
      </c>
      <c r="G3174" s="15">
        <f>IF(A3176=A3177,_xll.ciqfunctions.udf.CIQ(A3168,"IQ_EBITDA_MARGIN",IQ_FY-4), _xll.ciqfunctions.udf.CIQ(A3168, "IQ_EBITDA_MARGIN",IQ_FY-3))</f>
        <v>-37.912100000000002</v>
      </c>
      <c r="H3174" s="15">
        <f>IF(A3176=A3177,_xll.ciqfunctions.udf.CIQ(A3168,"IQ_TOTAL_DIV_PAID_CF",IQ_FY-4)/-I3174, _xll.ciqfunctions.udf.CIQ(A3168, "IQ_TOTAL_DIV_PAID_CF",IQ_FY-3)/-I3174)</f>
        <v>0</v>
      </c>
      <c r="I3174" s="17">
        <f>IF(A3176=A3177,_xll.ciqfunctions.udf.CIQ(A3168,"IQ_TOTAL_OUTSTANDING_FILING_DATE",IQ_FY-4), _xll.ciqfunctions.udf.CIQ(A3168, "IQ_TOTAL_OUTSTANDING_FILING_DATE",IQ_FY-3))</f>
        <v>65.343720000000005</v>
      </c>
      <c r="J3174" s="17">
        <f>IF(A3176=A3177,_xll.ciqfunctions.udf.CIQ(A3168,"IQ_CASH_OPER",IQ_FY-4), _xll.ciqfunctions.udf.CIQ(A3168, "IQ_CASH_OPER",IQ_FY-3))</f>
        <v>-28.782</v>
      </c>
      <c r="K3174" s="17">
        <f>IF(A3176=A3177,_xll.ciqfunctions.udf.CIQ(A3168,"IQ_CAPEX",IQ_FY-4), _xll.ciqfunctions.udf.CIQ(A3168, "IQ_CAPEX",IQ_FY-3))</f>
        <v>-11.711</v>
      </c>
      <c r="L3174" s="15">
        <f t="shared" si="844"/>
        <v>-0.61969229789794644</v>
      </c>
      <c r="M3174" s="17">
        <f>IF(A3176=A3177,_xll.ciqfunctions.udf.CIQ(A3168,"IQ_TOTAL_DEBT_ISSUED",IQ_FY-4), _xll.ciqfunctions.udf.CIQ(A3168, "IQ_TOTAL_DEBT_ISSUED",IQ_FY-3))</f>
        <v>0</v>
      </c>
      <c r="N3174" s="17">
        <f>IF(A3176=A3177,_xll.ciqfunctions.udf.CIQ(A3168,"IQ_TOTAL_DEBT_REPAID",IQ_FY-4), _xll.ciqfunctions.udf.CIQ(A3168, "IQ_TOTAL_DEBT_REPAID",IQ_FY-3))</f>
        <v>0</v>
      </c>
      <c r="O3174" s="15">
        <f t="shared" si="845"/>
        <v>0</v>
      </c>
      <c r="P3174" s="15">
        <f t="shared" si="846"/>
        <v>-0.61969229789794644</v>
      </c>
      <c r="Q3174" s="18"/>
      <c r="R3174" s="38" t="s">
        <v>29</v>
      </c>
      <c r="S3174" s="4">
        <f>(AVERAGE(P3173:P3178)/_xlfn.STDEV.P(P3173:P3178))/(IF(A3176=A3177,(_xlfn.SINGLE(_xll.ciqfunctions.udf.CIQ(A3168,"IQ_total_assets",IQ_FY)) - _xlfn.SINGLE(_xll.ciqfunctions.udf.CIQ(A3168,"iq_gw_intan", IQ_FY)))/I3178, (_xlfn.SINGLE(_xll.ciqfunctions.udf.CIQ(A3168, "IQ_total_assets",IQ_LTM))-_xlfn.SINGLE(_xll.ciqfunctions.udf.CIQ(A3168,"iq_gw_intan",IQ_LTM)))/I3178))</f>
        <v>-2.5804799065437783E-2</v>
      </c>
      <c r="U3174" s="18"/>
      <c r="V3174" s="38" t="s">
        <v>29</v>
      </c>
      <c r="W3174" s="4">
        <f>(AVERAGE(P3173:P3178)/_xlfn.STDEV.P(P3173:P3178))/(IF(A3176=A3177,(_xlfn.SINGLE(_xll.ciqfunctions.udf.CIQ(A3168,"IQ_total_assets",IQ_FY)) - _xlfn.SINGLE(_xll.ciqfunctions.udf.CIQ(A3168,"iq_gw_intan", IQ_FY)))/I3178, (_xlfn.SINGLE(_xll.ciqfunctions.udf.CIQ(A3168, "IQ_total_assets",IQ_LTM))-_xlfn.SINGLE(_xll.ciqfunctions.udf.CIQ(A3168,"iq_gw_intan",IQ_LTM)))/I3178))</f>
        <v>-2.5804799065437783E-2</v>
      </c>
      <c r="Y3174" s="18"/>
      <c r="Z3174" s="38" t="s">
        <v>29</v>
      </c>
      <c r="AA3174" s="4">
        <f>(AVERAGE(P3173:P3178)/_xlfn.STDEV.P(P3173:P3178))/(IF(A3176=A3177,(_xlfn.SINGLE(_xll.ciqfunctions.udf.CIQ(A3168,"IQ_total_assets",IQ_FY)) - _xlfn.SINGLE(_xll.ciqfunctions.udf.CIQ(A3168,"iq_gw_intan", IQ_FY)))/I3178, (_xlfn.SINGLE(_xll.ciqfunctions.udf.CIQ(A3168, "IQ_total_assets",IQ_LTM))-_xlfn.SINGLE(_xll.ciqfunctions.udf.CIQ(A3168,"iq_gw_intan",IQ_LTM)))/I3178))</f>
        <v>-2.5804799065437783E-2</v>
      </c>
    </row>
    <row r="3175" spans="1:27">
      <c r="A3175" s="18"/>
      <c r="B3175" s="13">
        <v>8</v>
      </c>
      <c r="C3175" s="14" t="s">
        <v>30</v>
      </c>
      <c r="D3175" s="15" cm="1">
        <f t="array" ref="D3175">_xlfn.SINGLE(IF(A3176=A3177,_xll.ciqfunctions.udf.CIQ(A3168,"IQ_TOTAL_REV",IQ_FY-3)/I3175, _xll.ciqfunctions.udf.CIQ(A3168, "IQ_TOTAL_REV",IQ_FY-2)/I3175))</f>
        <v>6.4757196689537437</v>
      </c>
      <c r="E3175" s="16">
        <f t="shared" si="847"/>
        <v>0.11187268860191019</v>
      </c>
      <c r="F3175" s="15">
        <f>IF(A3176=A3177,_xll.ciqfunctions.udf.CIQ(A3168,"IQ_DILUT_EPS_EXCL",IQ_FY-3), _xll.ciqfunctions.udf.CIQ(A3168, "IQ_DILUT_EPS_EXCL",IQ_FY-2))</f>
        <v>-1.3614299999999999</v>
      </c>
      <c r="G3175" s="15">
        <f>IF(A3176=A3177,_xll.ciqfunctions.udf.CIQ(A3168,"IQ_EBITDA_MARGIN",IQ_FY-3), _xll.ciqfunctions.udf.CIQ(A3168, "IQ_EBITDA_MARGIN",IQ_FY-2))</f>
        <v>-20.559000000000001</v>
      </c>
      <c r="H3175" s="15">
        <f>IF(A3176=A3177,_xll.ciqfunctions.udf.CIQ(A3168,"IQ_TOTAL_DIV_PAID_CF",IQ_FY-3)/-I3175, _xll.ciqfunctions.udf.CIQ(A3168, "IQ_TOTAL_DIV_PAID_CF",IQ_FY-2)/-I3175)</f>
        <v>0</v>
      </c>
      <c r="I3175" s="17">
        <f>IF(A3176=A3177,_xll.ciqfunctions.udf.CIQ(A3168,"IQ_TOTAL_OUTSTANDING_FILING_DATE",IQ_FY-3), _xll.ciqfunctions.udf.CIQ(A3168, "IQ_TOTAL_OUTSTANDING_FILING_DATE",IQ_FY-2))</f>
        <v>68.413399999999996</v>
      </c>
      <c r="J3175" s="17">
        <f>IF(A3176=A3177,_xll.ciqfunctions.udf.CIQ(A3168,"IQ_CASH_OPER",IQ_FY-3), _xll.ciqfunctions.udf.CIQ(A3168, "IQ_CASH_OPER",IQ_FY-2))</f>
        <v>-20.56</v>
      </c>
      <c r="K3175" s="17">
        <f>IF(A3176=A3177,_xll.ciqfunctions.udf.CIQ(A3168,"IQ_CAPEX",IQ_FY-3), _xll.ciqfunctions.udf.CIQ(A3168, "IQ_CAPEX",IQ_FY-2))</f>
        <v>-2.1819999999999999</v>
      </c>
      <c r="L3175" s="15">
        <f t="shared" si="844"/>
        <v>-0.33242025685026616</v>
      </c>
      <c r="M3175" s="17">
        <f>IF(A3176=A3177,_xll.ciqfunctions.udf.CIQ(A3168,"IQ_TOTAL_DEBT_ISSUED",IQ_FY-3), _xll.ciqfunctions.udf.CIQ(A3168, "IQ_TOTAL_DEBT_ISSUED",IQ_FY-2))</f>
        <v>0</v>
      </c>
      <c r="N3175" s="17">
        <f>IF(A3176=A3177,_xll.ciqfunctions.udf.CIQ(A3168,"IQ_TOTAL_DEBT_REPAID",IQ_FY-3), _xll.ciqfunctions.udf.CIQ(A3168, "IQ_TOTAL_DEBT_REPAID",IQ_FY-2))</f>
        <v>0</v>
      </c>
      <c r="O3175" s="15">
        <f t="shared" si="845"/>
        <v>0</v>
      </c>
      <c r="P3175" s="15">
        <f t="shared" si="846"/>
        <v>-0.33242025685026616</v>
      </c>
      <c r="Q3175" s="18"/>
      <c r="R3175" s="39" t="s">
        <v>31</v>
      </c>
      <c r="S3175" s="5">
        <f>IF(NOT(D3168&gt;0),FALSE,SLOPE(G3168:G3178,B3168:B3178))</f>
        <v>-0.77821818181818159</v>
      </c>
      <c r="U3175" s="18"/>
      <c r="V3175" s="39" t="s">
        <v>31</v>
      </c>
      <c r="W3175" s="5">
        <f>IF(NOT(D3168&gt;0),FALSE,SLOPE(G3168:G3178,B3168:B3178))</f>
        <v>-0.77821818181818159</v>
      </c>
      <c r="Y3175" s="18"/>
      <c r="Z3175" s="39" t="s">
        <v>31</v>
      </c>
      <c r="AA3175" s="5">
        <f>IF(NOT(L3168&gt;0),FALSE,SLOPE(O3168:O3178,J3168:J3178))</f>
        <v>5.630395300971815E-3</v>
      </c>
    </row>
    <row r="3176" spans="1:27">
      <c r="A3176" s="19">
        <f>_xll.ciqfunctions.udf.CIQ(A3168,"IQ_TOTAL_REV",IQ_FY)</f>
        <v>596.58299999999997</v>
      </c>
      <c r="B3176" s="13">
        <v>9</v>
      </c>
      <c r="C3176" s="14" t="s">
        <v>32</v>
      </c>
      <c r="D3176" s="15" cm="1">
        <f t="array" ref="D3176">_xlfn.SINGLE(IF(A3176=A3177,_xll.ciqfunctions.udf.CIQ(A3168,"IQ_TOTAL_REV",IQ_FY-2)/I3176, _xll.ciqfunctions.udf.CIQ(A3168, "IQ_TOTAL_REV",IQ_FY-1)/I3176))</f>
        <v>7.7277228844423629</v>
      </c>
      <c r="E3176" s="16">
        <f t="shared" si="847"/>
        <v>0.19333808124694507</v>
      </c>
      <c r="F3176" s="15">
        <f>IF(A3176=A3177,_xll.ciqfunctions.udf.CIQ(A3168,"IQ_DILUT_EPS_EXCL",IQ_FY-2), _xll.ciqfunctions.udf.CIQ(A3168, "IQ_DILUT_EPS_EXCL",IQ_FY-1))</f>
        <v>-0.5</v>
      </c>
      <c r="G3176" s="15">
        <f>IF(A3176=A3177,_xll.ciqfunctions.udf.CIQ(A3168,"IQ_EBITDA_MARGIN",IQ_FY-2), _xll.ciqfunctions.udf.CIQ(A3168, "IQ_EBITDA_MARGIN",IQ_FY-1))</f>
        <v>-7.6167999999999996</v>
      </c>
      <c r="H3176" s="15">
        <f>IF(A3176=A3177,_xll.ciqfunctions.udf.CIQ(A3168,"IQ_TOTAL_DIV_PAID_CF",IQ_FY-2)/-I3176, _xll.ciqfunctions.udf.CIQ(A3168, "IQ_TOTAL_DIV_PAID_CF",IQ_FY-1)/-I3176)</f>
        <v>0</v>
      </c>
      <c r="I3176" s="17">
        <f>IF(A3176=A3177,_xll.ciqfunctions.udf.CIQ(A3168,"IQ_TOTAL_OUTSTANDING_FILING_DATE",IQ_FY-2), _xll.ciqfunctions.udf.CIQ(A3168, "IQ_TOTAL_OUTSTANDING_FILING_DATE",IQ_FY-1))</f>
        <v>68.410449999999997</v>
      </c>
      <c r="J3176" s="17">
        <f>IF(A3176=A3177,_xll.ciqfunctions.udf.CIQ(A3168,"IQ_CASH_OPER",IQ_FY-2), _xll.ciqfunctions.udf.CIQ(A3168, "IQ_CASH_OPER",IQ_FY-1))</f>
        <v>78.076999999999998</v>
      </c>
      <c r="K3176" s="17">
        <f>IF(A3176=A3177,_xll.ciqfunctions.udf.CIQ(A3168,"IQ_CAPEX",IQ_FY-2), _xll.ciqfunctions.udf.CIQ(A3168, "IQ_CAPEX",IQ_FY-1))</f>
        <v>-4.4989999999999997</v>
      </c>
      <c r="L3176" s="15">
        <f t="shared" si="844"/>
        <v>1.0755374361665506</v>
      </c>
      <c r="M3176" s="17">
        <f>IF(A3176=A3177,_xll.ciqfunctions.udf.CIQ(A3168,"IQ_TOTAL_DEBT_ISSUED",IQ_FY-2), _xll.ciqfunctions.udf.CIQ(A3168, "IQ_TOTAL_DEBT_ISSUED",IQ_FY-1))</f>
        <v>0</v>
      </c>
      <c r="N3176" s="17">
        <f>IF(A3176=A3177,_xll.ciqfunctions.udf.CIQ(A3168,"IQ_TOTAL_DEBT_REPAID",IQ_FY-2), _xll.ciqfunctions.udf.CIQ(A3168, "IQ_TOTAL_DEBT_REPAID",IQ_FY-1))</f>
        <v>0</v>
      </c>
      <c r="O3176" s="15">
        <f t="shared" si="845"/>
        <v>0</v>
      </c>
      <c r="P3176" s="15">
        <f t="shared" si="846"/>
        <v>1.0755374361665506</v>
      </c>
      <c r="Q3176" s="25" t="s">
        <v>33</v>
      </c>
      <c r="R3176" s="38" t="s">
        <v>52</v>
      </c>
      <c r="S3176" s="4">
        <f>(AVERAGE(O3173:O3178)/AVERAGE(P3173:P3178))</f>
        <v>0.43440228150436483</v>
      </c>
      <c r="U3176" s="25" t="s">
        <v>54</v>
      </c>
      <c r="V3176" s="38" t="s">
        <v>52</v>
      </c>
      <c r="W3176" s="4">
        <f>(AVERAGE(O3173:O3178)/AVERAGE(P3173:P3178))</f>
        <v>0.43440228150436483</v>
      </c>
      <c r="Y3176" s="25" t="s">
        <v>60</v>
      </c>
      <c r="Z3176" s="38" t="s">
        <v>52</v>
      </c>
      <c r="AA3176" s="4">
        <f>(AVERAGE(O3173:O3178)/AVERAGE(P3173:P3178))</f>
        <v>0.43440228150436483</v>
      </c>
    </row>
    <row r="3177" spans="1:27">
      <c r="A3177" s="19">
        <f>_xll.ciqfunctions.udf.CIQ(A3168,"IQ_TOTAL_REV",IQ_LTM)</f>
        <v>621.18100000000004</v>
      </c>
      <c r="B3177" s="13">
        <v>10</v>
      </c>
      <c r="C3177" s="14" t="s">
        <v>34</v>
      </c>
      <c r="D3177" s="15" cm="1">
        <f t="array" ref="D3177">_xlfn.SINGLE(IF(A3176=A3177,_xll.ciqfunctions.udf.CIQ(A3168,"IQ_TOTAL_REV",IQ_FY-1)/I3177, _xll.ciqfunctions.udf.CIQ(A3168, "IQ_TOTAL_REV",IQ_FY)/I3177))</f>
        <v>8.984337350849124</v>
      </c>
      <c r="E3177" s="16">
        <f t="shared" si="847"/>
        <v>0.16261122263281561</v>
      </c>
      <c r="F3177" s="15">
        <f>IF(A3176=A3177,_xll.ciqfunctions.udf.CIQ(A3168,"IQ_DILUT_EPS_EXCL",IQ_FY-1), _xll.ciqfunctions.udf.CIQ(A3168, "IQ_DILUT_EPS_EXCL",IQ_FY))</f>
        <v>-1.87042</v>
      </c>
      <c r="G3177" s="15">
        <f>IF(A3176=A3177,_xll.ciqfunctions.udf.CIQ(A3168,"IQ_EBITDA_MARGIN",IQ_FY-1), _xll.ciqfunctions.udf.CIQ(A3168, "IQ_EBITDA_MARGIN",IQ_FY))</f>
        <v>-10.170500000000001</v>
      </c>
      <c r="H3177" s="15">
        <f>IF(A3176=A3177,_xll.ciqfunctions.udf.CIQ(A3168,"IQ_TOTAL_DIV_PAID_CF",IQ_FY-1)/-I3177, _xll.ciqfunctions.udf.CIQ(A3168, "IQ_TOTAL_DIV_PAID_CF",IQ_FY)/-I3177)</f>
        <v>0</v>
      </c>
      <c r="I3177" s="17">
        <f>IF(A3176=A3177,_xll.ciqfunctions.udf.CIQ(A3168,"IQ_TOTAL_OUTSTANDING_FILING_DATE",IQ_FY-1), _xll.ciqfunctions.udf.CIQ(A3168, "IQ_TOTAL_OUTSTANDING_FILING_DATE",IQ_FY))</f>
        <v>66.402559999999994</v>
      </c>
      <c r="J3177" s="17">
        <f>IF(A3176=A3177,_xll.ciqfunctions.udf.CIQ(A3168,"IQ_CASH_OPER",IQ_FY-1), _xll.ciqfunctions.udf.CIQ(A3168, "IQ_CASH_OPER",IQ_FY))</f>
        <v>39.844999999999999</v>
      </c>
      <c r="K3177" s="17">
        <f>IF(A3176=A3177,_xll.ciqfunctions.udf.CIQ(A3168,"IQ_CAPEX",IQ_FY-1), _xll.ciqfunctions.udf.CIQ(A3168, "IQ_CAPEX",IQ_FY))</f>
        <v>-4.6959999999999997</v>
      </c>
      <c r="L3177" s="15">
        <f t="shared" si="844"/>
        <v>0.5293320016577675</v>
      </c>
      <c r="M3177" s="17">
        <f>IF(A3176=A3177,_xll.ciqfunctions.udf.CIQ(A3168,"IQ_TOTAL_DEBT_ISSUED",IQ_FY-1), _xll.ciqfunctions.udf.CIQ(A3168, "IQ_TOTAL_DEBT_ISSUED",IQ_FY))</f>
        <v>0</v>
      </c>
      <c r="N3177" s="17">
        <f>IF(A3176=A3177,_xll.ciqfunctions.udf.CIQ(A3168,"IQ_TOTAL_DEBT_REPAID",IQ_FY-1), _xll.ciqfunctions.udf.CIQ(A3168, "IQ_TOTAL_DEBT_REPAID",IQ_FY))</f>
        <v>0</v>
      </c>
      <c r="O3177" s="15">
        <f t="shared" si="845"/>
        <v>0</v>
      </c>
      <c r="P3177" s="15">
        <f t="shared" si="846"/>
        <v>0.5293320016577675</v>
      </c>
      <c r="Q3177" s="25" t="s">
        <v>44</v>
      </c>
      <c r="R3177" s="38" t="s">
        <v>35</v>
      </c>
      <c r="S3177" s="1" t="str">
        <f>_xll.ciqfunctions.udf.CIQ(A3168,"IQ_TEV_EBITDA")</f>
        <v>NM</v>
      </c>
      <c r="U3177" s="25" t="s">
        <v>55</v>
      </c>
      <c r="V3177" s="38" t="s">
        <v>53</v>
      </c>
      <c r="W3177" s="1">
        <f>V3167/(AVERAGE(D3173:D3178)/_xlfn.STDEV.P(E3173:E3178))</f>
        <v>0.69844968248343331</v>
      </c>
      <c r="Y3177" s="25" t="s">
        <v>57</v>
      </c>
      <c r="Z3177" s="38" t="s">
        <v>53</v>
      </c>
      <c r="AA3177" s="1">
        <f>Z3167/(AVERAGE(D3173:D3178)/_xlfn.STDEV.P(E3173:E3178))</f>
        <v>0.69844968248343331</v>
      </c>
    </row>
    <row r="3178" spans="1:27">
      <c r="B3178" s="13">
        <v>11</v>
      </c>
      <c r="C3178" s="20" t="s">
        <v>36</v>
      </c>
      <c r="D3178" s="21" cm="1">
        <f t="array" ref="D3178">_xlfn.SINGLE(IF(A3176=A3177,_xll.ciqfunctions.udf.CIQ(A3168,"IQ_TOTAL_REV",IQ_FY)/I3178, _xll.ciqfunctions.udf.CIQ(A3168, "IQ_TOTAL_REV",IQ_LTM)/I3178))</f>
        <v>9.4760435789298345</v>
      </c>
      <c r="E3178" s="22">
        <f t="shared" si="847"/>
        <v>5.4729270382332489E-2</v>
      </c>
      <c r="F3178" s="21">
        <f>IF(A3176=A3177,_xll.ciqfunctions.udf.CIQ(A3168,"IQ_DILUT_EPS_EXCL",IQ_FY), _xll.ciqfunctions.udf.CIQ(A3168, "IQ_DILUT_EPS_EXCL",IQ_LTM))</f>
        <v>-0.97126999999999997</v>
      </c>
      <c r="G3178" s="21">
        <f>IF(A3176=A3177,_xll.ciqfunctions.udf.CIQ(A3168,"IQ_EBITDA_MARGIN",IQ_FY), _xll.ciqfunctions.udf.CIQ(A3168, "IQ_EBITDA_MARGIN",IQ_LTM))</f>
        <v>-1.3170999999999999</v>
      </c>
      <c r="H3178" s="21">
        <f>IF(A3176=A3177,_xll.ciqfunctions.udf.CIQ(A3168,"IQ_TOTAL_DIV_PAID_CF",IQ_FY)/-I3178, _xll.ciqfunctions.udf.CIQ(A3168, "IQ_TOTAL_DIV_PAID_CF",IQ_LTM)/-I3178)</f>
        <v>0</v>
      </c>
      <c r="I3178" s="23">
        <f>IF(A3176=A3177,_xll.ciqfunctions.udf.CIQ(A3168,"IQ_TOTAL_OUTSTANDING_FILING_DATE",IQ_FY),_xll.ciqfunctions.udf.CIQ(A3168,"IQ_sharesoutstanding"))</f>
        <v>65.552779999999998</v>
      </c>
      <c r="J3178" s="23">
        <f>IF(A3176=A3177,_xll.ciqfunctions.udf.CIQ(A3168,"IQ_CASH_OPER",IQ_FY), _xll.ciqfunctions.udf.CIQ(A3168, "IQ_CASH_OPER",IQ_LTM))</f>
        <v>113.68300000000001</v>
      </c>
      <c r="K3178" s="23">
        <f>IF(A3176=A3177,_xll.ciqfunctions.udf.CIQ(A3168,"IQ_CAPEX",IQ_FY), _xll.ciqfunctions.udf.CIQ(A3168, "IQ_CAPEX",IQ_LTM))</f>
        <v>-0.53500000000000003</v>
      </c>
      <c r="L3178" s="21">
        <f t="shared" si="844"/>
        <v>1.7260595202827402</v>
      </c>
      <c r="M3178" s="23">
        <f>IF(A3176=A3177,_xll.ciqfunctions.udf.CIQ(A3168,"IQ_TOTAL_DEBT_ISSUED",IQ_FY), _xll.ciqfunctions.udf.CIQ(A3168, "IQ_TOTAL_DEBT_ISSUED",IQ_LTM))</f>
        <v>0</v>
      </c>
      <c r="N3178" s="23">
        <f>IF(A3176=A3177,_xll.ciqfunctions.udf.CIQ(A3168,"IQ_TOTAL_DEBT_REPAID",IQ_FY), _xll.ciqfunctions.udf.CIQ(A3168, "IQ_TOTAL_DEBT_REPAID",IQ_LTM))</f>
        <v>0</v>
      </c>
      <c r="O3178" s="21">
        <f t="shared" si="845"/>
        <v>0</v>
      </c>
      <c r="P3178" s="21">
        <f t="shared" si="846"/>
        <v>1.7260595202827402</v>
      </c>
      <c r="Q3178" s="25" t="s">
        <v>45</v>
      </c>
      <c r="S3178" s="45"/>
      <c r="U3178" s="25"/>
      <c r="W3178" s="45"/>
      <c r="Y3178" s="25"/>
      <c r="AA3178" s="45"/>
    </row>
    <row r="3179" spans="1:27">
      <c r="B3179" s="24"/>
      <c r="C3179" s="25" t="s">
        <v>37</v>
      </c>
      <c r="E3179" s="26">
        <f>((D3178/D3173)^(1/5))-1</f>
        <v>0.18005585934504675</v>
      </c>
      <c r="F3179" s="27">
        <f>((F3178/F3173)^(1/5))-1</f>
        <v>-0.11509349274007363</v>
      </c>
      <c r="G3179" s="28"/>
      <c r="H3179" s="27" t="e">
        <f>((H3178/H3173)^(1/5))-1</f>
        <v>#DIV/0!</v>
      </c>
      <c r="I3179" s="27">
        <f>((I3178/I3173)^(1/5))-1</f>
        <v>-1.0118189210650108E-2</v>
      </c>
      <c r="J3179" s="27"/>
      <c r="K3179" s="27"/>
      <c r="L3179" s="26">
        <f>((L3178/L3173)^(1/5))-1</f>
        <v>-1.7605534108079084</v>
      </c>
      <c r="M3179" s="26"/>
      <c r="N3179" s="26"/>
      <c r="O3179" s="26"/>
      <c r="P3179" s="26">
        <f>((P3178/P3173)^(1/5))-1</f>
        <v>-1.7014360082085687</v>
      </c>
      <c r="Q3179" s="18"/>
      <c r="R3179" s="36"/>
      <c r="S3179" s="45"/>
      <c r="U3179" s="18"/>
      <c r="V3179" s="36"/>
      <c r="W3179" s="45"/>
      <c r="Y3179" s="18"/>
      <c r="Z3179" s="36"/>
      <c r="AA3179" s="45"/>
    </row>
    <row r="3180" spans="1:27">
      <c r="A3180" s="29"/>
      <c r="B3180" s="30"/>
      <c r="C3180" s="31" t="s">
        <v>38</v>
      </c>
      <c r="D3180" s="29"/>
      <c r="E3180" s="32">
        <f>((D3178/D3168)^(1/10))-1</f>
        <v>-9.8553923266866406E-3</v>
      </c>
      <c r="F3180" s="33">
        <f>((F3178/F3168)^(1/10))-1</f>
        <v>0.15426405082506922</v>
      </c>
      <c r="G3180" s="34"/>
      <c r="H3180" s="33" t="e">
        <f>((H3178/H3168)^(1/10))-1</f>
        <v>#DIV/0!</v>
      </c>
      <c r="I3180" s="33">
        <f>((I3178/I3168)^(1/10))-1</f>
        <v>-1.5908800198056849E-2</v>
      </c>
      <c r="J3180" s="33"/>
      <c r="K3180" s="33"/>
      <c r="L3180" s="32">
        <f>((L3178/L3168)^(1/10))-1</f>
        <v>-4.5486276963384586E-3</v>
      </c>
      <c r="M3180" s="32"/>
      <c r="N3180" s="32"/>
      <c r="O3180" s="32"/>
      <c r="P3180" s="32">
        <f>((P3178/P3168)^(1/10))-1</f>
        <v>-4.3798715607799243E-2</v>
      </c>
      <c r="Q3180" s="40"/>
      <c r="R3180" s="41"/>
      <c r="S3180" s="46"/>
      <c r="U3180" s="40"/>
      <c r="V3180" s="41"/>
      <c r="W3180" s="46"/>
      <c r="Y3180" s="40"/>
      <c r="Z3180" s="41"/>
      <c r="AA3180" s="46"/>
    </row>
    <row r="3181" spans="1:27">
      <c r="B3181" s="24"/>
      <c r="C3181" s="25"/>
      <c r="E3181" s="26"/>
      <c r="F3181" s="27"/>
      <c r="G3181" s="28"/>
      <c r="H3181" s="27"/>
      <c r="I3181" s="27"/>
      <c r="J3181" s="27"/>
      <c r="K3181" s="27"/>
      <c r="L3181" s="26"/>
      <c r="M3181" s="17"/>
      <c r="N3181" s="17"/>
      <c r="O3181" s="17"/>
      <c r="P3181" s="35"/>
      <c r="Q3181" s="18"/>
      <c r="R3181" s="36"/>
    </row>
    <row r="3182" spans="1:27">
      <c r="A3182" s="9" t="s">
        <v>0</v>
      </c>
      <c r="B3182" s="10"/>
      <c r="C3182" s="9" t="s">
        <v>1</v>
      </c>
      <c r="D3182" s="9" t="s">
        <v>2</v>
      </c>
      <c r="E3182" s="9" t="s">
        <v>3</v>
      </c>
      <c r="F3182" s="11" t="s">
        <v>4</v>
      </c>
      <c r="G3182" s="11" t="s">
        <v>5</v>
      </c>
      <c r="H3182" s="9" t="s">
        <v>6</v>
      </c>
      <c r="I3182" s="11" t="s">
        <v>7</v>
      </c>
      <c r="J3182" s="11" t="s">
        <v>8</v>
      </c>
      <c r="K3182" s="11" t="s">
        <v>9</v>
      </c>
      <c r="L3182" s="11" t="s">
        <v>10</v>
      </c>
      <c r="M3182" s="11" t="s">
        <v>11</v>
      </c>
      <c r="N3182" s="11" t="s">
        <v>12</v>
      </c>
      <c r="O3182" s="11" t="s">
        <v>13</v>
      </c>
      <c r="P3182" s="11" t="s">
        <v>14</v>
      </c>
      <c r="Q3182" s="37" t="s">
        <v>15</v>
      </c>
      <c r="R3182" s="42">
        <f>_xll.ciqfunctions.udf.CIQ(A3183,("IQ_LASTSALEPRICE"))</f>
        <v>23.49</v>
      </c>
      <c r="S3182" s="44"/>
      <c r="U3182" s="37" t="s">
        <v>15</v>
      </c>
      <c r="V3182" s="42">
        <f>_xll.ciqfunctions.udf.CIQ(A3183,("IQ_LASTSALEPRICE"))</f>
        <v>23.49</v>
      </c>
      <c r="W3182" s="44"/>
      <c r="Y3182" s="37" t="s">
        <v>15</v>
      </c>
      <c r="Z3182" s="42">
        <f>_xll.ciqfunctions.udf.CIQ(A3183,("IQ_LASTSALEPRICE"))</f>
        <v>23.49</v>
      </c>
      <c r="AA3182" s="44"/>
    </row>
    <row r="3183" spans="1:27">
      <c r="A3183" s="12" t="str">
        <f>Analysis!B214</f>
        <v>NYSE:MODN</v>
      </c>
      <c r="B3183" s="13">
        <v>1</v>
      </c>
      <c r="C3183" s="14" t="s">
        <v>16</v>
      </c>
      <c r="D3183" s="15">
        <f>IF(A3191=A3192,_xll.ciqfunctions.udf.CIQ(A3183,"IQ_TOTAL_REV",IQ_FY-10)/I3183,_xll.ciqfunctions.udf.CIQ(A3183, "IQ_TOTAL_REV",IQ_FY-9)/I3183)</f>
        <v>4.2936415308190465</v>
      </c>
      <c r="E3183" s="16"/>
      <c r="F3183" s="15">
        <f>IF(A3191=A3192,_xll.ciqfunctions.udf.CIQ(A3183,"IQ_DILUT_EPS_EXCL",IQ_FY-10), _xll.ciqfunctions.udf.CIQ(A3183, "IQ_DILUT_EPS_EXCL",IQ_FY-9))</f>
        <v>-5.7950000000000002E-2</v>
      </c>
      <c r="G3183" s="15">
        <f>IF(A3191=A3192,_xll.ciqfunctions.udf.CIQ(A3183,"IQ_EBITDA_MARGIN",IQ_FY-10), _xll.ciqfunctions.udf.CIQ(A3183, "IQ_EBITDA_MARGIN",IQ_FY-9))</f>
        <v>3.8761000000000001</v>
      </c>
      <c r="H3183" s="15">
        <f>IF(A3191=A3192,_xll.ciqfunctions.udf.CIQ(A3183,"IQ_TOTAL_DIV_PAID_CF",IQ_FY-10)/-I3183, _xll.ciqfunctions.udf.CIQ(A3183, "IQ_TOTAL_DIV_PAID_CF",IQ_FY-9)/-I3183)</f>
        <v>0</v>
      </c>
      <c r="I3183" s="17">
        <f>IF(A3191=A3192,_xll.ciqfunctions.udf.CIQ(A3183,"IQ_TOTAL_OUTSTANDING_FILING_DATE",IQ_FY-10), _xll.ciqfunctions.udf.CIQ(A3183, "IQ_TOTAL_OUTSTANDING_FILING_DATE",IQ_FY-9))</f>
        <v>23.733699999999999</v>
      </c>
      <c r="J3183" s="17">
        <f>IF(A3191=A3192,_xll.ciqfunctions.udf.CIQ(A3183,"IQ_CASH_OPER",IQ_FY-10), _xll.ciqfunctions.udf.CIQ(A3183, "IQ_CASH_OPER",IQ_FY-9))</f>
        <v>-0.41399999999999998</v>
      </c>
      <c r="K3183" s="17">
        <f>IF(A3191=A3192,_xll.ciqfunctions.udf.CIQ(A3183,"IQ_CAPEX",IQ_FY-10), _xll.ciqfunctions.udf.CIQ(A3183, "IQ_CAPEX",IQ_FY-9))</f>
        <v>-1.3919999999999999</v>
      </c>
      <c r="L3183" s="15">
        <f t="shared" ref="L3183:L3193" si="848">(J3183+K3183)/I3183</f>
        <v>-7.6094330003328603E-2</v>
      </c>
      <c r="M3183" s="17">
        <f>IF(A3191=A3192,_xll.ciqfunctions.udf.CIQ(A3183,"IQ_TOTAL_DEBT_ISSUED",IQ_FY-10), _xll.ciqfunctions.udf.CIQ(A3183, "IQ_TOTAL_DEBT_ISSUED",IQ_FY-9))</f>
        <v>0</v>
      </c>
      <c r="N3183" s="17">
        <f>IF(A3191=A3192,_xll.ciqfunctions.udf.CIQ(A3183,"IQ_TOTAL_DEBT_REPAID",IQ_FY-10), _xll.ciqfunctions.udf.CIQ(A3183, "IQ_TOTAL_DEBT_REPAID",IQ_FY-9))</f>
        <v>-5.7939999999999996</v>
      </c>
      <c r="O3183" s="15">
        <f t="shared" ref="O3183:O3193" si="849">(M3183+N3183)/I3183</f>
        <v>-0.2441254418822181</v>
      </c>
      <c r="P3183" s="15">
        <f t="shared" ref="P3183:P3193" si="850">L3183+O3183</f>
        <v>-0.32021977188554673</v>
      </c>
      <c r="W3183" s="43"/>
      <c r="AA3183" s="43"/>
    </row>
    <row r="3184" spans="1:27">
      <c r="A3184" s="18" t="str">
        <f>_xll.ciqfunctions.udf.CIQ(A3183,"IQ_COMPANY_NAME")</f>
        <v>Model N, Inc.</v>
      </c>
      <c r="B3184" s="13">
        <v>2</v>
      </c>
      <c r="C3184" s="14" t="s">
        <v>17</v>
      </c>
      <c r="D3184" s="15">
        <f>IF(A3191=A3192,_xll.ciqfunctions.udf.CIQ(A3183,"IQ_TOTAL_REV",IQ_FY-9)/I3184, _xll.ciqfunctions.udf.CIQ(A3183, "IQ_TOTAL_REV",IQ_FY-8)/I3184)</f>
        <v>3.2557039330795865</v>
      </c>
      <c r="E3184" s="16">
        <f t="shared" ref="E3184:E3193" si="851">(D3184-D3183)/D3183</f>
        <v>-0.24173829843253475</v>
      </c>
      <c r="F3184" s="15">
        <f>IF(A3191=A3192,_xll.ciqfunctions.udf.CIQ(A3183,"IQ_DILUT_EPS_EXCL",IQ_FY-9), _xll.ciqfunctions.udf.CIQ(A3183, "IQ_DILUT_EPS_EXCL",IQ_FY-8))</f>
        <v>-0.85580999999999996</v>
      </c>
      <c r="G3184" s="15">
        <f>IF(A3191=A3192,_xll.ciqfunctions.udf.CIQ(A3183,"IQ_EBITDA_MARGIN",IQ_FY-9), _xll.ciqfunctions.udf.CIQ(A3183, "IQ_EBITDA_MARGIN",IQ_FY-8))</f>
        <v>-20.366700000000002</v>
      </c>
      <c r="H3184" s="15">
        <f>IF(A3191=A3192,_xll.ciqfunctions.udf.CIQ(A3183,"IQ_TOTAL_DIV_PAID_CF",IQ_FY-9)/-I3184, _xll.ciqfunctions.udf.CIQ(A3183, "IQ_TOTAL_DIV_PAID_CF",IQ_FY-8)/-I3184)</f>
        <v>0</v>
      </c>
      <c r="I3184" s="17">
        <f>IF(A3191=A3192,_xll.ciqfunctions.udf.CIQ(A3183,"IQ_TOTAL_OUTSTANDING_FILING_DATE",IQ_FY-9), _xll.ciqfunctions.udf.CIQ(A3183, "IQ_TOTAL_OUTSTANDING_FILING_DATE",IQ_FY-8))</f>
        <v>25.111619999999998</v>
      </c>
      <c r="J3184" s="17">
        <f>IF(A3191=A3192,_xll.ciqfunctions.udf.CIQ(A3183,"IQ_CASH_OPER",IQ_FY-9), _xll.ciqfunctions.udf.CIQ(A3183, "IQ_CASH_OPER",IQ_FY-8))</f>
        <v>-6.05</v>
      </c>
      <c r="K3184" s="17">
        <f>IF(A3191=A3192,_xll.ciqfunctions.udf.CIQ(A3183,"IQ_CAPEX",IQ_FY-9), _xll.ciqfunctions.udf.CIQ(A3183, "IQ_CAPEX",IQ_FY-8))</f>
        <v>-1.835</v>
      </c>
      <c r="L3184" s="15">
        <f t="shared" si="848"/>
        <v>-0.31399806145521475</v>
      </c>
      <c r="M3184" s="17">
        <f>IF(A3191=A3192,_xll.ciqfunctions.udf.CIQ(A3183,"IQ_TOTAL_DEBT_ISSUED",IQ_FY-9), _xll.ciqfunctions.udf.CIQ(A3183, "IQ_TOTAL_DEBT_ISSUED",IQ_FY-8))</f>
        <v>0</v>
      </c>
      <c r="N3184" s="17">
        <f>IF(A3191=A3192,_xll.ciqfunctions.udf.CIQ(A3183,"IQ_TOTAL_DEBT_REPAID",IQ_FY-9), _xll.ciqfunctions.udf.CIQ(A3183, "IQ_TOTAL_DEBT_REPAID",IQ_FY-8))</f>
        <v>-0.318</v>
      </c>
      <c r="O3184" s="15">
        <f t="shared" si="849"/>
        <v>-1.2663460182975053E-2</v>
      </c>
      <c r="P3184" s="15">
        <f t="shared" si="850"/>
        <v>-0.32666152163818979</v>
      </c>
      <c r="Q3184" s="25" t="s">
        <v>18</v>
      </c>
      <c r="R3184" s="39" t="s">
        <v>19</v>
      </c>
      <c r="S3184" s="1">
        <f>R3182/((AVERAGE(P3188:P3193))*(1+E3194)^3)</f>
        <v>15.364294833816032</v>
      </c>
      <c r="U3184" s="25" t="s">
        <v>48</v>
      </c>
      <c r="V3184" s="39" t="s">
        <v>19</v>
      </c>
      <c r="W3184" s="1">
        <f>V3182/((AVERAGE(P3188:P3193))*(1+E3194)^3)</f>
        <v>15.364294833816032</v>
      </c>
      <c r="Y3184" s="25" t="s">
        <v>39</v>
      </c>
      <c r="Z3184" s="39" t="s">
        <v>19</v>
      </c>
      <c r="AA3184" s="1">
        <f>Z3182/((AVERAGE(P3188:P3193))*(1+E3194)^3)</f>
        <v>15.364294833816032</v>
      </c>
    </row>
    <row r="3185" spans="1:27">
      <c r="B3185" s="13">
        <v>3</v>
      </c>
      <c r="C3185" s="14" t="s">
        <v>20</v>
      </c>
      <c r="D3185" s="15" cm="1">
        <f t="array" ref="D3185">_xlfn.SINGLE(IF(A3191=A3192,_xll.ciqfunctions.udf.CIQ(A3183,"IQ_TOTAL_REV",IQ_FY-8)/I3185, _xll.ciqfunctions.udf.CIQ(A3183, "IQ_TOTAL_REV",IQ_FY-7)/I3185))</f>
        <v>3.5162784627944155</v>
      </c>
      <c r="E3185" s="16">
        <f t="shared" si="851"/>
        <v>8.0036310140876421E-2</v>
      </c>
      <c r="F3185" s="15">
        <f>IF(A3191=A3192,_xll.ciqfunctions.udf.CIQ(A3183,"IQ_DILUT_EPS_EXCL",IQ_FY-8), _xll.ciqfunctions.udf.CIQ(A3183, "IQ_DILUT_EPS_EXCL",IQ_FY-7))</f>
        <v>-0.75490999999999997</v>
      </c>
      <c r="G3185" s="15">
        <f>IF(A3191=A3192,_xll.ciqfunctions.udf.CIQ(A3183,"IQ_EBITDA_MARGIN",IQ_FY-8), _xll.ciqfunctions.udf.CIQ(A3183, "IQ_EBITDA_MARGIN",IQ_FY-7))</f>
        <v>-14.6937</v>
      </c>
      <c r="H3185" s="15">
        <f>IF(A3191=A3192,_xll.ciqfunctions.udf.CIQ(A3183,"IQ_TOTAL_DIV_PAID_CF",IQ_FY-8)/-I3185, _xll.ciqfunctions.udf.CIQ(A3183, "IQ_TOTAL_DIV_PAID_CF",IQ_FY-7)/-I3185)</f>
        <v>0</v>
      </c>
      <c r="I3185" s="17">
        <f>IF(A3191=A3192,_xll.ciqfunctions.udf.CIQ(A3183,"IQ_TOTAL_OUTSTANDING_FILING_DATE",IQ_FY-8), _xll.ciqfunctions.udf.CIQ(A3183, "IQ_TOTAL_OUTSTANDING_FILING_DATE",IQ_FY-7))</f>
        <v>26.666830000000001</v>
      </c>
      <c r="J3185" s="17">
        <f>IF(A3191=A3192,_xll.ciqfunctions.udf.CIQ(A3183,"IQ_CASH_OPER",IQ_FY-8), _xll.ciqfunctions.udf.CIQ(A3183, "IQ_CASH_OPER",IQ_FY-7))</f>
        <v>-8.7720000000000002</v>
      </c>
      <c r="K3185" s="17">
        <f>IF(A3191=A3192,_xll.ciqfunctions.udf.CIQ(A3183,"IQ_CAPEX",IQ_FY-8), _xll.ciqfunctions.udf.CIQ(A3183, "IQ_CAPEX",IQ_FY-7))</f>
        <v>-2.0750000000000002</v>
      </c>
      <c r="L3185" s="15">
        <f t="shared" si="848"/>
        <v>-0.40676000859494738</v>
      </c>
      <c r="M3185" s="17">
        <f>IF(A3191=A3192,_xll.ciqfunctions.udf.CIQ(A3183,"IQ_TOTAL_DEBT_ISSUED",IQ_FY-8), _xll.ciqfunctions.udf.CIQ(A3183, "IQ_TOTAL_DEBT_ISSUED",IQ_FY-7))</f>
        <v>0</v>
      </c>
      <c r="N3185" s="17">
        <f>IF(A3191=A3192,_xll.ciqfunctions.udf.CIQ(A3183,"IQ_TOTAL_DEBT_REPAID",IQ_FY-8), _xll.ciqfunctions.udf.CIQ(A3183, "IQ_TOTAL_DEBT_REPAID",IQ_FY-7))</f>
        <v>0</v>
      </c>
      <c r="O3185" s="15">
        <f t="shared" si="849"/>
        <v>0</v>
      </c>
      <c r="P3185" s="15">
        <f t="shared" si="850"/>
        <v>-0.40676000859494738</v>
      </c>
      <c r="Q3185" s="25" t="s">
        <v>21</v>
      </c>
      <c r="R3185" s="38" t="s">
        <v>49</v>
      </c>
      <c r="S3185" s="2">
        <f>(R3182*I3193)/1000</f>
        <v>0.91056307140000003</v>
      </c>
      <c r="U3185" s="25" t="s">
        <v>59</v>
      </c>
      <c r="V3185" s="38" t="s">
        <v>49</v>
      </c>
      <c r="W3185" s="2">
        <f>(V3182*I3193)/1000</f>
        <v>0.91056307140000003</v>
      </c>
      <c r="Y3185" s="25" t="s">
        <v>46</v>
      </c>
      <c r="Z3185" s="38" t="s">
        <v>49</v>
      </c>
      <c r="AA3185" s="2">
        <f>(Z3182*I3193)/1000</f>
        <v>0.91056307140000003</v>
      </c>
    </row>
    <row r="3186" spans="1:27">
      <c r="A3186" s="18"/>
      <c r="B3186" s="13">
        <v>4</v>
      </c>
      <c r="C3186" s="14" t="s">
        <v>22</v>
      </c>
      <c r="D3186" s="15" cm="1">
        <f t="array" ref="D3186">_xlfn.SINGLE(IF(A3191=A3192,_xll.ciqfunctions.udf.CIQ(A3183,"IQ_TOTAL_REV",IQ_FY-7)/I3186, _xll.ciqfunctions.udf.CIQ(A3183, "IQ_TOTAL_REV",IQ_FY-6)/I3186))</f>
        <v>3.8347457627118646</v>
      </c>
      <c r="E3186" s="16">
        <f t="shared" si="851"/>
        <v>9.056941971096355E-2</v>
      </c>
      <c r="F3186" s="15">
        <f>IF(A3191=A3192,_xll.ciqfunctions.udf.CIQ(A3183,"IQ_DILUT_EPS_EXCL",IQ_FY-7), _xll.ciqfunctions.udf.CIQ(A3183, "IQ_DILUT_EPS_EXCL",IQ_FY-6))</f>
        <v>-1.20936</v>
      </c>
      <c r="G3186" s="15">
        <f>IF(A3191=A3192,_xll.ciqfunctions.udf.CIQ(A3183,"IQ_EBITDA_MARGIN",IQ_FY-7), _xll.ciqfunctions.udf.CIQ(A3183, "IQ_EBITDA_MARGIN",IQ_FY-6))</f>
        <v>-24.778600000000001</v>
      </c>
      <c r="H3186" s="15">
        <f>IF(A3191=A3192,_xll.ciqfunctions.udf.CIQ(A3183,"IQ_TOTAL_DIV_PAID_CF",IQ_FY-7)/-I3186, _xll.ciqfunctions.udf.CIQ(A3183, "IQ_TOTAL_DIV_PAID_CF",IQ_FY-6)/-I3186)</f>
        <v>0</v>
      </c>
      <c r="I3186" s="17">
        <f>IF(A3191=A3192,_xll.ciqfunctions.udf.CIQ(A3183,"IQ_TOTAL_OUTSTANDING_FILING_DATE",IQ_FY-7), _xll.ciqfunctions.udf.CIQ(A3183, "IQ_TOTAL_OUTSTANDING_FILING_DATE",IQ_FY-6))</f>
        <v>27.895199999999999</v>
      </c>
      <c r="J3186" s="17">
        <f>IF(A3191=A3192,_xll.ciqfunctions.udf.CIQ(A3183,"IQ_CASH_OPER",IQ_FY-7), _xll.ciqfunctions.udf.CIQ(A3183, "IQ_CASH_OPER",IQ_FY-6))</f>
        <v>-12.324</v>
      </c>
      <c r="K3186" s="17">
        <f>IF(A3191=A3192,_xll.ciqfunctions.udf.CIQ(A3183,"IQ_CAPEX",IQ_FY-7), _xll.ciqfunctions.udf.CIQ(A3183, "IQ_CAPEX",IQ_FY-6))</f>
        <v>-2.1019999999999999</v>
      </c>
      <c r="L3186" s="15">
        <f t="shared" si="848"/>
        <v>-0.51714990392612348</v>
      </c>
      <c r="M3186" s="17">
        <f>IF(A3191=A3192,_xll.ciqfunctions.udf.CIQ(A3183,"IQ_TOTAL_DEBT_ISSUED",IQ_FY-7), _xll.ciqfunctions.udf.CIQ(A3183, "IQ_TOTAL_DEBT_ISSUED",IQ_FY-6))</f>
        <v>0</v>
      </c>
      <c r="N3186" s="17">
        <f>IF(A3191=A3192,_xll.ciqfunctions.udf.CIQ(A3183,"IQ_TOTAL_DEBT_REPAID",IQ_FY-7), _xll.ciqfunctions.udf.CIQ(A3183, "IQ_TOTAL_DEBT_REPAID",IQ_FY-6))</f>
        <v>0</v>
      </c>
      <c r="O3186" s="15">
        <f t="shared" si="849"/>
        <v>0</v>
      </c>
      <c r="P3186" s="15">
        <f t="shared" si="850"/>
        <v>-0.51714990392612348</v>
      </c>
      <c r="Q3186" s="25" t="s">
        <v>23</v>
      </c>
      <c r="R3186" s="38" t="s">
        <v>24</v>
      </c>
      <c r="S3186" s="1" t="e">
        <f>R3182/(AVERAGE(H3188:H3193)*(1+H3194)/(0.5-H3194))</f>
        <v>#DIV/0!</v>
      </c>
      <c r="U3186" s="25" t="s">
        <v>40</v>
      </c>
      <c r="V3186" s="38" t="s">
        <v>24</v>
      </c>
      <c r="W3186" s="1" t="e">
        <f>V3182/(AVERAGE(H3188:H3193)*(1+H3194)/(0.5-H3194))</f>
        <v>#DIV/0!</v>
      </c>
      <c r="Y3186" s="25" t="s">
        <v>47</v>
      </c>
      <c r="Z3186" s="38" t="s">
        <v>24</v>
      </c>
      <c r="AA3186" s="1" t="e">
        <f>Z3182/(AVERAGE(H3188:H3193)*(1+H3194)/(0.5-H3194))</f>
        <v>#DIV/0!</v>
      </c>
    </row>
    <row r="3187" spans="1:27">
      <c r="B3187" s="13">
        <v>5</v>
      </c>
      <c r="C3187" s="14" t="s">
        <v>25</v>
      </c>
      <c r="D3187" s="15" cm="1">
        <f t="array" ref="D3187">_xlfn.SINGLE(IF(A3191=A3192,_xll.ciqfunctions.udf.CIQ(A3183,"IQ_TOTAL_REV",IQ_FY-6)/I3187, _xll.ciqfunctions.udf.CIQ(A3183, "IQ_TOTAL_REV",IQ_FY-5)/I3187))</f>
        <v>4.472183231009101</v>
      </c>
      <c r="E3187" s="16">
        <f t="shared" si="851"/>
        <v>0.16622678731287047</v>
      </c>
      <c r="F3187" s="15">
        <f>IF(A3191=A3192,_xll.ciqfunctions.udf.CIQ(A3183,"IQ_DILUT_EPS_EXCL",IQ_FY-6), _xll.ciqfunctions.udf.CIQ(A3183, "IQ_DILUT_EPS_EXCL",IQ_FY-5))</f>
        <v>-1.3804000000000001</v>
      </c>
      <c r="G3187" s="15">
        <f>IF(A3191=A3192,_xll.ciqfunctions.udf.CIQ(A3183,"IQ_EBITDA_MARGIN",IQ_FY-6), _xll.ciqfunctions.udf.CIQ(A3183, "IQ_EBITDA_MARGIN",IQ_FY-5))</f>
        <v>-21.518799999999999</v>
      </c>
      <c r="H3187" s="15">
        <f>IF(A3191=A3192,_xll.ciqfunctions.udf.CIQ(A3183,"IQ_TOTAL_DIV_PAID_CF",IQ_FY-6)/-I3187, _xll.ciqfunctions.udf.CIQ(A3183, "IQ_TOTAL_DIV_PAID_CF",IQ_FY-5)/-I3187)</f>
        <v>0</v>
      </c>
      <c r="I3187" s="17">
        <f>IF(A3191=A3192,_xll.ciqfunctions.udf.CIQ(A3183,"IQ_TOTAL_OUTSTANDING_FILING_DATE",IQ_FY-6), _xll.ciqfunctions.udf.CIQ(A3183, "IQ_TOTAL_OUTSTANDING_FILING_DATE",IQ_FY-5))</f>
        <v>29.329969999999999</v>
      </c>
      <c r="J3187" s="17">
        <f>IF(A3191=A3192,_xll.ciqfunctions.udf.CIQ(A3183,"IQ_CASH_OPER",IQ_FY-6), _xll.ciqfunctions.udf.CIQ(A3183, "IQ_CASH_OPER",IQ_FY-5))</f>
        <v>-11.965</v>
      </c>
      <c r="K3187" s="17">
        <f>IF(A3191=A3192,_xll.ciqfunctions.udf.CIQ(A3183,"IQ_CAPEX",IQ_FY-6), _xll.ciqfunctions.udf.CIQ(A3183, "IQ_CAPEX",IQ_FY-5))</f>
        <v>-0.35899999999999999</v>
      </c>
      <c r="L3187" s="15">
        <f t="shared" si="848"/>
        <v>-0.42018454161391916</v>
      </c>
      <c r="M3187" s="17">
        <f>IF(A3191=A3192,_xll.ciqfunctions.udf.CIQ(A3183,"IQ_TOTAL_DEBT_ISSUED",IQ_FY-6), _xll.ciqfunctions.udf.CIQ(A3183, "IQ_TOTAL_DEBT_ISSUED",IQ_FY-5))</f>
        <v>48.686</v>
      </c>
      <c r="N3187" s="17">
        <f>IF(A3191=A3192,_xll.ciqfunctions.udf.CIQ(A3183,"IQ_TOTAL_DEBT_REPAID",IQ_FY-6), _xll.ciqfunctions.udf.CIQ(A3183, "IQ_TOTAL_DEBT_REPAID",IQ_FY-5))</f>
        <v>0</v>
      </c>
      <c r="O3187" s="15">
        <f t="shared" si="849"/>
        <v>1.6599403272488857</v>
      </c>
      <c r="P3187" s="15">
        <f t="shared" si="850"/>
        <v>1.2397557856349666</v>
      </c>
      <c r="Q3187" s="18"/>
      <c r="R3187" s="38" t="s">
        <v>50</v>
      </c>
      <c r="S3187" s="3">
        <f>I3194</f>
        <v>4.2721072862789367E-2</v>
      </c>
      <c r="U3187" s="18"/>
      <c r="V3187" s="38" t="s">
        <v>50</v>
      </c>
      <c r="W3187" s="3">
        <f>I3194</f>
        <v>4.2721072862789367E-2</v>
      </c>
      <c r="Y3187" s="18"/>
      <c r="Z3187" s="38" t="s">
        <v>50</v>
      </c>
      <c r="AA3187" s="3">
        <f>I3194</f>
        <v>4.2721072862789367E-2</v>
      </c>
    </row>
    <row r="3188" spans="1:27">
      <c r="B3188" s="13">
        <v>6</v>
      </c>
      <c r="C3188" s="14" t="s">
        <v>26</v>
      </c>
      <c r="D3188" s="15" cm="1">
        <f t="array" ref="D3188">_xlfn.SINGLE(IF(A3191=A3192,_xll.ciqfunctions.udf.CIQ(A3183,"IQ_TOTAL_REV",IQ_FY-5)/I3188, _xll.ciqfunctions.udf.CIQ(A3183, "IQ_TOTAL_REV",IQ_FY-4)/I3188))</f>
        <v>4.9171460633926181</v>
      </c>
      <c r="E3188" s="16">
        <f t="shared" si="851"/>
        <v>9.949566227480261E-2</v>
      </c>
      <c r="F3188" s="15">
        <f>IF(A3191=A3192,_xll.ciqfunctions.udf.CIQ(A3183,"IQ_DILUT_EPS_EXCL",IQ_FY-5), _xll.ciqfunctions.udf.CIQ(A3183, "IQ_DILUT_EPS_EXCL",IQ_FY-4))</f>
        <v>-0.92878000000000005</v>
      </c>
      <c r="G3188" s="15">
        <f>IF(A3191=A3192,_xll.ciqfunctions.udf.CIQ(A3183,"IQ_EBITDA_MARGIN",IQ_FY-5), _xll.ciqfunctions.udf.CIQ(A3183, "IQ_EBITDA_MARGIN",IQ_FY-4))</f>
        <v>-8.0701000000000001</v>
      </c>
      <c r="H3188" s="15">
        <f>IF(A3191=A3192,_xll.ciqfunctions.udf.CIQ(A3183,"IQ_TOTAL_DIV_PAID_CF",IQ_FY-5)/-I3188, _xll.ciqfunctions.udf.CIQ(A3183, "IQ_TOTAL_DIV_PAID_CF",IQ_FY-4)/-I3188)</f>
        <v>0</v>
      </c>
      <c r="I3188" s="17">
        <f>IF(A3191=A3192,_xll.ciqfunctions.udf.CIQ(A3183,"IQ_TOTAL_OUTSTANDING_FILING_DATE",IQ_FY-5), _xll.ciqfunctions.udf.CIQ(A3183, "IQ_TOTAL_OUTSTANDING_FILING_DATE",IQ_FY-4))</f>
        <v>31.447510000000001</v>
      </c>
      <c r="J3188" s="17">
        <f>IF(A3191=A3192,_xll.ciqfunctions.udf.CIQ(A3183,"IQ_CASH_OPER",IQ_FY-5), _xll.ciqfunctions.udf.CIQ(A3183, "IQ_CASH_OPER",IQ_FY-4))</f>
        <v>2.5230000000000001</v>
      </c>
      <c r="K3188" s="17">
        <f>IF(A3191=A3192,_xll.ciqfunctions.udf.CIQ(A3183,"IQ_CAPEX",IQ_FY-5), _xll.ciqfunctions.udf.CIQ(A3183, "IQ_CAPEX",IQ_FY-4))</f>
        <v>-0.252</v>
      </c>
      <c r="L3188" s="15">
        <f t="shared" si="848"/>
        <v>7.2215574460426271E-2</v>
      </c>
      <c r="M3188" s="17">
        <f>IF(A3191=A3192,_xll.ciqfunctions.udf.CIQ(A3183,"IQ_TOTAL_DEBT_ISSUED",IQ_FY-5), _xll.ciqfunctions.udf.CIQ(A3183, "IQ_TOTAL_DEBT_ISSUED",IQ_FY-4))</f>
        <v>49.308</v>
      </c>
      <c r="N3188" s="17">
        <f>IF(A3191=A3192,_xll.ciqfunctions.udf.CIQ(A3183,"IQ_TOTAL_DEBT_REPAID",IQ_FY-5), _xll.ciqfunctions.udf.CIQ(A3183, "IQ_TOTAL_DEBT_REPAID",IQ_FY-4))</f>
        <v>-55.25</v>
      </c>
      <c r="O3188" s="15">
        <f t="shared" si="849"/>
        <v>-0.18894977694577408</v>
      </c>
      <c r="P3188" s="15">
        <f t="shared" si="850"/>
        <v>-0.11673420248534781</v>
      </c>
      <c r="Q3188" s="25" t="s">
        <v>27</v>
      </c>
      <c r="R3188" s="38" t="s">
        <v>51</v>
      </c>
      <c r="S3188" s="4">
        <f>AVERAGE(F3188:F3193)/AVERAGE(D3188:D3193)</f>
        <v>-0.14093238354742596</v>
      </c>
      <c r="U3188" s="25" t="s">
        <v>58</v>
      </c>
      <c r="V3188" s="38" t="s">
        <v>51</v>
      </c>
      <c r="W3188" s="4">
        <f>AVERAGE(F3188:F3193)/AVERAGE(D3188:D3193)</f>
        <v>-0.14093238354742596</v>
      </c>
      <c r="Y3188" s="25" t="s">
        <v>56</v>
      </c>
      <c r="Z3188" s="38" t="s">
        <v>51</v>
      </c>
      <c r="AA3188" s="4">
        <f>AVERAGE(F3188:F3193)/AVERAGE(D3188:D3193)</f>
        <v>-0.14093238354742596</v>
      </c>
    </row>
    <row r="3189" spans="1:27">
      <c r="A3189" s="18"/>
      <c r="B3189" s="13">
        <v>7</v>
      </c>
      <c r="C3189" s="14" t="s">
        <v>28</v>
      </c>
      <c r="D3189" s="15" cm="1">
        <f t="array" ref="D3189">_xlfn.SINGLE(IF(A3191=A3192,_xll.ciqfunctions.udf.CIQ(A3183,"IQ_TOTAL_REV",IQ_FY-4)/I3189, _xll.ciqfunctions.udf.CIQ(A3183, "IQ_TOTAL_REV",IQ_FY-3)/I3189))</f>
        <v>4.2804879638079267</v>
      </c>
      <c r="E3189" s="16">
        <f t="shared" si="851"/>
        <v>-0.12947715837129817</v>
      </c>
      <c r="F3189" s="15">
        <f>IF(A3191=A3192,_xll.ciqfunctions.udf.CIQ(A3183,"IQ_DILUT_EPS_EXCL",IQ_FY-4), _xll.ciqfunctions.udf.CIQ(A3183, "IQ_DILUT_EPS_EXCL",IQ_FY-3))</f>
        <v>-0.59857000000000005</v>
      </c>
      <c r="G3189" s="15">
        <f>IF(A3191=A3192,_xll.ciqfunctions.udf.CIQ(A3183,"IQ_EBITDA_MARGIN",IQ_FY-4), _xll.ciqfunctions.udf.CIQ(A3183, "IQ_EBITDA_MARGIN",IQ_FY-3))</f>
        <v>-5.8207000000000004</v>
      </c>
      <c r="H3189" s="15">
        <f>IF(A3191=A3192,_xll.ciqfunctions.udf.CIQ(A3183,"IQ_TOTAL_DIV_PAID_CF",IQ_FY-4)/-I3189, _xll.ciqfunctions.udf.CIQ(A3183, "IQ_TOTAL_DIV_PAID_CF",IQ_FY-3)/-I3189)</f>
        <v>0</v>
      </c>
      <c r="I3189" s="17">
        <f>IF(A3191=A3192,_xll.ciqfunctions.udf.CIQ(A3183,"IQ_TOTAL_OUTSTANDING_FILING_DATE",IQ_FY-4), _xll.ciqfunctions.udf.CIQ(A3183, "IQ_TOTAL_OUTSTANDING_FILING_DATE",IQ_FY-3))</f>
        <v>32.995069999999998</v>
      </c>
      <c r="J3189" s="17">
        <f>IF(A3191=A3192,_xll.ciqfunctions.udf.CIQ(A3183,"IQ_CASH_OPER",IQ_FY-4), _xll.ciqfunctions.udf.CIQ(A3183, "IQ_CASH_OPER",IQ_FY-3))</f>
        <v>10.45</v>
      </c>
      <c r="K3189" s="17">
        <f>IF(A3191=A3192,_xll.ciqfunctions.udf.CIQ(A3183,"IQ_CAPEX",IQ_FY-4), _xll.ciqfunctions.udf.CIQ(A3183, "IQ_CAPEX",IQ_FY-3))</f>
        <v>-0.28000000000000003</v>
      </c>
      <c r="L3189" s="15">
        <f t="shared" si="848"/>
        <v>0.30822786555688475</v>
      </c>
      <c r="M3189" s="17">
        <f>IF(A3191=A3192,_xll.ciqfunctions.udf.CIQ(A3183,"IQ_TOTAL_DEBT_ISSUED",IQ_FY-4), _xll.ciqfunctions.udf.CIQ(A3183, "IQ_TOTAL_DEBT_ISSUED",IQ_FY-3))</f>
        <v>0</v>
      </c>
      <c r="N3189" s="17">
        <f>IF(A3191=A3192,_xll.ciqfunctions.udf.CIQ(A3183,"IQ_TOTAL_DEBT_REPAID",IQ_FY-4), _xll.ciqfunctions.udf.CIQ(A3183, "IQ_TOTAL_DEBT_REPAID",IQ_FY-3))</f>
        <v>-10</v>
      </c>
      <c r="O3189" s="15">
        <f t="shared" si="849"/>
        <v>-0.30307558068523571</v>
      </c>
      <c r="P3189" s="15">
        <f t="shared" si="850"/>
        <v>5.1522848716490377E-3</v>
      </c>
      <c r="Q3189" s="18"/>
      <c r="R3189" s="38" t="s">
        <v>29</v>
      </c>
      <c r="S3189" s="4">
        <f>(AVERAGE(P3188:P3193)/_xlfn.STDEV.P(P3188:P3193))/(IF(A3191=A3192,(_xlfn.SINGLE(_xll.ciqfunctions.udf.CIQ(A3183,"IQ_total_assets",IQ_FY)) - _xlfn.SINGLE(_xll.ciqfunctions.udf.CIQ(A3183,"iq_gw_intan", IQ_FY)))/I3193, (_xlfn.SINGLE(_xll.ciqfunctions.udf.CIQ(A3183, "IQ_total_assets",IQ_LTM))-_xlfn.SINGLE(_xll.ciqfunctions.udf.CIQ(A3183,"iq_gw_intan",IQ_LTM)))/I3193))</f>
        <v>8.2028512866440736E-2</v>
      </c>
      <c r="U3189" s="18"/>
      <c r="V3189" s="38" t="s">
        <v>29</v>
      </c>
      <c r="W3189" s="4">
        <f>(AVERAGE(P3188:P3193)/_xlfn.STDEV.P(P3188:P3193))/(IF(A3191=A3192,(_xlfn.SINGLE(_xll.ciqfunctions.udf.CIQ(A3183,"IQ_total_assets",IQ_FY)) - _xlfn.SINGLE(_xll.ciqfunctions.udf.CIQ(A3183,"iq_gw_intan", IQ_FY)))/I3193, (_xlfn.SINGLE(_xll.ciqfunctions.udf.CIQ(A3183, "IQ_total_assets",IQ_LTM))-_xlfn.SINGLE(_xll.ciqfunctions.udf.CIQ(A3183,"iq_gw_intan",IQ_LTM)))/I3193))</f>
        <v>8.2028512866440736E-2</v>
      </c>
      <c r="Y3189" s="18"/>
      <c r="Z3189" s="38" t="s">
        <v>29</v>
      </c>
      <c r="AA3189" s="4">
        <f>(AVERAGE(P3188:P3193)/_xlfn.STDEV.P(P3188:P3193))/(IF(A3191=A3192,(_xlfn.SINGLE(_xll.ciqfunctions.udf.CIQ(A3183,"IQ_total_assets",IQ_FY)) - _xlfn.SINGLE(_xll.ciqfunctions.udf.CIQ(A3183,"iq_gw_intan", IQ_FY)))/I3193, (_xlfn.SINGLE(_xll.ciqfunctions.udf.CIQ(A3183, "IQ_total_assets",IQ_LTM))-_xlfn.SINGLE(_xll.ciqfunctions.udf.CIQ(A3183,"iq_gw_intan",IQ_LTM)))/I3193))</f>
        <v>8.2028512866440736E-2</v>
      </c>
    </row>
    <row r="3190" spans="1:27">
      <c r="A3190" s="18"/>
      <c r="B3190" s="13">
        <v>8</v>
      </c>
      <c r="C3190" s="14" t="s">
        <v>30</v>
      </c>
      <c r="D3190" s="15" cm="1">
        <f t="array" ref="D3190">_xlfn.SINGLE(IF(A3191=A3192,_xll.ciqfunctions.udf.CIQ(A3183,"IQ_TOTAL_REV",IQ_FY-3)/I3190, _xll.ciqfunctions.udf.CIQ(A3183, "IQ_TOTAL_REV",IQ_FY-2)/I3190))</f>
        <v>4.6252176829800629</v>
      </c>
      <c r="E3190" s="16">
        <f t="shared" si="851"/>
        <v>8.0535145078521414E-2</v>
      </c>
      <c r="F3190" s="15">
        <f>IF(A3191=A3192,_xll.ciqfunctions.udf.CIQ(A3183,"IQ_DILUT_EPS_EXCL",IQ_FY-3), _xll.ciqfunctions.udf.CIQ(A3183, "IQ_DILUT_EPS_EXCL",IQ_FY-2))</f>
        <v>-0.40178999999999998</v>
      </c>
      <c r="G3190" s="15">
        <f>IF(A3191=A3192,_xll.ciqfunctions.udf.CIQ(A3183,"IQ_EBITDA_MARGIN",IQ_FY-3), _xll.ciqfunctions.udf.CIQ(A3183, "IQ_EBITDA_MARGIN",IQ_FY-2))</f>
        <v>-0.68789999999999996</v>
      </c>
      <c r="H3190" s="15">
        <f>IF(A3191=A3192,_xll.ciqfunctions.udf.CIQ(A3183,"IQ_TOTAL_DIV_PAID_CF",IQ_FY-3)/-I3190, _xll.ciqfunctions.udf.CIQ(A3183, "IQ_TOTAL_DIV_PAID_CF",IQ_FY-2)/-I3190)</f>
        <v>0</v>
      </c>
      <c r="I3190" s="17">
        <f>IF(A3191=A3192,_xll.ciqfunctions.udf.CIQ(A3183,"IQ_TOTAL_OUTSTANDING_FILING_DATE",IQ_FY-3), _xll.ciqfunctions.udf.CIQ(A3183, "IQ_TOTAL_OUTSTANDING_FILING_DATE",IQ_FY-2))</f>
        <v>34.821280000000002</v>
      </c>
      <c r="J3190" s="17">
        <f>IF(A3191=A3192,_xll.ciqfunctions.udf.CIQ(A3183,"IQ_CASH_OPER",IQ_FY-3), _xll.ciqfunctions.udf.CIQ(A3183, "IQ_CASH_OPER",IQ_FY-2))</f>
        <v>14.406000000000001</v>
      </c>
      <c r="K3190" s="17">
        <f>IF(A3191=A3192,_xll.ciqfunctions.udf.CIQ(A3183,"IQ_CAPEX",IQ_FY-3), _xll.ciqfunctions.udf.CIQ(A3183, "IQ_CAPEX",IQ_FY-2))</f>
        <v>-0.57899999999999996</v>
      </c>
      <c r="L3190" s="15">
        <f t="shared" si="848"/>
        <v>0.39708477115143381</v>
      </c>
      <c r="M3190" s="17">
        <f>IF(A3191=A3192,_xll.ciqfunctions.udf.CIQ(A3183,"IQ_TOTAL_DEBT_ISSUED",IQ_FY-3), _xll.ciqfunctions.udf.CIQ(A3183, "IQ_TOTAL_DEBT_ISSUED",IQ_FY-2))</f>
        <v>166.40899999999999</v>
      </c>
      <c r="N3190" s="17">
        <f>IF(A3191=A3192,_xll.ciqfunctions.udf.CIQ(A3183,"IQ_TOTAL_DEBT_REPAID",IQ_FY-3), _xll.ciqfunctions.udf.CIQ(A3183, "IQ_TOTAL_DEBT_REPAID",IQ_FY-2))</f>
        <v>-44.75</v>
      </c>
      <c r="O3190" s="15">
        <f t="shared" si="849"/>
        <v>3.4938118300073975</v>
      </c>
      <c r="P3190" s="15">
        <f t="shared" si="850"/>
        <v>3.8908966011588313</v>
      </c>
      <c r="Q3190" s="18"/>
      <c r="R3190" s="39" t="s">
        <v>31</v>
      </c>
      <c r="S3190" s="5">
        <f>IF(NOT(D3183&gt;0),FALSE,SLOPE(G3183:G3193,B3183:B3193))</f>
        <v>1.4993900000000002</v>
      </c>
      <c r="U3190" s="18"/>
      <c r="V3190" s="39" t="s">
        <v>31</v>
      </c>
      <c r="W3190" s="5">
        <f>IF(NOT(D3183&gt;0),FALSE,SLOPE(G3183:G3193,B3183:B3193))</f>
        <v>1.4993900000000002</v>
      </c>
      <c r="Y3190" s="18"/>
      <c r="Z3190" s="39" t="s">
        <v>31</v>
      </c>
      <c r="AA3190" s="5" t="b">
        <f>IF(NOT(L3183&gt;0),FALSE,SLOPE(O3183:O3193,J3183:J3193))</f>
        <v>0</v>
      </c>
    </row>
    <row r="3191" spans="1:27">
      <c r="A3191" s="19">
        <f>_xll.ciqfunctions.udf.CIQ(A3183,"IQ_TOTAL_REV",IQ_FY)</f>
        <v>249.46299999999999</v>
      </c>
      <c r="B3191" s="13">
        <v>9</v>
      </c>
      <c r="C3191" s="14" t="s">
        <v>32</v>
      </c>
      <c r="D3191" s="15" cm="1">
        <f t="array" ref="D3191">_xlfn.SINGLE(IF(A3191=A3192,_xll.ciqfunctions.udf.CIQ(A3183,"IQ_TOTAL_REV",IQ_FY-2)/I3191, _xll.ciqfunctions.udf.CIQ(A3183, "IQ_TOTAL_REV",IQ_FY-1)/I3191))</f>
        <v>5.3642308445283993</v>
      </c>
      <c r="E3191" s="16">
        <f t="shared" si="851"/>
        <v>0.15977910926609287</v>
      </c>
      <c r="F3191" s="15">
        <f>IF(A3191=A3192,_xll.ciqfunctions.udf.CIQ(A3183,"IQ_DILUT_EPS_EXCL",IQ_FY-2), _xll.ciqfunctions.udf.CIQ(A3183, "IQ_DILUT_EPS_EXCL",IQ_FY-1))</f>
        <v>-0.83857999999999999</v>
      </c>
      <c r="G3191" s="15">
        <f>IF(A3191=A3192,_xll.ciqfunctions.udf.CIQ(A3183,"IQ_EBITDA_MARGIN",IQ_FY-2), _xll.ciqfunctions.udf.CIQ(A3183, "IQ_EBITDA_MARGIN",IQ_FY-1))</f>
        <v>-2.0377000000000001</v>
      </c>
      <c r="H3191" s="15">
        <f>IF(A3191=A3192,_xll.ciqfunctions.udf.CIQ(A3183,"IQ_TOTAL_DIV_PAID_CF",IQ_FY-2)/-I3191, _xll.ciqfunctions.udf.CIQ(A3183, "IQ_TOTAL_DIV_PAID_CF",IQ_FY-1)/-I3191)</f>
        <v>0</v>
      </c>
      <c r="I3191" s="17">
        <f>IF(A3191=A3192,_xll.ciqfunctions.udf.CIQ(A3183,"IQ_TOTAL_OUTSTANDING_FILING_DATE",IQ_FY-2), _xll.ciqfunctions.udf.CIQ(A3183, "IQ_TOTAL_OUTSTANDING_FILING_DATE",IQ_FY-1))</f>
        <v>36.062019999999997</v>
      </c>
      <c r="J3191" s="17">
        <f>IF(A3191=A3192,_xll.ciqfunctions.udf.CIQ(A3183,"IQ_CASH_OPER",IQ_FY-2), _xll.ciqfunctions.udf.CIQ(A3183, "IQ_CASH_OPER",IQ_FY-1))</f>
        <v>19.59</v>
      </c>
      <c r="K3191" s="17">
        <f>IF(A3191=A3192,_xll.ciqfunctions.udf.CIQ(A3183,"IQ_CAPEX",IQ_FY-2), _xll.ciqfunctions.udf.CIQ(A3183, "IQ_CAPEX",IQ_FY-1))</f>
        <v>-1.0549999999999999</v>
      </c>
      <c r="L3191" s="15">
        <f t="shared" si="848"/>
        <v>0.51397564529108464</v>
      </c>
      <c r="M3191" s="17">
        <f>IF(A3191=A3192,_xll.ciqfunctions.udf.CIQ(A3183,"IQ_TOTAL_DEBT_ISSUED",IQ_FY-2), _xll.ciqfunctions.udf.CIQ(A3183, "IQ_TOTAL_DEBT_ISSUED",IQ_FY-1))</f>
        <v>0</v>
      </c>
      <c r="N3191" s="17">
        <f>IF(A3191=A3192,_xll.ciqfunctions.udf.CIQ(A3183,"IQ_TOTAL_DEBT_REPAID",IQ_FY-2), _xll.ciqfunctions.udf.CIQ(A3183, "IQ_TOTAL_DEBT_REPAID",IQ_FY-1))</f>
        <v>0</v>
      </c>
      <c r="O3191" s="15">
        <f t="shared" si="849"/>
        <v>0</v>
      </c>
      <c r="P3191" s="15">
        <f t="shared" si="850"/>
        <v>0.51397564529108464</v>
      </c>
      <c r="Q3191" s="25" t="s">
        <v>33</v>
      </c>
      <c r="R3191" s="38" t="s">
        <v>52</v>
      </c>
      <c r="S3191" s="4">
        <f>(AVERAGE(O3188:O3193)/AVERAGE(P3188:P3193))</f>
        <v>0.67471770927781705</v>
      </c>
      <c r="U3191" s="25" t="s">
        <v>54</v>
      </c>
      <c r="V3191" s="38" t="s">
        <v>52</v>
      </c>
      <c r="W3191" s="4">
        <f>(AVERAGE(O3188:O3193)/AVERAGE(P3188:P3193))</f>
        <v>0.67471770927781705</v>
      </c>
      <c r="Y3191" s="25" t="s">
        <v>60</v>
      </c>
      <c r="Z3191" s="38" t="s">
        <v>52</v>
      </c>
      <c r="AA3191" s="4">
        <f>(AVERAGE(O3188:O3193)/AVERAGE(P3188:P3193))</f>
        <v>0.67471770927781705</v>
      </c>
    </row>
    <row r="3192" spans="1:27">
      <c r="A3192" s="19">
        <f>_xll.ciqfunctions.udf.CIQ(A3183,"IQ_TOTAL_REV",IQ_LTM)</f>
        <v>249.46299999999999</v>
      </c>
      <c r="B3192" s="13">
        <v>10</v>
      </c>
      <c r="C3192" s="14" t="s">
        <v>34</v>
      </c>
      <c r="D3192" s="15" cm="1">
        <f t="array" ref="D3192">_xlfn.SINGLE(IF(A3191=A3192,_xll.ciqfunctions.udf.CIQ(A3183,"IQ_TOTAL_REV",IQ_FY-1)/I3192, _xll.ciqfunctions.udf.CIQ(A3183, "IQ_TOTAL_REV",IQ_FY)/I3192))</f>
        <v>5.8664656608165462</v>
      </c>
      <c r="E3192" s="16">
        <f t="shared" si="851"/>
        <v>9.3626622500863177E-2</v>
      </c>
      <c r="F3192" s="15">
        <f>IF(A3191=A3192,_xll.ciqfunctions.udf.CIQ(A3183,"IQ_DILUT_EPS_EXCL",IQ_FY-1), _xll.ciqfunctions.udf.CIQ(A3183, "IQ_DILUT_EPS_EXCL",IQ_FY))</f>
        <v>-0.77930999999999995</v>
      </c>
      <c r="G3192" s="15">
        <f>IF(A3191=A3192,_xll.ciqfunctions.udf.CIQ(A3183,"IQ_EBITDA_MARGIN",IQ_FY-1), _xll.ciqfunctions.udf.CIQ(A3183, "IQ_EBITDA_MARGIN",IQ_FY))</f>
        <v>-1.8086</v>
      </c>
      <c r="H3192" s="15">
        <f>IF(A3191=A3192,_xll.ciqfunctions.udf.CIQ(A3183,"IQ_TOTAL_DIV_PAID_CF",IQ_FY-1)/-I3192, _xll.ciqfunctions.udf.CIQ(A3183, "IQ_TOTAL_DIV_PAID_CF",IQ_FY)/-I3192)</f>
        <v>0</v>
      </c>
      <c r="I3192" s="17">
        <f>IF(A3191=A3192,_xll.ciqfunctions.udf.CIQ(A3183,"IQ_TOTAL_OUTSTANDING_FILING_DATE",IQ_FY-1), _xll.ciqfunctions.udf.CIQ(A3183, "IQ_TOTAL_OUTSTANDING_FILING_DATE",IQ_FY))</f>
        <v>37.358780000000003</v>
      </c>
      <c r="J3192" s="17">
        <f>IF(A3191=A3192,_xll.ciqfunctions.udf.CIQ(A3183,"IQ_CASH_OPER",IQ_FY-1), _xll.ciqfunctions.udf.CIQ(A3183, "IQ_CASH_OPER",IQ_FY))</f>
        <v>25.286999999999999</v>
      </c>
      <c r="K3192" s="17">
        <f>IF(A3191=A3192,_xll.ciqfunctions.udf.CIQ(A3183,"IQ_CAPEX",IQ_FY-1), _xll.ciqfunctions.udf.CIQ(A3183, "IQ_CAPEX",IQ_FY))</f>
        <v>-0.99299999999999999</v>
      </c>
      <c r="L3192" s="15">
        <f t="shared" si="848"/>
        <v>0.65028890129709804</v>
      </c>
      <c r="M3192" s="17">
        <f>IF(A3191=A3192,_xll.ciqfunctions.udf.CIQ(A3183,"IQ_TOTAL_DEBT_ISSUED",IQ_FY-1), _xll.ciqfunctions.udf.CIQ(A3183, "IQ_TOTAL_DEBT_ISSUED",IQ_FY))</f>
        <v>0</v>
      </c>
      <c r="N3192" s="17">
        <f>IF(A3191=A3192,_xll.ciqfunctions.udf.CIQ(A3183,"IQ_TOTAL_DEBT_REPAID",IQ_FY-1), _xll.ciqfunctions.udf.CIQ(A3183, "IQ_TOTAL_DEBT_REPAID",IQ_FY))</f>
        <v>0</v>
      </c>
      <c r="O3192" s="15">
        <f t="shared" si="849"/>
        <v>0</v>
      </c>
      <c r="P3192" s="15">
        <f t="shared" si="850"/>
        <v>0.65028890129709804</v>
      </c>
      <c r="Q3192" s="25" t="s">
        <v>44</v>
      </c>
      <c r="R3192" s="38" t="s">
        <v>35</v>
      </c>
      <c r="S3192" s="1">
        <f>_xll.ciqfunctions.udf.CIQ(A3183,"IQ_TEV_EBITDA")</f>
        <v>100.33638999999999</v>
      </c>
      <c r="U3192" s="25" t="s">
        <v>55</v>
      </c>
      <c r="V3192" s="38" t="s">
        <v>53</v>
      </c>
      <c r="W3192" s="1">
        <f>V3182/(AVERAGE(D3188:D3193)/_xlfn.STDEV.P(E3188:E3193))</f>
        <v>0.40882650780124202</v>
      </c>
      <c r="Y3192" s="25" t="s">
        <v>57</v>
      </c>
      <c r="Z3192" s="38" t="s">
        <v>53</v>
      </c>
      <c r="AA3192" s="1">
        <f>Z3182/(AVERAGE(D3188:D3193)/_xlfn.STDEV.P(E3188:E3193))</f>
        <v>0.40882650780124202</v>
      </c>
    </row>
    <row r="3193" spans="1:27">
      <c r="B3193" s="13">
        <v>11</v>
      </c>
      <c r="C3193" s="20" t="s">
        <v>36</v>
      </c>
      <c r="D3193" s="21" cm="1">
        <f t="array" ref="D3193">_xlfn.SINGLE(IF(A3191=A3192,_xll.ciqfunctions.udf.CIQ(A3183,"IQ_TOTAL_REV",IQ_FY)/I3193, _xll.ciqfunctions.udf.CIQ(A3183, "IQ_TOTAL_REV",IQ_LTM)/I3193))</f>
        <v>6.4354530224802167</v>
      </c>
      <c r="E3193" s="22">
        <f t="shared" si="851"/>
        <v>9.6989805201463303E-2</v>
      </c>
      <c r="F3193" s="21">
        <f>IF(A3191=A3192,_xll.ciqfunctions.udf.CIQ(A3183,"IQ_DILUT_EPS_EXCL",IQ_FY), _xll.ciqfunctions.udf.CIQ(A3183, "IQ_DILUT_EPS_EXCL",IQ_LTM))</f>
        <v>-0.89078999999999997</v>
      </c>
      <c r="G3193" s="21">
        <f>IF(A3191=A3192,_xll.ciqfunctions.udf.CIQ(A3183,"IQ_EBITDA_MARGIN",IQ_FY), _xll.ciqfunctions.udf.CIQ(A3183, "IQ_EBITDA_MARGIN",IQ_LTM))</f>
        <v>1.6467000000000001</v>
      </c>
      <c r="H3193" s="21">
        <f>IF(A3191=A3192,_xll.ciqfunctions.udf.CIQ(A3183,"IQ_TOTAL_DIV_PAID_CF",IQ_FY)/-I3193, _xll.ciqfunctions.udf.CIQ(A3183, "IQ_TOTAL_DIV_PAID_CF",IQ_LTM)/-I3193)</f>
        <v>0</v>
      </c>
      <c r="I3193" s="23">
        <f>IF(A3191=A3192,_xll.ciqfunctions.udf.CIQ(A3183,"IQ_TOTAL_OUTSTANDING_FILING_DATE",IQ_FY),_xll.ciqfunctions.udf.CIQ(A3183,"IQ_sharesoutstanding"))</f>
        <v>38.763860000000001</v>
      </c>
      <c r="J3193" s="23">
        <f>IF(A3191=A3192,_xll.ciqfunctions.udf.CIQ(A3183,"IQ_CASH_OPER",IQ_FY), _xll.ciqfunctions.udf.CIQ(A3183, "IQ_CASH_OPER",IQ_LTM))</f>
        <v>23.597000000000001</v>
      </c>
      <c r="K3193" s="23">
        <f>IF(A3191=A3192,_xll.ciqfunctions.udf.CIQ(A3183,"IQ_CAPEX",IQ_FY), _xll.ciqfunctions.udf.CIQ(A3183, "IQ_CAPEX",IQ_LTM))</f>
        <v>-0.44700000000000001</v>
      </c>
      <c r="L3193" s="21">
        <f t="shared" si="848"/>
        <v>0.59720574782800273</v>
      </c>
      <c r="M3193" s="23">
        <f>IF(A3191=A3192,_xll.ciqfunctions.udf.CIQ(A3183,"IQ_TOTAL_DEBT_ISSUED",IQ_FY), _xll.ciqfunctions.udf.CIQ(A3183, "IQ_TOTAL_DEBT_ISSUED",IQ_LTM))</f>
        <v>253</v>
      </c>
      <c r="N3193" s="23">
        <f>IF(A3191=A3192,_xll.ciqfunctions.udf.CIQ(A3183,"IQ_TOTAL_DEBT_REPAID",IQ_FY), _xll.ciqfunctions.udf.CIQ(A3183, "IQ_TOTAL_DEBT_REPAID",IQ_LTM))</f>
        <v>-165.21</v>
      </c>
      <c r="O3193" s="21">
        <f t="shared" si="849"/>
        <v>2.2647383413313324</v>
      </c>
      <c r="P3193" s="21">
        <f t="shared" si="850"/>
        <v>2.8619440891593353</v>
      </c>
      <c r="Q3193" s="25" t="s">
        <v>45</v>
      </c>
      <c r="S3193" s="45"/>
      <c r="U3193" s="25"/>
      <c r="W3193" s="45"/>
      <c r="Y3193" s="25"/>
      <c r="AA3193" s="45"/>
    </row>
    <row r="3194" spans="1:27">
      <c r="B3194" s="24"/>
      <c r="C3194" s="25" t="s">
        <v>37</v>
      </c>
      <c r="E3194" s="26">
        <f>((D3193/D3188)^(1/5))-1</f>
        <v>5.5293353968653758E-2</v>
      </c>
      <c r="F3194" s="27">
        <f>((F3193/F3188)^(1/5))-1</f>
        <v>-8.3178511503168018E-3</v>
      </c>
      <c r="G3194" s="28"/>
      <c r="H3194" s="27" t="e">
        <f>((H3193/H3188)^(1/5))-1</f>
        <v>#DIV/0!</v>
      </c>
      <c r="I3194" s="27">
        <f>((I3193/I3188)^(1/5))-1</f>
        <v>4.2721072862789367E-2</v>
      </c>
      <c r="J3194" s="27"/>
      <c r="K3194" s="27"/>
      <c r="L3194" s="26">
        <f>((L3193/L3188)^(1/5))-1</f>
        <v>0.52580355252202127</v>
      </c>
      <c r="M3194" s="26"/>
      <c r="N3194" s="26"/>
      <c r="O3194" s="26"/>
      <c r="P3194" s="26">
        <f>((P3193/P3188)^(1/5))-1</f>
        <v>-2.8962369497350187</v>
      </c>
      <c r="Q3194" s="18"/>
      <c r="R3194" s="36"/>
      <c r="S3194" s="45"/>
      <c r="U3194" s="18"/>
      <c r="V3194" s="36"/>
      <c r="W3194" s="45"/>
      <c r="Y3194" s="18"/>
      <c r="Z3194" s="36"/>
      <c r="AA3194" s="45"/>
    </row>
    <row r="3195" spans="1:27">
      <c r="A3195" s="29"/>
      <c r="B3195" s="30"/>
      <c r="C3195" s="31" t="s">
        <v>38</v>
      </c>
      <c r="D3195" s="29"/>
      <c r="E3195" s="32">
        <f>((D3193/D3183)^(1/10))-1</f>
        <v>4.1298719018155516E-2</v>
      </c>
      <c r="F3195" s="33">
        <f>((F3193/F3183)^(1/10))-1</f>
        <v>0.31423245915032338</v>
      </c>
      <c r="G3195" s="34"/>
      <c r="H3195" s="33" t="e">
        <f>((H3193/H3183)^(1/10))-1</f>
        <v>#DIV/0!</v>
      </c>
      <c r="I3195" s="33">
        <f>((I3193/I3183)^(1/10))-1</f>
        <v>5.0282566607039891E-2</v>
      </c>
      <c r="J3195" s="33"/>
      <c r="K3195" s="33"/>
      <c r="L3195" s="32" t="e">
        <f>((L3193/L3183)^(1/10))-1</f>
        <v>#NUM!</v>
      </c>
      <c r="M3195" s="32"/>
      <c r="N3195" s="32"/>
      <c r="O3195" s="32"/>
      <c r="P3195" s="32" t="e">
        <f>((P3193/P3183)^(1/10))-1</f>
        <v>#NUM!</v>
      </c>
      <c r="Q3195" s="40"/>
      <c r="R3195" s="41"/>
      <c r="S3195" s="46"/>
      <c r="U3195" s="40"/>
      <c r="V3195" s="41"/>
      <c r="W3195" s="46"/>
      <c r="Y3195" s="40"/>
      <c r="Z3195" s="41"/>
      <c r="AA3195" s="46"/>
    </row>
    <row r="3196" spans="1:27">
      <c r="B3196" s="24"/>
      <c r="C3196" s="25"/>
      <c r="E3196" s="26"/>
      <c r="F3196" s="27"/>
      <c r="G3196" s="28"/>
      <c r="H3196" s="27"/>
      <c r="I3196" s="27"/>
      <c r="J3196" s="27"/>
      <c r="K3196" s="27"/>
      <c r="L3196" s="26"/>
      <c r="M3196" s="17"/>
      <c r="N3196" s="17"/>
      <c r="O3196" s="17"/>
      <c r="P3196" s="35"/>
      <c r="Q3196" s="18"/>
      <c r="R3196" s="36"/>
    </row>
    <row r="3197" spans="1:27">
      <c r="A3197" s="9" t="s">
        <v>0</v>
      </c>
      <c r="B3197" s="10"/>
      <c r="C3197" s="9" t="s">
        <v>1</v>
      </c>
      <c r="D3197" s="9" t="s">
        <v>2</v>
      </c>
      <c r="E3197" s="9" t="s">
        <v>3</v>
      </c>
      <c r="F3197" s="11" t="s">
        <v>4</v>
      </c>
      <c r="G3197" s="11" t="s">
        <v>5</v>
      </c>
      <c r="H3197" s="9" t="s">
        <v>6</v>
      </c>
      <c r="I3197" s="11" t="s">
        <v>7</v>
      </c>
      <c r="J3197" s="11" t="s">
        <v>8</v>
      </c>
      <c r="K3197" s="11" t="s">
        <v>9</v>
      </c>
      <c r="L3197" s="11" t="s">
        <v>10</v>
      </c>
      <c r="M3197" s="11" t="s">
        <v>11</v>
      </c>
      <c r="N3197" s="11" t="s">
        <v>12</v>
      </c>
      <c r="O3197" s="11" t="s">
        <v>13</v>
      </c>
      <c r="P3197" s="11" t="s">
        <v>14</v>
      </c>
      <c r="Q3197" s="37" t="s">
        <v>15</v>
      </c>
      <c r="R3197" s="42">
        <f>_xll.ciqfunctions.udf.CIQ(A3198,("IQ_LASTSALEPRICE"))</f>
        <v>51.96</v>
      </c>
      <c r="S3197" s="44"/>
      <c r="U3197" s="37" t="s">
        <v>15</v>
      </c>
      <c r="V3197" s="42">
        <f>_xll.ciqfunctions.udf.CIQ(A3198,("IQ_LASTSALEPRICE"))</f>
        <v>51.96</v>
      </c>
      <c r="W3197" s="44"/>
      <c r="Y3197" s="37" t="s">
        <v>15</v>
      </c>
      <c r="Z3197" s="42">
        <f>_xll.ciqfunctions.udf.CIQ(A3198,("IQ_LASTSALEPRICE"))</f>
        <v>51.96</v>
      </c>
      <c r="AA3197" s="44"/>
    </row>
    <row r="3198" spans="1:27">
      <c r="A3198" s="12" t="str">
        <f>Analysis!B215</f>
        <v>NasdaqGS:PEGA</v>
      </c>
      <c r="B3198" s="13">
        <v>1</v>
      </c>
      <c r="C3198" s="14" t="s">
        <v>16</v>
      </c>
      <c r="D3198" s="15">
        <f>IF(A3206=A3207,_xll.ciqfunctions.udf.CIQ(A3198,"IQ_TOTAL_REV",IQ_FY-10)/I3198,_xll.ciqfunctions.udf.CIQ(A3198, "IQ_TOTAL_REV",IQ_FY-9)/I3198)</f>
        <v>6.6730028775173027</v>
      </c>
      <c r="E3198" s="16"/>
      <c r="F3198" s="15">
        <f>IF(A3206=A3207,_xll.ciqfunctions.udf.CIQ(A3198,"IQ_DILUT_EPS_EXCL",IQ_FY-10), _xll.ciqfunctions.udf.CIQ(A3198, "IQ_DILUT_EPS_EXCL",IQ_FY-9))</f>
        <v>0.49</v>
      </c>
      <c r="G3198" s="15">
        <f>IF(A3206=A3207,_xll.ciqfunctions.udf.CIQ(A3198,"IQ_EBITDA_MARGIN",IQ_FY-10), _xll.ciqfunctions.udf.CIQ(A3198, "IQ_EBITDA_MARGIN",IQ_FY-9))</f>
        <v>15.9481</v>
      </c>
      <c r="H3198" s="15">
        <f>IF(A3206=A3207,_xll.ciqfunctions.udf.CIQ(A3198,"IQ_TOTAL_DIV_PAID_CF",IQ_FY-10)/-I3198, _xll.ciqfunctions.udf.CIQ(A3198, "IQ_TOTAL_DIV_PAID_CF",IQ_FY-9)/-I3198)</f>
        <v>4.4853450103519557E-2</v>
      </c>
      <c r="I3198" s="17">
        <f>IF(A3206=A3207,_xll.ciqfunctions.udf.CIQ(A3198,"IQ_TOTAL_OUTSTANDING_FILING_DATE",IQ_FY-10), _xll.ciqfunctions.udf.CIQ(A3198, "IQ_TOTAL_OUTSTANDING_FILING_DATE",IQ_FY-9))</f>
        <v>76.270610000000005</v>
      </c>
      <c r="J3198" s="17">
        <f>IF(A3206=A3207,_xll.ciqfunctions.udf.CIQ(A3198,"IQ_CASH_OPER",IQ_FY-10), _xll.ciqfunctions.udf.CIQ(A3198, "IQ_CASH_OPER",IQ_FY-9))</f>
        <v>80.703000000000003</v>
      </c>
      <c r="K3198" s="17">
        <f>IF(A3206=A3207,_xll.ciqfunctions.udf.CIQ(A3198,"IQ_CAPEX",IQ_FY-10), _xll.ciqfunctions.udf.CIQ(A3198, "IQ_CAPEX",IQ_FY-9))</f>
        <v>-5.5979999999999999</v>
      </c>
      <c r="L3198" s="15">
        <f t="shared" ref="L3198:L3208" si="852">(J3198+K3198)/I3198</f>
        <v>0.98471744227560265</v>
      </c>
      <c r="M3198" s="17">
        <f>IF(A3206=A3207,_xll.ciqfunctions.udf.CIQ(A3198,"IQ_TOTAL_DEBT_ISSUED",IQ_FY-10), _xll.ciqfunctions.udf.CIQ(A3198, "IQ_TOTAL_DEBT_ISSUED",IQ_FY-9))</f>
        <v>0</v>
      </c>
      <c r="N3198" s="17">
        <f>IF(A3206=A3207,_xll.ciqfunctions.udf.CIQ(A3198,"IQ_TOTAL_DEBT_REPAID",IQ_FY-10), _xll.ciqfunctions.udf.CIQ(A3198, "IQ_TOTAL_DEBT_REPAID",IQ_FY-9))</f>
        <v>0</v>
      </c>
      <c r="O3198" s="15">
        <f t="shared" ref="O3198:O3208" si="853">(M3198+N3198)/I3198</f>
        <v>0</v>
      </c>
      <c r="P3198" s="15">
        <f t="shared" ref="P3198:P3208" si="854">L3198+O3198</f>
        <v>0.98471744227560265</v>
      </c>
      <c r="W3198" s="43"/>
      <c r="AA3198" s="43"/>
    </row>
    <row r="3199" spans="1:27">
      <c r="A3199" s="18" t="str">
        <f>_xll.ciqfunctions.udf.CIQ(A3198,"IQ_COMPANY_NAME")</f>
        <v>Pegasystems Inc.</v>
      </c>
      <c r="B3199" s="13">
        <v>2</v>
      </c>
      <c r="C3199" s="14" t="s">
        <v>17</v>
      </c>
      <c r="D3199" s="15">
        <f>IF(A3206=A3207,_xll.ciqfunctions.udf.CIQ(A3198,"IQ_TOTAL_REV",IQ_FY-9)/I3199, _xll.ciqfunctions.udf.CIQ(A3198, "IQ_TOTAL_REV",IQ_FY-8)/I3199)</f>
        <v>7.7284295426778682</v>
      </c>
      <c r="E3199" s="16">
        <f t="shared" ref="E3199:E3208" si="855">(D3199-D3198)/D3198</f>
        <v>0.15816367601406431</v>
      </c>
      <c r="F3199" s="15">
        <f>IF(A3206=A3207,_xll.ciqfunctions.udf.CIQ(A3198,"IQ_DILUT_EPS_EXCL",IQ_FY-9), _xll.ciqfunctions.udf.CIQ(A3198, "IQ_DILUT_EPS_EXCL",IQ_FY-8))</f>
        <v>0.42</v>
      </c>
      <c r="G3199" s="15">
        <f>IF(A3206=A3207,_xll.ciqfunctions.udf.CIQ(A3198,"IQ_EBITDA_MARGIN",IQ_FY-9), _xll.ciqfunctions.udf.CIQ(A3198, "IQ_EBITDA_MARGIN",IQ_FY-8))</f>
        <v>12.8085</v>
      </c>
      <c r="H3199" s="15">
        <f>IF(A3206=A3207,_xll.ciqfunctions.udf.CIQ(A3198,"IQ_TOTAL_DIV_PAID_CF",IQ_FY-9)/-I3199, _xll.ciqfunctions.udf.CIQ(A3198, "IQ_TOTAL_DIV_PAID_CF",IQ_FY-8)/-I3199)</f>
        <v>9.0042143233550379E-2</v>
      </c>
      <c r="I3199" s="17">
        <f>IF(A3206=A3207,_xll.ciqfunctions.udf.CIQ(A3198,"IQ_TOTAL_OUTSTANDING_FILING_DATE",IQ_FY-9), _xll.ciqfunctions.udf.CIQ(A3198, "IQ_TOTAL_OUTSTANDING_FILING_DATE",IQ_FY-8))</f>
        <v>76.342029999999994</v>
      </c>
      <c r="J3199" s="17">
        <f>IF(A3206=A3207,_xll.ciqfunctions.udf.CIQ(A3198,"IQ_CASH_OPER",IQ_FY-9), _xll.ciqfunctions.udf.CIQ(A3198, "IQ_CASH_OPER",IQ_FY-8))</f>
        <v>103.276</v>
      </c>
      <c r="K3199" s="17">
        <f>IF(A3206=A3207,_xll.ciqfunctions.udf.CIQ(A3198,"IQ_CAPEX",IQ_FY-9), _xll.ciqfunctions.udf.CIQ(A3198, "IQ_CAPEX",IQ_FY-8))</f>
        <v>-11.462999999999999</v>
      </c>
      <c r="L3199" s="15">
        <f t="shared" si="852"/>
        <v>1.2026533745565844</v>
      </c>
      <c r="M3199" s="17">
        <f>IF(A3206=A3207,_xll.ciqfunctions.udf.CIQ(A3198,"IQ_TOTAL_DEBT_ISSUED",IQ_FY-9), _xll.ciqfunctions.udf.CIQ(A3198, "IQ_TOTAL_DEBT_ISSUED",IQ_FY-8))</f>
        <v>0</v>
      </c>
      <c r="N3199" s="17">
        <f>IF(A3206=A3207,_xll.ciqfunctions.udf.CIQ(A3198,"IQ_TOTAL_DEBT_REPAID",IQ_FY-9), _xll.ciqfunctions.udf.CIQ(A3198, "IQ_TOTAL_DEBT_REPAID",IQ_FY-8))</f>
        <v>0</v>
      </c>
      <c r="O3199" s="15">
        <f t="shared" si="853"/>
        <v>0</v>
      </c>
      <c r="P3199" s="15">
        <f t="shared" si="854"/>
        <v>1.2026533745565844</v>
      </c>
      <c r="Q3199" s="25" t="s">
        <v>18</v>
      </c>
      <c r="R3199" s="39" t="s">
        <v>19</v>
      </c>
      <c r="S3199" s="1">
        <f>R3197/((AVERAGE(P3203:P3208))*(1+E3209)^3)</f>
        <v>29.665536635789238</v>
      </c>
      <c r="U3199" s="25" t="s">
        <v>48</v>
      </c>
      <c r="V3199" s="39" t="s">
        <v>19</v>
      </c>
      <c r="W3199" s="1">
        <f>V3197/((AVERAGE(P3203:P3208))*(1+E3209)^3)</f>
        <v>29.665536635789238</v>
      </c>
      <c r="Y3199" s="25" t="s">
        <v>39</v>
      </c>
      <c r="Z3199" s="39" t="s">
        <v>19</v>
      </c>
      <c r="AA3199" s="1">
        <f>Z3197/((AVERAGE(P3203:P3208))*(1+E3209)^3)</f>
        <v>29.665536635789238</v>
      </c>
    </row>
    <row r="3200" spans="1:27">
      <c r="B3200" s="13">
        <v>3</v>
      </c>
      <c r="C3200" s="14" t="s">
        <v>20</v>
      </c>
      <c r="D3200" s="15" cm="1">
        <f t="array" ref="D3200">_xlfn.SINGLE(IF(A3206=A3207,_xll.ciqfunctions.udf.CIQ(A3198,"IQ_TOTAL_REV",IQ_FY-8)/I3200, _xll.ciqfunctions.udf.CIQ(A3198, "IQ_TOTAL_REV",IQ_FY-7)/I3200))</f>
        <v>8.9508860616101344</v>
      </c>
      <c r="E3200" s="16">
        <f t="shared" si="855"/>
        <v>0.15817657548427236</v>
      </c>
      <c r="F3200" s="15">
        <f>IF(A3206=A3207,_xll.ciqfunctions.udf.CIQ(A3198,"IQ_DILUT_EPS_EXCL",IQ_FY-8), _xll.ciqfunctions.udf.CIQ(A3198, "IQ_DILUT_EPS_EXCL",IQ_FY-7))</f>
        <v>0.46</v>
      </c>
      <c r="G3200" s="15">
        <f>IF(A3206=A3207,_xll.ciqfunctions.udf.CIQ(A3198,"IQ_EBITDA_MARGIN",IQ_FY-8), _xll.ciqfunctions.udf.CIQ(A3198, "IQ_EBITDA_MARGIN",IQ_FY-7))</f>
        <v>12.867000000000001</v>
      </c>
      <c r="H3200" s="15">
        <f>IF(A3206=A3207,_xll.ciqfunctions.udf.CIQ(A3198,"IQ_TOTAL_DIV_PAID_CF",IQ_FY-8)/-I3200, _xll.ciqfunctions.udf.CIQ(A3198, "IQ_TOTAL_DIV_PAID_CF",IQ_FY-7)/-I3200)</f>
        <v>0.12054350251641446</v>
      </c>
      <c r="I3200" s="17">
        <f>IF(A3206=A3207,_xll.ciqfunctions.udf.CIQ(A3198,"IQ_TOTAL_OUTSTANDING_FILING_DATE",IQ_FY-8), _xll.ciqfunctions.udf.CIQ(A3198, "IQ_TOTAL_OUTSTANDING_FILING_DATE",IQ_FY-7))</f>
        <v>76.27122</v>
      </c>
      <c r="J3200" s="17">
        <f>IF(A3206=A3207,_xll.ciqfunctions.udf.CIQ(A3198,"IQ_CASH_OPER",IQ_FY-8), _xll.ciqfunctions.udf.CIQ(A3198, "IQ_CASH_OPER",IQ_FY-7))</f>
        <v>67.802999999999997</v>
      </c>
      <c r="K3200" s="17">
        <f>IF(A3206=A3207,_xll.ciqfunctions.udf.CIQ(A3198,"IQ_CAPEX",IQ_FY-8), _xll.ciqfunctions.udf.CIQ(A3198, "IQ_CAPEX",IQ_FY-7))</f>
        <v>-11.02</v>
      </c>
      <c r="L3200" s="15">
        <f t="shared" si="852"/>
        <v>0.74448789464754861</v>
      </c>
      <c r="M3200" s="17">
        <f>IF(A3206=A3207,_xll.ciqfunctions.udf.CIQ(A3198,"IQ_TOTAL_DEBT_ISSUED",IQ_FY-8), _xll.ciqfunctions.udf.CIQ(A3198, "IQ_TOTAL_DEBT_ISSUED",IQ_FY-7))</f>
        <v>0</v>
      </c>
      <c r="N3200" s="17">
        <f>IF(A3206=A3207,_xll.ciqfunctions.udf.CIQ(A3198,"IQ_TOTAL_DEBT_REPAID",IQ_FY-8), _xll.ciqfunctions.udf.CIQ(A3198, "IQ_TOTAL_DEBT_REPAID",IQ_FY-7))</f>
        <v>0</v>
      </c>
      <c r="O3200" s="15">
        <f t="shared" si="853"/>
        <v>0</v>
      </c>
      <c r="P3200" s="15">
        <f t="shared" si="854"/>
        <v>0.74448789464754861</v>
      </c>
      <c r="Q3200" s="25" t="s">
        <v>21</v>
      </c>
      <c r="R3200" s="38" t="s">
        <v>49</v>
      </c>
      <c r="S3200" s="2">
        <f>(R3197*I3208)/1000</f>
        <v>4.3415656031999994</v>
      </c>
      <c r="U3200" s="25" t="s">
        <v>59</v>
      </c>
      <c r="V3200" s="38" t="s">
        <v>49</v>
      </c>
      <c r="W3200" s="2">
        <f>(V3197*I3208)/1000</f>
        <v>4.3415656031999994</v>
      </c>
      <c r="Y3200" s="25" t="s">
        <v>46</v>
      </c>
      <c r="Z3200" s="38" t="s">
        <v>49</v>
      </c>
      <c r="AA3200" s="2">
        <f>(Z3197*I3208)/1000</f>
        <v>4.3415656031999994</v>
      </c>
    </row>
    <row r="3201" spans="1:27">
      <c r="A3201" s="18"/>
      <c r="B3201" s="13">
        <v>4</v>
      </c>
      <c r="C3201" s="14" t="s">
        <v>22</v>
      </c>
      <c r="D3201" s="15" cm="1">
        <f t="array" ref="D3201">_xlfn.SINGLE(IF(A3206=A3207,_xll.ciqfunctions.udf.CIQ(A3198,"IQ_TOTAL_REV",IQ_FY-7)/I3201, _xll.ciqfunctions.udf.CIQ(A3198, "IQ_TOTAL_REV",IQ_FY-6)/I3201))</f>
        <v>9.9451744514509457</v>
      </c>
      <c r="E3201" s="16">
        <f t="shared" si="855"/>
        <v>0.11108267751337605</v>
      </c>
      <c r="F3201" s="15">
        <f>IF(A3206=A3207,_xll.ciqfunctions.udf.CIQ(A3198,"IQ_DILUT_EPS_EXCL",IQ_FY-7), _xll.ciqfunctions.udf.CIQ(A3198, "IQ_DILUT_EPS_EXCL",IQ_FY-6))</f>
        <v>0.56000000000000005</v>
      </c>
      <c r="G3201" s="15">
        <f>IF(A3206=A3207,_xll.ciqfunctions.udf.CIQ(A3198,"IQ_EBITDA_MARGIN",IQ_FY-7), _xll.ciqfunctions.udf.CIQ(A3198, "IQ_EBITDA_MARGIN",IQ_FY-6))</f>
        <v>10.191599999999999</v>
      </c>
      <c r="H3201" s="15">
        <f>IF(A3206=A3207,_xll.ciqfunctions.udf.CIQ(A3198,"IQ_TOTAL_DIV_PAID_CF",IQ_FY-7)/-I3201, _xll.ciqfunctions.udf.CIQ(A3198, "IQ_TOTAL_DIV_PAID_CF",IQ_FY-6)/-I3201)</f>
        <v>0.11969766358615451</v>
      </c>
      <c r="I3201" s="17">
        <f>IF(A3206=A3207,_xll.ciqfunctions.udf.CIQ(A3198,"IQ_TOTAL_OUTSTANDING_FILING_DATE",IQ_FY-7), _xll.ciqfunctions.udf.CIQ(A3198, "IQ_TOTAL_OUTSTANDING_FILING_DATE",IQ_FY-6))</f>
        <v>76.643100000000004</v>
      </c>
      <c r="J3201" s="17">
        <f>IF(A3206=A3207,_xll.ciqfunctions.udf.CIQ(A3198,"IQ_CASH_OPER",IQ_FY-7), _xll.ciqfunctions.udf.CIQ(A3198, "IQ_CASH_OPER",IQ_FY-6))</f>
        <v>39.874000000000002</v>
      </c>
      <c r="K3201" s="17">
        <f>IF(A3206=A3207,_xll.ciqfunctions.udf.CIQ(A3198,"IQ_CAPEX",IQ_FY-7), _xll.ciqfunctions.udf.CIQ(A3198, "IQ_CAPEX",IQ_FY-6))</f>
        <v>-19.088000000000001</v>
      </c>
      <c r="L3201" s="15">
        <f t="shared" si="852"/>
        <v>0.27120510522147462</v>
      </c>
      <c r="M3201" s="17">
        <f>IF(A3206=A3207,_xll.ciqfunctions.udf.CIQ(A3198,"IQ_TOTAL_DEBT_ISSUED",IQ_FY-7), _xll.ciqfunctions.udf.CIQ(A3198, "IQ_TOTAL_DEBT_ISSUED",IQ_FY-6))</f>
        <v>0</v>
      </c>
      <c r="N3201" s="17">
        <f>IF(A3206=A3207,_xll.ciqfunctions.udf.CIQ(A3198,"IQ_TOTAL_DEBT_REPAID",IQ_FY-7), _xll.ciqfunctions.udf.CIQ(A3198, "IQ_TOTAL_DEBT_REPAID",IQ_FY-6))</f>
        <v>0</v>
      </c>
      <c r="O3201" s="15">
        <f t="shared" si="853"/>
        <v>0</v>
      </c>
      <c r="P3201" s="15">
        <f t="shared" si="854"/>
        <v>0.27120510522147462</v>
      </c>
      <c r="Q3201" s="25" t="s">
        <v>23</v>
      </c>
      <c r="R3201" s="38" t="s">
        <v>24</v>
      </c>
      <c r="S3201" s="1">
        <f>R3197/(AVERAGE(H3203:H3208)*(1+H3209)/(0.5-H3209))</f>
        <v>219.34156621753306</v>
      </c>
      <c r="U3201" s="25" t="s">
        <v>40</v>
      </c>
      <c r="V3201" s="38" t="s">
        <v>24</v>
      </c>
      <c r="W3201" s="1">
        <f>V3197/(AVERAGE(H3203:H3208)*(1+H3209)/(0.5-H3209))</f>
        <v>219.34156621753306</v>
      </c>
      <c r="Y3201" s="25" t="s">
        <v>47</v>
      </c>
      <c r="Z3201" s="38" t="s">
        <v>24</v>
      </c>
      <c r="AA3201" s="1">
        <f>Z3197/(AVERAGE(H3203:H3208)*(1+H3209)/(0.5-H3209))</f>
        <v>219.34156621753306</v>
      </c>
    </row>
    <row r="3202" spans="1:27">
      <c r="B3202" s="13">
        <v>5</v>
      </c>
      <c r="C3202" s="14" t="s">
        <v>25</v>
      </c>
      <c r="D3202" s="15" cm="1">
        <f t="array" ref="D3202">_xlfn.SINGLE(IF(A3206=A3207,_xll.ciqfunctions.udf.CIQ(A3198,"IQ_TOTAL_REV",IQ_FY-6)/I3202, _xll.ciqfunctions.udf.CIQ(A3198, "IQ_TOTAL_REV",IQ_FY-5)/I3202))</f>
        <v>11.37610240895515</v>
      </c>
      <c r="E3202" s="16">
        <f t="shared" si="855"/>
        <v>0.14388163470530574</v>
      </c>
      <c r="F3202" s="15">
        <f>IF(A3206=A3207,_xll.ciqfunctions.udf.CIQ(A3198,"IQ_DILUT_EPS_EXCL",IQ_FY-6), _xll.ciqfunctions.udf.CIQ(A3198, "IQ_DILUT_EPS_EXCL",IQ_FY-5))</f>
        <v>1.19</v>
      </c>
      <c r="G3202" s="15">
        <f>IF(A3206=A3207,_xll.ciqfunctions.udf.CIQ(A3198,"IQ_EBITDA_MARGIN",IQ_FY-6), _xll.ciqfunctions.udf.CIQ(A3198, "IQ_EBITDA_MARGIN",IQ_FY-5))</f>
        <v>13.2689</v>
      </c>
      <c r="H3202" s="15">
        <f>IF(A3206=A3207,_xll.ciqfunctions.udf.CIQ(A3198,"IQ_TOTAL_DIV_PAID_CF",IQ_FY-6)/-I3202, _xll.ciqfunctions.udf.CIQ(A3198, "IQ_TOTAL_DIV_PAID_CF",IQ_FY-5)/-I3202)</f>
        <v>0.11878449289380126</v>
      </c>
      <c r="I3202" s="17">
        <f>IF(A3206=A3207,_xll.ciqfunctions.udf.CIQ(A3198,"IQ_TOTAL_OUTSTANDING_FILING_DATE",IQ_FY-6), _xll.ciqfunctions.udf.CIQ(A3198, "IQ_TOTAL_OUTSTANDING_FILING_DATE",IQ_FY-5))</f>
        <v>78.099419999999995</v>
      </c>
      <c r="J3202" s="17">
        <f>IF(A3206=A3207,_xll.ciqfunctions.udf.CIQ(A3198,"IQ_CASH_OPER",IQ_FY-6), _xll.ciqfunctions.udf.CIQ(A3198, "IQ_CASH_OPER",IQ_FY-5))</f>
        <v>158.23500000000001</v>
      </c>
      <c r="K3202" s="17">
        <f>IF(A3206=A3207,_xll.ciqfunctions.udf.CIQ(A3198,"IQ_CAPEX",IQ_FY-6), _xll.ciqfunctions.udf.CIQ(A3198, "IQ_CAPEX",IQ_FY-5))</f>
        <v>-13.741</v>
      </c>
      <c r="L3202" s="15">
        <f t="shared" si="852"/>
        <v>1.8501289766300446</v>
      </c>
      <c r="M3202" s="17">
        <f>IF(A3206=A3207,_xll.ciqfunctions.udf.CIQ(A3198,"IQ_TOTAL_DEBT_ISSUED",IQ_FY-6), _xll.ciqfunctions.udf.CIQ(A3198, "IQ_TOTAL_DEBT_ISSUED",IQ_FY-5))</f>
        <v>0</v>
      </c>
      <c r="N3202" s="17">
        <f>IF(A3206=A3207,_xll.ciqfunctions.udf.CIQ(A3198,"IQ_TOTAL_DEBT_REPAID",IQ_FY-6), _xll.ciqfunctions.udf.CIQ(A3198, "IQ_TOTAL_DEBT_REPAID",IQ_FY-5))</f>
        <v>0</v>
      </c>
      <c r="O3202" s="15">
        <f t="shared" si="853"/>
        <v>0</v>
      </c>
      <c r="P3202" s="15">
        <f t="shared" si="854"/>
        <v>1.8501289766300446</v>
      </c>
      <c r="Q3202" s="18"/>
      <c r="R3202" s="38" t="s">
        <v>50</v>
      </c>
      <c r="S3202" s="3">
        <f>I3209</f>
        <v>1.2709755788022026E-2</v>
      </c>
      <c r="U3202" s="18"/>
      <c r="V3202" s="38" t="s">
        <v>50</v>
      </c>
      <c r="W3202" s="3">
        <f>I3209</f>
        <v>1.2709755788022026E-2</v>
      </c>
      <c r="Y3202" s="18"/>
      <c r="Z3202" s="38" t="s">
        <v>50</v>
      </c>
      <c r="AA3202" s="3">
        <f>I3209</f>
        <v>1.2709755788022026E-2</v>
      </c>
    </row>
    <row r="3203" spans="1:27">
      <c r="B3203" s="13">
        <v>6</v>
      </c>
      <c r="C3203" s="14" t="s">
        <v>26</v>
      </c>
      <c r="D3203" s="15" cm="1">
        <f t="array" ref="D3203">_xlfn.SINGLE(IF(A3206=A3207,_xll.ciqfunctions.udf.CIQ(A3198,"IQ_TOTAL_REV",IQ_FY-5)/I3203, _xll.ciqfunctions.udf.CIQ(A3198, "IQ_TOTAL_REV",IQ_FY-4)/I3203))</f>
        <v>11.366023457902047</v>
      </c>
      <c r="E3203" s="16">
        <f t="shared" si="855"/>
        <v>-8.8597576663593702E-4</v>
      </c>
      <c r="F3203" s="15">
        <f>IF(A3206=A3207,_xll.ciqfunctions.udf.CIQ(A3198,"IQ_DILUT_EPS_EXCL",IQ_FY-5), _xll.ciqfunctions.udf.CIQ(A3198, "IQ_DILUT_EPS_EXCL",IQ_FY-4))</f>
        <v>0.12781999999999999</v>
      </c>
      <c r="G3203" s="15">
        <f>IF(A3206=A3207,_xll.ciqfunctions.udf.CIQ(A3198,"IQ_EBITDA_MARGIN",IQ_FY-5), _xll.ciqfunctions.udf.CIQ(A3198, "IQ_EBITDA_MARGIN",IQ_FY-4))</f>
        <v>0.92669999999999997</v>
      </c>
      <c r="H3203" s="15">
        <f>IF(A3206=A3207,_xll.ciqfunctions.udf.CIQ(A3198,"IQ_TOTAL_DIV_PAID_CF",IQ_FY-5)/-I3203, _xll.ciqfunctions.udf.CIQ(A3198, "IQ_TOTAL_DIV_PAID_CF",IQ_FY-4)/-I3203)</f>
        <v>0.12024071088878309</v>
      </c>
      <c r="I3203" s="17">
        <f>IF(A3206=A3207,_xll.ciqfunctions.udf.CIQ(A3198,"IQ_TOTAL_OUTSTANDING_FILING_DATE",IQ_FY-5), _xll.ciqfunctions.udf.CIQ(A3198, "IQ_TOTAL_OUTSTANDING_FILING_DATE",IQ_FY-4))</f>
        <v>78.44265</v>
      </c>
      <c r="J3203" s="17">
        <f>IF(A3206=A3207,_xll.ciqfunctions.udf.CIQ(A3198,"IQ_CASH_OPER",IQ_FY-5), _xll.ciqfunctions.udf.CIQ(A3198, "IQ_CASH_OPER",IQ_FY-4))</f>
        <v>104.35599999999999</v>
      </c>
      <c r="K3203" s="17">
        <f>IF(A3206=A3207,_xll.ciqfunctions.udf.CIQ(A3198,"IQ_CAPEX",IQ_FY-5), _xll.ciqfunctions.udf.CIQ(A3198, "IQ_CAPEX",IQ_FY-4))</f>
        <v>-11.893000000000001</v>
      </c>
      <c r="L3203" s="15">
        <f t="shared" si="852"/>
        <v>1.1787337628190786</v>
      </c>
      <c r="M3203" s="17">
        <f>IF(A3206=A3207,_xll.ciqfunctions.udf.CIQ(A3198,"IQ_TOTAL_DEBT_ISSUED",IQ_FY-5), _xll.ciqfunctions.udf.CIQ(A3198, "IQ_TOTAL_DEBT_ISSUED",IQ_FY-4))</f>
        <v>0</v>
      </c>
      <c r="N3203" s="17">
        <f>IF(A3206=A3207,_xll.ciqfunctions.udf.CIQ(A3198,"IQ_TOTAL_DEBT_REPAID",IQ_FY-5), _xll.ciqfunctions.udf.CIQ(A3198, "IQ_TOTAL_DEBT_REPAID",IQ_FY-4))</f>
        <v>0</v>
      </c>
      <c r="O3203" s="15">
        <f t="shared" si="853"/>
        <v>0</v>
      </c>
      <c r="P3203" s="15">
        <f t="shared" si="854"/>
        <v>1.1787337628190786</v>
      </c>
      <c r="Q3203" s="25" t="s">
        <v>27</v>
      </c>
      <c r="R3203" s="38" t="s">
        <v>51</v>
      </c>
      <c r="S3203" s="4">
        <f>AVERAGE(F3203:F3208)/AVERAGE(D3203:D3208)</f>
        <v>-8.8090303738997733E-2</v>
      </c>
      <c r="U3203" s="25" t="s">
        <v>58</v>
      </c>
      <c r="V3203" s="38" t="s">
        <v>51</v>
      </c>
      <c r="W3203" s="4">
        <f>AVERAGE(F3203:F3208)/AVERAGE(D3203:D3208)</f>
        <v>-8.8090303738997733E-2</v>
      </c>
      <c r="Y3203" s="25" t="s">
        <v>56</v>
      </c>
      <c r="Z3203" s="38" t="s">
        <v>51</v>
      </c>
      <c r="AA3203" s="4">
        <f>AVERAGE(F3203:F3208)/AVERAGE(D3203:D3208)</f>
        <v>-8.8090303738997733E-2</v>
      </c>
    </row>
    <row r="3204" spans="1:27">
      <c r="A3204" s="18"/>
      <c r="B3204" s="13">
        <v>7</v>
      </c>
      <c r="C3204" s="14" t="s">
        <v>28</v>
      </c>
      <c r="D3204" s="15" cm="1">
        <f t="array" ref="D3204">_xlfn.SINGLE(IF(A3206=A3207,_xll.ciqfunctions.udf.CIQ(A3198,"IQ_TOTAL_REV",IQ_FY-4)/I3204, _xll.ciqfunctions.udf.CIQ(A3198, "IQ_TOTAL_REV",IQ_FY-3)/I3204))</f>
        <v>11.441281929542784</v>
      </c>
      <c r="E3204" s="16">
        <f t="shared" si="855"/>
        <v>6.6213545941975604E-3</v>
      </c>
      <c r="F3204" s="15">
        <f>IF(A3206=A3207,_xll.ciqfunctions.udf.CIQ(A3198,"IQ_DILUT_EPS_EXCL",IQ_FY-4), _xll.ciqfunctions.udf.CIQ(A3198, "IQ_DILUT_EPS_EXCL",IQ_FY-3))</f>
        <v>-1.1439299999999999</v>
      </c>
      <c r="G3204" s="15">
        <f>IF(A3206=A3207,_xll.ciqfunctions.udf.CIQ(A3198,"IQ_EBITDA_MARGIN",IQ_FY-4), _xll.ciqfunctions.udf.CIQ(A3198, "IQ_EBITDA_MARGIN",IQ_FY-3))</f>
        <v>-12.451599999999999</v>
      </c>
      <c r="H3204" s="15">
        <f>IF(A3206=A3207,_xll.ciqfunctions.udf.CIQ(A3198,"IQ_TOTAL_DIV_PAID_CF",IQ_FY-4)/-I3204, _xll.ciqfunctions.udf.CIQ(A3198, "IQ_TOTAL_DIV_PAID_CF",IQ_FY-3)/-I3204)</f>
        <v>0.11908495153370521</v>
      </c>
      <c r="I3204" s="17">
        <f>IF(A3206=A3207,_xll.ciqfunctions.udf.CIQ(A3198,"IQ_TOTAL_OUTSTANDING_FILING_DATE",IQ_FY-4), _xll.ciqfunctions.udf.CIQ(A3198, "IQ_TOTAL_OUTSTANDING_FILING_DATE",IQ_FY-3))</f>
        <v>79.657420000000002</v>
      </c>
      <c r="J3204" s="17">
        <f>IF(A3206=A3207,_xll.ciqfunctions.udf.CIQ(A3198,"IQ_CASH_OPER",IQ_FY-4), _xll.ciqfunctions.udf.CIQ(A3198, "IQ_CASH_OPER",IQ_FY-3))</f>
        <v>-42.164999999999999</v>
      </c>
      <c r="K3204" s="17">
        <f>IF(A3206=A3207,_xll.ciqfunctions.udf.CIQ(A3198,"IQ_CAPEX",IQ_FY-4), _xll.ciqfunctions.udf.CIQ(A3198, "IQ_CAPEX",IQ_FY-3))</f>
        <v>-10.608000000000001</v>
      </c>
      <c r="L3204" s="15">
        <f t="shared" si="852"/>
        <v>-0.66249948843434792</v>
      </c>
      <c r="M3204" s="17">
        <f>IF(A3206=A3207,_xll.ciqfunctions.udf.CIQ(A3198,"IQ_TOTAL_DEBT_ISSUED",IQ_FY-4), _xll.ciqfunctions.udf.CIQ(A3198, "IQ_TOTAL_DEBT_ISSUED",IQ_FY-3))</f>
        <v>45</v>
      </c>
      <c r="N3204" s="17">
        <f>IF(A3206=A3207,_xll.ciqfunctions.udf.CIQ(A3198,"IQ_TOTAL_DEBT_REPAID",IQ_FY-4), _xll.ciqfunctions.udf.CIQ(A3198, "IQ_TOTAL_DEBT_REPAID",IQ_FY-3))</f>
        <v>-45</v>
      </c>
      <c r="O3204" s="15">
        <f t="shared" si="853"/>
        <v>0</v>
      </c>
      <c r="P3204" s="15">
        <f t="shared" si="854"/>
        <v>-0.66249948843434792</v>
      </c>
      <c r="Q3204" s="18"/>
      <c r="R3204" s="38" t="s">
        <v>29</v>
      </c>
      <c r="S3204" s="4">
        <f>(AVERAGE(P3203:P3208)/_xlfn.STDEV.P(P3203:P3208))/(IF(A3206=A3207,(_xlfn.SINGLE(_xll.ciqfunctions.udf.CIQ(A3198,"IQ_total_assets",IQ_FY)) - _xlfn.SINGLE(_xll.ciqfunctions.udf.CIQ(A3198,"iq_gw_intan", IQ_FY)))/I3208, (_xlfn.SINGLE(_xll.ciqfunctions.udf.CIQ(A3198, "IQ_total_assets",IQ_LTM))-_xlfn.SINGLE(_xll.ciqfunctions.udf.CIQ(A3198,"iq_gw_intan",IQ_LTM)))/I3208))</f>
        <v>4.0027896665612517E-2</v>
      </c>
      <c r="U3204" s="18"/>
      <c r="V3204" s="38" t="s">
        <v>29</v>
      </c>
      <c r="W3204" s="4">
        <f>(AVERAGE(P3203:P3208)/_xlfn.STDEV.P(P3203:P3208))/(IF(A3206=A3207,(_xlfn.SINGLE(_xll.ciqfunctions.udf.CIQ(A3198,"IQ_total_assets",IQ_FY)) - _xlfn.SINGLE(_xll.ciqfunctions.udf.CIQ(A3198,"iq_gw_intan", IQ_FY)))/I3208, (_xlfn.SINGLE(_xll.ciqfunctions.udf.CIQ(A3198, "IQ_total_assets",IQ_LTM))-_xlfn.SINGLE(_xll.ciqfunctions.udf.CIQ(A3198,"iq_gw_intan",IQ_LTM)))/I3208))</f>
        <v>4.0027896665612517E-2</v>
      </c>
      <c r="Y3204" s="18"/>
      <c r="Z3204" s="38" t="s">
        <v>29</v>
      </c>
      <c r="AA3204" s="4">
        <f>(AVERAGE(P3203:P3208)/_xlfn.STDEV.P(P3203:P3208))/(IF(A3206=A3207,(_xlfn.SINGLE(_xll.ciqfunctions.udf.CIQ(A3198,"IQ_total_assets",IQ_FY)) - _xlfn.SINGLE(_xll.ciqfunctions.udf.CIQ(A3198,"iq_gw_intan", IQ_FY)))/I3208, (_xlfn.SINGLE(_xll.ciqfunctions.udf.CIQ(A3198, "IQ_total_assets",IQ_LTM))-_xlfn.SINGLE(_xll.ciqfunctions.udf.CIQ(A3198,"iq_gw_intan",IQ_LTM)))/I3208))</f>
        <v>4.0027896665612517E-2</v>
      </c>
    </row>
    <row r="3205" spans="1:27">
      <c r="A3205" s="18"/>
      <c r="B3205" s="13">
        <v>8</v>
      </c>
      <c r="C3205" s="14" t="s">
        <v>30</v>
      </c>
      <c r="D3205" s="15" cm="1">
        <f t="array" ref="D3205">_xlfn.SINGLE(IF(A3206=A3207,_xll.ciqfunctions.udf.CIQ(A3198,"IQ_TOTAL_REV",IQ_FY-3)/I3205, _xll.ciqfunctions.udf.CIQ(A3198, "IQ_TOTAL_REV",IQ_FY-2)/I3205))</f>
        <v>12.577366507854574</v>
      </c>
      <c r="E3205" s="16">
        <f t="shared" si="855"/>
        <v>9.9296965611718829E-2</v>
      </c>
      <c r="F3205" s="15">
        <f>IF(A3206=A3207,_xll.ciqfunctions.udf.CIQ(A3198,"IQ_DILUT_EPS_EXCL",IQ_FY-3), _xll.ciqfunctions.udf.CIQ(A3198, "IQ_DILUT_EPS_EXCL",IQ_FY-2))</f>
        <v>-0.76395000000000002</v>
      </c>
      <c r="G3205" s="15">
        <f>IF(A3206=A3207,_xll.ciqfunctions.udf.CIQ(A3198,"IQ_EBITDA_MARGIN",IQ_FY-3), _xll.ciqfunctions.udf.CIQ(A3198, "IQ_EBITDA_MARGIN",IQ_FY-2))</f>
        <v>-12.0075</v>
      </c>
      <c r="H3205" s="15">
        <f>IF(A3206=A3207,_xll.ciqfunctions.udf.CIQ(A3198,"IQ_TOTAL_DIV_PAID_CF",IQ_FY-3)/-I3205, _xll.ciqfunctions.udf.CIQ(A3198, "IQ_TOTAL_DIV_PAID_CF",IQ_FY-2)/-I3205)</f>
        <v>0.11901018335578063</v>
      </c>
      <c r="I3205" s="17">
        <f>IF(A3206=A3207,_xll.ciqfunctions.udf.CIQ(A3198,"IQ_TOTAL_OUTSTANDING_FILING_DATE",IQ_FY-3), _xll.ciqfunctions.udf.CIQ(A3198, "IQ_TOTAL_OUTSTANDING_FILING_DATE",IQ_FY-2))</f>
        <v>80.900639999999996</v>
      </c>
      <c r="J3205" s="17">
        <f>IF(A3206=A3207,_xll.ciqfunctions.udf.CIQ(A3198,"IQ_CASH_OPER",IQ_FY-3), _xll.ciqfunctions.udf.CIQ(A3198, "IQ_CASH_OPER",IQ_FY-2))</f>
        <v>-0.56299999999999994</v>
      </c>
      <c r="K3205" s="17">
        <f>IF(A3206=A3207,_xll.ciqfunctions.udf.CIQ(A3198,"IQ_CAPEX",IQ_FY-3), _xll.ciqfunctions.udf.CIQ(A3198, "IQ_CAPEX",IQ_FY-2))</f>
        <v>-25.369</v>
      </c>
      <c r="L3205" s="15">
        <f t="shared" si="852"/>
        <v>-0.32054134553200075</v>
      </c>
      <c r="M3205" s="17">
        <f>IF(A3206=A3207,_xll.ciqfunctions.udf.CIQ(A3198,"IQ_TOTAL_DEBT_ISSUED",IQ_FY-3), _xll.ciqfunctions.udf.CIQ(A3198, "IQ_TOTAL_DEBT_ISSUED",IQ_FY-2))</f>
        <v>600</v>
      </c>
      <c r="N3205" s="17">
        <f>IF(A3206=A3207,_xll.ciqfunctions.udf.CIQ(A3198,"IQ_TOTAL_DEBT_REPAID",IQ_FY-3), _xll.ciqfunctions.udf.CIQ(A3198, "IQ_TOTAL_DEBT_REPAID",IQ_FY-2))</f>
        <v>0</v>
      </c>
      <c r="O3205" s="15">
        <f t="shared" si="853"/>
        <v>7.4165049868579533</v>
      </c>
      <c r="P3205" s="15">
        <f t="shared" si="854"/>
        <v>7.0959636413259526</v>
      </c>
      <c r="Q3205" s="18"/>
      <c r="R3205" s="39" t="s">
        <v>31</v>
      </c>
      <c r="S3205" s="5">
        <f>IF(NOT(D3198&gt;0),FALSE,SLOPE(G3198:G3208,B3198:B3208))</f>
        <v>-2.4384718181818181</v>
      </c>
      <c r="U3205" s="18"/>
      <c r="V3205" s="39" t="s">
        <v>31</v>
      </c>
      <c r="W3205" s="5">
        <f>IF(NOT(D3198&gt;0),FALSE,SLOPE(G3198:G3208,B3198:B3208))</f>
        <v>-2.4384718181818181</v>
      </c>
      <c r="Y3205" s="18"/>
      <c r="Z3205" s="39" t="s">
        <v>31</v>
      </c>
      <c r="AA3205" s="5">
        <f>IF(NOT(L3198&gt;0),FALSE,SLOPE(O3198:O3208,J3198:J3208))</f>
        <v>-1.4564525696226851E-2</v>
      </c>
    </row>
    <row r="3206" spans="1:27">
      <c r="A3206" s="19">
        <f>_xll.ciqfunctions.udf.CIQ(A3198,"IQ_TOTAL_REV",IQ_FY)</f>
        <v>1317.845</v>
      </c>
      <c r="B3206" s="13">
        <v>9</v>
      </c>
      <c r="C3206" s="14" t="s">
        <v>32</v>
      </c>
      <c r="D3206" s="15" cm="1">
        <f t="array" ref="D3206">_xlfn.SINGLE(IF(A3206=A3207,_xll.ciqfunctions.udf.CIQ(A3198,"IQ_TOTAL_REV",IQ_FY-2)/I3206, _xll.ciqfunctions.udf.CIQ(A3198, "IQ_TOTAL_REV",IQ_FY-1)/I3206))</f>
        <v>14.84289526698219</v>
      </c>
      <c r="E3206" s="16">
        <f t="shared" si="855"/>
        <v>0.18012743428545167</v>
      </c>
      <c r="F3206" s="15">
        <f>IF(A3206=A3207,_xll.ciqfunctions.udf.CIQ(A3198,"IQ_DILUT_EPS_EXCL",IQ_FY-2), _xll.ciqfunctions.udf.CIQ(A3198, "IQ_DILUT_EPS_EXCL",IQ_FY-1))</f>
        <v>-0.77456999999999998</v>
      </c>
      <c r="G3206" s="15">
        <f>IF(A3206=A3207,_xll.ciqfunctions.udf.CIQ(A3198,"IQ_EBITDA_MARGIN",IQ_FY-2), _xll.ciqfunctions.udf.CIQ(A3198, "IQ_EBITDA_MARGIN",IQ_FY-1))</f>
        <v>-5.4584999999999999</v>
      </c>
      <c r="H3206" s="15">
        <f>IF(A3206=A3207,_xll.ciqfunctions.udf.CIQ(A3198,"IQ_TOTAL_DIV_PAID_CF",IQ_FY-2)/-I3206, _xll.ciqfunctions.udf.CIQ(A3198, "IQ_TOTAL_DIV_PAID_CF",IQ_FY-1)/-I3206)</f>
        <v>0.11957342630358125</v>
      </c>
      <c r="I3206" s="17">
        <f>IF(A3206=A3207,_xll.ciqfunctions.udf.CIQ(A3198,"IQ_TOTAL_OUTSTANDING_FILING_DATE",IQ_FY-2), _xll.ciqfunctions.udf.CIQ(A3198, "IQ_TOTAL_OUTSTANDING_FILING_DATE",IQ_FY-1))</f>
        <v>81.63185</v>
      </c>
      <c r="J3206" s="17">
        <f>IF(A3206=A3207,_xll.ciqfunctions.udf.CIQ(A3198,"IQ_CASH_OPER",IQ_FY-2), _xll.ciqfunctions.udf.CIQ(A3198, "IQ_CASH_OPER",IQ_FY-1))</f>
        <v>39.118000000000002</v>
      </c>
      <c r="K3206" s="17">
        <f>IF(A3206=A3207,_xll.ciqfunctions.udf.CIQ(A3198,"IQ_CAPEX",IQ_FY-2), _xll.ciqfunctions.udf.CIQ(A3198, "IQ_CAPEX",IQ_FY-1))</f>
        <v>-10.456</v>
      </c>
      <c r="L3206" s="15">
        <f t="shared" si="852"/>
        <v>0.35111295407368576</v>
      </c>
      <c r="M3206" s="17">
        <f>IF(A3206=A3207,_xll.ciqfunctions.udf.CIQ(A3198,"IQ_TOTAL_DEBT_ISSUED",IQ_FY-2), _xll.ciqfunctions.udf.CIQ(A3198, "IQ_TOTAL_DEBT_ISSUED",IQ_FY-1))</f>
        <v>0</v>
      </c>
      <c r="N3206" s="17">
        <f>IF(A3206=A3207,_xll.ciqfunctions.udf.CIQ(A3198,"IQ_TOTAL_DEBT_REPAID",IQ_FY-2), _xll.ciqfunctions.udf.CIQ(A3198, "IQ_TOTAL_DEBT_REPAID",IQ_FY-1))</f>
        <v>0</v>
      </c>
      <c r="O3206" s="15">
        <f t="shared" si="853"/>
        <v>0</v>
      </c>
      <c r="P3206" s="15">
        <f t="shared" si="854"/>
        <v>0.35111295407368576</v>
      </c>
      <c r="Q3206" s="25" t="s">
        <v>33</v>
      </c>
      <c r="R3206" s="38" t="s">
        <v>52</v>
      </c>
      <c r="S3206" s="4">
        <f>(AVERAGE(O3203:O3208)/AVERAGE(P3203:P3208))</f>
        <v>0.74798124778533026</v>
      </c>
      <c r="U3206" s="25" t="s">
        <v>54</v>
      </c>
      <c r="V3206" s="38" t="s">
        <v>52</v>
      </c>
      <c r="W3206" s="4">
        <f>(AVERAGE(O3203:O3208)/AVERAGE(P3203:P3208))</f>
        <v>0.74798124778533026</v>
      </c>
      <c r="Y3206" s="25" t="s">
        <v>60</v>
      </c>
      <c r="Z3206" s="38" t="s">
        <v>52</v>
      </c>
      <c r="AA3206" s="4">
        <f>(AVERAGE(O3203:O3208)/AVERAGE(P3203:P3208))</f>
        <v>0.74798124778533026</v>
      </c>
    </row>
    <row r="3207" spans="1:27">
      <c r="A3207" s="19">
        <f>_xll.ciqfunctions.udf.CIQ(A3198,"IQ_TOTAL_REV",IQ_LTM)</f>
        <v>1354.8530000000001</v>
      </c>
      <c r="B3207" s="13">
        <v>10</v>
      </c>
      <c r="C3207" s="14" t="s">
        <v>34</v>
      </c>
      <c r="D3207" s="15" cm="1">
        <f t="array" ref="D3207">_xlfn.SINGLE(IF(A3206=A3207,_xll.ciqfunctions.udf.CIQ(A3198,"IQ_TOTAL_REV",IQ_FY-1)/I3207, _xll.ciqfunctions.udf.CIQ(A3198, "IQ_TOTAL_REV",IQ_FY)/I3207))</f>
        <v>15.97974577575209</v>
      </c>
      <c r="E3207" s="16">
        <f t="shared" si="855"/>
        <v>7.6592234083791441E-2</v>
      </c>
      <c r="F3207" s="15">
        <f>IF(A3206=A3207,_xll.ciqfunctions.udf.CIQ(A3198,"IQ_DILUT_EPS_EXCL",IQ_FY-1), _xll.ciqfunctions.udf.CIQ(A3198, "IQ_DILUT_EPS_EXCL",IQ_FY))</f>
        <v>-4.22</v>
      </c>
      <c r="G3207" s="15">
        <f>IF(A3206=A3207,_xll.ciqfunctions.udf.CIQ(A3198,"IQ_EBITDA_MARGIN",IQ_FY-1), _xll.ciqfunctions.udf.CIQ(A3198, "IQ_EBITDA_MARGIN",IQ_FY))</f>
        <v>-5.2267999999999999</v>
      </c>
      <c r="H3207" s="15">
        <f>IF(A3206=A3207,_xll.ciqfunctions.udf.CIQ(A3198,"IQ_TOTAL_DIV_PAID_CF",IQ_FY-1)/-I3207, _xll.ciqfunctions.udf.CIQ(A3198, "IQ_TOTAL_DIV_PAID_CF",IQ_FY)/-I3207)</f>
        <v>0.1192437805346957</v>
      </c>
      <c r="I3207" s="17">
        <f>IF(A3206=A3207,_xll.ciqfunctions.udf.CIQ(A3198,"IQ_TOTAL_OUTSTANDING_FILING_DATE",IQ_FY-1), _xll.ciqfunctions.udf.CIQ(A3198, "IQ_TOTAL_OUTSTANDING_FILING_DATE",IQ_FY))</f>
        <v>82.469710000000006</v>
      </c>
      <c r="J3207" s="17">
        <f>IF(A3206=A3207,_xll.ciqfunctions.udf.CIQ(A3198,"IQ_CASH_OPER",IQ_FY-1), _xll.ciqfunctions.udf.CIQ(A3198, "IQ_CASH_OPER",IQ_FY))</f>
        <v>22.335999999999999</v>
      </c>
      <c r="K3207" s="17">
        <f>IF(A3206=A3207,_xll.ciqfunctions.udf.CIQ(A3198,"IQ_CAPEX",IQ_FY-1), _xll.ciqfunctions.udf.CIQ(A3198, "IQ_CAPEX",IQ_FY))</f>
        <v>-35.378999999999998</v>
      </c>
      <c r="L3207" s="15">
        <f t="shared" si="852"/>
        <v>-0.1581550365582709</v>
      </c>
      <c r="M3207" s="17">
        <f>IF(A3206=A3207,_xll.ciqfunctions.udf.CIQ(A3198,"IQ_TOTAL_DEBT_ISSUED",IQ_FY-1), _xll.ciqfunctions.udf.CIQ(A3198, "IQ_TOTAL_DEBT_ISSUED",IQ_FY))</f>
        <v>0</v>
      </c>
      <c r="N3207" s="17">
        <f>IF(A3206=A3207,_xll.ciqfunctions.udf.CIQ(A3198,"IQ_TOTAL_DEBT_REPAID",IQ_FY-1), _xll.ciqfunctions.udf.CIQ(A3198, "IQ_TOTAL_DEBT_REPAID",IQ_FY))</f>
        <v>0</v>
      </c>
      <c r="O3207" s="15">
        <f t="shared" si="853"/>
        <v>0</v>
      </c>
      <c r="P3207" s="15">
        <f t="shared" si="854"/>
        <v>-0.1581550365582709</v>
      </c>
      <c r="Q3207" s="25" t="s">
        <v>44</v>
      </c>
      <c r="R3207" s="38" t="s">
        <v>35</v>
      </c>
      <c r="S3207" s="1">
        <f>_xll.ciqfunctions.udf.CIQ(A3198,"IQ_TEV_EBITDA")</f>
        <v>83.879909999999995</v>
      </c>
      <c r="U3207" s="25" t="s">
        <v>55</v>
      </c>
      <c r="V3207" s="38" t="s">
        <v>53</v>
      </c>
      <c r="W3207" s="1">
        <f>V3197/(AVERAGE(D3203:D3208)/_xlfn.STDEV.P(E3203:E3208))</f>
        <v>0.24323715652648603</v>
      </c>
      <c r="Y3207" s="25" t="s">
        <v>57</v>
      </c>
      <c r="Z3207" s="38" t="s">
        <v>53</v>
      </c>
      <c r="AA3207" s="1">
        <f>Z3197/(AVERAGE(D3203:D3208)/_xlfn.STDEV.P(E3203:E3208))</f>
        <v>0.24323715652648603</v>
      </c>
    </row>
    <row r="3208" spans="1:27">
      <c r="B3208" s="13">
        <v>11</v>
      </c>
      <c r="C3208" s="20" t="s">
        <v>36</v>
      </c>
      <c r="D3208" s="21" cm="1">
        <f t="array" ref="D3208">_xlfn.SINGLE(IF(A3206=A3207,_xll.ciqfunctions.udf.CIQ(A3198,"IQ_TOTAL_REV",IQ_FY)/I3208, _xll.ciqfunctions.udf.CIQ(A3198, "IQ_TOTAL_REV",IQ_LTM)/I3208))</f>
        <v>16.214925285964178</v>
      </c>
      <c r="E3208" s="22">
        <f t="shared" si="855"/>
        <v>1.4717349919856244E-2</v>
      </c>
      <c r="F3208" s="21">
        <f>IF(A3206=A3207,_xll.ciqfunctions.udf.CIQ(A3198,"IQ_DILUT_EPS_EXCL",IQ_FY), _xll.ciqfunctions.udf.CIQ(A3198, "IQ_DILUT_EPS_EXCL",IQ_LTM))</f>
        <v>-0.48597000000000001</v>
      </c>
      <c r="G3208" s="21">
        <f>IF(A3206=A3207,_xll.ciqfunctions.udf.CIQ(A3198,"IQ_EBITDA_MARGIN",IQ_FY), _xll.ciqfunctions.udf.CIQ(A3198, "IQ_EBITDA_MARGIN",IQ_LTM))</f>
        <v>1.7490000000000001</v>
      </c>
      <c r="H3208" s="21">
        <f>IF(A3206=A3207,_xll.ciqfunctions.udf.CIQ(A3198,"IQ_TOTAL_DIV_PAID_CF",IQ_FY)/-I3208, _xll.ciqfunctions.udf.CIQ(A3198, "IQ_TOTAL_DIV_PAID_CF",IQ_LTM)/-I3208)</f>
        <v>0.1187707585530744</v>
      </c>
      <c r="I3208" s="23">
        <f>IF(A3206=A3207,_xll.ciqfunctions.udf.CIQ(A3198,"IQ_TOTAL_OUTSTANDING_FILING_DATE",IQ_FY),_xll.ciqfunctions.udf.CIQ(A3198,"IQ_sharesoutstanding"))</f>
        <v>83.55592</v>
      </c>
      <c r="J3208" s="23">
        <f>IF(A3206=A3207,_xll.ciqfunctions.udf.CIQ(A3198,"IQ_CASH_OPER",IQ_FY), _xll.ciqfunctions.udf.CIQ(A3198, "IQ_CASH_OPER",IQ_LTM))</f>
        <v>173.702</v>
      </c>
      <c r="K3208" s="23">
        <f>IF(A3206=A3207,_xll.ciqfunctions.udf.CIQ(A3198,"IQ_CAPEX",IQ_FY), _xll.ciqfunctions.udf.CIQ(A3198, "IQ_CAPEX",IQ_LTM))</f>
        <v>-27.364999999999998</v>
      </c>
      <c r="L3208" s="21">
        <f t="shared" si="852"/>
        <v>1.7513660312758208</v>
      </c>
      <c r="M3208" s="23">
        <f>IF(A3206=A3207,_xll.ciqfunctions.udf.CIQ(A3198,"IQ_TOTAL_DEBT_ISSUED",IQ_FY), _xll.ciqfunctions.udf.CIQ(A3198, "IQ_TOTAL_DEBT_ISSUED",IQ_LTM))</f>
        <v>0</v>
      </c>
      <c r="N3208" s="23">
        <f>IF(A3206=A3207,_xll.ciqfunctions.udf.CIQ(A3198,"IQ_TOTAL_DEBT_REPAID",IQ_FY), _xll.ciqfunctions.udf.CIQ(A3198, "IQ_TOTAL_DEBT_REPAID",IQ_LTM))</f>
        <v>-88.989000000000004</v>
      </c>
      <c r="O3208" s="21">
        <f t="shared" si="853"/>
        <v>-1.0650232802176076</v>
      </c>
      <c r="P3208" s="21">
        <f t="shared" si="854"/>
        <v>0.68634275105821319</v>
      </c>
      <c r="Q3208" s="25" t="s">
        <v>45</v>
      </c>
      <c r="S3208" s="45"/>
      <c r="U3208" s="25"/>
      <c r="W3208" s="45"/>
      <c r="Y3208" s="25"/>
      <c r="AA3208" s="45"/>
    </row>
    <row r="3209" spans="1:27">
      <c r="B3209" s="24"/>
      <c r="C3209" s="25" t="s">
        <v>37</v>
      </c>
      <c r="E3209" s="26">
        <f>((D3208/D3203)^(1/5))-1</f>
        <v>7.3646421131896123E-2</v>
      </c>
      <c r="F3209" s="27">
        <f>((F3208/F3203)^(1/5))-1</f>
        <v>-2.3061772924187345</v>
      </c>
      <c r="G3209" s="28"/>
      <c r="H3209" s="27">
        <f>((H3208/H3203)^(1/5))-1</f>
        <v>-2.4570607067623262E-3</v>
      </c>
      <c r="I3209" s="27">
        <f>((I3208/I3203)^(1/5))-1</f>
        <v>1.2709755788022026E-2</v>
      </c>
      <c r="J3209" s="27"/>
      <c r="K3209" s="27"/>
      <c r="L3209" s="26">
        <f>((L3208/L3203)^(1/5))-1</f>
        <v>8.2411106218425845E-2</v>
      </c>
      <c r="M3209" s="26"/>
      <c r="N3209" s="26"/>
      <c r="O3209" s="26"/>
      <c r="P3209" s="26">
        <f>((P3208/P3203)^(1/5))-1</f>
        <v>-0.10251940836755946</v>
      </c>
      <c r="Q3209" s="18"/>
      <c r="R3209" s="36"/>
      <c r="S3209" s="45"/>
      <c r="U3209" s="18"/>
      <c r="V3209" s="36"/>
      <c r="W3209" s="45"/>
      <c r="Y3209" s="18"/>
      <c r="Z3209" s="36"/>
      <c r="AA3209" s="45"/>
    </row>
    <row r="3210" spans="1:27">
      <c r="A3210" s="29"/>
      <c r="B3210" s="30"/>
      <c r="C3210" s="31" t="s">
        <v>38</v>
      </c>
      <c r="D3210" s="29"/>
      <c r="E3210" s="32">
        <f>((D3208/D3198)^(1/10))-1</f>
        <v>9.2846998902249123E-2</v>
      </c>
      <c r="F3210" s="33" t="e">
        <f>((F3208/F3198)^(1/10))-1</f>
        <v>#NUM!</v>
      </c>
      <c r="G3210" s="34"/>
      <c r="H3210" s="33">
        <f>((H3208/H3198)^(1/10))-1</f>
        <v>0.10227857873857316</v>
      </c>
      <c r="I3210" s="33">
        <f>((I3208/I3198)^(1/10))-1</f>
        <v>9.1645833945870336E-3</v>
      </c>
      <c r="J3210" s="33"/>
      <c r="K3210" s="33"/>
      <c r="L3210" s="32">
        <f>((L3208/L3198)^(1/10))-1</f>
        <v>5.9269650020295606E-2</v>
      </c>
      <c r="M3210" s="32"/>
      <c r="N3210" s="32"/>
      <c r="O3210" s="32"/>
      <c r="P3210" s="32">
        <f>((P3208/P3198)^(1/10))-1</f>
        <v>-3.5454005077553918E-2</v>
      </c>
      <c r="Q3210" s="40"/>
      <c r="R3210" s="41"/>
      <c r="S3210" s="46"/>
      <c r="U3210" s="40"/>
      <c r="V3210" s="41"/>
      <c r="W3210" s="46"/>
      <c r="Y3210" s="40"/>
      <c r="Z3210" s="41"/>
      <c r="AA3210" s="46"/>
    </row>
    <row r="3211" spans="1:27">
      <c r="B3211" s="24"/>
      <c r="C3211" s="25"/>
      <c r="E3211" s="26"/>
      <c r="F3211" s="27"/>
      <c r="G3211" s="28"/>
      <c r="H3211" s="27"/>
      <c r="I3211" s="27"/>
      <c r="J3211" s="27"/>
      <c r="K3211" s="27"/>
      <c r="L3211" s="26"/>
      <c r="M3211" s="17"/>
      <c r="N3211" s="17"/>
      <c r="O3211" s="17"/>
      <c r="P3211" s="35"/>
      <c r="Q3211" s="18"/>
      <c r="R3211" s="36"/>
    </row>
    <row r="3212" spans="1:27">
      <c r="A3212" s="9" t="s">
        <v>0</v>
      </c>
      <c r="B3212" s="10"/>
      <c r="C3212" s="9" t="s">
        <v>1</v>
      </c>
      <c r="D3212" s="9" t="s">
        <v>2</v>
      </c>
      <c r="E3212" s="9" t="s">
        <v>3</v>
      </c>
      <c r="F3212" s="11" t="s">
        <v>4</v>
      </c>
      <c r="G3212" s="11" t="s">
        <v>5</v>
      </c>
      <c r="H3212" s="9" t="s">
        <v>6</v>
      </c>
      <c r="I3212" s="11" t="s">
        <v>7</v>
      </c>
      <c r="J3212" s="11" t="s">
        <v>8</v>
      </c>
      <c r="K3212" s="11" t="s">
        <v>9</v>
      </c>
      <c r="L3212" s="11" t="s">
        <v>10</v>
      </c>
      <c r="M3212" s="11" t="s">
        <v>11</v>
      </c>
      <c r="N3212" s="11" t="s">
        <v>12</v>
      </c>
      <c r="O3212" s="11" t="s">
        <v>13</v>
      </c>
      <c r="P3212" s="11" t="s">
        <v>14</v>
      </c>
      <c r="Q3212" s="37" t="s">
        <v>15</v>
      </c>
      <c r="R3212" s="42">
        <f>_xll.ciqfunctions.udf.CIQ(A3213,("IQ_LASTSALEPRICE"))</f>
        <v>27.33</v>
      </c>
      <c r="S3212" s="44"/>
      <c r="U3212" s="37" t="s">
        <v>15</v>
      </c>
      <c r="V3212" s="42">
        <f>_xll.ciqfunctions.udf.CIQ(A3213,("IQ_LASTSALEPRICE"))</f>
        <v>27.33</v>
      </c>
      <c r="W3212" s="44"/>
      <c r="Y3212" s="37" t="s">
        <v>15</v>
      </c>
      <c r="Z3212" s="42">
        <f>_xll.ciqfunctions.udf.CIQ(A3213,("IQ_LASTSALEPRICE"))</f>
        <v>27.33</v>
      </c>
      <c r="AA3212" s="44"/>
    </row>
    <row r="3213" spans="1:27">
      <c r="A3213" s="12" t="str">
        <f>Analysis!B216</f>
        <v>NasdaqGS:FROG</v>
      </c>
      <c r="B3213" s="13">
        <v>1</v>
      </c>
      <c r="C3213" s="14" t="s">
        <v>16</v>
      </c>
      <c r="D3213" s="15" t="e">
        <f>IF(A3221=A3222,_xll.ciqfunctions.udf.CIQ(A3213,"IQ_TOTAL_REV",IQ_FY-10)/I3213,_xll.ciqfunctions.udf.CIQ(A3213, "IQ_TOTAL_REV",IQ_FY-9)/I3213)</f>
        <v>#DIV/0!</v>
      </c>
      <c r="E3213" s="16"/>
      <c r="F3213" s="15">
        <f>IF(A3221=A3222,_xll.ciqfunctions.udf.CIQ(A3213,"IQ_DILUT_EPS_EXCL",IQ_FY-10), _xll.ciqfunctions.udf.CIQ(A3213, "IQ_DILUT_EPS_EXCL",IQ_FY-9))</f>
        <v>0</v>
      </c>
      <c r="G3213" s="15">
        <f>IF(A3221=A3222,_xll.ciqfunctions.udf.CIQ(A3213,"IQ_EBITDA_MARGIN",IQ_FY-10), _xll.ciqfunctions.udf.CIQ(A3213, "IQ_EBITDA_MARGIN",IQ_FY-9))</f>
        <v>0</v>
      </c>
      <c r="H3213" s="15" t="e">
        <f>IF(A3221=A3222,_xll.ciqfunctions.udf.CIQ(A3213,"IQ_TOTAL_DIV_PAID_CF",IQ_FY-10)/-I3213, _xll.ciqfunctions.udf.CIQ(A3213, "IQ_TOTAL_DIV_PAID_CF",IQ_FY-9)/-I3213)</f>
        <v>#DIV/0!</v>
      </c>
      <c r="I3213" s="17">
        <f>IF(A3221=A3222,_xll.ciqfunctions.udf.CIQ(A3213,"IQ_TOTAL_OUTSTANDING_FILING_DATE",IQ_FY-10), _xll.ciqfunctions.udf.CIQ(A3213, "IQ_TOTAL_OUTSTANDING_FILING_DATE",IQ_FY-9))</f>
        <v>0</v>
      </c>
      <c r="J3213" s="17">
        <f>IF(A3221=A3222,_xll.ciqfunctions.udf.CIQ(A3213,"IQ_CASH_OPER",IQ_FY-10), _xll.ciqfunctions.udf.CIQ(A3213, "IQ_CASH_OPER",IQ_FY-9))</f>
        <v>0</v>
      </c>
      <c r="K3213" s="17">
        <f>IF(A3221=A3222,_xll.ciqfunctions.udf.CIQ(A3213,"IQ_CAPEX",IQ_FY-10), _xll.ciqfunctions.udf.CIQ(A3213, "IQ_CAPEX",IQ_FY-9))</f>
        <v>0</v>
      </c>
      <c r="L3213" s="15" t="e">
        <f t="shared" ref="L3213:L3223" si="856">(J3213+K3213)/I3213</f>
        <v>#DIV/0!</v>
      </c>
      <c r="M3213" s="17">
        <f>IF(A3221=A3222,_xll.ciqfunctions.udf.CIQ(A3213,"IQ_TOTAL_DEBT_ISSUED",IQ_FY-10), _xll.ciqfunctions.udf.CIQ(A3213, "IQ_TOTAL_DEBT_ISSUED",IQ_FY-9))</f>
        <v>0</v>
      </c>
      <c r="N3213" s="17">
        <f>IF(A3221=A3222,_xll.ciqfunctions.udf.CIQ(A3213,"IQ_TOTAL_DEBT_REPAID",IQ_FY-10), _xll.ciqfunctions.udf.CIQ(A3213, "IQ_TOTAL_DEBT_REPAID",IQ_FY-9))</f>
        <v>0</v>
      </c>
      <c r="O3213" s="15" t="e">
        <f t="shared" ref="O3213:O3223" si="857">(M3213+N3213)/I3213</f>
        <v>#DIV/0!</v>
      </c>
      <c r="P3213" s="15" t="e">
        <f t="shared" ref="P3213:P3223" si="858">L3213+O3213</f>
        <v>#DIV/0!</v>
      </c>
      <c r="W3213" s="43"/>
      <c r="AA3213" s="43"/>
    </row>
    <row r="3214" spans="1:27">
      <c r="A3214" s="18" t="str">
        <f>_xll.ciqfunctions.udf.CIQ(A3213,"IQ_COMPANY_NAME")</f>
        <v>JFrog Ltd.</v>
      </c>
      <c r="B3214" s="13">
        <v>2</v>
      </c>
      <c r="C3214" s="14" t="s">
        <v>17</v>
      </c>
      <c r="D3214" s="15" t="e">
        <f>IF(A3221=A3222,_xll.ciqfunctions.udf.CIQ(A3213,"IQ_TOTAL_REV",IQ_FY-9)/I3214, _xll.ciqfunctions.udf.CIQ(A3213, "IQ_TOTAL_REV",IQ_FY-8)/I3214)</f>
        <v>#DIV/0!</v>
      </c>
      <c r="E3214" s="16" t="e">
        <f t="shared" ref="E3214:E3223" si="859">(D3214-D3213)/D3213</f>
        <v>#DIV/0!</v>
      </c>
      <c r="F3214" s="15">
        <f>IF(A3221=A3222,_xll.ciqfunctions.udf.CIQ(A3213,"IQ_DILUT_EPS_EXCL",IQ_FY-9), _xll.ciqfunctions.udf.CIQ(A3213, "IQ_DILUT_EPS_EXCL",IQ_FY-8))</f>
        <v>0</v>
      </c>
      <c r="G3214" s="15">
        <f>IF(A3221=A3222,_xll.ciqfunctions.udf.CIQ(A3213,"IQ_EBITDA_MARGIN",IQ_FY-9), _xll.ciqfunctions.udf.CIQ(A3213, "IQ_EBITDA_MARGIN",IQ_FY-8))</f>
        <v>0</v>
      </c>
      <c r="H3214" s="15" t="e">
        <f>IF(A3221=A3222,_xll.ciqfunctions.udf.CIQ(A3213,"IQ_TOTAL_DIV_PAID_CF",IQ_FY-9)/-I3214, _xll.ciqfunctions.udf.CIQ(A3213, "IQ_TOTAL_DIV_PAID_CF",IQ_FY-8)/-I3214)</f>
        <v>#DIV/0!</v>
      </c>
      <c r="I3214" s="17">
        <f>IF(A3221=A3222,_xll.ciqfunctions.udf.CIQ(A3213,"IQ_TOTAL_OUTSTANDING_FILING_DATE",IQ_FY-9), _xll.ciqfunctions.udf.CIQ(A3213, "IQ_TOTAL_OUTSTANDING_FILING_DATE",IQ_FY-8))</f>
        <v>0</v>
      </c>
      <c r="J3214" s="17">
        <f>IF(A3221=A3222,_xll.ciqfunctions.udf.CIQ(A3213,"IQ_CASH_OPER",IQ_FY-9), _xll.ciqfunctions.udf.CIQ(A3213, "IQ_CASH_OPER",IQ_FY-8))</f>
        <v>0</v>
      </c>
      <c r="K3214" s="17">
        <f>IF(A3221=A3222,_xll.ciqfunctions.udf.CIQ(A3213,"IQ_CAPEX",IQ_FY-9), _xll.ciqfunctions.udf.CIQ(A3213, "IQ_CAPEX",IQ_FY-8))</f>
        <v>0</v>
      </c>
      <c r="L3214" s="15" t="e">
        <f t="shared" si="856"/>
        <v>#DIV/0!</v>
      </c>
      <c r="M3214" s="17">
        <f>IF(A3221=A3222,_xll.ciqfunctions.udf.CIQ(A3213,"IQ_TOTAL_DEBT_ISSUED",IQ_FY-9), _xll.ciqfunctions.udf.CIQ(A3213, "IQ_TOTAL_DEBT_ISSUED",IQ_FY-8))</f>
        <v>0</v>
      </c>
      <c r="N3214" s="17">
        <f>IF(A3221=A3222,_xll.ciqfunctions.udf.CIQ(A3213,"IQ_TOTAL_DEBT_REPAID",IQ_FY-9), _xll.ciqfunctions.udf.CIQ(A3213, "IQ_TOTAL_DEBT_REPAID",IQ_FY-8))</f>
        <v>0</v>
      </c>
      <c r="O3214" s="15" t="e">
        <f t="shared" si="857"/>
        <v>#DIV/0!</v>
      </c>
      <c r="P3214" s="15" t="e">
        <f t="shared" si="858"/>
        <v>#DIV/0!</v>
      </c>
      <c r="Q3214" s="25" t="s">
        <v>18</v>
      </c>
      <c r="R3214" s="39" t="s">
        <v>19</v>
      </c>
      <c r="S3214" s="1">
        <f>R3212/((AVERAGE(P3218:P3223))*(1+E3224)^3)</f>
        <v>83.356471287127647</v>
      </c>
      <c r="U3214" s="25" t="s">
        <v>48</v>
      </c>
      <c r="V3214" s="39" t="s">
        <v>19</v>
      </c>
      <c r="W3214" s="1">
        <f>V3212/((AVERAGE(P3218:P3223))*(1+E3224)^3)</f>
        <v>83.356471287127647</v>
      </c>
      <c r="Y3214" s="25" t="s">
        <v>39</v>
      </c>
      <c r="Z3214" s="39" t="s">
        <v>19</v>
      </c>
      <c r="AA3214" s="1">
        <f>Z3212/((AVERAGE(P3218:P3223))*(1+E3224)^3)</f>
        <v>83.356471287127647</v>
      </c>
    </row>
    <row r="3215" spans="1:27">
      <c r="B3215" s="13">
        <v>3</v>
      </c>
      <c r="C3215" s="14" t="s">
        <v>20</v>
      </c>
      <c r="D3215" s="15" t="e" cm="1">
        <f t="array" ref="D3215">_xlfn.SINGLE(IF(A3221=A3222,_xll.ciqfunctions.udf.CIQ(A3213,"IQ_TOTAL_REV",IQ_FY-8)/I3215, _xll.ciqfunctions.udf.CIQ(A3213, "IQ_TOTAL_REV",IQ_FY-7)/I3215))</f>
        <v>#DIV/0!</v>
      </c>
      <c r="E3215" s="16" t="e">
        <f t="shared" si="859"/>
        <v>#DIV/0!</v>
      </c>
      <c r="F3215" s="15">
        <f>IF(A3221=A3222,_xll.ciqfunctions.udf.CIQ(A3213,"IQ_DILUT_EPS_EXCL",IQ_FY-8), _xll.ciqfunctions.udf.CIQ(A3213, "IQ_DILUT_EPS_EXCL",IQ_FY-7))</f>
        <v>0</v>
      </c>
      <c r="G3215" s="15">
        <f>IF(A3221=A3222,_xll.ciqfunctions.udf.CIQ(A3213,"IQ_EBITDA_MARGIN",IQ_FY-8), _xll.ciqfunctions.udf.CIQ(A3213, "IQ_EBITDA_MARGIN",IQ_FY-7))</f>
        <v>0</v>
      </c>
      <c r="H3215" s="15" t="e">
        <f>IF(A3221=A3222,_xll.ciqfunctions.udf.CIQ(A3213,"IQ_TOTAL_DIV_PAID_CF",IQ_FY-8)/-I3215, _xll.ciqfunctions.udf.CIQ(A3213, "IQ_TOTAL_DIV_PAID_CF",IQ_FY-7)/-I3215)</f>
        <v>#DIV/0!</v>
      </c>
      <c r="I3215" s="17">
        <f>IF(A3221=A3222,_xll.ciqfunctions.udf.CIQ(A3213,"IQ_TOTAL_OUTSTANDING_FILING_DATE",IQ_FY-8), _xll.ciqfunctions.udf.CIQ(A3213, "IQ_TOTAL_OUTSTANDING_FILING_DATE",IQ_FY-7))</f>
        <v>0</v>
      </c>
      <c r="J3215" s="17">
        <f>IF(A3221=A3222,_xll.ciqfunctions.udf.CIQ(A3213,"IQ_CASH_OPER",IQ_FY-8), _xll.ciqfunctions.udf.CIQ(A3213, "IQ_CASH_OPER",IQ_FY-7))</f>
        <v>0</v>
      </c>
      <c r="K3215" s="17">
        <f>IF(A3221=A3222,_xll.ciqfunctions.udf.CIQ(A3213,"IQ_CAPEX",IQ_FY-8), _xll.ciqfunctions.udf.CIQ(A3213, "IQ_CAPEX",IQ_FY-7))</f>
        <v>0</v>
      </c>
      <c r="L3215" s="15" t="e">
        <f t="shared" si="856"/>
        <v>#DIV/0!</v>
      </c>
      <c r="M3215" s="17">
        <f>IF(A3221=A3222,_xll.ciqfunctions.udf.CIQ(A3213,"IQ_TOTAL_DEBT_ISSUED",IQ_FY-8), _xll.ciqfunctions.udf.CIQ(A3213, "IQ_TOTAL_DEBT_ISSUED",IQ_FY-7))</f>
        <v>0</v>
      </c>
      <c r="N3215" s="17">
        <f>IF(A3221=A3222,_xll.ciqfunctions.udf.CIQ(A3213,"IQ_TOTAL_DEBT_REPAID",IQ_FY-8), _xll.ciqfunctions.udf.CIQ(A3213, "IQ_TOTAL_DEBT_REPAID",IQ_FY-7))</f>
        <v>0</v>
      </c>
      <c r="O3215" s="15" t="e">
        <f t="shared" si="857"/>
        <v>#DIV/0!</v>
      </c>
      <c r="P3215" s="15" t="e">
        <f t="shared" si="858"/>
        <v>#DIV/0!</v>
      </c>
      <c r="Q3215" s="25" t="s">
        <v>21</v>
      </c>
      <c r="R3215" s="38" t="s">
        <v>49</v>
      </c>
      <c r="S3215" s="2">
        <f>(R3212*I3223)/1000</f>
        <v>2.8665625298999999</v>
      </c>
      <c r="U3215" s="25" t="s">
        <v>59</v>
      </c>
      <c r="V3215" s="38" t="s">
        <v>49</v>
      </c>
      <c r="W3215" s="2">
        <f>(V3212*I3223)/1000</f>
        <v>2.8665625298999999</v>
      </c>
      <c r="Y3215" s="25" t="s">
        <v>46</v>
      </c>
      <c r="Z3215" s="38" t="s">
        <v>49</v>
      </c>
      <c r="AA3215" s="2">
        <f>(Z3212*I3223)/1000</f>
        <v>2.8665625298999999</v>
      </c>
    </row>
    <row r="3216" spans="1:27">
      <c r="A3216" s="18"/>
      <c r="B3216" s="13">
        <v>4</v>
      </c>
      <c r="C3216" s="14" t="s">
        <v>22</v>
      </c>
      <c r="D3216" s="15" t="e" cm="1">
        <f t="array" ref="D3216">_xlfn.SINGLE(IF(A3221=A3222,_xll.ciqfunctions.udf.CIQ(A3213,"IQ_TOTAL_REV",IQ_FY-7)/I3216, _xll.ciqfunctions.udf.CIQ(A3213, "IQ_TOTAL_REV",IQ_FY-6)/I3216))</f>
        <v>#DIV/0!</v>
      </c>
      <c r="E3216" s="16" t="e">
        <f t="shared" si="859"/>
        <v>#DIV/0!</v>
      </c>
      <c r="F3216" s="15">
        <f>IF(A3221=A3222,_xll.ciqfunctions.udf.CIQ(A3213,"IQ_DILUT_EPS_EXCL",IQ_FY-7), _xll.ciqfunctions.udf.CIQ(A3213, "IQ_DILUT_EPS_EXCL",IQ_FY-6))</f>
        <v>0</v>
      </c>
      <c r="G3216" s="15">
        <f>IF(A3221=A3222,_xll.ciqfunctions.udf.CIQ(A3213,"IQ_EBITDA_MARGIN",IQ_FY-7), _xll.ciqfunctions.udf.CIQ(A3213, "IQ_EBITDA_MARGIN",IQ_FY-6))</f>
        <v>0</v>
      </c>
      <c r="H3216" s="15" t="e">
        <f>IF(A3221=A3222,_xll.ciqfunctions.udf.CIQ(A3213,"IQ_TOTAL_DIV_PAID_CF",IQ_FY-7)/-I3216, _xll.ciqfunctions.udf.CIQ(A3213, "IQ_TOTAL_DIV_PAID_CF",IQ_FY-6)/-I3216)</f>
        <v>#DIV/0!</v>
      </c>
      <c r="I3216" s="17">
        <f>IF(A3221=A3222,_xll.ciqfunctions.udf.CIQ(A3213,"IQ_TOTAL_OUTSTANDING_FILING_DATE",IQ_FY-7), _xll.ciqfunctions.udf.CIQ(A3213, "IQ_TOTAL_OUTSTANDING_FILING_DATE",IQ_FY-6))</f>
        <v>0</v>
      </c>
      <c r="J3216" s="17">
        <f>IF(A3221=A3222,_xll.ciqfunctions.udf.CIQ(A3213,"IQ_CASH_OPER",IQ_FY-7), _xll.ciqfunctions.udf.CIQ(A3213, "IQ_CASH_OPER",IQ_FY-6))</f>
        <v>0</v>
      </c>
      <c r="K3216" s="17">
        <f>IF(A3221=A3222,_xll.ciqfunctions.udf.CIQ(A3213,"IQ_CAPEX",IQ_FY-7), _xll.ciqfunctions.udf.CIQ(A3213, "IQ_CAPEX",IQ_FY-6))</f>
        <v>0</v>
      </c>
      <c r="L3216" s="15" t="e">
        <f t="shared" si="856"/>
        <v>#DIV/0!</v>
      </c>
      <c r="M3216" s="17">
        <f>IF(A3221=A3222,_xll.ciqfunctions.udf.CIQ(A3213,"IQ_TOTAL_DEBT_ISSUED",IQ_FY-7), _xll.ciqfunctions.udf.CIQ(A3213, "IQ_TOTAL_DEBT_ISSUED",IQ_FY-6))</f>
        <v>0</v>
      </c>
      <c r="N3216" s="17">
        <f>IF(A3221=A3222,_xll.ciqfunctions.udf.CIQ(A3213,"IQ_TOTAL_DEBT_REPAID",IQ_FY-7), _xll.ciqfunctions.udf.CIQ(A3213, "IQ_TOTAL_DEBT_REPAID",IQ_FY-6))</f>
        <v>0</v>
      </c>
      <c r="O3216" s="15" t="e">
        <f t="shared" si="857"/>
        <v>#DIV/0!</v>
      </c>
      <c r="P3216" s="15" t="e">
        <f t="shared" si="858"/>
        <v>#DIV/0!</v>
      </c>
      <c r="Q3216" s="25" t="s">
        <v>23</v>
      </c>
      <c r="R3216" s="38" t="s">
        <v>24</v>
      </c>
      <c r="S3216" s="1" t="e">
        <f>R3212/(AVERAGE(H3218:H3223)*(1+H3224)/(0.5-H3224))</f>
        <v>#DIV/0!</v>
      </c>
      <c r="U3216" s="25" t="s">
        <v>40</v>
      </c>
      <c r="V3216" s="38" t="s">
        <v>24</v>
      </c>
      <c r="W3216" s="1" t="e">
        <f>V3212/(AVERAGE(H3218:H3223)*(1+H3224)/(0.5-H3224))</f>
        <v>#DIV/0!</v>
      </c>
      <c r="Y3216" s="25" t="s">
        <v>47</v>
      </c>
      <c r="Z3216" s="38" t="s">
        <v>24</v>
      </c>
      <c r="AA3216" s="1" t="e">
        <f>Z3212/(AVERAGE(H3218:H3223)*(1+H3224)/(0.5-H3224))</f>
        <v>#DIV/0!</v>
      </c>
    </row>
    <row r="3217" spans="1:27">
      <c r="B3217" s="13">
        <v>5</v>
      </c>
      <c r="C3217" s="14" t="s">
        <v>25</v>
      </c>
      <c r="D3217" s="15" t="e" cm="1">
        <f t="array" ref="D3217">_xlfn.SINGLE(IF(A3221=A3222,_xll.ciqfunctions.udf.CIQ(A3213,"IQ_TOTAL_REV",IQ_FY-6)/I3217, _xll.ciqfunctions.udf.CIQ(A3213, "IQ_TOTAL_REV",IQ_FY-5)/I3217))</f>
        <v>#DIV/0!</v>
      </c>
      <c r="E3217" s="16" t="e">
        <f t="shared" si="859"/>
        <v>#DIV/0!</v>
      </c>
      <c r="F3217" s="15">
        <f>IF(A3221=A3222,_xll.ciqfunctions.udf.CIQ(A3213,"IQ_DILUT_EPS_EXCL",IQ_FY-6), _xll.ciqfunctions.udf.CIQ(A3213, "IQ_DILUT_EPS_EXCL",IQ_FY-5))</f>
        <v>0</v>
      </c>
      <c r="G3217" s="15">
        <f>IF(A3221=A3222,_xll.ciqfunctions.udf.CIQ(A3213,"IQ_EBITDA_MARGIN",IQ_FY-6), _xll.ciqfunctions.udf.CIQ(A3213, "IQ_EBITDA_MARGIN",IQ_FY-5))</f>
        <v>0</v>
      </c>
      <c r="H3217" s="15" t="e">
        <f>IF(A3221=A3222,_xll.ciqfunctions.udf.CIQ(A3213,"IQ_TOTAL_DIV_PAID_CF",IQ_FY-6)/-I3217, _xll.ciqfunctions.udf.CIQ(A3213, "IQ_TOTAL_DIV_PAID_CF",IQ_FY-5)/-I3217)</f>
        <v>#DIV/0!</v>
      </c>
      <c r="I3217" s="17">
        <f>IF(A3221=A3222,_xll.ciqfunctions.udf.CIQ(A3213,"IQ_TOTAL_OUTSTANDING_FILING_DATE",IQ_FY-6), _xll.ciqfunctions.udf.CIQ(A3213, "IQ_TOTAL_OUTSTANDING_FILING_DATE",IQ_FY-5))</f>
        <v>0</v>
      </c>
      <c r="J3217" s="17">
        <f>IF(A3221=A3222,_xll.ciqfunctions.udf.CIQ(A3213,"IQ_CASH_OPER",IQ_FY-6), _xll.ciqfunctions.udf.CIQ(A3213, "IQ_CASH_OPER",IQ_FY-5))</f>
        <v>0</v>
      </c>
      <c r="K3217" s="17">
        <f>IF(A3221=A3222,_xll.ciqfunctions.udf.CIQ(A3213,"IQ_CAPEX",IQ_FY-6), _xll.ciqfunctions.udf.CIQ(A3213, "IQ_CAPEX",IQ_FY-5))</f>
        <v>0</v>
      </c>
      <c r="L3217" s="15" t="e">
        <f t="shared" si="856"/>
        <v>#DIV/0!</v>
      </c>
      <c r="M3217" s="17">
        <f>IF(A3221=A3222,_xll.ciqfunctions.udf.CIQ(A3213,"IQ_TOTAL_DEBT_ISSUED",IQ_FY-6), _xll.ciqfunctions.udf.CIQ(A3213, "IQ_TOTAL_DEBT_ISSUED",IQ_FY-5))</f>
        <v>0</v>
      </c>
      <c r="N3217" s="17">
        <f>IF(A3221=A3222,_xll.ciqfunctions.udf.CIQ(A3213,"IQ_TOTAL_DEBT_REPAID",IQ_FY-6), _xll.ciqfunctions.udf.CIQ(A3213, "IQ_TOTAL_DEBT_REPAID",IQ_FY-5))</f>
        <v>0</v>
      </c>
      <c r="O3217" s="15" t="e">
        <f t="shared" si="857"/>
        <v>#DIV/0!</v>
      </c>
      <c r="P3217" s="15" t="e">
        <f t="shared" si="858"/>
        <v>#DIV/0!</v>
      </c>
      <c r="Q3217" s="18"/>
      <c r="R3217" s="38" t="s">
        <v>50</v>
      </c>
      <c r="S3217" s="3">
        <f>I3224</f>
        <v>0.31778471829721</v>
      </c>
      <c r="U3217" s="18"/>
      <c r="V3217" s="38" t="s">
        <v>50</v>
      </c>
      <c r="W3217" s="3">
        <f>I3224</f>
        <v>0.31778471829721</v>
      </c>
      <c r="Y3217" s="18"/>
      <c r="Z3217" s="38" t="s">
        <v>50</v>
      </c>
      <c r="AA3217" s="3">
        <f>I3224</f>
        <v>0.31778471829721</v>
      </c>
    </row>
    <row r="3218" spans="1:27">
      <c r="B3218" s="13">
        <v>6</v>
      </c>
      <c r="C3218" s="14" t="s">
        <v>26</v>
      </c>
      <c r="D3218" s="15" cm="1">
        <f t="array" ref="D3218">_xlfn.SINGLE(IF(A3221=A3222,_xll.ciqfunctions.udf.CIQ(A3213,"IQ_TOTAL_REV",IQ_FY-5)/I3218, _xll.ciqfunctions.udf.CIQ(A3213, "IQ_TOTAL_REV",IQ_FY-4)/I3218))</f>
        <v>2.407094130595806</v>
      </c>
      <c r="E3218" s="16" t="e">
        <f t="shared" si="859"/>
        <v>#DIV/0!</v>
      </c>
      <c r="F3218" s="15">
        <f>IF(A3221=A3222,_xll.ciqfunctions.udf.CIQ(A3213,"IQ_DILUT_EPS_EXCL",IQ_FY-5), _xll.ciqfunctions.udf.CIQ(A3213, "IQ_DILUT_EPS_EXCL",IQ_FY-4))</f>
        <v>-0.99665000000000004</v>
      </c>
      <c r="G3218" s="15">
        <f>IF(A3221=A3222,_xll.ciqfunctions.udf.CIQ(A3213,"IQ_EBITDA_MARGIN",IQ_FY-5), _xll.ciqfunctions.udf.CIQ(A3213, "IQ_EBITDA_MARGIN",IQ_FY-4))</f>
        <v>-39.7941</v>
      </c>
      <c r="H3218" s="15">
        <f>IF(A3221=A3222,_xll.ciqfunctions.udf.CIQ(A3213,"IQ_TOTAL_DIV_PAID_CF",IQ_FY-5)/-I3218, _xll.ciqfunctions.udf.CIQ(A3213, "IQ_TOTAL_DIV_PAID_CF",IQ_FY-4)/-I3218)</f>
        <v>0</v>
      </c>
      <c r="I3218" s="17">
        <f>IF(A3221=A3222,_xll.ciqfunctions.udf.CIQ(A3213,"IQ_TOTAL_OUTSTANDING_FILING_DATE",IQ_FY-5), _xll.ciqfunctions.udf.CIQ(A3213, "IQ_TOTAL_OUTSTANDING_FILING_DATE",IQ_FY-4))</f>
        <v>26.393650000000001</v>
      </c>
      <c r="J3218" s="17">
        <f>IF(A3221=A3222,_xll.ciqfunctions.udf.CIQ(A3213,"IQ_CASH_OPER",IQ_FY-5), _xll.ciqfunctions.udf.CIQ(A3213, "IQ_CASH_OPER",IQ_FY-4))</f>
        <v>8.5619999999999994</v>
      </c>
      <c r="K3218" s="17">
        <f>IF(A3221=A3222,_xll.ciqfunctions.udf.CIQ(A3213,"IQ_CAPEX",IQ_FY-5), _xll.ciqfunctions.udf.CIQ(A3213, "IQ_CAPEX",IQ_FY-4))</f>
        <v>-2.0750000000000002</v>
      </c>
      <c r="L3218" s="15">
        <f t="shared" si="856"/>
        <v>0.24577881422236025</v>
      </c>
      <c r="M3218" s="17">
        <f>IF(A3221=A3222,_xll.ciqfunctions.udf.CIQ(A3213,"IQ_TOTAL_DEBT_ISSUED",IQ_FY-5), _xll.ciqfunctions.udf.CIQ(A3213, "IQ_TOTAL_DEBT_ISSUED",IQ_FY-4))</f>
        <v>0</v>
      </c>
      <c r="N3218" s="17">
        <f>IF(A3221=A3222,_xll.ciqfunctions.udf.CIQ(A3213,"IQ_TOTAL_DEBT_REPAID",IQ_FY-5), _xll.ciqfunctions.udf.CIQ(A3213, "IQ_TOTAL_DEBT_REPAID",IQ_FY-4))</f>
        <v>0</v>
      </c>
      <c r="O3218" s="15">
        <f t="shared" si="857"/>
        <v>0</v>
      </c>
      <c r="P3218" s="15">
        <f t="shared" si="858"/>
        <v>0.24577881422236025</v>
      </c>
      <c r="Q3218" s="25" t="s">
        <v>27</v>
      </c>
      <c r="R3218" s="38" t="s">
        <v>51</v>
      </c>
      <c r="S3218" s="4">
        <f>AVERAGE(F3218:F3223)/AVERAGE(D3218:D3223)</f>
        <v>-0.23380514580336911</v>
      </c>
      <c r="U3218" s="25" t="s">
        <v>58</v>
      </c>
      <c r="V3218" s="38" t="s">
        <v>51</v>
      </c>
      <c r="W3218" s="4">
        <f>AVERAGE(F3218:F3223)/AVERAGE(D3218:D3223)</f>
        <v>-0.23380514580336911</v>
      </c>
      <c r="Y3218" s="25" t="s">
        <v>56</v>
      </c>
      <c r="Z3218" s="38" t="s">
        <v>51</v>
      </c>
      <c r="AA3218" s="4">
        <f>AVERAGE(F3218:F3223)/AVERAGE(D3218:D3223)</f>
        <v>-0.23380514580336911</v>
      </c>
    </row>
    <row r="3219" spans="1:27">
      <c r="A3219" s="18"/>
      <c r="B3219" s="13">
        <v>7</v>
      </c>
      <c r="C3219" s="14" t="s">
        <v>28</v>
      </c>
      <c r="D3219" s="15" cm="1">
        <f t="array" ref="D3219">_xlfn.SINGLE(IF(A3221=A3222,_xll.ciqfunctions.udf.CIQ(A3213,"IQ_TOTAL_REV",IQ_FY-4)/I3219, _xll.ciqfunctions.udf.CIQ(A3213, "IQ_TOTAL_REV",IQ_FY-3)/I3219))</f>
        <v>3.749130885898476</v>
      </c>
      <c r="E3219" s="16">
        <f t="shared" si="859"/>
        <v>0.55753397353450729</v>
      </c>
      <c r="F3219" s="15">
        <f>IF(A3221=A3222,_xll.ciqfunctions.udf.CIQ(A3213,"IQ_DILUT_EPS_EXCL",IQ_FY-4), _xll.ciqfunctions.udf.CIQ(A3213, "IQ_DILUT_EPS_EXCL",IQ_FY-3))</f>
        <v>-0.19882</v>
      </c>
      <c r="G3219" s="15">
        <f>IF(A3221=A3222,_xll.ciqfunctions.udf.CIQ(A3213,"IQ_EBITDA_MARGIN",IQ_FY-4), _xll.ciqfunctions.udf.CIQ(A3213, "IQ_EBITDA_MARGIN",IQ_FY-3))</f>
        <v>-2.8418999999999999</v>
      </c>
      <c r="H3219" s="15">
        <f>IF(A3221=A3222,_xll.ciqfunctions.udf.CIQ(A3213,"IQ_TOTAL_DIV_PAID_CF",IQ_FY-4)/-I3219, _xll.ciqfunctions.udf.CIQ(A3213, "IQ_TOTAL_DIV_PAID_CF",IQ_FY-3)/-I3219)</f>
        <v>0</v>
      </c>
      <c r="I3219" s="17">
        <f>IF(A3221=A3222,_xll.ciqfunctions.udf.CIQ(A3213,"IQ_TOTAL_OUTSTANDING_FILING_DATE",IQ_FY-4), _xll.ciqfunctions.udf.CIQ(A3213, "IQ_TOTAL_OUTSTANDING_FILING_DATE",IQ_FY-3))</f>
        <v>27.93074</v>
      </c>
      <c r="J3219" s="17">
        <f>IF(A3221=A3222,_xll.ciqfunctions.udf.CIQ(A3213,"IQ_CASH_OPER",IQ_FY-4), _xll.ciqfunctions.udf.CIQ(A3213, "IQ_CASH_OPER",IQ_FY-3))</f>
        <v>10.004</v>
      </c>
      <c r="K3219" s="17">
        <f>IF(A3221=A3222,_xll.ciqfunctions.udf.CIQ(A3213,"IQ_CAPEX",IQ_FY-4), _xll.ciqfunctions.udf.CIQ(A3213, "IQ_CAPEX",IQ_FY-3))</f>
        <v>-1.8029999999999999</v>
      </c>
      <c r="L3219" s="15">
        <f t="shared" si="856"/>
        <v>0.2936191450709863</v>
      </c>
      <c r="M3219" s="17">
        <f>IF(A3221=A3222,_xll.ciqfunctions.udf.CIQ(A3213,"IQ_TOTAL_DEBT_ISSUED",IQ_FY-4), _xll.ciqfunctions.udf.CIQ(A3213, "IQ_TOTAL_DEBT_ISSUED",IQ_FY-3))</f>
        <v>0</v>
      </c>
      <c r="N3219" s="17">
        <f>IF(A3221=A3222,_xll.ciqfunctions.udf.CIQ(A3213,"IQ_TOTAL_DEBT_REPAID",IQ_FY-4), _xll.ciqfunctions.udf.CIQ(A3213, "IQ_TOTAL_DEBT_REPAID",IQ_FY-3))</f>
        <v>0</v>
      </c>
      <c r="O3219" s="15">
        <f t="shared" si="857"/>
        <v>0</v>
      </c>
      <c r="P3219" s="15">
        <f t="shared" si="858"/>
        <v>0.2936191450709863</v>
      </c>
      <c r="Q3219" s="18"/>
      <c r="R3219" s="38" t="s">
        <v>29</v>
      </c>
      <c r="S3219" s="4">
        <f>(AVERAGE(P3218:P3223)/_xlfn.STDEV.P(P3218:P3223))/(IF(A3221=A3222,(_xlfn.SINGLE(_xll.ciqfunctions.udf.CIQ(A3213,"IQ_total_assets",IQ_FY)) - _xlfn.SINGLE(_xll.ciqfunctions.udf.CIQ(A3213,"iq_gw_intan", IQ_FY)))/I3223, (_xlfn.SINGLE(_xll.ciqfunctions.udf.CIQ(A3213, "IQ_total_assets",IQ_LTM))-_xlfn.SINGLE(_xll.ciqfunctions.udf.CIQ(A3213,"iq_gw_intan",IQ_LTM)))/I3223))</f>
        <v>0.54506611680448613</v>
      </c>
      <c r="U3219" s="18"/>
      <c r="V3219" s="38" t="s">
        <v>29</v>
      </c>
      <c r="W3219" s="4">
        <f>(AVERAGE(P3218:P3223)/_xlfn.STDEV.P(P3218:P3223))/(IF(A3221=A3222,(_xlfn.SINGLE(_xll.ciqfunctions.udf.CIQ(A3213,"IQ_total_assets",IQ_FY)) - _xlfn.SINGLE(_xll.ciqfunctions.udf.CIQ(A3213,"iq_gw_intan", IQ_FY)))/I3223, (_xlfn.SINGLE(_xll.ciqfunctions.udf.CIQ(A3213, "IQ_total_assets",IQ_LTM))-_xlfn.SINGLE(_xll.ciqfunctions.udf.CIQ(A3213,"iq_gw_intan",IQ_LTM)))/I3223))</f>
        <v>0.54506611680448613</v>
      </c>
      <c r="Y3219" s="18"/>
      <c r="Z3219" s="38" t="s">
        <v>29</v>
      </c>
      <c r="AA3219" s="4">
        <f>(AVERAGE(P3218:P3223)/_xlfn.STDEV.P(P3218:P3223))/(IF(A3221=A3222,(_xlfn.SINGLE(_xll.ciqfunctions.udf.CIQ(A3213,"IQ_total_assets",IQ_FY)) - _xlfn.SINGLE(_xll.ciqfunctions.udf.CIQ(A3213,"iq_gw_intan", IQ_FY)))/I3223, (_xlfn.SINGLE(_xll.ciqfunctions.udf.CIQ(A3213, "IQ_total_assets",IQ_LTM))-_xlfn.SINGLE(_xll.ciqfunctions.udf.CIQ(A3213,"iq_gw_intan",IQ_LTM)))/I3223))</f>
        <v>0.54506611680448613</v>
      </c>
    </row>
    <row r="3220" spans="1:27">
      <c r="A3220" s="18"/>
      <c r="B3220" s="13">
        <v>8</v>
      </c>
      <c r="C3220" s="14" t="s">
        <v>30</v>
      </c>
      <c r="D3220" s="15" cm="1">
        <f t="array" ref="D3220">_xlfn.SINGLE(IF(A3221=A3222,_xll.ciqfunctions.udf.CIQ(A3213,"IQ_TOTAL_REV",IQ_FY-3)/I3220, _xll.ciqfunctions.udf.CIQ(A3213, "IQ_TOTAL_REV",IQ_FY-2)/I3220))</f>
        <v>1.6364894384493371</v>
      </c>
      <c r="E3220" s="16">
        <f t="shared" si="859"/>
        <v>-0.56350165191494683</v>
      </c>
      <c r="F3220" s="15">
        <f>IF(A3221=A3222,_xll.ciqfunctions.udf.CIQ(A3213,"IQ_DILUT_EPS_EXCL",IQ_FY-3), _xll.ciqfunctions.udf.CIQ(A3213, "IQ_DILUT_EPS_EXCL",IQ_FY-2))</f>
        <v>-0.20230999999999999</v>
      </c>
      <c r="G3220" s="15">
        <f>IF(A3221=A3222,_xll.ciqfunctions.udf.CIQ(A3213,"IQ_EBITDA_MARGIN",IQ_FY-3), _xll.ciqfunctions.udf.CIQ(A3213, "IQ_EBITDA_MARGIN",IQ_FY-2))</f>
        <v>-5.8093000000000004</v>
      </c>
      <c r="H3220" s="15">
        <f>IF(A3221=A3222,_xll.ciqfunctions.udf.CIQ(A3213,"IQ_TOTAL_DIV_PAID_CF",IQ_FY-3)/-I3220, _xll.ciqfunctions.udf.CIQ(A3213, "IQ_TOTAL_DIV_PAID_CF",IQ_FY-2)/-I3220)</f>
        <v>0</v>
      </c>
      <c r="I3220" s="17">
        <f>IF(A3221=A3222,_xll.ciqfunctions.udf.CIQ(A3213,"IQ_TOTAL_OUTSTANDING_FILING_DATE",IQ_FY-3), _xll.ciqfunctions.udf.CIQ(A3213, "IQ_TOTAL_OUTSTANDING_FILING_DATE",IQ_FY-2))</f>
        <v>92.164969999999997</v>
      </c>
      <c r="J3220" s="17">
        <f>IF(A3221=A3222,_xll.ciqfunctions.udf.CIQ(A3213,"IQ_CASH_OPER",IQ_FY-3), _xll.ciqfunctions.udf.CIQ(A3213, "IQ_CASH_OPER",IQ_FY-2))</f>
        <v>29.457999999999998</v>
      </c>
      <c r="K3220" s="17">
        <f>IF(A3221=A3222,_xll.ciqfunctions.udf.CIQ(A3213,"IQ_CAPEX",IQ_FY-3), _xll.ciqfunctions.udf.CIQ(A3213, "IQ_CAPEX",IQ_FY-2))</f>
        <v>-3.5219999999999998</v>
      </c>
      <c r="L3220" s="15">
        <f t="shared" si="856"/>
        <v>0.28140843533069021</v>
      </c>
      <c r="M3220" s="17">
        <f>IF(A3221=A3222,_xll.ciqfunctions.udf.CIQ(A3213,"IQ_TOTAL_DEBT_ISSUED",IQ_FY-3), _xll.ciqfunctions.udf.CIQ(A3213, "IQ_TOTAL_DEBT_ISSUED",IQ_FY-2))</f>
        <v>0</v>
      </c>
      <c r="N3220" s="17">
        <f>IF(A3221=A3222,_xll.ciqfunctions.udf.CIQ(A3213,"IQ_TOTAL_DEBT_REPAID",IQ_FY-3), _xll.ciqfunctions.udf.CIQ(A3213, "IQ_TOTAL_DEBT_REPAID",IQ_FY-2))</f>
        <v>0</v>
      </c>
      <c r="O3220" s="15">
        <f t="shared" si="857"/>
        <v>0</v>
      </c>
      <c r="P3220" s="15">
        <f t="shared" si="858"/>
        <v>0.28140843533069021</v>
      </c>
      <c r="Q3220" s="18"/>
      <c r="R3220" s="39" t="s">
        <v>31</v>
      </c>
      <c r="S3220" s="5" t="e">
        <f>IF(NOT(D3213&gt;0),FALSE,SLOPE(G3213:G3223,B3213:B3223))</f>
        <v>#DIV/0!</v>
      </c>
      <c r="U3220" s="18"/>
      <c r="V3220" s="39" t="s">
        <v>31</v>
      </c>
      <c r="W3220" s="5" t="e">
        <f>IF(NOT(D3213&gt;0),FALSE,SLOPE(G3213:G3223,B3213:B3223))</f>
        <v>#DIV/0!</v>
      </c>
      <c r="Y3220" s="18"/>
      <c r="Z3220" s="39" t="s">
        <v>31</v>
      </c>
      <c r="AA3220" s="5" t="e">
        <f>IF(NOT(L3213&gt;0),FALSE,SLOPE(O3213:O3223,J3213:J3223))</f>
        <v>#DIV/0!</v>
      </c>
    </row>
    <row r="3221" spans="1:27">
      <c r="A3221" s="19">
        <f>_xll.ciqfunctions.udf.CIQ(A3213,"IQ_TOTAL_REV",IQ_FY)</f>
        <v>280.04000000000002</v>
      </c>
      <c r="B3221" s="13">
        <v>9</v>
      </c>
      <c r="C3221" s="14" t="s">
        <v>32</v>
      </c>
      <c r="D3221" s="15" cm="1">
        <f t="array" ref="D3221">_xlfn.SINGLE(IF(A3221=A3222,_xll.ciqfunctions.udf.CIQ(A3213,"IQ_TOTAL_REV",IQ_FY-2)/I3221, _xll.ciqfunctions.udf.CIQ(A3213, "IQ_TOTAL_REV",IQ_FY-1)/I3221))</f>
        <v>2.1223317338720067</v>
      </c>
      <c r="E3221" s="16">
        <f t="shared" si="859"/>
        <v>0.29688080106586667</v>
      </c>
      <c r="F3221" s="15">
        <f>IF(A3221=A3222,_xll.ciqfunctions.udf.CIQ(A3213,"IQ_DILUT_EPS_EXCL",IQ_FY-2), _xll.ciqfunctions.udf.CIQ(A3213, "IQ_DILUT_EPS_EXCL",IQ_FY-1))</f>
        <v>-0.67737000000000003</v>
      </c>
      <c r="G3221" s="15">
        <f>IF(A3221=A3222,_xll.ciqfunctions.udf.CIQ(A3213,"IQ_EBITDA_MARGIN",IQ_FY-2), _xll.ciqfunctions.udf.CIQ(A3213, "IQ_EBITDA_MARGIN",IQ_FY-1))</f>
        <v>-24.141300000000001</v>
      </c>
      <c r="H3221" s="15">
        <f>IF(A3221=A3222,_xll.ciqfunctions.udf.CIQ(A3213,"IQ_TOTAL_DIV_PAID_CF",IQ_FY-2)/-I3221, _xll.ciqfunctions.udf.CIQ(A3213, "IQ_TOTAL_DIV_PAID_CF",IQ_FY-1)/-I3221)</f>
        <v>0</v>
      </c>
      <c r="I3221" s="17">
        <f>IF(A3221=A3222,_xll.ciqfunctions.udf.CIQ(A3213,"IQ_TOTAL_OUTSTANDING_FILING_DATE",IQ_FY-2), _xll.ciqfunctions.udf.CIQ(A3213, "IQ_TOTAL_OUTSTANDING_FILING_DATE",IQ_FY-1))</f>
        <v>97.384870000000006</v>
      </c>
      <c r="J3221" s="17">
        <f>IF(A3221=A3222,_xll.ciqfunctions.udf.CIQ(A3213,"IQ_CASH_OPER",IQ_FY-2), _xll.ciqfunctions.udf.CIQ(A3213, "IQ_CASH_OPER",IQ_FY-1))</f>
        <v>27.902000000000001</v>
      </c>
      <c r="K3221" s="17">
        <f>IF(A3221=A3222,_xll.ciqfunctions.udf.CIQ(A3213,"IQ_CAPEX",IQ_FY-2), _xll.ciqfunctions.udf.CIQ(A3213, "IQ_CAPEX",IQ_FY-1))</f>
        <v>-4.2279999999999998</v>
      </c>
      <c r="L3221" s="15">
        <f t="shared" si="856"/>
        <v>0.24309731070134405</v>
      </c>
      <c r="M3221" s="17">
        <f>IF(A3221=A3222,_xll.ciqfunctions.udf.CIQ(A3213,"IQ_TOTAL_DEBT_ISSUED",IQ_FY-2), _xll.ciqfunctions.udf.CIQ(A3213, "IQ_TOTAL_DEBT_ISSUED",IQ_FY-1))</f>
        <v>0</v>
      </c>
      <c r="N3221" s="17">
        <f>IF(A3221=A3222,_xll.ciqfunctions.udf.CIQ(A3213,"IQ_TOTAL_DEBT_REPAID",IQ_FY-2), _xll.ciqfunctions.udf.CIQ(A3213, "IQ_TOTAL_DEBT_REPAID",IQ_FY-1))</f>
        <v>0</v>
      </c>
      <c r="O3221" s="15">
        <f t="shared" si="857"/>
        <v>0</v>
      </c>
      <c r="P3221" s="15">
        <f t="shared" si="858"/>
        <v>0.24309731070134405</v>
      </c>
      <c r="Q3221" s="25" t="s">
        <v>33</v>
      </c>
      <c r="R3221" s="38" t="s">
        <v>52</v>
      </c>
      <c r="S3221" s="4">
        <f>(AVERAGE(O3218:O3223)/AVERAGE(P3218:P3223))</f>
        <v>0</v>
      </c>
      <c r="U3221" s="25" t="s">
        <v>54</v>
      </c>
      <c r="V3221" s="38" t="s">
        <v>52</v>
      </c>
      <c r="W3221" s="4">
        <f>(AVERAGE(O3218:O3223)/AVERAGE(P3218:P3223))</f>
        <v>0</v>
      </c>
      <c r="Y3221" s="25" t="s">
        <v>60</v>
      </c>
      <c r="Z3221" s="38" t="s">
        <v>52</v>
      </c>
      <c r="AA3221" s="4">
        <f>(AVERAGE(O3218:O3223)/AVERAGE(P3218:P3223))</f>
        <v>0</v>
      </c>
    </row>
    <row r="3222" spans="1:27">
      <c r="A3222" s="19">
        <f>_xll.ciqfunctions.udf.CIQ(A3213,"IQ_TOTAL_REV",IQ_LTM)</f>
        <v>329.17200000000003</v>
      </c>
      <c r="B3222" s="13">
        <v>10</v>
      </c>
      <c r="C3222" s="14" t="s">
        <v>34</v>
      </c>
      <c r="D3222" s="15" cm="1">
        <f t="array" ref="D3222">_xlfn.SINGLE(IF(A3221=A3222,_xll.ciqfunctions.udf.CIQ(A3213,"IQ_TOTAL_REV",IQ_FY-1)/I3222, _xll.ciqfunctions.udf.CIQ(A3213, "IQ_TOTAL_REV",IQ_FY)/I3222))</f>
        <v>2.7739734643941034</v>
      </c>
      <c r="E3222" s="16">
        <f t="shared" si="859"/>
        <v>0.30704046880231772</v>
      </c>
      <c r="F3222" s="15">
        <f>IF(A3221=A3222,_xll.ciqfunctions.udf.CIQ(A3213,"IQ_DILUT_EPS_EXCL",IQ_FY-1), _xll.ciqfunctions.udf.CIQ(A3213, "IQ_DILUT_EPS_EXCL",IQ_FY))</f>
        <v>-0.90871000000000002</v>
      </c>
      <c r="G3222" s="15">
        <f>IF(A3221=A3222,_xll.ciqfunctions.udf.CIQ(A3213,"IQ_EBITDA_MARGIN",IQ_FY-1), _xll.ciqfunctions.udf.CIQ(A3213, "IQ_EBITDA_MARGIN",IQ_FY))</f>
        <v>-22.945599999999999</v>
      </c>
      <c r="H3222" s="15">
        <f>IF(A3221=A3222,_xll.ciqfunctions.udf.CIQ(A3213,"IQ_TOTAL_DIV_PAID_CF",IQ_FY-1)/-I3222, _xll.ciqfunctions.udf.CIQ(A3213, "IQ_TOTAL_DIV_PAID_CF",IQ_FY)/-I3222)</f>
        <v>0</v>
      </c>
      <c r="I3222" s="17">
        <f>IF(A3221=A3222,_xll.ciqfunctions.udf.CIQ(A3213,"IQ_TOTAL_OUTSTANDING_FILING_DATE",IQ_FY-1), _xll.ciqfunctions.udf.CIQ(A3213, "IQ_TOTAL_OUTSTANDING_FILING_DATE",IQ_FY))</f>
        <v>100.95265999999999</v>
      </c>
      <c r="J3222" s="17">
        <f>IF(A3221=A3222,_xll.ciqfunctions.udf.CIQ(A3213,"IQ_CASH_OPER",IQ_FY-1), _xll.ciqfunctions.udf.CIQ(A3213, "IQ_CASH_OPER",IQ_FY))</f>
        <v>21.425000000000001</v>
      </c>
      <c r="K3222" s="17">
        <f>IF(A3221=A3222,_xll.ciqfunctions.udf.CIQ(A3213,"IQ_CAPEX",IQ_FY-1), _xll.ciqfunctions.udf.CIQ(A3213, "IQ_CAPEX",IQ_FY))</f>
        <v>-4.3280000000000003</v>
      </c>
      <c r="L3222" s="15">
        <f t="shared" si="856"/>
        <v>0.16935660734447217</v>
      </c>
      <c r="M3222" s="17">
        <f>IF(A3221=A3222,_xll.ciqfunctions.udf.CIQ(A3213,"IQ_TOTAL_DEBT_ISSUED",IQ_FY-1), _xll.ciqfunctions.udf.CIQ(A3213, "IQ_TOTAL_DEBT_ISSUED",IQ_FY))</f>
        <v>0</v>
      </c>
      <c r="N3222" s="17">
        <f>IF(A3221=A3222,_xll.ciqfunctions.udf.CIQ(A3213,"IQ_TOTAL_DEBT_REPAID",IQ_FY-1), _xll.ciqfunctions.udf.CIQ(A3213, "IQ_TOTAL_DEBT_REPAID",IQ_FY))</f>
        <v>0</v>
      </c>
      <c r="O3222" s="15">
        <f t="shared" si="857"/>
        <v>0</v>
      </c>
      <c r="P3222" s="15">
        <f t="shared" si="858"/>
        <v>0.16935660734447217</v>
      </c>
      <c r="Q3222" s="25" t="s">
        <v>44</v>
      </c>
      <c r="R3222" s="38" t="s">
        <v>35</v>
      </c>
      <c r="S3222" s="1" t="str">
        <f>_xll.ciqfunctions.udf.CIQ(A3213,"IQ_TEV_EBITDA")</f>
        <v>NM</v>
      </c>
      <c r="U3222" s="25" t="s">
        <v>55</v>
      </c>
      <c r="V3222" s="38" t="s">
        <v>53</v>
      </c>
      <c r="W3222" s="1" t="e">
        <f>V3212/(AVERAGE(D3218:D3223)/_xlfn.STDEV.P(E3218:E3223))</f>
        <v>#DIV/0!</v>
      </c>
      <c r="Y3222" s="25" t="s">
        <v>57</v>
      </c>
      <c r="Z3222" s="38" t="s">
        <v>53</v>
      </c>
      <c r="AA3222" s="1" t="e">
        <f>Z3212/(AVERAGE(D3218:D3223)/_xlfn.STDEV.P(E3218:E3223))</f>
        <v>#DIV/0!</v>
      </c>
    </row>
    <row r="3223" spans="1:27">
      <c r="B3223" s="13">
        <v>11</v>
      </c>
      <c r="C3223" s="20" t="s">
        <v>36</v>
      </c>
      <c r="D3223" s="21" cm="1">
        <f t="array" ref="D3223">_xlfn.SINGLE(IF(A3221=A3222,_xll.ciqfunctions.udf.CIQ(A3213,"IQ_TOTAL_REV",IQ_FY)/I3223, _xll.ciqfunctions.udf.CIQ(A3213, "IQ_TOTAL_REV",IQ_LTM)/I3223))</f>
        <v>3.1383479921206656</v>
      </c>
      <c r="E3223" s="22">
        <f t="shared" si="859"/>
        <v>0.13135472721839811</v>
      </c>
      <c r="F3223" s="21">
        <f>IF(A3221=A3222,_xll.ciqfunctions.udf.CIQ(A3213,"IQ_DILUT_EPS_EXCL",IQ_FY), _xll.ciqfunctions.udf.CIQ(A3213, "IQ_DILUT_EPS_EXCL",IQ_LTM))</f>
        <v>-0.71665999999999996</v>
      </c>
      <c r="G3223" s="21">
        <f>IF(A3221=A3222,_xll.ciqfunctions.udf.CIQ(A3213,"IQ_EBITDA_MARGIN",IQ_FY), _xll.ciqfunctions.udf.CIQ(A3213, "IQ_EBITDA_MARGIN",IQ_LTM))</f>
        <v>-18.012699999999999</v>
      </c>
      <c r="H3223" s="21">
        <f>IF(A3221=A3222,_xll.ciqfunctions.udf.CIQ(A3213,"IQ_TOTAL_DIV_PAID_CF",IQ_FY)/-I3223, _xll.ciqfunctions.udf.CIQ(A3213, "IQ_TOTAL_DIV_PAID_CF",IQ_LTM)/-I3223)</f>
        <v>0</v>
      </c>
      <c r="I3223" s="23">
        <f>IF(A3221=A3222,_xll.ciqfunctions.udf.CIQ(A3213,"IQ_TOTAL_OUTSTANDING_FILING_DATE",IQ_FY),_xll.ciqfunctions.udf.CIQ(A3213,"IQ_sharesoutstanding"))</f>
        <v>104.88703</v>
      </c>
      <c r="J3223" s="23">
        <f>IF(A3221=A3222,_xll.ciqfunctions.udf.CIQ(A3213,"IQ_CASH_OPER",IQ_FY), _xll.ciqfunctions.udf.CIQ(A3213, "IQ_CASH_OPER",IQ_LTM))</f>
        <v>48.875999999999998</v>
      </c>
      <c r="K3223" s="23">
        <f>IF(A3221=A3222,_xll.ciqfunctions.udf.CIQ(A3213,"IQ_CAPEX",IQ_FY), _xll.ciqfunctions.udf.CIQ(A3213, "IQ_CAPEX",IQ_LTM))</f>
        <v>-2.2549999999999999</v>
      </c>
      <c r="L3223" s="21">
        <f t="shared" si="856"/>
        <v>0.44448775029667631</v>
      </c>
      <c r="M3223" s="23">
        <f>IF(A3221=A3222,_xll.ciqfunctions.udf.CIQ(A3213,"IQ_TOTAL_DEBT_ISSUED",IQ_FY), _xll.ciqfunctions.udf.CIQ(A3213, "IQ_TOTAL_DEBT_ISSUED",IQ_LTM))</f>
        <v>0</v>
      </c>
      <c r="N3223" s="23">
        <f>IF(A3221=A3222,_xll.ciqfunctions.udf.CIQ(A3213,"IQ_TOTAL_DEBT_REPAID",IQ_FY), _xll.ciqfunctions.udf.CIQ(A3213, "IQ_TOTAL_DEBT_REPAID",IQ_LTM))</f>
        <v>0</v>
      </c>
      <c r="O3223" s="21">
        <f t="shared" si="857"/>
        <v>0</v>
      </c>
      <c r="P3223" s="21">
        <f t="shared" si="858"/>
        <v>0.44448775029667631</v>
      </c>
      <c r="Q3223" s="25" t="s">
        <v>45</v>
      </c>
      <c r="S3223" s="45"/>
      <c r="U3223" s="25"/>
      <c r="W3223" s="45"/>
      <c r="Y3223" s="25"/>
      <c r="AA3223" s="45"/>
    </row>
    <row r="3224" spans="1:27">
      <c r="B3224" s="24"/>
      <c r="C3224" s="25" t="s">
        <v>37</v>
      </c>
      <c r="E3224" s="26">
        <f>((D3223/D3218)^(1/5))-1</f>
        <v>5.448791013691201E-2</v>
      </c>
      <c r="F3224" s="27">
        <f>((F3223/F3218)^(1/5))-1</f>
        <v>-6.3831338677444838E-2</v>
      </c>
      <c r="G3224" s="28"/>
      <c r="H3224" s="27" t="e">
        <f>((H3223/H3218)^(1/5))-1</f>
        <v>#DIV/0!</v>
      </c>
      <c r="I3224" s="27">
        <f>((I3223/I3218)^(1/5))-1</f>
        <v>0.31778471829721</v>
      </c>
      <c r="J3224" s="27"/>
      <c r="K3224" s="27"/>
      <c r="L3224" s="26">
        <f>((L3223/L3218)^(1/5))-1</f>
        <v>0.1258047336953747</v>
      </c>
      <c r="M3224" s="26"/>
      <c r="N3224" s="26"/>
      <c r="O3224" s="26"/>
      <c r="P3224" s="26">
        <f>((P3223/P3218)^(1/5))-1</f>
        <v>0.1258047336953747</v>
      </c>
      <c r="Q3224" s="18"/>
      <c r="R3224" s="36"/>
      <c r="S3224" s="45"/>
      <c r="U3224" s="18"/>
      <c r="V3224" s="36"/>
      <c r="W3224" s="45"/>
      <c r="Y3224" s="18"/>
      <c r="Z3224" s="36"/>
      <c r="AA3224" s="45"/>
    </row>
    <row r="3225" spans="1:27">
      <c r="A3225" s="29"/>
      <c r="B3225" s="30"/>
      <c r="C3225" s="31" t="s">
        <v>38</v>
      </c>
      <c r="D3225" s="29"/>
      <c r="E3225" s="32" t="e">
        <f>((D3223/D3213)^(1/10))-1</f>
        <v>#DIV/0!</v>
      </c>
      <c r="F3225" s="33" t="e">
        <f>((F3223/F3213)^(1/10))-1</f>
        <v>#DIV/0!</v>
      </c>
      <c r="G3225" s="34"/>
      <c r="H3225" s="33" t="e">
        <f>((H3223/H3213)^(1/10))-1</f>
        <v>#DIV/0!</v>
      </c>
      <c r="I3225" s="33" t="e">
        <f>((I3223/I3213)^(1/10))-1</f>
        <v>#DIV/0!</v>
      </c>
      <c r="J3225" s="33"/>
      <c r="K3225" s="33"/>
      <c r="L3225" s="32" t="e">
        <f>((L3223/L3213)^(1/10))-1</f>
        <v>#DIV/0!</v>
      </c>
      <c r="M3225" s="32"/>
      <c r="N3225" s="32"/>
      <c r="O3225" s="32"/>
      <c r="P3225" s="32" t="e">
        <f>((P3223/P3213)^(1/10))-1</f>
        <v>#DIV/0!</v>
      </c>
      <c r="Q3225" s="40"/>
      <c r="R3225" s="41"/>
      <c r="S3225" s="46"/>
      <c r="U3225" s="40"/>
      <c r="V3225" s="41"/>
      <c r="W3225" s="46"/>
      <c r="Y3225" s="40"/>
      <c r="Z3225" s="41"/>
      <c r="AA3225" s="46"/>
    </row>
    <row r="3226" spans="1:27">
      <c r="B3226" s="24"/>
      <c r="C3226" s="25"/>
      <c r="E3226" s="26"/>
      <c r="F3226" s="27"/>
      <c r="G3226" s="28"/>
      <c r="H3226" s="27"/>
      <c r="I3226" s="27"/>
      <c r="J3226" s="27"/>
      <c r="K3226" s="27"/>
      <c r="L3226" s="26"/>
      <c r="M3226" s="17"/>
      <c r="N3226" s="17"/>
      <c r="O3226" s="17"/>
      <c r="P3226" s="35"/>
      <c r="Q3226" s="18"/>
      <c r="R3226" s="36"/>
    </row>
    <row r="3227" spans="1:27">
      <c r="A3227" s="9" t="s">
        <v>0</v>
      </c>
      <c r="B3227" s="10"/>
      <c r="C3227" s="9" t="s">
        <v>1</v>
      </c>
      <c r="D3227" s="9" t="s">
        <v>2</v>
      </c>
      <c r="E3227" s="9" t="s">
        <v>3</v>
      </c>
      <c r="F3227" s="11" t="s">
        <v>4</v>
      </c>
      <c r="G3227" s="11" t="s">
        <v>5</v>
      </c>
      <c r="H3227" s="9" t="s">
        <v>6</v>
      </c>
      <c r="I3227" s="11" t="s">
        <v>7</v>
      </c>
      <c r="J3227" s="11" t="s">
        <v>8</v>
      </c>
      <c r="K3227" s="11" t="s">
        <v>9</v>
      </c>
      <c r="L3227" s="11" t="s">
        <v>10</v>
      </c>
      <c r="M3227" s="11" t="s">
        <v>11</v>
      </c>
      <c r="N3227" s="11" t="s">
        <v>12</v>
      </c>
      <c r="O3227" s="11" t="s">
        <v>13</v>
      </c>
      <c r="P3227" s="11" t="s">
        <v>14</v>
      </c>
      <c r="Q3227" s="37" t="s">
        <v>15</v>
      </c>
      <c r="R3227" s="42">
        <f>_xll.ciqfunctions.udf.CIQ(A3228,("IQ_LASTSALEPRICE"))</f>
        <v>5.22</v>
      </c>
      <c r="S3227" s="44"/>
      <c r="U3227" s="37" t="s">
        <v>15</v>
      </c>
      <c r="V3227" s="42">
        <f>_xll.ciqfunctions.udf.CIQ(A3228,("IQ_LASTSALEPRICE"))</f>
        <v>5.22</v>
      </c>
      <c r="W3227" s="44"/>
      <c r="Y3227" s="37" t="s">
        <v>15</v>
      </c>
      <c r="Z3227" s="42">
        <f>_xll.ciqfunctions.udf.CIQ(A3228,("IQ_LASTSALEPRICE"))</f>
        <v>5.22</v>
      </c>
      <c r="AA3227" s="44"/>
    </row>
    <row r="3228" spans="1:27">
      <c r="A3228" s="12" t="str">
        <f>Analysis!B217</f>
        <v>NYSE:OLO</v>
      </c>
      <c r="B3228" s="13">
        <v>1</v>
      </c>
      <c r="C3228" s="14" t="s">
        <v>16</v>
      </c>
      <c r="D3228" s="15" t="e">
        <f>IF(A3236=A3237,_xll.ciqfunctions.udf.CIQ(A3228,"IQ_TOTAL_REV",IQ_FY-10)/I3228,_xll.ciqfunctions.udf.CIQ(A3228, "IQ_TOTAL_REV",IQ_FY-9)/I3228)</f>
        <v>#DIV/0!</v>
      </c>
      <c r="E3228" s="16"/>
      <c r="F3228" s="15">
        <f>IF(A3236=A3237,_xll.ciqfunctions.udf.CIQ(A3228,"IQ_DILUT_EPS_EXCL",IQ_FY-10), _xll.ciqfunctions.udf.CIQ(A3228, "IQ_DILUT_EPS_EXCL",IQ_FY-9))</f>
        <v>0</v>
      </c>
      <c r="G3228" s="15">
        <f>IF(A3236=A3237,_xll.ciqfunctions.udf.CIQ(A3228,"IQ_EBITDA_MARGIN",IQ_FY-10), _xll.ciqfunctions.udf.CIQ(A3228, "IQ_EBITDA_MARGIN",IQ_FY-9))</f>
        <v>0</v>
      </c>
      <c r="H3228" s="15" t="e">
        <f>IF(A3236=A3237,_xll.ciqfunctions.udf.CIQ(A3228,"IQ_TOTAL_DIV_PAID_CF",IQ_FY-10)/-I3228, _xll.ciqfunctions.udf.CIQ(A3228, "IQ_TOTAL_DIV_PAID_CF",IQ_FY-9)/-I3228)</f>
        <v>#DIV/0!</v>
      </c>
      <c r="I3228" s="17">
        <f>IF(A3236=A3237,_xll.ciqfunctions.udf.CIQ(A3228,"IQ_TOTAL_OUTSTANDING_FILING_DATE",IQ_FY-10), _xll.ciqfunctions.udf.CIQ(A3228, "IQ_TOTAL_OUTSTANDING_FILING_DATE",IQ_FY-9))</f>
        <v>0</v>
      </c>
      <c r="J3228" s="17">
        <f>IF(A3236=A3237,_xll.ciqfunctions.udf.CIQ(A3228,"IQ_CASH_OPER",IQ_FY-10), _xll.ciqfunctions.udf.CIQ(A3228, "IQ_CASH_OPER",IQ_FY-9))</f>
        <v>0</v>
      </c>
      <c r="K3228" s="17">
        <f>IF(A3236=A3237,_xll.ciqfunctions.udf.CIQ(A3228,"IQ_CAPEX",IQ_FY-10), _xll.ciqfunctions.udf.CIQ(A3228, "IQ_CAPEX",IQ_FY-9))</f>
        <v>0</v>
      </c>
      <c r="L3228" s="15" t="e">
        <f t="shared" ref="L3228:L3238" si="860">(J3228+K3228)/I3228</f>
        <v>#DIV/0!</v>
      </c>
      <c r="M3228" s="17">
        <f>IF(A3236=A3237,_xll.ciqfunctions.udf.CIQ(A3228,"IQ_TOTAL_DEBT_ISSUED",IQ_FY-10), _xll.ciqfunctions.udf.CIQ(A3228, "IQ_TOTAL_DEBT_ISSUED",IQ_FY-9))</f>
        <v>0</v>
      </c>
      <c r="N3228" s="17">
        <f>IF(A3236=A3237,_xll.ciqfunctions.udf.CIQ(A3228,"IQ_TOTAL_DEBT_REPAID",IQ_FY-10), _xll.ciqfunctions.udf.CIQ(A3228, "IQ_TOTAL_DEBT_REPAID",IQ_FY-9))</f>
        <v>0</v>
      </c>
      <c r="O3228" s="15" t="e">
        <f t="shared" ref="O3228:O3238" si="861">(M3228+N3228)/I3228</f>
        <v>#DIV/0!</v>
      </c>
      <c r="P3228" s="15" t="e">
        <f t="shared" ref="P3228:P3238" si="862">L3228+O3228</f>
        <v>#DIV/0!</v>
      </c>
      <c r="W3228" s="43"/>
      <c r="AA3228" s="43"/>
    </row>
    <row r="3229" spans="1:27">
      <c r="A3229" s="18" t="str">
        <f>_xll.ciqfunctions.udf.CIQ(A3228,"IQ_COMPANY_NAME")</f>
        <v>Olo Inc.</v>
      </c>
      <c r="B3229" s="13">
        <v>2</v>
      </c>
      <c r="C3229" s="14" t="s">
        <v>17</v>
      </c>
      <c r="D3229" s="15" t="e">
        <f>IF(A3236=A3237,_xll.ciqfunctions.udf.CIQ(A3228,"IQ_TOTAL_REV",IQ_FY-9)/I3229, _xll.ciqfunctions.udf.CIQ(A3228, "IQ_TOTAL_REV",IQ_FY-8)/I3229)</f>
        <v>#DIV/0!</v>
      </c>
      <c r="E3229" s="16" t="e">
        <f t="shared" ref="E3229:E3238" si="863">(D3229-D3228)/D3228</f>
        <v>#DIV/0!</v>
      </c>
      <c r="F3229" s="15">
        <f>IF(A3236=A3237,_xll.ciqfunctions.udf.CIQ(A3228,"IQ_DILUT_EPS_EXCL",IQ_FY-9), _xll.ciqfunctions.udf.CIQ(A3228, "IQ_DILUT_EPS_EXCL",IQ_FY-8))</f>
        <v>0</v>
      </c>
      <c r="G3229" s="15">
        <f>IF(A3236=A3237,_xll.ciqfunctions.udf.CIQ(A3228,"IQ_EBITDA_MARGIN",IQ_FY-9), _xll.ciqfunctions.udf.CIQ(A3228, "IQ_EBITDA_MARGIN",IQ_FY-8))</f>
        <v>0</v>
      </c>
      <c r="H3229" s="15" t="e">
        <f>IF(A3236=A3237,_xll.ciqfunctions.udf.CIQ(A3228,"IQ_TOTAL_DIV_PAID_CF",IQ_FY-9)/-I3229, _xll.ciqfunctions.udf.CIQ(A3228, "IQ_TOTAL_DIV_PAID_CF",IQ_FY-8)/-I3229)</f>
        <v>#DIV/0!</v>
      </c>
      <c r="I3229" s="17">
        <f>IF(A3236=A3237,_xll.ciqfunctions.udf.CIQ(A3228,"IQ_TOTAL_OUTSTANDING_FILING_DATE",IQ_FY-9), _xll.ciqfunctions.udf.CIQ(A3228, "IQ_TOTAL_OUTSTANDING_FILING_DATE",IQ_FY-8))</f>
        <v>0</v>
      </c>
      <c r="J3229" s="17">
        <f>IF(A3236=A3237,_xll.ciqfunctions.udf.CIQ(A3228,"IQ_CASH_OPER",IQ_FY-9), _xll.ciqfunctions.udf.CIQ(A3228, "IQ_CASH_OPER",IQ_FY-8))</f>
        <v>0</v>
      </c>
      <c r="K3229" s="17">
        <f>IF(A3236=A3237,_xll.ciqfunctions.udf.CIQ(A3228,"IQ_CAPEX",IQ_FY-9), _xll.ciqfunctions.udf.CIQ(A3228, "IQ_CAPEX",IQ_FY-8))</f>
        <v>0</v>
      </c>
      <c r="L3229" s="15" t="e">
        <f t="shared" si="860"/>
        <v>#DIV/0!</v>
      </c>
      <c r="M3229" s="17">
        <f>IF(A3236=A3237,_xll.ciqfunctions.udf.CIQ(A3228,"IQ_TOTAL_DEBT_ISSUED",IQ_FY-9), _xll.ciqfunctions.udf.CIQ(A3228, "IQ_TOTAL_DEBT_ISSUED",IQ_FY-8))</f>
        <v>0</v>
      </c>
      <c r="N3229" s="17">
        <f>IF(A3236=A3237,_xll.ciqfunctions.udf.CIQ(A3228,"IQ_TOTAL_DEBT_REPAID",IQ_FY-9), _xll.ciqfunctions.udf.CIQ(A3228, "IQ_TOTAL_DEBT_REPAID",IQ_FY-8))</f>
        <v>0</v>
      </c>
      <c r="O3229" s="15" t="e">
        <f t="shared" si="861"/>
        <v>#DIV/0!</v>
      </c>
      <c r="P3229" s="15" t="e">
        <f t="shared" si="862"/>
        <v>#DIV/0!</v>
      </c>
      <c r="Q3229" s="25" t="s">
        <v>18</v>
      </c>
      <c r="R3229" s="39" t="s">
        <v>19</v>
      </c>
      <c r="S3229" s="1">
        <f>R3227/((AVERAGE(P3233:P3238))*(1+E3239)^3)</f>
        <v>46.07666236207298</v>
      </c>
      <c r="U3229" s="25" t="s">
        <v>48</v>
      </c>
      <c r="V3229" s="39" t="s">
        <v>19</v>
      </c>
      <c r="W3229" s="1">
        <f>V3227/((AVERAGE(P3233:P3238))*(1+E3239)^3)</f>
        <v>46.07666236207298</v>
      </c>
      <c r="Y3229" s="25" t="s">
        <v>39</v>
      </c>
      <c r="Z3229" s="39" t="s">
        <v>19</v>
      </c>
      <c r="AA3229" s="1">
        <f>Z3227/((AVERAGE(P3233:P3238))*(1+E3239)^3)</f>
        <v>46.07666236207298</v>
      </c>
    </row>
    <row r="3230" spans="1:27">
      <c r="B3230" s="13">
        <v>3</v>
      </c>
      <c r="C3230" s="14" t="s">
        <v>20</v>
      </c>
      <c r="D3230" s="15" t="e" cm="1">
        <f t="array" ref="D3230">_xlfn.SINGLE(IF(A3236=A3237,_xll.ciqfunctions.udf.CIQ(A3228,"IQ_TOTAL_REV",IQ_FY-8)/I3230, _xll.ciqfunctions.udf.CIQ(A3228, "IQ_TOTAL_REV",IQ_FY-7)/I3230))</f>
        <v>#DIV/0!</v>
      </c>
      <c r="E3230" s="16" t="e">
        <f t="shared" si="863"/>
        <v>#DIV/0!</v>
      </c>
      <c r="F3230" s="15">
        <f>IF(A3236=A3237,_xll.ciqfunctions.udf.CIQ(A3228,"IQ_DILUT_EPS_EXCL",IQ_FY-8), _xll.ciqfunctions.udf.CIQ(A3228, "IQ_DILUT_EPS_EXCL",IQ_FY-7))</f>
        <v>0</v>
      </c>
      <c r="G3230" s="15">
        <f>IF(A3236=A3237,_xll.ciqfunctions.udf.CIQ(A3228,"IQ_EBITDA_MARGIN",IQ_FY-8), _xll.ciqfunctions.udf.CIQ(A3228, "IQ_EBITDA_MARGIN",IQ_FY-7))</f>
        <v>0</v>
      </c>
      <c r="H3230" s="15" t="e">
        <f>IF(A3236=A3237,_xll.ciqfunctions.udf.CIQ(A3228,"IQ_TOTAL_DIV_PAID_CF",IQ_FY-8)/-I3230, _xll.ciqfunctions.udf.CIQ(A3228, "IQ_TOTAL_DIV_PAID_CF",IQ_FY-7)/-I3230)</f>
        <v>#DIV/0!</v>
      </c>
      <c r="I3230" s="17">
        <f>IF(A3236=A3237,_xll.ciqfunctions.udf.CIQ(A3228,"IQ_TOTAL_OUTSTANDING_FILING_DATE",IQ_FY-8), _xll.ciqfunctions.udf.CIQ(A3228, "IQ_TOTAL_OUTSTANDING_FILING_DATE",IQ_FY-7))</f>
        <v>0</v>
      </c>
      <c r="J3230" s="17">
        <f>IF(A3236=A3237,_xll.ciqfunctions.udf.CIQ(A3228,"IQ_CASH_OPER",IQ_FY-8), _xll.ciqfunctions.udf.CIQ(A3228, "IQ_CASH_OPER",IQ_FY-7))</f>
        <v>0</v>
      </c>
      <c r="K3230" s="17">
        <f>IF(A3236=A3237,_xll.ciqfunctions.udf.CIQ(A3228,"IQ_CAPEX",IQ_FY-8), _xll.ciqfunctions.udf.CIQ(A3228, "IQ_CAPEX",IQ_FY-7))</f>
        <v>0</v>
      </c>
      <c r="L3230" s="15" t="e">
        <f t="shared" si="860"/>
        <v>#DIV/0!</v>
      </c>
      <c r="M3230" s="17">
        <f>IF(A3236=A3237,_xll.ciqfunctions.udf.CIQ(A3228,"IQ_TOTAL_DEBT_ISSUED",IQ_FY-8), _xll.ciqfunctions.udf.CIQ(A3228, "IQ_TOTAL_DEBT_ISSUED",IQ_FY-7))</f>
        <v>0</v>
      </c>
      <c r="N3230" s="17">
        <f>IF(A3236=A3237,_xll.ciqfunctions.udf.CIQ(A3228,"IQ_TOTAL_DEBT_REPAID",IQ_FY-8), _xll.ciqfunctions.udf.CIQ(A3228, "IQ_TOTAL_DEBT_REPAID",IQ_FY-7))</f>
        <v>0</v>
      </c>
      <c r="O3230" s="15" t="e">
        <f t="shared" si="861"/>
        <v>#DIV/0!</v>
      </c>
      <c r="P3230" s="15" t="e">
        <f t="shared" si="862"/>
        <v>#DIV/0!</v>
      </c>
      <c r="Q3230" s="25" t="s">
        <v>21</v>
      </c>
      <c r="R3230" s="38" t="s">
        <v>49</v>
      </c>
      <c r="S3230" s="2">
        <f>(R3227*I3238)/1000</f>
        <v>0.85701349259999993</v>
      </c>
      <c r="U3230" s="25" t="s">
        <v>59</v>
      </c>
      <c r="V3230" s="38" t="s">
        <v>49</v>
      </c>
      <c r="W3230" s="2">
        <f>(V3227*I3238)/1000</f>
        <v>0.85701349259999993</v>
      </c>
      <c r="Y3230" s="25" t="s">
        <v>46</v>
      </c>
      <c r="Z3230" s="38" t="s">
        <v>49</v>
      </c>
      <c r="AA3230" s="2">
        <f>(Z3227*I3238)/1000</f>
        <v>0.85701349259999993</v>
      </c>
    </row>
    <row r="3231" spans="1:27">
      <c r="A3231" s="18"/>
      <c r="B3231" s="13">
        <v>4</v>
      </c>
      <c r="C3231" s="14" t="s">
        <v>22</v>
      </c>
      <c r="D3231" s="15" t="e" cm="1">
        <f t="array" ref="D3231">_xlfn.SINGLE(IF(A3236=A3237,_xll.ciqfunctions.udf.CIQ(A3228,"IQ_TOTAL_REV",IQ_FY-7)/I3231, _xll.ciqfunctions.udf.CIQ(A3228, "IQ_TOTAL_REV",IQ_FY-6)/I3231))</f>
        <v>#DIV/0!</v>
      </c>
      <c r="E3231" s="16" t="e">
        <f t="shared" si="863"/>
        <v>#DIV/0!</v>
      </c>
      <c r="F3231" s="15">
        <f>IF(A3236=A3237,_xll.ciqfunctions.udf.CIQ(A3228,"IQ_DILUT_EPS_EXCL",IQ_FY-7), _xll.ciqfunctions.udf.CIQ(A3228, "IQ_DILUT_EPS_EXCL",IQ_FY-6))</f>
        <v>0</v>
      </c>
      <c r="G3231" s="15">
        <f>IF(A3236=A3237,_xll.ciqfunctions.udf.CIQ(A3228,"IQ_EBITDA_MARGIN",IQ_FY-7), _xll.ciqfunctions.udf.CIQ(A3228, "IQ_EBITDA_MARGIN",IQ_FY-6))</f>
        <v>0</v>
      </c>
      <c r="H3231" s="15" t="e">
        <f>IF(A3236=A3237,_xll.ciqfunctions.udf.CIQ(A3228,"IQ_TOTAL_DIV_PAID_CF",IQ_FY-7)/-I3231, _xll.ciqfunctions.udf.CIQ(A3228, "IQ_TOTAL_DIV_PAID_CF",IQ_FY-6)/-I3231)</f>
        <v>#DIV/0!</v>
      </c>
      <c r="I3231" s="17">
        <f>IF(A3236=A3237,_xll.ciqfunctions.udf.CIQ(A3228,"IQ_TOTAL_OUTSTANDING_FILING_DATE",IQ_FY-7), _xll.ciqfunctions.udf.CIQ(A3228, "IQ_TOTAL_OUTSTANDING_FILING_DATE",IQ_FY-6))</f>
        <v>0</v>
      </c>
      <c r="J3231" s="17">
        <f>IF(A3236=A3237,_xll.ciqfunctions.udf.CIQ(A3228,"IQ_CASH_OPER",IQ_FY-7), _xll.ciqfunctions.udf.CIQ(A3228, "IQ_CASH_OPER",IQ_FY-6))</f>
        <v>0</v>
      </c>
      <c r="K3231" s="17">
        <f>IF(A3236=A3237,_xll.ciqfunctions.udf.CIQ(A3228,"IQ_CAPEX",IQ_FY-7), _xll.ciqfunctions.udf.CIQ(A3228, "IQ_CAPEX",IQ_FY-6))</f>
        <v>0</v>
      </c>
      <c r="L3231" s="15" t="e">
        <f t="shared" si="860"/>
        <v>#DIV/0!</v>
      </c>
      <c r="M3231" s="17">
        <f>IF(A3236=A3237,_xll.ciqfunctions.udf.CIQ(A3228,"IQ_TOTAL_DEBT_ISSUED",IQ_FY-7), _xll.ciqfunctions.udf.CIQ(A3228, "IQ_TOTAL_DEBT_ISSUED",IQ_FY-6))</f>
        <v>0</v>
      </c>
      <c r="N3231" s="17">
        <f>IF(A3236=A3237,_xll.ciqfunctions.udf.CIQ(A3228,"IQ_TOTAL_DEBT_REPAID",IQ_FY-7), _xll.ciqfunctions.udf.CIQ(A3228, "IQ_TOTAL_DEBT_REPAID",IQ_FY-6))</f>
        <v>0</v>
      </c>
      <c r="O3231" s="15" t="e">
        <f t="shared" si="861"/>
        <v>#DIV/0!</v>
      </c>
      <c r="P3231" s="15" t="e">
        <f t="shared" si="862"/>
        <v>#DIV/0!</v>
      </c>
      <c r="Q3231" s="25" t="s">
        <v>23</v>
      </c>
      <c r="R3231" s="38" t="s">
        <v>24</v>
      </c>
      <c r="S3231" s="1" t="e">
        <f>R3227/(AVERAGE(H3233:H3238)*(1+H3239)/(0.5-H3239))</f>
        <v>#DIV/0!</v>
      </c>
      <c r="U3231" s="25" t="s">
        <v>40</v>
      </c>
      <c r="V3231" s="38" t="s">
        <v>24</v>
      </c>
      <c r="W3231" s="1" t="e">
        <f>V3227/(AVERAGE(H3233:H3238)*(1+H3239)/(0.5-H3239))</f>
        <v>#DIV/0!</v>
      </c>
      <c r="Y3231" s="25" t="s">
        <v>47</v>
      </c>
      <c r="Z3231" s="38" t="s">
        <v>24</v>
      </c>
      <c r="AA3231" s="1" t="e">
        <f>Z3227/(AVERAGE(H3233:H3238)*(1+H3239)/(0.5-H3239))</f>
        <v>#DIV/0!</v>
      </c>
    </row>
    <row r="3232" spans="1:27">
      <c r="B3232" s="13">
        <v>5</v>
      </c>
      <c r="C3232" s="14" t="s">
        <v>25</v>
      </c>
      <c r="D3232" s="15" t="e" cm="1">
        <f t="array" ref="D3232">_xlfn.SINGLE(IF(A3236=A3237,_xll.ciqfunctions.udf.CIQ(A3228,"IQ_TOTAL_REV",IQ_FY-6)/I3232, _xll.ciqfunctions.udf.CIQ(A3228, "IQ_TOTAL_REV",IQ_FY-5)/I3232))</f>
        <v>#DIV/0!</v>
      </c>
      <c r="E3232" s="16" t="e">
        <f t="shared" si="863"/>
        <v>#DIV/0!</v>
      </c>
      <c r="F3232" s="15">
        <f>IF(A3236=A3237,_xll.ciqfunctions.udf.CIQ(A3228,"IQ_DILUT_EPS_EXCL",IQ_FY-6), _xll.ciqfunctions.udf.CIQ(A3228, "IQ_DILUT_EPS_EXCL",IQ_FY-5))</f>
        <v>0</v>
      </c>
      <c r="G3232" s="15">
        <f>IF(A3236=A3237,_xll.ciqfunctions.udf.CIQ(A3228,"IQ_EBITDA_MARGIN",IQ_FY-6), _xll.ciqfunctions.udf.CIQ(A3228, "IQ_EBITDA_MARGIN",IQ_FY-5))</f>
        <v>0</v>
      </c>
      <c r="H3232" s="15" t="e">
        <f>IF(A3236=A3237,_xll.ciqfunctions.udf.CIQ(A3228,"IQ_TOTAL_DIV_PAID_CF",IQ_FY-6)/-I3232, _xll.ciqfunctions.udf.CIQ(A3228, "IQ_TOTAL_DIV_PAID_CF",IQ_FY-5)/-I3232)</f>
        <v>#DIV/0!</v>
      </c>
      <c r="I3232" s="17">
        <f>IF(A3236=A3237,_xll.ciqfunctions.udf.CIQ(A3228,"IQ_TOTAL_OUTSTANDING_FILING_DATE",IQ_FY-6), _xll.ciqfunctions.udf.CIQ(A3228, "IQ_TOTAL_OUTSTANDING_FILING_DATE",IQ_FY-5))</f>
        <v>0</v>
      </c>
      <c r="J3232" s="17">
        <f>IF(A3236=A3237,_xll.ciqfunctions.udf.CIQ(A3228,"IQ_CASH_OPER",IQ_FY-6), _xll.ciqfunctions.udf.CIQ(A3228, "IQ_CASH_OPER",IQ_FY-5))</f>
        <v>0</v>
      </c>
      <c r="K3232" s="17">
        <f>IF(A3236=A3237,_xll.ciqfunctions.udf.CIQ(A3228,"IQ_CAPEX",IQ_FY-6), _xll.ciqfunctions.udf.CIQ(A3228, "IQ_CAPEX",IQ_FY-5))</f>
        <v>0</v>
      </c>
      <c r="L3232" s="15" t="e">
        <f t="shared" si="860"/>
        <v>#DIV/0!</v>
      </c>
      <c r="M3232" s="17">
        <f>IF(A3236=A3237,_xll.ciqfunctions.udf.CIQ(A3228,"IQ_TOTAL_DEBT_ISSUED",IQ_FY-6), _xll.ciqfunctions.udf.CIQ(A3228, "IQ_TOTAL_DEBT_ISSUED",IQ_FY-5))</f>
        <v>0</v>
      </c>
      <c r="N3232" s="17">
        <f>IF(A3236=A3237,_xll.ciqfunctions.udf.CIQ(A3228,"IQ_TOTAL_DEBT_REPAID",IQ_FY-6), _xll.ciqfunctions.udf.CIQ(A3228, "IQ_TOTAL_DEBT_REPAID",IQ_FY-5))</f>
        <v>0</v>
      </c>
      <c r="O3232" s="15" t="e">
        <f t="shared" si="861"/>
        <v>#DIV/0!</v>
      </c>
      <c r="P3232" s="15" t="e">
        <f t="shared" si="862"/>
        <v>#DIV/0!</v>
      </c>
      <c r="Q3232" s="18"/>
      <c r="R3232" s="38" t="s">
        <v>50</v>
      </c>
      <c r="S3232" s="3">
        <f>I3239</f>
        <v>0.54831344336372601</v>
      </c>
      <c r="U3232" s="18"/>
      <c r="V3232" s="38" t="s">
        <v>50</v>
      </c>
      <c r="W3232" s="3">
        <f>I3239</f>
        <v>0.54831344336372601</v>
      </c>
      <c r="Y3232" s="18"/>
      <c r="Z3232" s="38" t="s">
        <v>50</v>
      </c>
      <c r="AA3232" s="3">
        <f>I3239</f>
        <v>0.54831344336372601</v>
      </c>
    </row>
    <row r="3233" spans="1:27">
      <c r="B3233" s="13">
        <v>6</v>
      </c>
      <c r="C3233" s="14" t="s">
        <v>26</v>
      </c>
      <c r="D3233" s="15" cm="1">
        <f t="array" ref="D3233">_xlfn.SINGLE(IF(A3236=A3237,_xll.ciqfunctions.udf.CIQ(A3228,"IQ_TOTAL_REV",IQ_FY-5)/I3233, _xll.ciqfunctions.udf.CIQ(A3228, "IQ_TOTAL_REV",IQ_FY-4)/I3233))</f>
        <v>1.7234184157926458</v>
      </c>
      <c r="E3233" s="16" t="e">
        <f t="shared" si="863"/>
        <v>#DIV/0!</v>
      </c>
      <c r="F3233" s="15">
        <f>IF(A3236=A3237,_xll.ciqfunctions.udf.CIQ(A3228,"IQ_DILUT_EPS_EXCL",IQ_FY-5), _xll.ciqfunctions.udf.CIQ(A3228, "IQ_DILUT_EPS_EXCL",IQ_FY-4))</f>
        <v>-0.97765000000000002</v>
      </c>
      <c r="G3233" s="15">
        <f>IF(A3236=A3237,_xll.ciqfunctions.udf.CIQ(A3228,"IQ_EBITDA_MARGIN",IQ_FY-5), _xll.ciqfunctions.udf.CIQ(A3228, "IQ_EBITDA_MARGIN",IQ_FY-4))</f>
        <v>-27.0763</v>
      </c>
      <c r="H3233" s="15">
        <f>IF(A3236=A3237,_xll.ciqfunctions.udf.CIQ(A3228,"IQ_TOTAL_DIV_PAID_CF",IQ_FY-5)/-I3233, _xll.ciqfunctions.udf.CIQ(A3228, "IQ_TOTAL_DIV_PAID_CF",IQ_FY-4)/-I3233)</f>
        <v>0</v>
      </c>
      <c r="I3233" s="17">
        <f>IF(A3236=A3237,_xll.ciqfunctions.udf.CIQ(A3228,"IQ_TOTAL_OUTSTANDING_FILING_DATE",IQ_FY-5), _xll.ciqfunctions.udf.CIQ(A3228, "IQ_TOTAL_OUTSTANDING_FILING_DATE",IQ_FY-4))</f>
        <v>18.45112</v>
      </c>
      <c r="J3233" s="17">
        <f>IF(A3236=A3237,_xll.ciqfunctions.udf.CIQ(A3228,"IQ_CASH_OPER",IQ_FY-5), _xll.ciqfunctions.udf.CIQ(A3228, "IQ_CASH_OPER",IQ_FY-4))</f>
        <v>-4.1779999999999999</v>
      </c>
      <c r="K3233" s="17">
        <f>IF(A3236=A3237,_xll.ciqfunctions.udf.CIQ(A3228,"IQ_CAPEX",IQ_FY-5), _xll.ciqfunctions.udf.CIQ(A3228, "IQ_CAPEX",IQ_FY-4))</f>
        <v>-0.19500000000000001</v>
      </c>
      <c r="L3233" s="15">
        <f t="shared" si="860"/>
        <v>-0.23700458291962767</v>
      </c>
      <c r="M3233" s="17">
        <f>IF(A3236=A3237,_xll.ciqfunctions.udf.CIQ(A3228,"IQ_TOTAL_DEBT_ISSUED",IQ_FY-5), _xll.ciqfunctions.udf.CIQ(A3228, "IQ_TOTAL_DEBT_ISSUED",IQ_FY-4))</f>
        <v>3.5</v>
      </c>
      <c r="N3233" s="17">
        <f>IF(A3236=A3237,_xll.ciqfunctions.udf.CIQ(A3228,"IQ_TOTAL_DEBT_REPAID",IQ_FY-5), _xll.ciqfunctions.udf.CIQ(A3228, "IQ_TOTAL_DEBT_REPAID",IQ_FY-4))</f>
        <v>0</v>
      </c>
      <c r="O3233" s="15">
        <f t="shared" si="861"/>
        <v>0.18969038193887416</v>
      </c>
      <c r="P3233" s="15">
        <f t="shared" si="862"/>
        <v>-4.7314200980753507E-2</v>
      </c>
      <c r="Q3233" s="25" t="s">
        <v>27</v>
      </c>
      <c r="R3233" s="38" t="s">
        <v>51</v>
      </c>
      <c r="S3233" s="4">
        <f>AVERAGE(F3233:F3238)/AVERAGE(D3233:D3238)</f>
        <v>-0.19522670648702203</v>
      </c>
      <c r="U3233" s="25" t="s">
        <v>58</v>
      </c>
      <c r="V3233" s="38" t="s">
        <v>51</v>
      </c>
      <c r="W3233" s="4">
        <f>AVERAGE(F3233:F3238)/AVERAGE(D3233:D3238)</f>
        <v>-0.19522670648702203</v>
      </c>
      <c r="Y3233" s="25" t="s">
        <v>56</v>
      </c>
      <c r="Z3233" s="38" t="s">
        <v>51</v>
      </c>
      <c r="AA3233" s="4">
        <f>AVERAGE(F3233:F3238)/AVERAGE(D3233:D3238)</f>
        <v>-0.19522670648702203</v>
      </c>
    </row>
    <row r="3234" spans="1:27">
      <c r="A3234" s="18"/>
      <c r="B3234" s="13">
        <v>7</v>
      </c>
      <c r="C3234" s="14" t="s">
        <v>28</v>
      </c>
      <c r="D3234" s="15" cm="1">
        <f t="array" ref="D3234">_xlfn.SINGLE(IF(A3236=A3237,_xll.ciqfunctions.udf.CIQ(A3228,"IQ_TOTAL_REV",IQ_FY-4)/I3234, _xll.ciqfunctions.udf.CIQ(A3228, "IQ_TOTAL_REV",IQ_FY-3)/I3234))</f>
        <v>2.747312900246706</v>
      </c>
      <c r="E3234" s="16">
        <f t="shared" si="863"/>
        <v>0.59410673291612948</v>
      </c>
      <c r="F3234" s="15">
        <f>IF(A3236=A3237,_xll.ciqfunctions.udf.CIQ(A3228,"IQ_DILUT_EPS_EXCL",IQ_FY-4), _xll.ciqfunctions.udf.CIQ(A3228, "IQ_DILUT_EPS_EXCL",IQ_FY-3))</f>
        <v>-0.48114000000000001</v>
      </c>
      <c r="G3234" s="15">
        <f>IF(A3236=A3237,_xll.ciqfunctions.udf.CIQ(A3228,"IQ_EBITDA_MARGIN",IQ_FY-4), _xll.ciqfunctions.udf.CIQ(A3228, "IQ_EBITDA_MARGIN",IQ_FY-3))</f>
        <v>-9.5204000000000004</v>
      </c>
      <c r="H3234" s="15">
        <f>IF(A3236=A3237,_xll.ciqfunctions.udf.CIQ(A3228,"IQ_TOTAL_DIV_PAID_CF",IQ_FY-4)/-I3234, _xll.ciqfunctions.udf.CIQ(A3228, "IQ_TOTAL_DIV_PAID_CF",IQ_FY-3)/-I3234)</f>
        <v>0</v>
      </c>
      <c r="I3234" s="17">
        <f>IF(A3236=A3237,_xll.ciqfunctions.udf.CIQ(A3228,"IQ_TOTAL_OUTSTANDING_FILING_DATE",IQ_FY-4), _xll.ciqfunctions.udf.CIQ(A3228, "IQ_TOTAL_OUTSTANDING_FILING_DATE",IQ_FY-3))</f>
        <v>18.45112</v>
      </c>
      <c r="J3234" s="17">
        <f>IF(A3236=A3237,_xll.ciqfunctions.udf.CIQ(A3228,"IQ_CASH_OPER",IQ_FY-4), _xll.ciqfunctions.udf.CIQ(A3228, "IQ_CASH_OPER",IQ_FY-3))</f>
        <v>2.4220000000000002</v>
      </c>
      <c r="K3234" s="17">
        <f>IF(A3236=A3237,_xll.ciqfunctions.udf.CIQ(A3228,"IQ_CAPEX",IQ_FY-4), _xll.ciqfunctions.udf.CIQ(A3228, "IQ_CAPEX",IQ_FY-3))</f>
        <v>-1.3520000000000001</v>
      </c>
      <c r="L3234" s="15">
        <f t="shared" si="860"/>
        <v>5.7991059621312964E-2</v>
      </c>
      <c r="M3234" s="17">
        <f>IF(A3236=A3237,_xll.ciqfunctions.udf.CIQ(A3228,"IQ_TOTAL_DEBT_ISSUED",IQ_FY-4), _xll.ciqfunctions.udf.CIQ(A3228, "IQ_TOTAL_DEBT_ISSUED",IQ_FY-3))</f>
        <v>0</v>
      </c>
      <c r="N3234" s="17">
        <f>IF(A3236=A3237,_xll.ciqfunctions.udf.CIQ(A3228,"IQ_TOTAL_DEBT_REPAID",IQ_FY-4), _xll.ciqfunctions.udf.CIQ(A3228, "IQ_TOTAL_DEBT_REPAID",IQ_FY-3))</f>
        <v>0</v>
      </c>
      <c r="O3234" s="15">
        <f t="shared" si="861"/>
        <v>0</v>
      </c>
      <c r="P3234" s="15">
        <f t="shared" si="862"/>
        <v>5.7991059621312964E-2</v>
      </c>
      <c r="Q3234" s="18"/>
      <c r="R3234" s="38" t="s">
        <v>29</v>
      </c>
      <c r="S3234" s="4">
        <f>(AVERAGE(P3233:P3238)/_xlfn.STDEV.P(P3233:P3238))/(IF(A3236=A3237,(_xlfn.SINGLE(_xll.ciqfunctions.udf.CIQ(A3228,"IQ_total_assets",IQ_FY)) - _xlfn.SINGLE(_xll.ciqfunctions.udf.CIQ(A3228,"iq_gw_intan", IQ_FY)))/I3238, (_xlfn.SINGLE(_xll.ciqfunctions.udf.CIQ(A3228, "IQ_total_assets",IQ_LTM))-_xlfn.SINGLE(_xll.ciqfunctions.udf.CIQ(A3228,"iq_gw_intan",IQ_LTM)))/I3238))</f>
        <v>0.14805565813327171</v>
      </c>
      <c r="U3234" s="18"/>
      <c r="V3234" s="38" t="s">
        <v>29</v>
      </c>
      <c r="W3234" s="4">
        <f>(AVERAGE(P3233:P3238)/_xlfn.STDEV.P(P3233:P3238))/(IF(A3236=A3237,(_xlfn.SINGLE(_xll.ciqfunctions.udf.CIQ(A3228,"IQ_total_assets",IQ_FY)) - _xlfn.SINGLE(_xll.ciqfunctions.udf.CIQ(A3228,"iq_gw_intan", IQ_FY)))/I3238, (_xlfn.SINGLE(_xll.ciqfunctions.udf.CIQ(A3228, "IQ_total_assets",IQ_LTM))-_xlfn.SINGLE(_xll.ciqfunctions.udf.CIQ(A3228,"iq_gw_intan",IQ_LTM)))/I3238))</f>
        <v>0.14805565813327171</v>
      </c>
      <c r="Y3234" s="18"/>
      <c r="Z3234" s="38" t="s">
        <v>29</v>
      </c>
      <c r="AA3234" s="4">
        <f>(AVERAGE(P3233:P3238)/_xlfn.STDEV.P(P3233:P3238))/(IF(A3236=A3237,(_xlfn.SINGLE(_xll.ciqfunctions.udf.CIQ(A3228,"IQ_total_assets",IQ_FY)) - _xlfn.SINGLE(_xll.ciqfunctions.udf.CIQ(A3228,"iq_gw_intan", IQ_FY)))/I3238, (_xlfn.SINGLE(_xll.ciqfunctions.udf.CIQ(A3228, "IQ_total_assets",IQ_LTM))-_xlfn.SINGLE(_xll.ciqfunctions.udf.CIQ(A3228,"iq_gw_intan",IQ_LTM)))/I3238))</f>
        <v>0.14805565813327171</v>
      </c>
    </row>
    <row r="3235" spans="1:27">
      <c r="A3235" s="18"/>
      <c r="B3235" s="13">
        <v>8</v>
      </c>
      <c r="C3235" s="14" t="s">
        <v>30</v>
      </c>
      <c r="D3235" s="15" cm="1">
        <f t="array" ref="D3235">_xlfn.SINGLE(IF(A3236=A3237,_xll.ciqfunctions.udf.CIQ(A3228,"IQ_TOTAL_REV",IQ_FY-3)/I3235, _xll.ciqfunctions.udf.CIQ(A3228, "IQ_TOTAL_REV",IQ_FY-2)/I3235))</f>
        <v>4.4096201259033823</v>
      </c>
      <c r="E3235" s="16">
        <f t="shared" si="863"/>
        <v>0.60506658178884631</v>
      </c>
      <c r="F3235" s="15">
        <f>IF(A3236=A3237,_xll.ciqfunctions.udf.CIQ(A3228,"IQ_DILUT_EPS_EXCL",IQ_FY-3), _xll.ciqfunctions.udf.CIQ(A3228, "IQ_DILUT_EPS_EXCL",IQ_FY-2))</f>
        <v>0</v>
      </c>
      <c r="G3235" s="15">
        <f>IF(A3236=A3237,_xll.ciqfunctions.udf.CIQ(A3228,"IQ_EBITDA_MARGIN",IQ_FY-3), _xll.ciqfunctions.udf.CIQ(A3228, "IQ_EBITDA_MARGIN",IQ_FY-2))</f>
        <v>16.7316</v>
      </c>
      <c r="H3235" s="15">
        <f>IF(A3236=A3237,_xll.ciqfunctions.udf.CIQ(A3228,"IQ_TOTAL_DIV_PAID_CF",IQ_FY-3)/-I3235, _xll.ciqfunctions.udf.CIQ(A3228, "IQ_TOTAL_DIV_PAID_CF",IQ_FY-2)/-I3235)</f>
        <v>0</v>
      </c>
      <c r="I3235" s="17">
        <f>IF(A3236=A3237,_xll.ciqfunctions.udf.CIQ(A3228,"IQ_TOTAL_OUTSTANDING_FILING_DATE",IQ_FY-3), _xll.ciqfunctions.udf.CIQ(A3228, "IQ_TOTAL_OUTSTANDING_FILING_DATE",IQ_FY-2))</f>
        <v>22.32029</v>
      </c>
      <c r="J3235" s="17">
        <f>IF(A3236=A3237,_xll.ciqfunctions.udf.CIQ(A3228,"IQ_CASH_OPER",IQ_FY-3), _xll.ciqfunctions.udf.CIQ(A3228, "IQ_CASH_OPER",IQ_FY-2))</f>
        <v>20.768000000000001</v>
      </c>
      <c r="K3235" s="17">
        <f>IF(A3236=A3237,_xll.ciqfunctions.udf.CIQ(A3228,"IQ_CAPEX",IQ_FY-3), _xll.ciqfunctions.udf.CIQ(A3228, "IQ_CAPEX",IQ_FY-2))</f>
        <v>-0.39900000000000002</v>
      </c>
      <c r="L3235" s="15">
        <f t="shared" si="860"/>
        <v>0.91257774876580899</v>
      </c>
      <c r="M3235" s="17">
        <f>IF(A3236=A3237,_xll.ciqfunctions.udf.CIQ(A3228,"IQ_TOTAL_DEBT_ISSUED",IQ_FY-3), _xll.ciqfunctions.udf.CIQ(A3228, "IQ_TOTAL_DEBT_ISSUED",IQ_FY-2))</f>
        <v>15</v>
      </c>
      <c r="N3235" s="17">
        <f>IF(A3236=A3237,_xll.ciqfunctions.udf.CIQ(A3228,"IQ_TOTAL_DEBT_REPAID",IQ_FY-3), _xll.ciqfunctions.udf.CIQ(A3228, "IQ_TOTAL_DEBT_REPAID",IQ_FY-2))</f>
        <v>-18.5</v>
      </c>
      <c r="O3235" s="15">
        <f t="shared" si="861"/>
        <v>-0.15680799846238558</v>
      </c>
      <c r="P3235" s="15">
        <f t="shared" si="862"/>
        <v>0.75576975030342342</v>
      </c>
      <c r="Q3235" s="18"/>
      <c r="R3235" s="39" t="s">
        <v>31</v>
      </c>
      <c r="S3235" s="5" t="e">
        <f>IF(NOT(D3228&gt;0),FALSE,SLOPE(G3228:G3238,B3228:B3238))</f>
        <v>#DIV/0!</v>
      </c>
      <c r="U3235" s="18"/>
      <c r="V3235" s="39" t="s">
        <v>31</v>
      </c>
      <c r="W3235" s="5" t="e">
        <f>IF(NOT(D3228&gt;0),FALSE,SLOPE(G3228:G3238,B3228:B3238))</f>
        <v>#DIV/0!</v>
      </c>
      <c r="Y3235" s="18"/>
      <c r="Z3235" s="39" t="s">
        <v>31</v>
      </c>
      <c r="AA3235" s="5" t="e">
        <f>IF(NOT(L3228&gt;0),FALSE,SLOPE(O3228:O3238,J3228:J3238))</f>
        <v>#DIV/0!</v>
      </c>
    </row>
    <row r="3236" spans="1:27">
      <c r="A3236" s="19">
        <f>_xll.ciqfunctions.udf.CIQ(A3228,"IQ_TOTAL_REV",IQ_FY)</f>
        <v>185.404</v>
      </c>
      <c r="B3236" s="13">
        <v>9</v>
      </c>
      <c r="C3236" s="14" t="s">
        <v>32</v>
      </c>
      <c r="D3236" s="15" cm="1">
        <f t="array" ref="D3236">_xlfn.SINGLE(IF(A3236=A3237,_xll.ciqfunctions.udf.CIQ(A3228,"IQ_TOTAL_REV",IQ_FY-2)/I3236, _xll.ciqfunctions.udf.CIQ(A3228, "IQ_TOTAL_REV",IQ_FY-1)/I3236))</f>
        <v>0.93912133733373226</v>
      </c>
      <c r="E3236" s="16">
        <f t="shared" si="863"/>
        <v>-0.78702897063239929</v>
      </c>
      <c r="F3236" s="15">
        <f>IF(A3236=A3237,_xll.ciqfunctions.udf.CIQ(A3228,"IQ_DILUT_EPS_EXCL",IQ_FY-2), _xll.ciqfunctions.udf.CIQ(A3228, "IQ_DILUT_EPS_EXCL",IQ_FY-1))</f>
        <v>-0.34150999999999998</v>
      </c>
      <c r="G3236" s="15">
        <f>IF(A3236=A3237,_xll.ciqfunctions.udf.CIQ(A3228,"IQ_EBITDA_MARGIN",IQ_FY-2), _xll.ciqfunctions.udf.CIQ(A3228, "IQ_EBITDA_MARGIN",IQ_FY-1))</f>
        <v>-18.05</v>
      </c>
      <c r="H3236" s="15">
        <f>IF(A3236=A3237,_xll.ciqfunctions.udf.CIQ(A3228,"IQ_TOTAL_DIV_PAID_CF",IQ_FY-2)/-I3236, _xll.ciqfunctions.udf.CIQ(A3228, "IQ_TOTAL_DIV_PAID_CF",IQ_FY-1)/-I3236)</f>
        <v>0</v>
      </c>
      <c r="I3236" s="17">
        <f>IF(A3236=A3237,_xll.ciqfunctions.udf.CIQ(A3228,"IQ_TOTAL_OUTSTANDING_FILING_DATE",IQ_FY-2), _xll.ciqfunctions.udf.CIQ(A3228, "IQ_TOTAL_OUTSTANDING_FILING_DATE",IQ_FY-1))</f>
        <v>159.05080000000001</v>
      </c>
      <c r="J3236" s="17">
        <f>IF(A3236=A3237,_xll.ciqfunctions.udf.CIQ(A3228,"IQ_CASH_OPER",IQ_FY-2), _xll.ciqfunctions.udf.CIQ(A3228, "IQ_CASH_OPER",IQ_FY-1))</f>
        <v>16.253</v>
      </c>
      <c r="K3236" s="17">
        <f>IF(A3236=A3237,_xll.ciqfunctions.udf.CIQ(A3228,"IQ_CAPEX",IQ_FY-2), _xll.ciqfunctions.udf.CIQ(A3228, "IQ_CAPEX",IQ_FY-1))</f>
        <v>-0.39300000000000002</v>
      </c>
      <c r="L3236" s="15">
        <f t="shared" si="860"/>
        <v>9.9716568542880635E-2</v>
      </c>
      <c r="M3236" s="17">
        <f>IF(A3236=A3237,_xll.ciqfunctions.udf.CIQ(A3228,"IQ_TOTAL_DEBT_ISSUED",IQ_FY-2), _xll.ciqfunctions.udf.CIQ(A3228, "IQ_TOTAL_DEBT_ISSUED",IQ_FY-1))</f>
        <v>0</v>
      </c>
      <c r="N3236" s="17">
        <f>IF(A3236=A3237,_xll.ciqfunctions.udf.CIQ(A3228,"IQ_TOTAL_DEBT_REPAID",IQ_FY-2), _xll.ciqfunctions.udf.CIQ(A3228, "IQ_TOTAL_DEBT_REPAID",IQ_FY-1))</f>
        <v>0</v>
      </c>
      <c r="O3236" s="15">
        <f t="shared" si="861"/>
        <v>0</v>
      </c>
      <c r="P3236" s="15">
        <f t="shared" si="862"/>
        <v>9.9716568542880635E-2</v>
      </c>
      <c r="Q3236" s="25" t="s">
        <v>33</v>
      </c>
      <c r="R3236" s="38" t="s">
        <v>52</v>
      </c>
      <c r="S3236" s="4">
        <f>(AVERAGE(O3233:O3238)/AVERAGE(P3233:P3238))</f>
        <v>4.1033718272083478E-2</v>
      </c>
      <c r="U3236" s="25" t="s">
        <v>54</v>
      </c>
      <c r="V3236" s="38" t="s">
        <v>52</v>
      </c>
      <c r="W3236" s="4">
        <f>(AVERAGE(O3233:O3238)/AVERAGE(P3233:P3238))</f>
        <v>4.1033718272083478E-2</v>
      </c>
      <c r="Y3236" s="25" t="s">
        <v>60</v>
      </c>
      <c r="Z3236" s="38" t="s">
        <v>52</v>
      </c>
      <c r="AA3236" s="4">
        <f>(AVERAGE(O3233:O3238)/AVERAGE(P3233:P3238))</f>
        <v>4.1033718272083478E-2</v>
      </c>
    </row>
    <row r="3237" spans="1:27">
      <c r="A3237" s="19">
        <f>_xll.ciqfunctions.udf.CIQ(A3228,"IQ_TOTAL_REV",IQ_LTM)</f>
        <v>215.066</v>
      </c>
      <c r="B3237" s="13">
        <v>10</v>
      </c>
      <c r="C3237" s="14" t="s">
        <v>34</v>
      </c>
      <c r="D3237" s="15" cm="1">
        <f t="array" ref="D3237">_xlfn.SINGLE(IF(A3236=A3237,_xll.ciqfunctions.udf.CIQ(A3228,"IQ_TOTAL_REV",IQ_FY-1)/I3237, _xll.ciqfunctions.udf.CIQ(A3228, "IQ_TOTAL_REV",IQ_FY)/I3237))</f>
        <v>1.1491230842938593</v>
      </c>
      <c r="E3237" s="16">
        <f t="shared" si="863"/>
        <v>0.22361513748196257</v>
      </c>
      <c r="F3237" s="15">
        <f>IF(A3236=A3237,_xll.ciqfunctions.udf.CIQ(A3228,"IQ_DILUT_EPS_EXCL",IQ_FY-1), _xll.ciqfunctions.udf.CIQ(A3228, "IQ_DILUT_EPS_EXCL",IQ_FY))</f>
        <v>-0.28498000000000001</v>
      </c>
      <c r="G3237" s="15">
        <f>IF(A3236=A3237,_xll.ciqfunctions.udf.CIQ(A3228,"IQ_EBITDA_MARGIN",IQ_FY-1), _xll.ciqfunctions.udf.CIQ(A3228, "IQ_EBITDA_MARGIN",IQ_FY))</f>
        <v>-21.849499999999999</v>
      </c>
      <c r="H3237" s="15">
        <f>IF(A3236=A3237,_xll.ciqfunctions.udf.CIQ(A3228,"IQ_TOTAL_DIV_PAID_CF",IQ_FY-1)/-I3237, _xll.ciqfunctions.udf.CIQ(A3228, "IQ_TOTAL_DIV_PAID_CF",IQ_FY)/-I3237)</f>
        <v>0</v>
      </c>
      <c r="I3237" s="17">
        <f>IF(A3236=A3237,_xll.ciqfunctions.udf.CIQ(A3228,"IQ_TOTAL_OUTSTANDING_FILING_DATE",IQ_FY-1), _xll.ciqfunctions.udf.CIQ(A3228, "IQ_TOTAL_OUTSTANDING_FILING_DATE",IQ_FY))</f>
        <v>161.34389999999999</v>
      </c>
      <c r="J3237" s="17">
        <f>IF(A3236=A3237,_xll.ciqfunctions.udf.CIQ(A3228,"IQ_CASH_OPER",IQ_FY-1), _xll.ciqfunctions.udf.CIQ(A3228, "IQ_CASH_OPER",IQ_FY))</f>
        <v>2.3439999999999999</v>
      </c>
      <c r="K3237" s="17">
        <f>IF(A3236=A3237,_xll.ciqfunctions.udf.CIQ(A3228,"IQ_CAPEX",IQ_FY-1), _xll.ciqfunctions.udf.CIQ(A3228, "IQ_CAPEX",IQ_FY))</f>
        <v>-0.51700000000000002</v>
      </c>
      <c r="L3237" s="15">
        <f t="shared" si="860"/>
        <v>1.13236385137585E-2</v>
      </c>
      <c r="M3237" s="17">
        <f>IF(A3236=A3237,_xll.ciqfunctions.udf.CIQ(A3228,"IQ_TOTAL_DEBT_ISSUED",IQ_FY-1), _xll.ciqfunctions.udf.CIQ(A3228, "IQ_TOTAL_DEBT_ISSUED",IQ_FY))</f>
        <v>0</v>
      </c>
      <c r="N3237" s="17">
        <f>IF(A3236=A3237,_xll.ciqfunctions.udf.CIQ(A3228,"IQ_TOTAL_DEBT_REPAID",IQ_FY-1), _xll.ciqfunctions.udf.CIQ(A3228, "IQ_TOTAL_DEBT_REPAID",IQ_FY))</f>
        <v>0</v>
      </c>
      <c r="O3237" s="15">
        <f t="shared" si="861"/>
        <v>0</v>
      </c>
      <c r="P3237" s="15">
        <f t="shared" si="862"/>
        <v>1.13236385137585E-2</v>
      </c>
      <c r="Q3237" s="25" t="s">
        <v>44</v>
      </c>
      <c r="R3237" s="38" t="s">
        <v>35</v>
      </c>
      <c r="S3237" s="1" t="str">
        <f>_xll.ciqfunctions.udf.CIQ(A3228,"IQ_TEV_EBITDA")</f>
        <v>NM</v>
      </c>
      <c r="U3237" s="25" t="s">
        <v>55</v>
      </c>
      <c r="V3237" s="38" t="s">
        <v>53</v>
      </c>
      <c r="W3237" s="1" t="e">
        <f>V3227/(AVERAGE(D3233:D3238)/_xlfn.STDEV.P(E3233:E3238))</f>
        <v>#DIV/0!</v>
      </c>
      <c r="Y3237" s="25" t="s">
        <v>57</v>
      </c>
      <c r="Z3237" s="38" t="s">
        <v>53</v>
      </c>
      <c r="AA3237" s="1" t="e">
        <f>Z3227/(AVERAGE(D3233:D3238)/_xlfn.STDEV.P(E3233:E3238))</f>
        <v>#DIV/0!</v>
      </c>
    </row>
    <row r="3238" spans="1:27">
      <c r="B3238" s="13">
        <v>11</v>
      </c>
      <c r="C3238" s="20" t="s">
        <v>36</v>
      </c>
      <c r="D3238" s="21" cm="1">
        <f t="array" ref="D3238">_xlfn.SINGLE(IF(A3236=A3237,_xll.ciqfunctions.udf.CIQ(A3228,"IQ_TOTAL_REV",IQ_FY)/I3238, _xll.ciqfunctions.udf.CIQ(A3228, "IQ_TOTAL_REV",IQ_LTM)/I3238))</f>
        <v>1.3099496445430876</v>
      </c>
      <c r="E3238" s="22">
        <f t="shared" si="863"/>
        <v>0.13995590415630438</v>
      </c>
      <c r="F3238" s="21">
        <f>IF(A3236=A3237,_xll.ciqfunctions.udf.CIQ(A3228,"IQ_DILUT_EPS_EXCL",IQ_FY), _xll.ciqfunctions.udf.CIQ(A3228, "IQ_DILUT_EPS_EXCL",IQ_LTM))</f>
        <v>-0.31181999999999999</v>
      </c>
      <c r="G3238" s="21">
        <f>IF(A3236=A3237,_xll.ciqfunctions.udf.CIQ(A3228,"IQ_EBITDA_MARGIN",IQ_FY), _xll.ciqfunctions.udf.CIQ(A3228, "IQ_EBITDA_MARGIN",IQ_LTM))</f>
        <v>-16.580400000000001</v>
      </c>
      <c r="H3238" s="21">
        <f>IF(A3236=A3237,_xll.ciqfunctions.udf.CIQ(A3228,"IQ_TOTAL_DIV_PAID_CF",IQ_FY)/-I3238, _xll.ciqfunctions.udf.CIQ(A3228, "IQ_TOTAL_DIV_PAID_CF",IQ_LTM)/-I3238)</f>
        <v>0</v>
      </c>
      <c r="I3238" s="23">
        <f>IF(A3236=A3237,_xll.ciqfunctions.udf.CIQ(A3228,"IQ_TOTAL_OUTSTANDING_FILING_DATE",IQ_FY),_xll.ciqfunctions.udf.CIQ(A3228,"IQ_sharesoutstanding"))</f>
        <v>164.17883</v>
      </c>
      <c r="J3238" s="23">
        <f>IF(A3236=A3237,_xll.ciqfunctions.udf.CIQ(A3228,"IQ_CASH_OPER",IQ_FY), _xll.ciqfunctions.udf.CIQ(A3228, "IQ_CASH_OPER",IQ_LTM))</f>
        <v>-12.436999999999999</v>
      </c>
      <c r="K3238" s="23">
        <f>IF(A3236=A3237,_xll.ciqfunctions.udf.CIQ(A3228,"IQ_CAPEX",IQ_FY), _xll.ciqfunctions.udf.CIQ(A3228, "IQ_CAPEX",IQ_LTM))</f>
        <v>-6.3E-2</v>
      </c>
      <c r="L3238" s="21">
        <f t="shared" si="860"/>
        <v>-7.613649092273346E-2</v>
      </c>
      <c r="M3238" s="23">
        <f>IF(A3236=A3237,_xll.ciqfunctions.udf.CIQ(A3228,"IQ_TOTAL_DEBT_ISSUED",IQ_FY), _xll.ciqfunctions.udf.CIQ(A3228, "IQ_TOTAL_DEBT_ISSUED",IQ_LTM))</f>
        <v>0</v>
      </c>
      <c r="N3238" s="23">
        <f>IF(A3236=A3237,_xll.ciqfunctions.udf.CIQ(A3228,"IQ_TOTAL_DEBT_REPAID",IQ_FY), _xll.ciqfunctions.udf.CIQ(A3228, "IQ_TOTAL_DEBT_REPAID",IQ_LTM))</f>
        <v>0</v>
      </c>
      <c r="O3238" s="21">
        <f t="shared" si="861"/>
        <v>0</v>
      </c>
      <c r="P3238" s="21">
        <f t="shared" si="862"/>
        <v>-7.613649092273346E-2</v>
      </c>
      <c r="Q3238" s="25" t="s">
        <v>45</v>
      </c>
      <c r="S3238" s="45"/>
      <c r="U3238" s="25"/>
      <c r="W3238" s="45"/>
      <c r="Y3238" s="25"/>
      <c r="AA3238" s="45"/>
    </row>
    <row r="3239" spans="1:27">
      <c r="B3239" s="24"/>
      <c r="C3239" s="25" t="s">
        <v>37</v>
      </c>
      <c r="E3239" s="26">
        <f>((D3238/D3233)^(1/5))-1</f>
        <v>-5.338632432473478E-2</v>
      </c>
      <c r="F3239" s="27">
        <f>((F3238/F3233)^(1/5))-1</f>
        <v>-0.20430961065014552</v>
      </c>
      <c r="G3239" s="28"/>
      <c r="H3239" s="27" t="e">
        <f>((H3238/H3233)^(1/5))-1</f>
        <v>#DIV/0!</v>
      </c>
      <c r="I3239" s="27">
        <f>((I3238/I3233)^(1/5))-1</f>
        <v>0.54831344336372601</v>
      </c>
      <c r="J3239" s="27"/>
      <c r="K3239" s="27"/>
      <c r="L3239" s="26">
        <f>((L3238/L3233)^(1/5))-1</f>
        <v>-0.20316716349542829</v>
      </c>
      <c r="M3239" s="26"/>
      <c r="N3239" s="26"/>
      <c r="O3239" s="26"/>
      <c r="P3239" s="26">
        <f>((P3238/P3233)^(1/5))-1</f>
        <v>9.9816597135341967E-2</v>
      </c>
      <c r="Q3239" s="18"/>
      <c r="R3239" s="36"/>
      <c r="S3239" s="45"/>
      <c r="U3239" s="18"/>
      <c r="V3239" s="36"/>
      <c r="W3239" s="45"/>
      <c r="Y3239" s="18"/>
      <c r="Z3239" s="36"/>
      <c r="AA3239" s="45"/>
    </row>
    <row r="3240" spans="1:27">
      <c r="A3240" s="29"/>
      <c r="B3240" s="30"/>
      <c r="C3240" s="31" t="s">
        <v>38</v>
      </c>
      <c r="D3240" s="29"/>
      <c r="E3240" s="32" t="e">
        <f>((D3238/D3228)^(1/10))-1</f>
        <v>#DIV/0!</v>
      </c>
      <c r="F3240" s="33" t="e">
        <f>((F3238/F3228)^(1/10))-1</f>
        <v>#DIV/0!</v>
      </c>
      <c r="G3240" s="34"/>
      <c r="H3240" s="33" t="e">
        <f>((H3238/H3228)^(1/10))-1</f>
        <v>#DIV/0!</v>
      </c>
      <c r="I3240" s="33" t="e">
        <f>((I3238/I3228)^(1/10))-1</f>
        <v>#DIV/0!</v>
      </c>
      <c r="J3240" s="33"/>
      <c r="K3240" s="33"/>
      <c r="L3240" s="32" t="e">
        <f>((L3238/L3228)^(1/10))-1</f>
        <v>#DIV/0!</v>
      </c>
      <c r="M3240" s="32"/>
      <c r="N3240" s="32"/>
      <c r="O3240" s="32"/>
      <c r="P3240" s="32" t="e">
        <f>((P3238/P3228)^(1/10))-1</f>
        <v>#DIV/0!</v>
      </c>
      <c r="Q3240" s="40"/>
      <c r="R3240" s="41"/>
      <c r="S3240" s="46"/>
      <c r="U3240" s="40"/>
      <c r="V3240" s="41"/>
      <c r="W3240" s="46"/>
      <c r="Y3240" s="40"/>
      <c r="Z3240" s="41"/>
      <c r="AA3240" s="46"/>
    </row>
    <row r="3241" spans="1:27">
      <c r="B3241" s="24"/>
      <c r="C3241" s="25"/>
      <c r="E3241" s="26"/>
      <c r="F3241" s="27"/>
      <c r="G3241" s="28"/>
      <c r="H3241" s="27"/>
      <c r="I3241" s="27"/>
      <c r="J3241" s="27"/>
      <c r="K3241" s="27"/>
      <c r="L3241" s="26"/>
      <c r="M3241" s="17"/>
      <c r="N3241" s="17"/>
      <c r="O3241" s="17"/>
      <c r="P3241" s="35"/>
      <c r="Q3241" s="18"/>
      <c r="R3241" s="36"/>
    </row>
    <row r="3242" spans="1:27">
      <c r="A3242" s="9" t="s">
        <v>0</v>
      </c>
      <c r="B3242" s="10"/>
      <c r="C3242" s="9" t="s">
        <v>1</v>
      </c>
      <c r="D3242" s="9" t="s">
        <v>2</v>
      </c>
      <c r="E3242" s="9" t="s">
        <v>3</v>
      </c>
      <c r="F3242" s="11" t="s">
        <v>4</v>
      </c>
      <c r="G3242" s="11" t="s">
        <v>5</v>
      </c>
      <c r="H3242" s="9" t="s">
        <v>6</v>
      </c>
      <c r="I3242" s="11" t="s">
        <v>7</v>
      </c>
      <c r="J3242" s="11" t="s">
        <v>8</v>
      </c>
      <c r="K3242" s="11" t="s">
        <v>9</v>
      </c>
      <c r="L3242" s="11" t="s">
        <v>10</v>
      </c>
      <c r="M3242" s="11" t="s">
        <v>11</v>
      </c>
      <c r="N3242" s="11" t="s">
        <v>12</v>
      </c>
      <c r="O3242" s="11" t="s">
        <v>13</v>
      </c>
      <c r="P3242" s="11" t="s">
        <v>14</v>
      </c>
      <c r="Q3242" s="37" t="s">
        <v>15</v>
      </c>
      <c r="R3242" s="42">
        <f>_xll.ciqfunctions.udf.CIQ(A3243,("IQ_LASTSALEPRICE"))</f>
        <v>35.409999999999997</v>
      </c>
      <c r="S3242" s="44"/>
      <c r="U3242" s="37" t="s">
        <v>15</v>
      </c>
      <c r="V3242" s="42">
        <f>_xll.ciqfunctions.udf.CIQ(A3243,("IQ_LASTSALEPRICE"))</f>
        <v>35.409999999999997</v>
      </c>
      <c r="W3242" s="44"/>
      <c r="Y3242" s="37" t="s">
        <v>15</v>
      </c>
      <c r="Z3242" s="42">
        <f>_xll.ciqfunctions.udf.CIQ(A3243,("IQ_LASTSALEPRICE"))</f>
        <v>35.409999999999997</v>
      </c>
      <c r="AA3242" s="44"/>
    </row>
    <row r="3243" spans="1:27">
      <c r="A3243" s="12" t="str">
        <f>Analysis!B218</f>
        <v>NYSE:QTWO</v>
      </c>
      <c r="B3243" s="13">
        <v>1</v>
      </c>
      <c r="C3243" s="14" t="s">
        <v>16</v>
      </c>
      <c r="D3243" s="15">
        <f>IF(A3251=A3252,_xll.ciqfunctions.udf.CIQ(A3243,"IQ_TOTAL_REV",IQ_FY-10)/I3243,_xll.ciqfunctions.udf.CIQ(A3243, "IQ_TOTAL_REV",IQ_FY-9)/I3243)</f>
        <v>1.7800368702249461</v>
      </c>
      <c r="E3243" s="16"/>
      <c r="F3243" s="15">
        <f>IF(A3251=A3252,_xll.ciqfunctions.udf.CIQ(A3243,"IQ_DILUT_EPS_EXCL",IQ_FY-10), _xll.ciqfunctions.udf.CIQ(A3243, "IQ_DILUT_EPS_EXCL",IQ_FY-9))</f>
        <v>-1.48963</v>
      </c>
      <c r="G3243" s="15">
        <f>IF(A3251=A3252,_xll.ciqfunctions.udf.CIQ(A3243,"IQ_EBITDA_MARGIN",IQ_FY-10), _xll.ciqfunctions.udf.CIQ(A3243, "IQ_EBITDA_MARGIN",IQ_FY-9))</f>
        <v>-24.882100000000001</v>
      </c>
      <c r="H3243" s="15">
        <f>IF(A3251=A3252,_xll.ciqfunctions.udf.CIQ(A3243,"IQ_TOTAL_DIV_PAID_CF",IQ_FY-10)/-I3243, _xll.ciqfunctions.udf.CIQ(A3243, "IQ_TOTAL_DIV_PAID_CF",IQ_FY-9)/-I3243)</f>
        <v>0</v>
      </c>
      <c r="I3243" s="17">
        <f>IF(A3251=A3252,_xll.ciqfunctions.udf.CIQ(A3243,"IQ_TOTAL_OUTSTANDING_FILING_DATE",IQ_FY-10), _xll.ciqfunctions.udf.CIQ(A3243, "IQ_TOTAL_OUTSTANDING_FILING_DATE",IQ_FY-9))</f>
        <v>31.9499</v>
      </c>
      <c r="J3243" s="17">
        <f>IF(A3251=A3252,_xll.ciqfunctions.udf.CIQ(A3243,"IQ_CASH_OPER",IQ_FY-10), _xll.ciqfunctions.udf.CIQ(A3243, "IQ_CASH_OPER",IQ_FY-9))</f>
        <v>-1.5069999999999999</v>
      </c>
      <c r="K3243" s="17">
        <f>IF(A3251=A3252,_xll.ciqfunctions.udf.CIQ(A3243,"IQ_CAPEX",IQ_FY-10), _xll.ciqfunctions.udf.CIQ(A3243, "IQ_CAPEX",IQ_FY-9))</f>
        <v>-11.138</v>
      </c>
      <c r="L3243" s="15">
        <f t="shared" ref="L3243:L3253" si="864">(J3243+K3243)/I3243</f>
        <v>-0.39577588662249336</v>
      </c>
      <c r="M3243" s="17">
        <f>IF(A3251=A3252,_xll.ciqfunctions.udf.CIQ(A3243,"IQ_TOTAL_DEBT_ISSUED",IQ_FY-10), _xll.ciqfunctions.udf.CIQ(A3243, "IQ_TOTAL_DEBT_ISSUED",IQ_FY-9))</f>
        <v>6.35</v>
      </c>
      <c r="N3243" s="17">
        <f>IF(A3251=A3252,_xll.ciqfunctions.udf.CIQ(A3243,"IQ_TOTAL_DEBT_REPAID",IQ_FY-10), _xll.ciqfunctions.udf.CIQ(A3243, "IQ_TOTAL_DEBT_REPAID",IQ_FY-9))</f>
        <v>-3.4</v>
      </c>
      <c r="O3243" s="15">
        <f t="shared" ref="O3243:O3253" si="865">(M3243+N3243)/I3243</f>
        <v>9.2332057377331384E-2</v>
      </c>
      <c r="P3243" s="15">
        <f t="shared" ref="P3243:P3253" si="866">L3243+O3243</f>
        <v>-0.303443829245162</v>
      </c>
      <c r="W3243" s="43"/>
      <c r="AA3243" s="43"/>
    </row>
    <row r="3244" spans="1:27">
      <c r="A3244" s="18" t="str">
        <f>_xll.ciqfunctions.udf.CIQ(A3243,"IQ_COMPANY_NAME")</f>
        <v>Q2 Holdings, Inc.</v>
      </c>
      <c r="B3244" s="13">
        <v>2</v>
      </c>
      <c r="C3244" s="14" t="s">
        <v>17</v>
      </c>
      <c r="D3244" s="15">
        <f>IF(A3251=A3252,_xll.ciqfunctions.udf.CIQ(A3243,"IQ_TOTAL_REV",IQ_FY-9)/I3244, _xll.ciqfunctions.udf.CIQ(A3243, "IQ_TOTAL_REV",IQ_FY-8)/I3244)</f>
        <v>2.1716584154679581</v>
      </c>
      <c r="E3244" s="16">
        <f t="shared" ref="E3244:E3253" si="867">(D3244-D3243)/D3243</f>
        <v>0.22000754691868951</v>
      </c>
      <c r="F3244" s="15">
        <f>IF(A3251=A3252,_xll.ciqfunctions.udf.CIQ(A3243,"IQ_DILUT_EPS_EXCL",IQ_FY-9), _xll.ciqfunctions.udf.CIQ(A3243, "IQ_DILUT_EPS_EXCL",IQ_FY-8))</f>
        <v>-0.67108999999999996</v>
      </c>
      <c r="G3244" s="15">
        <f>IF(A3251=A3252,_xll.ciqfunctions.udf.CIQ(A3243,"IQ_EBITDA_MARGIN",IQ_FY-9), _xll.ciqfunctions.udf.CIQ(A3243, "IQ_EBITDA_MARGIN",IQ_FY-8))</f>
        <v>-18.941199999999998</v>
      </c>
      <c r="H3244" s="15">
        <f>IF(A3251=A3252,_xll.ciqfunctions.udf.CIQ(A3243,"IQ_TOTAL_DIV_PAID_CF",IQ_FY-9)/-I3244, _xll.ciqfunctions.udf.CIQ(A3243, "IQ_TOTAL_DIV_PAID_CF",IQ_FY-8)/-I3244)</f>
        <v>0</v>
      </c>
      <c r="I3244" s="17">
        <f>IF(A3251=A3252,_xll.ciqfunctions.udf.CIQ(A3243,"IQ_TOTAL_OUTSTANDING_FILING_DATE",IQ_FY-9), _xll.ciqfunctions.udf.CIQ(A3243, "IQ_TOTAL_OUTSTANDING_FILING_DATE",IQ_FY-8))</f>
        <v>36.437130000000003</v>
      </c>
      <c r="J3244" s="17">
        <f>IF(A3251=A3252,_xll.ciqfunctions.udf.CIQ(A3243,"IQ_CASH_OPER",IQ_FY-9), _xll.ciqfunctions.udf.CIQ(A3243, "IQ_CASH_OPER",IQ_FY-8))</f>
        <v>-5.2859999999999996</v>
      </c>
      <c r="K3244" s="17">
        <f>IF(A3251=A3252,_xll.ciqfunctions.udf.CIQ(A3243,"IQ_CAPEX",IQ_FY-9), _xll.ciqfunctions.udf.CIQ(A3243, "IQ_CAPEX",IQ_FY-8))</f>
        <v>-5.0359999999999996</v>
      </c>
      <c r="L3244" s="15">
        <f t="shared" si="864"/>
        <v>-0.28328246489226783</v>
      </c>
      <c r="M3244" s="17">
        <f>IF(A3251=A3252,_xll.ciqfunctions.udf.CIQ(A3243,"IQ_TOTAL_DEBT_ISSUED",IQ_FY-9), _xll.ciqfunctions.udf.CIQ(A3243, "IQ_TOTAL_DEBT_ISSUED",IQ_FY-8))</f>
        <v>12.5</v>
      </c>
      <c r="N3244" s="17">
        <f>IF(A3251=A3252,_xll.ciqfunctions.udf.CIQ(A3243,"IQ_TOTAL_DEBT_REPAID",IQ_FY-9), _xll.ciqfunctions.udf.CIQ(A3243, "IQ_TOTAL_DEBT_REPAID",IQ_FY-8))</f>
        <v>-19.457999999999998</v>
      </c>
      <c r="O3244" s="15">
        <f t="shared" si="865"/>
        <v>-0.19095905742301872</v>
      </c>
      <c r="P3244" s="15">
        <f t="shared" si="866"/>
        <v>-0.47424152231528655</v>
      </c>
      <c r="Q3244" s="25" t="s">
        <v>18</v>
      </c>
      <c r="R3244" s="39" t="s">
        <v>19</v>
      </c>
      <c r="S3244" s="1">
        <f>R3242/((AVERAGE(P3248:P3253))*(1+E3254)^3)</f>
        <v>13.377406008263732</v>
      </c>
      <c r="U3244" s="25" t="s">
        <v>48</v>
      </c>
      <c r="V3244" s="39" t="s">
        <v>19</v>
      </c>
      <c r="W3244" s="1">
        <f>V3242/((AVERAGE(P3248:P3253))*(1+E3254)^3)</f>
        <v>13.377406008263732</v>
      </c>
      <c r="Y3244" s="25" t="s">
        <v>39</v>
      </c>
      <c r="Z3244" s="39" t="s">
        <v>19</v>
      </c>
      <c r="AA3244" s="1">
        <f>Z3242/((AVERAGE(P3248:P3253))*(1+E3254)^3)</f>
        <v>13.377406008263732</v>
      </c>
    </row>
    <row r="3245" spans="1:27">
      <c r="B3245" s="13">
        <v>3</v>
      </c>
      <c r="C3245" s="14" t="s">
        <v>20</v>
      </c>
      <c r="D3245" s="15" cm="1">
        <f t="array" ref="D3245">_xlfn.SINGLE(IF(A3251=A3252,_xll.ciqfunctions.udf.CIQ(A3243,"IQ_TOTAL_REV",IQ_FY-8)/I3245, _xll.ciqfunctions.udf.CIQ(A3243, "IQ_TOTAL_REV",IQ_FY-7)/I3245))</f>
        <v>2.794333970484018</v>
      </c>
      <c r="E3245" s="16">
        <f t="shared" si="867"/>
        <v>0.2867281293323854</v>
      </c>
      <c r="F3245" s="15">
        <f>IF(A3251=A3252,_xll.ciqfunctions.udf.CIQ(A3243,"IQ_DILUT_EPS_EXCL",IQ_FY-8), _xll.ciqfunctions.udf.CIQ(A3243, "IQ_DILUT_EPS_EXCL",IQ_FY-7))</f>
        <v>-0.64448000000000005</v>
      </c>
      <c r="G3245" s="15">
        <f>IF(A3251=A3252,_xll.ciqfunctions.udf.CIQ(A3243,"IQ_EBITDA_MARGIN",IQ_FY-8), _xll.ciqfunctions.udf.CIQ(A3243, "IQ_EBITDA_MARGIN",IQ_FY-7))</f>
        <v>-14.8805</v>
      </c>
      <c r="H3245" s="15">
        <f>IF(A3251=A3252,_xll.ciqfunctions.udf.CIQ(A3243,"IQ_TOTAL_DIV_PAID_CF",IQ_FY-8)/-I3245, _xll.ciqfunctions.udf.CIQ(A3243, "IQ_TOTAL_DIV_PAID_CF",IQ_FY-7)/-I3245)</f>
        <v>0</v>
      </c>
      <c r="I3245" s="17">
        <f>IF(A3251=A3252,_xll.ciqfunctions.udf.CIQ(A3243,"IQ_TOTAL_OUTSTANDING_FILING_DATE",IQ_FY-8), _xll.ciqfunctions.udf.CIQ(A3243, "IQ_TOTAL_OUTSTANDING_FILING_DATE",IQ_FY-7))</f>
        <v>38.959910000000001</v>
      </c>
      <c r="J3245" s="17">
        <f>IF(A3251=A3252,_xll.ciqfunctions.udf.CIQ(A3243,"IQ_CASH_OPER",IQ_FY-8), _xll.ciqfunctions.udf.CIQ(A3243, "IQ_CASH_OPER",IQ_FY-7))</f>
        <v>5.399</v>
      </c>
      <c r="K3245" s="17">
        <f>IF(A3251=A3252,_xll.ciqfunctions.udf.CIQ(A3243,"IQ_CAPEX",IQ_FY-8), _xll.ciqfunctions.udf.CIQ(A3243, "IQ_CAPEX",IQ_FY-7))</f>
        <v>-7.1280000000000001</v>
      </c>
      <c r="L3245" s="15">
        <f t="shared" si="864"/>
        <v>-4.4378952620783778E-2</v>
      </c>
      <c r="M3245" s="17">
        <f>IF(A3251=A3252,_xll.ciqfunctions.udf.CIQ(A3243,"IQ_TOTAL_DEBT_ISSUED",IQ_FY-8), _xll.ciqfunctions.udf.CIQ(A3243, "IQ_TOTAL_DEBT_ISSUED",IQ_FY-7))</f>
        <v>0</v>
      </c>
      <c r="N3245" s="17">
        <f>IF(A3251=A3252,_xll.ciqfunctions.udf.CIQ(A3243,"IQ_TOTAL_DEBT_REPAID",IQ_FY-8), _xll.ciqfunctions.udf.CIQ(A3243, "IQ_TOTAL_DEBT_REPAID",IQ_FY-7))</f>
        <v>-4.6589999999999998</v>
      </c>
      <c r="O3245" s="15">
        <f t="shared" si="865"/>
        <v>-0.11958446515918542</v>
      </c>
      <c r="P3245" s="15">
        <f t="shared" si="866"/>
        <v>-0.1639634177799692</v>
      </c>
      <c r="Q3245" s="25" t="s">
        <v>21</v>
      </c>
      <c r="R3245" s="38" t="s">
        <v>49</v>
      </c>
      <c r="S3245" s="2">
        <f>(R3242*I3253)/1000</f>
        <v>2.0762657040999999</v>
      </c>
      <c r="U3245" s="25" t="s">
        <v>59</v>
      </c>
      <c r="V3245" s="38" t="s">
        <v>49</v>
      </c>
      <c r="W3245" s="2">
        <f>(V3242*I3253)/1000</f>
        <v>2.0762657040999999</v>
      </c>
      <c r="Y3245" s="25" t="s">
        <v>46</v>
      </c>
      <c r="Z3245" s="38" t="s">
        <v>49</v>
      </c>
      <c r="AA3245" s="2">
        <f>(Z3242*I3253)/1000</f>
        <v>2.0762657040999999</v>
      </c>
    </row>
    <row r="3246" spans="1:27">
      <c r="A3246" s="18"/>
      <c r="B3246" s="13">
        <v>4</v>
      </c>
      <c r="C3246" s="14" t="s">
        <v>22</v>
      </c>
      <c r="D3246" s="15" cm="1">
        <f t="array" ref="D3246">_xlfn.SINGLE(IF(A3251=A3252,_xll.ciqfunctions.udf.CIQ(A3243,"IQ_TOTAL_REV",IQ_FY-7)/I3246, _xll.ciqfunctions.udf.CIQ(A3243, "IQ_TOTAL_REV",IQ_FY-6)/I3246))</f>
        <v>3.7123676228481219</v>
      </c>
      <c r="E3246" s="16">
        <f t="shared" si="867"/>
        <v>0.32853397699097781</v>
      </c>
      <c r="F3246" s="15">
        <f>IF(A3251=A3252,_xll.ciqfunctions.udf.CIQ(A3243,"IQ_DILUT_EPS_EXCL",IQ_FY-7), _xll.ciqfunctions.udf.CIQ(A3243, "IQ_DILUT_EPS_EXCL",IQ_FY-6))</f>
        <v>-0.91690000000000005</v>
      </c>
      <c r="G3246" s="15">
        <f>IF(A3251=A3252,_xll.ciqfunctions.udf.CIQ(A3243,"IQ_EBITDA_MARGIN",IQ_FY-7), _xll.ciqfunctions.udf.CIQ(A3243, "IQ_EBITDA_MARGIN",IQ_FY-6))</f>
        <v>-13.5877</v>
      </c>
      <c r="H3246" s="15">
        <f>IF(A3251=A3252,_xll.ciqfunctions.udf.CIQ(A3243,"IQ_TOTAL_DIV_PAID_CF",IQ_FY-7)/-I3246, _xll.ciqfunctions.udf.CIQ(A3243, "IQ_TOTAL_DIV_PAID_CF",IQ_FY-6)/-I3246)</f>
        <v>0</v>
      </c>
      <c r="I3246" s="17">
        <f>IF(A3251=A3252,_xll.ciqfunctions.udf.CIQ(A3243,"IQ_TOTAL_OUTSTANDING_FILING_DATE",IQ_FY-7), _xll.ciqfunctions.udf.CIQ(A3243, "IQ_TOTAL_OUTSTANDING_FILING_DATE",IQ_FY-6))</f>
        <v>40.465820000000001</v>
      </c>
      <c r="J3246" s="17">
        <f>IF(A3251=A3252,_xll.ciqfunctions.udf.CIQ(A3243,"IQ_CASH_OPER",IQ_FY-7), _xll.ciqfunctions.udf.CIQ(A3243, "IQ_CASH_OPER",IQ_FY-6))</f>
        <v>3.3940000000000001</v>
      </c>
      <c r="K3246" s="17">
        <f>IF(A3251=A3252,_xll.ciqfunctions.udf.CIQ(A3243,"IQ_CAPEX",IQ_FY-7), _xll.ciqfunctions.udf.CIQ(A3243, "IQ_CAPEX",IQ_FY-6))</f>
        <v>-14.349</v>
      </c>
      <c r="L3246" s="15">
        <f t="shared" si="864"/>
        <v>-0.27072230341557391</v>
      </c>
      <c r="M3246" s="17">
        <f>IF(A3251=A3252,_xll.ciqfunctions.udf.CIQ(A3243,"IQ_TOTAL_DEBT_ISSUED",IQ_FY-7), _xll.ciqfunctions.udf.CIQ(A3243, "IQ_TOTAL_DEBT_ISSUED",IQ_FY-6))</f>
        <v>0</v>
      </c>
      <c r="N3246" s="17">
        <f>IF(A3251=A3252,_xll.ciqfunctions.udf.CIQ(A3243,"IQ_TOTAL_DEBT_REPAID",IQ_FY-7), _xll.ciqfunctions.udf.CIQ(A3243, "IQ_TOTAL_DEBT_REPAID",IQ_FY-6))</f>
        <v>-5.0510000000000002</v>
      </c>
      <c r="O3246" s="15">
        <f t="shared" si="865"/>
        <v>-0.12482139247394468</v>
      </c>
      <c r="P3246" s="15">
        <f t="shared" si="866"/>
        <v>-0.3955436958895186</v>
      </c>
      <c r="Q3246" s="25" t="s">
        <v>23</v>
      </c>
      <c r="R3246" s="38" t="s">
        <v>24</v>
      </c>
      <c r="S3246" s="1" t="e">
        <f>R3242/(AVERAGE(H3248:H3253)*(1+H3254)/(0.5-H3254))</f>
        <v>#DIV/0!</v>
      </c>
      <c r="U3246" s="25" t="s">
        <v>40</v>
      </c>
      <c r="V3246" s="38" t="s">
        <v>24</v>
      </c>
      <c r="W3246" s="1" t="e">
        <f>V3242/(AVERAGE(H3248:H3253)*(1+H3254)/(0.5-H3254))</f>
        <v>#DIV/0!</v>
      </c>
      <c r="Y3246" s="25" t="s">
        <v>47</v>
      </c>
      <c r="Z3246" s="38" t="s">
        <v>24</v>
      </c>
      <c r="AA3246" s="1" t="e">
        <f>Z3242/(AVERAGE(H3248:H3253)*(1+H3254)/(0.5-H3254))</f>
        <v>#DIV/0!</v>
      </c>
    </row>
    <row r="3247" spans="1:27">
      <c r="B3247" s="13">
        <v>5</v>
      </c>
      <c r="C3247" s="14" t="s">
        <v>25</v>
      </c>
      <c r="D3247" s="15" cm="1">
        <f t="array" ref="D3247">_xlfn.SINGLE(IF(A3251=A3252,_xll.ciqfunctions.udf.CIQ(A3243,"IQ_TOTAL_REV",IQ_FY-6)/I3247, _xll.ciqfunctions.udf.CIQ(A3243, "IQ_TOTAL_REV",IQ_FY-5)/I3247))</f>
        <v>4.6154160960191568</v>
      </c>
      <c r="E3247" s="16">
        <f t="shared" si="867"/>
        <v>0.24325405372386522</v>
      </c>
      <c r="F3247" s="15">
        <f>IF(A3251=A3252,_xll.ciqfunctions.udf.CIQ(A3243,"IQ_DILUT_EPS_EXCL",IQ_FY-6), _xll.ciqfunctions.udf.CIQ(A3243, "IQ_DILUT_EPS_EXCL",IQ_FY-5))</f>
        <v>-0.63476999999999995</v>
      </c>
      <c r="G3247" s="15">
        <f>IF(A3251=A3252,_xll.ciqfunctions.udf.CIQ(A3243,"IQ_EBITDA_MARGIN",IQ_FY-6), _xll.ciqfunctions.udf.CIQ(A3243, "IQ_EBITDA_MARGIN",IQ_FY-5))</f>
        <v>-7.6445999999999996</v>
      </c>
      <c r="H3247" s="15">
        <f>IF(A3251=A3252,_xll.ciqfunctions.udf.CIQ(A3243,"IQ_TOTAL_DIV_PAID_CF",IQ_FY-6)/-I3247, _xll.ciqfunctions.udf.CIQ(A3243, "IQ_TOTAL_DIV_PAID_CF",IQ_FY-5)/-I3247)</f>
        <v>0</v>
      </c>
      <c r="I3247" s="17">
        <f>IF(A3251=A3252,_xll.ciqfunctions.udf.CIQ(A3243,"IQ_TOTAL_OUTSTANDING_FILING_DATE",IQ_FY-6), _xll.ciqfunctions.udf.CIQ(A3243, "IQ_TOTAL_OUTSTANDING_FILING_DATE",IQ_FY-5))</f>
        <v>42.028280000000002</v>
      </c>
      <c r="J3247" s="17">
        <f>IF(A3251=A3252,_xll.ciqfunctions.udf.CIQ(A3243,"IQ_CASH_OPER",IQ_FY-6), _xll.ciqfunctions.udf.CIQ(A3243, "IQ_CASH_OPER",IQ_FY-5))</f>
        <v>9.4719999999999995</v>
      </c>
      <c r="K3247" s="17">
        <f>IF(A3251=A3252,_xll.ciqfunctions.udf.CIQ(A3243,"IQ_CAPEX",IQ_FY-6), _xll.ciqfunctions.udf.CIQ(A3243, "IQ_CAPEX",IQ_FY-5))</f>
        <v>-16.131</v>
      </c>
      <c r="L3247" s="15">
        <f t="shared" si="864"/>
        <v>-0.15844093548439289</v>
      </c>
      <c r="M3247" s="17">
        <f>IF(A3251=A3252,_xll.ciqfunctions.udf.CIQ(A3243,"IQ_TOTAL_DEBT_ISSUED",IQ_FY-6), _xll.ciqfunctions.udf.CIQ(A3243, "IQ_TOTAL_DEBT_ISSUED",IQ_FY-5))</f>
        <v>0</v>
      </c>
      <c r="N3247" s="17">
        <f>IF(A3251=A3252,_xll.ciqfunctions.udf.CIQ(A3243,"IQ_TOTAL_DEBT_REPAID",IQ_FY-6), _xll.ciqfunctions.udf.CIQ(A3243, "IQ_TOTAL_DEBT_REPAID",IQ_FY-5))</f>
        <v>0</v>
      </c>
      <c r="O3247" s="15">
        <f t="shared" si="865"/>
        <v>0</v>
      </c>
      <c r="P3247" s="15">
        <f t="shared" si="866"/>
        <v>-0.15844093548439289</v>
      </c>
      <c r="Q3247" s="18"/>
      <c r="R3247" s="38" t="s">
        <v>50</v>
      </c>
      <c r="S3247" s="3">
        <f>I3254</f>
        <v>6.1136236268735766E-2</v>
      </c>
      <c r="U3247" s="18"/>
      <c r="V3247" s="38" t="s">
        <v>50</v>
      </c>
      <c r="W3247" s="3">
        <f>I3254</f>
        <v>6.1136236268735766E-2</v>
      </c>
      <c r="Y3247" s="18"/>
      <c r="Z3247" s="38" t="s">
        <v>50</v>
      </c>
      <c r="AA3247" s="3">
        <f>I3254</f>
        <v>6.1136236268735766E-2</v>
      </c>
    </row>
    <row r="3248" spans="1:27">
      <c r="B3248" s="13">
        <v>6</v>
      </c>
      <c r="C3248" s="14" t="s">
        <v>26</v>
      </c>
      <c r="D3248" s="15" cm="1">
        <f t="array" ref="D3248">_xlfn.SINGLE(IF(A3251=A3252,_xll.ciqfunctions.udf.CIQ(A3243,"IQ_TOTAL_REV",IQ_FY-5)/I3248, _xll.ciqfunctions.udf.CIQ(A3243, "IQ_TOTAL_REV",IQ_FY-4)/I3248))</f>
        <v>5.5321753013498185</v>
      </c>
      <c r="E3248" s="16">
        <f t="shared" si="867"/>
        <v>0.19862980633996918</v>
      </c>
      <c r="F3248" s="15">
        <f>IF(A3251=A3252,_xll.ciqfunctions.udf.CIQ(A3243,"IQ_DILUT_EPS_EXCL",IQ_FY-5), _xll.ciqfunctions.udf.CIQ(A3243, "IQ_DILUT_EPS_EXCL",IQ_FY-4))</f>
        <v>-0.82708999999999999</v>
      </c>
      <c r="G3248" s="15">
        <f>IF(A3251=A3252,_xll.ciqfunctions.udf.CIQ(A3243,"IQ_EBITDA_MARGIN",IQ_FY-5), _xll.ciqfunctions.udf.CIQ(A3243, "IQ_EBITDA_MARGIN",IQ_FY-4))</f>
        <v>-6.7203999999999997</v>
      </c>
      <c r="H3248" s="15">
        <f>IF(A3251=A3252,_xll.ciqfunctions.udf.CIQ(A3243,"IQ_TOTAL_DIV_PAID_CF",IQ_FY-5)/-I3248, _xll.ciqfunctions.udf.CIQ(A3243, "IQ_TOTAL_DIV_PAID_CF",IQ_FY-4)/-I3248)</f>
        <v>0</v>
      </c>
      <c r="I3248" s="17">
        <f>IF(A3251=A3252,_xll.ciqfunctions.udf.CIQ(A3243,"IQ_TOTAL_OUTSTANDING_FILING_DATE",IQ_FY-5), _xll.ciqfunctions.udf.CIQ(A3243, "IQ_TOTAL_OUTSTANDING_FILING_DATE",IQ_FY-4))</f>
        <v>43.581409999999998</v>
      </c>
      <c r="J3248" s="17">
        <f>IF(A3251=A3252,_xll.ciqfunctions.udf.CIQ(A3243,"IQ_CASH_OPER",IQ_FY-5), _xll.ciqfunctions.udf.CIQ(A3243, "IQ_CASH_OPER",IQ_FY-4))</f>
        <v>4.5949999999999998</v>
      </c>
      <c r="K3248" s="17">
        <f>IF(A3251=A3252,_xll.ciqfunctions.udf.CIQ(A3243,"IQ_CAPEX",IQ_FY-5), _xll.ciqfunctions.udf.CIQ(A3243, "IQ_CAPEX",IQ_FY-4))</f>
        <v>-13.285</v>
      </c>
      <c r="L3248" s="15">
        <f t="shared" si="864"/>
        <v>-0.19939694470647007</v>
      </c>
      <c r="M3248" s="17">
        <f>IF(A3251=A3252,_xll.ciqfunctions.udf.CIQ(A3243,"IQ_TOTAL_DEBT_ISSUED",IQ_FY-5), _xll.ciqfunctions.udf.CIQ(A3243, "IQ_TOTAL_DEBT_ISSUED",IQ_FY-4))</f>
        <v>223.167</v>
      </c>
      <c r="N3248" s="17">
        <f>IF(A3251=A3252,_xll.ciqfunctions.udf.CIQ(A3243,"IQ_TOTAL_DEBT_REPAID",IQ_FY-5), _xll.ciqfunctions.udf.CIQ(A3243, "IQ_TOTAL_DEBT_REPAID",IQ_FY-4))</f>
        <v>0</v>
      </c>
      <c r="O3248" s="15">
        <f t="shared" si="865"/>
        <v>5.1206925154555583</v>
      </c>
      <c r="P3248" s="15">
        <f t="shared" si="866"/>
        <v>4.9212955707490877</v>
      </c>
      <c r="Q3248" s="25" t="s">
        <v>27</v>
      </c>
      <c r="R3248" s="38" t="s">
        <v>51</v>
      </c>
      <c r="S3248" s="4">
        <f>AVERAGE(F3248:F3253)/AVERAGE(D3248:D3253)</f>
        <v>-0.21313772551585791</v>
      </c>
      <c r="U3248" s="25" t="s">
        <v>58</v>
      </c>
      <c r="V3248" s="38" t="s">
        <v>51</v>
      </c>
      <c r="W3248" s="4">
        <f>AVERAGE(F3248:F3253)/AVERAGE(D3248:D3253)</f>
        <v>-0.21313772551585791</v>
      </c>
      <c r="Y3248" s="25" t="s">
        <v>56</v>
      </c>
      <c r="Z3248" s="38" t="s">
        <v>51</v>
      </c>
      <c r="AA3248" s="4">
        <f>AVERAGE(F3248:F3253)/AVERAGE(D3248:D3253)</f>
        <v>-0.21313772551585791</v>
      </c>
    </row>
    <row r="3249" spans="1:27">
      <c r="A3249" s="18"/>
      <c r="B3249" s="13">
        <v>7</v>
      </c>
      <c r="C3249" s="14" t="s">
        <v>28</v>
      </c>
      <c r="D3249" s="15" cm="1">
        <f t="array" ref="D3249">_xlfn.SINGLE(IF(A3251=A3252,_xll.ciqfunctions.udf.CIQ(A3243,"IQ_TOTAL_REV",IQ_FY-4)/I3249, _xll.ciqfunctions.udf.CIQ(A3243, "IQ_TOTAL_REV",IQ_FY-3)/I3249))</f>
        <v>6.5158398703292422</v>
      </c>
      <c r="E3249" s="16">
        <f t="shared" si="867"/>
        <v>0.17780791739181065</v>
      </c>
      <c r="F3249" s="15">
        <f>IF(A3251=A3252,_xll.ciqfunctions.udf.CIQ(A3243,"IQ_DILUT_EPS_EXCL",IQ_FY-4), _xll.ciqfunctions.udf.CIQ(A3243, "IQ_DILUT_EPS_EXCL",IQ_FY-3))</f>
        <v>-1.5342</v>
      </c>
      <c r="G3249" s="15">
        <f>IF(A3251=A3252,_xll.ciqfunctions.udf.CIQ(A3243,"IQ_EBITDA_MARGIN",IQ_FY-4), _xll.ciqfunctions.udf.CIQ(A3243, "IQ_EBITDA_MARGIN",IQ_FY-3))</f>
        <v>-10.356400000000001</v>
      </c>
      <c r="H3249" s="15">
        <f>IF(A3251=A3252,_xll.ciqfunctions.udf.CIQ(A3243,"IQ_TOTAL_DIV_PAID_CF",IQ_FY-4)/-I3249, _xll.ciqfunctions.udf.CIQ(A3243, "IQ_TOTAL_DIV_PAID_CF",IQ_FY-3)/-I3249)</f>
        <v>0</v>
      </c>
      <c r="I3249" s="17">
        <f>IF(A3251=A3252,_xll.ciqfunctions.udf.CIQ(A3243,"IQ_TOTAL_OUTSTANDING_FILING_DATE",IQ_FY-4), _xll.ciqfunctions.udf.CIQ(A3243, "IQ_TOTAL_OUTSTANDING_FILING_DATE",IQ_FY-3))</f>
        <v>48.418010000000002</v>
      </c>
      <c r="J3249" s="17">
        <f>IF(A3251=A3252,_xll.ciqfunctions.udf.CIQ(A3243,"IQ_CASH_OPER",IQ_FY-4), _xll.ciqfunctions.udf.CIQ(A3243, "IQ_CASH_OPER",IQ_FY-3))</f>
        <v>0.56699999999999995</v>
      </c>
      <c r="K3249" s="17">
        <f>IF(A3251=A3252,_xll.ciqfunctions.udf.CIQ(A3243,"IQ_CAPEX",IQ_FY-4), _xll.ciqfunctions.udf.CIQ(A3243, "IQ_CAPEX",IQ_FY-3))</f>
        <v>-13.86</v>
      </c>
      <c r="L3249" s="15">
        <f t="shared" si="864"/>
        <v>-0.27454659949882282</v>
      </c>
      <c r="M3249" s="17">
        <f>IF(A3251=A3252,_xll.ciqfunctions.udf.CIQ(A3243,"IQ_TOTAL_DEBT_ISSUED",IQ_FY-4), _xll.ciqfunctions.udf.CIQ(A3243, "IQ_TOTAL_DEBT_ISSUED",IQ_FY-3))</f>
        <v>307.01600000000002</v>
      </c>
      <c r="N3249" s="17">
        <f>IF(A3251=A3252,_xll.ciqfunctions.udf.CIQ(A3243,"IQ_TOTAL_DEBT_REPAID",IQ_FY-4), _xll.ciqfunctions.udf.CIQ(A3243, "IQ_TOTAL_DEBT_REPAID",IQ_FY-3))</f>
        <v>0</v>
      </c>
      <c r="O3249" s="15">
        <f t="shared" si="865"/>
        <v>6.3409462718521477</v>
      </c>
      <c r="P3249" s="15">
        <f t="shared" si="866"/>
        <v>6.0663996723533247</v>
      </c>
      <c r="Q3249" s="18"/>
      <c r="R3249" s="38" t="s">
        <v>29</v>
      </c>
      <c r="S3249" s="4">
        <f>(AVERAGE(P3248:P3253)/_xlfn.STDEV.P(P3248:P3253))/(IF(A3251=A3252,(_xlfn.SINGLE(_xll.ciqfunctions.udf.CIQ(A3243,"IQ_total_assets",IQ_FY)) - _xlfn.SINGLE(_xll.ciqfunctions.udf.CIQ(A3243,"iq_gw_intan", IQ_FY)))/I3253, (_xlfn.SINGLE(_xll.ciqfunctions.udf.CIQ(A3243, "IQ_total_assets",IQ_LTM))-_xlfn.SINGLE(_xll.ciqfunctions.udf.CIQ(A3243,"iq_gw_intan",IQ_LTM)))/I3253))</f>
        <v>6.9675691747503293E-2</v>
      </c>
      <c r="U3249" s="18"/>
      <c r="V3249" s="38" t="s">
        <v>29</v>
      </c>
      <c r="W3249" s="4">
        <f>(AVERAGE(P3248:P3253)/_xlfn.STDEV.P(P3248:P3253))/(IF(A3251=A3252,(_xlfn.SINGLE(_xll.ciqfunctions.udf.CIQ(A3243,"IQ_total_assets",IQ_FY)) - _xlfn.SINGLE(_xll.ciqfunctions.udf.CIQ(A3243,"iq_gw_intan", IQ_FY)))/I3253, (_xlfn.SINGLE(_xll.ciqfunctions.udf.CIQ(A3243, "IQ_total_assets",IQ_LTM))-_xlfn.SINGLE(_xll.ciqfunctions.udf.CIQ(A3243,"iq_gw_intan",IQ_LTM)))/I3253))</f>
        <v>6.9675691747503293E-2</v>
      </c>
      <c r="Y3249" s="18"/>
      <c r="Z3249" s="38" t="s">
        <v>29</v>
      </c>
      <c r="AA3249" s="4">
        <f>(AVERAGE(P3248:P3253)/_xlfn.STDEV.P(P3248:P3253))/(IF(A3251=A3252,(_xlfn.SINGLE(_xll.ciqfunctions.udf.CIQ(A3243,"IQ_total_assets",IQ_FY)) - _xlfn.SINGLE(_xll.ciqfunctions.udf.CIQ(A3243,"iq_gw_intan", IQ_FY)))/I3253, (_xlfn.SINGLE(_xll.ciqfunctions.udf.CIQ(A3243, "IQ_total_assets",IQ_LTM))-_xlfn.SINGLE(_xll.ciqfunctions.udf.CIQ(A3243,"iq_gw_intan",IQ_LTM)))/I3253))</f>
        <v>6.9675691747503293E-2</v>
      </c>
    </row>
    <row r="3250" spans="1:27">
      <c r="A3250" s="18"/>
      <c r="B3250" s="13">
        <v>8</v>
      </c>
      <c r="C3250" s="14" t="s">
        <v>30</v>
      </c>
      <c r="D3250" s="15" cm="1">
        <f t="array" ref="D3250">_xlfn.SINGLE(IF(A3251=A3252,_xll.ciqfunctions.udf.CIQ(A3243,"IQ_TOTAL_REV",IQ_FY-3)/I3250, _xll.ciqfunctions.udf.CIQ(A3243, "IQ_TOTAL_REV",IQ_FY-2)/I3250))</f>
        <v>7.2437868607115412</v>
      </c>
      <c r="E3250" s="16">
        <f t="shared" si="867"/>
        <v>0.11171959484411274</v>
      </c>
      <c r="F3250" s="15">
        <f>IF(A3251=A3252,_xll.ciqfunctions.udf.CIQ(A3243,"IQ_DILUT_EPS_EXCL",IQ_FY-3), _xll.ciqfunctions.udf.CIQ(A3243, "IQ_DILUT_EPS_EXCL",IQ_FY-2))</f>
        <v>-2.6455700000000002</v>
      </c>
      <c r="G3250" s="15">
        <f>IF(A3251=A3252,_xll.ciqfunctions.udf.CIQ(A3243,"IQ_EBITDA_MARGIN",IQ_FY-3), _xll.ciqfunctions.udf.CIQ(A3243, "IQ_EBITDA_MARGIN",IQ_FY-2))</f>
        <v>-13.775700000000001</v>
      </c>
      <c r="H3250" s="15">
        <f>IF(A3251=A3252,_xll.ciqfunctions.udf.CIQ(A3243,"IQ_TOTAL_DIV_PAID_CF",IQ_FY-3)/-I3250, _xll.ciqfunctions.udf.CIQ(A3243, "IQ_TOTAL_DIV_PAID_CF",IQ_FY-2)/-I3250)</f>
        <v>0</v>
      </c>
      <c r="I3250" s="17">
        <f>IF(A3251=A3252,_xll.ciqfunctions.udf.CIQ(A3243,"IQ_TOTAL_OUTSTANDING_FILING_DATE",IQ_FY-3), _xll.ciqfunctions.udf.CIQ(A3243, "IQ_TOTAL_OUTSTANDING_FILING_DATE",IQ_FY-2))</f>
        <v>55.599510000000002</v>
      </c>
      <c r="J3250" s="17">
        <f>IF(A3251=A3252,_xll.ciqfunctions.udf.CIQ(A3243,"IQ_CASH_OPER",IQ_FY-3), _xll.ciqfunctions.udf.CIQ(A3243, "IQ_CASH_OPER",IQ_FY-2))</f>
        <v>-2.9380000000000002</v>
      </c>
      <c r="K3250" s="17">
        <f>IF(A3251=A3252,_xll.ciqfunctions.udf.CIQ(A3243,"IQ_CAPEX",IQ_FY-3), _xll.ciqfunctions.udf.CIQ(A3243, "IQ_CAPEX",IQ_FY-2))</f>
        <v>-23.715</v>
      </c>
      <c r="L3250" s="15">
        <f t="shared" si="864"/>
        <v>-0.47937472830246164</v>
      </c>
      <c r="M3250" s="17">
        <f>IF(A3251=A3252,_xll.ciqfunctions.udf.CIQ(A3243,"IQ_TOTAL_DEBT_ISSUED",IQ_FY-3), _xll.ciqfunctions.udf.CIQ(A3243, "IQ_TOTAL_DEBT_ISSUED",IQ_FY-2))</f>
        <v>132.589</v>
      </c>
      <c r="N3250" s="17">
        <f>IF(A3251=A3252,_xll.ciqfunctions.udf.CIQ(A3243,"IQ_TOTAL_DEBT_REPAID",IQ_FY-3), _xll.ciqfunctions.udf.CIQ(A3243, "IQ_TOTAL_DEBT_REPAID",IQ_FY-2))</f>
        <v>0</v>
      </c>
      <c r="O3250" s="15">
        <f t="shared" si="865"/>
        <v>2.3847152609798177</v>
      </c>
      <c r="P3250" s="15">
        <f t="shared" si="866"/>
        <v>1.905340532677356</v>
      </c>
      <c r="Q3250" s="18"/>
      <c r="R3250" s="39" t="s">
        <v>31</v>
      </c>
      <c r="S3250" s="5">
        <f>IF(NOT(D3243&gt;0),FALSE,SLOPE(G3243:G3253,B3243:B3253))</f>
        <v>1.1041154545454546</v>
      </c>
      <c r="U3250" s="18"/>
      <c r="V3250" s="39" t="s">
        <v>31</v>
      </c>
      <c r="W3250" s="5">
        <f>IF(NOT(D3243&gt;0),FALSE,SLOPE(G3243:G3253,B3243:B3253))</f>
        <v>1.1041154545454546</v>
      </c>
      <c r="Y3250" s="18"/>
      <c r="Z3250" s="39" t="s">
        <v>31</v>
      </c>
      <c r="AA3250" s="5" t="b">
        <f>IF(NOT(L3243&gt;0),FALSE,SLOPE(O3243:O3253,J3243:J3253))</f>
        <v>0</v>
      </c>
    </row>
    <row r="3251" spans="1:27">
      <c r="A3251" s="19">
        <f>_xll.ciqfunctions.udf.CIQ(A3243,"IQ_TOTAL_REV",IQ_FY)</f>
        <v>565.673</v>
      </c>
      <c r="B3251" s="13">
        <v>9</v>
      </c>
      <c r="C3251" s="14" t="s">
        <v>32</v>
      </c>
      <c r="D3251" s="15" cm="1">
        <f t="array" ref="D3251">_xlfn.SINGLE(IF(A3251=A3252,_xll.ciqfunctions.udf.CIQ(A3243,"IQ_TOTAL_REV",IQ_FY-2)/I3251, _xll.ciqfunctions.udf.CIQ(A3243, "IQ_TOTAL_REV",IQ_FY-1)/I3251))</f>
        <v>8.7604734576379499</v>
      </c>
      <c r="E3251" s="16">
        <f t="shared" si="867"/>
        <v>0.20937758469296375</v>
      </c>
      <c r="F3251" s="15">
        <f>IF(A3251=A3252,_xll.ciqfunctions.udf.CIQ(A3243,"IQ_DILUT_EPS_EXCL",IQ_FY-2), _xll.ciqfunctions.udf.CIQ(A3243, "IQ_DILUT_EPS_EXCL",IQ_FY-1))</f>
        <v>-1.99926</v>
      </c>
      <c r="G3251" s="15">
        <f>IF(A3251=A3252,_xll.ciqfunctions.udf.CIQ(A3243,"IQ_EBITDA_MARGIN",IQ_FY-2), _xll.ciqfunctions.udf.CIQ(A3243, "IQ_EBITDA_MARGIN",IQ_FY-1))</f>
        <v>-8.6885999999999992</v>
      </c>
      <c r="H3251" s="15">
        <f>IF(A3251=A3252,_xll.ciqfunctions.udf.CIQ(A3243,"IQ_TOTAL_DIV_PAID_CF",IQ_FY-2)/-I3251, _xll.ciqfunctions.udf.CIQ(A3243, "IQ_TOTAL_DIV_PAID_CF",IQ_FY-1)/-I3251)</f>
        <v>0</v>
      </c>
      <c r="I3251" s="17">
        <f>IF(A3251=A3252,_xll.ciqfunctions.udf.CIQ(A3243,"IQ_TOTAL_OUTSTANDING_FILING_DATE",IQ_FY-2), _xll.ciqfunctions.udf.CIQ(A3243, "IQ_TOTAL_OUTSTANDING_FILING_DATE",IQ_FY-1))</f>
        <v>56.928429999999999</v>
      </c>
      <c r="J3251" s="17">
        <f>IF(A3251=A3252,_xll.ciqfunctions.udf.CIQ(A3243,"IQ_CASH_OPER",IQ_FY-2), _xll.ciqfunctions.udf.CIQ(A3243, "IQ_CASH_OPER",IQ_FY-1))</f>
        <v>31.091999999999999</v>
      </c>
      <c r="K3251" s="17">
        <f>IF(A3251=A3252,_xll.ciqfunctions.udf.CIQ(A3243,"IQ_CAPEX",IQ_FY-2), _xll.ciqfunctions.udf.CIQ(A3243, "IQ_CAPEX",IQ_FY-1))</f>
        <v>-19.754000000000001</v>
      </c>
      <c r="L3251" s="15">
        <f t="shared" si="864"/>
        <v>0.19916235174586752</v>
      </c>
      <c r="M3251" s="17">
        <f>IF(A3251=A3252,_xll.ciqfunctions.udf.CIQ(A3243,"IQ_TOTAL_DEBT_ISSUED",IQ_FY-2), _xll.ciqfunctions.udf.CIQ(A3243, "IQ_TOTAL_DEBT_ISSUED",IQ_FY-1))</f>
        <v>0</v>
      </c>
      <c r="N3251" s="17">
        <f>IF(A3251=A3252,_xll.ciqfunctions.udf.CIQ(A3243,"IQ_TOTAL_DEBT_REPAID",IQ_FY-2), _xll.ciqfunctions.udf.CIQ(A3243, "IQ_TOTAL_DEBT_REPAID",IQ_FY-1))</f>
        <v>-63.692</v>
      </c>
      <c r="O3251" s="15">
        <f t="shared" si="865"/>
        <v>-1.1188083001762037</v>
      </c>
      <c r="P3251" s="15">
        <f t="shared" si="866"/>
        <v>-0.9196459484303362</v>
      </c>
      <c r="Q3251" s="25" t="s">
        <v>33</v>
      </c>
      <c r="R3251" s="38" t="s">
        <v>52</v>
      </c>
      <c r="S3251" s="4">
        <f>(AVERAGE(O3248:O3253)/AVERAGE(P3248:P3253))</f>
        <v>0.91790061444012327</v>
      </c>
      <c r="U3251" s="25" t="s">
        <v>54</v>
      </c>
      <c r="V3251" s="38" t="s">
        <v>52</v>
      </c>
      <c r="W3251" s="4">
        <f>(AVERAGE(O3248:O3253)/AVERAGE(P3248:P3253))</f>
        <v>0.91790061444012327</v>
      </c>
      <c r="Y3251" s="25" t="s">
        <v>60</v>
      </c>
      <c r="Z3251" s="38" t="s">
        <v>52</v>
      </c>
      <c r="AA3251" s="4">
        <f>(AVERAGE(O3248:O3253)/AVERAGE(P3248:P3253))</f>
        <v>0.91790061444012327</v>
      </c>
    </row>
    <row r="3252" spans="1:27">
      <c r="A3252" s="19">
        <f>_xll.ciqfunctions.udf.CIQ(A3243,"IQ_TOTAL_REV",IQ_LTM)</f>
        <v>609.048</v>
      </c>
      <c r="B3252" s="13">
        <v>10</v>
      </c>
      <c r="C3252" s="14" t="s">
        <v>34</v>
      </c>
      <c r="D3252" s="15" cm="1">
        <f t="array" ref="D3252">_xlfn.SINGLE(IF(A3251=A3252,_xll.ciqfunctions.udf.CIQ(A3243,"IQ_TOTAL_REV",IQ_FY-1)/I3252, _xll.ciqfunctions.udf.CIQ(A3243, "IQ_TOTAL_REV",IQ_FY)/I3252))</f>
        <v>9.7970356361016435</v>
      </c>
      <c r="E3252" s="16">
        <f t="shared" si="867"/>
        <v>0.11832262074373975</v>
      </c>
      <c r="F3252" s="15">
        <f>IF(A3251=A3252,_xll.ciqfunctions.udf.CIQ(A3243,"IQ_DILUT_EPS_EXCL",IQ_FY-1), _xll.ciqfunctions.udf.CIQ(A3243, "IQ_DILUT_EPS_EXCL",IQ_FY))</f>
        <v>-1.9019699999999999</v>
      </c>
      <c r="G3252" s="15">
        <f>IF(A3251=A3252,_xll.ciqfunctions.udf.CIQ(A3243,"IQ_EBITDA_MARGIN",IQ_FY-1), _xll.ciqfunctions.udf.CIQ(A3243, "IQ_EBITDA_MARGIN",IQ_FY))</f>
        <v>-11.95</v>
      </c>
      <c r="H3252" s="15">
        <f>IF(A3251=A3252,_xll.ciqfunctions.udf.CIQ(A3243,"IQ_TOTAL_DIV_PAID_CF",IQ_FY-1)/-I3252, _xll.ciqfunctions.udf.CIQ(A3243, "IQ_TOTAL_DIV_PAID_CF",IQ_FY)/-I3252)</f>
        <v>0</v>
      </c>
      <c r="I3252" s="17">
        <f>IF(A3251=A3252,_xll.ciqfunctions.udf.CIQ(A3243,"IQ_TOTAL_OUTSTANDING_FILING_DATE",IQ_FY-1), _xll.ciqfunctions.udf.CIQ(A3243, "IQ_TOTAL_OUTSTANDING_FILING_DATE",IQ_FY))</f>
        <v>57.739199999999997</v>
      </c>
      <c r="J3252" s="17">
        <f>IF(A3251=A3252,_xll.ciqfunctions.udf.CIQ(A3243,"IQ_CASH_OPER",IQ_FY-1), _xll.ciqfunctions.udf.CIQ(A3243, "IQ_CASH_OPER",IQ_FY))</f>
        <v>36.555999999999997</v>
      </c>
      <c r="K3252" s="17">
        <f>IF(A3251=A3252,_xll.ciqfunctions.udf.CIQ(A3243,"IQ_CAPEX",IQ_FY-1), _xll.ciqfunctions.udf.CIQ(A3243, "IQ_CAPEX",IQ_FY))</f>
        <v>-11.141999999999999</v>
      </c>
      <c r="L3252" s="15">
        <f t="shared" si="864"/>
        <v>0.44015157813062877</v>
      </c>
      <c r="M3252" s="17">
        <f>IF(A3251=A3252,_xll.ciqfunctions.udf.CIQ(A3243,"IQ_TOTAL_DEBT_ISSUED",IQ_FY-1), _xll.ciqfunctions.udf.CIQ(A3243, "IQ_TOTAL_DEBT_ISSUED",IQ_FY))</f>
        <v>0</v>
      </c>
      <c r="N3252" s="17">
        <f>IF(A3251=A3252,_xll.ciqfunctions.udf.CIQ(A3243,"IQ_TOTAL_DEBT_REPAID",IQ_FY-1), _xll.ciqfunctions.udf.CIQ(A3243, "IQ_TOTAL_DEBT_REPAID",IQ_FY))</f>
        <v>0</v>
      </c>
      <c r="O3252" s="15">
        <f t="shared" si="865"/>
        <v>0</v>
      </c>
      <c r="P3252" s="15">
        <f t="shared" si="866"/>
        <v>0.44015157813062877</v>
      </c>
      <c r="Q3252" s="25" t="s">
        <v>44</v>
      </c>
      <c r="R3252" s="38" t="s">
        <v>35</v>
      </c>
      <c r="S3252" s="1" t="str">
        <f>_xll.ciqfunctions.udf.CIQ(A3243,"IQ_TEV_EBITDA")</f>
        <v>NM</v>
      </c>
      <c r="U3252" s="25" t="s">
        <v>55</v>
      </c>
      <c r="V3252" s="38" t="s">
        <v>53</v>
      </c>
      <c r="W3252" s="1">
        <f>V3242/(AVERAGE(D3248:D3253)/_xlfn.STDEV.P(E3248:E3253))</f>
        <v>0.23511242227609752</v>
      </c>
      <c r="Y3252" s="25" t="s">
        <v>57</v>
      </c>
      <c r="Z3252" s="38" t="s">
        <v>53</v>
      </c>
      <c r="AA3252" s="1">
        <f>Z3242/(AVERAGE(D3248:D3253)/_xlfn.STDEV.P(E3248:E3253))</f>
        <v>0.23511242227609752</v>
      </c>
    </row>
    <row r="3253" spans="1:27">
      <c r="B3253" s="13">
        <v>11</v>
      </c>
      <c r="C3253" s="20" t="s">
        <v>36</v>
      </c>
      <c r="D3253" s="21" cm="1">
        <f t="array" ref="D3253">_xlfn.SINGLE(IF(A3251=A3252,_xll.ciqfunctions.udf.CIQ(A3243,"IQ_TOTAL_REV",IQ_FY)/I3253, _xll.ciqfunctions.udf.CIQ(A3243, "IQ_TOTAL_REV",IQ_LTM)/I3253))</f>
        <v>10.387104905414018</v>
      </c>
      <c r="E3253" s="22">
        <f t="shared" si="867"/>
        <v>6.0229368477337737E-2</v>
      </c>
      <c r="F3253" s="21">
        <f>IF(A3251=A3252,_xll.ciqfunctions.udf.CIQ(A3243,"IQ_DILUT_EPS_EXCL",IQ_FY), _xll.ciqfunctions.udf.CIQ(A3243, "IQ_DILUT_EPS_EXCL",IQ_LTM))</f>
        <v>-1.3729100000000001</v>
      </c>
      <c r="G3253" s="21">
        <f>IF(A3251=A3252,_xll.ciqfunctions.udf.CIQ(A3243,"IQ_EBITDA_MARGIN",IQ_FY), _xll.ciqfunctions.udf.CIQ(A3243, "IQ_EBITDA_MARGIN",IQ_LTM))</f>
        <v>-9.2820999999999998</v>
      </c>
      <c r="H3253" s="21">
        <f>IF(A3251=A3252,_xll.ciqfunctions.udf.CIQ(A3243,"IQ_TOTAL_DIV_PAID_CF",IQ_FY)/-I3253, _xll.ciqfunctions.udf.CIQ(A3243, "IQ_TOTAL_DIV_PAID_CF",IQ_LTM)/-I3253)</f>
        <v>0</v>
      </c>
      <c r="I3253" s="23">
        <f>IF(A3251=A3252,_xll.ciqfunctions.udf.CIQ(A3243,"IQ_TOTAL_OUTSTANDING_FILING_DATE",IQ_FY),_xll.ciqfunctions.udf.CIQ(A3243,"IQ_sharesoutstanding"))</f>
        <v>58.635010000000001</v>
      </c>
      <c r="J3253" s="23">
        <f>IF(A3251=A3252,_xll.ciqfunctions.udf.CIQ(A3243,"IQ_CASH_OPER",IQ_FY), _xll.ciqfunctions.udf.CIQ(A3243, "IQ_CASH_OPER",IQ_LTM))</f>
        <v>77.578000000000003</v>
      </c>
      <c r="K3253" s="23">
        <f>IF(A3251=A3252,_xll.ciqfunctions.udf.CIQ(A3243,"IQ_CAPEX",IQ_FY), _xll.ciqfunctions.udf.CIQ(A3243, "IQ_CAPEX",IQ_LTM))</f>
        <v>-6.7770000000000001</v>
      </c>
      <c r="L3253" s="21">
        <f t="shared" si="864"/>
        <v>1.2074867898888395</v>
      </c>
      <c r="M3253" s="23">
        <f>IF(A3251=A3252,_xll.ciqfunctions.udf.CIQ(A3243,"IQ_TOTAL_DEBT_ISSUED",IQ_FY), _xll.ciqfunctions.udf.CIQ(A3243, "IQ_TOTAL_DEBT_ISSUED",IQ_LTM))</f>
        <v>0</v>
      </c>
      <c r="N3253" s="23">
        <f>IF(A3251=A3252,_xll.ciqfunctions.udf.CIQ(A3243,"IQ_TOTAL_DEBT_REPAID",IQ_FY), _xll.ciqfunctions.udf.CIQ(A3243, "IQ_TOTAL_DEBT_REPAID",IQ_LTM))</f>
        <v>-160.548</v>
      </c>
      <c r="O3253" s="21">
        <f t="shared" si="865"/>
        <v>-2.7380911165530626</v>
      </c>
      <c r="P3253" s="21">
        <f t="shared" si="866"/>
        <v>-1.5306043266642231</v>
      </c>
      <c r="Q3253" s="25" t="s">
        <v>45</v>
      </c>
      <c r="S3253" s="45"/>
      <c r="U3253" s="25"/>
      <c r="W3253" s="45"/>
      <c r="Y3253" s="25"/>
      <c r="AA3253" s="45"/>
    </row>
    <row r="3254" spans="1:27">
      <c r="B3254" s="24"/>
      <c r="C3254" s="25" t="s">
        <v>37</v>
      </c>
      <c r="E3254" s="26">
        <f>((D3253/D3248)^(1/5))-1</f>
        <v>0.1342785435711018</v>
      </c>
      <c r="F3254" s="27">
        <f>((F3253/F3248)^(1/5))-1</f>
        <v>0.10666929306401296</v>
      </c>
      <c r="G3254" s="28"/>
      <c r="H3254" s="27" t="e">
        <f>((H3253/H3248)^(1/5))-1</f>
        <v>#DIV/0!</v>
      </c>
      <c r="I3254" s="27">
        <f>((I3253/I3248)^(1/5))-1</f>
        <v>6.1136236268735766E-2</v>
      </c>
      <c r="J3254" s="27"/>
      <c r="K3254" s="27"/>
      <c r="L3254" s="26">
        <f>((L3253/L3248)^(1/5))-1</f>
        <v>-2.4336157967098733</v>
      </c>
      <c r="M3254" s="26"/>
      <c r="N3254" s="26"/>
      <c r="O3254" s="26"/>
      <c r="P3254" s="26">
        <f>((P3253/P3248)^(1/5))-1</f>
        <v>-1.7916928039487601</v>
      </c>
      <c r="Q3254" s="18"/>
      <c r="R3254" s="36"/>
      <c r="S3254" s="45"/>
      <c r="U3254" s="18"/>
      <c r="V3254" s="36"/>
      <c r="W3254" s="45"/>
      <c r="Y3254" s="18"/>
      <c r="Z3254" s="36"/>
      <c r="AA3254" s="45"/>
    </row>
    <row r="3255" spans="1:27">
      <c r="A3255" s="29"/>
      <c r="B3255" s="30"/>
      <c r="C3255" s="31" t="s">
        <v>38</v>
      </c>
      <c r="D3255" s="29"/>
      <c r="E3255" s="32">
        <f>((D3253/D3243)^(1/10))-1</f>
        <v>0.19290690370466423</v>
      </c>
      <c r="F3255" s="33">
        <f>((F3253/F3243)^(1/10))-1</f>
        <v>-8.1263207016549766E-3</v>
      </c>
      <c r="G3255" s="34"/>
      <c r="H3255" s="33" t="e">
        <f>((H3253/H3243)^(1/10))-1</f>
        <v>#DIV/0!</v>
      </c>
      <c r="I3255" s="33">
        <f>((I3253/I3243)^(1/10))-1</f>
        <v>6.2597402709584804E-2</v>
      </c>
      <c r="J3255" s="33"/>
      <c r="K3255" s="33"/>
      <c r="L3255" s="32" t="e">
        <f>((L3253/L3243)^(1/10))-1</f>
        <v>#NUM!</v>
      </c>
      <c r="M3255" s="32"/>
      <c r="N3255" s="32"/>
      <c r="O3255" s="32"/>
      <c r="P3255" s="32">
        <f>((P3253/P3243)^(1/10))-1</f>
        <v>0.1756511219333301</v>
      </c>
      <c r="Q3255" s="40"/>
      <c r="R3255" s="41"/>
      <c r="S3255" s="46"/>
      <c r="U3255" s="40"/>
      <c r="V3255" s="41"/>
      <c r="W3255" s="46"/>
      <c r="Y3255" s="40"/>
      <c r="Z3255" s="41"/>
      <c r="AA3255" s="46"/>
    </row>
    <row r="3256" spans="1:27">
      <c r="B3256" s="24"/>
      <c r="C3256" s="25"/>
      <c r="E3256" s="26"/>
      <c r="F3256" s="27"/>
      <c r="G3256" s="28"/>
      <c r="H3256" s="27"/>
      <c r="I3256" s="27"/>
      <c r="J3256" s="27"/>
      <c r="K3256" s="27"/>
      <c r="L3256" s="26"/>
      <c r="M3256" s="17"/>
      <c r="N3256" s="17"/>
      <c r="O3256" s="17"/>
      <c r="P3256" s="35"/>
      <c r="Q3256" s="18"/>
      <c r="R3256" s="36"/>
    </row>
    <row r="3257" spans="1:27">
      <c r="A3257" s="9" t="s">
        <v>0</v>
      </c>
      <c r="B3257" s="10"/>
      <c r="C3257" s="9" t="s">
        <v>1</v>
      </c>
      <c r="D3257" s="9" t="s">
        <v>2</v>
      </c>
      <c r="E3257" s="9" t="s">
        <v>3</v>
      </c>
      <c r="F3257" s="11" t="s">
        <v>4</v>
      </c>
      <c r="G3257" s="11" t="s">
        <v>5</v>
      </c>
      <c r="H3257" s="9" t="s">
        <v>6</v>
      </c>
      <c r="I3257" s="11" t="s">
        <v>7</v>
      </c>
      <c r="J3257" s="11" t="s">
        <v>8</v>
      </c>
      <c r="K3257" s="11" t="s">
        <v>9</v>
      </c>
      <c r="L3257" s="11" t="s">
        <v>10</v>
      </c>
      <c r="M3257" s="11" t="s">
        <v>11</v>
      </c>
      <c r="N3257" s="11" t="s">
        <v>12</v>
      </c>
      <c r="O3257" s="11" t="s">
        <v>13</v>
      </c>
      <c r="P3257" s="11" t="s">
        <v>14</v>
      </c>
      <c r="Q3257" s="37" t="s">
        <v>15</v>
      </c>
      <c r="R3257" s="42">
        <f>_xll.ciqfunctions.udf.CIQ(A3258,("IQ_LASTSALEPRICE"))</f>
        <v>72.12</v>
      </c>
      <c r="S3257" s="44"/>
      <c r="U3257" s="37" t="s">
        <v>15</v>
      </c>
      <c r="V3257" s="42">
        <f>_xll.ciqfunctions.udf.CIQ(A3258,("IQ_LASTSALEPRICE"))</f>
        <v>72.12</v>
      </c>
      <c r="W3257" s="44"/>
      <c r="Y3257" s="37" t="s">
        <v>15</v>
      </c>
      <c r="Z3257" s="42">
        <f>_xll.ciqfunctions.udf.CIQ(A3258,("IQ_LASTSALEPRICE"))</f>
        <v>72.12</v>
      </c>
      <c r="AA3257" s="44"/>
    </row>
    <row r="3258" spans="1:27">
      <c r="A3258" s="12" t="str">
        <f>Analysis!B219</f>
        <v>NasdaqGS:ALTR</v>
      </c>
      <c r="B3258" s="13">
        <v>1</v>
      </c>
      <c r="C3258" s="14" t="s">
        <v>16</v>
      </c>
      <c r="D3258" s="15" t="e">
        <f>IF(A3266=A3267,_xll.ciqfunctions.udf.CIQ(A3258,"IQ_TOTAL_REV",IQ_FY-10)/I3258,_xll.ciqfunctions.udf.CIQ(A3258, "IQ_TOTAL_REV",IQ_FY-9)/I3258)</f>
        <v>#DIV/0!</v>
      </c>
      <c r="E3258" s="16"/>
      <c r="F3258" s="15">
        <f>IF(A3266=A3267,_xll.ciqfunctions.udf.CIQ(A3258,"IQ_DILUT_EPS_EXCL",IQ_FY-10), _xll.ciqfunctions.udf.CIQ(A3258, "IQ_DILUT_EPS_EXCL",IQ_FY-9))</f>
        <v>0</v>
      </c>
      <c r="G3258" s="15">
        <f>IF(A3266=A3267,_xll.ciqfunctions.udf.CIQ(A3258,"IQ_EBITDA_MARGIN",IQ_FY-10), _xll.ciqfunctions.udf.CIQ(A3258, "IQ_EBITDA_MARGIN",IQ_FY-9))</f>
        <v>0</v>
      </c>
      <c r="H3258" s="15" t="e">
        <f>IF(A3266=A3267,_xll.ciqfunctions.udf.CIQ(A3258,"IQ_TOTAL_DIV_PAID_CF",IQ_FY-10)/-I3258, _xll.ciqfunctions.udf.CIQ(A3258, "IQ_TOTAL_DIV_PAID_CF",IQ_FY-9)/-I3258)</f>
        <v>#DIV/0!</v>
      </c>
      <c r="I3258" s="17">
        <f>IF(A3266=A3267,_xll.ciqfunctions.udf.CIQ(A3258,"IQ_TOTAL_OUTSTANDING_FILING_DATE",IQ_FY-10), _xll.ciqfunctions.udf.CIQ(A3258, "IQ_TOTAL_OUTSTANDING_FILING_DATE",IQ_FY-9))</f>
        <v>0</v>
      </c>
      <c r="J3258" s="17">
        <f>IF(A3266=A3267,_xll.ciqfunctions.udf.CIQ(A3258,"IQ_CASH_OPER",IQ_FY-10), _xll.ciqfunctions.udf.CIQ(A3258, "IQ_CASH_OPER",IQ_FY-9))</f>
        <v>0</v>
      </c>
      <c r="K3258" s="17">
        <f>IF(A3266=A3267,_xll.ciqfunctions.udf.CIQ(A3258,"IQ_CAPEX",IQ_FY-10), _xll.ciqfunctions.udf.CIQ(A3258, "IQ_CAPEX",IQ_FY-9))</f>
        <v>0</v>
      </c>
      <c r="L3258" s="15" t="e">
        <f t="shared" ref="L3258:L3268" si="868">(J3258+K3258)/I3258</f>
        <v>#DIV/0!</v>
      </c>
      <c r="M3258" s="17">
        <f>IF(A3266=A3267,_xll.ciqfunctions.udf.CIQ(A3258,"IQ_TOTAL_DEBT_ISSUED",IQ_FY-10), _xll.ciqfunctions.udf.CIQ(A3258, "IQ_TOTAL_DEBT_ISSUED",IQ_FY-9))</f>
        <v>0</v>
      </c>
      <c r="N3258" s="17">
        <f>IF(A3266=A3267,_xll.ciqfunctions.udf.CIQ(A3258,"IQ_TOTAL_DEBT_REPAID",IQ_FY-10), _xll.ciqfunctions.udf.CIQ(A3258, "IQ_TOTAL_DEBT_REPAID",IQ_FY-9))</f>
        <v>0</v>
      </c>
      <c r="O3258" s="15" t="e">
        <f t="shared" ref="O3258:O3268" si="869">(M3258+N3258)/I3258</f>
        <v>#DIV/0!</v>
      </c>
      <c r="P3258" s="15" t="e">
        <f t="shared" ref="P3258:P3268" si="870">L3258+O3258</f>
        <v>#DIV/0!</v>
      </c>
      <c r="W3258" s="43"/>
      <c r="AA3258" s="43"/>
    </row>
    <row r="3259" spans="1:27">
      <c r="A3259" s="18" t="str">
        <f>_xll.ciqfunctions.udf.CIQ(A3258,"IQ_COMPANY_NAME")</f>
        <v>Altair Engineering Inc.</v>
      </c>
      <c r="B3259" s="13">
        <v>2</v>
      </c>
      <c r="C3259" s="14" t="s">
        <v>17</v>
      </c>
      <c r="D3259" s="15" t="e">
        <f>IF(A3266=A3267,_xll.ciqfunctions.udf.CIQ(A3258,"IQ_TOTAL_REV",IQ_FY-9)/I3259, _xll.ciqfunctions.udf.CIQ(A3258, "IQ_TOTAL_REV",IQ_FY-8)/I3259)</f>
        <v>#DIV/0!</v>
      </c>
      <c r="E3259" s="16" t="e">
        <f t="shared" ref="E3259:E3268" si="871">(D3259-D3258)/D3258</f>
        <v>#DIV/0!</v>
      </c>
      <c r="F3259" s="15">
        <f>IF(A3266=A3267,_xll.ciqfunctions.udf.CIQ(A3258,"IQ_DILUT_EPS_EXCL",IQ_FY-9), _xll.ciqfunctions.udf.CIQ(A3258, "IQ_DILUT_EPS_EXCL",IQ_FY-8))</f>
        <v>0</v>
      </c>
      <c r="G3259" s="15">
        <f>IF(A3266=A3267,_xll.ciqfunctions.udf.CIQ(A3258,"IQ_EBITDA_MARGIN",IQ_FY-9), _xll.ciqfunctions.udf.CIQ(A3258, "IQ_EBITDA_MARGIN",IQ_FY-8))</f>
        <v>0</v>
      </c>
      <c r="H3259" s="15" t="e">
        <f>IF(A3266=A3267,_xll.ciqfunctions.udf.CIQ(A3258,"IQ_TOTAL_DIV_PAID_CF",IQ_FY-9)/-I3259, _xll.ciqfunctions.udf.CIQ(A3258, "IQ_TOTAL_DIV_PAID_CF",IQ_FY-8)/-I3259)</f>
        <v>#DIV/0!</v>
      </c>
      <c r="I3259" s="17">
        <f>IF(A3266=A3267,_xll.ciqfunctions.udf.CIQ(A3258,"IQ_TOTAL_OUTSTANDING_FILING_DATE",IQ_FY-9), _xll.ciqfunctions.udf.CIQ(A3258, "IQ_TOTAL_OUTSTANDING_FILING_DATE",IQ_FY-8))</f>
        <v>0</v>
      </c>
      <c r="J3259" s="17">
        <f>IF(A3266=A3267,_xll.ciqfunctions.udf.CIQ(A3258,"IQ_CASH_OPER",IQ_FY-9), _xll.ciqfunctions.udf.CIQ(A3258, "IQ_CASH_OPER",IQ_FY-8))</f>
        <v>0</v>
      </c>
      <c r="K3259" s="17">
        <f>IF(A3266=A3267,_xll.ciqfunctions.udf.CIQ(A3258,"IQ_CAPEX",IQ_FY-9), _xll.ciqfunctions.udf.CIQ(A3258, "IQ_CAPEX",IQ_FY-8))</f>
        <v>0</v>
      </c>
      <c r="L3259" s="15" t="e">
        <f t="shared" si="868"/>
        <v>#DIV/0!</v>
      </c>
      <c r="M3259" s="17">
        <f>IF(A3266=A3267,_xll.ciqfunctions.udf.CIQ(A3258,"IQ_TOTAL_DEBT_ISSUED",IQ_FY-9), _xll.ciqfunctions.udf.CIQ(A3258, "IQ_TOTAL_DEBT_ISSUED",IQ_FY-8))</f>
        <v>0</v>
      </c>
      <c r="N3259" s="17">
        <f>IF(A3266=A3267,_xll.ciqfunctions.udf.CIQ(A3258,"IQ_TOTAL_DEBT_REPAID",IQ_FY-9), _xll.ciqfunctions.udf.CIQ(A3258, "IQ_TOTAL_DEBT_REPAID",IQ_FY-8))</f>
        <v>0</v>
      </c>
      <c r="O3259" s="15" t="e">
        <f t="shared" si="869"/>
        <v>#DIV/0!</v>
      </c>
      <c r="P3259" s="15" t="e">
        <f t="shared" si="870"/>
        <v>#DIV/0!</v>
      </c>
      <c r="Q3259" s="25" t="s">
        <v>18</v>
      </c>
      <c r="R3259" s="39" t="s">
        <v>19</v>
      </c>
      <c r="S3259" s="1">
        <f>R3257/((AVERAGE(P3263:P3268))*(1+E3269)^3)</f>
        <v>52.797197083693398</v>
      </c>
      <c r="U3259" s="25" t="s">
        <v>48</v>
      </c>
      <c r="V3259" s="39" t="s">
        <v>19</v>
      </c>
      <c r="W3259" s="1">
        <f>V3257/((AVERAGE(P3263:P3268))*(1+E3269)^3)</f>
        <v>52.797197083693398</v>
      </c>
      <c r="Y3259" s="25" t="s">
        <v>39</v>
      </c>
      <c r="Z3259" s="39" t="s">
        <v>19</v>
      </c>
      <c r="AA3259" s="1">
        <f>Z3257/((AVERAGE(P3263:P3268))*(1+E3269)^3)</f>
        <v>52.797197083693398</v>
      </c>
    </row>
    <row r="3260" spans="1:27">
      <c r="B3260" s="13">
        <v>3</v>
      </c>
      <c r="C3260" s="14" t="s">
        <v>20</v>
      </c>
      <c r="D3260" s="15" cm="1">
        <f t="array" ref="D3260">_xlfn.SINGLE(IF(A3266=A3267,_xll.ciqfunctions.udf.CIQ(A3258,"IQ_TOTAL_REV",IQ_FY-8)/I3260, _xll.ciqfunctions.udf.CIQ(A3258, "IQ_TOTAL_REV",IQ_FY-7)/I3260))</f>
        <v>6.2015897781900993</v>
      </c>
      <c r="E3260" s="16" t="e">
        <f t="shared" si="871"/>
        <v>#DIV/0!</v>
      </c>
      <c r="F3260" s="15">
        <f>IF(A3266=A3267,_xll.ciqfunctions.udf.CIQ(A3258,"IQ_DILUT_EPS_EXCL",IQ_FY-8), _xll.ciqfunctions.udf.CIQ(A3258, "IQ_DILUT_EPS_EXCL",IQ_FY-7))</f>
        <v>0.19</v>
      </c>
      <c r="G3260" s="15">
        <f>IF(A3266=A3267,_xll.ciqfunctions.udf.CIQ(A3258,"IQ_EBITDA_MARGIN",IQ_FY-8), _xll.ciqfunctions.udf.CIQ(A3258, "IQ_EBITDA_MARGIN",IQ_FY-7))</f>
        <v>7.9301000000000004</v>
      </c>
      <c r="H3260" s="15">
        <f>IF(A3266=A3267,_xll.ciqfunctions.udf.CIQ(A3258,"IQ_TOTAL_DIV_PAID_CF",IQ_FY-8)/-I3260, _xll.ciqfunctions.udf.CIQ(A3258, "IQ_TOTAL_DIV_PAID_CF",IQ_FY-7)/-I3260)</f>
        <v>0</v>
      </c>
      <c r="I3260" s="17">
        <f>IF(A3266=A3267,_xll.ciqfunctions.udf.CIQ(A3258,"IQ_TOTAL_OUTSTANDING_FILING_DATE",IQ_FY-8), _xll.ciqfunctions.udf.CIQ(A3258, "IQ_TOTAL_OUTSTANDING_FILING_DATE",IQ_FY-7))</f>
        <v>47.427999999999997</v>
      </c>
      <c r="J3260" s="17">
        <f>IF(A3266=A3267,_xll.ciqfunctions.udf.CIQ(A3258,"IQ_CASH_OPER",IQ_FY-8), _xll.ciqfunctions.udf.CIQ(A3258, "IQ_CASH_OPER",IQ_FY-7))</f>
        <v>10.837999999999999</v>
      </c>
      <c r="K3260" s="17">
        <f>IF(A3266=A3267,_xll.ciqfunctions.udf.CIQ(A3258,"IQ_CAPEX",IQ_FY-8), _xll.ciqfunctions.udf.CIQ(A3258, "IQ_CAPEX",IQ_FY-7))</f>
        <v>-5.2329999999999997</v>
      </c>
      <c r="L3260" s="15">
        <f t="shared" si="868"/>
        <v>0.11817913468836974</v>
      </c>
      <c r="M3260" s="17">
        <f>IF(A3266=A3267,_xll.ciqfunctions.udf.CIQ(A3258,"IQ_TOTAL_DEBT_ISSUED",IQ_FY-8), _xll.ciqfunctions.udf.CIQ(A3258, "IQ_TOTAL_DEBT_ISSUED",IQ_FY-7))</f>
        <v>104.434</v>
      </c>
      <c r="N3260" s="17">
        <f>IF(A3266=A3267,_xll.ciqfunctions.udf.CIQ(A3258,"IQ_TOTAL_DEBT_REPAID",IQ_FY-8), _xll.ciqfunctions.udf.CIQ(A3258, "IQ_TOTAL_DEBT_REPAID",IQ_FY-7))</f>
        <v>-107.623</v>
      </c>
      <c r="O3260" s="15">
        <f t="shared" si="869"/>
        <v>-6.7238761912794279E-2</v>
      </c>
      <c r="P3260" s="15">
        <f t="shared" si="870"/>
        <v>5.0940372775575463E-2</v>
      </c>
      <c r="Q3260" s="25" t="s">
        <v>21</v>
      </c>
      <c r="R3260" s="38" t="s">
        <v>49</v>
      </c>
      <c r="S3260" s="2">
        <f>(R3257*I3268)/1000</f>
        <v>5.8894468524000008</v>
      </c>
      <c r="U3260" s="25" t="s">
        <v>59</v>
      </c>
      <c r="V3260" s="38" t="s">
        <v>49</v>
      </c>
      <c r="W3260" s="2">
        <f>(V3257*I3268)/1000</f>
        <v>5.8894468524000008</v>
      </c>
      <c r="Y3260" s="25" t="s">
        <v>46</v>
      </c>
      <c r="Z3260" s="38" t="s">
        <v>49</v>
      </c>
      <c r="AA3260" s="2">
        <f>(Z3257*I3268)/1000</f>
        <v>5.8894468524000008</v>
      </c>
    </row>
    <row r="3261" spans="1:27">
      <c r="A3261" s="18"/>
      <c r="B3261" s="13">
        <v>4</v>
      </c>
      <c r="C3261" s="14" t="s">
        <v>22</v>
      </c>
      <c r="D3261" s="15" cm="1">
        <f t="array" ref="D3261">_xlfn.SINGLE(IF(A3266=A3267,_xll.ciqfunctions.udf.CIQ(A3258,"IQ_TOTAL_REV",IQ_FY-7)/I3261, _xll.ciqfunctions.udf.CIQ(A3258, "IQ_TOTAL_REV",IQ_FY-6)/I3261))</f>
        <v>6.2517962637713556</v>
      </c>
      <c r="E3261" s="16">
        <f t="shared" si="871"/>
        <v>8.0957443779696089E-3</v>
      </c>
      <c r="F3261" s="15">
        <f>IF(A3266=A3267,_xll.ciqfunctions.udf.CIQ(A3258,"IQ_DILUT_EPS_EXCL",IQ_FY-7), _xll.ciqfunctions.udf.CIQ(A3258, "IQ_DILUT_EPS_EXCL",IQ_FY-6))</f>
        <v>0.18</v>
      </c>
      <c r="G3261" s="15">
        <f>IF(A3266=A3267,_xll.ciqfunctions.udf.CIQ(A3258,"IQ_EBITDA_MARGIN",IQ_FY-7), _xll.ciqfunctions.udf.CIQ(A3258, "IQ_EBITDA_MARGIN",IQ_FY-6))</f>
        <v>8.1173999999999999</v>
      </c>
      <c r="H3261" s="15">
        <f>IF(A3266=A3267,_xll.ciqfunctions.udf.CIQ(A3258,"IQ_TOTAL_DIV_PAID_CF",IQ_FY-7)/-I3261, _xll.ciqfunctions.udf.CIQ(A3258, "IQ_TOTAL_DIV_PAID_CF",IQ_FY-6)/-I3261)</f>
        <v>0</v>
      </c>
      <c r="I3261" s="17">
        <f>IF(A3266=A3267,_xll.ciqfunctions.udf.CIQ(A3258,"IQ_TOTAL_OUTSTANDING_FILING_DATE",IQ_FY-7), _xll.ciqfunctions.udf.CIQ(A3258, "IQ_TOTAL_OUTSTANDING_FILING_DATE",IQ_FY-6))</f>
        <v>50.103999999999999</v>
      </c>
      <c r="J3261" s="17">
        <f>IF(A3266=A3267,_xll.ciqfunctions.udf.CIQ(A3258,"IQ_CASH_OPER",IQ_FY-7), _xll.ciqfunctions.udf.CIQ(A3258, "IQ_CASH_OPER",IQ_FY-6))</f>
        <v>21.385000000000002</v>
      </c>
      <c r="K3261" s="17">
        <f>IF(A3266=A3267,_xll.ciqfunctions.udf.CIQ(A3258,"IQ_CAPEX",IQ_FY-7), _xll.ciqfunctions.udf.CIQ(A3258, "IQ_CAPEX",IQ_FY-6))</f>
        <v>-9.4440000000000008</v>
      </c>
      <c r="L3261" s="15">
        <f t="shared" si="868"/>
        <v>0.23832428548618875</v>
      </c>
      <c r="M3261" s="17">
        <f>IF(A3266=A3267,_xll.ciqfunctions.udf.CIQ(A3258,"IQ_TOTAL_DEBT_ISSUED",IQ_FY-7), _xll.ciqfunctions.udf.CIQ(A3258, "IQ_TOTAL_DEBT_ISSUED",IQ_FY-6))</f>
        <v>153.958</v>
      </c>
      <c r="N3261" s="17">
        <f>IF(A3266=A3267,_xll.ciqfunctions.udf.CIQ(A3258,"IQ_TOTAL_DEBT_REPAID",IQ_FY-7), _xll.ciqfunctions.udf.CIQ(A3258, "IQ_TOTAL_DEBT_REPAID",IQ_FY-6))</f>
        <v>-152.31899999999999</v>
      </c>
      <c r="O3261" s="15">
        <f t="shared" si="869"/>
        <v>3.271195912502016E-2</v>
      </c>
      <c r="P3261" s="15">
        <f t="shared" si="870"/>
        <v>0.2710362446112089</v>
      </c>
      <c r="Q3261" s="25" t="s">
        <v>23</v>
      </c>
      <c r="R3261" s="38" t="s">
        <v>24</v>
      </c>
      <c r="S3261" s="1" t="e">
        <f>R3257/(AVERAGE(H3263:H3268)*(1+H3269)/(0.5-H3269))</f>
        <v>#DIV/0!</v>
      </c>
      <c r="U3261" s="25" t="s">
        <v>40</v>
      </c>
      <c r="V3261" s="38" t="s">
        <v>24</v>
      </c>
      <c r="W3261" s="1" t="e">
        <f>V3257/(AVERAGE(H3263:H3268)*(1+H3269)/(0.5-H3269))</f>
        <v>#DIV/0!</v>
      </c>
      <c r="Y3261" s="25" t="s">
        <v>47</v>
      </c>
      <c r="Z3261" s="38" t="s">
        <v>24</v>
      </c>
      <c r="AA3261" s="1" t="e">
        <f>Z3257/(AVERAGE(H3263:H3268)*(1+H3269)/(0.5-H3269))</f>
        <v>#DIV/0!</v>
      </c>
    </row>
    <row r="3262" spans="1:27">
      <c r="B3262" s="13">
        <v>5</v>
      </c>
      <c r="C3262" s="14" t="s">
        <v>25</v>
      </c>
      <c r="D3262" s="15" cm="1">
        <f t="array" ref="D3262">_xlfn.SINGLE(IF(A3266=A3267,_xll.ciqfunctions.udf.CIQ(A3258,"IQ_TOTAL_REV",IQ_FY-6)/I3262, _xll.ciqfunctions.udf.CIQ(A3258, "IQ_TOTAL_REV",IQ_FY-5)/I3262))</f>
        <v>5.2715038033937986</v>
      </c>
      <c r="E3262" s="16">
        <f t="shared" si="871"/>
        <v>-0.15680172849813917</v>
      </c>
      <c r="F3262" s="15">
        <f>IF(A3266=A3267,_xll.ciqfunctions.udf.CIQ(A3258,"IQ_DILUT_EPS_EXCL",IQ_FY-6), _xll.ciqfunctions.udf.CIQ(A3258, "IQ_DILUT_EPS_EXCL",IQ_FY-5))</f>
        <v>-1.94299</v>
      </c>
      <c r="G3262" s="15">
        <f>IF(A3266=A3267,_xll.ciqfunctions.udf.CIQ(A3258,"IQ_EBITDA_MARGIN",IQ_FY-6), _xll.ciqfunctions.udf.CIQ(A3258, "IQ_EBITDA_MARGIN",IQ_FY-5))</f>
        <v>-7.0529999999999999</v>
      </c>
      <c r="H3262" s="15">
        <f>IF(A3266=A3267,_xll.ciqfunctions.udf.CIQ(A3258,"IQ_TOTAL_DIV_PAID_CF",IQ_FY-6)/-I3262, _xll.ciqfunctions.udf.CIQ(A3258, "IQ_TOTAL_DIV_PAID_CF",IQ_FY-5)/-I3262)</f>
        <v>0</v>
      </c>
      <c r="I3262" s="17">
        <f>IF(A3266=A3267,_xll.ciqfunctions.udf.CIQ(A3258,"IQ_TOTAL_OUTSTANDING_FILING_DATE",IQ_FY-6), _xll.ciqfunctions.udf.CIQ(A3258, "IQ_TOTAL_OUTSTANDING_FILING_DATE",IQ_FY-5))</f>
        <v>63.232999999999997</v>
      </c>
      <c r="J3262" s="17">
        <f>IF(A3266=A3267,_xll.ciqfunctions.udf.CIQ(A3258,"IQ_CASH_OPER",IQ_FY-6), _xll.ciqfunctions.udf.CIQ(A3258, "IQ_CASH_OPER",IQ_FY-5))</f>
        <v>16.091000000000001</v>
      </c>
      <c r="K3262" s="17">
        <f>IF(A3266=A3267,_xll.ciqfunctions.udf.CIQ(A3258,"IQ_CAPEX",IQ_FY-6), _xll.ciqfunctions.udf.CIQ(A3258, "IQ_CAPEX",IQ_FY-5))</f>
        <v>-7.5220000000000002</v>
      </c>
      <c r="L3262" s="15">
        <f t="shared" si="868"/>
        <v>0.13551468378852816</v>
      </c>
      <c r="M3262" s="17">
        <f>IF(A3266=A3267,_xll.ciqfunctions.udf.CIQ(A3258,"IQ_TOTAL_DEBT_ISSUED",IQ_FY-6), _xll.ciqfunctions.udf.CIQ(A3258, "IQ_TOTAL_DEBT_ISSUED",IQ_FY-5))</f>
        <v>128.37299999999999</v>
      </c>
      <c r="N3262" s="17">
        <f>IF(A3266=A3267,_xll.ciqfunctions.udf.CIQ(A3258,"IQ_TOTAL_DEBT_REPAID",IQ_FY-6), _xll.ciqfunctions.udf.CIQ(A3258, "IQ_TOTAL_DEBT_REPAID",IQ_FY-5))</f>
        <v>-214.05600000000001</v>
      </c>
      <c r="O3262" s="15">
        <f t="shared" si="869"/>
        <v>-1.3550361361947088</v>
      </c>
      <c r="P3262" s="15">
        <f t="shared" si="870"/>
        <v>-1.2195214524061806</v>
      </c>
      <c r="Q3262" s="18"/>
      <c r="R3262" s="38" t="s">
        <v>50</v>
      </c>
      <c r="S3262" s="3">
        <f>I3269</f>
        <v>2.9311549882642618E-2</v>
      </c>
      <c r="U3262" s="18"/>
      <c r="V3262" s="38" t="s">
        <v>50</v>
      </c>
      <c r="W3262" s="3">
        <f>I3269</f>
        <v>2.9311549882642618E-2</v>
      </c>
      <c r="Y3262" s="18"/>
      <c r="Z3262" s="38" t="s">
        <v>50</v>
      </c>
      <c r="AA3262" s="3">
        <f>I3269</f>
        <v>2.9311549882642618E-2</v>
      </c>
    </row>
    <row r="3263" spans="1:27">
      <c r="B3263" s="13">
        <v>6</v>
      </c>
      <c r="C3263" s="14" t="s">
        <v>26</v>
      </c>
      <c r="D3263" s="15" cm="1">
        <f t="array" ref="D3263">_xlfn.SINGLE(IF(A3266=A3267,_xll.ciqfunctions.udf.CIQ(A3258,"IQ_TOTAL_REV",IQ_FY-5)/I3263, _xll.ciqfunctions.udf.CIQ(A3258, "IQ_TOTAL_REV",IQ_FY-4)/I3263))</f>
        <v>5.6082333907061672</v>
      </c>
      <c r="E3263" s="16">
        <f t="shared" si="871"/>
        <v>6.3877329860898849E-2</v>
      </c>
      <c r="F3263" s="15">
        <f>IF(A3266=A3267,_xll.ciqfunctions.udf.CIQ(A3258,"IQ_DILUT_EPS_EXCL",IQ_FY-5), _xll.ciqfunctions.udf.CIQ(A3258, "IQ_DILUT_EPS_EXCL",IQ_FY-4))</f>
        <v>0.21</v>
      </c>
      <c r="G3263" s="15">
        <f>IF(A3266=A3267,_xll.ciqfunctions.udf.CIQ(A3258,"IQ_EBITDA_MARGIN",IQ_FY-5), _xll.ciqfunctions.udf.CIQ(A3258, "IQ_EBITDA_MARGIN",IQ_FY-4))</f>
        <v>10.0878</v>
      </c>
      <c r="H3263" s="15">
        <f>IF(A3266=A3267,_xll.ciqfunctions.udf.CIQ(A3258,"IQ_TOTAL_DIV_PAID_CF",IQ_FY-5)/-I3263, _xll.ciqfunctions.udf.CIQ(A3258, "IQ_TOTAL_DIV_PAID_CF",IQ_FY-4)/-I3263)</f>
        <v>0</v>
      </c>
      <c r="I3263" s="17">
        <f>IF(A3266=A3267,_xll.ciqfunctions.udf.CIQ(A3258,"IQ_TOTAL_OUTSTANDING_FILING_DATE",IQ_FY-5), _xll.ciqfunctions.udf.CIQ(A3258, "IQ_TOTAL_OUTSTANDING_FILING_DATE",IQ_FY-4))</f>
        <v>70.678049999999999</v>
      </c>
      <c r="J3263" s="17">
        <f>IF(A3266=A3267,_xll.ciqfunctions.udf.CIQ(A3258,"IQ_CASH_OPER",IQ_FY-5), _xll.ciqfunctions.udf.CIQ(A3258, "IQ_CASH_OPER",IQ_FY-4))</f>
        <v>36.229999999999997</v>
      </c>
      <c r="K3263" s="17">
        <f>IF(A3266=A3267,_xll.ciqfunctions.udf.CIQ(A3258,"IQ_CAPEX",IQ_FY-5), _xll.ciqfunctions.udf.CIQ(A3258, "IQ_CAPEX",IQ_FY-4))</f>
        <v>-6.6589999999999998</v>
      </c>
      <c r="L3263" s="15">
        <f t="shared" si="868"/>
        <v>0.41839015083183534</v>
      </c>
      <c r="M3263" s="17">
        <f>IF(A3266=A3267,_xll.ciqfunctions.udf.CIQ(A3258,"IQ_TOTAL_DEBT_ISSUED",IQ_FY-5), _xll.ciqfunctions.udf.CIQ(A3258, "IQ_TOTAL_DEBT_ISSUED",IQ_FY-4))</f>
        <v>37.040999999999997</v>
      </c>
      <c r="N3263" s="17">
        <f>IF(A3266=A3267,_xll.ciqfunctions.udf.CIQ(A3258,"IQ_TOTAL_DEBT_REPAID",IQ_FY-5), _xll.ciqfunctions.udf.CIQ(A3258, "IQ_TOTAL_DEBT_REPAID",IQ_FY-4))</f>
        <v>-6.0910000000000002</v>
      </c>
      <c r="O3263" s="15">
        <f t="shared" si="869"/>
        <v>0.43790115884634617</v>
      </c>
      <c r="P3263" s="15">
        <f t="shared" si="870"/>
        <v>0.85629130967818146</v>
      </c>
      <c r="Q3263" s="25" t="s">
        <v>27</v>
      </c>
      <c r="R3263" s="38" t="s">
        <v>51</v>
      </c>
      <c r="S3263" s="4">
        <f>AVERAGE(F3263:F3268)/AVERAGE(D3263:D3268)</f>
        <v>-2.3200411710435007E-2</v>
      </c>
      <c r="U3263" s="25" t="s">
        <v>58</v>
      </c>
      <c r="V3263" s="38" t="s">
        <v>51</v>
      </c>
      <c r="W3263" s="4">
        <f>AVERAGE(F3263:F3268)/AVERAGE(D3263:D3268)</f>
        <v>-2.3200411710435007E-2</v>
      </c>
      <c r="Y3263" s="25" t="s">
        <v>56</v>
      </c>
      <c r="Z3263" s="38" t="s">
        <v>51</v>
      </c>
      <c r="AA3263" s="4">
        <f>AVERAGE(F3263:F3268)/AVERAGE(D3263:D3268)</f>
        <v>-2.3200411710435007E-2</v>
      </c>
    </row>
    <row r="3264" spans="1:27">
      <c r="A3264" s="18"/>
      <c r="B3264" s="13">
        <v>7</v>
      </c>
      <c r="C3264" s="14" t="s">
        <v>28</v>
      </c>
      <c r="D3264" s="15" cm="1">
        <f t="array" ref="D3264">_xlfn.SINGLE(IF(A3266=A3267,_xll.ciqfunctions.udf.CIQ(A3258,"IQ_TOTAL_REV",IQ_FY-4)/I3264, _xll.ciqfunctions.udf.CIQ(A3258, "IQ_TOTAL_REV",IQ_FY-3)/I3264))</f>
        <v>6.3264370668293379</v>
      </c>
      <c r="E3264" s="16">
        <f t="shared" si="871"/>
        <v>0.12806237295925682</v>
      </c>
      <c r="F3264" s="15">
        <f>IF(A3266=A3267,_xll.ciqfunctions.udf.CIQ(A3258,"IQ_DILUT_EPS_EXCL",IQ_FY-4), _xll.ciqfunctions.udf.CIQ(A3258, "IQ_DILUT_EPS_EXCL",IQ_FY-3))</f>
        <v>-0.11</v>
      </c>
      <c r="G3264" s="15">
        <f>IF(A3266=A3267,_xll.ciqfunctions.udf.CIQ(A3258,"IQ_EBITDA_MARGIN",IQ_FY-4), _xll.ciqfunctions.udf.CIQ(A3258, "IQ_EBITDA_MARGIN",IQ_FY-3))</f>
        <v>6.4781000000000004</v>
      </c>
      <c r="H3264" s="15">
        <f>IF(A3266=A3267,_xll.ciqfunctions.udf.CIQ(A3258,"IQ_TOTAL_DIV_PAID_CF",IQ_FY-4)/-I3264, _xll.ciqfunctions.udf.CIQ(A3258, "IQ_TOTAL_DIV_PAID_CF",IQ_FY-3)/-I3264)</f>
        <v>0</v>
      </c>
      <c r="I3264" s="17">
        <f>IF(A3266=A3267,_xll.ciqfunctions.udf.CIQ(A3258,"IQ_TOTAL_OUTSTANDING_FILING_DATE",IQ_FY-4), _xll.ciqfunctions.udf.CIQ(A3258, "IQ_TOTAL_OUTSTANDING_FILING_DATE",IQ_FY-3))</f>
        <v>72.539249999999996</v>
      </c>
      <c r="J3264" s="17">
        <f>IF(A3266=A3267,_xll.ciqfunctions.udf.CIQ(A3258,"IQ_CASH_OPER",IQ_FY-4), _xll.ciqfunctions.udf.CIQ(A3258, "IQ_CASH_OPER",IQ_FY-3))</f>
        <v>31.393000000000001</v>
      </c>
      <c r="K3264" s="17">
        <f>IF(A3266=A3267,_xll.ciqfunctions.udf.CIQ(A3258,"IQ_CAPEX",IQ_FY-4), _xll.ciqfunctions.udf.CIQ(A3258, "IQ_CAPEX",IQ_FY-3))</f>
        <v>-9.66</v>
      </c>
      <c r="L3264" s="15">
        <f t="shared" si="868"/>
        <v>0.29960331820359326</v>
      </c>
      <c r="M3264" s="17">
        <f>IF(A3266=A3267,_xll.ciqfunctions.udf.CIQ(A3258,"IQ_TOTAL_DEBT_ISSUED",IQ_FY-4), _xll.ciqfunctions.udf.CIQ(A3258, "IQ_TOTAL_DEBT_ISSUED",IQ_FY-3))</f>
        <v>320.09300000000002</v>
      </c>
      <c r="N3264" s="17">
        <f>IF(A3266=A3267,_xll.ciqfunctions.udf.CIQ(A3258,"IQ_TOTAL_DEBT_REPAID",IQ_FY-4), _xll.ciqfunctions.udf.CIQ(A3258, "IQ_TOTAL_DEBT_REPAID",IQ_FY-3))</f>
        <v>-127.941</v>
      </c>
      <c r="O3264" s="15">
        <f t="shared" si="869"/>
        <v>2.64893833338503</v>
      </c>
      <c r="P3264" s="15">
        <f t="shared" si="870"/>
        <v>2.9485416515886231</v>
      </c>
      <c r="Q3264" s="18"/>
      <c r="R3264" s="38" t="s">
        <v>29</v>
      </c>
      <c r="S3264" s="4">
        <f>(AVERAGE(P3263:P3268)/_xlfn.STDEV.P(P3263:P3268))/(IF(A3266=A3267,(_xlfn.SINGLE(_xll.ciqfunctions.udf.CIQ(A3258,"IQ_total_assets",IQ_FY)) - _xlfn.SINGLE(_xll.ciqfunctions.udf.CIQ(A3258,"iq_gw_intan", IQ_FY)))/I3268, (_xlfn.SINGLE(_xll.ciqfunctions.udf.CIQ(A3258, "IQ_total_assets",IQ_LTM))-_xlfn.SINGLE(_xll.ciqfunctions.udf.CIQ(A3258,"iq_gw_intan",IQ_LTM)))/I3268))</f>
        <v>0.15576022909149712</v>
      </c>
      <c r="U3264" s="18"/>
      <c r="V3264" s="38" t="s">
        <v>29</v>
      </c>
      <c r="W3264" s="4">
        <f>(AVERAGE(P3263:P3268)/_xlfn.STDEV.P(P3263:P3268))/(IF(A3266=A3267,(_xlfn.SINGLE(_xll.ciqfunctions.udf.CIQ(A3258,"IQ_total_assets",IQ_FY)) - _xlfn.SINGLE(_xll.ciqfunctions.udf.CIQ(A3258,"iq_gw_intan", IQ_FY)))/I3268, (_xlfn.SINGLE(_xll.ciqfunctions.udf.CIQ(A3258, "IQ_total_assets",IQ_LTM))-_xlfn.SINGLE(_xll.ciqfunctions.udf.CIQ(A3258,"iq_gw_intan",IQ_LTM)))/I3268))</f>
        <v>0.15576022909149712</v>
      </c>
      <c r="Y3264" s="18"/>
      <c r="Z3264" s="38" t="s">
        <v>29</v>
      </c>
      <c r="AA3264" s="4">
        <f>(AVERAGE(P3263:P3268)/_xlfn.STDEV.P(P3263:P3268))/(IF(A3266=A3267,(_xlfn.SINGLE(_xll.ciqfunctions.udf.CIQ(A3258,"IQ_total_assets",IQ_FY)) - _xlfn.SINGLE(_xll.ciqfunctions.udf.CIQ(A3258,"iq_gw_intan", IQ_FY)))/I3268, (_xlfn.SINGLE(_xll.ciqfunctions.udf.CIQ(A3258, "IQ_total_assets",IQ_LTM))-_xlfn.SINGLE(_xll.ciqfunctions.udf.CIQ(A3258,"iq_gw_intan",IQ_LTM)))/I3268))</f>
        <v>0.15576022909149712</v>
      </c>
    </row>
    <row r="3265" spans="1:27">
      <c r="A3265" s="18"/>
      <c r="B3265" s="13">
        <v>8</v>
      </c>
      <c r="C3265" s="14" t="s">
        <v>30</v>
      </c>
      <c r="D3265" s="15" cm="1">
        <f t="array" ref="D3265">_xlfn.SINGLE(IF(A3266=A3267,_xll.ciqfunctions.udf.CIQ(A3258,"IQ_TOTAL_REV",IQ_FY-3)/I3265, _xll.ciqfunctions.udf.CIQ(A3258, "IQ_TOTAL_REV",IQ_FY-2)/I3265))</f>
        <v>6.2993585772745542</v>
      </c>
      <c r="E3265" s="16">
        <f t="shared" si="871"/>
        <v>-4.2802116370936833E-3</v>
      </c>
      <c r="F3265" s="15">
        <f>IF(A3266=A3267,_xll.ciqfunctions.udf.CIQ(A3258,"IQ_DILUT_EPS_EXCL",IQ_FY-3), _xll.ciqfunctions.udf.CIQ(A3258, "IQ_DILUT_EPS_EXCL",IQ_FY-2))</f>
        <v>-0.14335999999999999</v>
      </c>
      <c r="G3265" s="15">
        <f>IF(A3266=A3267,_xll.ciqfunctions.udf.CIQ(A3258,"IQ_EBITDA_MARGIN",IQ_FY-3), _xll.ciqfunctions.udf.CIQ(A3258, "IQ_EBITDA_MARGIN",IQ_FY-2))</f>
        <v>7.5585000000000004</v>
      </c>
      <c r="H3265" s="15">
        <f>IF(A3266=A3267,_xll.ciqfunctions.udf.CIQ(A3258,"IQ_TOTAL_DIV_PAID_CF",IQ_FY-3)/-I3265, _xll.ciqfunctions.udf.CIQ(A3258, "IQ_TOTAL_DIV_PAID_CF",IQ_FY-2)/-I3265)</f>
        <v>0</v>
      </c>
      <c r="I3265" s="17">
        <f>IF(A3266=A3267,_xll.ciqfunctions.udf.CIQ(A3258,"IQ_TOTAL_OUTSTANDING_FILING_DATE",IQ_FY-3), _xll.ciqfunctions.udf.CIQ(A3258, "IQ_TOTAL_OUTSTANDING_FILING_DATE",IQ_FY-2))</f>
        <v>74.598230000000001</v>
      </c>
      <c r="J3265" s="17">
        <f>IF(A3266=A3267,_xll.ciqfunctions.udf.CIQ(A3258,"IQ_CASH_OPER",IQ_FY-3), _xll.ciqfunctions.udf.CIQ(A3258, "IQ_CASH_OPER",IQ_FY-2))</f>
        <v>32.881999999999998</v>
      </c>
      <c r="K3265" s="17">
        <f>IF(A3266=A3267,_xll.ciqfunctions.udf.CIQ(A3258,"IQ_CAPEX",IQ_FY-3), _xll.ciqfunctions.udf.CIQ(A3258, "IQ_CAPEX",IQ_FY-2))</f>
        <v>-6.093</v>
      </c>
      <c r="L3265" s="15">
        <f t="shared" si="868"/>
        <v>0.35911039712336335</v>
      </c>
      <c r="M3265" s="17">
        <f>IF(A3266=A3267,_xll.ciqfunctions.udf.CIQ(A3258,"IQ_TOTAL_DEBT_ISSUED",IQ_FY-3), _xll.ciqfunctions.udf.CIQ(A3258, "IQ_TOTAL_DEBT_ISSUED",IQ_FY-2))</f>
        <v>30</v>
      </c>
      <c r="N3265" s="17">
        <f>IF(A3266=A3267,_xll.ciqfunctions.udf.CIQ(A3258,"IQ_TOTAL_DEBT_REPAID",IQ_FY-3), _xll.ciqfunctions.udf.CIQ(A3258, "IQ_TOTAL_DEBT_REPAID",IQ_FY-2))</f>
        <v>0</v>
      </c>
      <c r="O3265" s="15">
        <f t="shared" si="869"/>
        <v>0.40215431384900152</v>
      </c>
      <c r="P3265" s="15">
        <f t="shared" si="870"/>
        <v>0.76126471097236492</v>
      </c>
      <c r="Q3265" s="18"/>
      <c r="R3265" s="39" t="s">
        <v>31</v>
      </c>
      <c r="S3265" s="5" t="e">
        <f>IF(NOT(D3258&gt;0),FALSE,SLOPE(G3258:G3268,B3258:B3268))</f>
        <v>#DIV/0!</v>
      </c>
      <c r="U3265" s="18"/>
      <c r="V3265" s="39" t="s">
        <v>31</v>
      </c>
      <c r="W3265" s="5" t="e">
        <f>IF(NOT(D3258&gt;0),FALSE,SLOPE(G3258:G3268,B3258:B3268))</f>
        <v>#DIV/0!</v>
      </c>
      <c r="Y3265" s="18"/>
      <c r="Z3265" s="39" t="s">
        <v>31</v>
      </c>
      <c r="AA3265" s="5" t="e">
        <f>IF(NOT(L3258&gt;0),FALSE,SLOPE(O3258:O3268,J3258:J3268))</f>
        <v>#DIV/0!</v>
      </c>
    </row>
    <row r="3266" spans="1:27">
      <c r="A3266" s="19">
        <f>_xll.ciqfunctions.udf.CIQ(A3258,"IQ_TOTAL_REV",IQ_FY)</f>
        <v>572.221</v>
      </c>
      <c r="B3266" s="13">
        <v>9</v>
      </c>
      <c r="C3266" s="14" t="s">
        <v>32</v>
      </c>
      <c r="D3266" s="15" cm="1">
        <f t="array" ref="D3266">_xlfn.SINGLE(IF(A3266=A3267,_xll.ciqfunctions.udf.CIQ(A3258,"IQ_TOTAL_REV",IQ_FY-2)/I3266, _xll.ciqfunctions.udf.CIQ(A3258, "IQ_TOTAL_REV",IQ_FY-1)/I3266))</f>
        <v>6.7094447419113132</v>
      </c>
      <c r="E3266" s="16">
        <f t="shared" si="871"/>
        <v>6.5099670007066762E-2</v>
      </c>
      <c r="F3266" s="15">
        <f>IF(A3266=A3267,_xll.ciqfunctions.udf.CIQ(A3258,"IQ_DILUT_EPS_EXCL",IQ_FY-2), _xll.ciqfunctions.udf.CIQ(A3258, "IQ_DILUT_EPS_EXCL",IQ_FY-1))</f>
        <v>-0.11544</v>
      </c>
      <c r="G3266" s="15">
        <f>IF(A3266=A3267,_xll.ciqfunctions.udf.CIQ(A3258,"IQ_EBITDA_MARGIN",IQ_FY-2), _xll.ciqfunctions.udf.CIQ(A3258, "IQ_EBITDA_MARGIN",IQ_FY-1))</f>
        <v>7.1372</v>
      </c>
      <c r="H3266" s="15">
        <f>IF(A3266=A3267,_xll.ciqfunctions.udf.CIQ(A3258,"IQ_TOTAL_DIV_PAID_CF",IQ_FY-2)/-I3266, _xll.ciqfunctions.udf.CIQ(A3258, "IQ_TOTAL_DIV_PAID_CF",IQ_FY-1)/-I3266)</f>
        <v>0</v>
      </c>
      <c r="I3266" s="17">
        <f>IF(A3266=A3267,_xll.ciqfunctions.udf.CIQ(A3258,"IQ_TOTAL_OUTSTANDING_FILING_DATE",IQ_FY-2), _xll.ciqfunctions.udf.CIQ(A3258, "IQ_TOTAL_OUTSTANDING_FILING_DATE",IQ_FY-1))</f>
        <v>79.317890000000006</v>
      </c>
      <c r="J3266" s="17">
        <f>IF(A3266=A3267,_xll.ciqfunctions.udf.CIQ(A3258,"IQ_CASH_OPER",IQ_FY-2), _xll.ciqfunctions.udf.CIQ(A3258, "IQ_CASH_OPER",IQ_FY-1))</f>
        <v>61.622999999999998</v>
      </c>
      <c r="K3266" s="17">
        <f>IF(A3266=A3267,_xll.ciqfunctions.udf.CIQ(A3258,"IQ_CAPEX",IQ_FY-2), _xll.ciqfunctions.udf.CIQ(A3258, "IQ_CAPEX",IQ_FY-1))</f>
        <v>-7.8490000000000002</v>
      </c>
      <c r="L3266" s="15">
        <f t="shared" si="868"/>
        <v>0.6779555028506179</v>
      </c>
      <c r="M3266" s="17">
        <f>IF(A3266=A3267,_xll.ciqfunctions.udf.CIQ(A3258,"IQ_TOTAL_DEBT_ISSUED",IQ_FY-2), _xll.ciqfunctions.udf.CIQ(A3258, "IQ_TOTAL_DEBT_ISSUED",IQ_FY-1))</f>
        <v>0</v>
      </c>
      <c r="N3266" s="17">
        <f>IF(A3266=A3267,_xll.ciqfunctions.udf.CIQ(A3258,"IQ_TOTAL_DEBT_REPAID",IQ_FY-2), _xll.ciqfunctions.udf.CIQ(A3258, "IQ_TOTAL_DEBT_REPAID",IQ_FY-1))</f>
        <v>-30</v>
      </c>
      <c r="O3266" s="15">
        <f t="shared" si="869"/>
        <v>-0.37822488722279424</v>
      </c>
      <c r="P3266" s="15">
        <f t="shared" si="870"/>
        <v>0.29973061562782366</v>
      </c>
      <c r="Q3266" s="25" t="s">
        <v>33</v>
      </c>
      <c r="R3266" s="38" t="s">
        <v>52</v>
      </c>
      <c r="S3266" s="4">
        <f>(AVERAGE(O3263:O3268)/AVERAGE(P3263:P3268))</f>
        <v>0.50421121547209524</v>
      </c>
      <c r="U3266" s="25" t="s">
        <v>54</v>
      </c>
      <c r="V3266" s="38" t="s">
        <v>52</v>
      </c>
      <c r="W3266" s="4">
        <f>(AVERAGE(O3263:O3268)/AVERAGE(P3263:P3268))</f>
        <v>0.50421121547209524</v>
      </c>
      <c r="Y3266" s="25" t="s">
        <v>60</v>
      </c>
      <c r="Z3266" s="38" t="s">
        <v>52</v>
      </c>
      <c r="AA3266" s="4">
        <f>(AVERAGE(O3263:O3268)/AVERAGE(P3263:P3268))</f>
        <v>0.50421121547209524</v>
      </c>
    </row>
    <row r="3267" spans="1:27">
      <c r="A3267" s="19">
        <f>_xll.ciqfunctions.udf.CIQ(A3258,"IQ_TOTAL_REV",IQ_LTM)</f>
        <v>601.63099999999997</v>
      </c>
      <c r="B3267" s="13">
        <v>10</v>
      </c>
      <c r="C3267" s="14" t="s">
        <v>34</v>
      </c>
      <c r="D3267" s="15" cm="1">
        <f t="array" ref="D3267">_xlfn.SINGLE(IF(A3266=A3267,_xll.ciqfunctions.udf.CIQ(A3258,"IQ_TOTAL_REV",IQ_FY-1)/I3267, _xll.ciqfunctions.udf.CIQ(A3258, "IQ_TOTAL_REV",IQ_FY)/I3267))</f>
        <v>7.1466637158514859</v>
      </c>
      <c r="E3267" s="16">
        <f t="shared" si="871"/>
        <v>6.5164703005754609E-2</v>
      </c>
      <c r="F3267" s="15">
        <f>IF(A3266=A3267,_xll.ciqfunctions.udf.CIQ(A3258,"IQ_DILUT_EPS_EXCL",IQ_FY-1), _xll.ciqfunctions.udf.CIQ(A3258, "IQ_DILUT_EPS_EXCL",IQ_FY))</f>
        <v>-0.54647000000000001</v>
      </c>
      <c r="G3267" s="15">
        <f>IF(A3266=A3267,_xll.ciqfunctions.udf.CIQ(A3258,"IQ_EBITDA_MARGIN",IQ_FY-1), _xll.ciqfunctions.udf.CIQ(A3258, "IQ_EBITDA_MARGIN",IQ_FY))</f>
        <v>4.9923000000000002</v>
      </c>
      <c r="H3267" s="15">
        <f>IF(A3266=A3267,_xll.ciqfunctions.udf.CIQ(A3258,"IQ_TOTAL_DIV_PAID_CF",IQ_FY-1)/-I3267, _xll.ciqfunctions.udf.CIQ(A3258, "IQ_TOTAL_DIV_PAID_CF",IQ_FY)/-I3267)</f>
        <v>0</v>
      </c>
      <c r="I3267" s="17">
        <f>IF(A3266=A3267,_xll.ciqfunctions.udf.CIQ(A3258,"IQ_TOTAL_OUTSTANDING_FILING_DATE",IQ_FY-1), _xll.ciqfunctions.udf.CIQ(A3258, "IQ_TOTAL_OUTSTANDING_FILING_DATE",IQ_FY))</f>
        <v>80.068269999999998</v>
      </c>
      <c r="J3267" s="17">
        <f>IF(A3266=A3267,_xll.ciqfunctions.udf.CIQ(A3258,"IQ_CASH_OPER",IQ_FY-1), _xll.ciqfunctions.udf.CIQ(A3258, "IQ_CASH_OPER",IQ_FY))</f>
        <v>39.57</v>
      </c>
      <c r="K3267" s="17">
        <f>IF(A3266=A3267,_xll.ciqfunctions.udf.CIQ(A3258,"IQ_CAPEX",IQ_FY-1), _xll.ciqfunctions.udf.CIQ(A3258, "IQ_CAPEX",IQ_FY))</f>
        <v>-9.6479999999999997</v>
      </c>
      <c r="L3267" s="15">
        <f t="shared" si="868"/>
        <v>0.37370608856666943</v>
      </c>
      <c r="M3267" s="17">
        <f>IF(A3266=A3267,_xll.ciqfunctions.udf.CIQ(A3258,"IQ_TOTAL_DEBT_ISSUED",IQ_FY-1), _xll.ciqfunctions.udf.CIQ(A3258, "IQ_TOTAL_DEBT_ISSUED",IQ_FY))</f>
        <v>224.26499999999999</v>
      </c>
      <c r="N3267" s="17">
        <f>IF(A3266=A3267,_xll.ciqfunctions.udf.CIQ(A3258,"IQ_TOTAL_DEBT_REPAID",IQ_FY-1), _xll.ciqfunctions.udf.CIQ(A3258, "IQ_TOTAL_DEBT_REPAID",IQ_FY))</f>
        <v>-192.422</v>
      </c>
      <c r="O3267" s="15">
        <f t="shared" si="869"/>
        <v>0.39769811437164798</v>
      </c>
      <c r="P3267" s="15">
        <f t="shared" si="870"/>
        <v>0.77140420293831746</v>
      </c>
      <c r="Q3267" s="25" t="s">
        <v>44</v>
      </c>
      <c r="R3267" s="38" t="s">
        <v>35</v>
      </c>
      <c r="S3267" s="1">
        <f>_xll.ciqfunctions.udf.CIQ(A3258,"IQ_TEV_EBITDA")</f>
        <v>120.89746</v>
      </c>
      <c r="U3267" s="25" t="s">
        <v>55</v>
      </c>
      <c r="V3267" s="38" t="s">
        <v>53</v>
      </c>
      <c r="W3267" s="1">
        <f>V3257/(AVERAGE(D3263:D3268)/_xlfn.STDEV.P(E3263:E3268))</f>
        <v>0.44002084464624164</v>
      </c>
      <c r="Y3267" s="25" t="s">
        <v>57</v>
      </c>
      <c r="Z3267" s="38" t="s">
        <v>53</v>
      </c>
      <c r="AA3267" s="1">
        <f>Z3257/(AVERAGE(D3263:D3268)/_xlfn.STDEV.P(E3263:E3268))</f>
        <v>0.44002084464624164</v>
      </c>
    </row>
    <row r="3268" spans="1:27">
      <c r="B3268" s="13">
        <v>11</v>
      </c>
      <c r="C3268" s="20" t="s">
        <v>36</v>
      </c>
      <c r="D3268" s="21" cm="1">
        <f t="array" ref="D3268">_xlfn.SINGLE(IF(A3266=A3267,_xll.ciqfunctions.udf.CIQ(A3258,"IQ_TOTAL_REV",IQ_FY)/I3268, _xll.ciqfunctions.udf.CIQ(A3258, "IQ_TOTAL_REV",IQ_LTM)/I3268))</f>
        <v>7.3673519444900588</v>
      </c>
      <c r="E3268" s="22">
        <f t="shared" si="871"/>
        <v>3.087989548872724E-2</v>
      </c>
      <c r="F3268" s="21">
        <f>IF(A3266=A3267,_xll.ciqfunctions.udf.CIQ(A3258,"IQ_DILUT_EPS_EXCL",IQ_FY), _xll.ciqfunctions.udf.CIQ(A3258, "IQ_DILUT_EPS_EXCL",IQ_LTM))</f>
        <v>-0.21016000000000001</v>
      </c>
      <c r="G3268" s="21">
        <f>IF(A3266=A3267,_xll.ciqfunctions.udf.CIQ(A3258,"IQ_EBITDA_MARGIN",IQ_FY), _xll.ciqfunctions.udf.CIQ(A3258, "IQ_EBITDA_MARGIN",IQ_LTM))</f>
        <v>5.8055000000000003</v>
      </c>
      <c r="H3268" s="21">
        <f>IF(A3266=A3267,_xll.ciqfunctions.udf.CIQ(A3258,"IQ_TOTAL_DIV_PAID_CF",IQ_FY)/-I3268, _xll.ciqfunctions.udf.CIQ(A3258, "IQ_TOTAL_DIV_PAID_CF",IQ_LTM)/-I3268)</f>
        <v>0</v>
      </c>
      <c r="I3268" s="23">
        <f>IF(A3266=A3267,_xll.ciqfunctions.udf.CIQ(A3258,"IQ_TOTAL_OUTSTANDING_FILING_DATE",IQ_FY),_xll.ciqfunctions.udf.CIQ(A3258,"IQ_sharesoutstanding"))</f>
        <v>81.661770000000004</v>
      </c>
      <c r="J3268" s="23">
        <f>IF(A3266=A3267,_xll.ciqfunctions.udf.CIQ(A3258,"IQ_CASH_OPER",IQ_FY), _xll.ciqfunctions.udf.CIQ(A3258, "IQ_CASH_OPER",IQ_LTM))</f>
        <v>118.69199999999999</v>
      </c>
      <c r="K3268" s="23">
        <f>IF(A3266=A3267,_xll.ciqfunctions.udf.CIQ(A3258,"IQ_CAPEX",IQ_FY), _xll.ciqfunctions.udf.CIQ(A3258, "IQ_CAPEX",IQ_LTM))</f>
        <v>-10.808999999999999</v>
      </c>
      <c r="L3268" s="21">
        <f t="shared" si="868"/>
        <v>1.3210955383406457</v>
      </c>
      <c r="M3268" s="23">
        <f>IF(A3266=A3267,_xll.ciqfunctions.udf.CIQ(A3258,"IQ_TOTAL_DEBT_ISSUED",IQ_FY), _xll.ciqfunctions.udf.CIQ(A3258, "IQ_TOTAL_DEBT_ISSUED",IQ_LTM))</f>
        <v>0</v>
      </c>
      <c r="N3268" s="23">
        <f>IF(A3266=A3267,_xll.ciqfunctions.udf.CIQ(A3258,"IQ_TOTAL_DEBT_REPAID",IQ_FY), _xll.ciqfunctions.udf.CIQ(A3258, "IQ_TOTAL_DEBT_REPAID",IQ_LTM))</f>
        <v>0</v>
      </c>
      <c r="O3268" s="21">
        <f t="shared" si="869"/>
        <v>0</v>
      </c>
      <c r="P3268" s="21">
        <f t="shared" si="870"/>
        <v>1.3210955383406457</v>
      </c>
      <c r="Q3268" s="25" t="s">
        <v>45</v>
      </c>
      <c r="S3268" s="45"/>
      <c r="U3268" s="25"/>
      <c r="W3268" s="45"/>
      <c r="Y3268" s="25"/>
      <c r="AA3268" s="45"/>
    </row>
    <row r="3269" spans="1:27">
      <c r="B3269" s="24"/>
      <c r="C3269" s="25" t="s">
        <v>37</v>
      </c>
      <c r="E3269" s="26">
        <f>((D3268/D3263)^(1/5))-1</f>
        <v>5.6080606906453889E-2</v>
      </c>
      <c r="F3269" s="27">
        <f>((F3268/F3263)^(1/5))-1</f>
        <v>-2.00015233453369</v>
      </c>
      <c r="G3269" s="28"/>
      <c r="H3269" s="27" t="e">
        <f>((H3268/H3263)^(1/5))-1</f>
        <v>#DIV/0!</v>
      </c>
      <c r="I3269" s="27">
        <f>((I3268/I3263)^(1/5))-1</f>
        <v>2.9311549882642618E-2</v>
      </c>
      <c r="J3269" s="27"/>
      <c r="K3269" s="27"/>
      <c r="L3269" s="26">
        <f>((L3268/L3263)^(1/5))-1</f>
        <v>0.25855023385008291</v>
      </c>
      <c r="M3269" s="26"/>
      <c r="N3269" s="26"/>
      <c r="O3269" s="26"/>
      <c r="P3269" s="26">
        <f>((P3268/P3263)^(1/5))-1</f>
        <v>9.0592578231940779E-2</v>
      </c>
      <c r="Q3269" s="18"/>
      <c r="R3269" s="36"/>
      <c r="S3269" s="45"/>
      <c r="U3269" s="18"/>
      <c r="V3269" s="36"/>
      <c r="W3269" s="45"/>
      <c r="Y3269" s="18"/>
      <c r="Z3269" s="36"/>
      <c r="AA3269" s="45"/>
    </row>
    <row r="3270" spans="1:27">
      <c r="A3270" s="29"/>
      <c r="B3270" s="30"/>
      <c r="C3270" s="31" t="s">
        <v>38</v>
      </c>
      <c r="D3270" s="29"/>
      <c r="E3270" s="32" t="e">
        <f>((D3268/D3258)^(1/10))-1</f>
        <v>#DIV/0!</v>
      </c>
      <c r="F3270" s="33" t="e">
        <f>((F3268/F3258)^(1/10))-1</f>
        <v>#DIV/0!</v>
      </c>
      <c r="G3270" s="34"/>
      <c r="H3270" s="33" t="e">
        <f>((H3268/H3258)^(1/10))-1</f>
        <v>#DIV/0!</v>
      </c>
      <c r="I3270" s="33" t="e">
        <f>((I3268/I3258)^(1/10))-1</f>
        <v>#DIV/0!</v>
      </c>
      <c r="J3270" s="33"/>
      <c r="K3270" s="33"/>
      <c r="L3270" s="32" t="e">
        <f>((L3268/L3258)^(1/10))-1</f>
        <v>#DIV/0!</v>
      </c>
      <c r="M3270" s="32"/>
      <c r="N3270" s="32"/>
      <c r="O3270" s="32"/>
      <c r="P3270" s="32" t="e">
        <f>((P3268/P3258)^(1/10))-1</f>
        <v>#DIV/0!</v>
      </c>
      <c r="Q3270" s="40"/>
      <c r="R3270" s="41"/>
      <c r="S3270" s="46"/>
      <c r="U3270" s="40"/>
      <c r="V3270" s="41"/>
      <c r="W3270" s="46"/>
      <c r="Y3270" s="40"/>
      <c r="Z3270" s="41"/>
      <c r="AA3270" s="46"/>
    </row>
    <row r="3271" spans="1:27">
      <c r="B3271" s="24"/>
      <c r="C3271" s="25"/>
      <c r="E3271" s="26"/>
      <c r="F3271" s="27"/>
      <c r="G3271" s="28"/>
      <c r="H3271" s="27"/>
      <c r="I3271" s="27"/>
      <c r="J3271" s="27"/>
      <c r="K3271" s="27"/>
      <c r="L3271" s="26"/>
      <c r="M3271" s="17"/>
      <c r="N3271" s="17"/>
      <c r="O3271" s="17"/>
      <c r="P3271" s="35"/>
      <c r="Q3271" s="18"/>
      <c r="R3271" s="36"/>
    </row>
    <row r="3272" spans="1:27">
      <c r="A3272" s="9" t="s">
        <v>0</v>
      </c>
      <c r="B3272" s="10"/>
      <c r="C3272" s="9" t="s">
        <v>1</v>
      </c>
      <c r="D3272" s="9" t="s">
        <v>2</v>
      </c>
      <c r="E3272" s="9" t="s">
        <v>3</v>
      </c>
      <c r="F3272" s="11" t="s">
        <v>4</v>
      </c>
      <c r="G3272" s="11" t="s">
        <v>5</v>
      </c>
      <c r="H3272" s="9" t="s">
        <v>6</v>
      </c>
      <c r="I3272" s="11" t="s">
        <v>7</v>
      </c>
      <c r="J3272" s="11" t="s">
        <v>8</v>
      </c>
      <c r="K3272" s="11" t="s">
        <v>9</v>
      </c>
      <c r="L3272" s="11" t="s">
        <v>10</v>
      </c>
      <c r="M3272" s="11" t="s">
        <v>11</v>
      </c>
      <c r="N3272" s="11" t="s">
        <v>12</v>
      </c>
      <c r="O3272" s="11" t="s">
        <v>13</v>
      </c>
      <c r="P3272" s="11" t="s">
        <v>14</v>
      </c>
      <c r="Q3272" s="37" t="s">
        <v>15</v>
      </c>
      <c r="R3272" s="42">
        <f>_xll.ciqfunctions.udf.CIQ(A3273,("IQ_LASTSALEPRICE"))</f>
        <v>30.3</v>
      </c>
      <c r="S3272" s="44"/>
      <c r="U3272" s="37" t="s">
        <v>15</v>
      </c>
      <c r="V3272" s="42">
        <f>_xll.ciqfunctions.udf.CIQ(A3273,("IQ_LASTSALEPRICE"))</f>
        <v>30.3</v>
      </c>
      <c r="W3272" s="44"/>
      <c r="Y3272" s="37" t="s">
        <v>15</v>
      </c>
      <c r="Z3272" s="42">
        <f>_xll.ciqfunctions.udf.CIQ(A3273,("IQ_LASTSALEPRICE"))</f>
        <v>30.3</v>
      </c>
      <c r="AA3272" s="44"/>
    </row>
    <row r="3273" spans="1:27">
      <c r="A3273" s="12" t="str">
        <f>Analysis!B220</f>
        <v>NasdaqGS:NCNO</v>
      </c>
      <c r="B3273" s="13">
        <v>1</v>
      </c>
      <c r="C3273" s="14" t="s">
        <v>16</v>
      </c>
      <c r="D3273" s="15" t="e">
        <f>IF(A3281=A3282,_xll.ciqfunctions.udf.CIQ(A3273,"IQ_TOTAL_REV",IQ_FY-10)/I3273,_xll.ciqfunctions.udf.CIQ(A3273, "IQ_TOTAL_REV",IQ_FY-9)/I3273)</f>
        <v>#DIV/0!</v>
      </c>
      <c r="E3273" s="16"/>
      <c r="F3273" s="15">
        <f>IF(A3281=A3282,_xll.ciqfunctions.udf.CIQ(A3273,"IQ_DILUT_EPS_EXCL",IQ_FY-10), _xll.ciqfunctions.udf.CIQ(A3273, "IQ_DILUT_EPS_EXCL",IQ_FY-9))</f>
        <v>0</v>
      </c>
      <c r="G3273" s="15">
        <f>IF(A3281=A3282,_xll.ciqfunctions.udf.CIQ(A3273,"IQ_EBITDA_MARGIN",IQ_FY-10), _xll.ciqfunctions.udf.CIQ(A3273, "IQ_EBITDA_MARGIN",IQ_FY-9))</f>
        <v>0</v>
      </c>
      <c r="H3273" s="15" t="e">
        <f>IF(A3281=A3282,_xll.ciqfunctions.udf.CIQ(A3273,"IQ_TOTAL_DIV_PAID_CF",IQ_FY-10)/-I3273, _xll.ciqfunctions.udf.CIQ(A3273, "IQ_TOTAL_DIV_PAID_CF",IQ_FY-9)/-I3273)</f>
        <v>#DIV/0!</v>
      </c>
      <c r="I3273" s="17">
        <f>IF(A3281=A3282,_xll.ciqfunctions.udf.CIQ(A3273,"IQ_TOTAL_OUTSTANDING_FILING_DATE",IQ_FY-10), _xll.ciqfunctions.udf.CIQ(A3273, "IQ_TOTAL_OUTSTANDING_FILING_DATE",IQ_FY-9))</f>
        <v>0</v>
      </c>
      <c r="J3273" s="17">
        <f>IF(A3281=A3282,_xll.ciqfunctions.udf.CIQ(A3273,"IQ_CASH_OPER",IQ_FY-10), _xll.ciqfunctions.udf.CIQ(A3273, "IQ_CASH_OPER",IQ_FY-9))</f>
        <v>0</v>
      </c>
      <c r="K3273" s="17">
        <f>IF(A3281=A3282,_xll.ciqfunctions.udf.CIQ(A3273,"IQ_CAPEX",IQ_FY-10), _xll.ciqfunctions.udf.CIQ(A3273, "IQ_CAPEX",IQ_FY-9))</f>
        <v>0</v>
      </c>
      <c r="L3273" s="15" t="e">
        <f t="shared" ref="L3273:L3283" si="872">(J3273+K3273)/I3273</f>
        <v>#DIV/0!</v>
      </c>
      <c r="M3273" s="17">
        <f>IF(A3281=A3282,_xll.ciqfunctions.udf.CIQ(A3273,"IQ_TOTAL_DEBT_ISSUED",IQ_FY-10), _xll.ciqfunctions.udf.CIQ(A3273, "IQ_TOTAL_DEBT_ISSUED",IQ_FY-9))</f>
        <v>0</v>
      </c>
      <c r="N3273" s="17">
        <f>IF(A3281=A3282,_xll.ciqfunctions.udf.CIQ(A3273,"IQ_TOTAL_DEBT_REPAID",IQ_FY-10), _xll.ciqfunctions.udf.CIQ(A3273, "IQ_TOTAL_DEBT_REPAID",IQ_FY-9))</f>
        <v>0</v>
      </c>
      <c r="O3273" s="15" t="e">
        <f t="shared" ref="O3273:O3283" si="873">(M3273+N3273)/I3273</f>
        <v>#DIV/0!</v>
      </c>
      <c r="P3273" s="15" t="e">
        <f t="shared" ref="P3273:P3283" si="874">L3273+O3273</f>
        <v>#DIV/0!</v>
      </c>
      <c r="W3273" s="43"/>
      <c r="AA3273" s="43"/>
    </row>
    <row r="3274" spans="1:27">
      <c r="A3274" s="18" t="str">
        <f>_xll.ciqfunctions.udf.CIQ(A3273,"IQ_COMPANY_NAME")</f>
        <v>nCino, Inc.</v>
      </c>
      <c r="B3274" s="13">
        <v>2</v>
      </c>
      <c r="C3274" s="14" t="s">
        <v>17</v>
      </c>
      <c r="D3274" s="15" t="e">
        <f>IF(A3281=A3282,_xll.ciqfunctions.udf.CIQ(A3273,"IQ_TOTAL_REV",IQ_FY-9)/I3274, _xll.ciqfunctions.udf.CIQ(A3273, "IQ_TOTAL_REV",IQ_FY-8)/I3274)</f>
        <v>#DIV/0!</v>
      </c>
      <c r="E3274" s="16" t="e">
        <f t="shared" ref="E3274:E3283" si="875">(D3274-D3273)/D3273</f>
        <v>#DIV/0!</v>
      </c>
      <c r="F3274" s="15">
        <f>IF(A3281=A3282,_xll.ciqfunctions.udf.CIQ(A3273,"IQ_DILUT_EPS_EXCL",IQ_FY-9), _xll.ciqfunctions.udf.CIQ(A3273, "IQ_DILUT_EPS_EXCL",IQ_FY-8))</f>
        <v>0</v>
      </c>
      <c r="G3274" s="15">
        <f>IF(A3281=A3282,_xll.ciqfunctions.udf.CIQ(A3273,"IQ_EBITDA_MARGIN",IQ_FY-9), _xll.ciqfunctions.udf.CIQ(A3273, "IQ_EBITDA_MARGIN",IQ_FY-8))</f>
        <v>0</v>
      </c>
      <c r="H3274" s="15" t="e">
        <f>IF(A3281=A3282,_xll.ciqfunctions.udf.CIQ(A3273,"IQ_TOTAL_DIV_PAID_CF",IQ_FY-9)/-I3274, _xll.ciqfunctions.udf.CIQ(A3273, "IQ_TOTAL_DIV_PAID_CF",IQ_FY-8)/-I3274)</f>
        <v>#DIV/0!</v>
      </c>
      <c r="I3274" s="17">
        <f>IF(A3281=A3282,_xll.ciqfunctions.udf.CIQ(A3273,"IQ_TOTAL_OUTSTANDING_FILING_DATE",IQ_FY-9), _xll.ciqfunctions.udf.CIQ(A3273, "IQ_TOTAL_OUTSTANDING_FILING_DATE",IQ_FY-8))</f>
        <v>0</v>
      </c>
      <c r="J3274" s="17">
        <f>IF(A3281=A3282,_xll.ciqfunctions.udf.CIQ(A3273,"IQ_CASH_OPER",IQ_FY-9), _xll.ciqfunctions.udf.CIQ(A3273, "IQ_CASH_OPER",IQ_FY-8))</f>
        <v>0</v>
      </c>
      <c r="K3274" s="17">
        <f>IF(A3281=A3282,_xll.ciqfunctions.udf.CIQ(A3273,"IQ_CAPEX",IQ_FY-9), _xll.ciqfunctions.udf.CIQ(A3273, "IQ_CAPEX",IQ_FY-8))</f>
        <v>0</v>
      </c>
      <c r="L3274" s="15" t="e">
        <f t="shared" si="872"/>
        <v>#DIV/0!</v>
      </c>
      <c r="M3274" s="17">
        <f>IF(A3281=A3282,_xll.ciqfunctions.udf.CIQ(A3273,"IQ_TOTAL_DEBT_ISSUED",IQ_FY-9), _xll.ciqfunctions.udf.CIQ(A3273, "IQ_TOTAL_DEBT_ISSUED",IQ_FY-8))</f>
        <v>0</v>
      </c>
      <c r="N3274" s="17">
        <f>IF(A3281=A3282,_xll.ciqfunctions.udf.CIQ(A3273,"IQ_TOTAL_DEBT_REPAID",IQ_FY-9), _xll.ciqfunctions.udf.CIQ(A3273, "IQ_TOTAL_DEBT_REPAID",IQ_FY-8))</f>
        <v>0</v>
      </c>
      <c r="O3274" s="15" t="e">
        <f t="shared" si="873"/>
        <v>#DIV/0!</v>
      </c>
      <c r="P3274" s="15" t="e">
        <f t="shared" si="874"/>
        <v>#DIV/0!</v>
      </c>
      <c r="Q3274" s="25" t="s">
        <v>18</v>
      </c>
      <c r="R3274" s="39" t="s">
        <v>19</v>
      </c>
      <c r="S3274" s="1">
        <f>R3272/((AVERAGE(P3278:P3283))*(1+E3284)^3)</f>
        <v>-165.06095729695619</v>
      </c>
      <c r="U3274" s="25" t="s">
        <v>48</v>
      </c>
      <c r="V3274" s="39" t="s">
        <v>19</v>
      </c>
      <c r="W3274" s="1">
        <f>V3272/((AVERAGE(P3278:P3283))*(1+E3284)^3)</f>
        <v>-165.06095729695619</v>
      </c>
      <c r="Y3274" s="25" t="s">
        <v>39</v>
      </c>
      <c r="Z3274" s="39" t="s">
        <v>19</v>
      </c>
      <c r="AA3274" s="1">
        <f>Z3272/((AVERAGE(P3278:P3283))*(1+E3284)^3)</f>
        <v>-165.06095729695619</v>
      </c>
    </row>
    <row r="3275" spans="1:27">
      <c r="B3275" s="13">
        <v>3</v>
      </c>
      <c r="C3275" s="14" t="s">
        <v>20</v>
      </c>
      <c r="D3275" s="15" t="e" cm="1">
        <f t="array" ref="D3275">_xlfn.SINGLE(IF(A3281=A3282,_xll.ciqfunctions.udf.CIQ(A3273,"IQ_TOTAL_REV",IQ_FY-8)/I3275, _xll.ciqfunctions.udf.CIQ(A3273, "IQ_TOTAL_REV",IQ_FY-7)/I3275))</f>
        <v>#DIV/0!</v>
      </c>
      <c r="E3275" s="16" t="e">
        <f t="shared" si="875"/>
        <v>#DIV/0!</v>
      </c>
      <c r="F3275" s="15">
        <f>IF(A3281=A3282,_xll.ciqfunctions.udf.CIQ(A3273,"IQ_DILUT_EPS_EXCL",IQ_FY-8), _xll.ciqfunctions.udf.CIQ(A3273, "IQ_DILUT_EPS_EXCL",IQ_FY-7))</f>
        <v>0</v>
      </c>
      <c r="G3275" s="15">
        <f>IF(A3281=A3282,_xll.ciqfunctions.udf.CIQ(A3273,"IQ_EBITDA_MARGIN",IQ_FY-8), _xll.ciqfunctions.udf.CIQ(A3273, "IQ_EBITDA_MARGIN",IQ_FY-7))</f>
        <v>0</v>
      </c>
      <c r="H3275" s="15" t="e">
        <f>IF(A3281=A3282,_xll.ciqfunctions.udf.CIQ(A3273,"IQ_TOTAL_DIV_PAID_CF",IQ_FY-8)/-I3275, _xll.ciqfunctions.udf.CIQ(A3273, "IQ_TOTAL_DIV_PAID_CF",IQ_FY-7)/-I3275)</f>
        <v>#DIV/0!</v>
      </c>
      <c r="I3275" s="17">
        <f>IF(A3281=A3282,_xll.ciqfunctions.udf.CIQ(A3273,"IQ_TOTAL_OUTSTANDING_FILING_DATE",IQ_FY-8), _xll.ciqfunctions.udf.CIQ(A3273, "IQ_TOTAL_OUTSTANDING_FILING_DATE",IQ_FY-7))</f>
        <v>0</v>
      </c>
      <c r="J3275" s="17">
        <f>IF(A3281=A3282,_xll.ciqfunctions.udf.CIQ(A3273,"IQ_CASH_OPER",IQ_FY-8), _xll.ciqfunctions.udf.CIQ(A3273, "IQ_CASH_OPER",IQ_FY-7))</f>
        <v>0</v>
      </c>
      <c r="K3275" s="17">
        <f>IF(A3281=A3282,_xll.ciqfunctions.udf.CIQ(A3273,"IQ_CAPEX",IQ_FY-8), _xll.ciqfunctions.udf.CIQ(A3273, "IQ_CAPEX",IQ_FY-7))</f>
        <v>0</v>
      </c>
      <c r="L3275" s="15" t="e">
        <f t="shared" si="872"/>
        <v>#DIV/0!</v>
      </c>
      <c r="M3275" s="17">
        <f>IF(A3281=A3282,_xll.ciqfunctions.udf.CIQ(A3273,"IQ_TOTAL_DEBT_ISSUED",IQ_FY-8), _xll.ciqfunctions.udf.CIQ(A3273, "IQ_TOTAL_DEBT_ISSUED",IQ_FY-7))</f>
        <v>0</v>
      </c>
      <c r="N3275" s="17">
        <f>IF(A3281=A3282,_xll.ciqfunctions.udf.CIQ(A3273,"IQ_TOTAL_DEBT_REPAID",IQ_FY-8), _xll.ciqfunctions.udf.CIQ(A3273, "IQ_TOTAL_DEBT_REPAID",IQ_FY-7))</f>
        <v>0</v>
      </c>
      <c r="O3275" s="15" t="e">
        <f t="shared" si="873"/>
        <v>#DIV/0!</v>
      </c>
      <c r="P3275" s="15" t="e">
        <f t="shared" si="874"/>
        <v>#DIV/0!</v>
      </c>
      <c r="Q3275" s="25" t="s">
        <v>21</v>
      </c>
      <c r="R3275" s="38" t="s">
        <v>49</v>
      </c>
      <c r="S3275" s="2">
        <f>(R3272*I3283)/1000</f>
        <v>3.4212093599999998</v>
      </c>
      <c r="U3275" s="25" t="s">
        <v>59</v>
      </c>
      <c r="V3275" s="38" t="s">
        <v>49</v>
      </c>
      <c r="W3275" s="2">
        <f>(V3272*I3283)/1000</f>
        <v>3.4212093599999998</v>
      </c>
      <c r="Y3275" s="25" t="s">
        <v>46</v>
      </c>
      <c r="Z3275" s="38" t="s">
        <v>49</v>
      </c>
      <c r="AA3275" s="2">
        <f>(Z3272*I3283)/1000</f>
        <v>3.4212093599999998</v>
      </c>
    </row>
    <row r="3276" spans="1:27">
      <c r="A3276" s="18"/>
      <c r="B3276" s="13">
        <v>4</v>
      </c>
      <c r="C3276" s="14" t="s">
        <v>22</v>
      </c>
      <c r="D3276" s="15" t="e" cm="1">
        <f t="array" ref="D3276">_xlfn.SINGLE(IF(A3281=A3282,_xll.ciqfunctions.udf.CIQ(A3273,"IQ_TOTAL_REV",IQ_FY-7)/I3276, _xll.ciqfunctions.udf.CIQ(A3273, "IQ_TOTAL_REV",IQ_FY-6)/I3276))</f>
        <v>#DIV/0!</v>
      </c>
      <c r="E3276" s="16" t="e">
        <f t="shared" si="875"/>
        <v>#DIV/0!</v>
      </c>
      <c r="F3276" s="15">
        <f>IF(A3281=A3282,_xll.ciqfunctions.udf.CIQ(A3273,"IQ_DILUT_EPS_EXCL",IQ_FY-7), _xll.ciqfunctions.udf.CIQ(A3273, "IQ_DILUT_EPS_EXCL",IQ_FY-6))</f>
        <v>0</v>
      </c>
      <c r="G3276" s="15">
        <f>IF(A3281=A3282,_xll.ciqfunctions.udf.CIQ(A3273,"IQ_EBITDA_MARGIN",IQ_FY-7), _xll.ciqfunctions.udf.CIQ(A3273, "IQ_EBITDA_MARGIN",IQ_FY-6))</f>
        <v>0</v>
      </c>
      <c r="H3276" s="15" t="e">
        <f>IF(A3281=A3282,_xll.ciqfunctions.udf.CIQ(A3273,"IQ_TOTAL_DIV_PAID_CF",IQ_FY-7)/-I3276, _xll.ciqfunctions.udf.CIQ(A3273, "IQ_TOTAL_DIV_PAID_CF",IQ_FY-6)/-I3276)</f>
        <v>#DIV/0!</v>
      </c>
      <c r="I3276" s="17">
        <f>IF(A3281=A3282,_xll.ciqfunctions.udf.CIQ(A3273,"IQ_TOTAL_OUTSTANDING_FILING_DATE",IQ_FY-7), _xll.ciqfunctions.udf.CIQ(A3273, "IQ_TOTAL_OUTSTANDING_FILING_DATE",IQ_FY-6))</f>
        <v>0</v>
      </c>
      <c r="J3276" s="17">
        <f>IF(A3281=A3282,_xll.ciqfunctions.udf.CIQ(A3273,"IQ_CASH_OPER",IQ_FY-7), _xll.ciqfunctions.udf.CIQ(A3273, "IQ_CASH_OPER",IQ_FY-6))</f>
        <v>0</v>
      </c>
      <c r="K3276" s="17">
        <f>IF(A3281=A3282,_xll.ciqfunctions.udf.CIQ(A3273,"IQ_CAPEX",IQ_FY-7), _xll.ciqfunctions.udf.CIQ(A3273, "IQ_CAPEX",IQ_FY-6))</f>
        <v>0</v>
      </c>
      <c r="L3276" s="15" t="e">
        <f t="shared" si="872"/>
        <v>#DIV/0!</v>
      </c>
      <c r="M3276" s="17">
        <f>IF(A3281=A3282,_xll.ciqfunctions.udf.CIQ(A3273,"IQ_TOTAL_DEBT_ISSUED",IQ_FY-7), _xll.ciqfunctions.udf.CIQ(A3273, "IQ_TOTAL_DEBT_ISSUED",IQ_FY-6))</f>
        <v>0</v>
      </c>
      <c r="N3276" s="17">
        <f>IF(A3281=A3282,_xll.ciqfunctions.udf.CIQ(A3273,"IQ_TOTAL_DEBT_REPAID",IQ_FY-7), _xll.ciqfunctions.udf.CIQ(A3273, "IQ_TOTAL_DEBT_REPAID",IQ_FY-6))</f>
        <v>0</v>
      </c>
      <c r="O3276" s="15" t="e">
        <f t="shared" si="873"/>
        <v>#DIV/0!</v>
      </c>
      <c r="P3276" s="15" t="e">
        <f t="shared" si="874"/>
        <v>#DIV/0!</v>
      </c>
      <c r="Q3276" s="25" t="s">
        <v>23</v>
      </c>
      <c r="R3276" s="38" t="s">
        <v>24</v>
      </c>
      <c r="S3276" s="1" t="e">
        <f>R3272/(AVERAGE(H3278:H3283)*(1+H3284)/(0.5-H3284))</f>
        <v>#DIV/0!</v>
      </c>
      <c r="U3276" s="25" t="s">
        <v>40</v>
      </c>
      <c r="V3276" s="38" t="s">
        <v>24</v>
      </c>
      <c r="W3276" s="1" t="e">
        <f>V3272/(AVERAGE(H3278:H3283)*(1+H3284)/(0.5-H3284))</f>
        <v>#DIV/0!</v>
      </c>
      <c r="Y3276" s="25" t="s">
        <v>47</v>
      </c>
      <c r="Z3276" s="38" t="s">
        <v>24</v>
      </c>
      <c r="AA3276" s="1" t="e">
        <f>Z3272/(AVERAGE(H3278:H3283)*(1+H3284)/(0.5-H3284))</f>
        <v>#DIV/0!</v>
      </c>
    </row>
    <row r="3277" spans="1:27">
      <c r="B3277" s="13">
        <v>5</v>
      </c>
      <c r="C3277" s="14" t="s">
        <v>25</v>
      </c>
      <c r="D3277" s="15" t="e" cm="1">
        <f t="array" ref="D3277">_xlfn.SINGLE(IF(A3281=A3282,_xll.ciqfunctions.udf.CIQ(A3273,"IQ_TOTAL_REV",IQ_FY-6)/I3277, _xll.ciqfunctions.udf.CIQ(A3273, "IQ_TOTAL_REV",IQ_FY-5)/I3277))</f>
        <v>#DIV/0!</v>
      </c>
      <c r="E3277" s="16" t="e">
        <f t="shared" si="875"/>
        <v>#DIV/0!</v>
      </c>
      <c r="F3277" s="15">
        <f>IF(A3281=A3282,_xll.ciqfunctions.udf.CIQ(A3273,"IQ_DILUT_EPS_EXCL",IQ_FY-6), _xll.ciqfunctions.udf.CIQ(A3273, "IQ_DILUT_EPS_EXCL",IQ_FY-5))</f>
        <v>0</v>
      </c>
      <c r="G3277" s="15">
        <f>IF(A3281=A3282,_xll.ciqfunctions.udf.CIQ(A3273,"IQ_EBITDA_MARGIN",IQ_FY-6), _xll.ciqfunctions.udf.CIQ(A3273, "IQ_EBITDA_MARGIN",IQ_FY-5))</f>
        <v>-30.6233</v>
      </c>
      <c r="H3277" s="15" t="e">
        <f>IF(A3281=A3282,_xll.ciqfunctions.udf.CIQ(A3273,"IQ_TOTAL_DIV_PAID_CF",IQ_FY-6)/-I3277, _xll.ciqfunctions.udf.CIQ(A3273, "IQ_TOTAL_DIV_PAID_CF",IQ_FY-5)/-I3277)</f>
        <v>#DIV/0!</v>
      </c>
      <c r="I3277" s="17">
        <f>IF(A3281=A3282,_xll.ciqfunctions.udf.CIQ(A3273,"IQ_TOTAL_OUTSTANDING_FILING_DATE",IQ_FY-6), _xll.ciqfunctions.udf.CIQ(A3273, "IQ_TOTAL_OUTSTANDING_FILING_DATE",IQ_FY-5))</f>
        <v>0</v>
      </c>
      <c r="J3277" s="17">
        <f>IF(A3281=A3282,_xll.ciqfunctions.udf.CIQ(A3273,"IQ_CASH_OPER",IQ_FY-6), _xll.ciqfunctions.udf.CIQ(A3273, "IQ_CASH_OPER",IQ_FY-5))</f>
        <v>-15.958</v>
      </c>
      <c r="K3277" s="17">
        <f>IF(A3281=A3282,_xll.ciqfunctions.udf.CIQ(A3273,"IQ_CAPEX",IQ_FY-6), _xll.ciqfunctions.udf.CIQ(A3273, "IQ_CAPEX",IQ_FY-5))</f>
        <v>-2.8370000000000002</v>
      </c>
      <c r="L3277" s="15" t="e">
        <f t="shared" si="872"/>
        <v>#DIV/0!</v>
      </c>
      <c r="M3277" s="17">
        <f>IF(A3281=A3282,_xll.ciqfunctions.udf.CIQ(A3273,"IQ_TOTAL_DEBT_ISSUED",IQ_FY-6), _xll.ciqfunctions.udf.CIQ(A3273, "IQ_TOTAL_DEBT_ISSUED",IQ_FY-5))</f>
        <v>0</v>
      </c>
      <c r="N3277" s="17">
        <f>IF(A3281=A3282,_xll.ciqfunctions.udf.CIQ(A3273,"IQ_TOTAL_DEBT_REPAID",IQ_FY-6), _xll.ciqfunctions.udf.CIQ(A3273, "IQ_TOTAL_DEBT_REPAID",IQ_FY-5))</f>
        <v>0</v>
      </c>
      <c r="O3277" s="15" t="e">
        <f t="shared" si="873"/>
        <v>#DIV/0!</v>
      </c>
      <c r="P3277" s="15" t="e">
        <f t="shared" si="874"/>
        <v>#DIV/0!</v>
      </c>
      <c r="Q3277" s="18"/>
      <c r="R3277" s="38" t="s">
        <v>50</v>
      </c>
      <c r="S3277" s="3">
        <f>I3284</f>
        <v>8.2712667805450835E-2</v>
      </c>
      <c r="U3277" s="18"/>
      <c r="V3277" s="38" t="s">
        <v>50</v>
      </c>
      <c r="W3277" s="3">
        <f>I3284</f>
        <v>8.2712667805450835E-2</v>
      </c>
      <c r="Y3277" s="18"/>
      <c r="Z3277" s="38" t="s">
        <v>50</v>
      </c>
      <c r="AA3277" s="3">
        <f>I3284</f>
        <v>8.2712667805450835E-2</v>
      </c>
    </row>
    <row r="3278" spans="1:27">
      <c r="B3278" s="13">
        <v>6</v>
      </c>
      <c r="C3278" s="14" t="s">
        <v>26</v>
      </c>
      <c r="D3278" s="15" cm="1">
        <f t="array" ref="D3278">_xlfn.SINGLE(IF(A3281=A3282,_xll.ciqfunctions.udf.CIQ(A3273,"IQ_TOTAL_REV",IQ_FY-5)/I3278, _xll.ciqfunctions.udf.CIQ(A3273, "IQ_TOTAL_REV",IQ_FY-4)/I3278))</f>
        <v>1.2061782936399903</v>
      </c>
      <c r="E3278" s="16" t="e">
        <f t="shared" si="875"/>
        <v>#DIV/0!</v>
      </c>
      <c r="F3278" s="15">
        <f>IF(A3281=A3282,_xll.ciqfunctions.udf.CIQ(A3273,"IQ_DILUT_EPS_EXCL",IQ_FY-5), _xll.ciqfunctions.udf.CIQ(A3273, "IQ_DILUT_EPS_EXCL",IQ_FY-4))</f>
        <v>-0.29903000000000002</v>
      </c>
      <c r="G3278" s="15">
        <f>IF(A3281=A3282,_xll.ciqfunctions.udf.CIQ(A3273,"IQ_EBITDA_MARGIN",IQ_FY-5), _xll.ciqfunctions.udf.CIQ(A3273, "IQ_EBITDA_MARGIN",IQ_FY-4))</f>
        <v>-23.770399999999999</v>
      </c>
      <c r="H3278" s="15">
        <f>IF(A3281=A3282,_xll.ciqfunctions.udf.CIQ(A3273,"IQ_TOTAL_DIV_PAID_CF",IQ_FY-5)/-I3278, _xll.ciqfunctions.udf.CIQ(A3273, "IQ_TOTAL_DIV_PAID_CF",IQ_FY-4)/-I3278)</f>
        <v>0</v>
      </c>
      <c r="I3278" s="17">
        <f>IF(A3281=A3282,_xll.ciqfunctions.udf.CIQ(A3273,"IQ_TOTAL_OUTSTANDING_FILING_DATE",IQ_FY-5), _xll.ciqfunctions.udf.CIQ(A3273, "IQ_TOTAL_OUTSTANDING_FILING_DATE",IQ_FY-4))</f>
        <v>75.887619999999998</v>
      </c>
      <c r="J3278" s="17">
        <f>IF(A3281=A3282,_xll.ciqfunctions.udf.CIQ(A3273,"IQ_CASH_OPER",IQ_FY-5), _xll.ciqfunctions.udf.CIQ(A3273, "IQ_CASH_OPER",IQ_FY-4))</f>
        <v>-4.5890000000000004</v>
      </c>
      <c r="K3278" s="17">
        <f>IF(A3281=A3282,_xll.ciqfunctions.udf.CIQ(A3273,"IQ_CAPEX",IQ_FY-5), _xll.ciqfunctions.udf.CIQ(A3273, "IQ_CAPEX",IQ_FY-4))</f>
        <v>-7.9649999999999999</v>
      </c>
      <c r="L3278" s="15">
        <f t="shared" si="872"/>
        <v>-0.16542882752153779</v>
      </c>
      <c r="M3278" s="17">
        <f>IF(A3281=A3282,_xll.ciqfunctions.udf.CIQ(A3273,"IQ_TOTAL_DEBT_ISSUED",IQ_FY-5), _xll.ciqfunctions.udf.CIQ(A3273, "IQ_TOTAL_DEBT_ISSUED",IQ_FY-4))</f>
        <v>0</v>
      </c>
      <c r="N3278" s="17">
        <f>IF(A3281=A3282,_xll.ciqfunctions.udf.CIQ(A3273,"IQ_TOTAL_DEBT_REPAID",IQ_FY-5), _xll.ciqfunctions.udf.CIQ(A3273, "IQ_TOTAL_DEBT_REPAID",IQ_FY-4))</f>
        <v>0</v>
      </c>
      <c r="O3278" s="15">
        <f t="shared" si="873"/>
        <v>0</v>
      </c>
      <c r="P3278" s="15">
        <f t="shared" si="874"/>
        <v>-0.16542882752153779</v>
      </c>
      <c r="Q3278" s="25" t="s">
        <v>27</v>
      </c>
      <c r="R3278" s="38" t="s">
        <v>51</v>
      </c>
      <c r="S3278" s="4">
        <f>AVERAGE(F3278:F3283)/AVERAGE(D3278:D3283)</f>
        <v>-0.21105324436274897</v>
      </c>
      <c r="U3278" s="25" t="s">
        <v>58</v>
      </c>
      <c r="V3278" s="38" t="s">
        <v>51</v>
      </c>
      <c r="W3278" s="4">
        <f>AVERAGE(F3278:F3283)/AVERAGE(D3278:D3283)</f>
        <v>-0.21105324436274897</v>
      </c>
      <c r="Y3278" s="25" t="s">
        <v>56</v>
      </c>
      <c r="Z3278" s="38" t="s">
        <v>51</v>
      </c>
      <c r="AA3278" s="4">
        <f>AVERAGE(F3278:F3283)/AVERAGE(D3278:D3283)</f>
        <v>-0.21105324436274897</v>
      </c>
    </row>
    <row r="3279" spans="1:27">
      <c r="A3279" s="18"/>
      <c r="B3279" s="13">
        <v>7</v>
      </c>
      <c r="C3279" s="14" t="s">
        <v>28</v>
      </c>
      <c r="D3279" s="15" cm="1">
        <f t="array" ref="D3279">_xlfn.SINGLE(IF(A3281=A3282,_xll.ciqfunctions.udf.CIQ(A3273,"IQ_TOTAL_REV",IQ_FY-4)/I3279, _xll.ciqfunctions.udf.CIQ(A3273, "IQ_TOTAL_REV",IQ_FY-3)/I3279))</f>
        <v>1.6948917620631019</v>
      </c>
      <c r="E3279" s="16">
        <f t="shared" si="875"/>
        <v>0.40517514782020986</v>
      </c>
      <c r="F3279" s="15">
        <f>IF(A3281=A3282,_xll.ciqfunctions.udf.CIQ(A3273,"IQ_DILUT_EPS_EXCL",IQ_FY-4), _xll.ciqfunctions.udf.CIQ(A3273, "IQ_DILUT_EPS_EXCL",IQ_FY-3))</f>
        <v>-0.35233999999999999</v>
      </c>
      <c r="G3279" s="15">
        <f>IF(A3281=A3282,_xll.ciqfunctions.udf.CIQ(A3273,"IQ_EBITDA_MARGIN",IQ_FY-4), _xll.ciqfunctions.udf.CIQ(A3273, "IQ_EBITDA_MARGIN",IQ_FY-3))</f>
        <v>-17.050899999999999</v>
      </c>
      <c r="H3279" s="15">
        <f>IF(A3281=A3282,_xll.ciqfunctions.udf.CIQ(A3273,"IQ_TOTAL_DIV_PAID_CF",IQ_FY-4)/-I3279, _xll.ciqfunctions.udf.CIQ(A3273, "IQ_TOTAL_DIV_PAID_CF",IQ_FY-3)/-I3279)</f>
        <v>0</v>
      </c>
      <c r="I3279" s="17">
        <f>IF(A3281=A3282,_xll.ciqfunctions.udf.CIQ(A3273,"IQ_TOTAL_OUTSTANDING_FILING_DATE",IQ_FY-4), _xll.ciqfunctions.udf.CIQ(A3273, "IQ_TOTAL_OUTSTANDING_FILING_DATE",IQ_FY-3))</f>
        <v>81.527330000000006</v>
      </c>
      <c r="J3279" s="17">
        <f>IF(A3281=A3282,_xll.ciqfunctions.udf.CIQ(A3273,"IQ_CASH_OPER",IQ_FY-4), _xll.ciqfunctions.udf.CIQ(A3273, "IQ_CASH_OPER",IQ_FY-3))</f>
        <v>-8.9979999999999993</v>
      </c>
      <c r="K3279" s="17">
        <f>IF(A3281=A3282,_xll.ciqfunctions.udf.CIQ(A3273,"IQ_CAPEX",IQ_FY-4), _xll.ciqfunctions.udf.CIQ(A3273, "IQ_CAPEX",IQ_FY-3))</f>
        <v>-5.76</v>
      </c>
      <c r="L3279" s="15">
        <f t="shared" si="872"/>
        <v>-0.18101905213871222</v>
      </c>
      <c r="M3279" s="17">
        <f>IF(A3281=A3282,_xll.ciqfunctions.udf.CIQ(A3273,"IQ_TOTAL_DEBT_ISSUED",IQ_FY-4), _xll.ciqfunctions.udf.CIQ(A3273, "IQ_TOTAL_DEBT_ISSUED",IQ_FY-3))</f>
        <v>0</v>
      </c>
      <c r="N3279" s="17">
        <f>IF(A3281=A3282,_xll.ciqfunctions.udf.CIQ(A3273,"IQ_TOTAL_DEBT_REPAID",IQ_FY-4), _xll.ciqfunctions.udf.CIQ(A3273, "IQ_TOTAL_DEBT_REPAID",IQ_FY-3))</f>
        <v>0</v>
      </c>
      <c r="O3279" s="15">
        <f t="shared" si="873"/>
        <v>0</v>
      </c>
      <c r="P3279" s="15">
        <f t="shared" si="874"/>
        <v>-0.18101905213871222</v>
      </c>
      <c r="Q3279" s="18"/>
      <c r="R3279" s="38" t="s">
        <v>29</v>
      </c>
      <c r="S3279" s="4">
        <f>(AVERAGE(P3278:P3283)/_xlfn.STDEV.P(P3278:P3283))/(IF(A3281=A3282,(_xlfn.SINGLE(_xll.ciqfunctions.udf.CIQ(A3273,"IQ_total_assets",IQ_FY)) - _xlfn.SINGLE(_xll.ciqfunctions.udf.CIQ(A3273,"iq_gw_intan", IQ_FY)))/I3283, (_xlfn.SINGLE(_xll.ciqfunctions.udf.CIQ(A3273, "IQ_total_assets",IQ_LTM))-_xlfn.SINGLE(_xll.ciqfunctions.udf.CIQ(A3273,"iq_gw_intan",IQ_LTM)))/I3283))</f>
        <v>-0.29321178000004139</v>
      </c>
      <c r="U3279" s="18"/>
      <c r="V3279" s="38" t="s">
        <v>29</v>
      </c>
      <c r="W3279" s="4">
        <f>(AVERAGE(P3278:P3283)/_xlfn.STDEV.P(P3278:P3283))/(IF(A3281=A3282,(_xlfn.SINGLE(_xll.ciqfunctions.udf.CIQ(A3273,"IQ_total_assets",IQ_FY)) - _xlfn.SINGLE(_xll.ciqfunctions.udf.CIQ(A3273,"iq_gw_intan", IQ_FY)))/I3283, (_xlfn.SINGLE(_xll.ciqfunctions.udf.CIQ(A3273, "IQ_total_assets",IQ_LTM))-_xlfn.SINGLE(_xll.ciqfunctions.udf.CIQ(A3273,"iq_gw_intan",IQ_LTM)))/I3283))</f>
        <v>-0.29321178000004139</v>
      </c>
      <c r="Y3279" s="18"/>
      <c r="Z3279" s="38" t="s">
        <v>29</v>
      </c>
      <c r="AA3279" s="4">
        <f>(AVERAGE(P3278:P3283)/_xlfn.STDEV.P(P3278:P3283))/(IF(A3281=A3282,(_xlfn.SINGLE(_xll.ciqfunctions.udf.CIQ(A3273,"IQ_total_assets",IQ_FY)) - _xlfn.SINGLE(_xll.ciqfunctions.udf.CIQ(A3273,"iq_gw_intan", IQ_FY)))/I3283, (_xlfn.SINGLE(_xll.ciqfunctions.udf.CIQ(A3273, "IQ_total_assets",IQ_LTM))-_xlfn.SINGLE(_xll.ciqfunctions.udf.CIQ(A3273,"iq_gw_intan",IQ_LTM)))/I3283))</f>
        <v>-0.29321178000004139</v>
      </c>
    </row>
    <row r="3280" spans="1:27">
      <c r="A3280" s="18"/>
      <c r="B3280" s="13">
        <v>8</v>
      </c>
      <c r="C3280" s="14" t="s">
        <v>30</v>
      </c>
      <c r="D3280" s="15" cm="1">
        <f t="array" ref="D3280">_xlfn.SINGLE(IF(A3281=A3282,_xll.ciqfunctions.udf.CIQ(A3273,"IQ_TOTAL_REV",IQ_FY-3)/I3280, _xll.ciqfunctions.udf.CIQ(A3273, "IQ_TOTAL_REV",IQ_FY-2)/I3280))</f>
        <v>2.1648665408888741</v>
      </c>
      <c r="E3280" s="16">
        <f t="shared" si="875"/>
        <v>0.2772889628383684</v>
      </c>
      <c r="F3280" s="15">
        <f>IF(A3281=A3282,_xll.ciqfunctions.udf.CIQ(A3273,"IQ_DILUT_EPS_EXCL",IQ_FY-3), _xll.ciqfunctions.udf.CIQ(A3273, "IQ_DILUT_EPS_EXCL",IQ_FY-2))</f>
        <v>-0.46233000000000002</v>
      </c>
      <c r="G3280" s="15">
        <f>IF(A3281=A3282,_xll.ciqfunctions.udf.CIQ(A3273,"IQ_EBITDA_MARGIN",IQ_FY-3), _xll.ciqfunctions.udf.CIQ(A3273, "IQ_EBITDA_MARGIN",IQ_FY-2))</f>
        <v>-14.209899999999999</v>
      </c>
      <c r="H3280" s="15">
        <f>IF(A3281=A3282,_xll.ciqfunctions.udf.CIQ(A3273,"IQ_TOTAL_DIV_PAID_CF",IQ_FY-3)/-I3280, _xll.ciqfunctions.udf.CIQ(A3273, "IQ_TOTAL_DIV_PAID_CF",IQ_FY-2)/-I3280)</f>
        <v>0</v>
      </c>
      <c r="I3280" s="17">
        <f>IF(A3281=A3282,_xll.ciqfunctions.udf.CIQ(A3273,"IQ_TOTAL_OUTSTANDING_FILING_DATE",IQ_FY-3), _xll.ciqfunctions.udf.CIQ(A3273, "IQ_TOTAL_OUTSTANDING_FILING_DATE",IQ_FY-2))</f>
        <v>94.36748</v>
      </c>
      <c r="J3280" s="17">
        <f>IF(A3281=A3282,_xll.ciqfunctions.udf.CIQ(A3273,"IQ_CASH_OPER",IQ_FY-3), _xll.ciqfunctions.udf.CIQ(A3273, "IQ_CASH_OPER",IQ_FY-2))</f>
        <v>9.2219999999999995</v>
      </c>
      <c r="K3280" s="17">
        <f>IF(A3281=A3282,_xll.ciqfunctions.udf.CIQ(A3273,"IQ_CAPEX",IQ_FY-3), _xll.ciqfunctions.udf.CIQ(A3273, "IQ_CAPEX",IQ_FY-2))</f>
        <v>-4.3380000000000001</v>
      </c>
      <c r="L3280" s="15">
        <f t="shared" si="872"/>
        <v>5.17551173349124E-2</v>
      </c>
      <c r="M3280" s="17">
        <f>IF(A3281=A3282,_xll.ciqfunctions.udf.CIQ(A3273,"IQ_TOTAL_DEBT_ISSUED",IQ_FY-3), _xll.ciqfunctions.udf.CIQ(A3273, "IQ_TOTAL_DEBT_ISSUED",IQ_FY-2))</f>
        <v>0</v>
      </c>
      <c r="N3280" s="17">
        <f>IF(A3281=A3282,_xll.ciqfunctions.udf.CIQ(A3273,"IQ_TOTAL_DEBT_REPAID",IQ_FY-3), _xll.ciqfunctions.udf.CIQ(A3273, "IQ_TOTAL_DEBT_REPAID",IQ_FY-2))</f>
        <v>-3.6999999999999998E-2</v>
      </c>
      <c r="O3280" s="15">
        <f t="shared" si="873"/>
        <v>-3.9208422223418489E-4</v>
      </c>
      <c r="P3280" s="15">
        <f t="shared" si="874"/>
        <v>5.1363033112678216E-2</v>
      </c>
      <c r="Q3280" s="18"/>
      <c r="R3280" s="39" t="s">
        <v>31</v>
      </c>
      <c r="S3280" s="5" t="e">
        <f>IF(NOT(D3273&gt;0),FALSE,SLOPE(G3273:G3283,B3273:B3283))</f>
        <v>#DIV/0!</v>
      </c>
      <c r="U3280" s="18"/>
      <c r="V3280" s="39" t="s">
        <v>31</v>
      </c>
      <c r="W3280" s="5" t="e">
        <f>IF(NOT(D3273&gt;0),FALSE,SLOPE(G3273:G3283,B3273:B3283))</f>
        <v>#DIV/0!</v>
      </c>
      <c r="Y3280" s="18"/>
      <c r="Z3280" s="39" t="s">
        <v>31</v>
      </c>
      <c r="AA3280" s="5" t="e">
        <f>IF(NOT(L3273&gt;0),FALSE,SLOPE(O3273:O3283,J3273:J3283))</f>
        <v>#DIV/0!</v>
      </c>
    </row>
    <row r="3281" spans="1:27">
      <c r="A3281" s="19">
        <f>_xll.ciqfunctions.udf.CIQ(A3273,"IQ_TOTAL_REV",IQ_FY)</f>
        <v>408.315</v>
      </c>
      <c r="B3281" s="13">
        <v>9</v>
      </c>
      <c r="C3281" s="14" t="s">
        <v>32</v>
      </c>
      <c r="D3281" s="15" cm="1">
        <f t="array" ref="D3281">_xlfn.SINGLE(IF(A3281=A3282,_xll.ciqfunctions.udf.CIQ(A3273,"IQ_TOTAL_REV",IQ_FY-2)/I3281, _xll.ciqfunctions.udf.CIQ(A3273, "IQ_TOTAL_REV",IQ_FY-1)/I3281))</f>
        <v>2.4904844333923979</v>
      </c>
      <c r="E3281" s="16">
        <f t="shared" si="875"/>
        <v>0.15041014600827454</v>
      </c>
      <c r="F3281" s="15">
        <f>IF(A3281=A3282,_xll.ciqfunctions.udf.CIQ(A3273,"IQ_DILUT_EPS_EXCL",IQ_FY-2), _xll.ciqfunctions.udf.CIQ(A3273, "IQ_DILUT_EPS_EXCL",IQ_FY-1))</f>
        <v>-0.51122000000000001</v>
      </c>
      <c r="G3281" s="15">
        <f>IF(A3281=A3282,_xll.ciqfunctions.udf.CIQ(A3273,"IQ_EBITDA_MARGIN",IQ_FY-2), _xll.ciqfunctions.udf.CIQ(A3273, "IQ_EBITDA_MARGIN",IQ_FY-1))</f>
        <v>-14.9778</v>
      </c>
      <c r="H3281" s="15">
        <f>IF(A3281=A3282,_xll.ciqfunctions.udf.CIQ(A3273,"IQ_TOTAL_DIV_PAID_CF",IQ_FY-2)/-I3281, _xll.ciqfunctions.udf.CIQ(A3273, "IQ_TOTAL_DIV_PAID_CF",IQ_FY-1)/-I3281)</f>
        <v>0</v>
      </c>
      <c r="I3281" s="17">
        <f>IF(A3281=A3282,_xll.ciqfunctions.udf.CIQ(A3273,"IQ_TOTAL_OUTSTANDING_FILING_DATE",IQ_FY-2), _xll.ciqfunctions.udf.CIQ(A3273, "IQ_TOTAL_OUTSTANDING_FILING_DATE",IQ_FY-1))</f>
        <v>109.96455</v>
      </c>
      <c r="J3281" s="17">
        <f>IF(A3281=A3282,_xll.ciqfunctions.udf.CIQ(A3273,"IQ_CASH_OPER",IQ_FY-2), _xll.ciqfunctions.udf.CIQ(A3273, "IQ_CASH_OPER",IQ_FY-1))</f>
        <v>-19.228999999999999</v>
      </c>
      <c r="K3281" s="17">
        <f>IF(A3281=A3282,_xll.ciqfunctions.udf.CIQ(A3273,"IQ_CAPEX",IQ_FY-2), _xll.ciqfunctions.udf.CIQ(A3273, "IQ_CAPEX",IQ_FY-1))</f>
        <v>-5.4630000000000001</v>
      </c>
      <c r="L3281" s="15">
        <f t="shared" si="872"/>
        <v>-0.2245450920319321</v>
      </c>
      <c r="M3281" s="17">
        <f>IF(A3281=A3282,_xll.ciqfunctions.udf.CIQ(A3273,"IQ_TOTAL_DEBT_ISSUED",IQ_FY-2), _xll.ciqfunctions.udf.CIQ(A3273, "IQ_TOTAL_DEBT_ISSUED",IQ_FY-1))</f>
        <v>0</v>
      </c>
      <c r="N3281" s="17">
        <f>IF(A3281=A3282,_xll.ciqfunctions.udf.CIQ(A3273,"IQ_TOTAL_DEBT_REPAID",IQ_FY-2), _xll.ciqfunctions.udf.CIQ(A3273, "IQ_TOTAL_DEBT_REPAID",IQ_FY-1))</f>
        <v>-0.318</v>
      </c>
      <c r="O3281" s="15">
        <f t="shared" si="873"/>
        <v>-2.8918410524118908E-3</v>
      </c>
      <c r="P3281" s="15">
        <f t="shared" si="874"/>
        <v>-0.22743693308434398</v>
      </c>
      <c r="Q3281" s="25" t="s">
        <v>33</v>
      </c>
      <c r="R3281" s="38" t="s">
        <v>52</v>
      </c>
      <c r="S3281" s="4">
        <f>(AVERAGE(O3278:O3283)/AVERAGE(P3278:P3283))</f>
        <v>-0.44848355977579757</v>
      </c>
      <c r="U3281" s="25" t="s">
        <v>54</v>
      </c>
      <c r="V3281" s="38" t="s">
        <v>52</v>
      </c>
      <c r="W3281" s="4">
        <f>(AVERAGE(O3278:O3283)/AVERAGE(P3278:P3283))</f>
        <v>-0.44848355977579757</v>
      </c>
      <c r="Y3281" s="25" t="s">
        <v>60</v>
      </c>
      <c r="Z3281" s="38" t="s">
        <v>52</v>
      </c>
      <c r="AA3281" s="4">
        <f>(AVERAGE(O3278:O3283)/AVERAGE(P3278:P3283))</f>
        <v>-0.44848355977579757</v>
      </c>
    </row>
    <row r="3282" spans="1:27">
      <c r="A3282" s="19">
        <f>_xll.ciqfunctions.udf.CIQ(A3273,"IQ_TOTAL_REV",IQ_LTM)</f>
        <v>445.38499999999999</v>
      </c>
      <c r="B3282" s="13">
        <v>10</v>
      </c>
      <c r="C3282" s="14" t="s">
        <v>34</v>
      </c>
      <c r="D3282" s="15" cm="1">
        <f t="array" ref="D3282">_xlfn.SINGLE(IF(A3281=A3282,_xll.ciqfunctions.udf.CIQ(A3273,"IQ_TOTAL_REV",IQ_FY-1)/I3282, _xll.ciqfunctions.udf.CIQ(A3273, "IQ_TOTAL_REV",IQ_FY)/I3282))</f>
        <v>3.6499824882365468</v>
      </c>
      <c r="E3282" s="16">
        <f t="shared" si="875"/>
        <v>0.46557129179271595</v>
      </c>
      <c r="F3282" s="15">
        <f>IF(A3281=A3282,_xll.ciqfunctions.udf.CIQ(A3273,"IQ_DILUT_EPS_EXCL",IQ_FY-1), _xll.ciqfunctions.udf.CIQ(A3273, "IQ_DILUT_EPS_EXCL",IQ_FY))</f>
        <v>-0.92862</v>
      </c>
      <c r="G3282" s="15">
        <f>IF(A3281=A3282,_xll.ciqfunctions.udf.CIQ(A3273,"IQ_EBITDA_MARGIN",IQ_FY-1), _xll.ciqfunctions.udf.CIQ(A3273, "IQ_EBITDA_MARGIN",IQ_FY))</f>
        <v>-12.8033</v>
      </c>
      <c r="H3282" s="15">
        <f>IF(A3281=A3282,_xll.ciqfunctions.udf.CIQ(A3273,"IQ_TOTAL_DIV_PAID_CF",IQ_FY-1)/-I3282, _xll.ciqfunctions.udf.CIQ(A3273, "IQ_TOTAL_DIV_PAID_CF",IQ_FY)/-I3282)</f>
        <v>0</v>
      </c>
      <c r="I3282" s="17">
        <f>IF(A3281=A3282,_xll.ciqfunctions.udf.CIQ(A3273,"IQ_TOTAL_OUTSTANDING_FILING_DATE",IQ_FY-1), _xll.ciqfunctions.udf.CIQ(A3273, "IQ_TOTAL_OUTSTANDING_FILING_DATE",IQ_FY))</f>
        <v>111.86766</v>
      </c>
      <c r="J3282" s="17">
        <f>IF(A3281=A3282,_xll.ciqfunctions.udf.CIQ(A3273,"IQ_CASH_OPER",IQ_FY-1), _xll.ciqfunctions.udf.CIQ(A3273, "IQ_CASH_OPER",IQ_FY))</f>
        <v>-15.381</v>
      </c>
      <c r="K3282" s="17">
        <f>IF(A3281=A3282,_xll.ciqfunctions.udf.CIQ(A3273,"IQ_CAPEX",IQ_FY-1), _xll.ciqfunctions.udf.CIQ(A3273, "IQ_CAPEX",IQ_FY))</f>
        <v>-18.901</v>
      </c>
      <c r="L3282" s="15">
        <f t="shared" si="872"/>
        <v>-0.30645139086667222</v>
      </c>
      <c r="M3282" s="17">
        <f>IF(A3281=A3282,_xll.ciqfunctions.udf.CIQ(A3273,"IQ_TOTAL_DEBT_ISSUED",IQ_FY-1), _xll.ciqfunctions.udf.CIQ(A3273, "IQ_TOTAL_DEBT_ISSUED",IQ_FY))</f>
        <v>50</v>
      </c>
      <c r="N3282" s="17">
        <f>IF(A3281=A3282,_xll.ciqfunctions.udf.CIQ(A3273,"IQ_TOTAL_DEBT_REPAID",IQ_FY-1), _xll.ciqfunctions.udf.CIQ(A3273, "IQ_TOTAL_DEBT_REPAID",IQ_FY))</f>
        <v>-21.120999999999999</v>
      </c>
      <c r="O3282" s="15">
        <f t="shared" si="873"/>
        <v>0.25815325000987777</v>
      </c>
      <c r="P3282" s="15">
        <f t="shared" si="874"/>
        <v>-4.8298140856794458E-2</v>
      </c>
      <c r="Q3282" s="25" t="s">
        <v>44</v>
      </c>
      <c r="R3282" s="38" t="s">
        <v>35</v>
      </c>
      <c r="S3282" s="1" t="str">
        <f>_xll.ciqfunctions.udf.CIQ(A3273,"IQ_TEV_EBITDA")</f>
        <v>NM</v>
      </c>
      <c r="U3282" s="25" t="s">
        <v>55</v>
      </c>
      <c r="V3282" s="38" t="s">
        <v>53</v>
      </c>
      <c r="W3282" s="1" t="e">
        <f>V3272/(AVERAGE(D3278:D3283)/_xlfn.STDEV.P(E3278:E3283))</f>
        <v>#DIV/0!</v>
      </c>
      <c r="Y3282" s="25" t="s">
        <v>57</v>
      </c>
      <c r="Z3282" s="38" t="s">
        <v>53</v>
      </c>
      <c r="AA3282" s="1" t="e">
        <f>Z3272/(AVERAGE(D3278:D3283)/_xlfn.STDEV.P(E3278:E3283))</f>
        <v>#DIV/0!</v>
      </c>
    </row>
    <row r="3283" spans="1:27">
      <c r="B3283" s="13">
        <v>11</v>
      </c>
      <c r="C3283" s="20" t="s">
        <v>36</v>
      </c>
      <c r="D3283" s="21" cm="1">
        <f t="array" ref="D3283">_xlfn.SINGLE(IF(A3281=A3282,_xll.ciqfunctions.udf.CIQ(A3273,"IQ_TOTAL_REV",IQ_FY)/I3283, _xll.ciqfunctions.udf.CIQ(A3273, "IQ_TOTAL_REV",IQ_LTM)/I3283))</f>
        <v>3.9445599727927787</v>
      </c>
      <c r="E3283" s="22">
        <f t="shared" si="875"/>
        <v>8.0706547361698203E-2</v>
      </c>
      <c r="F3283" s="21">
        <f>IF(A3281=A3282,_xll.ciqfunctions.udf.CIQ(A3273,"IQ_DILUT_EPS_EXCL",IQ_FY), _xll.ciqfunctions.udf.CIQ(A3273, "IQ_DILUT_EPS_EXCL",IQ_LTM))</f>
        <v>-0.64412000000000003</v>
      </c>
      <c r="G3283" s="21">
        <f>IF(A3281=A3282,_xll.ciqfunctions.udf.CIQ(A3273,"IQ_EBITDA_MARGIN",IQ_FY), _xll.ciqfunctions.udf.CIQ(A3273, "IQ_EBITDA_MARGIN",IQ_LTM))</f>
        <v>-5.0629999999999997</v>
      </c>
      <c r="H3283" s="21">
        <f>IF(A3281=A3282,_xll.ciqfunctions.udf.CIQ(A3273,"IQ_TOTAL_DIV_PAID_CF",IQ_FY)/-I3283, _xll.ciqfunctions.udf.CIQ(A3273, "IQ_TOTAL_DIV_PAID_CF",IQ_LTM)/-I3283)</f>
        <v>0</v>
      </c>
      <c r="I3283" s="23">
        <f>IF(A3281=A3282,_xll.ciqfunctions.udf.CIQ(A3273,"IQ_TOTAL_OUTSTANDING_FILING_DATE",IQ_FY),_xll.ciqfunctions.udf.CIQ(A3273,"IQ_sharesoutstanding"))</f>
        <v>112.91119999999999</v>
      </c>
      <c r="J3283" s="23">
        <f>IF(A3281=A3282,_xll.ciqfunctions.udf.CIQ(A3273,"IQ_CASH_OPER",IQ_FY), _xll.ciqfunctions.udf.CIQ(A3273, "IQ_CASH_OPER",IQ_LTM))</f>
        <v>17.167000000000002</v>
      </c>
      <c r="K3283" s="23">
        <f>IF(A3281=A3282,_xll.ciqfunctions.udf.CIQ(A3273,"IQ_CAPEX",IQ_FY), _xll.ciqfunctions.udf.CIQ(A3273, "IQ_CAPEX",IQ_LTM))</f>
        <v>-12.417999999999999</v>
      </c>
      <c r="L3283" s="21">
        <f t="shared" si="872"/>
        <v>4.2059600819050746E-2</v>
      </c>
      <c r="M3283" s="23">
        <f>IF(A3281=A3282,_xll.ciqfunctions.udf.CIQ(A3273,"IQ_TOTAL_DEBT_ISSUED",IQ_FY), _xll.ciqfunctions.udf.CIQ(A3273, "IQ_TOTAL_DEBT_ISSUED",IQ_LTM))</f>
        <v>30</v>
      </c>
      <c r="N3283" s="23">
        <f>IF(A3281=A3282,_xll.ciqfunctions.udf.CIQ(A3273,"IQ_TOTAL_DEBT_REPAID",IQ_FY), _xll.ciqfunctions.udf.CIQ(A3273, "IQ_TOTAL_DEBT_REPAID",IQ_LTM))</f>
        <v>-31.382000000000001</v>
      </c>
      <c r="O3283" s="21">
        <f t="shared" si="873"/>
        <v>-1.2239706955554467E-2</v>
      </c>
      <c r="P3283" s="21">
        <f t="shared" si="874"/>
        <v>2.9819893863496282E-2</v>
      </c>
      <c r="Q3283" s="25" t="s">
        <v>45</v>
      </c>
      <c r="S3283" s="45"/>
      <c r="U3283" s="25"/>
      <c r="W3283" s="45"/>
      <c r="Y3283" s="25"/>
      <c r="AA3283" s="45"/>
    </row>
    <row r="3284" spans="1:27">
      <c r="B3284" s="24"/>
      <c r="C3284" s="25" t="s">
        <v>37</v>
      </c>
      <c r="E3284" s="26">
        <f>((D3283/D3278)^(1/5))-1</f>
        <v>0.26741082157376317</v>
      </c>
      <c r="F3284" s="27">
        <f>((F3283/F3278)^(1/5))-1</f>
        <v>0.16587074480177444</v>
      </c>
      <c r="G3284" s="28"/>
      <c r="H3284" s="27" t="e">
        <f>((H3283/H3278)^(1/5))-1</f>
        <v>#DIV/0!</v>
      </c>
      <c r="I3284" s="27">
        <f>((I3283/I3278)^(1/5))-1</f>
        <v>8.2712667805450835E-2</v>
      </c>
      <c r="J3284" s="27"/>
      <c r="K3284" s="27"/>
      <c r="L3284" s="26">
        <f>((L3283/L3278)^(1/5))-1</f>
        <v>-1.7604152027051732</v>
      </c>
      <c r="M3284" s="26"/>
      <c r="N3284" s="26"/>
      <c r="O3284" s="26"/>
      <c r="P3284" s="26">
        <f>((P3283/P3278)^(1/5))-1</f>
        <v>-1.709870257607877</v>
      </c>
      <c r="Q3284" s="18"/>
      <c r="R3284" s="36"/>
      <c r="S3284" s="45"/>
      <c r="U3284" s="18"/>
      <c r="V3284" s="36"/>
      <c r="W3284" s="45"/>
      <c r="Y3284" s="18"/>
      <c r="Z3284" s="36"/>
      <c r="AA3284" s="45"/>
    </row>
    <row r="3285" spans="1:27">
      <c r="A3285" s="29"/>
      <c r="B3285" s="30"/>
      <c r="C3285" s="31" t="s">
        <v>38</v>
      </c>
      <c r="D3285" s="29"/>
      <c r="E3285" s="32" t="e">
        <f>((D3283/D3273)^(1/10))-1</f>
        <v>#DIV/0!</v>
      </c>
      <c r="F3285" s="33" t="e">
        <f>((F3283/F3273)^(1/10))-1</f>
        <v>#DIV/0!</v>
      </c>
      <c r="G3285" s="34"/>
      <c r="H3285" s="33" t="e">
        <f>((H3283/H3273)^(1/10))-1</f>
        <v>#DIV/0!</v>
      </c>
      <c r="I3285" s="33" t="e">
        <f>((I3283/I3273)^(1/10))-1</f>
        <v>#DIV/0!</v>
      </c>
      <c r="J3285" s="33"/>
      <c r="K3285" s="33"/>
      <c r="L3285" s="32" t="e">
        <f>((L3283/L3273)^(1/10))-1</f>
        <v>#DIV/0!</v>
      </c>
      <c r="M3285" s="32"/>
      <c r="N3285" s="32"/>
      <c r="O3285" s="32"/>
      <c r="P3285" s="32" t="e">
        <f>((P3283/P3273)^(1/10))-1</f>
        <v>#DIV/0!</v>
      </c>
      <c r="Q3285" s="40"/>
      <c r="R3285" s="41"/>
      <c r="S3285" s="46"/>
      <c r="U3285" s="40"/>
      <c r="V3285" s="41"/>
      <c r="W3285" s="46"/>
      <c r="Y3285" s="40"/>
      <c r="Z3285" s="41"/>
      <c r="AA3285" s="46"/>
    </row>
    <row r="3286" spans="1:27">
      <c r="B3286" s="24"/>
      <c r="C3286" s="25"/>
      <c r="E3286" s="26"/>
      <c r="F3286" s="27"/>
      <c r="G3286" s="28"/>
      <c r="H3286" s="27"/>
      <c r="I3286" s="27"/>
      <c r="J3286" s="27"/>
      <c r="K3286" s="27"/>
      <c r="L3286" s="26"/>
      <c r="M3286" s="17"/>
      <c r="N3286" s="17"/>
      <c r="O3286" s="17"/>
      <c r="P3286" s="35"/>
      <c r="Q3286" s="18"/>
      <c r="R3286" s="36"/>
    </row>
    <row r="3287" spans="1:27">
      <c r="A3287" s="9" t="s">
        <v>0</v>
      </c>
      <c r="B3287" s="10"/>
      <c r="C3287" s="9" t="s">
        <v>1</v>
      </c>
      <c r="D3287" s="9" t="s">
        <v>2</v>
      </c>
      <c r="E3287" s="9" t="s">
        <v>3</v>
      </c>
      <c r="F3287" s="11" t="s">
        <v>4</v>
      </c>
      <c r="G3287" s="11" t="s">
        <v>5</v>
      </c>
      <c r="H3287" s="9" t="s">
        <v>6</v>
      </c>
      <c r="I3287" s="11" t="s">
        <v>7</v>
      </c>
      <c r="J3287" s="11" t="s">
        <v>8</v>
      </c>
      <c r="K3287" s="11" t="s">
        <v>9</v>
      </c>
      <c r="L3287" s="11" t="s">
        <v>10</v>
      </c>
      <c r="M3287" s="11" t="s">
        <v>11</v>
      </c>
      <c r="N3287" s="11" t="s">
        <v>12</v>
      </c>
      <c r="O3287" s="11" t="s">
        <v>13</v>
      </c>
      <c r="P3287" s="11" t="s">
        <v>14</v>
      </c>
      <c r="Q3287" s="37" t="s">
        <v>15</v>
      </c>
      <c r="R3287" s="42">
        <f>_xll.ciqfunctions.udf.CIQ(A3288,("IQ_LASTSALEPRICE"))</f>
        <v>52.7</v>
      </c>
      <c r="S3287" s="44"/>
      <c r="U3287" s="37" t="s">
        <v>15</v>
      </c>
      <c r="V3287" s="42">
        <f>_xll.ciqfunctions.udf.CIQ(A3288,("IQ_LASTSALEPRICE"))</f>
        <v>52.7</v>
      </c>
      <c r="W3287" s="44"/>
      <c r="Y3287" s="37" t="s">
        <v>15</v>
      </c>
      <c r="Z3287" s="42">
        <f>_xll.ciqfunctions.udf.CIQ(A3288,("IQ_LASTSALEPRICE"))</f>
        <v>52.7</v>
      </c>
      <c r="AA3287" s="44"/>
    </row>
    <row r="3288" spans="1:27">
      <c r="A3288" s="12" t="str">
        <f>Analysis!B221</f>
        <v>NasdaqGM:RPD</v>
      </c>
      <c r="B3288" s="13">
        <v>1</v>
      </c>
      <c r="C3288" s="14" t="s">
        <v>16</v>
      </c>
      <c r="D3288" s="15">
        <f>IF(A3296=A3297,_xll.ciqfunctions.udf.CIQ(A3288,"IQ_TOTAL_REV",IQ_FY-10)/I3288,_xll.ciqfunctions.udf.CIQ(A3288, "IQ_TOTAL_REV",IQ_FY-9)/I3288)</f>
        <v>4.703248006819436</v>
      </c>
      <c r="E3288" s="16"/>
      <c r="F3288" s="15">
        <f>IF(A3296=A3297,_xll.ciqfunctions.udf.CIQ(A3288,"IQ_DILUT_EPS_EXCL",IQ_FY-10), _xll.ciqfunctions.udf.CIQ(A3288, "IQ_DILUT_EPS_EXCL",IQ_FY-9))</f>
        <v>-4.1776099999999996</v>
      </c>
      <c r="G3288" s="15">
        <f>IF(A3296=A3297,_xll.ciqfunctions.udf.CIQ(A3288,"IQ_EBITDA_MARGIN",IQ_FY-10), _xll.ciqfunctions.udf.CIQ(A3288, "IQ_EBITDA_MARGIN",IQ_FY-9))</f>
        <v>-26.6416</v>
      </c>
      <c r="H3288" s="15">
        <f>IF(A3296=A3297,_xll.ciqfunctions.udf.CIQ(A3288,"IQ_TOTAL_DIV_PAID_CF",IQ_FY-10)/-I3288, _xll.ciqfunctions.udf.CIQ(A3288, "IQ_TOTAL_DIV_PAID_CF",IQ_FY-9)/-I3288)</f>
        <v>0</v>
      </c>
      <c r="I3288" s="17">
        <f>IF(A3296=A3297,_xll.ciqfunctions.udf.CIQ(A3288,"IQ_TOTAL_OUTSTANDING_FILING_DATE",IQ_FY-10), _xll.ciqfunctions.udf.CIQ(A3288, "IQ_TOTAL_OUTSTANDING_FILING_DATE",IQ_FY-9))</f>
        <v>12.76352</v>
      </c>
      <c r="J3288" s="17">
        <f>IF(A3296=A3297,_xll.ciqfunctions.udf.CIQ(A3288,"IQ_CASH_OPER",IQ_FY-10), _xll.ciqfunctions.udf.CIQ(A3288, "IQ_CASH_OPER",IQ_FY-9))</f>
        <v>-0.61299999999999999</v>
      </c>
      <c r="K3288" s="17">
        <f>IF(A3296=A3297,_xll.ciqfunctions.udf.CIQ(A3288,"IQ_CAPEX",IQ_FY-10), _xll.ciqfunctions.udf.CIQ(A3288, "IQ_CAPEX",IQ_FY-9))</f>
        <v>-2.778</v>
      </c>
      <c r="L3288" s="15">
        <f t="shared" ref="L3288:L3298" si="876">(J3288+K3288)/I3288</f>
        <v>-0.26567906032191746</v>
      </c>
      <c r="M3288" s="17">
        <f>IF(A3296=A3297,_xll.ciqfunctions.udf.CIQ(A3288,"IQ_TOTAL_DEBT_ISSUED",IQ_FY-10), _xll.ciqfunctions.udf.CIQ(A3288, "IQ_TOTAL_DEBT_ISSUED",IQ_FY-9))</f>
        <v>23</v>
      </c>
      <c r="N3288" s="17">
        <f>IF(A3296=A3297,_xll.ciqfunctions.udf.CIQ(A3288,"IQ_TOTAL_DEBT_REPAID",IQ_FY-10), _xll.ciqfunctions.udf.CIQ(A3288, "IQ_TOTAL_DEBT_REPAID",IQ_FY-9))</f>
        <v>-5.3</v>
      </c>
      <c r="O3288" s="15">
        <f t="shared" ref="O3288:O3298" si="877">(M3288+N3288)/I3288</f>
        <v>1.3867647796219225</v>
      </c>
      <c r="P3288" s="15">
        <f t="shared" ref="P3288:P3298" si="878">L3288+O3288</f>
        <v>1.121085719300005</v>
      </c>
      <c r="W3288" s="43"/>
      <c r="AA3288" s="43"/>
    </row>
    <row r="3289" spans="1:27">
      <c r="A3289" s="18" t="str">
        <f>_xll.ciqfunctions.udf.CIQ(A3288,"IQ_COMPANY_NAME")</f>
        <v>Rapid7, Inc.</v>
      </c>
      <c r="B3289" s="13">
        <v>2</v>
      </c>
      <c r="C3289" s="14" t="s">
        <v>17</v>
      </c>
      <c r="D3289" s="15">
        <f>IF(A3296=A3297,_xll.ciqfunctions.udf.CIQ(A3288,"IQ_TOTAL_REV",IQ_FY-9)/I3289, _xll.ciqfunctions.udf.CIQ(A3288, "IQ_TOTAL_REV",IQ_FY-8)/I3289)</f>
        <v>6.1215503574752903</v>
      </c>
      <c r="E3289" s="16">
        <f t="shared" ref="E3289:E3298" si="879">(D3289-D3288)/D3288</f>
        <v>0.30155806128007673</v>
      </c>
      <c r="F3289" s="15">
        <f>IF(A3296=A3297,_xll.ciqfunctions.udf.CIQ(A3288,"IQ_DILUT_EPS_EXCL",IQ_FY-9), _xll.ciqfunctions.udf.CIQ(A3288, "IQ_DILUT_EPS_EXCL",IQ_FY-8))</f>
        <v>-6.6528499999999999</v>
      </c>
      <c r="G3289" s="15">
        <f>IF(A3296=A3297,_xll.ciqfunctions.udf.CIQ(A3288,"IQ_EBITDA_MARGIN",IQ_FY-9), _xll.ciqfunctions.udf.CIQ(A3288, "IQ_EBITDA_MARGIN",IQ_FY-8))</f>
        <v>-32.519500000000001</v>
      </c>
      <c r="H3289" s="15">
        <f>IF(A3296=A3297,_xll.ciqfunctions.udf.CIQ(A3288,"IQ_TOTAL_DIV_PAID_CF",IQ_FY-9)/-I3289, _xll.ciqfunctions.udf.CIQ(A3288, "IQ_TOTAL_DIV_PAID_CF",IQ_FY-8)/-I3289)</f>
        <v>0</v>
      </c>
      <c r="I3289" s="17">
        <f>IF(A3296=A3297,_xll.ciqfunctions.udf.CIQ(A3288,"IQ_TOTAL_OUTSTANDING_FILING_DATE",IQ_FY-9), _xll.ciqfunctions.udf.CIQ(A3288, "IQ_TOTAL_OUTSTANDING_FILING_DATE",IQ_FY-8))</f>
        <v>12.558909999999999</v>
      </c>
      <c r="J3289" s="17">
        <f>IF(A3296=A3297,_xll.ciqfunctions.udf.CIQ(A3288,"IQ_CASH_OPER",IQ_FY-9), _xll.ciqfunctions.udf.CIQ(A3288, "IQ_CASH_OPER",IQ_FY-8))</f>
        <v>-3.3559999999999999</v>
      </c>
      <c r="K3289" s="17">
        <f>IF(A3296=A3297,_xll.ciqfunctions.udf.CIQ(A3288,"IQ_CAPEX",IQ_FY-9), _xll.ciqfunctions.udf.CIQ(A3288, "IQ_CAPEX",IQ_FY-8))</f>
        <v>-7.0819999999999999</v>
      </c>
      <c r="L3289" s="15">
        <f t="shared" si="876"/>
        <v>-0.83112308313380701</v>
      </c>
      <c r="M3289" s="17">
        <f>IF(A3296=A3297,_xll.ciqfunctions.udf.CIQ(A3288,"IQ_TOTAL_DEBT_ISSUED",IQ_FY-9), _xll.ciqfunctions.udf.CIQ(A3288, "IQ_TOTAL_DEBT_ISSUED",IQ_FY-8))</f>
        <v>0</v>
      </c>
      <c r="N3289" s="17">
        <f>IF(A3296=A3297,_xll.ciqfunctions.udf.CIQ(A3288,"IQ_TOTAL_DEBT_REPAID",IQ_FY-9), _xll.ciqfunctions.udf.CIQ(A3288, "IQ_TOTAL_DEBT_REPAID",IQ_FY-8))</f>
        <v>-0.25600000000000001</v>
      </c>
      <c r="O3289" s="15">
        <f t="shared" si="877"/>
        <v>-2.0383934593049876E-2</v>
      </c>
      <c r="P3289" s="15">
        <f t="shared" si="878"/>
        <v>-0.85150701772685689</v>
      </c>
      <c r="Q3289" s="25" t="s">
        <v>18</v>
      </c>
      <c r="R3289" s="39" t="s">
        <v>19</v>
      </c>
      <c r="S3289" s="1">
        <f>R3287/((AVERAGE(P3293:P3298))*(1+E3299)^3)</f>
        <v>9.737033701862833</v>
      </c>
      <c r="U3289" s="25" t="s">
        <v>48</v>
      </c>
      <c r="V3289" s="39" t="s">
        <v>19</v>
      </c>
      <c r="W3289" s="1">
        <f>V3287/((AVERAGE(P3293:P3298))*(1+E3299)^3)</f>
        <v>9.737033701862833</v>
      </c>
      <c r="Y3289" s="25" t="s">
        <v>39</v>
      </c>
      <c r="Z3289" s="39" t="s">
        <v>19</v>
      </c>
      <c r="AA3289" s="1">
        <f>Z3287/((AVERAGE(P3293:P3298))*(1+E3299)^3)</f>
        <v>9.737033701862833</v>
      </c>
    </row>
    <row r="3290" spans="1:27">
      <c r="B3290" s="13">
        <v>3</v>
      </c>
      <c r="C3290" s="14" t="s">
        <v>20</v>
      </c>
      <c r="D3290" s="15" cm="1">
        <f t="array" ref="D3290">_xlfn.SINGLE(IF(A3296=A3297,_xll.ciqfunctions.udf.CIQ(A3288,"IQ_TOTAL_REV",IQ_FY-8)/I3290, _xll.ciqfunctions.udf.CIQ(A3288, "IQ_TOTAL_REV",IQ_FY-7)/I3290))</f>
        <v>2.7363921889800582</v>
      </c>
      <c r="E3290" s="16">
        <f t="shared" si="879"/>
        <v>-0.5529903326469362</v>
      </c>
      <c r="F3290" s="15">
        <f>IF(A3296=A3297,_xll.ciqfunctions.udf.CIQ(A3288,"IQ_DILUT_EPS_EXCL",IQ_FY-8), _xll.ciqfunctions.udf.CIQ(A3288, "IQ_DILUT_EPS_EXCL",IQ_FY-7))</f>
        <v>-4.0047300000000003</v>
      </c>
      <c r="G3290" s="15">
        <f>IF(A3296=A3297,_xll.ciqfunctions.udf.CIQ(A3288,"IQ_EBITDA_MARGIN",IQ_FY-8), _xll.ciqfunctions.udf.CIQ(A3288, "IQ_EBITDA_MARGIN",IQ_FY-7))</f>
        <v>-35.632300000000001</v>
      </c>
      <c r="H3290" s="15">
        <f>IF(A3296=A3297,_xll.ciqfunctions.udf.CIQ(A3288,"IQ_TOTAL_DIV_PAID_CF",IQ_FY-8)/-I3290, _xll.ciqfunctions.udf.CIQ(A3288, "IQ_TOTAL_DIV_PAID_CF",IQ_FY-7)/-I3290)</f>
        <v>0</v>
      </c>
      <c r="I3290" s="17">
        <f>IF(A3296=A3297,_xll.ciqfunctions.udf.CIQ(A3288,"IQ_TOTAL_OUTSTANDING_FILING_DATE",IQ_FY-8), _xll.ciqfunctions.udf.CIQ(A3288, "IQ_TOTAL_OUTSTANDING_FILING_DATE",IQ_FY-7))</f>
        <v>40.39114</v>
      </c>
      <c r="J3290" s="17">
        <f>IF(A3296=A3297,_xll.ciqfunctions.udf.CIQ(A3288,"IQ_CASH_OPER",IQ_FY-8), _xll.ciqfunctions.udf.CIQ(A3288, "IQ_CASH_OPER",IQ_FY-7))</f>
        <v>-1.907</v>
      </c>
      <c r="K3290" s="17">
        <f>IF(A3296=A3297,_xll.ciqfunctions.udf.CIQ(A3288,"IQ_CAPEX",IQ_FY-8), _xll.ciqfunctions.udf.CIQ(A3288, "IQ_CAPEX",IQ_FY-7))</f>
        <v>-4.1360000000000001</v>
      </c>
      <c r="L3290" s="15">
        <f t="shared" si="876"/>
        <v>-0.14961201887344602</v>
      </c>
      <c r="M3290" s="17">
        <f>IF(A3296=A3297,_xll.ciqfunctions.udf.CIQ(A3288,"IQ_TOTAL_DEBT_ISSUED",IQ_FY-8), _xll.ciqfunctions.udf.CIQ(A3288, "IQ_TOTAL_DEBT_ISSUED",IQ_FY-7))</f>
        <v>0</v>
      </c>
      <c r="N3290" s="17">
        <f>IF(A3296=A3297,_xll.ciqfunctions.udf.CIQ(A3288,"IQ_TOTAL_DEBT_REPAID",IQ_FY-8), _xll.ciqfunctions.udf.CIQ(A3288, "IQ_TOTAL_DEBT_REPAID",IQ_FY-7))</f>
        <v>-18.792999999999999</v>
      </c>
      <c r="O3290" s="15">
        <f t="shared" si="877"/>
        <v>-0.4652753054258929</v>
      </c>
      <c r="P3290" s="15">
        <f t="shared" si="878"/>
        <v>-0.6148873242993389</v>
      </c>
      <c r="Q3290" s="25" t="s">
        <v>21</v>
      </c>
      <c r="R3290" s="38" t="s">
        <v>49</v>
      </c>
      <c r="S3290" s="2">
        <f>(R3287*I3298)/1000</f>
        <v>3.2382553190000003</v>
      </c>
      <c r="U3290" s="25" t="s">
        <v>59</v>
      </c>
      <c r="V3290" s="38" t="s">
        <v>49</v>
      </c>
      <c r="W3290" s="2">
        <f>(V3287*I3298)/1000</f>
        <v>3.2382553190000003</v>
      </c>
      <c r="Y3290" s="25" t="s">
        <v>46</v>
      </c>
      <c r="Z3290" s="38" t="s">
        <v>49</v>
      </c>
      <c r="AA3290" s="2">
        <f>(Z3287*I3298)/1000</f>
        <v>3.2382553190000003</v>
      </c>
    </row>
    <row r="3291" spans="1:27">
      <c r="A3291" s="18"/>
      <c r="B3291" s="13">
        <v>4</v>
      </c>
      <c r="C3291" s="14" t="s">
        <v>22</v>
      </c>
      <c r="D3291" s="15" cm="1">
        <f t="array" ref="D3291">_xlfn.SINGLE(IF(A3296=A3297,_xll.ciqfunctions.udf.CIQ(A3288,"IQ_TOTAL_REV",IQ_FY-7)/I3291, _xll.ciqfunctions.udf.CIQ(A3288, "IQ_TOTAL_REV",IQ_FY-6)/I3291))</f>
        <v>3.7435380294737906</v>
      </c>
      <c r="E3291" s="16">
        <f t="shared" si="879"/>
        <v>0.36805610122324173</v>
      </c>
      <c r="F3291" s="15">
        <f>IF(A3296=A3297,_xll.ciqfunctions.udf.CIQ(A3288,"IQ_DILUT_EPS_EXCL",IQ_FY-7), _xll.ciqfunctions.udf.CIQ(A3288, "IQ_DILUT_EPS_EXCL",IQ_FY-6))</f>
        <v>-1.1879200000000001</v>
      </c>
      <c r="G3291" s="15">
        <f>IF(A3296=A3297,_xll.ciqfunctions.udf.CIQ(A3288,"IQ_EBITDA_MARGIN",IQ_FY-7), _xll.ciqfunctions.udf.CIQ(A3288, "IQ_EBITDA_MARGIN",IQ_FY-6))</f>
        <v>-26.120899999999999</v>
      </c>
      <c r="H3291" s="15">
        <f>IF(A3296=A3297,_xll.ciqfunctions.udf.CIQ(A3288,"IQ_TOTAL_DIV_PAID_CF",IQ_FY-7)/-I3291, _xll.ciqfunctions.udf.CIQ(A3288, "IQ_TOTAL_DIV_PAID_CF",IQ_FY-6)/-I3291)</f>
        <v>0</v>
      </c>
      <c r="I3291" s="17">
        <f>IF(A3296=A3297,_xll.ciqfunctions.udf.CIQ(A3288,"IQ_TOTAL_OUTSTANDING_FILING_DATE",IQ_FY-7), _xll.ciqfunctions.udf.CIQ(A3288, "IQ_TOTAL_OUTSTANDING_FILING_DATE",IQ_FY-6))</f>
        <v>42.055669999999999</v>
      </c>
      <c r="J3291" s="17">
        <f>IF(A3296=A3297,_xll.ciqfunctions.udf.CIQ(A3288,"IQ_CASH_OPER",IQ_FY-7), _xll.ciqfunctions.udf.CIQ(A3288, "IQ_CASH_OPER",IQ_FY-6))</f>
        <v>9.1120000000000001</v>
      </c>
      <c r="K3291" s="17">
        <f>IF(A3296=A3297,_xll.ciqfunctions.udf.CIQ(A3288,"IQ_CAPEX",IQ_FY-7), _xll.ciqfunctions.udf.CIQ(A3288, "IQ_CAPEX",IQ_FY-6))</f>
        <v>-4.4989999999999997</v>
      </c>
      <c r="L3291" s="15">
        <f t="shared" si="876"/>
        <v>0.10968794457441769</v>
      </c>
      <c r="M3291" s="17">
        <f>IF(A3296=A3297,_xll.ciqfunctions.udf.CIQ(A3288,"IQ_TOTAL_DEBT_ISSUED",IQ_FY-7), _xll.ciqfunctions.udf.CIQ(A3288, "IQ_TOTAL_DEBT_ISSUED",IQ_FY-6))</f>
        <v>0</v>
      </c>
      <c r="N3291" s="17">
        <f>IF(A3296=A3297,_xll.ciqfunctions.udf.CIQ(A3288,"IQ_TOTAL_DEBT_REPAID",IQ_FY-7), _xll.ciqfunctions.udf.CIQ(A3288, "IQ_TOTAL_DEBT_REPAID",IQ_FY-6))</f>
        <v>-6.8000000000000005E-2</v>
      </c>
      <c r="O3291" s="15">
        <f t="shared" si="877"/>
        <v>-1.6169044506959467E-3</v>
      </c>
      <c r="P3291" s="15">
        <f t="shared" si="878"/>
        <v>0.10807104012372175</v>
      </c>
      <c r="Q3291" s="25" t="s">
        <v>23</v>
      </c>
      <c r="R3291" s="38" t="s">
        <v>24</v>
      </c>
      <c r="S3291" s="1" t="e">
        <f>R3287/(AVERAGE(H3293:H3298)*(1+H3299)/(0.5-H3299))</f>
        <v>#DIV/0!</v>
      </c>
      <c r="U3291" s="25" t="s">
        <v>40</v>
      </c>
      <c r="V3291" s="38" t="s">
        <v>24</v>
      </c>
      <c r="W3291" s="1" t="e">
        <f>V3287/(AVERAGE(H3293:H3298)*(1+H3299)/(0.5-H3299))</f>
        <v>#DIV/0!</v>
      </c>
      <c r="Y3291" s="25" t="s">
        <v>47</v>
      </c>
      <c r="Z3291" s="38" t="s">
        <v>24</v>
      </c>
      <c r="AA3291" s="1" t="e">
        <f>Z3287/(AVERAGE(H3293:H3298)*(1+H3299)/(0.5-H3299))</f>
        <v>#DIV/0!</v>
      </c>
    </row>
    <row r="3292" spans="1:27">
      <c r="B3292" s="13">
        <v>5</v>
      </c>
      <c r="C3292" s="14" t="s">
        <v>25</v>
      </c>
      <c r="D3292" s="15" cm="1">
        <f t="array" ref="D3292">_xlfn.SINGLE(IF(A3296=A3297,_xll.ciqfunctions.udf.CIQ(A3288,"IQ_TOTAL_REV",IQ_FY-6)/I3292, _xll.ciqfunctions.udf.CIQ(A3288, "IQ_TOTAL_REV",IQ_FY-5)/I3292))</f>
        <v>4.3869464001779752</v>
      </c>
      <c r="E3292" s="16">
        <f t="shared" si="879"/>
        <v>0.17187173354149823</v>
      </c>
      <c r="F3292" s="15">
        <f>IF(A3296=A3297,_xll.ciqfunctions.udf.CIQ(A3288,"IQ_DILUT_EPS_EXCL",IQ_FY-6), _xll.ciqfunctions.udf.CIQ(A3288, "IQ_DILUT_EPS_EXCL",IQ_FY-5))</f>
        <v>-1.06</v>
      </c>
      <c r="G3292" s="15">
        <f>IF(A3296=A3297,_xll.ciqfunctions.udf.CIQ(A3288,"IQ_EBITDA_MARGIN",IQ_FY-6), _xll.ciqfunctions.udf.CIQ(A3288, "IQ_EBITDA_MARGIN",IQ_FY-5))</f>
        <v>-20.403600000000001</v>
      </c>
      <c r="H3292" s="15">
        <f>IF(A3296=A3297,_xll.ciqfunctions.udf.CIQ(A3288,"IQ_TOTAL_DIV_PAID_CF",IQ_FY-6)/-I3292, _xll.ciqfunctions.udf.CIQ(A3288, "IQ_TOTAL_DIV_PAID_CF",IQ_FY-5)/-I3292)</f>
        <v>0</v>
      </c>
      <c r="I3292" s="17">
        <f>IF(A3296=A3297,_xll.ciqfunctions.udf.CIQ(A3288,"IQ_TOTAL_OUTSTANDING_FILING_DATE",IQ_FY-6), _xll.ciqfunctions.udf.CIQ(A3288, "IQ_TOTAL_OUTSTANDING_FILING_DATE",IQ_FY-5))</f>
        <v>45.804070000000003</v>
      </c>
      <c r="J3292" s="17">
        <f>IF(A3296=A3297,_xll.ciqfunctions.udf.CIQ(A3288,"IQ_CASH_OPER",IQ_FY-6), _xll.ciqfunctions.udf.CIQ(A3288, "IQ_CASH_OPER",IQ_FY-5))</f>
        <v>13.286</v>
      </c>
      <c r="K3292" s="17">
        <f>IF(A3296=A3297,_xll.ciqfunctions.udf.CIQ(A3288,"IQ_CAPEX",IQ_FY-6), _xll.ciqfunctions.udf.CIQ(A3288, "IQ_CAPEX",IQ_FY-5))</f>
        <v>-4.8239999999999998</v>
      </c>
      <c r="L3292" s="15">
        <f t="shared" si="876"/>
        <v>0.18474340817311646</v>
      </c>
      <c r="M3292" s="17">
        <f>IF(A3296=A3297,_xll.ciqfunctions.udf.CIQ(A3288,"IQ_TOTAL_DEBT_ISSUED",IQ_FY-6), _xll.ciqfunctions.udf.CIQ(A3288, "IQ_TOTAL_DEBT_ISSUED",IQ_FY-5))</f>
        <v>0</v>
      </c>
      <c r="N3292" s="17">
        <f>IF(A3296=A3297,_xll.ciqfunctions.udf.CIQ(A3288,"IQ_TOTAL_DEBT_REPAID",IQ_FY-6), _xll.ciqfunctions.udf.CIQ(A3288, "IQ_TOTAL_DEBT_REPAID",IQ_FY-5))</f>
        <v>0</v>
      </c>
      <c r="O3292" s="15">
        <f t="shared" si="877"/>
        <v>0</v>
      </c>
      <c r="P3292" s="15">
        <f t="shared" si="878"/>
        <v>0.18474340817311646</v>
      </c>
      <c r="Q3292" s="18"/>
      <c r="R3292" s="38" t="s">
        <v>50</v>
      </c>
      <c r="S3292" s="3">
        <f>I3299</f>
        <v>5.0763313612132821E-2</v>
      </c>
      <c r="U3292" s="18"/>
      <c r="V3292" s="38" t="s">
        <v>50</v>
      </c>
      <c r="W3292" s="3">
        <f>I3299</f>
        <v>5.0763313612132821E-2</v>
      </c>
      <c r="Y3292" s="18"/>
      <c r="Z3292" s="38" t="s">
        <v>50</v>
      </c>
      <c r="AA3292" s="3">
        <f>I3299</f>
        <v>5.0763313612132821E-2</v>
      </c>
    </row>
    <row r="3293" spans="1:27">
      <c r="B3293" s="13">
        <v>6</v>
      </c>
      <c r="C3293" s="14" t="s">
        <v>26</v>
      </c>
      <c r="D3293" s="15" cm="1">
        <f t="array" ref="D3293">_xlfn.SINGLE(IF(A3296=A3297,_xll.ciqfunctions.udf.CIQ(A3288,"IQ_TOTAL_REV",IQ_FY-5)/I3293, _xll.ciqfunctions.udf.CIQ(A3288, "IQ_TOTAL_REV",IQ_FY-4)/I3293))</f>
        <v>5.0883362319783192</v>
      </c>
      <c r="E3293" s="16">
        <f t="shared" si="879"/>
        <v>0.1598811035785368</v>
      </c>
      <c r="F3293" s="15">
        <f>IF(A3296=A3297,_xll.ciqfunctions.udf.CIQ(A3288,"IQ_DILUT_EPS_EXCL",IQ_FY-5), _xll.ciqfunctions.udf.CIQ(A3288, "IQ_DILUT_EPS_EXCL",IQ_FY-4))</f>
        <v>-1.2</v>
      </c>
      <c r="G3293" s="15">
        <f>IF(A3296=A3297,_xll.ciqfunctions.udf.CIQ(A3288,"IQ_EBITDA_MARGIN",IQ_FY-5), _xll.ciqfunctions.udf.CIQ(A3288, "IQ_EBITDA_MARGIN",IQ_FY-4))</f>
        <v>-16.889600000000002</v>
      </c>
      <c r="H3293" s="15">
        <f>IF(A3296=A3297,_xll.ciqfunctions.udf.CIQ(A3288,"IQ_TOTAL_DIV_PAID_CF",IQ_FY-5)/-I3293, _xll.ciqfunctions.udf.CIQ(A3288, "IQ_TOTAL_DIV_PAID_CF",IQ_FY-4)/-I3293)</f>
        <v>0</v>
      </c>
      <c r="I3293" s="17">
        <f>IF(A3296=A3297,_xll.ciqfunctions.udf.CIQ(A3288,"IQ_TOTAL_OUTSTANDING_FILING_DATE",IQ_FY-5), _xll.ciqfunctions.udf.CIQ(A3288, "IQ_TOTAL_OUTSTANDING_FILING_DATE",IQ_FY-4))</f>
        <v>47.970689999999998</v>
      </c>
      <c r="J3293" s="17">
        <f>IF(A3296=A3297,_xll.ciqfunctions.udf.CIQ(A3288,"IQ_CASH_OPER",IQ_FY-5), _xll.ciqfunctions.udf.CIQ(A3288, "IQ_CASH_OPER",IQ_FY-4))</f>
        <v>6.0659999999999998</v>
      </c>
      <c r="K3293" s="17">
        <f>IF(A3296=A3297,_xll.ciqfunctions.udf.CIQ(A3288,"IQ_CAPEX",IQ_FY-5), _xll.ciqfunctions.udf.CIQ(A3288, "IQ_CAPEX",IQ_FY-4))</f>
        <v>-12.813000000000001</v>
      </c>
      <c r="L3293" s="15">
        <f t="shared" si="876"/>
        <v>-0.14064838341912533</v>
      </c>
      <c r="M3293" s="17">
        <f>IF(A3296=A3297,_xll.ciqfunctions.udf.CIQ(A3288,"IQ_TOTAL_DEBT_ISSUED",IQ_FY-5), _xll.ciqfunctions.udf.CIQ(A3288, "IQ_TOTAL_DEBT_ISSUED",IQ_FY-4))</f>
        <v>230</v>
      </c>
      <c r="N3293" s="17">
        <f>IF(A3296=A3297,_xll.ciqfunctions.udf.CIQ(A3288,"IQ_TOTAL_DEBT_REPAID",IQ_FY-5), _xll.ciqfunctions.udf.CIQ(A3288, "IQ_TOTAL_DEBT_REPAID",IQ_FY-4))</f>
        <v>0</v>
      </c>
      <c r="O3293" s="15">
        <f t="shared" si="877"/>
        <v>4.7945943658513146</v>
      </c>
      <c r="P3293" s="15">
        <f t="shared" si="878"/>
        <v>4.6539459824321892</v>
      </c>
      <c r="Q3293" s="25" t="s">
        <v>27</v>
      </c>
      <c r="R3293" s="38" t="s">
        <v>51</v>
      </c>
      <c r="S3293" s="4">
        <f>AVERAGE(F3293:F3298)/AVERAGE(D3293:D3298)</f>
        <v>-0.22953780820836683</v>
      </c>
      <c r="U3293" s="25" t="s">
        <v>58</v>
      </c>
      <c r="V3293" s="38" t="s">
        <v>51</v>
      </c>
      <c r="W3293" s="4">
        <f>AVERAGE(F3293:F3298)/AVERAGE(D3293:D3298)</f>
        <v>-0.22953780820836683</v>
      </c>
      <c r="Y3293" s="25" t="s">
        <v>56</v>
      </c>
      <c r="Z3293" s="38" t="s">
        <v>51</v>
      </c>
      <c r="AA3293" s="4">
        <f>AVERAGE(F3293:F3298)/AVERAGE(D3293:D3298)</f>
        <v>-0.22953780820836683</v>
      </c>
    </row>
    <row r="3294" spans="1:27">
      <c r="A3294" s="18"/>
      <c r="B3294" s="13">
        <v>7</v>
      </c>
      <c r="C3294" s="14" t="s">
        <v>28</v>
      </c>
      <c r="D3294" s="15" cm="1">
        <f t="array" ref="D3294">_xlfn.SINGLE(IF(A3296=A3297,_xll.ciqfunctions.udf.CIQ(A3288,"IQ_TOTAL_REV",IQ_FY-4)/I3294, _xll.ciqfunctions.udf.CIQ(A3288, "IQ_TOTAL_REV",IQ_FY-3)/I3294))</f>
        <v>6.5116405979571246</v>
      </c>
      <c r="E3294" s="16">
        <f t="shared" si="879"/>
        <v>0.27971900855015469</v>
      </c>
      <c r="F3294" s="15">
        <f>IF(A3296=A3297,_xll.ciqfunctions.udf.CIQ(A3288,"IQ_DILUT_EPS_EXCL",IQ_FY-4), _xll.ciqfunctions.udf.CIQ(A3288, "IQ_DILUT_EPS_EXCL",IQ_FY-3))</f>
        <v>-1.10493</v>
      </c>
      <c r="G3294" s="15">
        <f>IF(A3296=A3297,_xll.ciqfunctions.udf.CIQ(A3288,"IQ_EBITDA_MARGIN",IQ_FY-4), _xll.ciqfunctions.udf.CIQ(A3288, "IQ_EBITDA_MARGIN",IQ_FY-3))</f>
        <v>-8.6286000000000005</v>
      </c>
      <c r="H3294" s="15">
        <f>IF(A3296=A3297,_xll.ciqfunctions.udf.CIQ(A3288,"IQ_TOTAL_DIV_PAID_CF",IQ_FY-4)/-I3294, _xll.ciqfunctions.udf.CIQ(A3288, "IQ_TOTAL_DIV_PAID_CF",IQ_FY-3)/-I3294)</f>
        <v>0</v>
      </c>
      <c r="I3294" s="17">
        <f>IF(A3296=A3297,_xll.ciqfunctions.udf.CIQ(A3288,"IQ_TOTAL_OUTSTANDING_FILING_DATE",IQ_FY-4), _xll.ciqfunctions.udf.CIQ(A3288, "IQ_TOTAL_OUTSTANDING_FILING_DATE",IQ_FY-3))</f>
        <v>50.209620000000001</v>
      </c>
      <c r="J3294" s="17">
        <f>IF(A3296=A3297,_xll.ciqfunctions.udf.CIQ(A3288,"IQ_CASH_OPER",IQ_FY-4), _xll.ciqfunctions.udf.CIQ(A3288, "IQ_CASH_OPER",IQ_FY-3))</f>
        <v>-1.42</v>
      </c>
      <c r="K3294" s="17">
        <f>IF(A3296=A3297,_xll.ciqfunctions.udf.CIQ(A3288,"IQ_CAPEX",IQ_FY-4), _xll.ciqfunctions.udf.CIQ(A3288, "IQ_CAPEX",IQ_FY-3))</f>
        <v>-29.428000000000001</v>
      </c>
      <c r="L3294" s="15">
        <f t="shared" si="876"/>
        <v>-0.614384255447462</v>
      </c>
      <c r="M3294" s="17">
        <f>IF(A3296=A3297,_xll.ciqfunctions.udf.CIQ(A3288,"IQ_TOTAL_DEBT_ISSUED",IQ_FY-4), _xll.ciqfunctions.udf.CIQ(A3288, "IQ_TOTAL_DEBT_ISSUED",IQ_FY-3))</f>
        <v>0</v>
      </c>
      <c r="N3294" s="17">
        <f>IF(A3296=A3297,_xll.ciqfunctions.udf.CIQ(A3288,"IQ_TOTAL_DEBT_REPAID",IQ_FY-4), _xll.ciqfunctions.udf.CIQ(A3288, "IQ_TOTAL_DEBT_REPAID",IQ_FY-3))</f>
        <v>0</v>
      </c>
      <c r="O3294" s="15">
        <f t="shared" si="877"/>
        <v>0</v>
      </c>
      <c r="P3294" s="15">
        <f t="shared" si="878"/>
        <v>-0.614384255447462</v>
      </c>
      <c r="Q3294" s="18"/>
      <c r="R3294" s="38" t="s">
        <v>29</v>
      </c>
      <c r="S3294" s="4">
        <f>(AVERAGE(P3293:P3298)/_xlfn.STDEV.P(P3293:P3298))/(IF(A3296=A3297,(_xlfn.SINGLE(_xll.ciqfunctions.udf.CIQ(A3288,"IQ_total_assets",IQ_FY)) - _xlfn.SINGLE(_xll.ciqfunctions.udf.CIQ(A3288,"iq_gw_intan", IQ_FY)))/I3298, (_xlfn.SINGLE(_xll.ciqfunctions.udf.CIQ(A3288, "IQ_total_assets",IQ_LTM))-_xlfn.SINGLE(_xll.ciqfunctions.udf.CIQ(A3288,"iq_gw_intan",IQ_LTM)))/I3298))</f>
        <v>0.10135816917762991</v>
      </c>
      <c r="U3294" s="18"/>
      <c r="V3294" s="38" t="s">
        <v>29</v>
      </c>
      <c r="W3294" s="4">
        <f>(AVERAGE(P3293:P3298)/_xlfn.STDEV.P(P3293:P3298))/(IF(A3296=A3297,(_xlfn.SINGLE(_xll.ciqfunctions.udf.CIQ(A3288,"IQ_total_assets",IQ_FY)) - _xlfn.SINGLE(_xll.ciqfunctions.udf.CIQ(A3288,"iq_gw_intan", IQ_FY)))/I3298, (_xlfn.SINGLE(_xll.ciqfunctions.udf.CIQ(A3288, "IQ_total_assets",IQ_LTM))-_xlfn.SINGLE(_xll.ciqfunctions.udf.CIQ(A3288,"iq_gw_intan",IQ_LTM)))/I3298))</f>
        <v>0.10135816917762991</v>
      </c>
      <c r="Y3294" s="18"/>
      <c r="Z3294" s="38" t="s">
        <v>29</v>
      </c>
      <c r="AA3294" s="4">
        <f>(AVERAGE(P3293:P3298)/_xlfn.STDEV.P(P3293:P3298))/(IF(A3296=A3297,(_xlfn.SINGLE(_xll.ciqfunctions.udf.CIQ(A3288,"IQ_total_assets",IQ_FY)) - _xlfn.SINGLE(_xll.ciqfunctions.udf.CIQ(A3288,"iq_gw_intan", IQ_FY)))/I3298, (_xlfn.SINGLE(_xll.ciqfunctions.udf.CIQ(A3288, "IQ_total_assets",IQ_LTM))-_xlfn.SINGLE(_xll.ciqfunctions.udf.CIQ(A3288,"iq_gw_intan",IQ_LTM)))/I3298))</f>
        <v>0.10135816917762991</v>
      </c>
    </row>
    <row r="3295" spans="1:27">
      <c r="A3295" s="18"/>
      <c r="B3295" s="13">
        <v>8</v>
      </c>
      <c r="C3295" s="14" t="s">
        <v>30</v>
      </c>
      <c r="D3295" s="15" cm="1">
        <f t="array" ref="D3295">_xlfn.SINGLE(IF(A3296=A3297,_xll.ciqfunctions.udf.CIQ(A3288,"IQ_TOTAL_REV",IQ_FY-3)/I3295, _xll.ciqfunctions.udf.CIQ(A3288, "IQ_TOTAL_REV",IQ_FY-2)/I3295))</f>
        <v>7.8099403900016453</v>
      </c>
      <c r="E3295" s="16">
        <f t="shared" si="879"/>
        <v>0.1993813651895702</v>
      </c>
      <c r="F3295" s="15">
        <f>IF(A3296=A3297,_xll.ciqfunctions.udf.CIQ(A3288,"IQ_DILUT_EPS_EXCL",IQ_FY-3), _xll.ciqfunctions.udf.CIQ(A3288, "IQ_DILUT_EPS_EXCL",IQ_FY-2))</f>
        <v>-1.93682</v>
      </c>
      <c r="G3295" s="15">
        <f>IF(A3296=A3297,_xll.ciqfunctions.udf.CIQ(A3288,"IQ_EBITDA_MARGIN",IQ_FY-3), _xll.ciqfunctions.udf.CIQ(A3288, "IQ_EBITDA_MARGIN",IQ_FY-2))</f>
        <v>-11.7532</v>
      </c>
      <c r="H3295" s="15">
        <f>IF(A3296=A3297,_xll.ciqfunctions.udf.CIQ(A3288,"IQ_TOTAL_DIV_PAID_CF",IQ_FY-3)/-I3295, _xll.ciqfunctions.udf.CIQ(A3288, "IQ_TOTAL_DIV_PAID_CF",IQ_FY-2)/-I3295)</f>
        <v>0</v>
      </c>
      <c r="I3295" s="17">
        <f>IF(A3296=A3297,_xll.ciqfunctions.udf.CIQ(A3288,"IQ_TOTAL_OUTSTANDING_FILING_DATE",IQ_FY-3), _xll.ciqfunctions.udf.CIQ(A3288, "IQ_TOTAL_OUTSTANDING_FILING_DATE",IQ_FY-2))</f>
        <v>52.687469999999998</v>
      </c>
      <c r="J3295" s="17">
        <f>IF(A3296=A3297,_xll.ciqfunctions.udf.CIQ(A3288,"IQ_CASH_OPER",IQ_FY-3), _xll.ciqfunctions.udf.CIQ(A3288, "IQ_CASH_OPER",IQ_FY-2))</f>
        <v>4.8869999999999996</v>
      </c>
      <c r="K3295" s="17">
        <f>IF(A3296=A3297,_xll.ciqfunctions.udf.CIQ(A3288,"IQ_CAPEX",IQ_FY-3), _xll.ciqfunctions.udf.CIQ(A3288, "IQ_CAPEX",IQ_FY-2))</f>
        <v>-13.802</v>
      </c>
      <c r="L3295" s="15">
        <f t="shared" si="876"/>
        <v>-0.16920531579899356</v>
      </c>
      <c r="M3295" s="17">
        <f>IF(A3296=A3297,_xll.ciqfunctions.udf.CIQ(A3288,"IQ_TOTAL_DEBT_ISSUED",IQ_FY-3), _xll.ciqfunctions.udf.CIQ(A3288, "IQ_TOTAL_DEBT_ISSUED",IQ_FY-2))</f>
        <v>230</v>
      </c>
      <c r="N3295" s="17">
        <f>IF(A3296=A3297,_xll.ciqfunctions.udf.CIQ(A3288,"IQ_TOTAL_DEBT_REPAID",IQ_FY-3), _xll.ciqfunctions.udf.CIQ(A3288, "IQ_TOTAL_DEBT_REPAID",IQ_FY-2))</f>
        <v>0</v>
      </c>
      <c r="O3295" s="15">
        <f t="shared" si="877"/>
        <v>4.3653642887009001</v>
      </c>
      <c r="P3295" s="15">
        <f t="shared" si="878"/>
        <v>4.1961589729019062</v>
      </c>
      <c r="Q3295" s="18"/>
      <c r="R3295" s="39" t="s">
        <v>31</v>
      </c>
      <c r="S3295" s="5">
        <f>IF(NOT(D3288&gt;0),FALSE,SLOPE(G3288:G3298,B3288:B3298))</f>
        <v>2.9048718181818178</v>
      </c>
      <c r="U3295" s="18"/>
      <c r="V3295" s="39" t="s">
        <v>31</v>
      </c>
      <c r="W3295" s="5">
        <f>IF(NOT(D3288&gt;0),FALSE,SLOPE(G3288:G3298,B3288:B3298))</f>
        <v>2.9048718181818178</v>
      </c>
      <c r="Y3295" s="18"/>
      <c r="Z3295" s="39" t="s">
        <v>31</v>
      </c>
      <c r="AA3295" s="5" t="b">
        <f>IF(NOT(L3288&gt;0),FALSE,SLOPE(O3288:O3298,J3288:J3298))</f>
        <v>0</v>
      </c>
    </row>
    <row r="3296" spans="1:27">
      <c r="A3296" s="19">
        <f>_xll.ciqfunctions.udf.CIQ(A3288,"IQ_TOTAL_REV",IQ_FY)</f>
        <v>685.08299999999997</v>
      </c>
      <c r="B3296" s="13">
        <v>9</v>
      </c>
      <c r="C3296" s="14" t="s">
        <v>32</v>
      </c>
      <c r="D3296" s="15" cm="1">
        <f t="array" ref="D3296">_xlfn.SINGLE(IF(A3296=A3297,_xll.ciqfunctions.udf.CIQ(A3288,"IQ_TOTAL_REV",IQ_FY-2)/I3296, _xll.ciqfunctions.udf.CIQ(A3288, "IQ_TOTAL_REV",IQ_FY-1)/I3296))</f>
        <v>9.2186201650385851</v>
      </c>
      <c r="E3296" s="16">
        <f t="shared" si="879"/>
        <v>0.18037010587690835</v>
      </c>
      <c r="F3296" s="15">
        <f>IF(A3296=A3297,_xll.ciqfunctions.udf.CIQ(A3288,"IQ_DILUT_EPS_EXCL",IQ_FY-2), _xll.ciqfunctions.udf.CIQ(A3288, "IQ_DILUT_EPS_EXCL",IQ_FY-1))</f>
        <v>-2.64757</v>
      </c>
      <c r="G3296" s="15">
        <f>IF(A3296=A3297,_xll.ciqfunctions.udf.CIQ(A3288,"IQ_EBITDA_MARGIN",IQ_FY-2), _xll.ciqfunctions.udf.CIQ(A3288, "IQ_EBITDA_MARGIN",IQ_FY-1))</f>
        <v>-14.7148</v>
      </c>
      <c r="H3296" s="15">
        <f>IF(A3296=A3297,_xll.ciqfunctions.udf.CIQ(A3288,"IQ_TOTAL_DIV_PAID_CF",IQ_FY-2)/-I3296, _xll.ciqfunctions.udf.CIQ(A3288, "IQ_TOTAL_DIV_PAID_CF",IQ_FY-1)/-I3296)</f>
        <v>0</v>
      </c>
      <c r="I3296" s="17">
        <f>IF(A3296=A3297,_xll.ciqfunctions.udf.CIQ(A3288,"IQ_TOTAL_OUTSTANDING_FILING_DATE",IQ_FY-2), _xll.ciqfunctions.udf.CIQ(A3288, "IQ_TOTAL_OUTSTANDING_FILING_DATE",IQ_FY-1))</f>
        <v>58.078539999999997</v>
      </c>
      <c r="J3296" s="17">
        <f>IF(A3296=A3297,_xll.ciqfunctions.udf.CIQ(A3288,"IQ_CASH_OPER",IQ_FY-2), _xll.ciqfunctions.udf.CIQ(A3288, "IQ_CASH_OPER",IQ_FY-1))</f>
        <v>53.917000000000002</v>
      </c>
      <c r="K3296" s="17">
        <f>IF(A3296=A3297,_xll.ciqfunctions.udf.CIQ(A3288,"IQ_CAPEX",IQ_FY-2), _xll.ciqfunctions.udf.CIQ(A3288, "IQ_CAPEX",IQ_FY-1))</f>
        <v>-9.01</v>
      </c>
      <c r="L3296" s="15">
        <f t="shared" si="876"/>
        <v>0.77321158555294267</v>
      </c>
      <c r="M3296" s="17">
        <f>IF(A3296=A3297,_xll.ciqfunctions.udf.CIQ(A3288,"IQ_TOTAL_DEBT_ISSUED",IQ_FY-2), _xll.ciqfunctions.udf.CIQ(A3288, "IQ_TOTAL_DEBT_ISSUED",IQ_FY-1))</f>
        <v>600</v>
      </c>
      <c r="N3296" s="17">
        <f>IF(A3296=A3297,_xll.ciqfunctions.udf.CIQ(A3288,"IQ_TOTAL_DEBT_REPAID",IQ_FY-2), _xll.ciqfunctions.udf.CIQ(A3288, "IQ_TOTAL_DEBT_REPAID",IQ_FY-1))</f>
        <v>-230</v>
      </c>
      <c r="O3296" s="15">
        <f t="shared" si="877"/>
        <v>6.3706835605715986</v>
      </c>
      <c r="P3296" s="15">
        <f t="shared" si="878"/>
        <v>7.1438951461245415</v>
      </c>
      <c r="Q3296" s="25" t="s">
        <v>33</v>
      </c>
      <c r="R3296" s="38" t="s">
        <v>52</v>
      </c>
      <c r="S3296" s="4">
        <f>(AVERAGE(O3293:O3298)/AVERAGE(P3293:P3298))</f>
        <v>0.8980744376513784</v>
      </c>
      <c r="U3296" s="25" t="s">
        <v>54</v>
      </c>
      <c r="V3296" s="38" t="s">
        <v>52</v>
      </c>
      <c r="W3296" s="4">
        <f>(AVERAGE(O3293:O3298)/AVERAGE(P3293:P3298))</f>
        <v>0.8980744376513784</v>
      </c>
      <c r="Y3296" s="25" t="s">
        <v>60</v>
      </c>
      <c r="Z3296" s="38" t="s">
        <v>52</v>
      </c>
      <c r="AA3296" s="4">
        <f>(AVERAGE(O3293:O3298)/AVERAGE(P3293:P3298))</f>
        <v>0.8980744376513784</v>
      </c>
    </row>
    <row r="3297" spans="1:27">
      <c r="A3297" s="19">
        <f>_xll.ciqfunctions.udf.CIQ(A3288,"IQ_TOTAL_REV",IQ_LTM)</f>
        <v>756.91800000000001</v>
      </c>
      <c r="B3297" s="13">
        <v>10</v>
      </c>
      <c r="C3297" s="14" t="s">
        <v>34</v>
      </c>
      <c r="D3297" s="15" cm="1">
        <f t="array" ref="D3297">_xlfn.SINGLE(IF(A3296=A3297,_xll.ciqfunctions.udf.CIQ(A3288,"IQ_TOTAL_REV",IQ_FY-1)/I3297, _xll.ciqfunctions.udf.CIQ(A3288, "IQ_TOTAL_REV",IQ_FY)/I3297))</f>
        <v>11.41031380723869</v>
      </c>
      <c r="E3297" s="16">
        <f t="shared" si="879"/>
        <v>0.23774638752468136</v>
      </c>
      <c r="F3297" s="15">
        <f>IF(A3296=A3297,_xll.ciqfunctions.udf.CIQ(A3288,"IQ_DILUT_EPS_EXCL",IQ_FY-1), _xll.ciqfunctions.udf.CIQ(A3288, "IQ_DILUT_EPS_EXCL",IQ_FY))</f>
        <v>-2.13002</v>
      </c>
      <c r="G3297" s="15">
        <f>IF(A3296=A3297,_xll.ciqfunctions.udf.CIQ(A3288,"IQ_EBITDA_MARGIN",IQ_FY-1), _xll.ciqfunctions.udf.CIQ(A3288, "IQ_EBITDA_MARGIN",IQ_FY))</f>
        <v>-10.285</v>
      </c>
      <c r="H3297" s="15">
        <f>IF(A3296=A3297,_xll.ciqfunctions.udf.CIQ(A3288,"IQ_TOTAL_DIV_PAID_CF",IQ_FY-1)/-I3297, _xll.ciqfunctions.udf.CIQ(A3288, "IQ_TOTAL_DIV_PAID_CF",IQ_FY)/-I3297)</f>
        <v>0</v>
      </c>
      <c r="I3297" s="17">
        <f>IF(A3296=A3297,_xll.ciqfunctions.udf.CIQ(A3288,"IQ_TOTAL_OUTSTANDING_FILING_DATE",IQ_FY-1), _xll.ciqfunctions.udf.CIQ(A3288, "IQ_TOTAL_OUTSTANDING_FILING_DATE",IQ_FY))</f>
        <v>60.040680000000002</v>
      </c>
      <c r="J3297" s="17">
        <f>IF(A3296=A3297,_xll.ciqfunctions.udf.CIQ(A3288,"IQ_CASH_OPER",IQ_FY-1), _xll.ciqfunctions.udf.CIQ(A3288, "IQ_CASH_OPER",IQ_FY))</f>
        <v>78.203999999999994</v>
      </c>
      <c r="K3297" s="17">
        <f>IF(A3296=A3297,_xll.ciqfunctions.udf.CIQ(A3288,"IQ_CAPEX",IQ_FY-1), _xll.ciqfunctions.udf.CIQ(A3288, "IQ_CAPEX",IQ_FY))</f>
        <v>-20.382000000000001</v>
      </c>
      <c r="L3297" s="15">
        <f t="shared" si="876"/>
        <v>0.96304705409732183</v>
      </c>
      <c r="M3297" s="17">
        <f>IF(A3296=A3297,_xll.ciqfunctions.udf.CIQ(A3288,"IQ_TOTAL_DEBT_ISSUED",IQ_FY-1), _xll.ciqfunctions.udf.CIQ(A3288, "IQ_TOTAL_DEBT_ISSUED",IQ_FY))</f>
        <v>0</v>
      </c>
      <c r="N3297" s="17">
        <f>IF(A3296=A3297,_xll.ciqfunctions.udf.CIQ(A3288,"IQ_TOTAL_DEBT_REPAID",IQ_FY-1), _xll.ciqfunctions.udf.CIQ(A3288, "IQ_TOTAL_DEBT_REPAID",IQ_FY))</f>
        <v>-1.2E-2</v>
      </c>
      <c r="O3297" s="15">
        <f t="shared" si="877"/>
        <v>-1.9986449187450907E-4</v>
      </c>
      <c r="P3297" s="15">
        <f t="shared" si="878"/>
        <v>0.96284718960544735</v>
      </c>
      <c r="Q3297" s="25" t="s">
        <v>44</v>
      </c>
      <c r="R3297" s="38" t="s">
        <v>35</v>
      </c>
      <c r="S3297" s="1">
        <f>_xll.ciqfunctions.udf.CIQ(A3288,"IQ_TEV_EBITDA")</f>
        <v>214.02804</v>
      </c>
      <c r="U3297" s="25" t="s">
        <v>55</v>
      </c>
      <c r="V3297" s="38" t="s">
        <v>53</v>
      </c>
      <c r="W3297" s="1">
        <f>V3287/(AVERAGE(D3293:D3298)/_xlfn.STDEV.P(E3293:E3298))</f>
        <v>0.37884310559550027</v>
      </c>
      <c r="Y3297" s="25" t="s">
        <v>57</v>
      </c>
      <c r="Z3297" s="38" t="s">
        <v>53</v>
      </c>
      <c r="AA3297" s="1">
        <f>Z3287/(AVERAGE(D3293:D3298)/_xlfn.STDEV.P(E3293:E3298))</f>
        <v>0.37884310559550027</v>
      </c>
    </row>
    <row r="3298" spans="1:27">
      <c r="B3298" s="13">
        <v>11</v>
      </c>
      <c r="C3298" s="20" t="s">
        <v>36</v>
      </c>
      <c r="D3298" s="21" cm="1">
        <f t="array" ref="D3298">_xlfn.SINGLE(IF(A3296=A3297,_xll.ciqfunctions.udf.CIQ(A3288,"IQ_TOTAL_REV",IQ_FY)/I3298, _xll.ciqfunctions.udf.CIQ(A3288, "IQ_TOTAL_REV",IQ_LTM)/I3298))</f>
        <v>12.318231476670046</v>
      </c>
      <c r="E3298" s="22">
        <f t="shared" si="879"/>
        <v>7.9569912341532101E-2</v>
      </c>
      <c r="F3298" s="21">
        <f>IF(A3296=A3297,_xll.ciqfunctions.udf.CIQ(A3288,"IQ_DILUT_EPS_EXCL",IQ_FY), _xll.ciqfunctions.udf.CIQ(A3288, "IQ_DILUT_EPS_EXCL",IQ_LTM))</f>
        <v>-2.9985900000000001</v>
      </c>
      <c r="G3298" s="21">
        <f>IF(A3296=A3297,_xll.ciqfunctions.udf.CIQ(A3288,"IQ_EBITDA_MARGIN",IQ_FY), _xll.ciqfunctions.udf.CIQ(A3288, "IQ_EBITDA_MARGIN",IQ_LTM))</f>
        <v>-1.1746000000000001</v>
      </c>
      <c r="H3298" s="21">
        <f>IF(A3296=A3297,_xll.ciqfunctions.udf.CIQ(A3288,"IQ_TOTAL_DIV_PAID_CF",IQ_FY)/-I3298, _xll.ciqfunctions.udf.CIQ(A3288, "IQ_TOTAL_DIV_PAID_CF",IQ_LTM)/-I3298)</f>
        <v>0</v>
      </c>
      <c r="I3298" s="23">
        <f>IF(A3296=A3297,_xll.ciqfunctions.udf.CIQ(A3288,"IQ_TOTAL_OUTSTANDING_FILING_DATE",IQ_FY),_xll.ciqfunctions.udf.CIQ(A3288,"IQ_sharesoutstanding"))</f>
        <v>61.44697</v>
      </c>
      <c r="J3298" s="23">
        <f>IF(A3296=A3297,_xll.ciqfunctions.udf.CIQ(A3288,"IQ_CASH_OPER",IQ_FY), _xll.ciqfunctions.udf.CIQ(A3288, "IQ_CASH_OPER",IQ_LTM))</f>
        <v>81.054000000000002</v>
      </c>
      <c r="K3298" s="23">
        <f>IF(A3296=A3297,_xll.ciqfunctions.udf.CIQ(A3288,"IQ_CAPEX",IQ_FY), _xll.ciqfunctions.udf.CIQ(A3288, "IQ_CAPEX",IQ_LTM))</f>
        <v>-11.294</v>
      </c>
      <c r="L3298" s="21">
        <f t="shared" si="876"/>
        <v>1.1352878750571429</v>
      </c>
      <c r="M3298" s="23">
        <f>IF(A3296=A3297,_xll.ciqfunctions.udf.CIQ(A3288,"IQ_TOTAL_DEBT_ISSUED",IQ_FY), _xll.ciqfunctions.udf.CIQ(A3288, "IQ_TOTAL_DEBT_ISSUED",IQ_LTM))</f>
        <v>300</v>
      </c>
      <c r="N3298" s="23">
        <f>IF(A3296=A3297,_xll.ciqfunctions.udf.CIQ(A3288,"IQ_TOTAL_DEBT_REPAID",IQ_FY), _xll.ciqfunctions.udf.CIQ(A3288, "IQ_TOTAL_DEBT_REPAID",IQ_LTM))</f>
        <v>-199.99799999999999</v>
      </c>
      <c r="O3298" s="21">
        <f t="shared" si="877"/>
        <v>1.6274520940576893</v>
      </c>
      <c r="P3298" s="21">
        <f t="shared" si="878"/>
        <v>2.7627399691148322</v>
      </c>
      <c r="Q3298" s="25" t="s">
        <v>45</v>
      </c>
      <c r="S3298" s="45"/>
      <c r="U3298" s="25"/>
      <c r="W3298" s="45"/>
      <c r="Y3298" s="25"/>
      <c r="AA3298" s="45"/>
    </row>
    <row r="3299" spans="1:27">
      <c r="B3299" s="24"/>
      <c r="C3299" s="25" t="s">
        <v>37</v>
      </c>
      <c r="E3299" s="26">
        <f>((D3298/D3293)^(1/5))-1</f>
        <v>0.19342329804880487</v>
      </c>
      <c r="F3299" s="27">
        <f>((F3298/F3293)^(1/5))-1</f>
        <v>0.20101150705237814</v>
      </c>
      <c r="G3299" s="28"/>
      <c r="H3299" s="27" t="e">
        <f>((H3298/H3293)^(1/5))-1</f>
        <v>#DIV/0!</v>
      </c>
      <c r="I3299" s="27">
        <f>((I3298/I3293)^(1/5))-1</f>
        <v>5.0763313612132821E-2</v>
      </c>
      <c r="J3299" s="27"/>
      <c r="K3299" s="27"/>
      <c r="L3299" s="26">
        <f>((L3298/L3293)^(1/5))-1</f>
        <v>-2.5184281655404446</v>
      </c>
      <c r="M3299" s="26"/>
      <c r="N3299" s="26"/>
      <c r="O3299" s="26"/>
      <c r="P3299" s="26">
        <f>((P3298/P3293)^(1/5))-1</f>
        <v>-9.9043683300299667E-2</v>
      </c>
      <c r="Q3299" s="18"/>
      <c r="R3299" s="36"/>
      <c r="S3299" s="45"/>
      <c r="U3299" s="18"/>
      <c r="V3299" s="36"/>
      <c r="W3299" s="45"/>
      <c r="Y3299" s="18"/>
      <c r="Z3299" s="36"/>
      <c r="AA3299" s="45"/>
    </row>
    <row r="3300" spans="1:27">
      <c r="A3300" s="29"/>
      <c r="B3300" s="30"/>
      <c r="C3300" s="31" t="s">
        <v>38</v>
      </c>
      <c r="D3300" s="29"/>
      <c r="E3300" s="32">
        <f>((D3298/D3288)^(1/10))-1</f>
        <v>0.10107029956419566</v>
      </c>
      <c r="F3300" s="33">
        <f>((F3298/F3288)^(1/10))-1</f>
        <v>-3.2615956992352202E-2</v>
      </c>
      <c r="G3300" s="34"/>
      <c r="H3300" s="33" t="e">
        <f>((H3298/H3288)^(1/10))-1</f>
        <v>#DIV/0!</v>
      </c>
      <c r="I3300" s="33">
        <f>((I3298/I3288)^(1/10))-1</f>
        <v>0.1701808885377678</v>
      </c>
      <c r="J3300" s="33"/>
      <c r="K3300" s="33"/>
      <c r="L3300" s="32" t="e">
        <f>((L3298/L3288)^(1/10))-1</f>
        <v>#NUM!</v>
      </c>
      <c r="M3300" s="32"/>
      <c r="N3300" s="32"/>
      <c r="O3300" s="32"/>
      <c r="P3300" s="32">
        <f>((P3298/P3288)^(1/10))-1</f>
        <v>9.4384967739552295E-2</v>
      </c>
      <c r="Q3300" s="40"/>
      <c r="R3300" s="41"/>
      <c r="S3300" s="46"/>
      <c r="U3300" s="40"/>
      <c r="V3300" s="41"/>
      <c r="W3300" s="46"/>
      <c r="Y3300" s="40"/>
      <c r="Z3300" s="41"/>
      <c r="AA3300" s="46"/>
    </row>
    <row r="3301" spans="1:27">
      <c r="B3301" s="24"/>
      <c r="C3301" s="25"/>
      <c r="E3301" s="26"/>
      <c r="F3301" s="27"/>
      <c r="G3301" s="28"/>
      <c r="H3301" s="27"/>
      <c r="I3301" s="27"/>
      <c r="J3301" s="27"/>
      <c r="K3301" s="27"/>
      <c r="L3301" s="26"/>
      <c r="M3301" s="17"/>
      <c r="N3301" s="17"/>
      <c r="O3301" s="17"/>
      <c r="P3301" s="35"/>
      <c r="Q3301" s="18"/>
      <c r="R3301" s="36"/>
    </row>
    <row r="3302" spans="1:27">
      <c r="A3302" s="9" t="s">
        <v>0</v>
      </c>
      <c r="B3302" s="10"/>
      <c r="C3302" s="9" t="s">
        <v>1</v>
      </c>
      <c r="D3302" s="9" t="s">
        <v>2</v>
      </c>
      <c r="E3302" s="9" t="s">
        <v>3</v>
      </c>
      <c r="F3302" s="11" t="s">
        <v>4</v>
      </c>
      <c r="G3302" s="11" t="s">
        <v>5</v>
      </c>
      <c r="H3302" s="9" t="s">
        <v>6</v>
      </c>
      <c r="I3302" s="11" t="s">
        <v>7</v>
      </c>
      <c r="J3302" s="11" t="s">
        <v>8</v>
      </c>
      <c r="K3302" s="11" t="s">
        <v>9</v>
      </c>
      <c r="L3302" s="11" t="s">
        <v>10</v>
      </c>
      <c r="M3302" s="11" t="s">
        <v>11</v>
      </c>
      <c r="N3302" s="11" t="s">
        <v>12</v>
      </c>
      <c r="O3302" s="11" t="s">
        <v>13</v>
      </c>
      <c r="P3302" s="11" t="s">
        <v>14</v>
      </c>
      <c r="Q3302" s="37" t="s">
        <v>15</v>
      </c>
      <c r="R3302" s="42">
        <f>_xll.ciqfunctions.udf.CIQ(A3303,("IQ_LASTSALEPRICE"))</f>
        <v>8.3650000000000002</v>
      </c>
      <c r="S3302" s="44"/>
      <c r="U3302" s="37" t="s">
        <v>15</v>
      </c>
      <c r="V3302" s="42">
        <f>_xll.ciqfunctions.udf.CIQ(A3303,("IQ_LASTSALEPRICE"))</f>
        <v>8.3650000000000002</v>
      </c>
      <c r="W3302" s="44"/>
      <c r="Y3302" s="37" t="s">
        <v>15</v>
      </c>
      <c r="Z3302" s="42">
        <f>_xll.ciqfunctions.udf.CIQ(A3303,("IQ_LASTSALEPRICE"))</f>
        <v>8.3650000000000002</v>
      </c>
      <c r="AA3302" s="44"/>
    </row>
    <row r="3303" spans="1:27">
      <c r="A3303" s="12" t="str">
        <f>Analysis!B222</f>
        <v>NasdaqGS:AVPT</v>
      </c>
      <c r="B3303" s="13">
        <v>1</v>
      </c>
      <c r="C3303" s="14" t="s">
        <v>16</v>
      </c>
      <c r="D3303" s="15" t="e">
        <f>IF(A3311=A3312,_xll.ciqfunctions.udf.CIQ(A3303,"IQ_TOTAL_REV",IQ_FY-10)/I3303,_xll.ciqfunctions.udf.CIQ(A3303, "IQ_TOTAL_REV",IQ_FY-9)/I3303)</f>
        <v>#DIV/0!</v>
      </c>
      <c r="E3303" s="16"/>
      <c r="F3303" s="15">
        <f>IF(A3311=A3312,_xll.ciqfunctions.udf.CIQ(A3303,"IQ_DILUT_EPS_EXCL",IQ_FY-10), _xll.ciqfunctions.udf.CIQ(A3303, "IQ_DILUT_EPS_EXCL",IQ_FY-9))</f>
        <v>0</v>
      </c>
      <c r="G3303" s="15">
        <f>IF(A3311=A3312,_xll.ciqfunctions.udf.CIQ(A3303,"IQ_EBITDA_MARGIN",IQ_FY-10), _xll.ciqfunctions.udf.CIQ(A3303, "IQ_EBITDA_MARGIN",IQ_FY-9))</f>
        <v>0</v>
      </c>
      <c r="H3303" s="15" t="e">
        <f>IF(A3311=A3312,_xll.ciqfunctions.udf.CIQ(A3303,"IQ_TOTAL_DIV_PAID_CF",IQ_FY-10)/-I3303, _xll.ciqfunctions.udf.CIQ(A3303, "IQ_TOTAL_DIV_PAID_CF",IQ_FY-9)/-I3303)</f>
        <v>#DIV/0!</v>
      </c>
      <c r="I3303" s="17">
        <f>IF(A3311=A3312,_xll.ciqfunctions.udf.CIQ(A3303,"IQ_TOTAL_OUTSTANDING_FILING_DATE",IQ_FY-10), _xll.ciqfunctions.udf.CIQ(A3303, "IQ_TOTAL_OUTSTANDING_FILING_DATE",IQ_FY-9))</f>
        <v>0</v>
      </c>
      <c r="J3303" s="17">
        <f>IF(A3311=A3312,_xll.ciqfunctions.udf.CIQ(A3303,"IQ_CASH_OPER",IQ_FY-10), _xll.ciqfunctions.udf.CIQ(A3303, "IQ_CASH_OPER",IQ_FY-9))</f>
        <v>0</v>
      </c>
      <c r="K3303" s="17">
        <f>IF(A3311=A3312,_xll.ciqfunctions.udf.CIQ(A3303,"IQ_CAPEX",IQ_FY-10), _xll.ciqfunctions.udf.CIQ(A3303, "IQ_CAPEX",IQ_FY-9))</f>
        <v>0</v>
      </c>
      <c r="L3303" s="15" t="e">
        <f t="shared" ref="L3303:L3313" si="880">(J3303+K3303)/I3303</f>
        <v>#DIV/0!</v>
      </c>
      <c r="M3303" s="17">
        <f>IF(A3311=A3312,_xll.ciqfunctions.udf.CIQ(A3303,"IQ_TOTAL_DEBT_ISSUED",IQ_FY-10), _xll.ciqfunctions.udf.CIQ(A3303, "IQ_TOTAL_DEBT_ISSUED",IQ_FY-9))</f>
        <v>0</v>
      </c>
      <c r="N3303" s="17">
        <f>IF(A3311=A3312,_xll.ciqfunctions.udf.CIQ(A3303,"IQ_TOTAL_DEBT_REPAID",IQ_FY-10), _xll.ciqfunctions.udf.CIQ(A3303, "IQ_TOTAL_DEBT_REPAID",IQ_FY-9))</f>
        <v>0</v>
      </c>
      <c r="O3303" s="15" t="e">
        <f t="shared" ref="O3303:O3313" si="881">(M3303+N3303)/I3303</f>
        <v>#DIV/0!</v>
      </c>
      <c r="P3303" s="15" t="e">
        <f t="shared" ref="P3303:P3313" si="882">L3303+O3303</f>
        <v>#DIV/0!</v>
      </c>
      <c r="W3303" s="43"/>
      <c r="AA3303" s="43"/>
    </row>
    <row r="3304" spans="1:27">
      <c r="A3304" s="18" t="str">
        <f>_xll.ciqfunctions.udf.CIQ(A3303,"IQ_COMPANY_NAME")</f>
        <v>AvePoint, Inc.</v>
      </c>
      <c r="B3304" s="13">
        <v>2</v>
      </c>
      <c r="C3304" s="14" t="s">
        <v>17</v>
      </c>
      <c r="D3304" s="15" t="e">
        <f>IF(A3311=A3312,_xll.ciqfunctions.udf.CIQ(A3303,"IQ_TOTAL_REV",IQ_FY-9)/I3304, _xll.ciqfunctions.udf.CIQ(A3303, "IQ_TOTAL_REV",IQ_FY-8)/I3304)</f>
        <v>#DIV/0!</v>
      </c>
      <c r="E3304" s="16" t="e">
        <f t="shared" ref="E3304:E3313" si="883">(D3304-D3303)/D3303</f>
        <v>#DIV/0!</v>
      </c>
      <c r="F3304" s="15">
        <f>IF(A3311=A3312,_xll.ciqfunctions.udf.CIQ(A3303,"IQ_DILUT_EPS_EXCL",IQ_FY-9), _xll.ciqfunctions.udf.CIQ(A3303, "IQ_DILUT_EPS_EXCL",IQ_FY-8))</f>
        <v>0</v>
      </c>
      <c r="G3304" s="15">
        <f>IF(A3311=A3312,_xll.ciqfunctions.udf.CIQ(A3303,"IQ_EBITDA_MARGIN",IQ_FY-9), _xll.ciqfunctions.udf.CIQ(A3303, "IQ_EBITDA_MARGIN",IQ_FY-8))</f>
        <v>0</v>
      </c>
      <c r="H3304" s="15" t="e">
        <f>IF(A3311=A3312,_xll.ciqfunctions.udf.CIQ(A3303,"IQ_TOTAL_DIV_PAID_CF",IQ_FY-9)/-I3304, _xll.ciqfunctions.udf.CIQ(A3303, "IQ_TOTAL_DIV_PAID_CF",IQ_FY-8)/-I3304)</f>
        <v>#DIV/0!</v>
      </c>
      <c r="I3304" s="17">
        <f>IF(A3311=A3312,_xll.ciqfunctions.udf.CIQ(A3303,"IQ_TOTAL_OUTSTANDING_FILING_DATE",IQ_FY-9), _xll.ciqfunctions.udf.CIQ(A3303, "IQ_TOTAL_OUTSTANDING_FILING_DATE",IQ_FY-8))</f>
        <v>0</v>
      </c>
      <c r="J3304" s="17">
        <f>IF(A3311=A3312,_xll.ciqfunctions.udf.CIQ(A3303,"IQ_CASH_OPER",IQ_FY-9), _xll.ciqfunctions.udf.CIQ(A3303, "IQ_CASH_OPER",IQ_FY-8))</f>
        <v>0</v>
      </c>
      <c r="K3304" s="17">
        <f>IF(A3311=A3312,_xll.ciqfunctions.udf.CIQ(A3303,"IQ_CAPEX",IQ_FY-9), _xll.ciqfunctions.udf.CIQ(A3303, "IQ_CAPEX",IQ_FY-8))</f>
        <v>0</v>
      </c>
      <c r="L3304" s="15" t="e">
        <f t="shared" si="880"/>
        <v>#DIV/0!</v>
      </c>
      <c r="M3304" s="17">
        <f>IF(A3311=A3312,_xll.ciqfunctions.udf.CIQ(A3303,"IQ_TOTAL_DEBT_ISSUED",IQ_FY-9), _xll.ciqfunctions.udf.CIQ(A3303, "IQ_TOTAL_DEBT_ISSUED",IQ_FY-8))</f>
        <v>0</v>
      </c>
      <c r="N3304" s="17">
        <f>IF(A3311=A3312,_xll.ciqfunctions.udf.CIQ(A3303,"IQ_TOTAL_DEBT_REPAID",IQ_FY-9), _xll.ciqfunctions.udf.CIQ(A3303, "IQ_TOTAL_DEBT_REPAID",IQ_FY-8))</f>
        <v>0</v>
      </c>
      <c r="O3304" s="15" t="e">
        <f t="shared" si="881"/>
        <v>#DIV/0!</v>
      </c>
      <c r="P3304" s="15" t="e">
        <f t="shared" si="882"/>
        <v>#DIV/0!</v>
      </c>
      <c r="Q3304" s="25" t="s">
        <v>18</v>
      </c>
      <c r="R3304" s="39" t="s">
        <v>19</v>
      </c>
      <c r="S3304" s="1">
        <f>R3302/((AVERAGE(P3308:P3313))*(1+E3314)^3)</f>
        <v>118.96563316738869</v>
      </c>
      <c r="U3304" s="25" t="s">
        <v>48</v>
      </c>
      <c r="V3304" s="39" t="s">
        <v>19</v>
      </c>
      <c r="W3304" s="1">
        <f>V3302/((AVERAGE(P3308:P3313))*(1+E3314)^3)</f>
        <v>118.96563316738869</v>
      </c>
      <c r="Y3304" s="25" t="s">
        <v>39</v>
      </c>
      <c r="Z3304" s="39" t="s">
        <v>19</v>
      </c>
      <c r="AA3304" s="1">
        <f>Z3302/((AVERAGE(P3308:P3313))*(1+E3314)^3)</f>
        <v>118.96563316738869</v>
      </c>
    </row>
    <row r="3305" spans="1:27">
      <c r="B3305" s="13">
        <v>3</v>
      </c>
      <c r="C3305" s="14" t="s">
        <v>20</v>
      </c>
      <c r="D3305" s="15" t="e" cm="1">
        <f t="array" ref="D3305">_xlfn.SINGLE(IF(A3311=A3312,_xll.ciqfunctions.udf.CIQ(A3303,"IQ_TOTAL_REV",IQ_FY-8)/I3305, _xll.ciqfunctions.udf.CIQ(A3303, "IQ_TOTAL_REV",IQ_FY-7)/I3305))</f>
        <v>#DIV/0!</v>
      </c>
      <c r="E3305" s="16" t="e">
        <f t="shared" si="883"/>
        <v>#DIV/0!</v>
      </c>
      <c r="F3305" s="15">
        <f>IF(A3311=A3312,_xll.ciqfunctions.udf.CIQ(A3303,"IQ_DILUT_EPS_EXCL",IQ_FY-8), _xll.ciqfunctions.udf.CIQ(A3303, "IQ_DILUT_EPS_EXCL",IQ_FY-7))</f>
        <v>0</v>
      </c>
      <c r="G3305" s="15">
        <f>IF(A3311=A3312,_xll.ciqfunctions.udf.CIQ(A3303,"IQ_EBITDA_MARGIN",IQ_FY-8), _xll.ciqfunctions.udf.CIQ(A3303, "IQ_EBITDA_MARGIN",IQ_FY-7))</f>
        <v>0</v>
      </c>
      <c r="H3305" s="15" t="e">
        <f>IF(A3311=A3312,_xll.ciqfunctions.udf.CIQ(A3303,"IQ_TOTAL_DIV_PAID_CF",IQ_FY-8)/-I3305, _xll.ciqfunctions.udf.CIQ(A3303, "IQ_TOTAL_DIV_PAID_CF",IQ_FY-7)/-I3305)</f>
        <v>#DIV/0!</v>
      </c>
      <c r="I3305" s="17">
        <f>IF(A3311=A3312,_xll.ciqfunctions.udf.CIQ(A3303,"IQ_TOTAL_OUTSTANDING_FILING_DATE",IQ_FY-8), _xll.ciqfunctions.udf.CIQ(A3303, "IQ_TOTAL_OUTSTANDING_FILING_DATE",IQ_FY-7))</f>
        <v>0</v>
      </c>
      <c r="J3305" s="17">
        <f>IF(A3311=A3312,_xll.ciqfunctions.udf.CIQ(A3303,"IQ_CASH_OPER",IQ_FY-8), _xll.ciqfunctions.udf.CIQ(A3303, "IQ_CASH_OPER",IQ_FY-7))</f>
        <v>0</v>
      </c>
      <c r="K3305" s="17">
        <f>IF(A3311=A3312,_xll.ciqfunctions.udf.CIQ(A3303,"IQ_CAPEX",IQ_FY-8), _xll.ciqfunctions.udf.CIQ(A3303, "IQ_CAPEX",IQ_FY-7))</f>
        <v>0</v>
      </c>
      <c r="L3305" s="15" t="e">
        <f t="shared" si="880"/>
        <v>#DIV/0!</v>
      </c>
      <c r="M3305" s="17">
        <f>IF(A3311=A3312,_xll.ciqfunctions.udf.CIQ(A3303,"IQ_TOTAL_DEBT_ISSUED",IQ_FY-8), _xll.ciqfunctions.udf.CIQ(A3303, "IQ_TOTAL_DEBT_ISSUED",IQ_FY-7))</f>
        <v>0</v>
      </c>
      <c r="N3305" s="17">
        <f>IF(A3311=A3312,_xll.ciqfunctions.udf.CIQ(A3303,"IQ_TOTAL_DEBT_REPAID",IQ_FY-8), _xll.ciqfunctions.udf.CIQ(A3303, "IQ_TOTAL_DEBT_REPAID",IQ_FY-7))</f>
        <v>0</v>
      </c>
      <c r="O3305" s="15" t="e">
        <f t="shared" si="881"/>
        <v>#DIV/0!</v>
      </c>
      <c r="P3305" s="15" t="e">
        <f t="shared" si="882"/>
        <v>#DIV/0!</v>
      </c>
      <c r="Q3305" s="25" t="s">
        <v>21</v>
      </c>
      <c r="R3305" s="38" t="s">
        <v>49</v>
      </c>
      <c r="S3305" s="2">
        <f>(R3302*I3313)/1000</f>
        <v>1.5363307897</v>
      </c>
      <c r="U3305" s="25" t="s">
        <v>59</v>
      </c>
      <c r="V3305" s="38" t="s">
        <v>49</v>
      </c>
      <c r="W3305" s="2">
        <f>(V3302*I3313)/1000</f>
        <v>1.5363307897</v>
      </c>
      <c r="Y3305" s="25" t="s">
        <v>46</v>
      </c>
      <c r="Z3305" s="38" t="s">
        <v>49</v>
      </c>
      <c r="AA3305" s="2">
        <f>(Z3302*I3313)/1000</f>
        <v>1.5363307897</v>
      </c>
    </row>
    <row r="3306" spans="1:27">
      <c r="A3306" s="18"/>
      <c r="B3306" s="13">
        <v>4</v>
      </c>
      <c r="C3306" s="14" t="s">
        <v>22</v>
      </c>
      <c r="D3306" s="15" t="e" cm="1">
        <f t="array" ref="D3306">_xlfn.SINGLE(IF(A3311=A3312,_xll.ciqfunctions.udf.CIQ(A3303,"IQ_TOTAL_REV",IQ_FY-7)/I3306, _xll.ciqfunctions.udf.CIQ(A3303, "IQ_TOTAL_REV",IQ_FY-6)/I3306))</f>
        <v>#DIV/0!</v>
      </c>
      <c r="E3306" s="16" t="e">
        <f t="shared" si="883"/>
        <v>#DIV/0!</v>
      </c>
      <c r="F3306" s="15">
        <f>IF(A3311=A3312,_xll.ciqfunctions.udf.CIQ(A3303,"IQ_DILUT_EPS_EXCL",IQ_FY-7), _xll.ciqfunctions.udf.CIQ(A3303, "IQ_DILUT_EPS_EXCL",IQ_FY-6))</f>
        <v>0</v>
      </c>
      <c r="G3306" s="15">
        <f>IF(A3311=A3312,_xll.ciqfunctions.udf.CIQ(A3303,"IQ_EBITDA_MARGIN",IQ_FY-7), _xll.ciqfunctions.udf.CIQ(A3303, "IQ_EBITDA_MARGIN",IQ_FY-6))</f>
        <v>0</v>
      </c>
      <c r="H3306" s="15" t="e">
        <f>IF(A3311=A3312,_xll.ciqfunctions.udf.CIQ(A3303,"IQ_TOTAL_DIV_PAID_CF",IQ_FY-7)/-I3306, _xll.ciqfunctions.udf.CIQ(A3303, "IQ_TOTAL_DIV_PAID_CF",IQ_FY-6)/-I3306)</f>
        <v>#DIV/0!</v>
      </c>
      <c r="I3306" s="17">
        <f>IF(A3311=A3312,_xll.ciqfunctions.udf.CIQ(A3303,"IQ_TOTAL_OUTSTANDING_FILING_DATE",IQ_FY-7), _xll.ciqfunctions.udf.CIQ(A3303, "IQ_TOTAL_OUTSTANDING_FILING_DATE",IQ_FY-6))</f>
        <v>0</v>
      </c>
      <c r="J3306" s="17">
        <f>IF(A3311=A3312,_xll.ciqfunctions.udf.CIQ(A3303,"IQ_CASH_OPER",IQ_FY-7), _xll.ciqfunctions.udf.CIQ(A3303, "IQ_CASH_OPER",IQ_FY-6))</f>
        <v>0</v>
      </c>
      <c r="K3306" s="17">
        <f>IF(A3311=A3312,_xll.ciqfunctions.udf.CIQ(A3303,"IQ_CAPEX",IQ_FY-7), _xll.ciqfunctions.udf.CIQ(A3303, "IQ_CAPEX",IQ_FY-6))</f>
        <v>0</v>
      </c>
      <c r="L3306" s="15" t="e">
        <f t="shared" si="880"/>
        <v>#DIV/0!</v>
      </c>
      <c r="M3306" s="17">
        <f>IF(A3311=A3312,_xll.ciqfunctions.udf.CIQ(A3303,"IQ_TOTAL_DEBT_ISSUED",IQ_FY-7), _xll.ciqfunctions.udf.CIQ(A3303, "IQ_TOTAL_DEBT_ISSUED",IQ_FY-6))</f>
        <v>0</v>
      </c>
      <c r="N3306" s="17">
        <f>IF(A3311=A3312,_xll.ciqfunctions.udf.CIQ(A3303,"IQ_TOTAL_DEBT_REPAID",IQ_FY-7), _xll.ciqfunctions.udf.CIQ(A3303, "IQ_TOTAL_DEBT_REPAID",IQ_FY-6))</f>
        <v>0</v>
      </c>
      <c r="O3306" s="15" t="e">
        <f t="shared" si="881"/>
        <v>#DIV/0!</v>
      </c>
      <c r="P3306" s="15" t="e">
        <f t="shared" si="882"/>
        <v>#DIV/0!</v>
      </c>
      <c r="Q3306" s="25" t="s">
        <v>23</v>
      </c>
      <c r="R3306" s="38" t="s">
        <v>24</v>
      </c>
      <c r="S3306" s="1" t="e">
        <f>R3302/(AVERAGE(H3308:H3313)*(1+H3314)/(0.5-H3314))</f>
        <v>#DIV/0!</v>
      </c>
      <c r="U3306" s="25" t="s">
        <v>40</v>
      </c>
      <c r="V3306" s="38" t="s">
        <v>24</v>
      </c>
      <c r="W3306" s="1" t="e">
        <f>V3302/(AVERAGE(H3308:H3313)*(1+H3314)/(0.5-H3314))</f>
        <v>#DIV/0!</v>
      </c>
      <c r="Y3306" s="25" t="s">
        <v>47</v>
      </c>
      <c r="Z3306" s="38" t="s">
        <v>24</v>
      </c>
      <c r="AA3306" s="1" t="e">
        <f>Z3302/(AVERAGE(H3308:H3313)*(1+H3314)/(0.5-H3314))</f>
        <v>#DIV/0!</v>
      </c>
    </row>
    <row r="3307" spans="1:27">
      <c r="B3307" s="13">
        <v>5</v>
      </c>
      <c r="C3307" s="14" t="s">
        <v>25</v>
      </c>
      <c r="D3307" s="15" t="e" cm="1">
        <f t="array" ref="D3307">_xlfn.SINGLE(IF(A3311=A3312,_xll.ciqfunctions.udf.CIQ(A3303,"IQ_TOTAL_REV",IQ_FY-6)/I3307, _xll.ciqfunctions.udf.CIQ(A3303, "IQ_TOTAL_REV",IQ_FY-5)/I3307))</f>
        <v>#DIV/0!</v>
      </c>
      <c r="E3307" s="16" t="e">
        <f t="shared" si="883"/>
        <v>#DIV/0!</v>
      </c>
      <c r="F3307" s="15">
        <f>IF(A3311=A3312,_xll.ciqfunctions.udf.CIQ(A3303,"IQ_DILUT_EPS_EXCL",IQ_FY-6), _xll.ciqfunctions.udf.CIQ(A3303, "IQ_DILUT_EPS_EXCL",IQ_FY-5))</f>
        <v>0</v>
      </c>
      <c r="G3307" s="15">
        <f>IF(A3311=A3312,_xll.ciqfunctions.udf.CIQ(A3303,"IQ_EBITDA_MARGIN",IQ_FY-6), _xll.ciqfunctions.udf.CIQ(A3303, "IQ_EBITDA_MARGIN",IQ_FY-5))</f>
        <v>0</v>
      </c>
      <c r="H3307" s="15" t="e">
        <f>IF(A3311=A3312,_xll.ciqfunctions.udf.CIQ(A3303,"IQ_TOTAL_DIV_PAID_CF",IQ_FY-6)/-I3307, _xll.ciqfunctions.udf.CIQ(A3303, "IQ_TOTAL_DIV_PAID_CF",IQ_FY-5)/-I3307)</f>
        <v>#DIV/0!</v>
      </c>
      <c r="I3307" s="17">
        <f>IF(A3311=A3312,_xll.ciqfunctions.udf.CIQ(A3303,"IQ_TOTAL_OUTSTANDING_FILING_DATE",IQ_FY-6), _xll.ciqfunctions.udf.CIQ(A3303, "IQ_TOTAL_OUTSTANDING_FILING_DATE",IQ_FY-5))</f>
        <v>0</v>
      </c>
      <c r="J3307" s="17">
        <f>IF(A3311=A3312,_xll.ciqfunctions.udf.CIQ(A3303,"IQ_CASH_OPER",IQ_FY-6), _xll.ciqfunctions.udf.CIQ(A3303, "IQ_CASH_OPER",IQ_FY-5))</f>
        <v>0</v>
      </c>
      <c r="K3307" s="17">
        <f>IF(A3311=A3312,_xll.ciqfunctions.udf.CIQ(A3303,"IQ_CAPEX",IQ_FY-6), _xll.ciqfunctions.udf.CIQ(A3303, "IQ_CAPEX",IQ_FY-5))</f>
        <v>0</v>
      </c>
      <c r="L3307" s="15" t="e">
        <f t="shared" si="880"/>
        <v>#DIV/0!</v>
      </c>
      <c r="M3307" s="17">
        <f>IF(A3311=A3312,_xll.ciqfunctions.udf.CIQ(A3303,"IQ_TOTAL_DEBT_ISSUED",IQ_FY-6), _xll.ciqfunctions.udf.CIQ(A3303, "IQ_TOTAL_DEBT_ISSUED",IQ_FY-5))</f>
        <v>0</v>
      </c>
      <c r="N3307" s="17">
        <f>IF(A3311=A3312,_xll.ciqfunctions.udf.CIQ(A3303,"IQ_TOTAL_DEBT_REPAID",IQ_FY-6), _xll.ciqfunctions.udf.CIQ(A3303, "IQ_TOTAL_DEBT_REPAID",IQ_FY-5))</f>
        <v>0</v>
      </c>
      <c r="O3307" s="15" t="e">
        <f t="shared" si="881"/>
        <v>#DIV/0!</v>
      </c>
      <c r="P3307" s="15" t="e">
        <f t="shared" si="882"/>
        <v>#DIV/0!</v>
      </c>
      <c r="Q3307" s="18"/>
      <c r="R3307" s="38" t="s">
        <v>50</v>
      </c>
      <c r="S3307" s="3">
        <f>I3314</f>
        <v>0.85111431097387436</v>
      </c>
      <c r="U3307" s="18"/>
      <c r="V3307" s="38" t="s">
        <v>50</v>
      </c>
      <c r="W3307" s="3">
        <f>I3314</f>
        <v>0.85111431097387436</v>
      </c>
      <c r="Y3307" s="18"/>
      <c r="Z3307" s="38" t="s">
        <v>50</v>
      </c>
      <c r="AA3307" s="3">
        <f>I3314</f>
        <v>0.85111431097387436</v>
      </c>
    </row>
    <row r="3308" spans="1:27">
      <c r="B3308" s="13">
        <v>6</v>
      </c>
      <c r="C3308" s="14" t="s">
        <v>26</v>
      </c>
      <c r="D3308" s="15" cm="1">
        <f t="array" ref="D3308">_xlfn.SINGLE(IF(A3311=A3312,_xll.ciqfunctions.udf.CIQ(A3303,"IQ_TOTAL_REV",IQ_FY-5)/I3308, _xll.ciqfunctions.udf.CIQ(A3303, "IQ_TOTAL_REV",IQ_FY-4)/I3308))</f>
        <v>12.70000189350905</v>
      </c>
      <c r="E3308" s="16" t="e">
        <f t="shared" si="883"/>
        <v>#DIV/0!</v>
      </c>
      <c r="F3308" s="15">
        <f>IF(A3311=A3312,_xll.ciqfunctions.udf.CIQ(A3303,"IQ_DILUT_EPS_EXCL",IQ_FY-5), _xll.ciqfunctions.udf.CIQ(A3303, "IQ_DILUT_EPS_EXCL",IQ_FY-4))</f>
        <v>-0.46722000000000002</v>
      </c>
      <c r="G3308" s="15">
        <f>IF(A3311=A3312,_xll.ciqfunctions.udf.CIQ(A3303,"IQ_EBITDA_MARGIN",IQ_FY-5), _xll.ciqfunctions.udf.CIQ(A3303, "IQ_EBITDA_MARGIN",IQ_FY-4))</f>
        <v>-1.0230999999999999</v>
      </c>
      <c r="H3308" s="15">
        <f>IF(A3311=A3312,_xll.ciqfunctions.udf.CIQ(A3303,"IQ_TOTAL_DIV_PAID_CF",IQ_FY-5)/-I3308, _xll.ciqfunctions.udf.CIQ(A3303, "IQ_TOTAL_DIV_PAID_CF",IQ_FY-4)/-I3308)</f>
        <v>0</v>
      </c>
      <c r="I3308" s="17">
        <f>IF(A3311=A3312,_xll.ciqfunctions.udf.CIQ(A3303,"IQ_TOTAL_OUTSTANDING_FILING_DATE",IQ_FY-5), _xll.ciqfunctions.udf.CIQ(A3303, "IQ_TOTAL_OUTSTANDING_FILING_DATE",IQ_FY-4))</f>
        <v>8.4499200000000005</v>
      </c>
      <c r="J3308" s="17">
        <f>IF(A3311=A3312,_xll.ciqfunctions.udf.CIQ(A3303,"IQ_CASH_OPER",IQ_FY-5), _xll.ciqfunctions.udf.CIQ(A3303, "IQ_CASH_OPER",IQ_FY-4))</f>
        <v>-3.2090000000000001</v>
      </c>
      <c r="K3308" s="17">
        <f>IF(A3311=A3312,_xll.ciqfunctions.udf.CIQ(A3303,"IQ_CAPEX",IQ_FY-5), _xll.ciqfunctions.udf.CIQ(A3303, "IQ_CAPEX",IQ_FY-4))</f>
        <v>-0.45600000000000002</v>
      </c>
      <c r="L3308" s="15">
        <f t="shared" si="880"/>
        <v>-0.43373191698856317</v>
      </c>
      <c r="M3308" s="17">
        <f>IF(A3311=A3312,_xll.ciqfunctions.udf.CIQ(A3303,"IQ_TOTAL_DEBT_ISSUED",IQ_FY-5), _xll.ciqfunctions.udf.CIQ(A3303, "IQ_TOTAL_DEBT_ISSUED",IQ_FY-4))</f>
        <v>0</v>
      </c>
      <c r="N3308" s="17">
        <f>IF(A3311=A3312,_xll.ciqfunctions.udf.CIQ(A3303,"IQ_TOTAL_DEBT_REPAID",IQ_FY-5), _xll.ciqfunctions.udf.CIQ(A3303, "IQ_TOTAL_DEBT_REPAID",IQ_FY-4))</f>
        <v>-0.08</v>
      </c>
      <c r="O3308" s="15">
        <f t="shared" si="881"/>
        <v>-9.4675452548663181E-3</v>
      </c>
      <c r="P3308" s="15">
        <f t="shared" si="882"/>
        <v>-0.44319946224342949</v>
      </c>
      <c r="Q3308" s="25" t="s">
        <v>27</v>
      </c>
      <c r="R3308" s="38" t="s">
        <v>51</v>
      </c>
      <c r="S3308" s="4">
        <f>AVERAGE(F3308:F3313)/AVERAGE(D3308:D3313)</f>
        <v>-0.11893702565131604</v>
      </c>
      <c r="U3308" s="25" t="s">
        <v>58</v>
      </c>
      <c r="V3308" s="38" t="s">
        <v>51</v>
      </c>
      <c r="W3308" s="4">
        <f>AVERAGE(F3308:F3313)/AVERAGE(D3308:D3313)</f>
        <v>-0.11893702565131604</v>
      </c>
      <c r="Y3308" s="25" t="s">
        <v>56</v>
      </c>
      <c r="Z3308" s="38" t="s">
        <v>51</v>
      </c>
      <c r="AA3308" s="4">
        <f>AVERAGE(F3308:F3313)/AVERAGE(D3308:D3313)</f>
        <v>-0.11893702565131604</v>
      </c>
    </row>
    <row r="3309" spans="1:27">
      <c r="A3309" s="18"/>
      <c r="B3309" s="13">
        <v>7</v>
      </c>
      <c r="C3309" s="14" t="s">
        <v>28</v>
      </c>
      <c r="D3309" s="15" cm="1">
        <f t="array" ref="D3309">_xlfn.SINGLE(IF(A3311=A3312,_xll.ciqfunctions.udf.CIQ(A3303,"IQ_TOTAL_REV",IQ_FY-4)/I3309, _xll.ciqfunctions.udf.CIQ(A3303, "IQ_TOTAL_REV",IQ_FY-3)/I3309))</f>
        <v>1.5687782071723915</v>
      </c>
      <c r="E3309" s="16">
        <f t="shared" si="883"/>
        <v>-0.87647417533266736</v>
      </c>
      <c r="F3309" s="15">
        <f>IF(A3311=A3312,_xll.ciqfunctions.udf.CIQ(A3303,"IQ_DILUT_EPS_EXCL",IQ_FY-4), _xll.ciqfunctions.udf.CIQ(A3303, "IQ_DILUT_EPS_EXCL",IQ_FY-3))</f>
        <v>-1.7247699999999999</v>
      </c>
      <c r="G3309" s="15">
        <f>IF(A3311=A3312,_xll.ciqfunctions.udf.CIQ(A3303,"IQ_EBITDA_MARGIN",IQ_FY-4), _xll.ciqfunctions.udf.CIQ(A3303, "IQ_EBITDA_MARGIN",IQ_FY-3))</f>
        <v>-15.472099999999999</v>
      </c>
      <c r="H3309" s="15">
        <f>IF(A3311=A3312,_xll.ciqfunctions.udf.CIQ(A3303,"IQ_TOTAL_DIV_PAID_CF",IQ_FY-4)/-I3309, _xll.ciqfunctions.udf.CIQ(A3303, "IQ_TOTAL_DIV_PAID_CF",IQ_FY-3)/-I3309)</f>
        <v>0</v>
      </c>
      <c r="I3309" s="17">
        <f>IF(A3311=A3312,_xll.ciqfunctions.udf.CIQ(A3303,"IQ_TOTAL_OUTSTANDING_FILING_DATE",IQ_FY-4), _xll.ciqfunctions.udf.CIQ(A3303, "IQ_TOTAL_OUTSTANDING_FILING_DATE",IQ_FY-3))</f>
        <v>74.006</v>
      </c>
      <c r="J3309" s="17">
        <f>IF(A3311=A3312,_xll.ciqfunctions.udf.CIQ(A3303,"IQ_CASH_OPER",IQ_FY-4), _xll.ciqfunctions.udf.CIQ(A3303, "IQ_CASH_OPER",IQ_FY-3))</f>
        <v>-2.0510000000000002</v>
      </c>
      <c r="K3309" s="17">
        <f>IF(A3311=A3312,_xll.ciqfunctions.udf.CIQ(A3303,"IQ_CAPEX",IQ_FY-4), _xll.ciqfunctions.udf.CIQ(A3303, "IQ_CAPEX",IQ_FY-3))</f>
        <v>-1.083</v>
      </c>
      <c r="L3309" s="15">
        <f t="shared" si="880"/>
        <v>-4.2347917736399752E-2</v>
      </c>
      <c r="M3309" s="17">
        <f>IF(A3311=A3312,_xll.ciqfunctions.udf.CIQ(A3303,"IQ_TOTAL_DEBT_ISSUED",IQ_FY-4), _xll.ciqfunctions.udf.CIQ(A3303, "IQ_TOTAL_DEBT_ISSUED",IQ_FY-3))</f>
        <v>0</v>
      </c>
      <c r="N3309" s="17">
        <f>IF(A3311=A3312,_xll.ciqfunctions.udf.CIQ(A3303,"IQ_TOTAL_DEBT_REPAID",IQ_FY-4), _xll.ciqfunctions.udf.CIQ(A3303, "IQ_TOTAL_DEBT_REPAID",IQ_FY-3))</f>
        <v>-8.2000000000000003E-2</v>
      </c>
      <c r="O3309" s="15">
        <f t="shared" si="881"/>
        <v>-1.1080182687890172E-3</v>
      </c>
      <c r="P3309" s="15">
        <f t="shared" si="882"/>
        <v>-4.3455936005188767E-2</v>
      </c>
      <c r="Q3309" s="18"/>
      <c r="R3309" s="38" t="s">
        <v>29</v>
      </c>
      <c r="S3309" s="4">
        <f>(AVERAGE(P3308:P3313)/_xlfn.STDEV.P(P3308:P3313))/(IF(A3311=A3312,(_xlfn.SINGLE(_xll.ciqfunctions.udf.CIQ(A3303,"IQ_total_assets",IQ_FY)) - _xlfn.SINGLE(_xll.ciqfunctions.udf.CIQ(A3303,"iq_gw_intan", IQ_FY)))/I3313, (_xlfn.SINGLE(_xll.ciqfunctions.udf.CIQ(A3303, "IQ_total_assets",IQ_LTM))-_xlfn.SINGLE(_xll.ciqfunctions.udf.CIQ(A3303,"iq_gw_intan",IQ_LTM)))/I3313))</f>
        <v>0.16603380092300202</v>
      </c>
      <c r="U3309" s="18"/>
      <c r="V3309" s="38" t="s">
        <v>29</v>
      </c>
      <c r="W3309" s="4">
        <f>(AVERAGE(P3308:P3313)/_xlfn.STDEV.P(P3308:P3313))/(IF(A3311=A3312,(_xlfn.SINGLE(_xll.ciqfunctions.udf.CIQ(A3303,"IQ_total_assets",IQ_FY)) - _xlfn.SINGLE(_xll.ciqfunctions.udf.CIQ(A3303,"iq_gw_intan", IQ_FY)))/I3313, (_xlfn.SINGLE(_xll.ciqfunctions.udf.CIQ(A3303, "IQ_total_assets",IQ_LTM))-_xlfn.SINGLE(_xll.ciqfunctions.udf.CIQ(A3303,"iq_gw_intan",IQ_LTM)))/I3313))</f>
        <v>0.16603380092300202</v>
      </c>
      <c r="Y3309" s="18"/>
      <c r="Z3309" s="38" t="s">
        <v>29</v>
      </c>
      <c r="AA3309" s="4">
        <f>(AVERAGE(P3308:P3313)/_xlfn.STDEV.P(P3308:P3313))/(IF(A3311=A3312,(_xlfn.SINGLE(_xll.ciqfunctions.udf.CIQ(A3303,"IQ_total_assets",IQ_FY)) - _xlfn.SINGLE(_xll.ciqfunctions.udf.CIQ(A3303,"iq_gw_intan", IQ_FY)))/I3313, (_xlfn.SINGLE(_xll.ciqfunctions.udf.CIQ(A3303, "IQ_total_assets",IQ_LTM))-_xlfn.SINGLE(_xll.ciqfunctions.udf.CIQ(A3303,"iq_gw_intan",IQ_LTM)))/I3313))</f>
        <v>0.16603380092300202</v>
      </c>
    </row>
    <row r="3310" spans="1:27">
      <c r="A3310" s="18"/>
      <c r="B3310" s="13">
        <v>8</v>
      </c>
      <c r="C3310" s="14" t="s">
        <v>30</v>
      </c>
      <c r="D3310" s="15" cm="1">
        <f t="array" ref="D3310">_xlfn.SINGLE(IF(A3311=A3312,_xll.ciqfunctions.udf.CIQ(A3303,"IQ_TOTAL_REV",IQ_FY-3)/I3310, _xll.ciqfunctions.udf.CIQ(A3303, "IQ_TOTAL_REV",IQ_FY-2)/I3310))</f>
        <v>13.018097658283633</v>
      </c>
      <c r="E3310" s="16">
        <f t="shared" si="883"/>
        <v>7.2982397376285633</v>
      </c>
      <c r="F3310" s="15">
        <f>IF(A3311=A3312,_xll.ciqfunctions.udf.CIQ(A3303,"IQ_DILUT_EPS_EXCL",IQ_FY-3), _xll.ciqfunctions.udf.CIQ(A3303, "IQ_DILUT_EPS_EXCL",IQ_FY-2))</f>
        <v>-0.57389000000000001</v>
      </c>
      <c r="G3310" s="15">
        <f>IF(A3311=A3312,_xll.ciqfunctions.udf.CIQ(A3303,"IQ_EBITDA_MARGIN",IQ_FY-3), _xll.ciqfunctions.udf.CIQ(A3303, "IQ_EBITDA_MARGIN",IQ_FY-2))</f>
        <v>-9.4883000000000006</v>
      </c>
      <c r="H3310" s="15">
        <f>IF(A3311=A3312,_xll.ciqfunctions.udf.CIQ(A3303,"IQ_TOTAL_DIV_PAID_CF",IQ_FY-3)/-I3310, _xll.ciqfunctions.udf.CIQ(A3303, "IQ_TOTAL_DIV_PAID_CF",IQ_FY-2)/-I3310)</f>
        <v>0</v>
      </c>
      <c r="I3310" s="17">
        <f>IF(A3311=A3312,_xll.ciqfunctions.udf.CIQ(A3303,"IQ_TOTAL_OUTSTANDING_FILING_DATE",IQ_FY-3), _xll.ciqfunctions.udf.CIQ(A3303, "IQ_TOTAL_OUTSTANDING_FILING_DATE",IQ_FY-2))</f>
        <v>11.640180000000001</v>
      </c>
      <c r="J3310" s="17">
        <f>IF(A3311=A3312,_xll.ciqfunctions.udf.CIQ(A3303,"IQ_CASH_OPER",IQ_FY-3), _xll.ciqfunctions.udf.CIQ(A3303, "IQ_CASH_OPER",IQ_FY-2))</f>
        <v>19.12</v>
      </c>
      <c r="K3310" s="17">
        <f>IF(A3311=A3312,_xll.ciqfunctions.udf.CIQ(A3303,"IQ_CAPEX",IQ_FY-3), _xll.ciqfunctions.udf.CIQ(A3303, "IQ_CAPEX",IQ_FY-2))</f>
        <v>-1.0229999999999999</v>
      </c>
      <c r="L3310" s="15">
        <f t="shared" si="880"/>
        <v>1.5547010441419291</v>
      </c>
      <c r="M3310" s="17">
        <f>IF(A3311=A3312,_xll.ciqfunctions.udf.CIQ(A3303,"IQ_TOTAL_DEBT_ISSUED",IQ_FY-3), _xll.ciqfunctions.udf.CIQ(A3303, "IQ_TOTAL_DEBT_ISSUED",IQ_FY-2))</f>
        <v>4.923</v>
      </c>
      <c r="N3310" s="17">
        <f>IF(A3311=A3312,_xll.ciqfunctions.udf.CIQ(A3303,"IQ_TOTAL_DEBT_REPAID",IQ_FY-3), _xll.ciqfunctions.udf.CIQ(A3303, "IQ_TOTAL_DEBT_REPAID",IQ_FY-2))</f>
        <v>-4.9000000000000002E-2</v>
      </c>
      <c r="O3310" s="15">
        <f t="shared" si="881"/>
        <v>0.41872204725356477</v>
      </c>
      <c r="P3310" s="15">
        <f t="shared" si="882"/>
        <v>1.9734230913954938</v>
      </c>
      <c r="Q3310" s="18"/>
      <c r="R3310" s="39" t="s">
        <v>31</v>
      </c>
      <c r="S3310" s="5" t="e">
        <f>IF(NOT(D3303&gt;0),FALSE,SLOPE(G3303:G3313,B3303:B3313))</f>
        <v>#DIV/0!</v>
      </c>
      <c r="U3310" s="18"/>
      <c r="V3310" s="39" t="s">
        <v>31</v>
      </c>
      <c r="W3310" s="5" t="e">
        <f>IF(NOT(D3303&gt;0),FALSE,SLOPE(G3303:G3313,B3303:B3313))</f>
        <v>#DIV/0!</v>
      </c>
      <c r="Y3310" s="18"/>
      <c r="Z3310" s="39" t="s">
        <v>31</v>
      </c>
      <c r="AA3310" s="5" t="e">
        <f>IF(NOT(L3303&gt;0),FALSE,SLOPE(O3303:O3313,J3303:J3313))</f>
        <v>#DIV/0!</v>
      </c>
    </row>
    <row r="3311" spans="1:27">
      <c r="A3311" s="19">
        <f>_xll.ciqfunctions.udf.CIQ(A3303,"IQ_TOTAL_REV",IQ_FY)</f>
        <v>232.339</v>
      </c>
      <c r="B3311" s="13">
        <v>9</v>
      </c>
      <c r="C3311" s="14" t="s">
        <v>32</v>
      </c>
      <c r="D3311" s="15" cm="1">
        <f t="array" ref="D3311">_xlfn.SINGLE(IF(A3311=A3312,_xll.ciqfunctions.udf.CIQ(A3303,"IQ_TOTAL_REV",IQ_FY-2)/I3311, _xll.ciqfunctions.udf.CIQ(A3303, "IQ_TOTAL_REV",IQ_FY-1)/I3311))</f>
        <v>1.0509682556207325</v>
      </c>
      <c r="E3311" s="16">
        <f t="shared" si="883"/>
        <v>-0.91926867632983345</v>
      </c>
      <c r="F3311" s="15">
        <f>IF(A3311=A3312,_xll.ciqfunctions.udf.CIQ(A3303,"IQ_DILUT_EPS_EXCL",IQ_FY-2), _xll.ciqfunctions.udf.CIQ(A3303, "IQ_DILUT_EPS_EXCL",IQ_FY-1))</f>
        <v>-0.48127999999999999</v>
      </c>
      <c r="G3311" s="15">
        <f>IF(A3311=A3312,_xll.ciqfunctions.udf.CIQ(A3303,"IQ_EBITDA_MARGIN",IQ_FY-2), _xll.ciqfunctions.udf.CIQ(A3303, "IQ_EBITDA_MARGIN",IQ_FY-1))</f>
        <v>-27.228000000000002</v>
      </c>
      <c r="H3311" s="15">
        <f>IF(A3311=A3312,_xll.ciqfunctions.udf.CIQ(A3303,"IQ_TOTAL_DIV_PAID_CF",IQ_FY-2)/-I3311, _xll.ciqfunctions.udf.CIQ(A3303, "IQ_TOTAL_DIV_PAID_CF",IQ_FY-1)/-I3311)</f>
        <v>0</v>
      </c>
      <c r="I3311" s="17">
        <f>IF(A3311=A3312,_xll.ciqfunctions.udf.CIQ(A3303,"IQ_TOTAL_OUTSTANDING_FILING_DATE",IQ_FY-2), _xll.ciqfunctions.udf.CIQ(A3303, "IQ_TOTAL_OUTSTANDING_FILING_DATE",IQ_FY-1))</f>
        <v>182.60209</v>
      </c>
      <c r="J3311" s="17">
        <f>IF(A3311=A3312,_xll.ciqfunctions.udf.CIQ(A3303,"IQ_CASH_OPER",IQ_FY-2), _xll.ciqfunctions.udf.CIQ(A3303, "IQ_CASH_OPER",IQ_FY-1))</f>
        <v>5.03</v>
      </c>
      <c r="K3311" s="17">
        <f>IF(A3311=A3312,_xll.ciqfunctions.udf.CIQ(A3303,"IQ_CAPEX",IQ_FY-2), _xll.ciqfunctions.udf.CIQ(A3303, "IQ_CAPEX",IQ_FY-1))</f>
        <v>-2.4609999999999999</v>
      </c>
      <c r="L3311" s="15">
        <f t="shared" si="880"/>
        <v>1.4068842256953359E-2</v>
      </c>
      <c r="M3311" s="17">
        <f>IF(A3311=A3312,_xll.ciqfunctions.udf.CIQ(A3303,"IQ_TOTAL_DEBT_ISSUED",IQ_FY-2), _xll.ciqfunctions.udf.CIQ(A3303, "IQ_TOTAL_DEBT_ISSUED",IQ_FY-1))</f>
        <v>0</v>
      </c>
      <c r="N3311" s="17">
        <f>IF(A3311=A3312,_xll.ciqfunctions.udf.CIQ(A3303,"IQ_TOTAL_DEBT_REPAID",IQ_FY-2), _xll.ciqfunctions.udf.CIQ(A3303, "IQ_TOTAL_DEBT_REPAID",IQ_FY-1))</f>
        <v>-2.5000000000000001E-2</v>
      </c>
      <c r="O3311" s="15">
        <f t="shared" si="881"/>
        <v>-1.3690971445069441E-4</v>
      </c>
      <c r="P3311" s="15">
        <f t="shared" si="882"/>
        <v>1.3931932542502665E-2</v>
      </c>
      <c r="Q3311" s="25" t="s">
        <v>33</v>
      </c>
      <c r="R3311" s="38" t="s">
        <v>52</v>
      </c>
      <c r="S3311" s="4">
        <f>(AVERAGE(O3308:O3313)/AVERAGE(P3308:P3313))</f>
        <v>0.25946904859748587</v>
      </c>
      <c r="U3311" s="25" t="s">
        <v>54</v>
      </c>
      <c r="V3311" s="38" t="s">
        <v>52</v>
      </c>
      <c r="W3311" s="4">
        <f>(AVERAGE(O3308:O3313)/AVERAGE(P3308:P3313))</f>
        <v>0.25946904859748587</v>
      </c>
      <c r="Y3311" s="25" t="s">
        <v>60</v>
      </c>
      <c r="Z3311" s="38" t="s">
        <v>52</v>
      </c>
      <c r="AA3311" s="4">
        <f>(AVERAGE(O3308:O3313)/AVERAGE(P3308:P3313))</f>
        <v>0.25946904859748587</v>
      </c>
    </row>
    <row r="3312" spans="1:27">
      <c r="A3312" s="19">
        <f>_xll.ciqfunctions.udf.CIQ(A3303,"IQ_TOTAL_REV",IQ_LTM)</f>
        <v>260.80900000000003</v>
      </c>
      <c r="B3312" s="13">
        <v>10</v>
      </c>
      <c r="C3312" s="14" t="s">
        <v>34</v>
      </c>
      <c r="D3312" s="15" cm="1">
        <f t="array" ref="D3312">_xlfn.SINGLE(IF(A3311=A3312,_xll.ciqfunctions.udf.CIQ(A3303,"IQ_TOTAL_REV",IQ_FY-1)/I3312, _xll.ciqfunctions.udf.CIQ(A3303, "IQ_TOTAL_REV",IQ_FY)/I3312))</f>
        <v>1.2438876770054055</v>
      </c>
      <c r="E3312" s="16">
        <f t="shared" si="883"/>
        <v>0.18356350950936112</v>
      </c>
      <c r="F3312" s="15">
        <f>IF(A3311=A3312,_xll.ciqfunctions.udf.CIQ(A3303,"IQ_DILUT_EPS_EXCL",IQ_FY-1), _xll.ciqfunctions.udf.CIQ(A3303, "IQ_DILUT_EPS_EXCL",IQ_FY))</f>
        <v>-0.23</v>
      </c>
      <c r="G3312" s="15">
        <f>IF(A3311=A3312,_xll.ciqfunctions.udf.CIQ(A3303,"IQ_EBITDA_MARGIN",IQ_FY-1), _xll.ciqfunctions.udf.CIQ(A3303, "IQ_EBITDA_MARGIN",IQ_FY))</f>
        <v>-14.784000000000001</v>
      </c>
      <c r="H3312" s="15">
        <f>IF(A3311=A3312,_xll.ciqfunctions.udf.CIQ(A3303,"IQ_TOTAL_DIV_PAID_CF",IQ_FY-1)/-I3312, _xll.ciqfunctions.udf.CIQ(A3303, "IQ_TOTAL_DIV_PAID_CF",IQ_FY)/-I3312)</f>
        <v>0</v>
      </c>
      <c r="I3312" s="17">
        <f>IF(A3311=A3312,_xll.ciqfunctions.udf.CIQ(A3303,"IQ_TOTAL_OUTSTANDING_FILING_DATE",IQ_FY-1), _xll.ciqfunctions.udf.CIQ(A3303, "IQ_TOTAL_OUTSTANDING_FILING_DATE",IQ_FY))</f>
        <v>186.78455</v>
      </c>
      <c r="J3312" s="17">
        <f>IF(A3311=A3312,_xll.ciqfunctions.udf.CIQ(A3303,"IQ_CASH_OPER",IQ_FY-1), _xll.ciqfunctions.udf.CIQ(A3303, "IQ_CASH_OPER",IQ_FY))</f>
        <v>-0.77400000000000002</v>
      </c>
      <c r="K3312" s="17">
        <f>IF(A3311=A3312,_xll.ciqfunctions.udf.CIQ(A3303,"IQ_CAPEX",IQ_FY-1), _xll.ciqfunctions.udf.CIQ(A3303, "IQ_CAPEX",IQ_FY))</f>
        <v>-3.8530000000000002</v>
      </c>
      <c r="L3312" s="15">
        <f t="shared" si="880"/>
        <v>-2.477185613049902E-2</v>
      </c>
      <c r="M3312" s="17">
        <f>IF(A3311=A3312,_xll.ciqfunctions.udf.CIQ(A3303,"IQ_TOTAL_DEBT_ISSUED",IQ_FY-1), _xll.ciqfunctions.udf.CIQ(A3303, "IQ_TOTAL_DEBT_ISSUED",IQ_FY))</f>
        <v>0</v>
      </c>
      <c r="N3312" s="17">
        <f>IF(A3311=A3312,_xll.ciqfunctions.udf.CIQ(A3303,"IQ_TOTAL_DEBT_REPAID",IQ_FY-1), _xll.ciqfunctions.udf.CIQ(A3303, "IQ_TOTAL_DEBT_REPAID",IQ_FY))</f>
        <v>-3.9E-2</v>
      </c>
      <c r="O3312" s="15">
        <f t="shared" si="881"/>
        <v>-2.0879671257606692E-4</v>
      </c>
      <c r="P3312" s="15">
        <f t="shared" si="882"/>
        <v>-2.4980652843075088E-2</v>
      </c>
      <c r="Q3312" s="25" t="s">
        <v>44</v>
      </c>
      <c r="R3312" s="38" t="s">
        <v>35</v>
      </c>
      <c r="S3312" s="1" t="str">
        <f>_xll.ciqfunctions.udf.CIQ(A3303,"IQ_TEV_EBITDA")</f>
        <v>NM</v>
      </c>
      <c r="U3312" s="25" t="s">
        <v>55</v>
      </c>
      <c r="V3312" s="38" t="s">
        <v>53</v>
      </c>
      <c r="W3312" s="1" t="e">
        <f>V3302/(AVERAGE(D3308:D3313)/_xlfn.STDEV.P(E3308:E3313))</f>
        <v>#DIV/0!</v>
      </c>
      <c r="Y3312" s="25" t="s">
        <v>57</v>
      </c>
      <c r="Z3312" s="38" t="s">
        <v>53</v>
      </c>
      <c r="AA3312" s="1" t="e">
        <f>Z3302/(AVERAGE(D3308:D3313)/_xlfn.STDEV.P(E3308:E3313))</f>
        <v>#DIV/0!</v>
      </c>
    </row>
    <row r="3313" spans="1:27">
      <c r="B3313" s="13">
        <v>11</v>
      </c>
      <c r="C3313" s="20" t="s">
        <v>36</v>
      </c>
      <c r="D3313" s="21" cm="1">
        <f t="array" ref="D3313">_xlfn.SINGLE(IF(A3311=A3312,_xll.ciqfunctions.udf.CIQ(A3303,"IQ_TOTAL_REV",IQ_FY)/I3313, _xll.ciqfunctions.udf.CIQ(A3303, "IQ_TOTAL_REV",IQ_LTM)/I3313))</f>
        <v>1.4200504862797259</v>
      </c>
      <c r="E3313" s="22">
        <f t="shared" si="883"/>
        <v>0.14162276267453916</v>
      </c>
      <c r="F3313" s="21">
        <f>IF(A3311=A3312,_xll.ciqfunctions.udf.CIQ(A3303,"IQ_DILUT_EPS_EXCL",IQ_FY), _xll.ciqfunctions.udf.CIQ(A3303, "IQ_DILUT_EPS_EXCL",IQ_LTM))</f>
        <v>-0.21010000000000001</v>
      </c>
      <c r="G3313" s="21">
        <f>IF(A3311=A3312,_xll.ciqfunctions.udf.CIQ(A3303,"IQ_EBITDA_MARGIN",IQ_FY), _xll.ciqfunctions.udf.CIQ(A3303, "IQ_EBITDA_MARGIN",IQ_LTM))</f>
        <v>-6.2789000000000001</v>
      </c>
      <c r="H3313" s="21">
        <f>IF(A3311=A3312,_xll.ciqfunctions.udf.CIQ(A3303,"IQ_TOTAL_DIV_PAID_CF",IQ_FY)/-I3313, _xll.ciqfunctions.udf.CIQ(A3303, "IQ_TOTAL_DIV_PAID_CF",IQ_LTM)/-I3313)</f>
        <v>0</v>
      </c>
      <c r="I3313" s="23">
        <f>IF(A3311=A3312,_xll.ciqfunctions.udf.CIQ(A3303,"IQ_TOTAL_OUTSTANDING_FILING_DATE",IQ_FY),_xll.ciqfunctions.udf.CIQ(A3303,"IQ_sharesoutstanding"))</f>
        <v>183.66177999999999</v>
      </c>
      <c r="J3313" s="23">
        <f>IF(A3311=A3312,_xll.ciqfunctions.udf.CIQ(A3303,"IQ_CASH_OPER",IQ_FY), _xll.ciqfunctions.udf.CIQ(A3303, "IQ_CASH_OPER",IQ_LTM))</f>
        <v>19.402999999999999</v>
      </c>
      <c r="K3313" s="23">
        <f>IF(A3311=A3312,_xll.ciqfunctions.udf.CIQ(A3303,"IQ_CAPEX",IQ_FY), _xll.ciqfunctions.udf.CIQ(A3303, "IQ_CAPEX",IQ_LTM))</f>
        <v>-1.911</v>
      </c>
      <c r="L3313" s="21">
        <f t="shared" si="880"/>
        <v>9.5240283525510852E-2</v>
      </c>
      <c r="M3313" s="23">
        <f>IF(A3311=A3312,_xll.ciqfunctions.udf.CIQ(A3303,"IQ_TOTAL_DEBT_ISSUED",IQ_FY), _xll.ciqfunctions.udf.CIQ(A3303, "IQ_TOTAL_DEBT_ISSUED",IQ_LTM))</f>
        <v>0</v>
      </c>
      <c r="N3313" s="23">
        <f>IF(A3311=A3312,_xll.ciqfunctions.udf.CIQ(A3303,"IQ_TOTAL_DEBT_REPAID",IQ_FY), _xll.ciqfunctions.udf.CIQ(A3303, "IQ_TOTAL_DEBT_REPAID",IQ_LTM))</f>
        <v>-4.5999999999999999E-2</v>
      </c>
      <c r="O3313" s="21">
        <f t="shared" si="881"/>
        <v>-2.5046038429987993E-4</v>
      </c>
      <c r="P3313" s="21">
        <f t="shared" si="882"/>
        <v>9.4989823141210974E-2</v>
      </c>
      <c r="Q3313" s="25" t="s">
        <v>45</v>
      </c>
      <c r="S3313" s="45"/>
      <c r="U3313" s="25"/>
      <c r="W3313" s="45"/>
      <c r="Y3313" s="25"/>
      <c r="AA3313" s="45"/>
    </row>
    <row r="3314" spans="1:27">
      <c r="B3314" s="24"/>
      <c r="C3314" s="25" t="s">
        <v>37</v>
      </c>
      <c r="E3314" s="26">
        <f>((D3313/D3308)^(1/5))-1</f>
        <v>-0.3547916193401911</v>
      </c>
      <c r="F3314" s="27">
        <f>((F3313/F3308)^(1/5))-1</f>
        <v>-0.14772269196323207</v>
      </c>
      <c r="G3314" s="28"/>
      <c r="H3314" s="27" t="e">
        <f>((H3313/H3308)^(1/5))-1</f>
        <v>#DIV/0!</v>
      </c>
      <c r="I3314" s="27">
        <f>((I3313/I3308)^(1/5))-1</f>
        <v>0.85111431097387436</v>
      </c>
      <c r="J3314" s="27"/>
      <c r="K3314" s="27"/>
      <c r="L3314" s="26">
        <f>((L3313/L3308)^(1/5))-1</f>
        <v>-1.738447899654691</v>
      </c>
      <c r="M3314" s="26"/>
      <c r="N3314" s="26"/>
      <c r="O3314" s="26"/>
      <c r="P3314" s="26">
        <f>((P3313/P3308)^(1/5))-1</f>
        <v>-1.734878549491393</v>
      </c>
      <c r="Q3314" s="18"/>
      <c r="R3314" s="36"/>
      <c r="S3314" s="45"/>
      <c r="U3314" s="18"/>
      <c r="V3314" s="36"/>
      <c r="W3314" s="45"/>
      <c r="Y3314" s="18"/>
      <c r="Z3314" s="36"/>
      <c r="AA3314" s="45"/>
    </row>
    <row r="3315" spans="1:27">
      <c r="A3315" s="29"/>
      <c r="B3315" s="30"/>
      <c r="C3315" s="31" t="s">
        <v>38</v>
      </c>
      <c r="D3315" s="29"/>
      <c r="E3315" s="32" t="e">
        <f>((D3313/D3303)^(1/10))-1</f>
        <v>#DIV/0!</v>
      </c>
      <c r="F3315" s="33" t="e">
        <f>((F3313/F3303)^(1/10))-1</f>
        <v>#DIV/0!</v>
      </c>
      <c r="G3315" s="34"/>
      <c r="H3315" s="33" t="e">
        <f>((H3313/H3303)^(1/10))-1</f>
        <v>#DIV/0!</v>
      </c>
      <c r="I3315" s="33" t="e">
        <f>((I3313/I3303)^(1/10))-1</f>
        <v>#DIV/0!</v>
      </c>
      <c r="J3315" s="33"/>
      <c r="K3315" s="33"/>
      <c r="L3315" s="32" t="e">
        <f>((L3313/L3303)^(1/10))-1</f>
        <v>#DIV/0!</v>
      </c>
      <c r="M3315" s="32"/>
      <c r="N3315" s="32"/>
      <c r="O3315" s="32"/>
      <c r="P3315" s="32" t="e">
        <f>((P3313/P3303)^(1/10))-1</f>
        <v>#DIV/0!</v>
      </c>
      <c r="Q3315" s="40"/>
      <c r="R3315" s="41"/>
      <c r="S3315" s="46"/>
      <c r="U3315" s="40"/>
      <c r="V3315" s="41"/>
      <c r="W3315" s="46"/>
      <c r="Y3315" s="40"/>
      <c r="Z3315" s="41"/>
      <c r="AA3315" s="46"/>
    </row>
    <row r="3316" spans="1:27">
      <c r="B3316" s="24"/>
      <c r="C3316" s="25"/>
      <c r="E3316" s="26"/>
      <c r="F3316" s="27"/>
      <c r="G3316" s="28"/>
      <c r="H3316" s="27"/>
      <c r="I3316" s="27"/>
      <c r="J3316" s="27"/>
      <c r="K3316" s="27"/>
      <c r="L3316" s="26"/>
      <c r="M3316" s="17"/>
      <c r="N3316" s="17"/>
      <c r="O3316" s="17"/>
      <c r="P3316" s="35"/>
      <c r="Q3316" s="18"/>
      <c r="R3316" s="36"/>
    </row>
    <row r="3317" spans="1:27">
      <c r="A3317" s="9" t="s">
        <v>0</v>
      </c>
      <c r="B3317" s="10"/>
      <c r="C3317" s="9" t="s">
        <v>1</v>
      </c>
      <c r="D3317" s="9" t="s">
        <v>2</v>
      </c>
      <c r="E3317" s="9" t="s">
        <v>3</v>
      </c>
      <c r="F3317" s="11" t="s">
        <v>4</v>
      </c>
      <c r="G3317" s="11" t="s">
        <v>5</v>
      </c>
      <c r="H3317" s="9" t="s">
        <v>6</v>
      </c>
      <c r="I3317" s="11" t="s">
        <v>7</v>
      </c>
      <c r="J3317" s="11" t="s">
        <v>8</v>
      </c>
      <c r="K3317" s="11" t="s">
        <v>9</v>
      </c>
      <c r="L3317" s="11" t="s">
        <v>10</v>
      </c>
      <c r="M3317" s="11" t="s">
        <v>11</v>
      </c>
      <c r="N3317" s="11" t="s">
        <v>12</v>
      </c>
      <c r="O3317" s="11" t="s">
        <v>13</v>
      </c>
      <c r="P3317" s="11" t="s">
        <v>14</v>
      </c>
      <c r="Q3317" s="37" t="s">
        <v>15</v>
      </c>
      <c r="R3317" s="42">
        <f>_xll.ciqfunctions.udf.CIQ(A3318,("IQ_LASTSALEPRICE"))</f>
        <v>57.85</v>
      </c>
      <c r="S3317" s="44"/>
      <c r="U3317" s="37" t="s">
        <v>15</v>
      </c>
      <c r="V3317" s="42">
        <f>_xll.ciqfunctions.udf.CIQ(A3318,("IQ_LASTSALEPRICE"))</f>
        <v>57.85</v>
      </c>
      <c r="W3317" s="44"/>
      <c r="Y3317" s="37" t="s">
        <v>15</v>
      </c>
      <c r="Z3317" s="42">
        <f>_xll.ciqfunctions.udf.CIQ(A3318,("IQ_LASTSALEPRICE"))</f>
        <v>57.85</v>
      </c>
      <c r="AA3317" s="44"/>
    </row>
    <row r="3318" spans="1:27">
      <c r="A3318" s="12" t="str">
        <f>Analysis!B223</f>
        <v>NasdaqGS:BL</v>
      </c>
      <c r="B3318" s="13">
        <v>1</v>
      </c>
      <c r="C3318" s="14" t="s">
        <v>16</v>
      </c>
      <c r="D3318" s="15">
        <f>IF(A3326=A3327,_xll.ciqfunctions.udf.CIQ(A3318,"IQ_TOTAL_REV",IQ_FY-10)/I3318,_xll.ciqfunctions.udf.CIQ(A3318, "IQ_TOTAL_REV",IQ_FY-9)/I3318)</f>
        <v>0.79757984031936124</v>
      </c>
      <c r="E3318" s="16"/>
      <c r="F3318" s="15">
        <f>IF(A3326=A3327,_xll.ciqfunctions.udf.CIQ(A3318,"IQ_DILUT_EPS_EXCL",IQ_FY-10), _xll.ciqfunctions.udf.CIQ(A3318, "IQ_DILUT_EPS_EXCL",IQ_FY-9))</f>
        <v>-0.68891999999999998</v>
      </c>
      <c r="G3318" s="15">
        <f>IF(A3326=A3327,_xll.ciqfunctions.udf.CIQ(A3318,"IQ_EBITDA_MARGIN",IQ_FY-10), _xll.ciqfunctions.udf.CIQ(A3318, "IQ_EBITDA_MARGIN",IQ_FY-9))</f>
        <v>-24.841200000000001</v>
      </c>
      <c r="H3318" s="15">
        <f>IF(A3326=A3327,_xll.ciqfunctions.udf.CIQ(A3318,"IQ_TOTAL_DIV_PAID_CF",IQ_FY-10)/-I3318, _xll.ciqfunctions.udf.CIQ(A3318, "IQ_TOTAL_DIV_PAID_CF",IQ_FY-9)/-I3318)</f>
        <v>0</v>
      </c>
      <c r="I3318" s="17">
        <f>IF(A3326=A3327,_xll.ciqfunctions.udf.CIQ(A3318,"IQ_TOTAL_OUTSTANDING_FILING_DATE",IQ_FY-10), _xll.ciqfunctions.udf.CIQ(A3318, "IQ_TOTAL_OUTSTANDING_FILING_DATE",IQ_FY-9))</f>
        <v>40.08</v>
      </c>
      <c r="J3318" s="17">
        <f>IF(A3326=A3327,_xll.ciqfunctions.udf.CIQ(A3318,"IQ_CASH_OPER",IQ_FY-10), _xll.ciqfunctions.udf.CIQ(A3318, "IQ_CASH_OPER",IQ_FY-9))</f>
        <v>-5.3339999999999996</v>
      </c>
      <c r="K3318" s="17">
        <f>IF(A3326=A3327,_xll.ciqfunctions.udf.CIQ(A3318,"IQ_CAPEX",IQ_FY-10), _xll.ciqfunctions.udf.CIQ(A3318, "IQ_CAPEX",IQ_FY-9))</f>
        <v>-1.321</v>
      </c>
      <c r="L3318" s="15">
        <f t="shared" ref="L3318:L3328" si="884">(J3318+K3318)/I3318</f>
        <v>-0.16604291417165667</v>
      </c>
      <c r="M3318" s="17">
        <f>IF(A3326=A3327,_xll.ciqfunctions.udf.CIQ(A3318,"IQ_TOTAL_DEBT_ISSUED",IQ_FY-10), _xll.ciqfunctions.udf.CIQ(A3318, "IQ_TOTAL_DEBT_ISSUED",IQ_FY-9))</f>
        <v>43.853999999999999</v>
      </c>
      <c r="N3318" s="17">
        <f>IF(A3326=A3327,_xll.ciqfunctions.udf.CIQ(A3318,"IQ_TOTAL_DEBT_REPAID",IQ_FY-10), _xll.ciqfunctions.udf.CIQ(A3318, "IQ_TOTAL_DEBT_REPAID",IQ_FY-9))</f>
        <v>-20.238</v>
      </c>
      <c r="O3318" s="15">
        <f t="shared" ref="O3318:O3328" si="885">(M3318+N3318)/I3318</f>
        <v>0.58922155688622757</v>
      </c>
      <c r="P3318" s="15">
        <f t="shared" ref="P3318:P3328" si="886">L3318+O3318</f>
        <v>0.4231786427145709</v>
      </c>
      <c r="W3318" s="43"/>
      <c r="AA3318" s="43"/>
    </row>
    <row r="3319" spans="1:27">
      <c r="A3319" s="18" t="str">
        <f>_xll.ciqfunctions.udf.CIQ(A3318,"IQ_COMPANY_NAME")</f>
        <v>BlackLine, Inc.</v>
      </c>
      <c r="B3319" s="13">
        <v>2</v>
      </c>
      <c r="C3319" s="14" t="s">
        <v>17</v>
      </c>
      <c r="D3319" s="15">
        <f>IF(A3326=A3327,_xll.ciqfunctions.udf.CIQ(A3318,"IQ_TOTAL_REV",IQ_FY-9)/I3319, _xll.ciqfunctions.udf.CIQ(A3318, "IQ_TOTAL_REV",IQ_FY-8)/I3319)</f>
        <v>1.2793825729461228</v>
      </c>
      <c r="E3319" s="16">
        <f t="shared" ref="E3319:E3328" si="887">(D3319-D3318)/D3318</f>
        <v>0.60408088102357438</v>
      </c>
      <c r="F3319" s="15">
        <f>IF(A3326=A3327,_xll.ciqfunctions.udf.CIQ(A3318,"IQ_DILUT_EPS_EXCL",IQ_FY-9), _xll.ciqfunctions.udf.CIQ(A3318, "IQ_DILUT_EPS_EXCL",IQ_FY-8))</f>
        <v>-0.41787000000000002</v>
      </c>
      <c r="G3319" s="15">
        <f>IF(A3326=A3327,_xll.ciqfunctions.udf.CIQ(A3318,"IQ_EBITDA_MARGIN",IQ_FY-9), _xll.ciqfunctions.udf.CIQ(A3318, "IQ_EBITDA_MARGIN",IQ_FY-8))</f>
        <v>-11.2332</v>
      </c>
      <c r="H3319" s="15">
        <f>IF(A3326=A3327,_xll.ciqfunctions.udf.CIQ(A3318,"IQ_TOTAL_DIV_PAID_CF",IQ_FY-9)/-I3319, _xll.ciqfunctions.udf.CIQ(A3318, "IQ_TOTAL_DIV_PAID_CF",IQ_FY-8)/-I3319)</f>
        <v>0</v>
      </c>
      <c r="I3319" s="17">
        <f>IF(A3326=A3327,_xll.ciqfunctions.udf.CIQ(A3318,"IQ_TOTAL_OUTSTANDING_FILING_DATE",IQ_FY-9), _xll.ciqfunctions.udf.CIQ(A3318, "IQ_TOTAL_OUTSTANDING_FILING_DATE",IQ_FY-8))</f>
        <v>40.392139999999998</v>
      </c>
      <c r="J3319" s="17">
        <f>IF(A3326=A3327,_xll.ciqfunctions.udf.CIQ(A3318,"IQ_CASH_OPER",IQ_FY-9), _xll.ciqfunctions.udf.CIQ(A3318, "IQ_CASH_OPER",IQ_FY-8))</f>
        <v>8.9429999999999996</v>
      </c>
      <c r="K3319" s="17">
        <f>IF(A3326=A3327,_xll.ciqfunctions.udf.CIQ(A3318,"IQ_CAPEX",IQ_FY-9), _xll.ciqfunctions.udf.CIQ(A3318, "IQ_CAPEX",IQ_FY-8))</f>
        <v>-1.429</v>
      </c>
      <c r="L3319" s="15">
        <f t="shared" si="884"/>
        <v>0.18602629125369441</v>
      </c>
      <c r="M3319" s="17">
        <f>IF(A3326=A3327,_xll.ciqfunctions.udf.CIQ(A3318,"IQ_TOTAL_DEBT_ISSUED",IQ_FY-9), _xll.ciqfunctions.udf.CIQ(A3318, "IQ_TOTAL_DEBT_ISSUED",IQ_FY-8))</f>
        <v>0</v>
      </c>
      <c r="N3319" s="17">
        <f>IF(A3326=A3327,_xll.ciqfunctions.udf.CIQ(A3318,"IQ_TOTAL_DEBT_REPAID",IQ_FY-9), _xll.ciqfunctions.udf.CIQ(A3318, "IQ_TOTAL_DEBT_REPAID",IQ_FY-8))</f>
        <v>0</v>
      </c>
      <c r="O3319" s="15">
        <f t="shared" si="885"/>
        <v>0</v>
      </c>
      <c r="P3319" s="15">
        <f t="shared" si="886"/>
        <v>0.18602629125369441</v>
      </c>
      <c r="Q3319" s="25" t="s">
        <v>18</v>
      </c>
      <c r="R3319" s="39" t="s">
        <v>19</v>
      </c>
      <c r="S3319" s="1">
        <f>R3317/((AVERAGE(P3323:P3328))*(1+E3329)^3)</f>
        <v>8.3411801644067207</v>
      </c>
      <c r="U3319" s="25" t="s">
        <v>48</v>
      </c>
      <c r="V3319" s="39" t="s">
        <v>19</v>
      </c>
      <c r="W3319" s="1">
        <f>V3317/((AVERAGE(P3323:P3328))*(1+E3329)^3)</f>
        <v>8.3411801644067207</v>
      </c>
      <c r="Y3319" s="25" t="s">
        <v>39</v>
      </c>
      <c r="Z3319" s="39" t="s">
        <v>19</v>
      </c>
      <c r="AA3319" s="1">
        <f>Z3317/((AVERAGE(P3323:P3328))*(1+E3329)^3)</f>
        <v>8.3411801644067207</v>
      </c>
    </row>
    <row r="3320" spans="1:27">
      <c r="B3320" s="13">
        <v>3</v>
      </c>
      <c r="C3320" s="14" t="s">
        <v>20</v>
      </c>
      <c r="D3320" s="15" cm="1">
        <f t="array" ref="D3320">_xlfn.SINGLE(IF(A3326=A3327,_xll.ciqfunctions.udf.CIQ(A3318,"IQ_TOTAL_REV",IQ_FY-8)/I3320, _xll.ciqfunctions.udf.CIQ(A3318, "IQ_TOTAL_REV",IQ_FY-7)/I3320))</f>
        <v>2.0555730253706792</v>
      </c>
      <c r="E3320" s="16">
        <f t="shared" si="887"/>
        <v>0.60669143760272504</v>
      </c>
      <c r="F3320" s="15">
        <f>IF(A3326=A3327,_xll.ciqfunctions.udf.CIQ(A3318,"IQ_DILUT_EPS_EXCL",IQ_FY-8), _xll.ciqfunctions.udf.CIQ(A3318, "IQ_DILUT_EPS_EXCL",IQ_FY-7))</f>
        <v>-0.61</v>
      </c>
      <c r="G3320" s="15">
        <f>IF(A3326=A3327,_xll.ciqfunctions.udf.CIQ(A3318,"IQ_EBITDA_MARGIN",IQ_FY-8), _xll.ciqfunctions.udf.CIQ(A3318, "IQ_EBITDA_MARGIN",IQ_FY-7))</f>
        <v>-25.036100000000001</v>
      </c>
      <c r="H3320" s="15">
        <f>IF(A3326=A3327,_xll.ciqfunctions.udf.CIQ(A3318,"IQ_TOTAL_DIV_PAID_CF",IQ_FY-8)/-I3320, _xll.ciqfunctions.udf.CIQ(A3318, "IQ_TOTAL_DIV_PAID_CF",IQ_FY-7)/-I3320)</f>
        <v>0</v>
      </c>
      <c r="I3320" s="17">
        <f>IF(A3326=A3327,_xll.ciqfunctions.udf.CIQ(A3318,"IQ_TOTAL_OUTSTANDING_FILING_DATE",IQ_FY-8), _xll.ciqfunctions.udf.CIQ(A3318, "IQ_TOTAL_OUTSTANDING_FILING_DATE",IQ_FY-7))</f>
        <v>40.67333</v>
      </c>
      <c r="J3320" s="17">
        <f>IF(A3326=A3327,_xll.ciqfunctions.udf.CIQ(A3318,"IQ_CASH_OPER",IQ_FY-8), _xll.ciqfunctions.udf.CIQ(A3318, "IQ_CASH_OPER",IQ_FY-7))</f>
        <v>1.006</v>
      </c>
      <c r="K3320" s="17">
        <f>IF(A3326=A3327,_xll.ciqfunctions.udf.CIQ(A3318,"IQ_CAPEX",IQ_FY-8), _xll.ciqfunctions.udf.CIQ(A3318, "IQ_CAPEX",IQ_FY-7))</f>
        <v>-10.093999999999999</v>
      </c>
      <c r="L3320" s="15">
        <f t="shared" si="884"/>
        <v>-0.22343879883943604</v>
      </c>
      <c r="M3320" s="17">
        <f>IF(A3326=A3327,_xll.ciqfunctions.udf.CIQ(A3318,"IQ_TOTAL_DEBT_ISSUED",IQ_FY-8), _xll.ciqfunctions.udf.CIQ(A3318, "IQ_TOTAL_DEBT_ISSUED",IQ_FY-7))</f>
        <v>0</v>
      </c>
      <c r="N3320" s="17">
        <f>IF(A3326=A3327,_xll.ciqfunctions.udf.CIQ(A3318,"IQ_TOTAL_DEBT_REPAID",IQ_FY-8), _xll.ciqfunctions.udf.CIQ(A3318, "IQ_TOTAL_DEBT_REPAID",IQ_FY-7))</f>
        <v>-0.53200000000000003</v>
      </c>
      <c r="O3320" s="15">
        <f t="shared" si="885"/>
        <v>-1.3079824051780368E-2</v>
      </c>
      <c r="P3320" s="15">
        <f t="shared" si="886"/>
        <v>-0.23651862289121642</v>
      </c>
      <c r="Q3320" s="25" t="s">
        <v>21</v>
      </c>
      <c r="R3320" s="38" t="s">
        <v>49</v>
      </c>
      <c r="S3320" s="2">
        <f>(R3317*I3328)/1000</f>
        <v>3.5444585085</v>
      </c>
      <c r="U3320" s="25" t="s">
        <v>59</v>
      </c>
      <c r="V3320" s="38" t="s">
        <v>49</v>
      </c>
      <c r="W3320" s="2">
        <f>(V3317*I3328)/1000</f>
        <v>3.5444585085</v>
      </c>
      <c r="Y3320" s="25" t="s">
        <v>46</v>
      </c>
      <c r="Z3320" s="38" t="s">
        <v>49</v>
      </c>
      <c r="AA3320" s="2">
        <f>(Z3317*I3328)/1000</f>
        <v>3.5444585085</v>
      </c>
    </row>
    <row r="3321" spans="1:27">
      <c r="A3321" s="18"/>
      <c r="B3321" s="13">
        <v>4</v>
      </c>
      <c r="C3321" s="14" t="s">
        <v>22</v>
      </c>
      <c r="D3321" s="15" cm="1">
        <f t="array" ref="D3321">_xlfn.SINGLE(IF(A3326=A3327,_xll.ciqfunctions.udf.CIQ(A3318,"IQ_TOTAL_REV",IQ_FY-7)/I3321, _xll.ciqfunctions.udf.CIQ(A3318, "IQ_TOTAL_REV",IQ_FY-6)/I3321))</f>
        <v>2.4965992867862008</v>
      </c>
      <c r="E3321" s="16">
        <f t="shared" si="887"/>
        <v>0.21455149292786221</v>
      </c>
      <c r="F3321" s="15">
        <f>IF(A3326=A3327,_xll.ciqfunctions.udf.CIQ(A3318,"IQ_DILUT_EPS_EXCL",IQ_FY-7), _xll.ciqfunctions.udf.CIQ(A3318, "IQ_DILUT_EPS_EXCL",IQ_FY-6))</f>
        <v>-0.62</v>
      </c>
      <c r="G3321" s="15">
        <f>IF(A3326=A3327,_xll.ciqfunctions.udf.CIQ(A3318,"IQ_EBITDA_MARGIN",IQ_FY-7), _xll.ciqfunctions.udf.CIQ(A3318, "IQ_EBITDA_MARGIN",IQ_FY-6))</f>
        <v>-4.3784999999999998</v>
      </c>
      <c r="H3321" s="15">
        <f>IF(A3326=A3327,_xll.ciqfunctions.udf.CIQ(A3318,"IQ_TOTAL_DIV_PAID_CF",IQ_FY-7)/-I3321, _xll.ciqfunctions.udf.CIQ(A3318, "IQ_TOTAL_DIV_PAID_CF",IQ_FY-6)/-I3321)</f>
        <v>0</v>
      </c>
      <c r="I3321" s="17">
        <f>IF(A3326=A3327,_xll.ciqfunctions.udf.CIQ(A3318,"IQ_TOTAL_OUTSTANDING_FILING_DATE",IQ_FY-7), _xll.ciqfunctions.udf.CIQ(A3318, "IQ_TOTAL_OUTSTANDING_FILING_DATE",IQ_FY-6))</f>
        <v>51.283360000000002</v>
      </c>
      <c r="J3321" s="17">
        <f>IF(A3326=A3327,_xll.ciqfunctions.udf.CIQ(A3318,"IQ_CASH_OPER",IQ_FY-7), _xll.ciqfunctions.udf.CIQ(A3318, "IQ_CASH_OPER",IQ_FY-6))</f>
        <v>-4.8079999999999998</v>
      </c>
      <c r="K3321" s="17">
        <f>IF(A3326=A3327,_xll.ciqfunctions.udf.CIQ(A3318,"IQ_CAPEX",IQ_FY-7), _xll.ciqfunctions.udf.CIQ(A3318, "IQ_CAPEX",IQ_FY-6))</f>
        <v>-1.724</v>
      </c>
      <c r="L3321" s="15">
        <f t="shared" si="884"/>
        <v>-0.1273707494984728</v>
      </c>
      <c r="M3321" s="17">
        <f>IF(A3326=A3327,_xll.ciqfunctions.udf.CIQ(A3318,"IQ_TOTAL_DEBT_ISSUED",IQ_FY-7), _xll.ciqfunctions.udf.CIQ(A3318, "IQ_TOTAL_DEBT_ISSUED",IQ_FY-6))</f>
        <v>34.299999999999997</v>
      </c>
      <c r="N3321" s="17">
        <f>IF(A3326=A3327,_xll.ciqfunctions.udf.CIQ(A3318,"IQ_TOTAL_DEBT_REPAID",IQ_FY-7), _xll.ciqfunctions.udf.CIQ(A3318, "IQ_TOTAL_DEBT_REPAID",IQ_FY-6))</f>
        <v>-60.83</v>
      </c>
      <c r="O3321" s="15">
        <f t="shared" si="885"/>
        <v>-0.51732179794771638</v>
      </c>
      <c r="P3321" s="15">
        <f t="shared" si="886"/>
        <v>-0.6446925474461892</v>
      </c>
      <c r="Q3321" s="25" t="s">
        <v>23</v>
      </c>
      <c r="R3321" s="38" t="s">
        <v>24</v>
      </c>
      <c r="S3321" s="1" t="e">
        <f>R3317/(AVERAGE(H3323:H3328)*(1+H3329)/(0.5-H3329))</f>
        <v>#DIV/0!</v>
      </c>
      <c r="U3321" s="25" t="s">
        <v>40</v>
      </c>
      <c r="V3321" s="38" t="s">
        <v>24</v>
      </c>
      <c r="W3321" s="1" t="e">
        <f>V3317/(AVERAGE(H3323:H3328)*(1+H3329)/(0.5-H3329))</f>
        <v>#DIV/0!</v>
      </c>
      <c r="Y3321" s="25" t="s">
        <v>47</v>
      </c>
      <c r="Z3321" s="38" t="s">
        <v>24</v>
      </c>
      <c r="AA3321" s="1" t="e">
        <f>Z3317/(AVERAGE(H3323:H3328)*(1+H3329)/(0.5-H3329))</f>
        <v>#DIV/0!</v>
      </c>
    </row>
    <row r="3322" spans="1:27">
      <c r="B3322" s="13">
        <v>5</v>
      </c>
      <c r="C3322" s="14" t="s">
        <v>25</v>
      </c>
      <c r="D3322" s="15" cm="1">
        <f t="array" ref="D3322">_xlfn.SINGLE(IF(A3326=A3327,_xll.ciqfunctions.udf.CIQ(A3318,"IQ_TOTAL_REV",IQ_FY-6)/I3322, _xll.ciqfunctions.udf.CIQ(A3318, "IQ_TOTAL_REV",IQ_FY-5)/I3322))</f>
        <v>3.3008603895249475</v>
      </c>
      <c r="E3322" s="16">
        <f t="shared" si="887"/>
        <v>0.32214264699804851</v>
      </c>
      <c r="F3322" s="15">
        <f>IF(A3326=A3327,_xll.ciqfunctions.udf.CIQ(A3318,"IQ_DILUT_EPS_EXCL",IQ_FY-6), _xll.ciqfunctions.udf.CIQ(A3318, "IQ_DILUT_EPS_EXCL",IQ_FY-5))</f>
        <v>-0.64048000000000005</v>
      </c>
      <c r="G3322" s="15">
        <f>IF(A3326=A3327,_xll.ciqfunctions.udf.CIQ(A3318,"IQ_EBITDA_MARGIN",IQ_FY-6), _xll.ciqfunctions.udf.CIQ(A3318, "IQ_EBITDA_MARGIN",IQ_FY-5))</f>
        <v>-7.1239999999999997</v>
      </c>
      <c r="H3322" s="15">
        <f>IF(A3326=A3327,_xll.ciqfunctions.udf.CIQ(A3318,"IQ_TOTAL_DIV_PAID_CF",IQ_FY-6)/-I3322, _xll.ciqfunctions.udf.CIQ(A3318, "IQ_TOTAL_DIV_PAID_CF",IQ_FY-5)/-I3322)</f>
        <v>0</v>
      </c>
      <c r="I3322" s="17">
        <f>IF(A3326=A3327,_xll.ciqfunctions.udf.CIQ(A3318,"IQ_TOTAL_OUTSTANDING_FILING_DATE",IQ_FY-6), _xll.ciqfunctions.udf.CIQ(A3318, "IQ_TOTAL_OUTSTANDING_FILING_DATE",IQ_FY-5))</f>
        <v>53.199159999999999</v>
      </c>
      <c r="J3322" s="17">
        <f>IF(A3326=A3327,_xll.ciqfunctions.udf.CIQ(A3318,"IQ_CASH_OPER",IQ_FY-6), _xll.ciqfunctions.udf.CIQ(A3318, "IQ_CASH_OPER",IQ_FY-5))</f>
        <v>6.4240000000000004</v>
      </c>
      <c r="K3322" s="17">
        <f>IF(A3326=A3327,_xll.ciqfunctions.udf.CIQ(A3318,"IQ_CAPEX",IQ_FY-6), _xll.ciqfunctions.udf.CIQ(A3318, "IQ_CAPEX",IQ_FY-5))</f>
        <v>-4.0019999999999998</v>
      </c>
      <c r="L3322" s="15">
        <f t="shared" si="884"/>
        <v>4.5527034637389024E-2</v>
      </c>
      <c r="M3322" s="17">
        <f>IF(A3326=A3327,_xll.ciqfunctions.udf.CIQ(A3318,"IQ_TOTAL_DEBT_ISSUED",IQ_FY-6), _xll.ciqfunctions.udf.CIQ(A3318, "IQ_TOTAL_DEBT_ISSUED",IQ_FY-5))</f>
        <v>0</v>
      </c>
      <c r="N3322" s="17">
        <f>IF(A3326=A3327,_xll.ciqfunctions.udf.CIQ(A3318,"IQ_TOTAL_DEBT_REPAID",IQ_FY-6), _xll.ciqfunctions.udf.CIQ(A3318, "IQ_TOTAL_DEBT_REPAID",IQ_FY-5))</f>
        <v>-0.54900000000000004</v>
      </c>
      <c r="O3322" s="15">
        <f t="shared" si="885"/>
        <v>-1.0319711814998583E-2</v>
      </c>
      <c r="P3322" s="15">
        <f t="shared" si="886"/>
        <v>3.520732282239044E-2</v>
      </c>
      <c r="Q3322" s="18"/>
      <c r="R3322" s="38" t="s">
        <v>50</v>
      </c>
      <c r="S3322" s="3">
        <f>I3329</f>
        <v>2.1988923614484346E-2</v>
      </c>
      <c r="U3322" s="18"/>
      <c r="V3322" s="38" t="s">
        <v>50</v>
      </c>
      <c r="W3322" s="3">
        <f>I3329</f>
        <v>2.1988923614484346E-2</v>
      </c>
      <c r="Y3322" s="18"/>
      <c r="Z3322" s="38" t="s">
        <v>50</v>
      </c>
      <c r="AA3322" s="3">
        <f>I3329</f>
        <v>2.1988923614484346E-2</v>
      </c>
    </row>
    <row r="3323" spans="1:27">
      <c r="B3323" s="13">
        <v>6</v>
      </c>
      <c r="C3323" s="14" t="s">
        <v>26</v>
      </c>
      <c r="D3323" s="15" cm="1">
        <f t="array" ref="D3323">_xlfn.SINGLE(IF(A3326=A3327,_xll.ciqfunctions.udf.CIQ(A3318,"IQ_TOTAL_REV",IQ_FY-5)/I3323, _xll.ciqfunctions.udf.CIQ(A3318, "IQ_TOTAL_REV",IQ_FY-4)/I3323))</f>
        <v>4.144911407404388</v>
      </c>
      <c r="E3323" s="16">
        <f t="shared" si="887"/>
        <v>0.25570636690905746</v>
      </c>
      <c r="F3323" s="15">
        <f>IF(A3326=A3327,_xll.ciqfunctions.udf.CIQ(A3318,"IQ_DILUT_EPS_EXCL",IQ_FY-5), _xll.ciqfunctions.udf.CIQ(A3318, "IQ_DILUT_EPS_EXCL",IQ_FY-4))</f>
        <v>-0.53261000000000003</v>
      </c>
      <c r="G3323" s="15">
        <f>IF(A3326=A3327,_xll.ciqfunctions.udf.CIQ(A3318,"IQ_EBITDA_MARGIN",IQ_FY-5), _xll.ciqfunctions.udf.CIQ(A3318, "IQ_EBITDA_MARGIN",IQ_FY-4))</f>
        <v>-4.8071000000000002</v>
      </c>
      <c r="H3323" s="15">
        <f>IF(A3326=A3327,_xll.ciqfunctions.udf.CIQ(A3318,"IQ_TOTAL_DIV_PAID_CF",IQ_FY-5)/-I3323, _xll.ciqfunctions.udf.CIQ(A3318, "IQ_TOTAL_DIV_PAID_CF",IQ_FY-4)/-I3323)</f>
        <v>0</v>
      </c>
      <c r="I3323" s="17">
        <f>IF(A3326=A3327,_xll.ciqfunctions.udf.CIQ(A3318,"IQ_TOTAL_OUTSTANDING_FILING_DATE",IQ_FY-5), _xll.ciqfunctions.udf.CIQ(A3318, "IQ_TOTAL_OUTSTANDING_FILING_DATE",IQ_FY-4))</f>
        <v>54.956060000000001</v>
      </c>
      <c r="J3323" s="17">
        <f>IF(A3326=A3327,_xll.ciqfunctions.udf.CIQ(A3318,"IQ_CASH_OPER",IQ_FY-5), _xll.ciqfunctions.udf.CIQ(A3318, "IQ_CASH_OPER",IQ_FY-4))</f>
        <v>16.14</v>
      </c>
      <c r="K3323" s="17">
        <f>IF(A3326=A3327,_xll.ciqfunctions.udf.CIQ(A3318,"IQ_CAPEX",IQ_FY-5), _xll.ciqfunctions.udf.CIQ(A3318, "IQ_CAPEX",IQ_FY-4))</f>
        <v>-6.2839999999999998</v>
      </c>
      <c r="L3323" s="15">
        <f t="shared" si="884"/>
        <v>0.17934327897596739</v>
      </c>
      <c r="M3323" s="17">
        <f>IF(A3326=A3327,_xll.ciqfunctions.udf.CIQ(A3318,"IQ_TOTAL_DEBT_ISSUED",IQ_FY-5), _xll.ciqfunctions.udf.CIQ(A3318, "IQ_TOTAL_DEBT_ISSUED",IQ_FY-4))</f>
        <v>0</v>
      </c>
      <c r="N3323" s="17">
        <f>IF(A3326=A3327,_xll.ciqfunctions.udf.CIQ(A3318,"IQ_TOTAL_DEBT_REPAID",IQ_FY-5), _xll.ciqfunctions.udf.CIQ(A3318, "IQ_TOTAL_DEBT_REPAID",IQ_FY-4))</f>
        <v>-0.443</v>
      </c>
      <c r="O3323" s="15">
        <f t="shared" si="885"/>
        <v>-8.0609854491024285E-3</v>
      </c>
      <c r="P3323" s="15">
        <f t="shared" si="886"/>
        <v>0.17128229352686497</v>
      </c>
      <c r="Q3323" s="25" t="s">
        <v>27</v>
      </c>
      <c r="R3323" s="38" t="s">
        <v>51</v>
      </c>
      <c r="S3323" s="4">
        <f>AVERAGE(F3323:F3328)/AVERAGE(D3323:D3328)</f>
        <v>-9.2214426084620174E-2</v>
      </c>
      <c r="U3323" s="25" t="s">
        <v>58</v>
      </c>
      <c r="V3323" s="38" t="s">
        <v>51</v>
      </c>
      <c r="W3323" s="4">
        <f>AVERAGE(F3323:F3328)/AVERAGE(D3323:D3328)</f>
        <v>-9.2214426084620174E-2</v>
      </c>
      <c r="Y3323" s="25" t="s">
        <v>56</v>
      </c>
      <c r="Z3323" s="38" t="s">
        <v>51</v>
      </c>
      <c r="AA3323" s="4">
        <f>AVERAGE(F3323:F3328)/AVERAGE(D3323:D3328)</f>
        <v>-9.2214426084620174E-2</v>
      </c>
    </row>
    <row r="3324" spans="1:27">
      <c r="A3324" s="18"/>
      <c r="B3324" s="13">
        <v>7</v>
      </c>
      <c r="C3324" s="14" t="s">
        <v>28</v>
      </c>
      <c r="D3324" s="15" cm="1">
        <f t="array" ref="D3324">_xlfn.SINGLE(IF(A3326=A3327,_xll.ciqfunctions.udf.CIQ(A3318,"IQ_TOTAL_REV",IQ_FY-4)/I3324, _xll.ciqfunctions.udf.CIQ(A3318, "IQ_TOTAL_REV",IQ_FY-3)/I3324))</f>
        <v>5.1327858972721687</v>
      </c>
      <c r="E3324" s="16">
        <f t="shared" si="887"/>
        <v>0.23833428335839971</v>
      </c>
      <c r="F3324" s="15">
        <f>IF(A3326=A3327,_xll.ciqfunctions.udf.CIQ(A3318,"IQ_DILUT_EPS_EXCL",IQ_FY-4), _xll.ciqfunctions.udf.CIQ(A3318, "IQ_DILUT_EPS_EXCL",IQ_FY-3))</f>
        <v>-0.59</v>
      </c>
      <c r="G3324" s="15">
        <f>IF(A3326=A3327,_xll.ciqfunctions.udf.CIQ(A3318,"IQ_EBITDA_MARGIN",IQ_FY-4), _xll.ciqfunctions.udf.CIQ(A3318, "IQ_EBITDA_MARGIN",IQ_FY-3))</f>
        <v>-3.903</v>
      </c>
      <c r="H3324" s="15">
        <f>IF(A3326=A3327,_xll.ciqfunctions.udf.CIQ(A3318,"IQ_TOTAL_DIV_PAID_CF",IQ_FY-4)/-I3324, _xll.ciqfunctions.udf.CIQ(A3318, "IQ_TOTAL_DIV_PAID_CF",IQ_FY-3)/-I3324)</f>
        <v>0</v>
      </c>
      <c r="I3324" s="17">
        <f>IF(A3326=A3327,_xll.ciqfunctions.udf.CIQ(A3318,"IQ_TOTAL_OUTSTANDING_FILING_DATE",IQ_FY-4), _xll.ciqfunctions.udf.CIQ(A3318, "IQ_TOTAL_OUTSTANDING_FILING_DATE",IQ_FY-3))</f>
        <v>56.30003</v>
      </c>
      <c r="J3324" s="17">
        <f>IF(A3326=A3327,_xll.ciqfunctions.udf.CIQ(A3318,"IQ_CASH_OPER",IQ_FY-4), _xll.ciqfunctions.udf.CIQ(A3318, "IQ_CASH_OPER",IQ_FY-3))</f>
        <v>29.724</v>
      </c>
      <c r="K3324" s="17">
        <f>IF(A3326=A3327,_xll.ciqfunctions.udf.CIQ(A3318,"IQ_CAPEX",IQ_FY-4), _xll.ciqfunctions.udf.CIQ(A3318, "IQ_CAPEX",IQ_FY-3))</f>
        <v>-4.6319999999999997</v>
      </c>
      <c r="L3324" s="15">
        <f t="shared" si="884"/>
        <v>0.44568359910287791</v>
      </c>
      <c r="M3324" s="17">
        <f>IF(A3326=A3327,_xll.ciqfunctions.udf.CIQ(A3318,"IQ_TOTAL_DEBT_ISSUED",IQ_FY-4), _xll.ciqfunctions.udf.CIQ(A3318, "IQ_TOTAL_DEBT_ISSUED",IQ_FY-3))</f>
        <v>487.16300000000001</v>
      </c>
      <c r="N3324" s="17">
        <f>IF(A3326=A3327,_xll.ciqfunctions.udf.CIQ(A3318,"IQ_TOTAL_DEBT_REPAID",IQ_FY-4), _xll.ciqfunctions.udf.CIQ(A3318, "IQ_TOTAL_DEBT_REPAID",IQ_FY-3))</f>
        <v>0</v>
      </c>
      <c r="O3324" s="15">
        <f t="shared" si="885"/>
        <v>8.6529794033857534</v>
      </c>
      <c r="P3324" s="15">
        <f t="shared" si="886"/>
        <v>9.0986630024886317</v>
      </c>
      <c r="Q3324" s="18"/>
      <c r="R3324" s="38" t="s">
        <v>29</v>
      </c>
      <c r="S3324" s="4">
        <f>(AVERAGE(P3323:P3328)/_xlfn.STDEV.P(P3323:P3328))/(IF(A3326=A3327,(_xlfn.SINGLE(_xll.ciqfunctions.udf.CIQ(A3318,"IQ_total_assets",IQ_FY)) - _xlfn.SINGLE(_xll.ciqfunctions.udf.CIQ(A3318,"iq_gw_intan", IQ_FY)))/I3328, (_xlfn.SINGLE(_xll.ciqfunctions.udf.CIQ(A3318, "IQ_total_assets",IQ_LTM))-_xlfn.SINGLE(_xll.ciqfunctions.udf.CIQ(A3318,"iq_gw_intan",IQ_LTM)))/I3328))</f>
        <v>3.644592302128901E-2</v>
      </c>
      <c r="U3324" s="18"/>
      <c r="V3324" s="38" t="s">
        <v>29</v>
      </c>
      <c r="W3324" s="4">
        <f>(AVERAGE(P3323:P3328)/_xlfn.STDEV.P(P3323:P3328))/(IF(A3326=A3327,(_xlfn.SINGLE(_xll.ciqfunctions.udf.CIQ(A3318,"IQ_total_assets",IQ_FY)) - _xlfn.SINGLE(_xll.ciqfunctions.udf.CIQ(A3318,"iq_gw_intan", IQ_FY)))/I3328, (_xlfn.SINGLE(_xll.ciqfunctions.udf.CIQ(A3318, "IQ_total_assets",IQ_LTM))-_xlfn.SINGLE(_xll.ciqfunctions.udf.CIQ(A3318,"iq_gw_intan",IQ_LTM)))/I3328))</f>
        <v>3.644592302128901E-2</v>
      </c>
      <c r="Y3324" s="18"/>
      <c r="Z3324" s="38" t="s">
        <v>29</v>
      </c>
      <c r="AA3324" s="4">
        <f>(AVERAGE(P3323:P3328)/_xlfn.STDEV.P(P3323:P3328))/(IF(A3326=A3327,(_xlfn.SINGLE(_xll.ciqfunctions.udf.CIQ(A3318,"IQ_total_assets",IQ_FY)) - _xlfn.SINGLE(_xll.ciqfunctions.udf.CIQ(A3318,"iq_gw_intan", IQ_FY)))/I3328, (_xlfn.SINGLE(_xll.ciqfunctions.udf.CIQ(A3318, "IQ_total_assets",IQ_LTM))-_xlfn.SINGLE(_xll.ciqfunctions.udf.CIQ(A3318,"iq_gw_intan",IQ_LTM)))/I3328))</f>
        <v>3.644592302128901E-2</v>
      </c>
    </row>
    <row r="3325" spans="1:27">
      <c r="A3325" s="18"/>
      <c r="B3325" s="13">
        <v>8</v>
      </c>
      <c r="C3325" s="14" t="s">
        <v>30</v>
      </c>
      <c r="D3325" s="15" cm="1">
        <f t="array" ref="D3325">_xlfn.SINGLE(IF(A3326=A3327,_xll.ciqfunctions.udf.CIQ(A3318,"IQ_TOTAL_REV",IQ_FY-3)/I3325, _xll.ciqfunctions.udf.CIQ(A3318, "IQ_TOTAL_REV",IQ_FY-2)/I3325))</f>
        <v>6.0868432109678334</v>
      </c>
      <c r="E3325" s="16">
        <f t="shared" si="887"/>
        <v>0.18587514320492127</v>
      </c>
      <c r="F3325" s="15">
        <f>IF(A3326=A3327,_xll.ciqfunctions.udf.CIQ(A3318,"IQ_DILUT_EPS_EXCL",IQ_FY-3), _xll.ciqfunctions.udf.CIQ(A3318, "IQ_DILUT_EPS_EXCL",IQ_FY-2))</f>
        <v>-0.83</v>
      </c>
      <c r="G3325" s="15">
        <f>IF(A3326=A3327,_xll.ciqfunctions.udf.CIQ(A3318,"IQ_EBITDA_MARGIN",IQ_FY-3), _xll.ciqfunctions.udf.CIQ(A3318, "IQ_EBITDA_MARGIN",IQ_FY-2))</f>
        <v>-1.5268999999999999</v>
      </c>
      <c r="H3325" s="15">
        <f>IF(A3326=A3327,_xll.ciqfunctions.udf.CIQ(A3318,"IQ_TOTAL_DIV_PAID_CF",IQ_FY-3)/-I3325, _xll.ciqfunctions.udf.CIQ(A3318, "IQ_TOTAL_DIV_PAID_CF",IQ_FY-2)/-I3325)</f>
        <v>0</v>
      </c>
      <c r="I3325" s="17">
        <f>IF(A3326=A3327,_xll.ciqfunctions.udf.CIQ(A3318,"IQ_TOTAL_OUTSTANDING_FILING_DATE",IQ_FY-3), _xll.ciqfunctions.udf.CIQ(A3318, "IQ_TOTAL_OUTSTANDING_FILING_DATE",IQ_FY-2))</f>
        <v>57.786439999999999</v>
      </c>
      <c r="J3325" s="17">
        <f>IF(A3326=A3327,_xll.ciqfunctions.udf.CIQ(A3318,"IQ_CASH_OPER",IQ_FY-3), _xll.ciqfunctions.udf.CIQ(A3318, "IQ_CASH_OPER",IQ_FY-2))</f>
        <v>54.734999999999999</v>
      </c>
      <c r="K3325" s="17">
        <f>IF(A3326=A3327,_xll.ciqfunctions.udf.CIQ(A3318,"IQ_CAPEX",IQ_FY-3), _xll.ciqfunctions.udf.CIQ(A3318, "IQ_CAPEX",IQ_FY-2))</f>
        <v>-6.5129999999999999</v>
      </c>
      <c r="L3325" s="15">
        <f t="shared" si="884"/>
        <v>0.83448642968834907</v>
      </c>
      <c r="M3325" s="17">
        <f>IF(A3326=A3327,_xll.ciqfunctions.udf.CIQ(A3318,"IQ_TOTAL_DEBT_ISSUED",IQ_FY-3), _xll.ciqfunctions.udf.CIQ(A3318, "IQ_TOTAL_DEBT_ISSUED",IQ_FY-2))</f>
        <v>0</v>
      </c>
      <c r="N3325" s="17">
        <f>IF(A3326=A3327,_xll.ciqfunctions.udf.CIQ(A3318,"IQ_TOTAL_DEBT_REPAID",IQ_FY-3), _xll.ciqfunctions.udf.CIQ(A3318, "IQ_TOTAL_DEBT_REPAID",IQ_FY-2))</f>
        <v>0</v>
      </c>
      <c r="O3325" s="15">
        <f t="shared" si="885"/>
        <v>0</v>
      </c>
      <c r="P3325" s="15">
        <f t="shared" si="886"/>
        <v>0.83448642968834907</v>
      </c>
      <c r="Q3325" s="18"/>
      <c r="R3325" s="39" t="s">
        <v>31</v>
      </c>
      <c r="S3325" s="5">
        <f>IF(NOT(D3318&gt;0),FALSE,SLOPE(G3318:G3328,B3318:B3328))</f>
        <v>2.0701027272727273</v>
      </c>
      <c r="U3325" s="18"/>
      <c r="V3325" s="39" t="s">
        <v>31</v>
      </c>
      <c r="W3325" s="5">
        <f>IF(NOT(D3318&gt;0),FALSE,SLOPE(G3318:G3328,B3318:B3328))</f>
        <v>2.0701027272727273</v>
      </c>
      <c r="Y3325" s="18"/>
      <c r="Z3325" s="39" t="s">
        <v>31</v>
      </c>
      <c r="AA3325" s="5" t="b">
        <f>IF(NOT(L3318&gt;0),FALSE,SLOPE(O3318:O3328,J3318:J3328))</f>
        <v>0</v>
      </c>
    </row>
    <row r="3326" spans="1:27">
      <c r="A3326" s="19">
        <f>_xll.ciqfunctions.udf.CIQ(A3318,"IQ_TOTAL_REV",IQ_FY)</f>
        <v>522.93799999999999</v>
      </c>
      <c r="B3326" s="13">
        <v>9</v>
      </c>
      <c r="C3326" s="14" t="s">
        <v>32</v>
      </c>
      <c r="D3326" s="15" cm="1">
        <f t="array" ref="D3326">_xlfn.SINGLE(IF(A3326=A3327,_xll.ciqfunctions.udf.CIQ(A3318,"IQ_TOTAL_REV",IQ_FY-2)/I3326, _xll.ciqfunctions.udf.CIQ(A3318, "IQ_TOTAL_REV",IQ_FY-1)/I3326))</f>
        <v>7.1864505663744689</v>
      </c>
      <c r="E3326" s="16">
        <f t="shared" si="887"/>
        <v>0.18065314273665894</v>
      </c>
      <c r="F3326" s="15">
        <f>IF(A3326=A3327,_xll.ciqfunctions.udf.CIQ(A3318,"IQ_DILUT_EPS_EXCL",IQ_FY-2), _xll.ciqfunctions.udf.CIQ(A3318, "IQ_DILUT_EPS_EXCL",IQ_FY-1))</f>
        <v>-1.97359</v>
      </c>
      <c r="G3326" s="15">
        <f>IF(A3326=A3327,_xll.ciqfunctions.udf.CIQ(A3318,"IQ_EBITDA_MARGIN",IQ_FY-2), _xll.ciqfunctions.udf.CIQ(A3318, "IQ_EBITDA_MARGIN",IQ_FY-1))</f>
        <v>-5.4600999999999997</v>
      </c>
      <c r="H3326" s="15">
        <f>IF(A3326=A3327,_xll.ciqfunctions.udf.CIQ(A3318,"IQ_TOTAL_DIV_PAID_CF",IQ_FY-2)/-I3326, _xll.ciqfunctions.udf.CIQ(A3318, "IQ_TOTAL_DIV_PAID_CF",IQ_FY-1)/-I3326)</f>
        <v>0</v>
      </c>
      <c r="I3326" s="17">
        <f>IF(A3326=A3327,_xll.ciqfunctions.udf.CIQ(A3318,"IQ_TOTAL_OUTSTANDING_FILING_DATE",IQ_FY-2), _xll.ciqfunctions.udf.CIQ(A3318, "IQ_TOTAL_OUTSTANDING_FILING_DATE",IQ_FY-1))</f>
        <v>59.237310000000001</v>
      </c>
      <c r="J3326" s="17">
        <f>IF(A3326=A3327,_xll.ciqfunctions.udf.CIQ(A3318,"IQ_CASH_OPER",IQ_FY-2), _xll.ciqfunctions.udf.CIQ(A3318, "IQ_CASH_OPER",IQ_FY-1))</f>
        <v>80.093000000000004</v>
      </c>
      <c r="K3326" s="17">
        <f>IF(A3326=A3327,_xll.ciqfunctions.udf.CIQ(A3318,"IQ_CAPEX",IQ_FY-2), _xll.ciqfunctions.udf.CIQ(A3318, "IQ_CAPEX",IQ_FY-1))</f>
        <v>-8.7289999999999992</v>
      </c>
      <c r="L3326" s="15">
        <f t="shared" si="884"/>
        <v>1.2047137184318464</v>
      </c>
      <c r="M3326" s="17">
        <f>IF(A3326=A3327,_xll.ciqfunctions.udf.CIQ(A3318,"IQ_TOTAL_DEBT_ISSUED",IQ_FY-2), _xll.ciqfunctions.udf.CIQ(A3318, "IQ_TOTAL_DEBT_ISSUED",IQ_FY-1))</f>
        <v>1128.7940000000001</v>
      </c>
      <c r="N3326" s="17">
        <f>IF(A3326=A3327,_xll.ciqfunctions.udf.CIQ(A3318,"IQ_TOTAL_DEBT_REPAID",IQ_FY-2), _xll.ciqfunctions.udf.CIQ(A3318, "IQ_TOTAL_DEBT_REPAID",IQ_FY-1))</f>
        <v>-432.267</v>
      </c>
      <c r="O3326" s="15">
        <f t="shared" si="885"/>
        <v>11.758248306683745</v>
      </c>
      <c r="P3326" s="15">
        <f t="shared" si="886"/>
        <v>12.962962025115591</v>
      </c>
      <c r="Q3326" s="25" t="s">
        <v>33</v>
      </c>
      <c r="R3326" s="38" t="s">
        <v>52</v>
      </c>
      <c r="S3326" s="4">
        <f>(AVERAGE(O3323:O3328)/AVERAGE(P3323:P3328))</f>
        <v>0.79892053934566443</v>
      </c>
      <c r="U3326" s="25" t="s">
        <v>54</v>
      </c>
      <c r="V3326" s="38" t="s">
        <v>52</v>
      </c>
      <c r="W3326" s="4">
        <f>(AVERAGE(O3323:O3328)/AVERAGE(P3323:P3328))</f>
        <v>0.79892053934566443</v>
      </c>
      <c r="Y3326" s="25" t="s">
        <v>60</v>
      </c>
      <c r="Z3326" s="38" t="s">
        <v>52</v>
      </c>
      <c r="AA3326" s="4">
        <f>(AVERAGE(O3323:O3328)/AVERAGE(P3323:P3328))</f>
        <v>0.79892053934566443</v>
      </c>
    </row>
    <row r="3327" spans="1:27">
      <c r="A3327" s="19">
        <f>_xll.ciqfunctions.udf.CIQ(A3318,"IQ_TOTAL_REV",IQ_LTM)</f>
        <v>574.22299999999996</v>
      </c>
      <c r="B3327" s="13">
        <v>10</v>
      </c>
      <c r="C3327" s="14" t="s">
        <v>34</v>
      </c>
      <c r="D3327" s="15" cm="1">
        <f t="array" ref="D3327">_xlfn.SINGLE(IF(A3326=A3327,_xll.ciqfunctions.udf.CIQ(A3318,"IQ_TOTAL_REV",IQ_FY-1)/I3327, _xll.ciqfunctions.udf.CIQ(A3318, "IQ_TOTAL_REV",IQ_FY)/I3327))</f>
        <v>8.708791126438328</v>
      </c>
      <c r="E3327" s="16">
        <f t="shared" si="887"/>
        <v>0.21183483362244471</v>
      </c>
      <c r="F3327" s="15">
        <f>IF(A3326=A3327,_xll.ciqfunctions.udf.CIQ(A3318,"IQ_DILUT_EPS_EXCL",IQ_FY-1), _xll.ciqfunctions.udf.CIQ(A3318, "IQ_DILUT_EPS_EXCL",IQ_FY))</f>
        <v>-0.49364000000000002</v>
      </c>
      <c r="G3327" s="15">
        <f>IF(A3326=A3327,_xll.ciqfunctions.udf.CIQ(A3318,"IQ_EBITDA_MARGIN",IQ_FY-1), _xll.ciqfunctions.udf.CIQ(A3318, "IQ_EBITDA_MARGIN",IQ_FY))</f>
        <v>-6.8662999999999998</v>
      </c>
      <c r="H3327" s="15">
        <f>IF(A3326=A3327,_xll.ciqfunctions.udf.CIQ(A3318,"IQ_TOTAL_DIV_PAID_CF",IQ_FY-1)/-I3327, _xll.ciqfunctions.udf.CIQ(A3318, "IQ_TOTAL_DIV_PAID_CF",IQ_FY)/-I3327)</f>
        <v>0</v>
      </c>
      <c r="I3327" s="17">
        <f>IF(A3326=A3327,_xll.ciqfunctions.udf.CIQ(A3318,"IQ_TOTAL_OUTSTANDING_FILING_DATE",IQ_FY-1), _xll.ciqfunctions.udf.CIQ(A3318, "IQ_TOTAL_OUTSTANDING_FILING_DATE",IQ_FY))</f>
        <v>60.047139999999999</v>
      </c>
      <c r="J3327" s="17">
        <f>IF(A3326=A3327,_xll.ciqfunctions.udf.CIQ(A3318,"IQ_CASH_OPER",IQ_FY-1), _xll.ciqfunctions.udf.CIQ(A3318, "IQ_CASH_OPER",IQ_FY))</f>
        <v>56.012999999999998</v>
      </c>
      <c r="K3327" s="17">
        <f>IF(A3326=A3327,_xll.ciqfunctions.udf.CIQ(A3318,"IQ_CAPEX",IQ_FY-1), _xll.ciqfunctions.udf.CIQ(A3318, "IQ_CAPEX",IQ_FY))</f>
        <v>-10.974</v>
      </c>
      <c r="L3327" s="15">
        <f t="shared" si="884"/>
        <v>0.75006070230821986</v>
      </c>
      <c r="M3327" s="17">
        <f>IF(A3326=A3327,_xll.ciqfunctions.udf.CIQ(A3318,"IQ_TOTAL_DEBT_ISSUED",IQ_FY-1), _xll.ciqfunctions.udf.CIQ(A3318, "IQ_TOTAL_DEBT_ISSUED",IQ_FY))</f>
        <v>0</v>
      </c>
      <c r="N3327" s="17">
        <f>IF(A3326=A3327,_xll.ciqfunctions.udf.CIQ(A3318,"IQ_TOTAL_DEBT_REPAID",IQ_FY-1), _xll.ciqfunctions.udf.CIQ(A3318, "IQ_TOTAL_DEBT_REPAID",IQ_FY))</f>
        <v>-0.61899999999999999</v>
      </c>
      <c r="O3327" s="15">
        <f t="shared" si="885"/>
        <v>-1.0308567568746822E-2</v>
      </c>
      <c r="P3327" s="15">
        <f t="shared" si="886"/>
        <v>0.73975213473947299</v>
      </c>
      <c r="Q3327" s="25" t="s">
        <v>44</v>
      </c>
      <c r="R3327" s="38" t="s">
        <v>35</v>
      </c>
      <c r="S3327" s="1">
        <f>_xll.ciqfunctions.udf.CIQ(A3318,"IQ_TEV_EBITDA")</f>
        <v>128.06653</v>
      </c>
      <c r="U3327" s="25" t="s">
        <v>55</v>
      </c>
      <c r="V3327" s="38" t="s">
        <v>53</v>
      </c>
      <c r="W3327" s="1">
        <f>V3317/(AVERAGE(D3323:D3328)/_xlfn.STDEV.P(E3323:E3328))</f>
        <v>0.49544884716464788</v>
      </c>
      <c r="Y3327" s="25" t="s">
        <v>57</v>
      </c>
      <c r="Z3327" s="38" t="s">
        <v>53</v>
      </c>
      <c r="AA3327" s="1">
        <f>Z3317/(AVERAGE(D3323:D3328)/_xlfn.STDEV.P(E3323:E3328))</f>
        <v>0.49544884716464788</v>
      </c>
    </row>
    <row r="3328" spans="1:27">
      <c r="B3328" s="13">
        <v>11</v>
      </c>
      <c r="C3328" s="20" t="s">
        <v>36</v>
      </c>
      <c r="D3328" s="21" cm="1">
        <f t="array" ref="D3328">_xlfn.SINGLE(IF(A3326=A3327,_xll.ciqfunctions.udf.CIQ(A3318,"IQ_TOTAL_REV",IQ_FY)/I3328, _xll.ciqfunctions.udf.CIQ(A3318, "IQ_TOTAL_REV",IQ_LTM)/I3328))</f>
        <v>9.3720382028277864</v>
      </c>
      <c r="E3328" s="22">
        <f t="shared" si="887"/>
        <v>7.6158340091078691E-2</v>
      </c>
      <c r="F3328" s="21">
        <f>IF(A3326=A3327,_xll.ciqfunctions.udf.CIQ(A3318,"IQ_DILUT_EPS_EXCL",IQ_FY), _xll.ciqfunctions.udf.CIQ(A3318, "IQ_DILUT_EPS_EXCL",IQ_LTM))</f>
        <v>0.67300000000000004</v>
      </c>
      <c r="G3328" s="21">
        <f>IF(A3326=A3327,_xll.ciqfunctions.udf.CIQ(A3318,"IQ_EBITDA_MARGIN",IQ_FY), _xll.ciqfunctions.udf.CIQ(A3318, "IQ_EBITDA_MARGIN",IQ_LTM))</f>
        <v>3.6770999999999998</v>
      </c>
      <c r="H3328" s="21">
        <f>IF(A3326=A3327,_xll.ciqfunctions.udf.CIQ(A3318,"IQ_TOTAL_DIV_PAID_CF",IQ_FY)/-I3328, _xll.ciqfunctions.udf.CIQ(A3318, "IQ_TOTAL_DIV_PAID_CF",IQ_LTM)/-I3328)</f>
        <v>0</v>
      </c>
      <c r="I3328" s="23">
        <f>IF(A3326=A3327,_xll.ciqfunctions.udf.CIQ(A3318,"IQ_TOTAL_OUTSTANDING_FILING_DATE",IQ_FY),_xll.ciqfunctions.udf.CIQ(A3318,"IQ_sharesoutstanding"))</f>
        <v>61.26981</v>
      </c>
      <c r="J3328" s="23">
        <f>IF(A3326=A3327,_xll.ciqfunctions.udf.CIQ(A3318,"IQ_CASH_OPER",IQ_FY), _xll.ciqfunctions.udf.CIQ(A3318, "IQ_CASH_OPER",IQ_LTM))</f>
        <v>110.19799999999999</v>
      </c>
      <c r="K3328" s="23">
        <f>IF(A3326=A3327,_xll.ciqfunctions.udf.CIQ(A3318,"IQ_CAPEX",IQ_FY), _xll.ciqfunctions.udf.CIQ(A3318, "IQ_CAPEX",IQ_LTM))</f>
        <v>-5.1589999999999998</v>
      </c>
      <c r="L3328" s="21">
        <f t="shared" si="884"/>
        <v>1.7143679733950536</v>
      </c>
      <c r="M3328" s="23">
        <f>IF(A3326=A3327,_xll.ciqfunctions.udf.CIQ(A3318,"IQ_TOTAL_DEBT_ISSUED",IQ_FY), _xll.ciqfunctions.udf.CIQ(A3318, "IQ_TOTAL_DEBT_ISSUED",IQ_LTM))</f>
        <v>0</v>
      </c>
      <c r="N3328" s="23">
        <f>IF(A3326=A3327,_xll.ciqfunctions.udf.CIQ(A3318,"IQ_TOTAL_DEBT_REPAID",IQ_FY), _xll.ciqfunctions.udf.CIQ(A3318, "IQ_TOTAL_DEBT_REPAID",IQ_LTM))</f>
        <v>-0.97399999999999998</v>
      </c>
      <c r="O3328" s="21">
        <f t="shared" si="885"/>
        <v>-1.5896899304894206E-2</v>
      </c>
      <c r="P3328" s="21">
        <f t="shared" si="886"/>
        <v>1.6984710740901594</v>
      </c>
      <c r="Q3328" s="25" t="s">
        <v>45</v>
      </c>
      <c r="S3328" s="45"/>
      <c r="U3328" s="25"/>
      <c r="W3328" s="45"/>
      <c r="Y3328" s="25"/>
      <c r="AA3328" s="45"/>
    </row>
    <row r="3329" spans="1:27">
      <c r="B3329" s="24"/>
      <c r="C3329" s="25" t="s">
        <v>37</v>
      </c>
      <c r="E3329" s="26">
        <f>((D3328/D3323)^(1/5))-1</f>
        <v>0.17723661031904769</v>
      </c>
      <c r="F3329" s="27">
        <f>((F3328/F3323)^(1/5))-1</f>
        <v>-2.0479031590314762</v>
      </c>
      <c r="G3329" s="28"/>
      <c r="H3329" s="27" t="e">
        <f>((H3328/H3323)^(1/5))-1</f>
        <v>#DIV/0!</v>
      </c>
      <c r="I3329" s="27">
        <f>((I3328/I3323)^(1/5))-1</f>
        <v>2.1988923614484346E-2</v>
      </c>
      <c r="J3329" s="27"/>
      <c r="K3329" s="27"/>
      <c r="L3329" s="26">
        <f>((L3328/L3323)^(1/5))-1</f>
        <v>0.57066580145213397</v>
      </c>
      <c r="M3329" s="26"/>
      <c r="N3329" s="26"/>
      <c r="O3329" s="26"/>
      <c r="P3329" s="26">
        <f>((P3328/P3323)^(1/5))-1</f>
        <v>0.58222825975520021</v>
      </c>
      <c r="Q3329" s="18"/>
      <c r="R3329" s="36"/>
      <c r="S3329" s="45"/>
      <c r="U3329" s="18"/>
      <c r="V3329" s="36"/>
      <c r="W3329" s="45"/>
      <c r="Y3329" s="18"/>
      <c r="Z3329" s="36"/>
      <c r="AA3329" s="45"/>
    </row>
    <row r="3330" spans="1:27">
      <c r="A3330" s="29"/>
      <c r="B3330" s="30"/>
      <c r="C3330" s="31" t="s">
        <v>38</v>
      </c>
      <c r="D3330" s="29"/>
      <c r="E3330" s="32">
        <f>((D3328/D3318)^(1/10))-1</f>
        <v>0.27939894483472694</v>
      </c>
      <c r="F3330" s="33" t="e">
        <f>((F3328/F3318)^(1/10))-1</f>
        <v>#NUM!</v>
      </c>
      <c r="G3330" s="34"/>
      <c r="H3330" s="33" t="e">
        <f>((H3328/H3318)^(1/10))-1</f>
        <v>#DIV/0!</v>
      </c>
      <c r="I3330" s="33">
        <f>((I3328/I3318)^(1/10))-1</f>
        <v>4.3354472533371879E-2</v>
      </c>
      <c r="J3330" s="33"/>
      <c r="K3330" s="33"/>
      <c r="L3330" s="32" t="e">
        <f>((L3328/L3318)^(1/10))-1</f>
        <v>#NUM!</v>
      </c>
      <c r="M3330" s="32"/>
      <c r="N3330" s="32"/>
      <c r="O3330" s="32"/>
      <c r="P3330" s="32">
        <f>((P3328/P3318)^(1/10))-1</f>
        <v>0.1490884023390926</v>
      </c>
      <c r="Q3330" s="40"/>
      <c r="R3330" s="41"/>
      <c r="S3330" s="46"/>
      <c r="U3330" s="40"/>
      <c r="V3330" s="41"/>
      <c r="W3330" s="46"/>
      <c r="Y3330" s="40"/>
      <c r="Z3330" s="41"/>
      <c r="AA3330" s="46"/>
    </row>
    <row r="3331" spans="1:27">
      <c r="B3331" s="24"/>
      <c r="C3331" s="25"/>
      <c r="E3331" s="26"/>
      <c r="F3331" s="27"/>
      <c r="G3331" s="28"/>
      <c r="H3331" s="27"/>
      <c r="I3331" s="27"/>
      <c r="J3331" s="27"/>
      <c r="K3331" s="27"/>
      <c r="L3331" s="26"/>
      <c r="M3331" s="17"/>
      <c r="N3331" s="17"/>
      <c r="O3331" s="17"/>
      <c r="P3331" s="35"/>
      <c r="Q3331" s="18"/>
      <c r="R3331" s="36"/>
    </row>
    <row r="3332" spans="1:27">
      <c r="A3332" s="9" t="s">
        <v>0</v>
      </c>
      <c r="B3332" s="10"/>
      <c r="C3332" s="9" t="s">
        <v>1</v>
      </c>
      <c r="D3332" s="9" t="s">
        <v>2</v>
      </c>
      <c r="E3332" s="9" t="s">
        <v>3</v>
      </c>
      <c r="F3332" s="11" t="s">
        <v>4</v>
      </c>
      <c r="G3332" s="11" t="s">
        <v>5</v>
      </c>
      <c r="H3332" s="9" t="s">
        <v>6</v>
      </c>
      <c r="I3332" s="11" t="s">
        <v>7</v>
      </c>
      <c r="J3332" s="11" t="s">
        <v>8</v>
      </c>
      <c r="K3332" s="11" t="s">
        <v>9</v>
      </c>
      <c r="L3332" s="11" t="s">
        <v>10</v>
      </c>
      <c r="M3332" s="11" t="s">
        <v>11</v>
      </c>
      <c r="N3332" s="11" t="s">
        <v>12</v>
      </c>
      <c r="O3332" s="11" t="s">
        <v>13</v>
      </c>
      <c r="P3332" s="11" t="s">
        <v>14</v>
      </c>
      <c r="Q3332" s="37" t="s">
        <v>15</v>
      </c>
      <c r="R3332" s="42">
        <f>_xll.ciqfunctions.udf.CIQ(A3333,("IQ_LASTSALEPRICE"))</f>
        <v>55.08</v>
      </c>
      <c r="S3332" s="44"/>
      <c r="U3332" s="37" t="s">
        <v>15</v>
      </c>
      <c r="V3332" s="42">
        <f>_xll.ciqfunctions.udf.CIQ(A3333,("IQ_LASTSALEPRICE"))</f>
        <v>55.08</v>
      </c>
      <c r="W3332" s="44"/>
      <c r="Y3332" s="37" t="s">
        <v>15</v>
      </c>
      <c r="Z3332" s="42">
        <f>_xll.ciqfunctions.udf.CIQ(A3333,("IQ_LASTSALEPRICE"))</f>
        <v>55.08</v>
      </c>
      <c r="AA3332" s="44"/>
    </row>
    <row r="3333" spans="1:27">
      <c r="A3333" s="12" t="str">
        <f>Analysis!B224</f>
        <v>NasdaqCM:SPT</v>
      </c>
      <c r="B3333" s="13">
        <v>1</v>
      </c>
      <c r="C3333" s="14" t="s">
        <v>16</v>
      </c>
      <c r="D3333" s="15" t="e">
        <f>IF(A3341=A3342,_xll.ciqfunctions.udf.CIQ(A3333,"IQ_TOTAL_REV",IQ_FY-10)/I3333,_xll.ciqfunctions.udf.CIQ(A3333, "IQ_TOTAL_REV",IQ_FY-9)/I3333)</f>
        <v>#DIV/0!</v>
      </c>
      <c r="E3333" s="16"/>
      <c r="F3333" s="15">
        <f>IF(A3341=A3342,_xll.ciqfunctions.udf.CIQ(A3333,"IQ_DILUT_EPS_EXCL",IQ_FY-10), _xll.ciqfunctions.udf.CIQ(A3333, "IQ_DILUT_EPS_EXCL",IQ_FY-9))</f>
        <v>0</v>
      </c>
      <c r="G3333" s="15">
        <f>IF(A3341=A3342,_xll.ciqfunctions.udf.CIQ(A3333,"IQ_EBITDA_MARGIN",IQ_FY-10), _xll.ciqfunctions.udf.CIQ(A3333, "IQ_EBITDA_MARGIN",IQ_FY-9))</f>
        <v>0</v>
      </c>
      <c r="H3333" s="15" t="e">
        <f>IF(A3341=A3342,_xll.ciqfunctions.udf.CIQ(A3333,"IQ_TOTAL_DIV_PAID_CF",IQ_FY-10)/-I3333, _xll.ciqfunctions.udf.CIQ(A3333, "IQ_TOTAL_DIV_PAID_CF",IQ_FY-9)/-I3333)</f>
        <v>#DIV/0!</v>
      </c>
      <c r="I3333" s="17">
        <f>IF(A3341=A3342,_xll.ciqfunctions.udf.CIQ(A3333,"IQ_TOTAL_OUTSTANDING_FILING_DATE",IQ_FY-10), _xll.ciqfunctions.udf.CIQ(A3333, "IQ_TOTAL_OUTSTANDING_FILING_DATE",IQ_FY-9))</f>
        <v>0</v>
      </c>
      <c r="J3333" s="17">
        <f>IF(A3341=A3342,_xll.ciqfunctions.udf.CIQ(A3333,"IQ_CASH_OPER",IQ_FY-10), _xll.ciqfunctions.udf.CIQ(A3333, "IQ_CASH_OPER",IQ_FY-9))</f>
        <v>0</v>
      </c>
      <c r="K3333" s="17">
        <f>IF(A3341=A3342,_xll.ciqfunctions.udf.CIQ(A3333,"IQ_CAPEX",IQ_FY-10), _xll.ciqfunctions.udf.CIQ(A3333, "IQ_CAPEX",IQ_FY-9))</f>
        <v>0</v>
      </c>
      <c r="L3333" s="15" t="e">
        <f t="shared" ref="L3333:L3343" si="888">(J3333+K3333)/I3333</f>
        <v>#DIV/0!</v>
      </c>
      <c r="M3333" s="17">
        <f>IF(A3341=A3342,_xll.ciqfunctions.udf.CIQ(A3333,"IQ_TOTAL_DEBT_ISSUED",IQ_FY-10), _xll.ciqfunctions.udf.CIQ(A3333, "IQ_TOTAL_DEBT_ISSUED",IQ_FY-9))</f>
        <v>0</v>
      </c>
      <c r="N3333" s="17">
        <f>IF(A3341=A3342,_xll.ciqfunctions.udf.CIQ(A3333,"IQ_TOTAL_DEBT_REPAID",IQ_FY-10), _xll.ciqfunctions.udf.CIQ(A3333, "IQ_TOTAL_DEBT_REPAID",IQ_FY-9))</f>
        <v>0</v>
      </c>
      <c r="O3333" s="15" t="e">
        <f t="shared" ref="O3333:O3343" si="889">(M3333+N3333)/I3333</f>
        <v>#DIV/0!</v>
      </c>
      <c r="P3333" s="15" t="e">
        <f t="shared" ref="P3333:P3343" si="890">L3333+O3333</f>
        <v>#DIV/0!</v>
      </c>
      <c r="W3333" s="43"/>
      <c r="AA3333" s="43"/>
    </row>
    <row r="3334" spans="1:27">
      <c r="A3334" s="18" t="str">
        <f>_xll.ciqfunctions.udf.CIQ(A3333,"IQ_COMPANY_NAME")</f>
        <v>Sprout Social, Inc.</v>
      </c>
      <c r="B3334" s="13">
        <v>2</v>
      </c>
      <c r="C3334" s="14" t="s">
        <v>17</v>
      </c>
      <c r="D3334" s="15" t="e">
        <f>IF(A3341=A3342,_xll.ciqfunctions.udf.CIQ(A3333,"IQ_TOTAL_REV",IQ_FY-9)/I3334, _xll.ciqfunctions.udf.CIQ(A3333, "IQ_TOTAL_REV",IQ_FY-8)/I3334)</f>
        <v>#DIV/0!</v>
      </c>
      <c r="E3334" s="16" t="e">
        <f t="shared" ref="E3334:E3343" si="891">(D3334-D3333)/D3333</f>
        <v>#DIV/0!</v>
      </c>
      <c r="F3334" s="15">
        <f>IF(A3341=A3342,_xll.ciqfunctions.udf.CIQ(A3333,"IQ_DILUT_EPS_EXCL",IQ_FY-9), _xll.ciqfunctions.udf.CIQ(A3333, "IQ_DILUT_EPS_EXCL",IQ_FY-8))</f>
        <v>0</v>
      </c>
      <c r="G3334" s="15">
        <f>IF(A3341=A3342,_xll.ciqfunctions.udf.CIQ(A3333,"IQ_EBITDA_MARGIN",IQ_FY-9), _xll.ciqfunctions.udf.CIQ(A3333, "IQ_EBITDA_MARGIN",IQ_FY-8))</f>
        <v>0</v>
      </c>
      <c r="H3334" s="15" t="e">
        <f>IF(A3341=A3342,_xll.ciqfunctions.udf.CIQ(A3333,"IQ_TOTAL_DIV_PAID_CF",IQ_FY-9)/-I3334, _xll.ciqfunctions.udf.CIQ(A3333, "IQ_TOTAL_DIV_PAID_CF",IQ_FY-8)/-I3334)</f>
        <v>#DIV/0!</v>
      </c>
      <c r="I3334" s="17">
        <f>IF(A3341=A3342,_xll.ciqfunctions.udf.CIQ(A3333,"IQ_TOTAL_OUTSTANDING_FILING_DATE",IQ_FY-9), _xll.ciqfunctions.udf.CIQ(A3333, "IQ_TOTAL_OUTSTANDING_FILING_DATE",IQ_FY-8))</f>
        <v>0</v>
      </c>
      <c r="J3334" s="17">
        <f>IF(A3341=A3342,_xll.ciqfunctions.udf.CIQ(A3333,"IQ_CASH_OPER",IQ_FY-9), _xll.ciqfunctions.udf.CIQ(A3333, "IQ_CASH_OPER",IQ_FY-8))</f>
        <v>0</v>
      </c>
      <c r="K3334" s="17">
        <f>IF(A3341=A3342,_xll.ciqfunctions.udf.CIQ(A3333,"IQ_CAPEX",IQ_FY-9), _xll.ciqfunctions.udf.CIQ(A3333, "IQ_CAPEX",IQ_FY-8))</f>
        <v>0</v>
      </c>
      <c r="L3334" s="15" t="e">
        <f t="shared" si="888"/>
        <v>#DIV/0!</v>
      </c>
      <c r="M3334" s="17">
        <f>IF(A3341=A3342,_xll.ciqfunctions.udf.CIQ(A3333,"IQ_TOTAL_DEBT_ISSUED",IQ_FY-9), _xll.ciqfunctions.udf.CIQ(A3333, "IQ_TOTAL_DEBT_ISSUED",IQ_FY-8))</f>
        <v>0</v>
      </c>
      <c r="N3334" s="17">
        <f>IF(A3341=A3342,_xll.ciqfunctions.udf.CIQ(A3333,"IQ_TOTAL_DEBT_REPAID",IQ_FY-9), _xll.ciqfunctions.udf.CIQ(A3333, "IQ_TOTAL_DEBT_REPAID",IQ_FY-8))</f>
        <v>0</v>
      </c>
      <c r="O3334" s="15" t="e">
        <f t="shared" si="889"/>
        <v>#DIV/0!</v>
      </c>
      <c r="P3334" s="15" t="e">
        <f t="shared" si="890"/>
        <v>#DIV/0!</v>
      </c>
      <c r="Q3334" s="25" t="s">
        <v>18</v>
      </c>
      <c r="R3334" s="39" t="s">
        <v>19</v>
      </c>
      <c r="S3334" s="1">
        <f>R3332/((AVERAGE(P3338:P3343))*(1+E3344)^3)</f>
        <v>846250.84885209834</v>
      </c>
      <c r="U3334" s="25" t="s">
        <v>48</v>
      </c>
      <c r="V3334" s="39" t="s">
        <v>19</v>
      </c>
      <c r="W3334" s="1">
        <f>V3332/((AVERAGE(P3338:P3343))*(1+E3344)^3)</f>
        <v>846250.84885209834</v>
      </c>
      <c r="Y3334" s="25" t="s">
        <v>39</v>
      </c>
      <c r="Z3334" s="39" t="s">
        <v>19</v>
      </c>
      <c r="AA3334" s="1">
        <f>Z3332/((AVERAGE(P3338:P3343))*(1+E3344)^3)</f>
        <v>846250.84885209834</v>
      </c>
    </row>
    <row r="3335" spans="1:27">
      <c r="B3335" s="13">
        <v>3</v>
      </c>
      <c r="C3335" s="14" t="s">
        <v>20</v>
      </c>
      <c r="D3335" s="15" t="e" cm="1">
        <f t="array" ref="D3335">_xlfn.SINGLE(IF(A3341=A3342,_xll.ciqfunctions.udf.CIQ(A3333,"IQ_TOTAL_REV",IQ_FY-8)/I3335, _xll.ciqfunctions.udf.CIQ(A3333, "IQ_TOTAL_REV",IQ_FY-7)/I3335))</f>
        <v>#DIV/0!</v>
      </c>
      <c r="E3335" s="16" t="e">
        <f t="shared" si="891"/>
        <v>#DIV/0!</v>
      </c>
      <c r="F3335" s="15">
        <f>IF(A3341=A3342,_xll.ciqfunctions.udf.CIQ(A3333,"IQ_DILUT_EPS_EXCL",IQ_FY-8), _xll.ciqfunctions.udf.CIQ(A3333, "IQ_DILUT_EPS_EXCL",IQ_FY-7))</f>
        <v>0</v>
      </c>
      <c r="G3335" s="15">
        <f>IF(A3341=A3342,_xll.ciqfunctions.udf.CIQ(A3333,"IQ_EBITDA_MARGIN",IQ_FY-8), _xll.ciqfunctions.udf.CIQ(A3333, "IQ_EBITDA_MARGIN",IQ_FY-7))</f>
        <v>0</v>
      </c>
      <c r="H3335" s="15" t="e">
        <f>IF(A3341=A3342,_xll.ciqfunctions.udf.CIQ(A3333,"IQ_TOTAL_DIV_PAID_CF",IQ_FY-8)/-I3335, _xll.ciqfunctions.udf.CIQ(A3333, "IQ_TOTAL_DIV_PAID_CF",IQ_FY-7)/-I3335)</f>
        <v>#DIV/0!</v>
      </c>
      <c r="I3335" s="17">
        <f>IF(A3341=A3342,_xll.ciqfunctions.udf.CIQ(A3333,"IQ_TOTAL_OUTSTANDING_FILING_DATE",IQ_FY-8), _xll.ciqfunctions.udf.CIQ(A3333, "IQ_TOTAL_OUTSTANDING_FILING_DATE",IQ_FY-7))</f>
        <v>0</v>
      </c>
      <c r="J3335" s="17">
        <f>IF(A3341=A3342,_xll.ciqfunctions.udf.CIQ(A3333,"IQ_CASH_OPER",IQ_FY-8), _xll.ciqfunctions.udf.CIQ(A3333, "IQ_CASH_OPER",IQ_FY-7))</f>
        <v>0</v>
      </c>
      <c r="K3335" s="17">
        <f>IF(A3341=A3342,_xll.ciqfunctions.udf.CIQ(A3333,"IQ_CAPEX",IQ_FY-8), _xll.ciqfunctions.udf.CIQ(A3333, "IQ_CAPEX",IQ_FY-7))</f>
        <v>0</v>
      </c>
      <c r="L3335" s="15" t="e">
        <f t="shared" si="888"/>
        <v>#DIV/0!</v>
      </c>
      <c r="M3335" s="17">
        <f>IF(A3341=A3342,_xll.ciqfunctions.udf.CIQ(A3333,"IQ_TOTAL_DEBT_ISSUED",IQ_FY-8), _xll.ciqfunctions.udf.CIQ(A3333, "IQ_TOTAL_DEBT_ISSUED",IQ_FY-7))</f>
        <v>0</v>
      </c>
      <c r="N3335" s="17">
        <f>IF(A3341=A3342,_xll.ciqfunctions.udf.CIQ(A3333,"IQ_TOTAL_DEBT_REPAID",IQ_FY-8), _xll.ciqfunctions.udf.CIQ(A3333, "IQ_TOTAL_DEBT_REPAID",IQ_FY-7))</f>
        <v>0</v>
      </c>
      <c r="O3335" s="15" t="e">
        <f t="shared" si="889"/>
        <v>#DIV/0!</v>
      </c>
      <c r="P3335" s="15" t="e">
        <f t="shared" si="890"/>
        <v>#DIV/0!</v>
      </c>
      <c r="Q3335" s="25" t="s">
        <v>21</v>
      </c>
      <c r="R3335" s="38" t="s">
        <v>49</v>
      </c>
      <c r="S3335" s="2">
        <f>(R3332*I3343)/1000</f>
        <v>3.0841506215999996</v>
      </c>
      <c r="U3335" s="25" t="s">
        <v>59</v>
      </c>
      <c r="V3335" s="38" t="s">
        <v>49</v>
      </c>
      <c r="W3335" s="2">
        <f>(V3332*I3343)/1000</f>
        <v>3.0841506215999996</v>
      </c>
      <c r="Y3335" s="25" t="s">
        <v>46</v>
      </c>
      <c r="Z3335" s="38" t="s">
        <v>49</v>
      </c>
      <c r="AA3335" s="2">
        <f>(Z3332*I3343)/1000</f>
        <v>3.0841506215999996</v>
      </c>
    </row>
    <row r="3336" spans="1:27">
      <c r="A3336" s="18"/>
      <c r="B3336" s="13">
        <v>4</v>
      </c>
      <c r="C3336" s="14" t="s">
        <v>22</v>
      </c>
      <c r="D3336" s="15" t="e" cm="1">
        <f t="array" ref="D3336">_xlfn.SINGLE(IF(A3341=A3342,_xll.ciqfunctions.udf.CIQ(A3333,"IQ_TOTAL_REV",IQ_FY-7)/I3336, _xll.ciqfunctions.udf.CIQ(A3333, "IQ_TOTAL_REV",IQ_FY-6)/I3336))</f>
        <v>#DIV/0!</v>
      </c>
      <c r="E3336" s="16" t="e">
        <f t="shared" si="891"/>
        <v>#DIV/0!</v>
      </c>
      <c r="F3336" s="15">
        <f>IF(A3341=A3342,_xll.ciqfunctions.udf.CIQ(A3333,"IQ_DILUT_EPS_EXCL",IQ_FY-7), _xll.ciqfunctions.udf.CIQ(A3333, "IQ_DILUT_EPS_EXCL",IQ_FY-6))</f>
        <v>0</v>
      </c>
      <c r="G3336" s="15">
        <f>IF(A3341=A3342,_xll.ciqfunctions.udf.CIQ(A3333,"IQ_EBITDA_MARGIN",IQ_FY-7), _xll.ciqfunctions.udf.CIQ(A3333, "IQ_EBITDA_MARGIN",IQ_FY-6))</f>
        <v>0</v>
      </c>
      <c r="H3336" s="15" t="e">
        <f>IF(A3341=A3342,_xll.ciqfunctions.udf.CIQ(A3333,"IQ_TOTAL_DIV_PAID_CF",IQ_FY-7)/-I3336, _xll.ciqfunctions.udf.CIQ(A3333, "IQ_TOTAL_DIV_PAID_CF",IQ_FY-6)/-I3336)</f>
        <v>#DIV/0!</v>
      </c>
      <c r="I3336" s="17">
        <f>IF(A3341=A3342,_xll.ciqfunctions.udf.CIQ(A3333,"IQ_TOTAL_OUTSTANDING_FILING_DATE",IQ_FY-7), _xll.ciqfunctions.udf.CIQ(A3333, "IQ_TOTAL_OUTSTANDING_FILING_DATE",IQ_FY-6))</f>
        <v>0</v>
      </c>
      <c r="J3336" s="17">
        <f>IF(A3341=A3342,_xll.ciqfunctions.udf.CIQ(A3333,"IQ_CASH_OPER",IQ_FY-7), _xll.ciqfunctions.udf.CIQ(A3333, "IQ_CASH_OPER",IQ_FY-6))</f>
        <v>0</v>
      </c>
      <c r="K3336" s="17">
        <f>IF(A3341=A3342,_xll.ciqfunctions.udf.CIQ(A3333,"IQ_CAPEX",IQ_FY-7), _xll.ciqfunctions.udf.CIQ(A3333, "IQ_CAPEX",IQ_FY-6))</f>
        <v>0</v>
      </c>
      <c r="L3336" s="15" t="e">
        <f t="shared" si="888"/>
        <v>#DIV/0!</v>
      </c>
      <c r="M3336" s="17">
        <f>IF(A3341=A3342,_xll.ciqfunctions.udf.CIQ(A3333,"IQ_TOTAL_DEBT_ISSUED",IQ_FY-7), _xll.ciqfunctions.udf.CIQ(A3333, "IQ_TOTAL_DEBT_ISSUED",IQ_FY-6))</f>
        <v>0</v>
      </c>
      <c r="N3336" s="17">
        <f>IF(A3341=A3342,_xll.ciqfunctions.udf.CIQ(A3333,"IQ_TOTAL_DEBT_REPAID",IQ_FY-7), _xll.ciqfunctions.udf.CIQ(A3333, "IQ_TOTAL_DEBT_REPAID",IQ_FY-6))</f>
        <v>0</v>
      </c>
      <c r="O3336" s="15" t="e">
        <f t="shared" si="889"/>
        <v>#DIV/0!</v>
      </c>
      <c r="P3336" s="15" t="e">
        <f t="shared" si="890"/>
        <v>#DIV/0!</v>
      </c>
      <c r="Q3336" s="25" t="s">
        <v>23</v>
      </c>
      <c r="R3336" s="38" t="s">
        <v>24</v>
      </c>
      <c r="S3336" s="1" t="e">
        <f>R3332/(AVERAGE(H3338:H3343)*(1+H3344)/(0.5-H3344))</f>
        <v>#DIV/0!</v>
      </c>
      <c r="U3336" s="25" t="s">
        <v>40</v>
      </c>
      <c r="V3336" s="38" t="s">
        <v>24</v>
      </c>
      <c r="W3336" s="1" t="e">
        <f>V3332/(AVERAGE(H3338:H3343)*(1+H3344)/(0.5-H3344))</f>
        <v>#DIV/0!</v>
      </c>
      <c r="Y3336" s="25" t="s">
        <v>47</v>
      </c>
      <c r="Z3336" s="38" t="s">
        <v>24</v>
      </c>
      <c r="AA3336" s="1" t="e">
        <f>Z3332/(AVERAGE(H3338:H3343)*(1+H3344)/(0.5-H3344))</f>
        <v>#DIV/0!</v>
      </c>
    </row>
    <row r="3337" spans="1:27">
      <c r="B3337" s="13">
        <v>5</v>
      </c>
      <c r="C3337" s="14" t="s">
        <v>25</v>
      </c>
      <c r="D3337" s="15" cm="1">
        <f t="array" ref="D3337">_xlfn.SINGLE(IF(A3341=A3342,_xll.ciqfunctions.udf.CIQ(A3333,"IQ_TOTAL_REV",IQ_FY-6)/I3337, _xll.ciqfunctions.udf.CIQ(A3333, "IQ_TOTAL_REV",IQ_FY-5)/I3337))</f>
        <v>2.7153447424466886</v>
      </c>
      <c r="E3337" s="16" t="e">
        <f t="shared" si="891"/>
        <v>#DIV/0!</v>
      </c>
      <c r="F3337" s="15">
        <f>IF(A3341=A3342,_xll.ciqfunctions.udf.CIQ(A3333,"IQ_DILUT_EPS_EXCL",IQ_FY-6), _xll.ciqfunctions.udf.CIQ(A3333, "IQ_DILUT_EPS_EXCL",IQ_FY-5))</f>
        <v>-1.3359099999999999</v>
      </c>
      <c r="G3337" s="15">
        <f>IF(A3341=A3342,_xll.ciqfunctions.udf.CIQ(A3333,"IQ_EBITDA_MARGIN",IQ_FY-6), _xll.ciqfunctions.udf.CIQ(A3333, "IQ_EBITDA_MARGIN",IQ_FY-5))</f>
        <v>-46.076000000000001</v>
      </c>
      <c r="H3337" s="15">
        <f>IF(A3341=A3342,_xll.ciqfunctions.udf.CIQ(A3333,"IQ_TOTAL_DIV_PAID_CF",IQ_FY-6)/-I3337, _xll.ciqfunctions.udf.CIQ(A3333, "IQ_TOTAL_DIV_PAID_CF",IQ_FY-5)/-I3337)</f>
        <v>0</v>
      </c>
      <c r="I3337" s="17">
        <f>IF(A3341=A3342,_xll.ciqfunctions.udf.CIQ(A3333,"IQ_TOTAL_OUTSTANDING_FILING_DATE",IQ_FY-6), _xll.ciqfunctions.udf.CIQ(A3333, "IQ_TOTAL_OUTSTANDING_FILING_DATE",IQ_FY-5))</f>
        <v>16.504349999999999</v>
      </c>
      <c r="J3337" s="17">
        <f>IF(A3341=A3342,_xll.ciqfunctions.udf.CIQ(A3333,"IQ_CASH_OPER",IQ_FY-6), _xll.ciqfunctions.udf.CIQ(A3333, "IQ_CASH_OPER",IQ_FY-5))</f>
        <v>-14.345000000000001</v>
      </c>
      <c r="K3337" s="17">
        <f>IF(A3341=A3342,_xll.ciqfunctions.udf.CIQ(A3333,"IQ_CAPEX",IQ_FY-6), _xll.ciqfunctions.udf.CIQ(A3333, "IQ_CAPEX",IQ_FY-5))</f>
        <v>-0.67300000000000004</v>
      </c>
      <c r="L3337" s="15">
        <f t="shared" si="888"/>
        <v>-0.9099419244017487</v>
      </c>
      <c r="M3337" s="17">
        <f>IF(A3341=A3342,_xll.ciqfunctions.udf.CIQ(A3333,"IQ_TOTAL_DEBT_ISSUED",IQ_FY-6), _xll.ciqfunctions.udf.CIQ(A3333, "IQ_TOTAL_DEBT_ISSUED",IQ_FY-5))</f>
        <v>3</v>
      </c>
      <c r="N3337" s="17">
        <f>IF(A3341=A3342,_xll.ciqfunctions.udf.CIQ(A3333,"IQ_TOTAL_DEBT_REPAID",IQ_FY-6), _xll.ciqfunctions.udf.CIQ(A3333, "IQ_TOTAL_DEBT_REPAID",IQ_FY-5))</f>
        <v>0</v>
      </c>
      <c r="O3337" s="15">
        <f t="shared" si="889"/>
        <v>0.18177026056766854</v>
      </c>
      <c r="P3337" s="15">
        <f t="shared" si="890"/>
        <v>-0.72817166383408016</v>
      </c>
      <c r="Q3337" s="18"/>
      <c r="R3337" s="38" t="s">
        <v>50</v>
      </c>
      <c r="S3337" s="3">
        <f>I3344</f>
        <v>0.27407136520457653</v>
      </c>
      <c r="U3337" s="18"/>
      <c r="V3337" s="38" t="s">
        <v>50</v>
      </c>
      <c r="W3337" s="3">
        <f>I3344</f>
        <v>0.27407136520457653</v>
      </c>
      <c r="Y3337" s="18"/>
      <c r="Z3337" s="38" t="s">
        <v>50</v>
      </c>
      <c r="AA3337" s="3">
        <f>I3344</f>
        <v>0.27407136520457653</v>
      </c>
    </row>
    <row r="3338" spans="1:27">
      <c r="B3338" s="13">
        <v>6</v>
      </c>
      <c r="C3338" s="14" t="s">
        <v>26</v>
      </c>
      <c r="D3338" s="15" cm="1">
        <f t="array" ref="D3338">_xlfn.SINGLE(IF(A3341=A3342,_xll.ciqfunctions.udf.CIQ(A3333,"IQ_TOTAL_REV",IQ_FY-5)/I3338, _xll.ciqfunctions.udf.CIQ(A3333, "IQ_TOTAL_REV",IQ_FY-4)/I3338))</f>
        <v>4.7252521267621592</v>
      </c>
      <c r="E3338" s="16">
        <f t="shared" si="891"/>
        <v>0.74020339034535387</v>
      </c>
      <c r="F3338" s="15">
        <f>IF(A3341=A3342,_xll.ciqfunctions.udf.CIQ(A3333,"IQ_DILUT_EPS_EXCL",IQ_FY-5), _xll.ciqfunctions.udf.CIQ(A3333, "IQ_DILUT_EPS_EXCL",IQ_FY-4))</f>
        <v>-1.2616000000000001</v>
      </c>
      <c r="G3338" s="15">
        <f>IF(A3341=A3342,_xll.ciqfunctions.udf.CIQ(A3333,"IQ_EBITDA_MARGIN",IQ_FY-5), _xll.ciqfunctions.udf.CIQ(A3333, "IQ_EBITDA_MARGIN",IQ_FY-4))</f>
        <v>-21.298500000000001</v>
      </c>
      <c r="H3338" s="15">
        <f>IF(A3341=A3342,_xll.ciqfunctions.udf.CIQ(A3333,"IQ_TOTAL_DIV_PAID_CF",IQ_FY-5)/-I3338, _xll.ciqfunctions.udf.CIQ(A3333, "IQ_TOTAL_DIV_PAID_CF",IQ_FY-4)/-I3338)</f>
        <v>0</v>
      </c>
      <c r="I3338" s="17">
        <f>IF(A3341=A3342,_xll.ciqfunctions.udf.CIQ(A3333,"IQ_TOTAL_OUTSTANDING_FILING_DATE",IQ_FY-5), _xll.ciqfunctions.udf.CIQ(A3333, "IQ_TOTAL_OUTSTANDING_FILING_DATE",IQ_FY-4))</f>
        <v>16.679110000000001</v>
      </c>
      <c r="J3338" s="17">
        <f>IF(A3341=A3342,_xll.ciqfunctions.udf.CIQ(A3333,"IQ_CASH_OPER",IQ_FY-5), _xll.ciqfunctions.udf.CIQ(A3333, "IQ_CASH_OPER",IQ_FY-4))</f>
        <v>-17.238</v>
      </c>
      <c r="K3338" s="17">
        <f>IF(A3341=A3342,_xll.ciqfunctions.udf.CIQ(A3333,"IQ_CAPEX",IQ_FY-5), _xll.ciqfunctions.udf.CIQ(A3333, "IQ_CAPEX",IQ_FY-4))</f>
        <v>-2.097</v>
      </c>
      <c r="L3338" s="15">
        <f t="shared" si="888"/>
        <v>-1.1592345155107195</v>
      </c>
      <c r="M3338" s="17">
        <f>IF(A3341=A3342,_xll.ciqfunctions.udf.CIQ(A3333,"IQ_TOTAL_DEBT_ISSUED",IQ_FY-5), _xll.ciqfunctions.udf.CIQ(A3333, "IQ_TOTAL_DEBT_ISSUED",IQ_FY-4))</f>
        <v>11</v>
      </c>
      <c r="N3338" s="17">
        <f>IF(A3341=A3342,_xll.ciqfunctions.udf.CIQ(A3333,"IQ_TOTAL_DEBT_REPAID",IQ_FY-5), _xll.ciqfunctions.udf.CIQ(A3333, "IQ_TOTAL_DEBT_REPAID",IQ_FY-4))</f>
        <v>-14</v>
      </c>
      <c r="O3338" s="15">
        <f t="shared" si="889"/>
        <v>-0.17986571225922723</v>
      </c>
      <c r="P3338" s="15">
        <f t="shared" si="890"/>
        <v>-1.3391002277699469</v>
      </c>
      <c r="Q3338" s="25" t="s">
        <v>27</v>
      </c>
      <c r="R3338" s="38" t="s">
        <v>51</v>
      </c>
      <c r="S3338" s="4">
        <f>AVERAGE(F3338:F3343)/AVERAGE(D3338:D3343)</f>
        <v>-0.30196322086820726</v>
      </c>
      <c r="U3338" s="25" t="s">
        <v>58</v>
      </c>
      <c r="V3338" s="38" t="s">
        <v>51</v>
      </c>
      <c r="W3338" s="4">
        <f>AVERAGE(F3338:F3343)/AVERAGE(D3338:D3343)</f>
        <v>-0.30196322086820726</v>
      </c>
      <c r="Y3338" s="25" t="s">
        <v>56</v>
      </c>
      <c r="Z3338" s="38" t="s">
        <v>51</v>
      </c>
      <c r="AA3338" s="4">
        <f>AVERAGE(F3338:F3343)/AVERAGE(D3338:D3343)</f>
        <v>-0.30196322086820726</v>
      </c>
    </row>
    <row r="3339" spans="1:27">
      <c r="A3339" s="18"/>
      <c r="B3339" s="13">
        <v>7</v>
      </c>
      <c r="C3339" s="14" t="s">
        <v>28</v>
      </c>
      <c r="D3339" s="15" cm="1">
        <f t="array" ref="D3339">_xlfn.SINGLE(IF(A3341=A3342,_xll.ciqfunctions.udf.CIQ(A3333,"IQ_TOTAL_REV",IQ_FY-4)/I3339, _xll.ciqfunctions.udf.CIQ(A3333, "IQ_TOTAL_REV",IQ_FY-3)/I3339))</f>
        <v>2.1027126625038384</v>
      </c>
      <c r="E3339" s="16">
        <f t="shared" si="891"/>
        <v>-0.55500519208386434</v>
      </c>
      <c r="F3339" s="15">
        <f>IF(A3341=A3342,_xll.ciqfunctions.udf.CIQ(A3333,"IQ_DILUT_EPS_EXCL",IQ_FY-4), _xll.ciqfunctions.udf.CIQ(A3333, "IQ_DILUT_EPS_EXCL",IQ_FY-3))</f>
        <v>-2.5385200000000001</v>
      </c>
      <c r="G3339" s="15">
        <f>IF(A3341=A3342,_xll.ciqfunctions.udf.CIQ(A3333,"IQ_EBITDA_MARGIN",IQ_FY-4), _xll.ciqfunctions.udf.CIQ(A3333, "IQ_EBITDA_MARGIN",IQ_FY-3))</f>
        <v>-41.866599999999998</v>
      </c>
      <c r="H3339" s="15">
        <f>IF(A3341=A3342,_xll.ciqfunctions.udf.CIQ(A3333,"IQ_TOTAL_DIV_PAID_CF",IQ_FY-4)/-I3339, _xll.ciqfunctions.udf.CIQ(A3333, "IQ_TOTAL_DIV_PAID_CF",IQ_FY-3)/-I3339)</f>
        <v>0</v>
      </c>
      <c r="I3339" s="17">
        <f>IF(A3341=A3342,_xll.ciqfunctions.udf.CIQ(A3333,"IQ_TOTAL_OUTSTANDING_FILING_DATE",IQ_FY-4), _xll.ciqfunctions.udf.CIQ(A3333, "IQ_TOTAL_OUTSTANDING_FILING_DATE",IQ_FY-3))</f>
        <v>48.844999999999999</v>
      </c>
      <c r="J3339" s="17">
        <f>IF(A3341=A3342,_xll.ciqfunctions.udf.CIQ(A3333,"IQ_CASH_OPER",IQ_FY-4), _xll.ciqfunctions.udf.CIQ(A3333, "IQ_CASH_OPER",IQ_FY-3))</f>
        <v>-14.414</v>
      </c>
      <c r="K3339" s="17">
        <f>IF(A3341=A3342,_xll.ciqfunctions.udf.CIQ(A3333,"IQ_CAPEX",IQ_FY-4), _xll.ciqfunctions.udf.CIQ(A3333, "IQ_CAPEX",IQ_FY-3))</f>
        <v>-0.76</v>
      </c>
      <c r="L3339" s="15">
        <f t="shared" si="888"/>
        <v>-0.31065615723206058</v>
      </c>
      <c r="M3339" s="17">
        <f>IF(A3341=A3342,_xll.ciqfunctions.udf.CIQ(A3333,"IQ_TOTAL_DEBT_ISSUED",IQ_FY-4), _xll.ciqfunctions.udf.CIQ(A3333, "IQ_TOTAL_DEBT_ISSUED",IQ_FY-3))</f>
        <v>0</v>
      </c>
      <c r="N3339" s="17">
        <f>IF(A3341=A3342,_xll.ciqfunctions.udf.CIQ(A3333,"IQ_TOTAL_DEBT_REPAID",IQ_FY-4), _xll.ciqfunctions.udf.CIQ(A3333, "IQ_TOTAL_DEBT_REPAID",IQ_FY-3))</f>
        <v>0</v>
      </c>
      <c r="O3339" s="15">
        <f t="shared" si="889"/>
        <v>0</v>
      </c>
      <c r="P3339" s="15">
        <f t="shared" si="890"/>
        <v>-0.31065615723206058</v>
      </c>
      <c r="Q3339" s="18"/>
      <c r="R3339" s="38" t="s">
        <v>29</v>
      </c>
      <c r="S3339" s="4">
        <f>(AVERAGE(P3338:P3343)/_xlfn.STDEV.P(P3338:P3343))/(IF(A3341=A3342,(_xlfn.SINGLE(_xll.ciqfunctions.udf.CIQ(A3333,"IQ_total_assets",IQ_FY)) - _xlfn.SINGLE(_xll.ciqfunctions.udf.CIQ(A3333,"iq_gw_intan", IQ_FY)))/I3343, (_xlfn.SINGLE(_xll.ciqfunctions.udf.CIQ(A3333, "IQ_total_assets",IQ_LTM))-_xlfn.SINGLE(_xll.ciqfunctions.udf.CIQ(A3333,"iq_gw_intan",IQ_LTM)))/I3343))</f>
        <v>1.5655360566763728E-5</v>
      </c>
      <c r="U3339" s="18"/>
      <c r="V3339" s="38" t="s">
        <v>29</v>
      </c>
      <c r="W3339" s="4">
        <f>(AVERAGE(P3338:P3343)/_xlfn.STDEV.P(P3338:P3343))/(IF(A3341=A3342,(_xlfn.SINGLE(_xll.ciqfunctions.udf.CIQ(A3333,"IQ_total_assets",IQ_FY)) - _xlfn.SINGLE(_xll.ciqfunctions.udf.CIQ(A3333,"iq_gw_intan", IQ_FY)))/I3343, (_xlfn.SINGLE(_xll.ciqfunctions.udf.CIQ(A3333, "IQ_total_assets",IQ_LTM))-_xlfn.SINGLE(_xll.ciqfunctions.udf.CIQ(A3333,"iq_gw_intan",IQ_LTM)))/I3343))</f>
        <v>1.5655360566763728E-5</v>
      </c>
      <c r="Y3339" s="18"/>
      <c r="Z3339" s="38" t="s">
        <v>29</v>
      </c>
      <c r="AA3339" s="4">
        <f>(AVERAGE(P3338:P3343)/_xlfn.STDEV.P(P3338:P3343))/(IF(A3341=A3342,(_xlfn.SINGLE(_xll.ciqfunctions.udf.CIQ(A3333,"IQ_total_assets",IQ_FY)) - _xlfn.SINGLE(_xll.ciqfunctions.udf.CIQ(A3333,"iq_gw_intan", IQ_FY)))/I3343, (_xlfn.SINGLE(_xll.ciqfunctions.udf.CIQ(A3333, "IQ_total_assets",IQ_LTM))-_xlfn.SINGLE(_xll.ciqfunctions.udf.CIQ(A3333,"iq_gw_intan",IQ_LTM)))/I3343))</f>
        <v>1.5655360566763728E-5</v>
      </c>
    </row>
    <row r="3340" spans="1:27">
      <c r="A3340" s="18"/>
      <c r="B3340" s="13">
        <v>8</v>
      </c>
      <c r="C3340" s="14" t="s">
        <v>30</v>
      </c>
      <c r="D3340" s="15" cm="1">
        <f t="array" ref="D3340">_xlfn.SINGLE(IF(A3341=A3342,_xll.ciqfunctions.udf.CIQ(A3333,"IQ_TOTAL_REV",IQ_FY-3)/I3340, _xll.ciqfunctions.udf.CIQ(A3333, "IQ_TOTAL_REV",IQ_FY-2)/I3340))</f>
        <v>2.4898998638832022</v>
      </c>
      <c r="E3340" s="16">
        <f t="shared" si="891"/>
        <v>0.18413699992575996</v>
      </c>
      <c r="F3340" s="15">
        <f>IF(A3341=A3342,_xll.ciqfunctions.udf.CIQ(A3333,"IQ_DILUT_EPS_EXCL",IQ_FY-3), _xll.ciqfunctions.udf.CIQ(A3333, "IQ_DILUT_EPS_EXCL",IQ_FY-2))</f>
        <v>-0.61623000000000006</v>
      </c>
      <c r="G3340" s="15">
        <f>IF(A3341=A3342,_xll.ciqfunctions.udf.CIQ(A3333,"IQ_EBITDA_MARGIN",IQ_FY-3), _xll.ciqfunctions.udf.CIQ(A3333, "IQ_EBITDA_MARGIN",IQ_FY-2))</f>
        <v>-20.887699999999999</v>
      </c>
      <c r="H3340" s="15">
        <f>IF(A3341=A3342,_xll.ciqfunctions.udf.CIQ(A3333,"IQ_TOTAL_DIV_PAID_CF",IQ_FY-3)/-I3340, _xll.ciqfunctions.udf.CIQ(A3333, "IQ_TOTAL_DIV_PAID_CF",IQ_FY-2)/-I3340)</f>
        <v>0</v>
      </c>
      <c r="I3340" s="17">
        <f>IF(A3341=A3342,_xll.ciqfunctions.udf.CIQ(A3333,"IQ_TOTAL_OUTSTANDING_FILING_DATE",IQ_FY-3), _xll.ciqfunctions.udf.CIQ(A3333, "IQ_TOTAL_OUTSTANDING_FILING_DATE",IQ_FY-2))</f>
        <v>53.395319999999998</v>
      </c>
      <c r="J3340" s="17">
        <f>IF(A3341=A3342,_xll.ciqfunctions.udf.CIQ(A3333,"IQ_CASH_OPER",IQ_FY-3), _xll.ciqfunctions.udf.CIQ(A3333, "IQ_CASH_OPER",IQ_FY-2))</f>
        <v>-11.352</v>
      </c>
      <c r="K3340" s="17">
        <f>IF(A3341=A3342,_xll.ciqfunctions.udf.CIQ(A3333,"IQ_CAPEX",IQ_FY-3), _xll.ciqfunctions.udf.CIQ(A3333, "IQ_CAPEX",IQ_FY-2))</f>
        <v>-4.0149999999999997</v>
      </c>
      <c r="L3340" s="15">
        <f t="shared" si="888"/>
        <v>-0.28779675821776141</v>
      </c>
      <c r="M3340" s="17">
        <f>IF(A3341=A3342,_xll.ciqfunctions.udf.CIQ(A3333,"IQ_TOTAL_DEBT_ISSUED",IQ_FY-3), _xll.ciqfunctions.udf.CIQ(A3333, "IQ_TOTAL_DEBT_ISSUED",IQ_FY-2))</f>
        <v>0</v>
      </c>
      <c r="N3340" s="17">
        <f>IF(A3341=A3342,_xll.ciqfunctions.udf.CIQ(A3333,"IQ_TOTAL_DEBT_REPAID",IQ_FY-3), _xll.ciqfunctions.udf.CIQ(A3333, "IQ_TOTAL_DEBT_REPAID",IQ_FY-2))</f>
        <v>0</v>
      </c>
      <c r="O3340" s="15">
        <f t="shared" si="889"/>
        <v>0</v>
      </c>
      <c r="P3340" s="15">
        <f t="shared" si="890"/>
        <v>-0.28779675821776141</v>
      </c>
      <c r="Q3340" s="18"/>
      <c r="R3340" s="39" t="s">
        <v>31</v>
      </c>
      <c r="S3340" s="5" t="e">
        <f>IF(NOT(D3333&gt;0),FALSE,SLOPE(G3333:G3343,B3333:B3343))</f>
        <v>#DIV/0!</v>
      </c>
      <c r="U3340" s="18"/>
      <c r="V3340" s="39" t="s">
        <v>31</v>
      </c>
      <c r="W3340" s="5" t="e">
        <f>IF(NOT(D3333&gt;0),FALSE,SLOPE(G3333:G3343,B3333:B3343))</f>
        <v>#DIV/0!</v>
      </c>
      <c r="Y3340" s="18"/>
      <c r="Z3340" s="39" t="s">
        <v>31</v>
      </c>
      <c r="AA3340" s="5" t="e">
        <f>IF(NOT(L3333&gt;0),FALSE,SLOPE(O3333:O3343,J3333:J3343))</f>
        <v>#DIV/0!</v>
      </c>
    </row>
    <row r="3341" spans="1:27">
      <c r="A3341" s="19">
        <f>_xll.ciqfunctions.udf.CIQ(A3333,"IQ_TOTAL_REV",IQ_FY)</f>
        <v>253.828</v>
      </c>
      <c r="B3341" s="13">
        <v>9</v>
      </c>
      <c r="C3341" s="14" t="s">
        <v>32</v>
      </c>
      <c r="D3341" s="15" cm="1">
        <f t="array" ref="D3341">_xlfn.SINGLE(IF(A3341=A3342,_xll.ciqfunctions.udf.CIQ(A3333,"IQ_TOTAL_REV",IQ_FY-2)/I3341, _xll.ciqfunctions.udf.CIQ(A3333, "IQ_TOTAL_REV",IQ_FY-1)/I3341))</f>
        <v>3.4650256678131965</v>
      </c>
      <c r="E3341" s="16">
        <f t="shared" si="891"/>
        <v>0.39163253835003875</v>
      </c>
      <c r="F3341" s="15">
        <f>IF(A3341=A3342,_xll.ciqfunctions.udf.CIQ(A3333,"IQ_DILUT_EPS_EXCL",IQ_FY-2), _xll.ciqfunctions.udf.CIQ(A3333, "IQ_DILUT_EPS_EXCL",IQ_FY-1))</f>
        <v>-0.53381000000000001</v>
      </c>
      <c r="G3341" s="15">
        <f>IF(A3341=A3342,_xll.ciqfunctions.udf.CIQ(A3333,"IQ_EBITDA_MARGIN",IQ_FY-2), _xll.ciqfunctions.udf.CIQ(A3333, "IQ_EBITDA_MARGIN",IQ_FY-1))</f>
        <v>-12.8048</v>
      </c>
      <c r="H3341" s="15">
        <f>IF(A3341=A3342,_xll.ciqfunctions.udf.CIQ(A3333,"IQ_TOTAL_DIV_PAID_CF",IQ_FY-2)/-I3341, _xll.ciqfunctions.udf.CIQ(A3333, "IQ_TOTAL_DIV_PAID_CF",IQ_FY-1)/-I3341)</f>
        <v>0</v>
      </c>
      <c r="I3341" s="17">
        <f>IF(A3341=A3342,_xll.ciqfunctions.udf.CIQ(A3333,"IQ_TOTAL_OUTSTANDING_FILING_DATE",IQ_FY-2), _xll.ciqfunctions.udf.CIQ(A3333, "IQ_TOTAL_OUTSTANDING_FILING_DATE",IQ_FY-1))</f>
        <v>54.215760000000003</v>
      </c>
      <c r="J3341" s="17">
        <f>IF(A3341=A3342,_xll.ciqfunctions.udf.CIQ(A3333,"IQ_CASH_OPER",IQ_FY-2), _xll.ciqfunctions.udf.CIQ(A3333, "IQ_CASH_OPER",IQ_FY-1))</f>
        <v>14.817</v>
      </c>
      <c r="K3341" s="17">
        <f>IF(A3341=A3342,_xll.ciqfunctions.udf.CIQ(A3333,"IQ_CAPEX",IQ_FY-2), _xll.ciqfunctions.udf.CIQ(A3333, "IQ_CAPEX",IQ_FY-1))</f>
        <v>-0.92600000000000005</v>
      </c>
      <c r="L3341" s="15">
        <f t="shared" si="888"/>
        <v>0.25621701143726472</v>
      </c>
      <c r="M3341" s="17">
        <f>IF(A3341=A3342,_xll.ciqfunctions.udf.CIQ(A3333,"IQ_TOTAL_DEBT_ISSUED",IQ_FY-2), _xll.ciqfunctions.udf.CIQ(A3333, "IQ_TOTAL_DEBT_ISSUED",IQ_FY-1))</f>
        <v>0</v>
      </c>
      <c r="N3341" s="17">
        <f>IF(A3341=A3342,_xll.ciqfunctions.udf.CIQ(A3333,"IQ_TOTAL_DEBT_REPAID",IQ_FY-2), _xll.ciqfunctions.udf.CIQ(A3333, "IQ_TOTAL_DEBT_REPAID",IQ_FY-1))</f>
        <v>0</v>
      </c>
      <c r="O3341" s="15">
        <f t="shared" si="889"/>
        <v>0</v>
      </c>
      <c r="P3341" s="15">
        <f t="shared" si="890"/>
        <v>0.25621701143726472</v>
      </c>
      <c r="Q3341" s="25" t="s">
        <v>33</v>
      </c>
      <c r="R3341" s="38" t="s">
        <v>52</v>
      </c>
      <c r="S3341" s="4">
        <f>(AVERAGE(O3338:O3343)/AVERAGE(P3338:P3343))</f>
        <v>3263.5406432740569</v>
      </c>
      <c r="U3341" s="25" t="s">
        <v>54</v>
      </c>
      <c r="V3341" s="38" t="s">
        <v>52</v>
      </c>
      <c r="W3341" s="4">
        <f>(AVERAGE(O3338:O3343)/AVERAGE(P3338:P3343))</f>
        <v>3263.5406432740569</v>
      </c>
      <c r="Y3341" s="25" t="s">
        <v>60</v>
      </c>
      <c r="Z3341" s="38" t="s">
        <v>52</v>
      </c>
      <c r="AA3341" s="4">
        <f>(AVERAGE(O3338:O3343)/AVERAGE(P3338:P3343))</f>
        <v>3263.5406432740569</v>
      </c>
    </row>
    <row r="3342" spans="1:27">
      <c r="A3342" s="19">
        <f>_xll.ciqfunctions.udf.CIQ(A3333,"IQ_TOTAL_REV",IQ_LTM)</f>
        <v>309.71899999999999</v>
      </c>
      <c r="B3342" s="13">
        <v>10</v>
      </c>
      <c r="C3342" s="14" t="s">
        <v>34</v>
      </c>
      <c r="D3342" s="15" cm="1">
        <f t="array" ref="D3342">_xlfn.SINGLE(IF(A3341=A3342,_xll.ciqfunctions.udf.CIQ(A3333,"IQ_TOTAL_REV",IQ_FY-1)/I3342, _xll.ciqfunctions.udf.CIQ(A3333, "IQ_TOTAL_REV",IQ_FY)/I3342))</f>
        <v>4.6098395596835724</v>
      </c>
      <c r="E3342" s="16">
        <f t="shared" si="891"/>
        <v>0.3303911721360715</v>
      </c>
      <c r="F3342" s="15">
        <f>IF(A3341=A3342,_xll.ciqfunctions.udf.CIQ(A3333,"IQ_DILUT_EPS_EXCL",IQ_FY-1), _xll.ciqfunctions.udf.CIQ(A3333, "IQ_DILUT_EPS_EXCL",IQ_FY))</f>
        <v>-0.91995000000000005</v>
      </c>
      <c r="G3342" s="15">
        <f>IF(A3341=A3342,_xll.ciqfunctions.udf.CIQ(A3333,"IQ_EBITDA_MARGIN",IQ_FY-1), _xll.ciqfunctions.udf.CIQ(A3333, "IQ_EBITDA_MARGIN",IQ_FY))</f>
        <v>-18.822900000000001</v>
      </c>
      <c r="H3342" s="15">
        <f>IF(A3341=A3342,_xll.ciqfunctions.udf.CIQ(A3333,"IQ_TOTAL_DIV_PAID_CF",IQ_FY-1)/-I3342, _xll.ciqfunctions.udf.CIQ(A3333, "IQ_TOTAL_DIV_PAID_CF",IQ_FY)/-I3342)</f>
        <v>0</v>
      </c>
      <c r="I3342" s="17">
        <f>IF(A3341=A3342,_xll.ciqfunctions.udf.CIQ(A3333,"IQ_TOTAL_OUTSTANDING_FILING_DATE",IQ_FY-1), _xll.ciqfunctions.udf.CIQ(A3333, "IQ_TOTAL_OUTSTANDING_FILING_DATE",IQ_FY))</f>
        <v>55.062220000000003</v>
      </c>
      <c r="J3342" s="17">
        <f>IF(A3341=A3342,_xll.ciqfunctions.udf.CIQ(A3333,"IQ_CASH_OPER",IQ_FY-1), _xll.ciqfunctions.udf.CIQ(A3333, "IQ_CASH_OPER",IQ_FY))</f>
        <v>10.667999999999999</v>
      </c>
      <c r="K3342" s="17">
        <f>IF(A3341=A3342,_xll.ciqfunctions.udf.CIQ(A3333,"IQ_CAPEX",IQ_FY-1), _xll.ciqfunctions.udf.CIQ(A3333, "IQ_CAPEX",IQ_FY))</f>
        <v>-1.8240000000000001</v>
      </c>
      <c r="L3342" s="15">
        <f t="shared" si="888"/>
        <v>0.16061829690121465</v>
      </c>
      <c r="M3342" s="17">
        <f>IF(A3341=A3342,_xll.ciqfunctions.udf.CIQ(A3333,"IQ_TOTAL_DEBT_ISSUED",IQ_FY-1), _xll.ciqfunctions.udf.CIQ(A3333, "IQ_TOTAL_DEBT_ISSUED",IQ_FY))</f>
        <v>0</v>
      </c>
      <c r="N3342" s="17">
        <f>IF(A3341=A3342,_xll.ciqfunctions.udf.CIQ(A3333,"IQ_TOTAL_DEBT_REPAID",IQ_FY-1), _xll.ciqfunctions.udf.CIQ(A3333, "IQ_TOTAL_DEBT_REPAID",IQ_FY))</f>
        <v>0</v>
      </c>
      <c r="O3342" s="15">
        <f t="shared" si="889"/>
        <v>0</v>
      </c>
      <c r="P3342" s="15">
        <f t="shared" si="890"/>
        <v>0.16061829690121465</v>
      </c>
      <c r="Q3342" s="25" t="s">
        <v>44</v>
      </c>
      <c r="R3342" s="38" t="s">
        <v>35</v>
      </c>
      <c r="S3342" s="1" t="str">
        <f>_xll.ciqfunctions.udf.CIQ(A3333,"IQ_TEV_EBITDA")</f>
        <v>NM</v>
      </c>
      <c r="U3342" s="25" t="s">
        <v>55</v>
      </c>
      <c r="V3342" s="38" t="s">
        <v>53</v>
      </c>
      <c r="W3342" s="1">
        <f>V3332/(AVERAGE(D3338:D3343)/_xlfn.STDEV.P(E3338:E3343))</f>
        <v>5.6280349348605236</v>
      </c>
      <c r="Y3342" s="25" t="s">
        <v>57</v>
      </c>
      <c r="Z3342" s="38" t="s">
        <v>53</v>
      </c>
      <c r="AA3342" s="1">
        <f>Z3332/(AVERAGE(D3338:D3343)/_xlfn.STDEV.P(E3338:E3343))</f>
        <v>5.6280349348605236</v>
      </c>
    </row>
    <row r="3343" spans="1:27">
      <c r="B3343" s="13">
        <v>11</v>
      </c>
      <c r="C3343" s="20" t="s">
        <v>36</v>
      </c>
      <c r="D3343" s="21" cm="1">
        <f t="array" ref="D3343">_xlfn.SINGLE(IF(A3341=A3342,_xll.ciqfunctions.udf.CIQ(A3333,"IQ_TOTAL_REV",IQ_FY)/I3343, _xll.ciqfunctions.udf.CIQ(A3333, "IQ_TOTAL_REV",IQ_LTM)/I3343))</f>
        <v>5.5312870910143621</v>
      </c>
      <c r="E3343" s="22">
        <f t="shared" si="891"/>
        <v>0.19988711524572875</v>
      </c>
      <c r="F3343" s="21">
        <f>IF(A3341=A3342,_xll.ciqfunctions.udf.CIQ(A3333,"IQ_DILUT_EPS_EXCL",IQ_FY), _xll.ciqfunctions.udf.CIQ(A3333, "IQ_DILUT_EPS_EXCL",IQ_LTM))</f>
        <v>-1.0521</v>
      </c>
      <c r="G3343" s="21">
        <f>IF(A3341=A3342,_xll.ciqfunctions.udf.CIQ(A3333,"IQ_EBITDA_MARGIN",IQ_FY), _xll.ciqfunctions.udf.CIQ(A3333, "IQ_EBITDA_MARGIN",IQ_LTM))</f>
        <v>-19.041399999999999</v>
      </c>
      <c r="H3343" s="21">
        <f>IF(A3341=A3342,_xll.ciqfunctions.udf.CIQ(A3333,"IQ_TOTAL_DIV_PAID_CF",IQ_FY)/-I3343, _xll.ciqfunctions.udf.CIQ(A3333, "IQ_TOTAL_DIV_PAID_CF",IQ_LTM)/-I3343)</f>
        <v>0</v>
      </c>
      <c r="I3343" s="23">
        <f>IF(A3341=A3342,_xll.ciqfunctions.udf.CIQ(A3333,"IQ_TOTAL_OUTSTANDING_FILING_DATE",IQ_FY),_xll.ciqfunctions.udf.CIQ(A3333,"IQ_sharesoutstanding"))</f>
        <v>55.994019999999999</v>
      </c>
      <c r="J3343" s="23">
        <f>IF(A3341=A3342,_xll.ciqfunctions.udf.CIQ(A3333,"IQ_CASH_OPER",IQ_FY), _xll.ciqfunctions.udf.CIQ(A3333, "IQ_CASH_OPER",IQ_LTM))</f>
        <v>12.012</v>
      </c>
      <c r="K3343" s="23">
        <f>IF(A3341=A3342,_xll.ciqfunctions.udf.CIQ(A3333,"IQ_CAPEX",IQ_FY), _xll.ciqfunctions.udf.CIQ(A3333, "IQ_CAPEX",IQ_LTM))</f>
        <v>-1.841</v>
      </c>
      <c r="L3343" s="21">
        <f t="shared" si="888"/>
        <v>0.1816443970266825</v>
      </c>
      <c r="M3343" s="23">
        <f>IF(A3341=A3342,_xll.ciqfunctions.udf.CIQ(A3333,"IQ_TOTAL_DEBT_ISSUED",IQ_FY), _xll.ciqfunctions.udf.CIQ(A3333, "IQ_TOTAL_DEBT_ISSUED",IQ_LTM))</f>
        <v>75</v>
      </c>
      <c r="N3343" s="23">
        <f>IF(A3341=A3342,_xll.ciqfunctions.udf.CIQ(A3333,"IQ_TOTAL_DEBT_REPAID",IQ_FY), _xll.ciqfunctions.udf.CIQ(A3333, "IQ_TOTAL_DEBT_REPAID",IQ_LTM))</f>
        <v>0</v>
      </c>
      <c r="O3343" s="21">
        <f t="shared" si="889"/>
        <v>1.3394287461411059</v>
      </c>
      <c r="P3343" s="21">
        <f t="shared" si="890"/>
        <v>1.5210731431677884</v>
      </c>
      <c r="Q3343" s="25" t="s">
        <v>45</v>
      </c>
      <c r="S3343" s="45"/>
      <c r="U3343" s="25"/>
      <c r="W3343" s="45"/>
      <c r="Y3343" s="25"/>
      <c r="AA3343" s="45"/>
    </row>
    <row r="3344" spans="1:27">
      <c r="B3344" s="24"/>
      <c r="C3344" s="25" t="s">
        <v>37</v>
      </c>
      <c r="E3344" s="26">
        <f>((D3343/D3338)^(1/5))-1</f>
        <v>3.2001296294253079E-2</v>
      </c>
      <c r="F3344" s="27">
        <f>((F3343/F3338)^(1/5))-1</f>
        <v>-3.5666912853997479E-2</v>
      </c>
      <c r="G3344" s="28"/>
      <c r="H3344" s="27" t="e">
        <f>((H3343/H3338)^(1/5))-1</f>
        <v>#DIV/0!</v>
      </c>
      <c r="I3344" s="27">
        <f>((I3343/I3338)^(1/5))-1</f>
        <v>0.27407136520457653</v>
      </c>
      <c r="J3344" s="27"/>
      <c r="K3344" s="27"/>
      <c r="L3344" s="26">
        <f>((L3343/L3338)^(1/5))-1</f>
        <v>-1.690255920757638</v>
      </c>
      <c r="M3344" s="26"/>
      <c r="N3344" s="26"/>
      <c r="O3344" s="26"/>
      <c r="P3344" s="26">
        <f>((P3343/P3338)^(1/5))-1</f>
        <v>-2.0258111206580218</v>
      </c>
      <c r="Q3344" s="18"/>
      <c r="R3344" s="36"/>
      <c r="S3344" s="45"/>
      <c r="U3344" s="18"/>
      <c r="V3344" s="36"/>
      <c r="W3344" s="45"/>
      <c r="Y3344" s="18"/>
      <c r="Z3344" s="36"/>
      <c r="AA3344" s="45"/>
    </row>
    <row r="3345" spans="1:27">
      <c r="A3345" s="29"/>
      <c r="B3345" s="30"/>
      <c r="C3345" s="31" t="s">
        <v>38</v>
      </c>
      <c r="D3345" s="29"/>
      <c r="E3345" s="32" t="e">
        <f>((D3343/D3333)^(1/10))-1</f>
        <v>#DIV/0!</v>
      </c>
      <c r="F3345" s="33" t="e">
        <f>((F3343/F3333)^(1/10))-1</f>
        <v>#DIV/0!</v>
      </c>
      <c r="G3345" s="34"/>
      <c r="H3345" s="33" t="e">
        <f>((H3343/H3333)^(1/10))-1</f>
        <v>#DIV/0!</v>
      </c>
      <c r="I3345" s="33" t="e">
        <f>((I3343/I3333)^(1/10))-1</f>
        <v>#DIV/0!</v>
      </c>
      <c r="J3345" s="33"/>
      <c r="K3345" s="33"/>
      <c r="L3345" s="32" t="e">
        <f>((L3343/L3333)^(1/10))-1</f>
        <v>#DIV/0!</v>
      </c>
      <c r="M3345" s="32"/>
      <c r="N3345" s="32"/>
      <c r="O3345" s="32"/>
      <c r="P3345" s="32" t="e">
        <f>((P3343/P3333)^(1/10))-1</f>
        <v>#DIV/0!</v>
      </c>
      <c r="Q3345" s="40"/>
      <c r="R3345" s="41"/>
      <c r="S3345" s="46"/>
      <c r="U3345" s="40"/>
      <c r="V3345" s="41"/>
      <c r="W3345" s="46"/>
      <c r="Y3345" s="40"/>
      <c r="Z3345" s="41"/>
      <c r="AA3345" s="46"/>
    </row>
    <row r="3346" spans="1:27">
      <c r="B3346" s="24"/>
      <c r="C3346" s="25"/>
      <c r="E3346" s="26"/>
      <c r="F3346" s="27"/>
      <c r="G3346" s="28"/>
      <c r="H3346" s="27"/>
      <c r="I3346" s="27"/>
      <c r="J3346" s="27"/>
      <c r="K3346" s="27"/>
      <c r="L3346" s="26"/>
      <c r="M3346" s="17"/>
      <c r="N3346" s="17"/>
      <c r="O3346" s="17"/>
      <c r="P3346" s="35"/>
      <c r="Q3346" s="18"/>
      <c r="R3346" s="36"/>
    </row>
    <row r="3347" spans="1:27">
      <c r="A3347" s="9" t="s">
        <v>0</v>
      </c>
      <c r="B3347" s="10"/>
      <c r="C3347" s="9" t="s">
        <v>1</v>
      </c>
      <c r="D3347" s="9" t="s">
        <v>2</v>
      </c>
      <c r="E3347" s="9" t="s">
        <v>3</v>
      </c>
      <c r="F3347" s="11" t="s">
        <v>4</v>
      </c>
      <c r="G3347" s="11" t="s">
        <v>5</v>
      </c>
      <c r="H3347" s="9" t="s">
        <v>6</v>
      </c>
      <c r="I3347" s="11" t="s">
        <v>7</v>
      </c>
      <c r="J3347" s="11" t="s">
        <v>8</v>
      </c>
      <c r="K3347" s="11" t="s">
        <v>9</v>
      </c>
      <c r="L3347" s="11" t="s">
        <v>10</v>
      </c>
      <c r="M3347" s="11" t="s">
        <v>11</v>
      </c>
      <c r="N3347" s="11" t="s">
        <v>12</v>
      </c>
      <c r="O3347" s="11" t="s">
        <v>13</v>
      </c>
      <c r="P3347" s="11" t="s">
        <v>14</v>
      </c>
      <c r="Q3347" s="37" t="s">
        <v>15</v>
      </c>
      <c r="R3347" s="42">
        <f>_xll.ciqfunctions.udf.CIQ(A3348,("IQ_LASTSALEPRICE"))</f>
        <v>11.945</v>
      </c>
      <c r="S3347" s="44"/>
      <c r="U3347" s="37" t="s">
        <v>15</v>
      </c>
      <c r="V3347" s="42">
        <f>_xll.ciqfunctions.udf.CIQ(A3348,("IQ_LASTSALEPRICE"))</f>
        <v>11.945</v>
      </c>
      <c r="W3347" s="44"/>
      <c r="Y3347" s="37" t="s">
        <v>15</v>
      </c>
      <c r="Z3347" s="42">
        <f>_xll.ciqfunctions.udf.CIQ(A3348,("IQ_LASTSALEPRICE"))</f>
        <v>11.945</v>
      </c>
      <c r="AA3347" s="44"/>
    </row>
    <row r="3348" spans="1:27">
      <c r="A3348" s="12" t="str">
        <f>Analysis!B225</f>
        <v>NasdaqCM:RIOT</v>
      </c>
      <c r="B3348" s="13">
        <v>1</v>
      </c>
      <c r="C3348" s="14" t="s">
        <v>16</v>
      </c>
      <c r="D3348" s="15">
        <f>IF(A3356=A3357,_xll.ciqfunctions.udf.CIQ(A3348,"IQ_TOTAL_REV",IQ_FY-10)/I3348,_xll.ciqfunctions.udf.CIQ(A3348, "IQ_TOTAL_REV",IQ_FY-9)/I3348)</f>
        <v>2.0151884903876913E-2</v>
      </c>
      <c r="E3348" s="16"/>
      <c r="F3348" s="15">
        <f>IF(A3356=A3357,_xll.ciqfunctions.udf.CIQ(A3348,"IQ_DILUT_EPS_EXCL",IQ_FY-10), _xll.ciqfunctions.udf.CIQ(A3348, "IQ_DILUT_EPS_EXCL",IQ_FY-9))</f>
        <v>-5.7342500000000003</v>
      </c>
      <c r="G3348" s="15" t="str">
        <f>IF(A3356=A3357,_xll.ciqfunctions.udf.CIQ(A3348,"IQ_EBITDA_MARGIN",IQ_FY-10), _xll.ciqfunctions.udf.CIQ(A3348, "IQ_EBITDA_MARGIN",IQ_FY-9))</f>
        <v>NM</v>
      </c>
      <c r="H3348" s="15">
        <f>IF(A3356=A3357,_xll.ciqfunctions.udf.CIQ(A3348,"IQ_TOTAL_DIV_PAID_CF",IQ_FY-10)/-I3348, _xll.ciqfunctions.udf.CIQ(A3348, "IQ_TOTAL_DIV_PAID_CF",IQ_FY-9)/-I3348)</f>
        <v>0</v>
      </c>
      <c r="I3348" s="17">
        <f>IF(A3356=A3357,_xll.ciqfunctions.udf.CIQ(A3348,"IQ_TOTAL_OUTSTANDING_FILING_DATE",IQ_FY-10), _xll.ciqfunctions.udf.CIQ(A3348, "IQ_TOTAL_OUTSTANDING_FILING_DATE",IQ_FY-9))</f>
        <v>2.7823699999999998</v>
      </c>
      <c r="J3348" s="17">
        <f>IF(A3356=A3357,_xll.ciqfunctions.udf.CIQ(A3348,"IQ_CASH_OPER",IQ_FY-10), _xll.ciqfunctions.udf.CIQ(A3348, "IQ_CASH_OPER",IQ_FY-9))</f>
        <v>-9.7296499999999995</v>
      </c>
      <c r="K3348" s="17">
        <f>IF(A3356=A3357,_xll.ciqfunctions.udf.CIQ(A3348,"IQ_CAPEX",IQ_FY-10), _xll.ciqfunctions.udf.CIQ(A3348, "IQ_CAPEX",IQ_FY-9))</f>
        <v>-2.632E-2</v>
      </c>
      <c r="L3348" s="15">
        <f t="shared" ref="L3348:L3358" si="892">(J3348+K3348)/I3348</f>
        <v>-3.5063524980502234</v>
      </c>
      <c r="M3348" s="17">
        <f>IF(A3356=A3357,_xll.ciqfunctions.udf.CIQ(A3348,"IQ_TOTAL_DEBT_ISSUED",IQ_FY-10), _xll.ciqfunctions.udf.CIQ(A3348, "IQ_TOTAL_DEBT_ISSUED",IQ_FY-9))</f>
        <v>0</v>
      </c>
      <c r="N3348" s="17">
        <f>IF(A3356=A3357,_xll.ciqfunctions.udf.CIQ(A3348,"IQ_TOTAL_DEBT_REPAID",IQ_FY-10), _xll.ciqfunctions.udf.CIQ(A3348, "IQ_TOTAL_DEBT_REPAID",IQ_FY-9))</f>
        <v>-0.92773000000000005</v>
      </c>
      <c r="O3348" s="15">
        <f t="shared" ref="O3348:O3358" si="893">(M3348+N3348)/I3348</f>
        <v>-0.33343157092694364</v>
      </c>
      <c r="P3348" s="15">
        <f t="shared" ref="P3348:P3358" si="894">L3348+O3348</f>
        <v>-3.839784068977167</v>
      </c>
      <c r="W3348" s="43"/>
      <c r="AA3348" s="43"/>
    </row>
    <row r="3349" spans="1:27">
      <c r="A3349" s="18" t="str">
        <f>_xll.ciqfunctions.udf.CIQ(A3348,"IQ_COMPANY_NAME")</f>
        <v>Riot Platforms, Inc.</v>
      </c>
      <c r="B3349" s="13">
        <v>2</v>
      </c>
      <c r="C3349" s="14" t="s">
        <v>17</v>
      </c>
      <c r="D3349" s="15">
        <f>IF(A3356=A3357,_xll.ciqfunctions.udf.CIQ(A3348,"IQ_TOTAL_REV",IQ_FY-9)/I3349, _xll.ciqfunctions.udf.CIQ(A3348, "IQ_TOTAL_REV",IQ_FY-8)/I3349)</f>
        <v>4.3100354953210712E-2</v>
      </c>
      <c r="E3349" s="16">
        <f t="shared" ref="E3349:E3358" si="895">(D3349-D3348)/D3348</f>
        <v>1.1387753631383071</v>
      </c>
      <c r="F3349" s="15">
        <f>IF(A3356=A3357,_xll.ciqfunctions.udf.CIQ(A3348,"IQ_DILUT_EPS_EXCL",IQ_FY-9), _xll.ciqfunctions.udf.CIQ(A3348, "IQ_DILUT_EPS_EXCL",IQ_FY-8))</f>
        <v>-2.9178099999999998</v>
      </c>
      <c r="G3349" s="15" t="str">
        <f>IF(A3356=A3357,_xll.ciqfunctions.udf.CIQ(A3348,"IQ_EBITDA_MARGIN",IQ_FY-9), _xll.ciqfunctions.udf.CIQ(A3348, "IQ_EBITDA_MARGIN",IQ_FY-8))</f>
        <v>NM</v>
      </c>
      <c r="H3349" s="15">
        <f>IF(A3356=A3357,_xll.ciqfunctions.udf.CIQ(A3348,"IQ_TOTAL_DIV_PAID_CF",IQ_FY-9)/-I3349, _xll.ciqfunctions.udf.CIQ(A3348, "IQ_TOTAL_DIV_PAID_CF",IQ_FY-8)/-I3349)</f>
        <v>0</v>
      </c>
      <c r="I3349" s="17">
        <f>IF(A3356=A3357,_xll.ciqfunctions.udf.CIQ(A3348,"IQ_TOTAL_OUTSTANDING_FILING_DATE",IQ_FY-9), _xll.ciqfunctions.udf.CIQ(A3348, "IQ_TOTAL_OUTSTANDING_FILING_DATE",IQ_FY-8))</f>
        <v>3.8737499999999998</v>
      </c>
      <c r="J3349" s="17">
        <f>IF(A3356=A3357,_xll.ciqfunctions.udf.CIQ(A3348,"IQ_CASH_OPER",IQ_FY-9), _xll.ciqfunctions.udf.CIQ(A3348, "IQ_CASH_OPER",IQ_FY-8))</f>
        <v>-9.2035199999999993</v>
      </c>
      <c r="K3349" s="17">
        <f>IF(A3356=A3357,_xll.ciqfunctions.udf.CIQ(A3348,"IQ_CAPEX",IQ_FY-9), _xll.ciqfunctions.udf.CIQ(A3348, "IQ_CAPEX",IQ_FY-8))</f>
        <v>-3.014E-2</v>
      </c>
      <c r="L3349" s="15">
        <f t="shared" si="892"/>
        <v>-2.3836489190061307</v>
      </c>
      <c r="M3349" s="17">
        <f>IF(A3356=A3357,_xll.ciqfunctions.udf.CIQ(A3348,"IQ_TOTAL_DEBT_ISSUED",IQ_FY-9), _xll.ciqfunctions.udf.CIQ(A3348, "IQ_TOTAL_DEBT_ISSUED",IQ_FY-8))</f>
        <v>0</v>
      </c>
      <c r="N3349" s="17">
        <f>IF(A3356=A3357,_xll.ciqfunctions.udf.CIQ(A3348,"IQ_TOTAL_DEBT_REPAID",IQ_FY-9), _xll.ciqfunctions.udf.CIQ(A3348, "IQ_TOTAL_DEBT_REPAID",IQ_FY-8))</f>
        <v>-0.47808</v>
      </c>
      <c r="O3349" s="15">
        <f t="shared" si="893"/>
        <v>-0.12341529525653437</v>
      </c>
      <c r="P3349" s="15">
        <f t="shared" si="894"/>
        <v>-2.5070642142626651</v>
      </c>
      <c r="Q3349" s="25" t="s">
        <v>18</v>
      </c>
      <c r="R3349" s="39" t="s">
        <v>19</v>
      </c>
      <c r="S3349" s="1">
        <f>R3347/((AVERAGE(P3353:P3358))*(1+E3359)^3)</f>
        <v>-3.7322543938545594</v>
      </c>
      <c r="U3349" s="25" t="s">
        <v>48</v>
      </c>
      <c r="V3349" s="39" t="s">
        <v>19</v>
      </c>
      <c r="W3349" s="1">
        <f>V3347/((AVERAGE(P3353:P3358))*(1+E3359)^3)</f>
        <v>-3.7322543938545594</v>
      </c>
      <c r="Y3349" s="25" t="s">
        <v>39</v>
      </c>
      <c r="Z3349" s="39" t="s">
        <v>19</v>
      </c>
      <c r="AA3349" s="1">
        <f>Z3347/((AVERAGE(P3353:P3358))*(1+E3359)^3)</f>
        <v>-3.7322543938545594</v>
      </c>
    </row>
    <row r="3350" spans="1:27">
      <c r="B3350" s="13">
        <v>3</v>
      </c>
      <c r="C3350" s="14" t="s">
        <v>20</v>
      </c>
      <c r="D3350" s="15" cm="1">
        <f t="array" ref="D3350">_xlfn.SINGLE(IF(A3356=A3357,_xll.ciqfunctions.udf.CIQ(A3348,"IQ_TOTAL_REV",IQ_FY-8)/I3350, _xll.ciqfunctions.udf.CIQ(A3348, "IQ_TOTAL_REV",IQ_FY-7)/I3350))</f>
        <v>2.6151933473649455E-2</v>
      </c>
      <c r="E3350" s="16">
        <f t="shared" si="895"/>
        <v>-0.3932315986251223</v>
      </c>
      <c r="F3350" s="15">
        <f>IF(A3356=A3357,_xll.ciqfunctions.udf.CIQ(A3348,"IQ_DILUT_EPS_EXCL",IQ_FY-8), _xll.ciqfunctions.udf.CIQ(A3348, "IQ_DILUT_EPS_EXCL",IQ_FY-7))</f>
        <v>-2.2588699999999999</v>
      </c>
      <c r="G3350" s="15" t="str">
        <f>IF(A3356=A3357,_xll.ciqfunctions.udf.CIQ(A3348,"IQ_EBITDA_MARGIN",IQ_FY-8), _xll.ciqfunctions.udf.CIQ(A3348, "IQ_EBITDA_MARGIN",IQ_FY-7))</f>
        <v>NM</v>
      </c>
      <c r="H3350" s="15">
        <f>IF(A3356=A3357,_xll.ciqfunctions.udf.CIQ(A3348,"IQ_TOTAL_DIV_PAID_CF",IQ_FY-8)/-I3350, _xll.ciqfunctions.udf.CIQ(A3348, "IQ_TOTAL_DIV_PAID_CF",IQ_FY-7)/-I3350)</f>
        <v>0</v>
      </c>
      <c r="I3350" s="17">
        <f>IF(A3356=A3357,_xll.ciqfunctions.udf.CIQ(A3348,"IQ_TOTAL_OUTSTANDING_FILING_DATE",IQ_FY-8), _xll.ciqfunctions.udf.CIQ(A3348, "IQ_TOTAL_OUTSTANDING_FILING_DATE",IQ_FY-7))</f>
        <v>3.87696</v>
      </c>
      <c r="J3350" s="17">
        <f>IF(A3356=A3357,_xll.ciqfunctions.udf.CIQ(A3348,"IQ_CASH_OPER",IQ_FY-8), _xll.ciqfunctions.udf.CIQ(A3348, "IQ_CASH_OPER",IQ_FY-7))</f>
        <v>-6.8687199999999997</v>
      </c>
      <c r="K3350" s="17">
        <f>IF(A3356=A3357,_xll.ciqfunctions.udf.CIQ(A3348,"IQ_CAPEX",IQ_FY-8), _xll.ciqfunctions.udf.CIQ(A3348, "IQ_CAPEX",IQ_FY-7))</f>
        <v>0</v>
      </c>
      <c r="L3350" s="15">
        <f t="shared" si="892"/>
        <v>-1.7716767776814824</v>
      </c>
      <c r="M3350" s="17">
        <f>IF(A3356=A3357,_xll.ciqfunctions.udf.CIQ(A3348,"IQ_TOTAL_DEBT_ISSUED",IQ_FY-8), _xll.ciqfunctions.udf.CIQ(A3348, "IQ_TOTAL_DEBT_ISSUED",IQ_FY-7))</f>
        <v>0</v>
      </c>
      <c r="N3350" s="17">
        <f>IF(A3356=A3357,_xll.ciqfunctions.udf.CIQ(A3348,"IQ_TOTAL_DEBT_REPAID",IQ_FY-8), _xll.ciqfunctions.udf.CIQ(A3348, "IQ_TOTAL_DEBT_REPAID",IQ_FY-7))</f>
        <v>-0.45378000000000002</v>
      </c>
      <c r="O3350" s="15">
        <f t="shared" si="893"/>
        <v>-0.11704531385415377</v>
      </c>
      <c r="P3350" s="15">
        <f t="shared" si="894"/>
        <v>-1.8887220915356362</v>
      </c>
      <c r="Q3350" s="25" t="s">
        <v>21</v>
      </c>
      <c r="R3350" s="38" t="s">
        <v>49</v>
      </c>
      <c r="S3350" s="2">
        <f>(R3347*I3358)/1000</f>
        <v>2.4668266919000001</v>
      </c>
      <c r="U3350" s="25" t="s">
        <v>59</v>
      </c>
      <c r="V3350" s="38" t="s">
        <v>49</v>
      </c>
      <c r="W3350" s="2">
        <f>(V3347*I3358)/1000</f>
        <v>2.4668266919000001</v>
      </c>
      <c r="Y3350" s="25" t="s">
        <v>46</v>
      </c>
      <c r="Z3350" s="38" t="s">
        <v>49</v>
      </c>
      <c r="AA3350" s="2">
        <f>(Z3347*I3358)/1000</f>
        <v>2.4668266919000001</v>
      </c>
    </row>
    <row r="3351" spans="1:27">
      <c r="A3351" s="18"/>
      <c r="B3351" s="13">
        <v>4</v>
      </c>
      <c r="C3351" s="14" t="s">
        <v>22</v>
      </c>
      <c r="D3351" s="15" cm="1">
        <f t="array" ref="D3351">_xlfn.SINGLE(IF(A3356=A3357,_xll.ciqfunctions.udf.CIQ(A3348,"IQ_TOTAL_REV",IQ_FY-7)/I3351, _xll.ciqfunctions.udf.CIQ(A3348, "IQ_TOTAL_REV",IQ_FY-6)/I3351))</f>
        <v>2.1469947623985061E-2</v>
      </c>
      <c r="E3351" s="16">
        <f t="shared" si="895"/>
        <v>-0.17903019883336493</v>
      </c>
      <c r="F3351" s="15">
        <f>IF(A3356=A3357,_xll.ciqfunctions.udf.CIQ(A3348,"IQ_DILUT_EPS_EXCL",IQ_FY-7), _xll.ciqfunctions.udf.CIQ(A3348, "IQ_DILUT_EPS_EXCL",IQ_FY-6))</f>
        <v>-0.77675000000000005</v>
      </c>
      <c r="G3351" s="15" t="str">
        <f>IF(A3356=A3357,_xll.ciqfunctions.udf.CIQ(A3348,"IQ_EBITDA_MARGIN",IQ_FY-7), _xll.ciqfunctions.udf.CIQ(A3348, "IQ_EBITDA_MARGIN",IQ_FY-6))</f>
        <v>NM</v>
      </c>
      <c r="H3351" s="15">
        <f>IF(A3356=A3357,_xll.ciqfunctions.udf.CIQ(A3348,"IQ_TOTAL_DIV_PAID_CF",IQ_FY-7)/-I3351, _xll.ciqfunctions.udf.CIQ(A3348, "IQ_TOTAL_DIV_PAID_CF",IQ_FY-6)/-I3351)</f>
        <v>0</v>
      </c>
      <c r="I3351" s="17">
        <f>IF(A3356=A3357,_xll.ciqfunctions.udf.CIQ(A3348,"IQ_TOTAL_OUTSTANDING_FILING_DATE",IQ_FY-7), _xll.ciqfunctions.udf.CIQ(A3348, "IQ_TOTAL_OUTSTANDING_FILING_DATE",IQ_FY-6))</f>
        <v>4.5039699999999998</v>
      </c>
      <c r="J3351" s="17">
        <f>IF(A3356=A3357,_xll.ciqfunctions.udf.CIQ(A3348,"IQ_CASH_OPER",IQ_FY-7), _xll.ciqfunctions.udf.CIQ(A3348, "IQ_CASH_OPER",IQ_FY-6))</f>
        <v>-5.5197399999999996</v>
      </c>
      <c r="K3351" s="17">
        <f>IF(A3356=A3357,_xll.ciqfunctions.udf.CIQ(A3348,"IQ_CAPEX",IQ_FY-7), _xll.ciqfunctions.udf.CIQ(A3348, "IQ_CAPEX",IQ_FY-6))</f>
        <v>0</v>
      </c>
      <c r="L3351" s="15">
        <f t="shared" si="892"/>
        <v>-1.2255277011170145</v>
      </c>
      <c r="M3351" s="17">
        <f>IF(A3356=A3357,_xll.ciqfunctions.udf.CIQ(A3348,"IQ_TOTAL_DEBT_ISSUED",IQ_FY-7), _xll.ciqfunctions.udf.CIQ(A3348, "IQ_TOTAL_DEBT_ISSUED",IQ_FY-6))</f>
        <v>0</v>
      </c>
      <c r="N3351" s="17">
        <f>IF(A3356=A3357,_xll.ciqfunctions.udf.CIQ(A3348,"IQ_TOTAL_DEBT_REPAID",IQ_FY-7), _xll.ciqfunctions.udf.CIQ(A3348, "IQ_TOTAL_DEBT_REPAID",IQ_FY-6))</f>
        <v>-0.31111</v>
      </c>
      <c r="O3351" s="15">
        <f t="shared" si="893"/>
        <v>-6.9074616393981311E-2</v>
      </c>
      <c r="P3351" s="15">
        <f t="shared" si="894"/>
        <v>-1.2946023175109957</v>
      </c>
      <c r="Q3351" s="25" t="s">
        <v>23</v>
      </c>
      <c r="R3351" s="38" t="s">
        <v>24</v>
      </c>
      <c r="S3351" s="1" t="e">
        <f>R3347/(AVERAGE(H3353:H3358)*(1+H3359)/(0.5-H3359))</f>
        <v>#DIV/0!</v>
      </c>
      <c r="U3351" s="25" t="s">
        <v>40</v>
      </c>
      <c r="V3351" s="38" t="s">
        <v>24</v>
      </c>
      <c r="W3351" s="1" t="e">
        <f>V3347/(AVERAGE(H3353:H3358)*(1+H3359)/(0.5-H3359))</f>
        <v>#DIV/0!</v>
      </c>
      <c r="Y3351" s="25" t="s">
        <v>47</v>
      </c>
      <c r="Z3351" s="38" t="s">
        <v>24</v>
      </c>
      <c r="AA3351" s="1" t="e">
        <f>Z3347/(AVERAGE(H3353:H3358)*(1+H3359)/(0.5-H3359))</f>
        <v>#DIV/0!</v>
      </c>
    </row>
    <row r="3352" spans="1:27">
      <c r="B3352" s="13">
        <v>5</v>
      </c>
      <c r="C3352" s="14" t="s">
        <v>25</v>
      </c>
      <c r="D3352" s="15" cm="1">
        <f t="array" ref="D3352">_xlfn.SINGLE(IF(A3356=A3357,_xll.ciqfunctions.udf.CIQ(A3348,"IQ_TOTAL_REV",IQ_FY-6)/I3352, _xll.ciqfunctions.udf.CIQ(A3348, "IQ_TOTAL_REV",IQ_FY-5)/I3352))</f>
        <v>2.3202327288246286E-2</v>
      </c>
      <c r="E3352" s="16">
        <f t="shared" si="895"/>
        <v>8.0688583624018928E-2</v>
      </c>
      <c r="F3352" s="15">
        <f>IF(A3356=A3357,_xll.ciqfunctions.udf.CIQ(A3348,"IQ_DILUT_EPS_EXCL",IQ_FY-6), _xll.ciqfunctions.udf.CIQ(A3348, "IQ_DILUT_EPS_EXCL",IQ_FY-5))</f>
        <v>-2.7082099999999998</v>
      </c>
      <c r="G3352" s="15" t="str">
        <f>IF(A3356=A3357,_xll.ciqfunctions.udf.CIQ(A3348,"IQ_EBITDA_MARGIN",IQ_FY-6), _xll.ciqfunctions.udf.CIQ(A3348, "IQ_EBITDA_MARGIN",IQ_FY-5))</f>
        <v>NM</v>
      </c>
      <c r="H3352" s="15">
        <f>IF(A3356=A3357,_xll.ciqfunctions.udf.CIQ(A3348,"IQ_TOTAL_DIV_PAID_CF",IQ_FY-6)/-I3352, _xll.ciqfunctions.udf.CIQ(A3348, "IQ_TOTAL_DIV_PAID_CF",IQ_FY-5)/-I3352)</f>
        <v>0</v>
      </c>
      <c r="I3352" s="17">
        <f>IF(A3356=A3357,_xll.ciqfunctions.udf.CIQ(A3348,"IQ_TOTAL_OUTSTANDING_FILING_DATE",IQ_FY-6), _xll.ciqfunctions.udf.CIQ(A3348, "IQ_TOTAL_OUTSTANDING_FILING_DATE",IQ_FY-5))</f>
        <v>11.622109999999999</v>
      </c>
      <c r="J3352" s="17">
        <f>IF(A3356=A3357,_xll.ciqfunctions.udf.CIQ(A3348,"IQ_CASH_OPER",IQ_FY-6), _xll.ciqfunctions.udf.CIQ(A3348, "IQ_CASH_OPER",IQ_FY-5))</f>
        <v>-4.4400500000000003</v>
      </c>
      <c r="K3352" s="17">
        <f>IF(A3356=A3357,_xll.ciqfunctions.udf.CIQ(A3348,"IQ_CAPEX",IQ_FY-6), _xll.ciqfunctions.udf.CIQ(A3348, "IQ_CAPEX",IQ_FY-5))</f>
        <v>0</v>
      </c>
      <c r="L3352" s="15">
        <f t="shared" si="892"/>
        <v>-0.38203475960905553</v>
      </c>
      <c r="M3352" s="17">
        <f>IF(A3356=A3357,_xll.ciqfunctions.udf.CIQ(A3348,"IQ_TOTAL_DEBT_ISSUED",IQ_FY-6), _xll.ciqfunctions.udf.CIQ(A3348, "IQ_TOTAL_DEBT_ISSUED",IQ_FY-5))</f>
        <v>4.75</v>
      </c>
      <c r="N3352" s="17">
        <f>IF(A3356=A3357,_xll.ciqfunctions.udf.CIQ(A3348,"IQ_TOTAL_DEBT_REPAID",IQ_FY-6), _xll.ciqfunctions.udf.CIQ(A3348, "IQ_TOTAL_DEBT_REPAID",IQ_FY-5))</f>
        <v>-0.27267999999999998</v>
      </c>
      <c r="O3352" s="15">
        <f t="shared" si="893"/>
        <v>0.38524157833646389</v>
      </c>
      <c r="P3352" s="15">
        <f t="shared" si="894"/>
        <v>3.2068187274083559E-3</v>
      </c>
      <c r="Q3352" s="18"/>
      <c r="R3352" s="38" t="s">
        <v>50</v>
      </c>
      <c r="S3352" s="3">
        <f>I3359</f>
        <v>0.69494921792284825</v>
      </c>
      <c r="U3352" s="18"/>
      <c r="V3352" s="38" t="s">
        <v>50</v>
      </c>
      <c r="W3352" s="3">
        <f>I3359</f>
        <v>0.69494921792284825</v>
      </c>
      <c r="Y3352" s="18"/>
      <c r="Z3352" s="38" t="s">
        <v>50</v>
      </c>
      <c r="AA3352" s="3">
        <f>I3359</f>
        <v>0.69494921792284825</v>
      </c>
    </row>
    <row r="3353" spans="1:27">
      <c r="B3353" s="13">
        <v>6</v>
      </c>
      <c r="C3353" s="14" t="s">
        <v>26</v>
      </c>
      <c r="D3353" s="15" cm="1">
        <f t="array" ref="D3353">_xlfn.SINGLE(IF(A3356=A3357,_xll.ciqfunctions.udf.CIQ(A3348,"IQ_TOTAL_REV",IQ_FY-5)/I3353, _xll.ciqfunctions.udf.CIQ(A3348, "IQ_TOTAL_REV",IQ_FY-4)/I3353))</f>
        <v>0.53140289687396913</v>
      </c>
      <c r="E3353" s="16">
        <f t="shared" si="895"/>
        <v>21.902999784127879</v>
      </c>
      <c r="F3353" s="15">
        <f>IF(A3356=A3357,_xll.ciqfunctions.udf.CIQ(A3348,"IQ_DILUT_EPS_EXCL",IQ_FY-5), _xll.ciqfunctions.udf.CIQ(A3348, "IQ_DILUT_EPS_EXCL",IQ_FY-4))</f>
        <v>-4.3348800000000001</v>
      </c>
      <c r="G3353" s="15">
        <f>IF(A3356=A3357,_xll.ciqfunctions.udf.CIQ(A3348,"IQ_EBITDA_MARGIN",IQ_FY-5), _xll.ciqfunctions.udf.CIQ(A3348, "IQ_EBITDA_MARGIN",IQ_FY-4))</f>
        <v>-284.69080000000002</v>
      </c>
      <c r="H3353" s="15">
        <f>IF(A3356=A3357,_xll.ciqfunctions.udf.CIQ(A3348,"IQ_TOTAL_DIV_PAID_CF",IQ_FY-5)/-I3353, _xll.ciqfunctions.udf.CIQ(A3348, "IQ_TOTAL_DIV_PAID_CF",IQ_FY-4)/-I3353)</f>
        <v>0</v>
      </c>
      <c r="I3353" s="17">
        <f>IF(A3356=A3357,_xll.ciqfunctions.udf.CIQ(A3348,"IQ_TOTAL_OUTSTANDING_FILING_DATE",IQ_FY-5), _xll.ciqfunctions.udf.CIQ(A3348, "IQ_TOTAL_OUTSTANDING_FILING_DATE",IQ_FY-4))</f>
        <v>14.76281</v>
      </c>
      <c r="J3353" s="17">
        <f>IF(A3356=A3357,_xll.ciqfunctions.udf.CIQ(A3348,"IQ_CASH_OPER",IQ_FY-5), _xll.ciqfunctions.udf.CIQ(A3348, "IQ_CASH_OPER",IQ_FY-4))</f>
        <v>-19.052</v>
      </c>
      <c r="K3353" s="17">
        <f>IF(A3356=A3357,_xll.ciqfunctions.udf.CIQ(A3348,"IQ_CAPEX",IQ_FY-5), _xll.ciqfunctions.udf.CIQ(A3348, "IQ_CAPEX",IQ_FY-4))</f>
        <v>-20.195</v>
      </c>
      <c r="L3353" s="15">
        <f t="shared" si="892"/>
        <v>-2.6585047155656683</v>
      </c>
      <c r="M3353" s="17">
        <f>IF(A3356=A3357,_xll.ciqfunctions.udf.CIQ(A3348,"IQ_TOTAL_DEBT_ISSUED",IQ_FY-5), _xll.ciqfunctions.udf.CIQ(A3348, "IQ_TOTAL_DEBT_ISSUED",IQ_FY-4))</f>
        <v>1.696</v>
      </c>
      <c r="N3353" s="17">
        <f>IF(A3356=A3357,_xll.ciqfunctions.udf.CIQ(A3348,"IQ_TOTAL_DEBT_REPAID",IQ_FY-5), _xll.ciqfunctions.udf.CIQ(A3348, "IQ_TOTAL_DEBT_REPAID",IQ_FY-4))</f>
        <v>-0.13600000000000001</v>
      </c>
      <c r="O3353" s="15">
        <f t="shared" si="893"/>
        <v>0.10567093934013917</v>
      </c>
      <c r="P3353" s="15">
        <f t="shared" si="894"/>
        <v>-2.5528337762255289</v>
      </c>
      <c r="Q3353" s="25" t="s">
        <v>27</v>
      </c>
      <c r="R3353" s="38" t="s">
        <v>51</v>
      </c>
      <c r="S3353" s="4">
        <f>AVERAGE(F3353:F3358)/AVERAGE(D3353:D3358)</f>
        <v>-2.0356290758999878</v>
      </c>
      <c r="U3353" s="25" t="s">
        <v>58</v>
      </c>
      <c r="V3353" s="38" t="s">
        <v>51</v>
      </c>
      <c r="W3353" s="4">
        <f>AVERAGE(F3353:F3358)/AVERAGE(D3353:D3358)</f>
        <v>-2.0356290758999878</v>
      </c>
      <c r="Y3353" s="25" t="s">
        <v>56</v>
      </c>
      <c r="Z3353" s="38" t="s">
        <v>51</v>
      </c>
      <c r="AA3353" s="4">
        <f>AVERAGE(F3353:F3358)/AVERAGE(D3353:D3358)</f>
        <v>-2.0356290758999878</v>
      </c>
    </row>
    <row r="3354" spans="1:27">
      <c r="A3354" s="18"/>
      <c r="B3354" s="13">
        <v>7</v>
      </c>
      <c r="C3354" s="14" t="s">
        <v>28</v>
      </c>
      <c r="D3354" s="15" cm="1">
        <f t="array" ref="D3354">_xlfn.SINGLE(IF(A3356=A3357,_xll.ciqfunctions.udf.CIQ(A3348,"IQ_TOTAL_REV",IQ_FY-4)/I3354, _xll.ciqfunctions.udf.CIQ(A3348, "IQ_TOTAL_REV",IQ_FY-3)/I3354))</f>
        <v>0.22030455969538229</v>
      </c>
      <c r="E3354" s="16">
        <f t="shared" si="895"/>
        <v>-0.58542838025282506</v>
      </c>
      <c r="F3354" s="15">
        <f>IF(A3356=A3357,_xll.ciqfunctions.udf.CIQ(A3348,"IQ_DILUT_EPS_EXCL",IQ_FY-4), _xll.ciqfunctions.udf.CIQ(A3348, "IQ_DILUT_EPS_EXCL",IQ_FY-3))</f>
        <v>-1.0225</v>
      </c>
      <c r="G3354" s="15">
        <f>IF(A3356=A3357,_xll.ciqfunctions.udf.CIQ(A3348,"IQ_EBITDA_MARGIN",IQ_FY-4), _xll.ciqfunctions.udf.CIQ(A3348, "IQ_EBITDA_MARGIN",IQ_FY-3))</f>
        <v>-135.48330000000001</v>
      </c>
      <c r="H3354" s="15">
        <f>IF(A3356=A3357,_xll.ciqfunctions.udf.CIQ(A3348,"IQ_TOTAL_DIV_PAID_CF",IQ_FY-4)/-I3354, _xll.ciqfunctions.udf.CIQ(A3348, "IQ_TOTAL_DIV_PAID_CF",IQ_FY-3)/-I3354)</f>
        <v>0</v>
      </c>
      <c r="I3354" s="17">
        <f>IF(A3356=A3357,_xll.ciqfunctions.udf.CIQ(A3348,"IQ_TOTAL_OUTSTANDING_FILING_DATE",IQ_FY-4), _xll.ciqfunctions.udf.CIQ(A3348, "IQ_TOTAL_OUTSTANDING_FILING_DATE",IQ_FY-3))</f>
        <v>31.034310000000001</v>
      </c>
      <c r="J3354" s="17">
        <f>IF(A3356=A3357,_xll.ciqfunctions.udf.CIQ(A3348,"IQ_CASH_OPER",IQ_FY-4), _xll.ciqfunctions.udf.CIQ(A3348, "IQ_CASH_OPER",IQ_FY-3))</f>
        <v>-15.414999999999999</v>
      </c>
      <c r="K3354" s="17">
        <f>IF(A3356=A3357,_xll.ciqfunctions.udf.CIQ(A3348,"IQ_CAPEX",IQ_FY-4), _xll.ciqfunctions.udf.CIQ(A3348, "IQ_CAPEX",IQ_FY-3))</f>
        <v>-6.407</v>
      </c>
      <c r="L3354" s="15">
        <f t="shared" si="892"/>
        <v>-0.70315724757534481</v>
      </c>
      <c r="M3354" s="17">
        <f>IF(A3356=A3357,_xll.ciqfunctions.udf.CIQ(A3348,"IQ_TOTAL_DEBT_ISSUED",IQ_FY-4), _xll.ciqfunctions.udf.CIQ(A3348, "IQ_TOTAL_DEBT_ISSUED",IQ_FY-3))</f>
        <v>3</v>
      </c>
      <c r="N3354" s="17">
        <f>IF(A3356=A3357,_xll.ciqfunctions.udf.CIQ(A3348,"IQ_TOTAL_DEBT_REPAID",IQ_FY-4), _xll.ciqfunctions.udf.CIQ(A3348, "IQ_TOTAL_DEBT_REPAID",IQ_FY-3))</f>
        <v>-0.95</v>
      </c>
      <c r="O3354" s="15">
        <f t="shared" si="893"/>
        <v>6.605592326686173E-2</v>
      </c>
      <c r="P3354" s="15">
        <f t="shared" si="894"/>
        <v>-0.6371013243084831</v>
      </c>
      <c r="Q3354" s="18"/>
      <c r="R3354" s="38" t="s">
        <v>29</v>
      </c>
      <c r="S3354" s="4">
        <f>(AVERAGE(P3353:P3358)/_xlfn.STDEV.P(P3353:P3358))/(IF(A3356=A3357,(_xlfn.SINGLE(_xll.ciqfunctions.udf.CIQ(A3348,"IQ_total_assets",IQ_FY)) - _xlfn.SINGLE(_xll.ciqfunctions.udf.CIQ(A3348,"iq_gw_intan", IQ_FY)))/I3358, (_xlfn.SINGLE(_xll.ciqfunctions.udf.CIQ(A3348, "IQ_total_assets",IQ_LTM))-_xlfn.SINGLE(_xll.ciqfunctions.udf.CIQ(A3348,"iq_gw_intan",IQ_LTM)))/I3358))</f>
        <v>-0.20888313455945334</v>
      </c>
      <c r="U3354" s="18"/>
      <c r="V3354" s="38" t="s">
        <v>29</v>
      </c>
      <c r="W3354" s="4">
        <f>(AVERAGE(P3353:P3358)/_xlfn.STDEV.P(P3353:P3358))/(IF(A3356=A3357,(_xlfn.SINGLE(_xll.ciqfunctions.udf.CIQ(A3348,"IQ_total_assets",IQ_FY)) - _xlfn.SINGLE(_xll.ciqfunctions.udf.CIQ(A3348,"iq_gw_intan", IQ_FY)))/I3358, (_xlfn.SINGLE(_xll.ciqfunctions.udf.CIQ(A3348, "IQ_total_assets",IQ_LTM))-_xlfn.SINGLE(_xll.ciqfunctions.udf.CIQ(A3348,"iq_gw_intan",IQ_LTM)))/I3358))</f>
        <v>-0.20888313455945334</v>
      </c>
      <c r="Y3354" s="18"/>
      <c r="Z3354" s="38" t="s">
        <v>29</v>
      </c>
      <c r="AA3354" s="4">
        <f>(AVERAGE(P3353:P3358)/_xlfn.STDEV.P(P3353:P3358))/(IF(A3356=A3357,(_xlfn.SINGLE(_xll.ciqfunctions.udf.CIQ(A3348,"IQ_total_assets",IQ_FY)) - _xlfn.SINGLE(_xll.ciqfunctions.udf.CIQ(A3348,"iq_gw_intan", IQ_FY)))/I3358, (_xlfn.SINGLE(_xll.ciqfunctions.udf.CIQ(A3348, "IQ_total_assets",IQ_LTM))-_xlfn.SINGLE(_xll.ciqfunctions.udf.CIQ(A3348,"iq_gw_intan",IQ_LTM)))/I3358))</f>
        <v>-0.20888313455945334</v>
      </c>
    </row>
    <row r="3355" spans="1:27">
      <c r="A3355" s="18"/>
      <c r="B3355" s="13">
        <v>8</v>
      </c>
      <c r="C3355" s="14" t="s">
        <v>30</v>
      </c>
      <c r="D3355" s="15" cm="1">
        <f t="array" ref="D3355">_xlfn.SINGLE(IF(A3356=A3357,_xll.ciqfunctions.udf.CIQ(A3348,"IQ_TOTAL_REV",IQ_FY-3)/I3355, _xll.ciqfunctions.udf.CIQ(A3348, "IQ_TOTAL_REV",IQ_FY-2)/I3355))</f>
        <v>0.14361503325221181</v>
      </c>
      <c r="E3355" s="16">
        <f t="shared" si="895"/>
        <v>-0.3481068505763566</v>
      </c>
      <c r="F3355" s="15">
        <f>IF(A3356=A3357,_xll.ciqfunctions.udf.CIQ(A3348,"IQ_DILUT_EPS_EXCL",IQ_FY-3), _xll.ciqfunctions.udf.CIQ(A3348, "IQ_DILUT_EPS_EXCL",IQ_FY-2))</f>
        <v>-0.34</v>
      </c>
      <c r="G3355" s="15">
        <f>IF(A3356=A3357,_xll.ciqfunctions.udf.CIQ(A3348,"IQ_EBITDA_MARGIN",IQ_FY-3), _xll.ciqfunctions.udf.CIQ(A3348, "IQ_EBITDA_MARGIN",IQ_FY-2))</f>
        <v>-66.352099999999993</v>
      </c>
      <c r="H3355" s="15">
        <f>IF(A3356=A3357,_xll.ciqfunctions.udf.CIQ(A3348,"IQ_TOTAL_DIV_PAID_CF",IQ_FY-3)/-I3355, _xll.ciqfunctions.udf.CIQ(A3348, "IQ_TOTAL_DIV_PAID_CF",IQ_FY-2)/-I3355)</f>
        <v>0</v>
      </c>
      <c r="I3355" s="17">
        <f>IF(A3356=A3357,_xll.ciqfunctions.udf.CIQ(A3348,"IQ_TOTAL_OUTSTANDING_FILING_DATE",IQ_FY-3), _xll.ciqfunctions.udf.CIQ(A3348, "IQ_TOTAL_OUTSTANDING_FILING_DATE",IQ_FY-2))</f>
        <v>84.120720000000006</v>
      </c>
      <c r="J3355" s="17">
        <f>IF(A3356=A3357,_xll.ciqfunctions.udf.CIQ(A3348,"IQ_CASH_OPER",IQ_FY-3), _xll.ciqfunctions.udf.CIQ(A3348, "IQ_CASH_OPER",IQ_FY-2))</f>
        <v>-2.8490000000000002</v>
      </c>
      <c r="K3355" s="17">
        <f>IF(A3356=A3357,_xll.ciqfunctions.udf.CIQ(A3348,"IQ_CAPEX",IQ_FY-3), _xll.ciqfunctions.udf.CIQ(A3348, "IQ_CAPEX",IQ_FY-2))</f>
        <v>-41.231999999999999</v>
      </c>
      <c r="L3355" s="15">
        <f t="shared" si="892"/>
        <v>-0.52402071689353114</v>
      </c>
      <c r="M3355" s="17">
        <f>IF(A3356=A3357,_xll.ciqfunctions.udf.CIQ(A3348,"IQ_TOTAL_DEBT_ISSUED",IQ_FY-3), _xll.ciqfunctions.udf.CIQ(A3348, "IQ_TOTAL_DEBT_ISSUED",IQ_FY-2))</f>
        <v>0</v>
      </c>
      <c r="N3355" s="17">
        <f>IF(A3356=A3357,_xll.ciqfunctions.udf.CIQ(A3348,"IQ_TOTAL_DEBT_REPAID",IQ_FY-3), _xll.ciqfunctions.udf.CIQ(A3348, "IQ_TOTAL_DEBT_REPAID",IQ_FY-2))</f>
        <v>0</v>
      </c>
      <c r="O3355" s="15">
        <f t="shared" si="893"/>
        <v>0</v>
      </c>
      <c r="P3355" s="15">
        <f t="shared" si="894"/>
        <v>-0.52402071689353114</v>
      </c>
      <c r="Q3355" s="18"/>
      <c r="R3355" s="39" t="s">
        <v>31</v>
      </c>
      <c r="S3355" s="5">
        <f>IF(NOT(D3348&gt;0),FALSE,SLOPE(G3348:G3358,B3348:B3358))</f>
        <v>43.316662857142859</v>
      </c>
      <c r="U3355" s="18"/>
      <c r="V3355" s="39" t="s">
        <v>31</v>
      </c>
      <c r="W3355" s="5">
        <f>IF(NOT(D3348&gt;0),FALSE,SLOPE(G3348:G3358,B3348:B3358))</f>
        <v>43.316662857142859</v>
      </c>
      <c r="Y3355" s="18"/>
      <c r="Z3355" s="39" t="s">
        <v>31</v>
      </c>
      <c r="AA3355" s="5" t="b">
        <f>IF(NOT(L3348&gt;0),FALSE,SLOPE(O3348:O3358,J3348:J3358))</f>
        <v>0</v>
      </c>
    </row>
    <row r="3356" spans="1:27">
      <c r="A3356" s="19">
        <f>_xll.ciqfunctions.udf.CIQ(A3348,"IQ_TOTAL_REV",IQ_FY)</f>
        <v>259.17099999999999</v>
      </c>
      <c r="B3356" s="13">
        <v>9</v>
      </c>
      <c r="C3356" s="14" t="s">
        <v>32</v>
      </c>
      <c r="D3356" s="15" cm="1">
        <f t="array" ref="D3356">_xlfn.SINGLE(IF(A3356=A3357,_xll.ciqfunctions.udf.CIQ(A3348,"IQ_TOTAL_REV",IQ_FY-2)/I3356, _xll.ciqfunctions.udf.CIQ(A3348, "IQ_TOTAL_REV",IQ_FY-1)/I3356))</f>
        <v>1.8183351501648792</v>
      </c>
      <c r="E3356" s="16">
        <f t="shared" si="895"/>
        <v>11.661175567682953</v>
      </c>
      <c r="F3356" s="15">
        <f>IF(A3356=A3357,_xll.ciqfunctions.udf.CIQ(A3348,"IQ_DILUT_EPS_EXCL",IQ_FY-2), _xll.ciqfunctions.udf.CIQ(A3348, "IQ_DILUT_EPS_EXCL",IQ_FY-1))</f>
        <v>-0.17</v>
      </c>
      <c r="G3356" s="15">
        <f>IF(A3356=A3357,_xll.ciqfunctions.udf.CIQ(A3348,"IQ_EBITDA_MARGIN",IQ_FY-2), _xll.ciqfunctions.udf.CIQ(A3348, "IQ_EBITDA_MARGIN",IQ_FY-1))</f>
        <v>-0.1181</v>
      </c>
      <c r="H3356" s="15">
        <f>IF(A3356=A3357,_xll.ciqfunctions.udf.CIQ(A3348,"IQ_TOTAL_DIV_PAID_CF",IQ_FY-2)/-I3356, _xll.ciqfunctions.udf.CIQ(A3348, "IQ_TOTAL_DIV_PAID_CF",IQ_FY-1)/-I3356)</f>
        <v>0</v>
      </c>
      <c r="I3356" s="17">
        <f>IF(A3356=A3357,_xll.ciqfunctions.udf.CIQ(A3348,"IQ_TOTAL_OUTSTANDING_FILING_DATE",IQ_FY-2), _xll.ciqfunctions.udf.CIQ(A3348, "IQ_TOTAL_OUTSTANDING_FILING_DATE",IQ_FY-1))</f>
        <v>117.27376</v>
      </c>
      <c r="J3356" s="17">
        <f>IF(A3356=A3357,_xll.ciqfunctions.udf.CIQ(A3348,"IQ_CASH_OPER",IQ_FY-2), _xll.ciqfunctions.udf.CIQ(A3348, "IQ_CASH_OPER",IQ_FY-1))</f>
        <v>-86.081999999999994</v>
      </c>
      <c r="K3356" s="17">
        <f>IF(A3356=A3357,_xll.ciqfunctions.udf.CIQ(A3348,"IQ_CAPEX",IQ_FY-2), _xll.ciqfunctions.udf.CIQ(A3348, "IQ_CAPEX",IQ_FY-1))</f>
        <v>-421.94900000000001</v>
      </c>
      <c r="L3356" s="15">
        <f t="shared" si="892"/>
        <v>-4.3320091382761161</v>
      </c>
      <c r="M3356" s="17">
        <f>IF(A3356=A3357,_xll.ciqfunctions.udf.CIQ(A3348,"IQ_TOTAL_DEBT_ISSUED",IQ_FY-2), _xll.ciqfunctions.udf.CIQ(A3348, "IQ_TOTAL_DEBT_ISSUED",IQ_FY-1))</f>
        <v>0</v>
      </c>
      <c r="N3356" s="17">
        <f>IF(A3356=A3357,_xll.ciqfunctions.udf.CIQ(A3348,"IQ_TOTAL_DEBT_REPAID",IQ_FY-2), _xll.ciqfunctions.udf.CIQ(A3348, "IQ_TOTAL_DEBT_REPAID",IQ_FY-1))</f>
        <v>0</v>
      </c>
      <c r="O3356" s="15">
        <f t="shared" si="893"/>
        <v>0</v>
      </c>
      <c r="P3356" s="15">
        <f t="shared" si="894"/>
        <v>-4.3320091382761161</v>
      </c>
      <c r="Q3356" s="25" t="s">
        <v>33</v>
      </c>
      <c r="R3356" s="38" t="s">
        <v>52</v>
      </c>
      <c r="S3356" s="4">
        <f>(AVERAGE(O3353:O3358)/AVERAGE(P3353:P3358))</f>
        <v>-1.5452698907377365E-2</v>
      </c>
      <c r="U3356" s="25" t="s">
        <v>54</v>
      </c>
      <c r="V3356" s="38" t="s">
        <v>52</v>
      </c>
      <c r="W3356" s="4">
        <f>(AVERAGE(O3353:O3358)/AVERAGE(P3353:P3358))</f>
        <v>-1.5452698907377365E-2</v>
      </c>
      <c r="Y3356" s="25" t="s">
        <v>60</v>
      </c>
      <c r="Z3356" s="38" t="s">
        <v>52</v>
      </c>
      <c r="AA3356" s="4">
        <f>(AVERAGE(O3353:O3358)/AVERAGE(P3353:P3358))</f>
        <v>-1.5452698907377365E-2</v>
      </c>
    </row>
    <row r="3357" spans="1:27">
      <c r="A3357" s="19">
        <f>_xll.ciqfunctions.udf.CIQ(A3348,"IQ_TOTAL_REV",IQ_LTM)</f>
        <v>262.01299999999998</v>
      </c>
      <c r="B3357" s="13">
        <v>10</v>
      </c>
      <c r="C3357" s="14" t="s">
        <v>34</v>
      </c>
      <c r="D3357" s="15" cm="1">
        <f t="array" ref="D3357">_xlfn.SINGLE(IF(A3356=A3357,_xll.ciqfunctions.udf.CIQ(A3348,"IQ_TOTAL_REV",IQ_FY-1)/I3357, _xll.ciqfunctions.udf.CIQ(A3348, "IQ_TOTAL_REV",IQ_FY)/I3357))</f>
        <v>1.5521143576342267</v>
      </c>
      <c r="E3357" s="16">
        <f t="shared" si="895"/>
        <v>-0.14640908883409789</v>
      </c>
      <c r="F3357" s="15">
        <f>IF(A3356=A3357,_xll.ciqfunctions.udf.CIQ(A3348,"IQ_DILUT_EPS_EXCL",IQ_FY-1), _xll.ciqfunctions.udf.CIQ(A3348, "IQ_DILUT_EPS_EXCL",IQ_FY))</f>
        <v>-3.6544400000000001</v>
      </c>
      <c r="G3357" s="15">
        <f>IF(A3356=A3357,_xll.ciqfunctions.udf.CIQ(A3348,"IQ_EBITDA_MARGIN",IQ_FY-1), _xll.ciqfunctions.udf.CIQ(A3348, "IQ_EBITDA_MARGIN",IQ_FY))</f>
        <v>-57.622900000000001</v>
      </c>
      <c r="H3357" s="15">
        <f>IF(A3356=A3357,_xll.ciqfunctions.udf.CIQ(A3348,"IQ_TOTAL_DIV_PAID_CF",IQ_FY-1)/-I3357, _xll.ciqfunctions.udf.CIQ(A3348, "IQ_TOTAL_DIV_PAID_CF",IQ_FY)/-I3357)</f>
        <v>0</v>
      </c>
      <c r="I3357" s="17">
        <f>IF(A3356=A3357,_xll.ciqfunctions.udf.CIQ(A3348,"IQ_TOTAL_OUTSTANDING_FILING_DATE",IQ_FY-1), _xll.ciqfunctions.udf.CIQ(A3348, "IQ_TOTAL_OUTSTANDING_FILING_DATE",IQ_FY))</f>
        <v>166.97932</v>
      </c>
      <c r="J3357" s="17">
        <f>IF(A3356=A3357,_xll.ciqfunctions.udf.CIQ(A3348,"IQ_CASH_OPER",IQ_FY-1), _xll.ciqfunctions.udf.CIQ(A3348, "IQ_CASH_OPER",IQ_FY))</f>
        <v>0.53</v>
      </c>
      <c r="K3357" s="17">
        <f>IF(A3356=A3357,_xll.ciqfunctions.udf.CIQ(A3348,"IQ_CAPEX",IQ_FY-1), _xll.ciqfunctions.udf.CIQ(A3348, "IQ_CAPEX",IQ_FY))</f>
        <v>-343.33499999999998</v>
      </c>
      <c r="L3357" s="15">
        <f t="shared" si="892"/>
        <v>-2.0529787760544238</v>
      </c>
      <c r="M3357" s="17">
        <f>IF(A3356=A3357,_xll.ciqfunctions.udf.CIQ(A3348,"IQ_TOTAL_DEBT_ISSUED",IQ_FY-1), _xll.ciqfunctions.udf.CIQ(A3348, "IQ_TOTAL_DEBT_ISSUED",IQ_FY))</f>
        <v>0</v>
      </c>
      <c r="N3357" s="17">
        <f>IF(A3356=A3357,_xll.ciqfunctions.udf.CIQ(A3348,"IQ_TOTAL_DEBT_REPAID",IQ_FY-1), _xll.ciqfunctions.udf.CIQ(A3348, "IQ_TOTAL_DEBT_REPAID",IQ_FY))</f>
        <v>0</v>
      </c>
      <c r="O3357" s="15">
        <f t="shared" si="893"/>
        <v>0</v>
      </c>
      <c r="P3357" s="15">
        <f t="shared" si="894"/>
        <v>-2.0529787760544238</v>
      </c>
      <c r="Q3357" s="25" t="s">
        <v>44</v>
      </c>
      <c r="R3357" s="38" t="s">
        <v>35</v>
      </c>
      <c r="S3357" s="1" t="str">
        <f>_xll.ciqfunctions.udf.CIQ(A3348,"IQ_TEV_EBITDA")</f>
        <v>NM</v>
      </c>
      <c r="U3357" s="25" t="s">
        <v>55</v>
      </c>
      <c r="V3357" s="38" t="s">
        <v>53</v>
      </c>
      <c r="W3357" s="1">
        <f>V3347/(AVERAGE(D3353:D3358)/_xlfn.STDEV.P(E3353:E3358))</f>
        <v>111.18926296014111</v>
      </c>
      <c r="Y3357" s="25" t="s">
        <v>57</v>
      </c>
      <c r="Z3357" s="38" t="s">
        <v>53</v>
      </c>
      <c r="AA3357" s="1">
        <f>Z3347/(AVERAGE(D3353:D3358)/_xlfn.STDEV.P(E3353:E3358))</f>
        <v>111.18926296014111</v>
      </c>
    </row>
    <row r="3358" spans="1:27">
      <c r="B3358" s="13">
        <v>11</v>
      </c>
      <c r="C3358" s="20" t="s">
        <v>36</v>
      </c>
      <c r="D3358" s="21" cm="1">
        <f t="array" ref="D3358">_xlfn.SINGLE(IF(A3356=A3357,_xll.ciqfunctions.udf.CIQ(A3348,"IQ_TOTAL_REV",IQ_FY)/I3358, _xll.ciqfunctions.udf.CIQ(A3348, "IQ_TOTAL_REV",IQ_LTM)/I3358))</f>
        <v>1.2687333468851865</v>
      </c>
      <c r="E3358" s="22">
        <f t="shared" si="895"/>
        <v>-0.18257740440013515</v>
      </c>
      <c r="F3358" s="21">
        <f>IF(A3356=A3357,_xll.ciqfunctions.udf.CIQ(A3348,"IQ_DILUT_EPS_EXCL",IQ_FY), _xll.ciqfunctions.udf.CIQ(A3348, "IQ_DILUT_EPS_EXCL",IQ_LTM))</f>
        <v>-1.74438</v>
      </c>
      <c r="G3358" s="21">
        <f>IF(A3356=A3357,_xll.ciqfunctions.udf.CIQ(A3348,"IQ_EBITDA_MARGIN",IQ_FY), _xll.ciqfunctions.udf.CIQ(A3348, "IQ_EBITDA_MARGIN",IQ_LTM))</f>
        <v>-41.437199999999997</v>
      </c>
      <c r="H3358" s="21">
        <f>IF(A3356=A3357,_xll.ciqfunctions.udf.CIQ(A3348,"IQ_TOTAL_DIV_PAID_CF",IQ_FY)/-I3358, _xll.ciqfunctions.udf.CIQ(A3348, "IQ_TOTAL_DIV_PAID_CF",IQ_LTM)/-I3358)</f>
        <v>0</v>
      </c>
      <c r="I3358" s="23">
        <f>IF(A3356=A3357,_xll.ciqfunctions.udf.CIQ(A3348,"IQ_TOTAL_OUTSTANDING_FILING_DATE",IQ_FY),_xll.ciqfunctions.udf.CIQ(A3348,"IQ_sharesoutstanding"))</f>
        <v>206.51542000000001</v>
      </c>
      <c r="J3358" s="23">
        <f>IF(A3356=A3357,_xll.ciqfunctions.udf.CIQ(A3348,"IQ_CASH_OPER",IQ_FY), _xll.ciqfunctions.udf.CIQ(A3348, "IQ_CASH_OPER",IQ_LTM))</f>
        <v>-10.456</v>
      </c>
      <c r="K3358" s="23">
        <f>IF(A3356=A3357,_xll.ciqfunctions.udf.CIQ(A3348,"IQ_CAPEX",IQ_FY), _xll.ciqfunctions.udf.CIQ(A3348, "IQ_CAPEX",IQ_LTM))</f>
        <v>-257.46100000000001</v>
      </c>
      <c r="L3358" s="21">
        <f t="shared" si="892"/>
        <v>-1.2973220111118096</v>
      </c>
      <c r="M3358" s="23">
        <f>IF(A3356=A3357,_xll.ciqfunctions.udf.CIQ(A3348,"IQ_TOTAL_DEBT_ISSUED",IQ_FY), _xll.ciqfunctions.udf.CIQ(A3348, "IQ_TOTAL_DEBT_ISSUED",IQ_LTM))</f>
        <v>4.42</v>
      </c>
      <c r="N3358" s="23">
        <f>IF(A3356=A3357,_xll.ciqfunctions.udf.CIQ(A3348,"IQ_TOTAL_DEBT_REPAID",IQ_FY), _xll.ciqfunctions.udf.CIQ(A3348, "IQ_TOTAL_DEBT_REPAID",IQ_LTM))</f>
        <v>-3.53</v>
      </c>
      <c r="O3358" s="21">
        <f t="shared" si="893"/>
        <v>4.3096055490674749E-3</v>
      </c>
      <c r="P3358" s="21">
        <f t="shared" si="894"/>
        <v>-1.2930124055627421</v>
      </c>
      <c r="Q3358" s="25" t="s">
        <v>45</v>
      </c>
      <c r="S3358" s="45"/>
      <c r="U3358" s="25"/>
      <c r="W3358" s="45"/>
      <c r="Y3358" s="25"/>
      <c r="AA3358" s="45"/>
    </row>
    <row r="3359" spans="1:27">
      <c r="B3359" s="24"/>
      <c r="C3359" s="25" t="s">
        <v>37</v>
      </c>
      <c r="E3359" s="26">
        <f>((D3358/D3353)^(1/5))-1</f>
        <v>0.19011598228250937</v>
      </c>
      <c r="F3359" s="27">
        <f>((F3358/F3353)^(1/5))-1</f>
        <v>-0.16644779668895837</v>
      </c>
      <c r="G3359" s="28"/>
      <c r="H3359" s="27" t="e">
        <f>((H3358/H3353)^(1/5))-1</f>
        <v>#DIV/0!</v>
      </c>
      <c r="I3359" s="27">
        <f>((I3358/I3353)^(1/5))-1</f>
        <v>0.69494921792284825</v>
      </c>
      <c r="J3359" s="27"/>
      <c r="K3359" s="27"/>
      <c r="L3359" s="26">
        <f>((L3358/L3353)^(1/5))-1</f>
        <v>-0.13367256020346874</v>
      </c>
      <c r="M3359" s="26"/>
      <c r="N3359" s="26"/>
      <c r="O3359" s="26"/>
      <c r="P3359" s="26">
        <f>((P3358/P3353)^(1/5))-1</f>
        <v>-0.12719740088186449</v>
      </c>
      <c r="Q3359" s="18"/>
      <c r="R3359" s="36"/>
      <c r="S3359" s="45"/>
      <c r="U3359" s="18"/>
      <c r="V3359" s="36"/>
      <c r="W3359" s="45"/>
      <c r="Y3359" s="18"/>
      <c r="Z3359" s="36"/>
      <c r="AA3359" s="45"/>
    </row>
    <row r="3360" spans="1:27">
      <c r="A3360" s="29"/>
      <c r="B3360" s="30"/>
      <c r="C3360" s="31" t="s">
        <v>38</v>
      </c>
      <c r="D3360" s="29"/>
      <c r="E3360" s="32">
        <f>((D3358/D3348)^(1/10))-1</f>
        <v>0.51323183075317336</v>
      </c>
      <c r="F3360" s="33">
        <f>((F3358/F3348)^(1/10))-1</f>
        <v>-0.11219732848234787</v>
      </c>
      <c r="G3360" s="34"/>
      <c r="H3360" s="33" t="e">
        <f>((H3358/H3348)^(1/10))-1</f>
        <v>#DIV/0!</v>
      </c>
      <c r="I3360" s="33">
        <f>((I3358/I3348)^(1/10))-1</f>
        <v>0.53834505661152687</v>
      </c>
      <c r="J3360" s="33"/>
      <c r="K3360" s="33"/>
      <c r="L3360" s="32">
        <f>((L3358/L3348)^(1/10))-1</f>
        <v>-9.4644339494006413E-2</v>
      </c>
      <c r="M3360" s="32"/>
      <c r="N3360" s="32"/>
      <c r="O3360" s="32"/>
      <c r="P3360" s="32">
        <f>((P3358/P3348)^(1/10))-1</f>
        <v>-0.10312981068947613</v>
      </c>
      <c r="Q3360" s="40"/>
      <c r="R3360" s="41"/>
      <c r="S3360" s="46"/>
      <c r="U3360" s="40"/>
      <c r="V3360" s="41"/>
      <c r="W3360" s="46"/>
      <c r="Y3360" s="40"/>
      <c r="Z3360" s="41"/>
      <c r="AA3360" s="46"/>
    </row>
    <row r="3361" spans="1:27">
      <c r="B3361" s="24"/>
      <c r="C3361" s="25"/>
      <c r="E3361" s="26"/>
      <c r="F3361" s="27"/>
      <c r="G3361" s="28"/>
      <c r="H3361" s="27"/>
      <c r="I3361" s="27"/>
      <c r="J3361" s="27"/>
      <c r="K3361" s="27"/>
      <c r="L3361" s="26"/>
      <c r="M3361" s="17"/>
      <c r="N3361" s="17"/>
      <c r="O3361" s="17"/>
      <c r="P3361" s="35"/>
      <c r="Q3361" s="18"/>
      <c r="R3361" s="36"/>
    </row>
    <row r="3362" spans="1:27">
      <c r="A3362" s="9" t="s">
        <v>0</v>
      </c>
      <c r="B3362" s="10"/>
      <c r="C3362" s="9" t="s">
        <v>1</v>
      </c>
      <c r="D3362" s="9" t="s">
        <v>2</v>
      </c>
      <c r="E3362" s="9" t="s">
        <v>3</v>
      </c>
      <c r="F3362" s="11" t="s">
        <v>4</v>
      </c>
      <c r="G3362" s="11" t="s">
        <v>5</v>
      </c>
      <c r="H3362" s="9" t="s">
        <v>6</v>
      </c>
      <c r="I3362" s="11" t="s">
        <v>7</v>
      </c>
      <c r="J3362" s="11" t="s">
        <v>8</v>
      </c>
      <c r="K3362" s="11" t="s">
        <v>9</v>
      </c>
      <c r="L3362" s="11" t="s">
        <v>10</v>
      </c>
      <c r="M3362" s="11" t="s">
        <v>11</v>
      </c>
      <c r="N3362" s="11" t="s">
        <v>12</v>
      </c>
      <c r="O3362" s="11" t="s">
        <v>13</v>
      </c>
      <c r="P3362" s="11" t="s">
        <v>14</v>
      </c>
      <c r="Q3362" s="37" t="s">
        <v>15</v>
      </c>
      <c r="R3362" s="42">
        <f>_xll.ciqfunctions.udf.CIQ(A3363,("IQ_LASTSALEPRICE"))</f>
        <v>11.46</v>
      </c>
      <c r="S3362" s="44"/>
      <c r="U3362" s="37" t="s">
        <v>15</v>
      </c>
      <c r="V3362" s="42">
        <f>_xll.ciqfunctions.udf.CIQ(A3363,("IQ_LASTSALEPRICE"))</f>
        <v>11.46</v>
      </c>
      <c r="W3362" s="44"/>
      <c r="Y3362" s="37" t="s">
        <v>15</v>
      </c>
      <c r="Z3362" s="42">
        <f>_xll.ciqfunctions.udf.CIQ(A3363,("IQ_LASTSALEPRICE"))</f>
        <v>11.46</v>
      </c>
      <c r="AA3362" s="44"/>
    </row>
    <row r="3363" spans="1:27">
      <c r="A3363" s="12" t="str">
        <f>Analysis!B226</f>
        <v>NasdaqCM:MARA</v>
      </c>
      <c r="B3363" s="13">
        <v>1</v>
      </c>
      <c r="C3363" s="14" t="s">
        <v>16</v>
      </c>
      <c r="D3363" s="15">
        <f>IF(A3371=A3372,_xll.ciqfunctions.udf.CIQ(A3363,"IQ_TOTAL_REV",IQ_FY-10)/I3363,_xll.ciqfunctions.udf.CIQ(A3363, "IQ_TOTAL_REV",IQ_FY-9)/I3363)</f>
        <v>4.9815942873797727</v>
      </c>
      <c r="E3363" s="16"/>
      <c r="F3363" s="15">
        <f>IF(A3371=A3372,_xll.ciqfunctions.udf.CIQ(A3363,"IQ_DILUT_EPS_EXCL",IQ_FY-10), _xll.ciqfunctions.udf.CIQ(A3363, "IQ_DILUT_EPS_EXCL",IQ_FY-9))</f>
        <v>-6.45289</v>
      </c>
      <c r="G3363" s="15">
        <f>IF(A3371=A3372,_xll.ciqfunctions.udf.CIQ(A3363,"IQ_EBITDA_MARGIN",IQ_FY-10), _xll.ciqfunctions.udf.CIQ(A3363, "IQ_EBITDA_MARGIN",IQ_FY-9))</f>
        <v>-77.042100000000005</v>
      </c>
      <c r="H3363" s="15">
        <f>IF(A3371=A3372,_xll.ciqfunctions.udf.CIQ(A3363,"IQ_TOTAL_DIV_PAID_CF",IQ_FY-10)/-I3363, _xll.ciqfunctions.udf.CIQ(A3363, "IQ_TOTAL_DIV_PAID_CF",IQ_FY-9)/-I3363)</f>
        <v>0</v>
      </c>
      <c r="I3363" s="17">
        <f>IF(A3371=A3372,_xll.ciqfunctions.udf.CIQ(A3363,"IQ_TOTAL_OUTSTANDING_FILING_DATE",IQ_FY-10), _xll.ciqfunctions.udf.CIQ(A3363, "IQ_TOTAL_OUTSTANDING_FILING_DATE",IQ_FY-9))</f>
        <v>0.68620000000000003</v>
      </c>
      <c r="J3363" s="17">
        <f>IF(A3371=A3372,_xll.ciqfunctions.udf.CIQ(A3363,"IQ_CASH_OPER",IQ_FY-10), _xll.ciqfunctions.udf.CIQ(A3363, "IQ_CASH_OPER",IQ_FY-9))</f>
        <v>-1.5194700000000001</v>
      </c>
      <c r="K3363" s="17">
        <f>IF(A3371=A3372,_xll.ciqfunctions.udf.CIQ(A3363,"IQ_CAPEX",IQ_FY-10), _xll.ciqfunctions.udf.CIQ(A3363, "IQ_CAPEX",IQ_FY-9))</f>
        <v>-1.7000000000000001E-2</v>
      </c>
      <c r="L3363" s="15">
        <f t="shared" ref="L3363:L3373" si="896">(J3363+K3363)/I3363</f>
        <v>-2.239099387933547</v>
      </c>
      <c r="M3363" s="17">
        <f>IF(A3371=A3372,_xll.ciqfunctions.udf.CIQ(A3363,"IQ_TOTAL_DEBT_ISSUED",IQ_FY-10), _xll.ciqfunctions.udf.CIQ(A3363, "IQ_TOTAL_DEBT_ISSUED",IQ_FY-9))</f>
        <v>0.5</v>
      </c>
      <c r="N3363" s="17">
        <f>IF(A3371=A3372,_xll.ciqfunctions.udf.CIQ(A3363,"IQ_TOTAL_DEBT_REPAID",IQ_FY-10), _xll.ciqfunctions.udf.CIQ(A3363, "IQ_TOTAL_DEBT_REPAID",IQ_FY-9))</f>
        <v>-0.5</v>
      </c>
      <c r="O3363" s="15">
        <f t="shared" ref="O3363:O3373" si="897">(M3363+N3363)/I3363</f>
        <v>0</v>
      </c>
      <c r="P3363" s="15">
        <f t="shared" ref="P3363:P3373" si="898">L3363+O3363</f>
        <v>-2.239099387933547</v>
      </c>
      <c r="W3363" s="43"/>
      <c r="AA3363" s="43"/>
    </row>
    <row r="3364" spans="1:27">
      <c r="A3364" s="18" t="str">
        <f>_xll.ciqfunctions.udf.CIQ(A3363,"IQ_COMPANY_NAME")</f>
        <v>Marathon Digital Holdings, Inc.</v>
      </c>
      <c r="B3364" s="13">
        <v>2</v>
      </c>
      <c r="C3364" s="14" t="s">
        <v>17</v>
      </c>
      <c r="D3364" s="15">
        <f>IF(A3371=A3372,_xll.ciqfunctions.udf.CIQ(A3363,"IQ_TOTAL_REV",IQ_FY-9)/I3364, _xll.ciqfunctions.udf.CIQ(A3363, "IQ_TOTAL_REV",IQ_FY-8)/I3364)</f>
        <v>24.832035917723353</v>
      </c>
      <c r="E3364" s="16">
        <f t="shared" ref="E3364:E3373" si="899">(D3364-D3363)/D3363</f>
        <v>3.9847567837132218</v>
      </c>
      <c r="F3364" s="15">
        <f>IF(A3371=A3372,_xll.ciqfunctions.udf.CIQ(A3363,"IQ_DILUT_EPS_EXCL",IQ_FY-9), _xll.ciqfunctions.udf.CIQ(A3363, "IQ_DILUT_EPS_EXCL",IQ_FY-8))</f>
        <v>-4.3270999999999997</v>
      </c>
      <c r="G3364" s="15">
        <f>IF(A3371=A3372,_xll.ciqfunctions.udf.CIQ(A3363,"IQ_EBITDA_MARGIN",IQ_FY-9), _xll.ciqfunctions.udf.CIQ(A3363, "IQ_EBITDA_MARGIN",IQ_FY-8))</f>
        <v>6.8491999999999997</v>
      </c>
      <c r="H3364" s="15">
        <f>IF(A3371=A3372,_xll.ciqfunctions.udf.CIQ(A3363,"IQ_TOTAL_DIV_PAID_CF",IQ_FY-9)/-I3364, _xll.ciqfunctions.udf.CIQ(A3363, "IQ_TOTAL_DIV_PAID_CF",IQ_FY-8)/-I3364)</f>
        <v>0</v>
      </c>
      <c r="I3364" s="17">
        <f>IF(A3371=A3372,_xll.ciqfunctions.udf.CIQ(A3363,"IQ_TOTAL_OUTSTANDING_FILING_DATE",IQ_FY-9), _xll.ciqfunctions.udf.CIQ(A3363, "IQ_TOTAL_OUTSTANDING_FILING_DATE",IQ_FY-8))</f>
        <v>0.86197000000000001</v>
      </c>
      <c r="J3364" s="17">
        <f>IF(A3371=A3372,_xll.ciqfunctions.udf.CIQ(A3363,"IQ_CASH_OPER",IQ_FY-9), _xll.ciqfunctions.udf.CIQ(A3363, "IQ_CASH_OPER",IQ_FY-8))</f>
        <v>4.4551100000000003</v>
      </c>
      <c r="K3364" s="17">
        <f>IF(A3371=A3372,_xll.ciqfunctions.udf.CIQ(A3363,"IQ_CAPEX",IQ_FY-9), _xll.ciqfunctions.udf.CIQ(A3363, "IQ_CAPEX",IQ_FY-8))</f>
        <v>-5.296E-2</v>
      </c>
      <c r="L3364" s="15">
        <f t="shared" si="896"/>
        <v>5.1070802928176162</v>
      </c>
      <c r="M3364" s="17">
        <f>IF(A3371=A3372,_xll.ciqfunctions.udf.CIQ(A3363,"IQ_TOTAL_DEBT_ISSUED",IQ_FY-9), _xll.ciqfunctions.udf.CIQ(A3363, "IQ_TOTAL_DEBT_ISSUED",IQ_FY-8))</f>
        <v>5.55</v>
      </c>
      <c r="N3364" s="17">
        <f>IF(A3371=A3372,_xll.ciqfunctions.udf.CIQ(A3363,"IQ_TOTAL_DEBT_REPAID",IQ_FY-9), _xll.ciqfunctions.udf.CIQ(A3363, "IQ_TOTAL_DEBT_REPAID",IQ_FY-8))</f>
        <v>-3.4649999999999999</v>
      </c>
      <c r="O3364" s="15">
        <f t="shared" si="897"/>
        <v>2.4188776871584858</v>
      </c>
      <c r="P3364" s="15">
        <f t="shared" si="898"/>
        <v>7.5259579799761021</v>
      </c>
      <c r="Q3364" s="25" t="s">
        <v>18</v>
      </c>
      <c r="R3364" s="39" t="s">
        <v>19</v>
      </c>
      <c r="S3364" s="1">
        <f>R3362/((AVERAGE(P3368:P3373))*(1+E3374)^3)</f>
        <v>-2.8153450645037736</v>
      </c>
      <c r="U3364" s="25" t="s">
        <v>48</v>
      </c>
      <c r="V3364" s="39" t="s">
        <v>19</v>
      </c>
      <c r="W3364" s="1">
        <f>V3362/((AVERAGE(P3368:P3373))*(1+E3374)^3)</f>
        <v>-2.8153450645037736</v>
      </c>
      <c r="Y3364" s="25" t="s">
        <v>39</v>
      </c>
      <c r="Z3364" s="39" t="s">
        <v>19</v>
      </c>
      <c r="AA3364" s="1">
        <f>Z3362/((AVERAGE(P3368:P3373))*(1+E3374)^3)</f>
        <v>-2.8153450645037736</v>
      </c>
    </row>
    <row r="3365" spans="1:27">
      <c r="B3365" s="13">
        <v>3</v>
      </c>
      <c r="C3365" s="14" t="s">
        <v>20</v>
      </c>
      <c r="D3365" s="15" cm="1">
        <f t="array" ref="D3365">_xlfn.SINGLE(IF(A3371=A3372,_xll.ciqfunctions.udf.CIQ(A3363,"IQ_TOTAL_REV",IQ_FY-8)/I3365, _xll.ciqfunctions.udf.CIQ(A3363, "IQ_TOTAL_REV",IQ_FY-7)/I3365))</f>
        <v>20.423794662074901</v>
      </c>
      <c r="E3365" s="16">
        <f t="shared" si="899"/>
        <v>-0.17752234533867442</v>
      </c>
      <c r="F3365" s="15">
        <f>IF(A3371=A3372,_xll.ciqfunctions.udf.CIQ(A3363,"IQ_DILUT_EPS_EXCL",IQ_FY-8), _xll.ciqfunctions.udf.CIQ(A3363, "IQ_DILUT_EPS_EXCL",IQ_FY-7))</f>
        <v>-19.075369999999999</v>
      </c>
      <c r="G3365" s="15">
        <f>IF(A3371=A3372,_xll.ciqfunctions.udf.CIQ(A3363,"IQ_EBITDA_MARGIN",IQ_FY-8), _xll.ciqfunctions.udf.CIQ(A3363, "IQ_EBITDA_MARGIN",IQ_FY-7))</f>
        <v>-47.709800000000001</v>
      </c>
      <c r="H3365" s="15">
        <f>IF(A3371=A3372,_xll.ciqfunctions.udf.CIQ(A3363,"IQ_TOTAL_DIV_PAID_CF",IQ_FY-8)/-I3365, _xll.ciqfunctions.udf.CIQ(A3363, "IQ_TOTAL_DIV_PAID_CF",IQ_FY-7)/-I3365)</f>
        <v>0</v>
      </c>
      <c r="I3365" s="17">
        <f>IF(A3371=A3372,_xll.ciqfunctions.udf.CIQ(A3363,"IQ_TOTAL_OUTSTANDING_FILING_DATE",IQ_FY-8), _xll.ciqfunctions.udf.CIQ(A3363, "IQ_TOTAL_OUTSTANDING_FILING_DATE",IQ_FY-7))</f>
        <v>0.92920000000000003</v>
      </c>
      <c r="J3365" s="17">
        <f>IF(A3371=A3372,_xll.ciqfunctions.udf.CIQ(A3363,"IQ_CASH_OPER",IQ_FY-8), _xll.ciqfunctions.udf.CIQ(A3363, "IQ_CASH_OPER",IQ_FY-7))</f>
        <v>-2.9612400000000001</v>
      </c>
      <c r="K3365" s="17">
        <f>IF(A3371=A3372,_xll.ciqfunctions.udf.CIQ(A3363,"IQ_CAPEX",IQ_FY-8), _xll.ciqfunctions.udf.CIQ(A3363, "IQ_CAPEX",IQ_FY-7))</f>
        <v>-5.8389999999999997E-2</v>
      </c>
      <c r="L3365" s="15">
        <f t="shared" si="896"/>
        <v>-3.2497094274644858</v>
      </c>
      <c r="M3365" s="17">
        <f>IF(A3371=A3372,_xll.ciqfunctions.udf.CIQ(A3363,"IQ_TOTAL_DEBT_ISSUED",IQ_FY-8), _xll.ciqfunctions.udf.CIQ(A3363, "IQ_TOTAL_DEBT_ISSUED",IQ_FY-7))</f>
        <v>19.600000000000001</v>
      </c>
      <c r="N3365" s="17">
        <f>IF(A3371=A3372,_xll.ciqfunctions.udf.CIQ(A3363,"IQ_TOTAL_DEBT_REPAID",IQ_FY-8), _xll.ciqfunctions.udf.CIQ(A3363, "IQ_TOTAL_DEBT_REPAID",IQ_FY-7))</f>
        <v>-19.059909999999999</v>
      </c>
      <c r="O3365" s="15">
        <f t="shared" si="897"/>
        <v>0.58124192854068324</v>
      </c>
      <c r="P3365" s="15">
        <f t="shared" si="898"/>
        <v>-2.6684674989238024</v>
      </c>
      <c r="Q3365" s="25" t="s">
        <v>21</v>
      </c>
      <c r="R3365" s="38" t="s">
        <v>49</v>
      </c>
      <c r="S3365" s="2">
        <f>(R3362*I3373)/1000</f>
        <v>2.5512831876000002</v>
      </c>
      <c r="U3365" s="25" t="s">
        <v>59</v>
      </c>
      <c r="V3365" s="38" t="s">
        <v>49</v>
      </c>
      <c r="W3365" s="2">
        <f>(V3362*I3373)/1000</f>
        <v>2.5512831876000002</v>
      </c>
      <c r="Y3365" s="25" t="s">
        <v>46</v>
      </c>
      <c r="Z3365" s="38" t="s">
        <v>49</v>
      </c>
      <c r="AA3365" s="2">
        <f>(Z3362*I3373)/1000</f>
        <v>2.5512831876000002</v>
      </c>
    </row>
    <row r="3366" spans="1:27">
      <c r="A3366" s="18"/>
      <c r="B3366" s="13">
        <v>4</v>
      </c>
      <c r="C3366" s="14" t="s">
        <v>22</v>
      </c>
      <c r="D3366" s="15" cm="1">
        <f t="array" ref="D3366">_xlfn.SINGLE(IF(A3371=A3372,_xll.ciqfunctions.udf.CIQ(A3363,"IQ_TOTAL_REV",IQ_FY-7)/I3366, _xll.ciqfunctions.udf.CIQ(A3363, "IQ_TOTAL_REV",IQ_FY-6)/I3366))</f>
        <v>31.589764818504051</v>
      </c>
      <c r="E3366" s="16">
        <f t="shared" si="899"/>
        <v>0.54671378855778086</v>
      </c>
      <c r="F3366" s="15">
        <f>IF(A3371=A3372,_xll.ciqfunctions.udf.CIQ(A3363,"IQ_DILUT_EPS_EXCL",IQ_FY-7), _xll.ciqfunctions.udf.CIQ(A3363, "IQ_DILUT_EPS_EXCL",IQ_FY-6))</f>
        <v>-30.217320000000001</v>
      </c>
      <c r="G3366" s="15">
        <f>IF(A3371=A3372,_xll.ciqfunctions.udf.CIQ(A3363,"IQ_EBITDA_MARGIN",IQ_FY-7), _xll.ciqfunctions.udf.CIQ(A3363, "IQ_EBITDA_MARGIN",IQ_FY-6))</f>
        <v>22.301300000000001</v>
      </c>
      <c r="H3366" s="15">
        <f>IF(A3371=A3372,_xll.ciqfunctions.udf.CIQ(A3363,"IQ_TOTAL_DIV_PAID_CF",IQ_FY-7)/-I3366, _xll.ciqfunctions.udf.CIQ(A3363, "IQ_TOTAL_DIV_PAID_CF",IQ_FY-6)/-I3366)</f>
        <v>0</v>
      </c>
      <c r="I3366" s="17">
        <f>IF(A3371=A3372,_xll.ciqfunctions.udf.CIQ(A3363,"IQ_TOTAL_OUTSTANDING_FILING_DATE",IQ_FY-7), _xll.ciqfunctions.udf.CIQ(A3363, "IQ_TOTAL_OUTSTANDING_FILING_DATE",IQ_FY-6))</f>
        <v>1.1595299999999999</v>
      </c>
      <c r="J3366" s="17">
        <f>IF(A3371=A3372,_xll.ciqfunctions.udf.CIQ(A3363,"IQ_CASH_OPER",IQ_FY-7), _xll.ciqfunctions.udf.CIQ(A3363, "IQ_CASH_OPER",IQ_FY-6))</f>
        <v>10.172610000000001</v>
      </c>
      <c r="K3366" s="17">
        <f>IF(A3371=A3372,_xll.ciqfunctions.udf.CIQ(A3363,"IQ_CAPEX",IQ_FY-7), _xll.ciqfunctions.udf.CIQ(A3363, "IQ_CAPEX",IQ_FY-6))</f>
        <v>-8.3899999999999999E-3</v>
      </c>
      <c r="L3366" s="15">
        <f t="shared" si="896"/>
        <v>8.7658102852017628</v>
      </c>
      <c r="M3366" s="17">
        <f>IF(A3371=A3372,_xll.ciqfunctions.udf.CIQ(A3363,"IQ_TOTAL_DEBT_ISSUED",IQ_FY-7), _xll.ciqfunctions.udf.CIQ(A3363, "IQ_TOTAL_DEBT_ISSUED",IQ_FY-6))</f>
        <v>0</v>
      </c>
      <c r="N3366" s="17">
        <f>IF(A3371=A3372,_xll.ciqfunctions.udf.CIQ(A3363,"IQ_TOTAL_DEBT_REPAID",IQ_FY-7), _xll.ciqfunctions.udf.CIQ(A3363, "IQ_TOTAL_DEBT_REPAID",IQ_FY-6))</f>
        <v>-8.7086900000000007</v>
      </c>
      <c r="O3366" s="15">
        <f t="shared" si="897"/>
        <v>-7.5105344406785521</v>
      </c>
      <c r="P3366" s="15">
        <f t="shared" si="898"/>
        <v>1.2552758445232106</v>
      </c>
      <c r="Q3366" s="25" t="s">
        <v>23</v>
      </c>
      <c r="R3366" s="38" t="s">
        <v>24</v>
      </c>
      <c r="S3366" s="1" t="e">
        <f>R3362/(AVERAGE(H3368:H3373)*(1+H3374)/(0.5-H3374))</f>
        <v>#DIV/0!</v>
      </c>
      <c r="U3366" s="25" t="s">
        <v>40</v>
      </c>
      <c r="V3366" s="38" t="s">
        <v>24</v>
      </c>
      <c r="W3366" s="1" t="e">
        <f>V3362/(AVERAGE(H3368:H3373)*(1+H3374)/(0.5-H3374))</f>
        <v>#DIV/0!</v>
      </c>
      <c r="Y3366" s="25" t="s">
        <v>47</v>
      </c>
      <c r="Z3366" s="38" t="s">
        <v>24</v>
      </c>
      <c r="AA3366" s="1" t="e">
        <f>Z3362/(AVERAGE(H3368:H3373)*(1+H3374)/(0.5-H3374))</f>
        <v>#DIV/0!</v>
      </c>
    </row>
    <row r="3367" spans="1:27">
      <c r="B3367" s="13">
        <v>5</v>
      </c>
      <c r="C3367" s="14" t="s">
        <v>25</v>
      </c>
      <c r="D3367" s="15" cm="1">
        <f t="array" ref="D3367">_xlfn.SINGLE(IF(A3371=A3372,_xll.ciqfunctions.udf.CIQ(A3363,"IQ_TOTAL_REV",IQ_FY-6)/I3367, _xll.ciqfunctions.udf.CIQ(A3363, "IQ_TOTAL_REV",IQ_FY-5)/I3367))</f>
        <v>0.16657423584285691</v>
      </c>
      <c r="E3367" s="16">
        <f t="shared" si="899"/>
        <v>-0.99472695549334123</v>
      </c>
      <c r="F3367" s="15">
        <f>IF(A3371=A3372,_xll.ciqfunctions.udf.CIQ(A3363,"IQ_DILUT_EPS_EXCL",IQ_FY-6), _xll.ciqfunctions.udf.CIQ(A3363, "IQ_DILUT_EPS_EXCL",IQ_FY-5))</f>
        <v>-19.215240000000001</v>
      </c>
      <c r="G3367" s="15" t="str">
        <f>IF(A3371=A3372,_xll.ciqfunctions.udf.CIQ(A3363,"IQ_EBITDA_MARGIN",IQ_FY-6), _xll.ciqfunctions.udf.CIQ(A3363, "IQ_EBITDA_MARGIN",IQ_FY-5))</f>
        <v>NM</v>
      </c>
      <c r="H3367" s="15">
        <f>IF(A3371=A3372,_xll.ciqfunctions.udf.CIQ(A3363,"IQ_TOTAL_DIV_PAID_CF",IQ_FY-6)/-I3367, _xll.ciqfunctions.udf.CIQ(A3363, "IQ_TOTAL_DIV_PAID_CF",IQ_FY-5)/-I3367)</f>
        <v>0</v>
      </c>
      <c r="I3367" s="17">
        <f>IF(A3371=A3372,_xll.ciqfunctions.udf.CIQ(A3363,"IQ_TOTAL_OUTSTANDING_FILING_DATE",IQ_FY-6), _xll.ciqfunctions.udf.CIQ(A3363, "IQ_TOTAL_OUTSTANDING_FILING_DATE",IQ_FY-5))</f>
        <v>3.1194500000000001</v>
      </c>
      <c r="J3367" s="17">
        <f>IF(A3371=A3372,_xll.ciqfunctions.udf.CIQ(A3363,"IQ_CASH_OPER",IQ_FY-6), _xll.ciqfunctions.udf.CIQ(A3363, "IQ_CASH_OPER",IQ_FY-5))</f>
        <v>-10.808479999999999</v>
      </c>
      <c r="K3367" s="17">
        <f>IF(A3371=A3372,_xll.ciqfunctions.udf.CIQ(A3363,"IQ_CAPEX",IQ_FY-6), _xll.ciqfunctions.udf.CIQ(A3363, "IQ_CAPEX",IQ_FY-5))</f>
        <v>-7.79E-3</v>
      </c>
      <c r="L3367" s="15">
        <f t="shared" si="896"/>
        <v>-3.4673644392440974</v>
      </c>
      <c r="M3367" s="17">
        <f>IF(A3371=A3372,_xll.ciqfunctions.udf.CIQ(A3363,"IQ_TOTAL_DEBT_ISSUED",IQ_FY-6), _xll.ciqfunctions.udf.CIQ(A3363, "IQ_TOTAL_DEBT_ISSUED",IQ_FY-5))</f>
        <v>5.4886900000000001</v>
      </c>
      <c r="N3367" s="17">
        <f>IF(A3371=A3372,_xll.ciqfunctions.udf.CIQ(A3363,"IQ_TOTAL_DEBT_REPAID",IQ_FY-6), _xll.ciqfunctions.udf.CIQ(A3363, "IQ_TOTAL_DEBT_REPAID",IQ_FY-5))</f>
        <v>-1.2729999999999999</v>
      </c>
      <c r="O3367" s="15">
        <f t="shared" si="897"/>
        <v>1.351420923560243</v>
      </c>
      <c r="P3367" s="15">
        <f t="shared" si="898"/>
        <v>-2.1159435156838544</v>
      </c>
      <c r="Q3367" s="18"/>
      <c r="R3367" s="38" t="s">
        <v>50</v>
      </c>
      <c r="S3367" s="3">
        <f>I3374</f>
        <v>1.0349362593815692</v>
      </c>
      <c r="U3367" s="18"/>
      <c r="V3367" s="38" t="s">
        <v>50</v>
      </c>
      <c r="W3367" s="3">
        <f>I3374</f>
        <v>1.0349362593815692</v>
      </c>
      <c r="Y3367" s="18"/>
      <c r="Z3367" s="38" t="s">
        <v>50</v>
      </c>
      <c r="AA3367" s="3">
        <f>I3374</f>
        <v>1.0349362593815692</v>
      </c>
    </row>
    <row r="3368" spans="1:27">
      <c r="B3368" s="13">
        <v>6</v>
      </c>
      <c r="C3368" s="14" t="s">
        <v>26</v>
      </c>
      <c r="D3368" s="15" cm="1">
        <f t="array" ref="D3368">_xlfn.SINGLE(IF(A3371=A3372,_xll.ciqfunctions.udf.CIQ(A3363,"IQ_TOTAL_REV",IQ_FY-5)/I3368, _xll.ciqfunctions.udf.CIQ(A3363, "IQ_TOTAL_REV",IQ_FY-4)/I3368))</f>
        <v>0.24488596377110308</v>
      </c>
      <c r="E3368" s="16">
        <f t="shared" si="899"/>
        <v>0.47013109519604235</v>
      </c>
      <c r="F3368" s="15">
        <f>IF(A3371=A3372,_xll.ciqfunctions.udf.CIQ(A3363,"IQ_DILUT_EPS_EXCL",IQ_FY-5), _xll.ciqfunctions.udf.CIQ(A3363, "IQ_DILUT_EPS_EXCL",IQ_FY-4))</f>
        <v>-2.4105500000000002</v>
      </c>
      <c r="G3368" s="15" t="str">
        <f>IF(A3371=A3372,_xll.ciqfunctions.udf.CIQ(A3363,"IQ_EBITDA_MARGIN",IQ_FY-5), _xll.ciqfunctions.udf.CIQ(A3363, "IQ_EBITDA_MARGIN",IQ_FY-4))</f>
        <v>NM</v>
      </c>
      <c r="H3368" s="15">
        <f>IF(A3371=A3372,_xll.ciqfunctions.udf.CIQ(A3363,"IQ_TOTAL_DIV_PAID_CF",IQ_FY-5)/-I3368, _xll.ciqfunctions.udf.CIQ(A3363, "IQ_TOTAL_DIV_PAID_CF",IQ_FY-4)/-I3368)</f>
        <v>0</v>
      </c>
      <c r="I3368" s="17">
        <f>IF(A3371=A3372,_xll.ciqfunctions.udf.CIQ(A3363,"IQ_TOTAL_OUTSTANDING_FILING_DATE",IQ_FY-5), _xll.ciqfunctions.udf.CIQ(A3363, "IQ_TOTAL_OUTSTANDING_FILING_DATE",IQ_FY-4))</f>
        <v>6.3799900000000003</v>
      </c>
      <c r="J3368" s="17">
        <f>IF(A3371=A3372,_xll.ciqfunctions.udf.CIQ(A3363,"IQ_CASH_OPER",IQ_FY-5), _xll.ciqfunctions.udf.CIQ(A3363, "IQ_CASH_OPER",IQ_FY-4))</f>
        <v>-8.2385699999999993</v>
      </c>
      <c r="K3368" s="17">
        <f>IF(A3371=A3372,_xll.ciqfunctions.udf.CIQ(A3363,"IQ_CAPEX",IQ_FY-5), _xll.ciqfunctions.udf.CIQ(A3363, "IQ_CAPEX",IQ_FY-4))</f>
        <v>-5.2517199999999997</v>
      </c>
      <c r="L3368" s="15">
        <f t="shared" si="896"/>
        <v>-2.1144688314558482</v>
      </c>
      <c r="M3368" s="17">
        <f>IF(A3371=A3372,_xll.ciqfunctions.udf.CIQ(A3363,"IQ_TOTAL_DEBT_ISSUED",IQ_FY-5), _xll.ciqfunctions.udf.CIQ(A3363, "IQ_TOTAL_DEBT_ISSUED",IQ_FY-4))</f>
        <v>0</v>
      </c>
      <c r="N3368" s="17">
        <f>IF(A3371=A3372,_xll.ciqfunctions.udf.CIQ(A3363,"IQ_TOTAL_DEBT_REPAID",IQ_FY-5), _xll.ciqfunctions.udf.CIQ(A3363, "IQ_TOTAL_DEBT_REPAID",IQ_FY-4))</f>
        <v>0</v>
      </c>
      <c r="O3368" s="15">
        <f t="shared" si="897"/>
        <v>0</v>
      </c>
      <c r="P3368" s="15">
        <f t="shared" si="898"/>
        <v>-2.1144688314558482</v>
      </c>
      <c r="Q3368" s="25" t="s">
        <v>27</v>
      </c>
      <c r="R3368" s="38" t="s">
        <v>51</v>
      </c>
      <c r="S3368" s="4">
        <f>AVERAGE(F3368:F3373)/AVERAGE(D3368:D3373)</f>
        <v>-3.0456106446514402</v>
      </c>
      <c r="U3368" s="25" t="s">
        <v>58</v>
      </c>
      <c r="V3368" s="38" t="s">
        <v>51</v>
      </c>
      <c r="W3368" s="4">
        <f>AVERAGE(F3368:F3373)/AVERAGE(D3368:D3373)</f>
        <v>-3.0456106446514402</v>
      </c>
      <c r="Y3368" s="25" t="s">
        <v>56</v>
      </c>
      <c r="Z3368" s="38" t="s">
        <v>51</v>
      </c>
      <c r="AA3368" s="4">
        <f>AVERAGE(F3368:F3373)/AVERAGE(D3368:D3373)</f>
        <v>-3.0456106446514402</v>
      </c>
    </row>
    <row r="3369" spans="1:27">
      <c r="A3369" s="18"/>
      <c r="B3369" s="13">
        <v>7</v>
      </c>
      <c r="C3369" s="14" t="s">
        <v>28</v>
      </c>
      <c r="D3369" s="15" cm="1">
        <f t="array" ref="D3369">_xlfn.SINGLE(IF(A3371=A3372,_xll.ciqfunctions.udf.CIQ(A3363,"IQ_TOTAL_REV",IQ_FY-4)/I3369, _xll.ciqfunctions.udf.CIQ(A3363, "IQ_TOTAL_REV",IQ_FY-3)/I3369))</f>
        <v>0.14011831493430493</v>
      </c>
      <c r="E3369" s="16">
        <f t="shared" si="899"/>
        <v>-0.42782218802350519</v>
      </c>
      <c r="F3369" s="15">
        <f>IF(A3371=A3372,_xll.ciqfunctions.udf.CIQ(A3363,"IQ_DILUT_EPS_EXCL",IQ_FY-4), _xll.ciqfunctions.udf.CIQ(A3363, "IQ_DILUT_EPS_EXCL",IQ_FY-3))</f>
        <v>-0.53</v>
      </c>
      <c r="G3369" s="15">
        <f>IF(A3371=A3372,_xll.ciqfunctions.udf.CIQ(A3363,"IQ_EBITDA_MARGIN",IQ_FY-4), _xll.ciqfunctions.udf.CIQ(A3363, "IQ_EBITDA_MARGIN",IQ_FY-3))</f>
        <v>-235.97620000000001</v>
      </c>
      <c r="H3369" s="15">
        <f>IF(A3371=A3372,_xll.ciqfunctions.udf.CIQ(A3363,"IQ_TOTAL_DIV_PAID_CF",IQ_FY-4)/-I3369, _xll.ciqfunctions.udf.CIQ(A3363, "IQ_TOTAL_DIV_PAID_CF",IQ_FY-3)/-I3369)</f>
        <v>0</v>
      </c>
      <c r="I3369" s="17">
        <f>IF(A3371=A3372,_xll.ciqfunctions.udf.CIQ(A3363,"IQ_TOTAL_OUTSTANDING_FILING_DATE",IQ_FY-4), _xll.ciqfunctions.udf.CIQ(A3363, "IQ_TOTAL_OUTSTANDING_FILING_DATE",IQ_FY-3))</f>
        <v>8.4587800000000009</v>
      </c>
      <c r="J3369" s="17">
        <f>IF(A3371=A3372,_xll.ciqfunctions.udf.CIQ(A3363,"IQ_CASH_OPER",IQ_FY-4), _xll.ciqfunctions.udf.CIQ(A3363, "IQ_CASH_OPER",IQ_FY-3))</f>
        <v>-3.3186599999999999</v>
      </c>
      <c r="K3369" s="17">
        <f>IF(A3371=A3372,_xll.ciqfunctions.udf.CIQ(A3363,"IQ_CAPEX",IQ_FY-4), _xll.ciqfunctions.udf.CIQ(A3363, "IQ_CAPEX",IQ_FY-3))</f>
        <v>-5.2300000000000003E-3</v>
      </c>
      <c r="L3369" s="15">
        <f t="shared" si="896"/>
        <v>-0.39295146581421903</v>
      </c>
      <c r="M3369" s="17">
        <f>IF(A3371=A3372,_xll.ciqfunctions.udf.CIQ(A3363,"IQ_TOTAL_DEBT_ISSUED",IQ_FY-4), _xll.ciqfunctions.udf.CIQ(A3363, "IQ_TOTAL_DEBT_ISSUED",IQ_FY-3))</f>
        <v>0</v>
      </c>
      <c r="N3369" s="17">
        <f>IF(A3371=A3372,_xll.ciqfunctions.udf.CIQ(A3363,"IQ_TOTAL_DEBT_REPAID",IQ_FY-4), _xll.ciqfunctions.udf.CIQ(A3363, "IQ_TOTAL_DEBT_REPAID",IQ_FY-3))</f>
        <v>0</v>
      </c>
      <c r="O3369" s="15">
        <f t="shared" si="897"/>
        <v>0</v>
      </c>
      <c r="P3369" s="15">
        <f t="shared" si="898"/>
        <v>-0.39295146581421903</v>
      </c>
      <c r="Q3369" s="18"/>
      <c r="R3369" s="38" t="s">
        <v>29</v>
      </c>
      <c r="S3369" s="4">
        <f>(AVERAGE(P3368:P3373)/_xlfn.STDEV.P(P3368:P3373))/(IF(A3371=A3372,(_xlfn.SINGLE(_xll.ciqfunctions.udf.CIQ(A3363,"IQ_total_assets",IQ_FY)) - _xlfn.SINGLE(_xll.ciqfunctions.udf.CIQ(A3363,"iq_gw_intan", IQ_FY)))/I3373, (_xlfn.SINGLE(_xll.ciqfunctions.udf.CIQ(A3363, "IQ_total_assets",IQ_LTM))-_xlfn.SINGLE(_xll.ciqfunctions.udf.CIQ(A3363,"iq_gw_intan",IQ_LTM)))/I3373))</f>
        <v>-0.19444328629242388</v>
      </c>
      <c r="U3369" s="18"/>
      <c r="V3369" s="38" t="s">
        <v>29</v>
      </c>
      <c r="W3369" s="4">
        <f>(AVERAGE(P3368:P3373)/_xlfn.STDEV.P(P3368:P3373))/(IF(A3371=A3372,(_xlfn.SINGLE(_xll.ciqfunctions.udf.CIQ(A3363,"IQ_total_assets",IQ_FY)) - _xlfn.SINGLE(_xll.ciqfunctions.udf.CIQ(A3363,"iq_gw_intan", IQ_FY)))/I3373, (_xlfn.SINGLE(_xll.ciqfunctions.udf.CIQ(A3363, "IQ_total_assets",IQ_LTM))-_xlfn.SINGLE(_xll.ciqfunctions.udf.CIQ(A3363,"iq_gw_intan",IQ_LTM)))/I3373))</f>
        <v>-0.19444328629242388</v>
      </c>
      <c r="Y3369" s="18"/>
      <c r="Z3369" s="38" t="s">
        <v>29</v>
      </c>
      <c r="AA3369" s="4">
        <f>(AVERAGE(P3368:P3373)/_xlfn.STDEV.P(P3368:P3373))/(IF(A3371=A3372,(_xlfn.SINGLE(_xll.ciqfunctions.udf.CIQ(A3363,"IQ_total_assets",IQ_FY)) - _xlfn.SINGLE(_xll.ciqfunctions.udf.CIQ(A3363,"iq_gw_intan", IQ_FY)))/I3373, (_xlfn.SINGLE(_xll.ciqfunctions.udf.CIQ(A3363, "IQ_total_assets",IQ_LTM))-_xlfn.SINGLE(_xll.ciqfunctions.udf.CIQ(A3363,"iq_gw_intan",IQ_LTM)))/I3373))</f>
        <v>-0.19444328629242388</v>
      </c>
    </row>
    <row r="3370" spans="1:27">
      <c r="A3370" s="18"/>
      <c r="B3370" s="13">
        <v>8</v>
      </c>
      <c r="C3370" s="14" t="s">
        <v>30</v>
      </c>
      <c r="D3370" s="15" cm="1">
        <f t="array" ref="D3370">_xlfn.SINGLE(IF(A3371=A3372,_xll.ciqfunctions.udf.CIQ(A3363,"IQ_TOTAL_REV",IQ_FY-3)/I3370, _xll.ciqfunctions.udf.CIQ(A3363, "IQ_TOTAL_REV",IQ_FY-2)/I3370))</f>
        <v>4.4097119325570137E-2</v>
      </c>
      <c r="E3370" s="16">
        <f t="shared" si="899"/>
        <v>-0.68528654268897493</v>
      </c>
      <c r="F3370" s="15">
        <f>IF(A3371=A3372,_xll.ciqfunctions.udf.CIQ(A3363,"IQ_DILUT_EPS_EXCL",IQ_FY-3), _xll.ciqfunctions.udf.CIQ(A3363, "IQ_DILUT_EPS_EXCL",IQ_FY-2))</f>
        <v>-0.12834000000000001</v>
      </c>
      <c r="G3370" s="15">
        <f>IF(A3371=A3372,_xll.ciqfunctions.udf.CIQ(A3363,"IQ_EBITDA_MARGIN",IQ_FY-3), _xll.ciqfunctions.udf.CIQ(A3363, "IQ_EBITDA_MARGIN",IQ_FY-2))</f>
        <v>-135.024</v>
      </c>
      <c r="H3370" s="15">
        <f>IF(A3371=A3372,_xll.ciqfunctions.udf.CIQ(A3363,"IQ_TOTAL_DIV_PAID_CF",IQ_FY-3)/-I3370, _xll.ciqfunctions.udf.CIQ(A3363, "IQ_TOTAL_DIV_PAID_CF",IQ_FY-2)/-I3370)</f>
        <v>0</v>
      </c>
      <c r="I3370" s="17">
        <f>IF(A3371=A3372,_xll.ciqfunctions.udf.CIQ(A3363,"IQ_TOTAL_OUTSTANDING_FILING_DATE",IQ_FY-3), _xll.ciqfunctions.udf.CIQ(A3363, "IQ_TOTAL_OUTSTANDING_FILING_DATE",IQ_FY-2))</f>
        <v>98.804640000000006</v>
      </c>
      <c r="J3370" s="17">
        <f>IF(A3371=A3372,_xll.ciqfunctions.udf.CIQ(A3363,"IQ_CASH_OPER",IQ_FY-3), _xll.ciqfunctions.udf.CIQ(A3363, "IQ_CASH_OPER",IQ_FY-2))</f>
        <v>-7.7729999999999997</v>
      </c>
      <c r="K3370" s="17">
        <f>IF(A3371=A3372,_xll.ciqfunctions.udf.CIQ(A3363,"IQ_CAPEX",IQ_FY-3), _xll.ciqfunctions.udf.CIQ(A3363, "IQ_CAPEX",IQ_FY-2))</f>
        <v>-83.39</v>
      </c>
      <c r="L3370" s="15">
        <f t="shared" si="896"/>
        <v>-0.92265909779135868</v>
      </c>
      <c r="M3370" s="17">
        <f>IF(A3371=A3372,_xll.ciqfunctions.udf.CIQ(A3363,"IQ_TOTAL_DEBT_ISSUED",IQ_FY-3), _xll.ciqfunctions.udf.CIQ(A3363, "IQ_TOTAL_DEBT_ISSUED",IQ_FY-2))</f>
        <v>6.3E-2</v>
      </c>
      <c r="N3370" s="17">
        <f>IF(A3371=A3372,_xll.ciqfunctions.udf.CIQ(A3363,"IQ_TOTAL_DEBT_REPAID",IQ_FY-3), _xll.ciqfunctions.udf.CIQ(A3363, "IQ_TOTAL_DEBT_REPAID",IQ_FY-2))</f>
        <v>0</v>
      </c>
      <c r="O3370" s="15">
        <f t="shared" si="897"/>
        <v>6.3762187686732116E-4</v>
      </c>
      <c r="P3370" s="15">
        <f t="shared" si="898"/>
        <v>-0.92202147591449135</v>
      </c>
      <c r="Q3370" s="18"/>
      <c r="R3370" s="39" t="s">
        <v>31</v>
      </c>
      <c r="S3370" s="5">
        <f>IF(NOT(D3363&gt;0),FALSE,SLOPE(G3363:G3373,B3363:B3373))</f>
        <v>-7.9416498979591816</v>
      </c>
      <c r="U3370" s="18"/>
      <c r="V3370" s="39" t="s">
        <v>31</v>
      </c>
      <c r="W3370" s="5">
        <f>IF(NOT(D3363&gt;0),FALSE,SLOPE(G3363:G3373,B3363:B3373))</f>
        <v>-7.9416498979591816</v>
      </c>
      <c r="Y3370" s="18"/>
      <c r="Z3370" s="39" t="s">
        <v>31</v>
      </c>
      <c r="AA3370" s="5" t="b">
        <f>IF(NOT(L3363&gt;0),FALSE,SLOPE(O3363:O3373,J3363:J3373))</f>
        <v>0</v>
      </c>
    </row>
    <row r="3371" spans="1:27">
      <c r="A3371" s="19">
        <f>_xll.ciqfunctions.udf.CIQ(A3363,"IQ_TOTAL_REV",IQ_FY)</f>
        <v>117.753</v>
      </c>
      <c r="B3371" s="13">
        <v>9</v>
      </c>
      <c r="C3371" s="14" t="s">
        <v>32</v>
      </c>
      <c r="D3371" s="15" cm="1">
        <f t="array" ref="D3371">_xlfn.SINGLE(IF(A3371=A3372,_xll.ciqfunctions.udf.CIQ(A3363,"IQ_TOTAL_REV",IQ_FY-2)/I3371, _xll.ciqfunctions.udf.CIQ(A3363, "IQ_TOTAL_REV",IQ_FY-1)/I3371))</f>
        <v>1.5444910519507276</v>
      </c>
      <c r="E3371" s="16">
        <f t="shared" si="899"/>
        <v>34.024760700301336</v>
      </c>
      <c r="F3371" s="15">
        <f>IF(A3371=A3372,_xll.ciqfunctions.udf.CIQ(A3363,"IQ_DILUT_EPS_EXCL",IQ_FY-2), _xll.ciqfunctions.udf.CIQ(A3363, "IQ_DILUT_EPS_EXCL",IQ_FY-1))</f>
        <v>-0.37342999999999998</v>
      </c>
      <c r="G3371" s="15">
        <f>IF(A3371=A3372,_xll.ciqfunctions.udf.CIQ(A3363,"IQ_EBITDA_MARGIN",IQ_FY-2), _xll.ciqfunctions.udf.CIQ(A3363, "IQ_EBITDA_MARGIN",IQ_FY-1))</f>
        <v>1.4078999999999999</v>
      </c>
      <c r="H3371" s="15">
        <f>IF(A3371=A3372,_xll.ciqfunctions.udf.CIQ(A3363,"IQ_TOTAL_DIV_PAID_CF",IQ_FY-2)/-I3371, _xll.ciqfunctions.udf.CIQ(A3363, "IQ_TOTAL_DIV_PAID_CF",IQ_FY-1)/-I3371)</f>
        <v>0</v>
      </c>
      <c r="I3371" s="17">
        <f>IF(A3371=A3372,_xll.ciqfunctions.udf.CIQ(A3363,"IQ_TOTAL_OUTSTANDING_FILING_DATE",IQ_FY-2), _xll.ciqfunctions.udf.CIQ(A3363, "IQ_TOTAL_OUTSTANDING_FILING_DATE",IQ_FY-1))</f>
        <v>103.05207</v>
      </c>
      <c r="J3371" s="17">
        <f>IF(A3371=A3372,_xll.ciqfunctions.udf.CIQ(A3363,"IQ_CASH_OPER",IQ_FY-2), _xll.ciqfunctions.udf.CIQ(A3363, "IQ_CASH_OPER",IQ_FY-1))</f>
        <v>-18.966000000000001</v>
      </c>
      <c r="K3371" s="17">
        <f>IF(A3371=A3372,_xll.ciqfunctions.udf.CIQ(A3363,"IQ_CAPEX",IQ_FY-2), _xll.ciqfunctions.udf.CIQ(A3363, "IQ_CAPEX",IQ_FY-1))</f>
        <v>-708.91600000000005</v>
      </c>
      <c r="L3371" s="15">
        <f t="shared" si="896"/>
        <v>-7.0632448237090246</v>
      </c>
      <c r="M3371" s="17">
        <f>IF(A3371=A3372,_xll.ciqfunctions.udf.CIQ(A3363,"IQ_TOTAL_DEBT_ISSUED",IQ_FY-2), _xll.ciqfunctions.udf.CIQ(A3363, "IQ_TOTAL_DEBT_ISSUED",IQ_FY-1))</f>
        <v>805.90599999999995</v>
      </c>
      <c r="N3371" s="17">
        <f>IF(A3371=A3372,_xll.ciqfunctions.udf.CIQ(A3363,"IQ_TOTAL_DEBT_REPAID",IQ_FY-2), _xll.ciqfunctions.udf.CIQ(A3363, "IQ_TOTAL_DEBT_REPAID",IQ_FY-1))</f>
        <v>-77.5</v>
      </c>
      <c r="O3371" s="15">
        <f t="shared" si="897"/>
        <v>7.0683296318065221</v>
      </c>
      <c r="P3371" s="15">
        <f t="shared" si="898"/>
        <v>5.0848080974974508E-3</v>
      </c>
      <c r="Q3371" s="25" t="s">
        <v>33</v>
      </c>
      <c r="R3371" s="38" t="s">
        <v>52</v>
      </c>
      <c r="S3371" s="4">
        <f>(AVERAGE(O3368:O3373)/AVERAGE(P3368:P3373))</f>
        <v>-0.74479878437125779</v>
      </c>
      <c r="U3371" s="25" t="s">
        <v>54</v>
      </c>
      <c r="V3371" s="38" t="s">
        <v>52</v>
      </c>
      <c r="W3371" s="4">
        <f>(AVERAGE(O3368:O3373)/AVERAGE(P3368:P3373))</f>
        <v>-0.74479878437125779</v>
      </c>
      <c r="Y3371" s="25" t="s">
        <v>60</v>
      </c>
      <c r="Z3371" s="38" t="s">
        <v>52</v>
      </c>
      <c r="AA3371" s="4">
        <f>(AVERAGE(O3368:O3373)/AVERAGE(P3368:P3373))</f>
        <v>-0.74479878437125779</v>
      </c>
    </row>
    <row r="3372" spans="1:27">
      <c r="A3372" s="19">
        <f>_xll.ciqfunctions.udf.CIQ(A3363,"IQ_TOTAL_REV",IQ_LTM)</f>
        <v>259.15699999999998</v>
      </c>
      <c r="B3372" s="13">
        <v>10</v>
      </c>
      <c r="C3372" s="14" t="s">
        <v>34</v>
      </c>
      <c r="D3372" s="15" cm="1">
        <f t="array" ref="D3372">_xlfn.SINGLE(IF(A3371=A3372,_xll.ciqfunctions.udf.CIQ(A3363,"IQ_TOTAL_REV",IQ_FY-1)/I3372, _xll.ciqfunctions.udf.CIQ(A3363, "IQ_TOTAL_REV",IQ_FY)/I3372))</f>
        <v>0.70406631436145684</v>
      </c>
      <c r="E3372" s="16">
        <f t="shared" si="899"/>
        <v>-0.5441434811343161</v>
      </c>
      <c r="F3372" s="15">
        <f>IF(A3371=A3372,_xll.ciqfunctions.udf.CIQ(A3363,"IQ_DILUT_EPS_EXCL",IQ_FY-1), _xll.ciqfunctions.udf.CIQ(A3363, "IQ_DILUT_EPS_EXCL",IQ_FY))</f>
        <v>-6.0522900000000002</v>
      </c>
      <c r="G3372" s="15">
        <f>IF(A3371=A3372,_xll.ciqfunctions.udf.CIQ(A3363,"IQ_EBITDA_MARGIN",IQ_FY-1), _xll.ciqfunctions.udf.CIQ(A3363, "IQ_EBITDA_MARGIN",IQ_FY))</f>
        <v>-241.51820000000001</v>
      </c>
      <c r="H3372" s="15">
        <f>IF(A3371=A3372,_xll.ciqfunctions.udf.CIQ(A3363,"IQ_TOTAL_DIV_PAID_CF",IQ_FY-1)/-I3372, _xll.ciqfunctions.udf.CIQ(A3363, "IQ_TOTAL_DIV_PAID_CF",IQ_FY)/-I3372)</f>
        <v>0</v>
      </c>
      <c r="I3372" s="17">
        <f>IF(A3371=A3372,_xll.ciqfunctions.udf.CIQ(A3363,"IQ_TOTAL_OUTSTANDING_FILING_DATE",IQ_FY-1), _xll.ciqfunctions.udf.CIQ(A3363, "IQ_TOTAL_OUTSTANDING_FILING_DATE",IQ_FY))</f>
        <v>167.24703</v>
      </c>
      <c r="J3372" s="17">
        <f>IF(A3371=A3372,_xll.ciqfunctions.udf.CIQ(A3363,"IQ_CASH_OPER",IQ_FY-1), _xll.ciqfunctions.udf.CIQ(A3363, "IQ_CASH_OPER",IQ_FY))</f>
        <v>-176.48099999999999</v>
      </c>
      <c r="K3372" s="17">
        <f>IF(A3371=A3372,_xll.ciqfunctions.udf.CIQ(A3363,"IQ_CAPEX",IQ_FY-1), _xll.ciqfunctions.udf.CIQ(A3363, "IQ_CAPEX",IQ_FY))</f>
        <v>-524.94799999999998</v>
      </c>
      <c r="L3372" s="15">
        <f t="shared" si="896"/>
        <v>-4.1939698420952531</v>
      </c>
      <c r="M3372" s="17">
        <f>IF(A3371=A3372,_xll.ciqfunctions.udf.CIQ(A3363,"IQ_TOTAL_DEBT_ISSUED",IQ_FY-1), _xll.ciqfunctions.udf.CIQ(A3363, "IQ_TOTAL_DEBT_ISSUED",IQ_FY))</f>
        <v>169.25</v>
      </c>
      <c r="N3372" s="17">
        <f>IF(A3371=A3372,_xll.ciqfunctions.udf.CIQ(A3363,"IQ_TOTAL_DEBT_REPAID",IQ_FY-1), _xll.ciqfunctions.udf.CIQ(A3363, "IQ_TOTAL_DEBT_REPAID",IQ_FY))</f>
        <v>-120</v>
      </c>
      <c r="O3372" s="15">
        <f t="shared" si="897"/>
        <v>0.29447458648443564</v>
      </c>
      <c r="P3372" s="15">
        <f t="shared" si="898"/>
        <v>-3.8994952556108173</v>
      </c>
      <c r="Q3372" s="25" t="s">
        <v>44</v>
      </c>
      <c r="R3372" s="38" t="s">
        <v>35</v>
      </c>
      <c r="S3372" s="1">
        <f>_xll.ciqfunctions.udf.CIQ(A3363,"IQ_TEV_EBITDA")</f>
        <v>33.662230000000001</v>
      </c>
      <c r="U3372" s="25" t="s">
        <v>55</v>
      </c>
      <c r="V3372" s="38" t="s">
        <v>53</v>
      </c>
      <c r="W3372" s="1">
        <f>V3362/(AVERAGE(D3368:D3373)/_xlfn.STDEV.P(E3368:E3373))</f>
        <v>227.84502069763283</v>
      </c>
      <c r="Y3372" s="25" t="s">
        <v>57</v>
      </c>
      <c r="Z3372" s="38" t="s">
        <v>53</v>
      </c>
      <c r="AA3372" s="1">
        <f>Z3362/(AVERAGE(D3368:D3373)/_xlfn.STDEV.P(E3368:E3373))</f>
        <v>227.84502069763283</v>
      </c>
    </row>
    <row r="3373" spans="1:27">
      <c r="B3373" s="13">
        <v>11</v>
      </c>
      <c r="C3373" s="20" t="s">
        <v>36</v>
      </c>
      <c r="D3373" s="21" cm="1">
        <f t="array" ref="D3373">_xlfn.SINGLE(IF(A3371=A3372,_xll.ciqfunctions.udf.CIQ(A3363,"IQ_TOTAL_REV",IQ_FY)/I3373, _xll.ciqfunctions.udf.CIQ(A3363, "IQ_TOTAL_REV",IQ_LTM)/I3373))</f>
        <v>1.1640962612205472</v>
      </c>
      <c r="E3373" s="22">
        <f t="shared" si="899"/>
        <v>0.65339008197872406</v>
      </c>
      <c r="F3373" s="21">
        <f>IF(A3371=A3372,_xll.ciqfunctions.udf.CIQ(A3363,"IQ_DILUT_EPS_EXCL",IQ_FY), _xll.ciqfunctions.udf.CIQ(A3363, "IQ_DILUT_EPS_EXCL",IQ_LTM))</f>
        <v>-2.2058800000000001</v>
      </c>
      <c r="G3373" s="21">
        <f>IF(A3371=A3372,_xll.ciqfunctions.udf.CIQ(A3363,"IQ_EBITDA_MARGIN",IQ_FY), _xll.ciqfunctions.udf.CIQ(A3363, "IQ_EBITDA_MARGIN",IQ_LTM))</f>
        <v>13.960599999999999</v>
      </c>
      <c r="H3373" s="21">
        <f>IF(A3371=A3372,_xll.ciqfunctions.udf.CIQ(A3363,"IQ_TOTAL_DIV_PAID_CF",IQ_FY)/-I3373, _xll.ciqfunctions.udf.CIQ(A3363, "IQ_TOTAL_DIV_PAID_CF",IQ_LTM)/-I3373)</f>
        <v>0</v>
      </c>
      <c r="I3373" s="23">
        <f>IF(A3371=A3372,_xll.ciqfunctions.udf.CIQ(A3363,"IQ_TOTAL_OUTSTANDING_FILING_DATE",IQ_FY),_xll.ciqfunctions.udf.CIQ(A3363,"IQ_sharesoutstanding"))</f>
        <v>222.62505999999999</v>
      </c>
      <c r="J3373" s="23">
        <f>IF(A3371=A3372,_xll.ciqfunctions.udf.CIQ(A3363,"IQ_CASH_OPER",IQ_FY), _xll.ciqfunctions.udf.CIQ(A3363, "IQ_CASH_OPER",IQ_LTM))</f>
        <v>-317.22500000000002</v>
      </c>
      <c r="K3373" s="23">
        <f>IF(A3371=A3372,_xll.ciqfunctions.udf.CIQ(A3363,"IQ_CAPEX",IQ_FY), _xll.ciqfunctions.udf.CIQ(A3363, "IQ_CAPEX",IQ_LTM))</f>
        <v>-136.149</v>
      </c>
      <c r="L3373" s="21">
        <f t="shared" si="896"/>
        <v>-2.0364913096486084</v>
      </c>
      <c r="M3373" s="23">
        <f>IF(A3371=A3372,_xll.ciqfunctions.udf.CIQ(A3363,"IQ_TOTAL_DEBT_ISSUED",IQ_FY), _xll.ciqfunctions.udf.CIQ(A3363, "IQ_TOTAL_DEBT_ISSUED",IQ_LTM))</f>
        <v>120</v>
      </c>
      <c r="N3373" s="23">
        <f>IF(A3371=A3372,_xll.ciqfunctions.udf.CIQ(A3363,"IQ_TOTAL_DEBT_REPAID",IQ_FY), _xll.ciqfunctions.udf.CIQ(A3363, "IQ_TOTAL_DEBT_REPAID",IQ_LTM))</f>
        <v>-170</v>
      </c>
      <c r="O3373" s="21">
        <f t="shared" si="897"/>
        <v>-0.22459286479249013</v>
      </c>
      <c r="P3373" s="21">
        <f t="shared" si="898"/>
        <v>-2.2610841744410983</v>
      </c>
      <c r="Q3373" s="25" t="s">
        <v>45</v>
      </c>
      <c r="S3373" s="45"/>
      <c r="U3373" s="25"/>
      <c r="W3373" s="45"/>
      <c r="Y3373" s="25"/>
      <c r="AA3373" s="45"/>
    </row>
    <row r="3374" spans="1:27">
      <c r="B3374" s="24"/>
      <c r="C3374" s="25" t="s">
        <v>37</v>
      </c>
      <c r="E3374" s="26">
        <f>((D3373/D3368)^(1/5))-1</f>
        <v>0.36585626873159227</v>
      </c>
      <c r="F3374" s="27">
        <f>((F3373/F3368)^(1/5))-1</f>
        <v>-1.7589155626134612E-2</v>
      </c>
      <c r="G3374" s="28"/>
      <c r="H3374" s="27" t="e">
        <f>((H3373/H3368)^(1/5))-1</f>
        <v>#DIV/0!</v>
      </c>
      <c r="I3374" s="27">
        <f>((I3373/I3368)^(1/5))-1</f>
        <v>1.0349362593815692</v>
      </c>
      <c r="J3374" s="27"/>
      <c r="K3374" s="27"/>
      <c r="L3374" s="26">
        <f>((L3373/L3368)^(1/5))-1</f>
        <v>-7.4868839331487802E-3</v>
      </c>
      <c r="M3374" s="26"/>
      <c r="N3374" s="26"/>
      <c r="O3374" s="26"/>
      <c r="P3374" s="26">
        <f>((P3373/P3368)^(1/5))-1</f>
        <v>1.3498449239061516E-2</v>
      </c>
      <c r="Q3374" s="18"/>
      <c r="R3374" s="36"/>
      <c r="S3374" s="45"/>
      <c r="U3374" s="18"/>
      <c r="V3374" s="36"/>
      <c r="W3374" s="45"/>
      <c r="Y3374" s="18"/>
      <c r="Z3374" s="36"/>
      <c r="AA3374" s="45"/>
    </row>
    <row r="3375" spans="1:27">
      <c r="A3375" s="29"/>
      <c r="B3375" s="30"/>
      <c r="C3375" s="31" t="s">
        <v>38</v>
      </c>
      <c r="D3375" s="29"/>
      <c r="E3375" s="32">
        <f>((D3373/D3363)^(1/10))-1</f>
        <v>-0.13530677949301473</v>
      </c>
      <c r="F3375" s="33">
        <f>((F3373/F3363)^(1/10))-1</f>
        <v>-0.10177991484997939</v>
      </c>
      <c r="G3375" s="34"/>
      <c r="H3375" s="33" t="e">
        <f>((H3373/H3363)^(1/10))-1</f>
        <v>#DIV/0!</v>
      </c>
      <c r="I3375" s="33">
        <f>((I3373/I3363)^(1/10))-1</f>
        <v>0.78283985293849789</v>
      </c>
      <c r="J3375" s="33"/>
      <c r="K3375" s="33"/>
      <c r="L3375" s="32">
        <f>((L3373/L3363)^(1/10))-1</f>
        <v>-9.4396981911285538E-3</v>
      </c>
      <c r="M3375" s="32"/>
      <c r="N3375" s="32"/>
      <c r="O3375" s="32"/>
      <c r="P3375" s="32">
        <f>((P3373/P3363)^(1/10))-1</f>
        <v>9.7754702759234036E-4</v>
      </c>
      <c r="Q3375" s="40"/>
      <c r="R3375" s="41"/>
      <c r="S3375" s="46"/>
      <c r="U3375" s="40"/>
      <c r="V3375" s="41"/>
      <c r="W3375" s="46"/>
      <c r="Y3375" s="40"/>
      <c r="Z3375" s="41"/>
      <c r="AA3375" s="46"/>
    </row>
    <row r="3376" spans="1:27">
      <c r="B3376" s="24"/>
      <c r="C3376" s="25"/>
      <c r="E3376" s="26"/>
      <c r="F3376" s="27"/>
      <c r="G3376" s="28"/>
      <c r="H3376" s="27"/>
      <c r="I3376" s="27"/>
      <c r="J3376" s="27"/>
      <c r="K3376" s="27"/>
      <c r="L3376" s="26"/>
      <c r="M3376" s="17"/>
      <c r="N3376" s="17"/>
      <c r="O3376" s="17"/>
      <c r="P3376" s="35"/>
      <c r="Q3376" s="18"/>
      <c r="R3376" s="36"/>
    </row>
    <row r="3377" spans="1:27">
      <c r="A3377" s="9" t="s">
        <v>0</v>
      </c>
      <c r="B3377" s="10"/>
      <c r="C3377" s="9" t="s">
        <v>1</v>
      </c>
      <c r="D3377" s="9" t="s">
        <v>2</v>
      </c>
      <c r="E3377" s="9" t="s">
        <v>3</v>
      </c>
      <c r="F3377" s="11" t="s">
        <v>4</v>
      </c>
      <c r="G3377" s="11" t="s">
        <v>5</v>
      </c>
      <c r="H3377" s="9" t="s">
        <v>6</v>
      </c>
      <c r="I3377" s="11" t="s">
        <v>7</v>
      </c>
      <c r="J3377" s="11" t="s">
        <v>8</v>
      </c>
      <c r="K3377" s="11" t="s">
        <v>9</v>
      </c>
      <c r="L3377" s="11" t="s">
        <v>10</v>
      </c>
      <c r="M3377" s="11" t="s">
        <v>11</v>
      </c>
      <c r="N3377" s="11" t="s">
        <v>12</v>
      </c>
      <c r="O3377" s="11" t="s">
        <v>13</v>
      </c>
      <c r="P3377" s="11" t="s">
        <v>14</v>
      </c>
      <c r="Q3377" s="37" t="s">
        <v>15</v>
      </c>
      <c r="R3377" s="42">
        <f>_xll.ciqfunctions.udf.CIQ(A3378,("IQ_LASTSALEPRICE"))</f>
        <v>74.86</v>
      </c>
      <c r="S3377" s="44"/>
      <c r="U3377" s="37" t="s">
        <v>15</v>
      </c>
      <c r="V3377" s="42">
        <f>_xll.ciqfunctions.udf.CIQ(A3378,("IQ_LASTSALEPRICE"))</f>
        <v>74.86</v>
      </c>
      <c r="W3377" s="44"/>
      <c r="Y3377" s="37" t="s">
        <v>15</v>
      </c>
      <c r="Z3377" s="42">
        <f>_xll.ciqfunctions.udf.CIQ(A3378,("IQ_LASTSALEPRICE"))</f>
        <v>74.86</v>
      </c>
      <c r="AA3377" s="44"/>
    </row>
    <row r="3378" spans="1:27">
      <c r="A3378" s="12" t="str">
        <f>Analysis!B227</f>
        <v>NasdaqGM:FIVN</v>
      </c>
      <c r="B3378" s="13">
        <v>1</v>
      </c>
      <c r="C3378" s="14" t="s">
        <v>16</v>
      </c>
      <c r="D3378" s="15">
        <f>IF(A3386=A3387,_xll.ciqfunctions.udf.CIQ(A3378,"IQ_TOTAL_REV",IQ_FY-10)/I3378,_xll.ciqfunctions.udf.CIQ(A3378, "IQ_TOTAL_REV",IQ_FY-9)/I3378)</f>
        <v>1.827069476720891</v>
      </c>
      <c r="E3378" s="16"/>
      <c r="F3378" s="15">
        <f>IF(A3386=A3387,_xll.ciqfunctions.udf.CIQ(A3378,"IQ_DILUT_EPS_EXCL",IQ_FY-10), _xll.ciqfunctions.udf.CIQ(A3378, "IQ_DILUT_EPS_EXCL",IQ_FY-9))</f>
        <v>-7.81677</v>
      </c>
      <c r="G3378" s="15">
        <f>IF(A3386=A3387,_xll.ciqfunctions.udf.CIQ(A3378,"IQ_EBITDA_MARGIN",IQ_FY-10), _xll.ciqfunctions.udf.CIQ(A3378, "IQ_EBITDA_MARGIN",IQ_FY-9))</f>
        <v>-27.7028</v>
      </c>
      <c r="H3378" s="15">
        <f>IF(A3386=A3387,_xll.ciqfunctions.udf.CIQ(A3378,"IQ_TOTAL_DIV_PAID_CF",IQ_FY-10)/-I3378, _xll.ciqfunctions.udf.CIQ(A3378, "IQ_TOTAL_DIV_PAID_CF",IQ_FY-9)/-I3378)</f>
        <v>0</v>
      </c>
      <c r="I3378" s="17">
        <f>IF(A3386=A3387,_xll.ciqfunctions.udf.CIQ(A3378,"IQ_TOTAL_OUTSTANDING_FILING_DATE",IQ_FY-10), _xll.ciqfunctions.udf.CIQ(A3378, "IQ_TOTAL_OUTSTANDING_FILING_DATE",IQ_FY-9))</f>
        <v>46.047510000000003</v>
      </c>
      <c r="J3378" s="17">
        <f>IF(A3386=A3387,_xll.ciqfunctions.udf.CIQ(A3378,"IQ_CASH_OPER",IQ_FY-10), _xll.ciqfunctions.udf.CIQ(A3378, "IQ_CASH_OPER",IQ_FY-9))</f>
        <v>-20.959</v>
      </c>
      <c r="K3378" s="17">
        <f>IF(A3386=A3387,_xll.ciqfunctions.udf.CIQ(A3378,"IQ_CAPEX",IQ_FY-10), _xll.ciqfunctions.udf.CIQ(A3378, "IQ_CAPEX",IQ_FY-9))</f>
        <v>-0.55400000000000005</v>
      </c>
      <c r="L3378" s="15">
        <f t="shared" ref="L3378:L3388" si="900">(J3378+K3378)/I3378</f>
        <v>-0.46719138559283657</v>
      </c>
      <c r="M3378" s="17">
        <f>IF(A3386=A3387,_xll.ciqfunctions.udf.CIQ(A3378,"IQ_TOTAL_DEBT_ISSUED",IQ_FY-10), _xll.ciqfunctions.udf.CIQ(A3378, "IQ_TOTAL_DEBT_ISSUED",IQ_FY-9))</f>
        <v>23.5</v>
      </c>
      <c r="N3378" s="17">
        <f>IF(A3386=A3387,_xll.ciqfunctions.udf.CIQ(A3378,"IQ_TOTAL_DEBT_REPAID",IQ_FY-10), _xll.ciqfunctions.udf.CIQ(A3378, "IQ_TOTAL_DEBT_REPAID",IQ_FY-9))</f>
        <v>-11.407999999999999</v>
      </c>
      <c r="O3378" s="15">
        <f t="shared" ref="O3378:O3388" si="901">(M3378+N3378)/I3378</f>
        <v>0.26259834679443034</v>
      </c>
      <c r="P3378" s="15">
        <f t="shared" ref="P3378:P3388" si="902">L3378+O3378</f>
        <v>-0.20459303879840623</v>
      </c>
      <c r="W3378" s="43"/>
      <c r="AA3378" s="43"/>
    </row>
    <row r="3379" spans="1:27">
      <c r="A3379" s="18" t="str">
        <f>_xll.ciqfunctions.udf.CIQ(A3378,"IQ_COMPANY_NAME")</f>
        <v>Five9, Inc.</v>
      </c>
      <c r="B3379" s="13">
        <v>2</v>
      </c>
      <c r="C3379" s="14" t="s">
        <v>17</v>
      </c>
      <c r="D3379" s="15">
        <f>IF(A3386=A3387,_xll.ciqfunctions.udf.CIQ(A3378,"IQ_TOTAL_REV",IQ_FY-9)/I3379, _xll.ciqfunctions.udf.CIQ(A3378, "IQ_TOTAL_REV",IQ_FY-8)/I3379)</f>
        <v>2.0845881562509034</v>
      </c>
      <c r="E3379" s="16">
        <f t="shared" ref="E3379:E3388" si="903">(D3379-D3378)/D3378</f>
        <v>0.14094629832697478</v>
      </c>
      <c r="F3379" s="15">
        <f>IF(A3386=A3387,_xll.ciqfunctions.udf.CIQ(A3378,"IQ_DILUT_EPS_EXCL",IQ_FY-9), _xll.ciqfunctions.udf.CIQ(A3378, "IQ_DILUT_EPS_EXCL",IQ_FY-8))</f>
        <v>-1.00484</v>
      </c>
      <c r="G3379" s="15">
        <f>IF(A3386=A3387,_xll.ciqfunctions.udf.CIQ(A3378,"IQ_EBITDA_MARGIN",IQ_FY-9), _xll.ciqfunctions.udf.CIQ(A3378, "IQ_EBITDA_MARGIN",IQ_FY-8))</f>
        <v>-28.935400000000001</v>
      </c>
      <c r="H3379" s="15">
        <f>IF(A3386=A3387,_xll.ciqfunctions.udf.CIQ(A3378,"IQ_TOTAL_DIV_PAID_CF",IQ_FY-9)/-I3379, _xll.ciqfunctions.udf.CIQ(A3378, "IQ_TOTAL_DIV_PAID_CF",IQ_FY-8)/-I3379)</f>
        <v>0</v>
      </c>
      <c r="I3379" s="17">
        <f>IF(A3386=A3387,_xll.ciqfunctions.udf.CIQ(A3378,"IQ_TOTAL_OUTSTANDING_FILING_DATE",IQ_FY-9), _xll.ciqfunctions.udf.CIQ(A3378, "IQ_TOTAL_OUTSTANDING_FILING_DATE",IQ_FY-8))</f>
        <v>49.45917</v>
      </c>
      <c r="J3379" s="17">
        <f>IF(A3386=A3387,_xll.ciqfunctions.udf.CIQ(A3378,"IQ_CASH_OPER",IQ_FY-9), _xll.ciqfunctions.udf.CIQ(A3378, "IQ_CASH_OPER",IQ_FY-8))</f>
        <v>-24.279</v>
      </c>
      <c r="K3379" s="17">
        <f>IF(A3386=A3387,_xll.ciqfunctions.udf.CIQ(A3378,"IQ_CAPEX",IQ_FY-9), _xll.ciqfunctions.udf.CIQ(A3378, "IQ_CAPEX",IQ_FY-8))</f>
        <v>-1.0249999999999999</v>
      </c>
      <c r="L3379" s="15">
        <f t="shared" si="900"/>
        <v>-0.51161392316126608</v>
      </c>
      <c r="M3379" s="17">
        <f>IF(A3386=A3387,_xll.ciqfunctions.udf.CIQ(A3378,"IQ_TOTAL_DEBT_ISSUED",IQ_FY-9), _xll.ciqfunctions.udf.CIQ(A3378, "IQ_TOTAL_DEBT_ISSUED",IQ_FY-8))</f>
        <v>19.536000000000001</v>
      </c>
      <c r="N3379" s="17">
        <f>IF(A3386=A3387,_xll.ciqfunctions.udf.CIQ(A3378,"IQ_TOTAL_DEBT_REPAID",IQ_FY-9), _xll.ciqfunctions.udf.CIQ(A3378, "IQ_TOTAL_DEBT_REPAID",IQ_FY-8))</f>
        <v>-7.0049999999999999</v>
      </c>
      <c r="O3379" s="15">
        <f t="shared" si="901"/>
        <v>0.25336049917538045</v>
      </c>
      <c r="P3379" s="15">
        <f t="shared" si="902"/>
        <v>-0.25825342398588563</v>
      </c>
      <c r="Q3379" s="25" t="s">
        <v>18</v>
      </c>
      <c r="R3379" s="39" t="s">
        <v>19</v>
      </c>
      <c r="S3379" s="1">
        <f>R3377/((AVERAGE(P3383:P3388))*(1+E3389)^3)</f>
        <v>16.522137411888981</v>
      </c>
      <c r="U3379" s="25" t="s">
        <v>48</v>
      </c>
      <c r="V3379" s="39" t="s">
        <v>19</v>
      </c>
      <c r="W3379" s="1">
        <f>V3377/((AVERAGE(P3383:P3388))*(1+E3389)^3)</f>
        <v>16.522137411888981</v>
      </c>
      <c r="Y3379" s="25" t="s">
        <v>39</v>
      </c>
      <c r="Z3379" s="39" t="s">
        <v>19</v>
      </c>
      <c r="AA3379" s="1">
        <f>Z3377/((AVERAGE(P3383:P3388))*(1+E3389)^3)</f>
        <v>16.522137411888981</v>
      </c>
    </row>
    <row r="3380" spans="1:27">
      <c r="B3380" s="13">
        <v>3</v>
      </c>
      <c r="C3380" s="14" t="s">
        <v>20</v>
      </c>
      <c r="D3380" s="15" cm="1">
        <f t="array" ref="D3380">_xlfn.SINGLE(IF(A3386=A3387,_xll.ciqfunctions.udf.CIQ(A3378,"IQ_TOTAL_REV",IQ_FY-8)/I3380, _xll.ciqfunctions.udf.CIQ(A3378, "IQ_TOTAL_REV",IQ_FY-7)/I3380))</f>
        <v>2.5148214209049358</v>
      </c>
      <c r="E3380" s="16">
        <f t="shared" si="903"/>
        <v>0.20638765665242942</v>
      </c>
      <c r="F3380" s="15">
        <f>IF(A3386=A3387,_xll.ciqfunctions.udf.CIQ(A3378,"IQ_DILUT_EPS_EXCL",IQ_FY-8), _xll.ciqfunctions.udf.CIQ(A3378, "IQ_DILUT_EPS_EXCL",IQ_FY-7))</f>
        <v>-0.51531000000000005</v>
      </c>
      <c r="G3380" s="15">
        <f>IF(A3386=A3387,_xll.ciqfunctions.udf.CIQ(A3378,"IQ_EBITDA_MARGIN",IQ_FY-8), _xll.ciqfunctions.udf.CIQ(A3378, "IQ_EBITDA_MARGIN",IQ_FY-7))</f>
        <v>-10.6791</v>
      </c>
      <c r="H3380" s="15">
        <f>IF(A3386=A3387,_xll.ciqfunctions.udf.CIQ(A3378,"IQ_TOTAL_DIV_PAID_CF",IQ_FY-8)/-I3380, _xll.ciqfunctions.udf.CIQ(A3378, "IQ_TOTAL_DIV_PAID_CF",IQ_FY-7)/-I3380)</f>
        <v>0</v>
      </c>
      <c r="I3380" s="17">
        <f>IF(A3386=A3387,_xll.ciqfunctions.udf.CIQ(A3378,"IQ_TOTAL_OUTSTANDING_FILING_DATE",IQ_FY-8), _xll.ciqfunctions.udf.CIQ(A3378, "IQ_TOTAL_OUTSTANDING_FILING_DATE",IQ_FY-7))</f>
        <v>51.243400000000001</v>
      </c>
      <c r="J3380" s="17">
        <f>IF(A3386=A3387,_xll.ciqfunctions.udf.CIQ(A3378,"IQ_CASH_OPER",IQ_FY-8), _xll.ciqfunctions.udf.CIQ(A3378, "IQ_CASH_OPER",IQ_FY-7))</f>
        <v>-12.939</v>
      </c>
      <c r="K3380" s="17">
        <f>IF(A3386=A3387,_xll.ciqfunctions.udf.CIQ(A3378,"IQ_CAPEX",IQ_FY-8), _xll.ciqfunctions.udf.CIQ(A3378, "IQ_CAPEX",IQ_FY-7))</f>
        <v>-1.1160000000000001</v>
      </c>
      <c r="L3380" s="15">
        <f t="shared" si="900"/>
        <v>-0.27427922425131823</v>
      </c>
      <c r="M3380" s="17">
        <f>IF(A3386=A3387,_xll.ciqfunctions.udf.CIQ(A3378,"IQ_TOTAL_DEBT_ISSUED",IQ_FY-8), _xll.ciqfunctions.udf.CIQ(A3378, "IQ_TOTAL_DEBT_ISSUED",IQ_FY-7))</f>
        <v>0</v>
      </c>
      <c r="N3380" s="17">
        <f>IF(A3386=A3387,_xll.ciqfunctions.udf.CIQ(A3378,"IQ_TOTAL_DEBT_REPAID",IQ_FY-8), _xll.ciqfunctions.udf.CIQ(A3378, "IQ_TOTAL_DEBT_REPAID",IQ_FY-7))</f>
        <v>-9.1910000000000007</v>
      </c>
      <c r="O3380" s="15">
        <f t="shared" si="901"/>
        <v>-0.1793596833933736</v>
      </c>
      <c r="P3380" s="15">
        <f t="shared" si="902"/>
        <v>-0.45363890764469184</v>
      </c>
      <c r="Q3380" s="25" t="s">
        <v>21</v>
      </c>
      <c r="R3380" s="38" t="s">
        <v>49</v>
      </c>
      <c r="S3380" s="2">
        <f>(R3377*I3388)/1000</f>
        <v>5.4420180683999995</v>
      </c>
      <c r="U3380" s="25" t="s">
        <v>59</v>
      </c>
      <c r="V3380" s="38" t="s">
        <v>49</v>
      </c>
      <c r="W3380" s="2">
        <f>(V3377*I3388)/1000</f>
        <v>5.4420180683999995</v>
      </c>
      <c r="Y3380" s="25" t="s">
        <v>46</v>
      </c>
      <c r="Z3380" s="38" t="s">
        <v>49</v>
      </c>
      <c r="AA3380" s="2">
        <f>(Z3377*I3388)/1000</f>
        <v>5.4420180683999995</v>
      </c>
    </row>
    <row r="3381" spans="1:27">
      <c r="A3381" s="18"/>
      <c r="B3381" s="13">
        <v>4</v>
      </c>
      <c r="C3381" s="14" t="s">
        <v>22</v>
      </c>
      <c r="D3381" s="15" cm="1">
        <f t="array" ref="D3381">_xlfn.SINGLE(IF(A3386=A3387,_xll.ciqfunctions.udf.CIQ(A3378,"IQ_TOTAL_REV",IQ_FY-7)/I3381, _xll.ciqfunctions.udf.CIQ(A3378, "IQ_TOTAL_REV",IQ_FY-6)/I3381))</f>
        <v>3.0356172346798624</v>
      </c>
      <c r="E3381" s="16">
        <f t="shared" si="903"/>
        <v>0.20709057487967594</v>
      </c>
      <c r="F3381" s="15">
        <f>IF(A3386=A3387,_xll.ciqfunctions.udf.CIQ(A3378,"IQ_DILUT_EPS_EXCL",IQ_FY-7), _xll.ciqfunctions.udf.CIQ(A3378, "IQ_DILUT_EPS_EXCL",IQ_FY-6))</f>
        <v>-0.22659000000000001</v>
      </c>
      <c r="G3381" s="15">
        <f>IF(A3386=A3387,_xll.ciqfunctions.udf.CIQ(A3378,"IQ_EBITDA_MARGIN",IQ_FY-7), _xll.ciqfunctions.udf.CIQ(A3378, "IQ_EBITDA_MARGIN",IQ_FY-6))</f>
        <v>1.1400999999999999</v>
      </c>
      <c r="H3381" s="15">
        <f>IF(A3386=A3387,_xll.ciqfunctions.udf.CIQ(A3378,"IQ_TOTAL_DIV_PAID_CF",IQ_FY-7)/-I3381, _xll.ciqfunctions.udf.CIQ(A3378, "IQ_TOTAL_DIV_PAID_CF",IQ_FY-6)/-I3381)</f>
        <v>0</v>
      </c>
      <c r="I3381" s="17">
        <f>IF(A3386=A3387,_xll.ciqfunctions.udf.CIQ(A3378,"IQ_TOTAL_OUTSTANDING_FILING_DATE",IQ_FY-7), _xll.ciqfunctions.udf.CIQ(A3378, "IQ_TOTAL_OUTSTANDING_FILING_DATE",IQ_FY-6))</f>
        <v>53.396059999999999</v>
      </c>
      <c r="J3381" s="17">
        <f>IF(A3386=A3387,_xll.ciqfunctions.udf.CIQ(A3378,"IQ_CASH_OPER",IQ_FY-7), _xll.ciqfunctions.udf.CIQ(A3378, "IQ_CASH_OPER",IQ_FY-6))</f>
        <v>6.8380000000000001</v>
      </c>
      <c r="K3381" s="17">
        <f>IF(A3386=A3387,_xll.ciqfunctions.udf.CIQ(A3378,"IQ_CAPEX",IQ_FY-7), _xll.ciqfunctions.udf.CIQ(A3378, "IQ_CAPEX",IQ_FY-6))</f>
        <v>-1.131</v>
      </c>
      <c r="L3381" s="15">
        <f t="shared" si="900"/>
        <v>0.10688054511887207</v>
      </c>
      <c r="M3381" s="17">
        <f>IF(A3386=A3387,_xll.ciqfunctions.udf.CIQ(A3378,"IQ_TOTAL_DEBT_ISSUED",IQ_FY-7), _xll.ciqfunctions.udf.CIQ(A3378, "IQ_TOTAL_DEBT_ISSUED",IQ_FY-6))</f>
        <v>32.594000000000001</v>
      </c>
      <c r="N3381" s="17">
        <f>IF(A3386=A3387,_xll.ciqfunctions.udf.CIQ(A3378,"IQ_TOTAL_DEBT_REPAID",IQ_FY-7), _xll.ciqfunctions.udf.CIQ(A3378, "IQ_TOTAL_DEBT_REPAID",IQ_FY-6))</f>
        <v>-43.088000000000001</v>
      </c>
      <c r="O3381" s="15">
        <f t="shared" si="901"/>
        <v>-0.19653135456061741</v>
      </c>
      <c r="P3381" s="15">
        <f t="shared" si="902"/>
        <v>-8.9650809441745333E-2</v>
      </c>
      <c r="Q3381" s="25" t="s">
        <v>23</v>
      </c>
      <c r="R3381" s="38" t="s">
        <v>24</v>
      </c>
      <c r="S3381" s="1" t="e">
        <f>R3377/(AVERAGE(H3383:H3388)*(1+H3389)/(0.5-H3389))</f>
        <v>#DIV/0!</v>
      </c>
      <c r="U3381" s="25" t="s">
        <v>40</v>
      </c>
      <c r="V3381" s="38" t="s">
        <v>24</v>
      </c>
      <c r="W3381" s="1" t="e">
        <f>V3377/(AVERAGE(H3383:H3388)*(1+H3389)/(0.5-H3389))</f>
        <v>#DIV/0!</v>
      </c>
      <c r="Y3381" s="25" t="s">
        <v>47</v>
      </c>
      <c r="Z3381" s="38" t="s">
        <v>24</v>
      </c>
      <c r="AA3381" s="1" t="e">
        <f>Z3377/(AVERAGE(H3383:H3388)*(1+H3389)/(0.5-H3389))</f>
        <v>#DIV/0!</v>
      </c>
    </row>
    <row r="3382" spans="1:27">
      <c r="B3382" s="13">
        <v>5</v>
      </c>
      <c r="C3382" s="14" t="s">
        <v>25</v>
      </c>
      <c r="D3382" s="15" cm="1">
        <f t="array" ref="D3382">_xlfn.SINGLE(IF(A3386=A3387,_xll.ciqfunctions.udf.CIQ(A3378,"IQ_TOTAL_REV",IQ_FY-6)/I3382, _xll.ciqfunctions.udf.CIQ(A3378, "IQ_TOTAL_REV",IQ_FY-5)/I3382))</f>
        <v>3.5291440585235985</v>
      </c>
      <c r="E3382" s="16">
        <f t="shared" si="903"/>
        <v>0.16257873957412275</v>
      </c>
      <c r="F3382" s="15">
        <f>IF(A3386=A3387,_xll.ciqfunctions.udf.CIQ(A3378,"IQ_DILUT_EPS_EXCL",IQ_FY-6), _xll.ciqfunctions.udf.CIQ(A3378, "IQ_DILUT_EPS_EXCL",IQ_FY-5))</f>
        <v>-0.16322999999999999</v>
      </c>
      <c r="G3382" s="15">
        <f>IF(A3386=A3387,_xll.ciqfunctions.udf.CIQ(A3378,"IQ_EBITDA_MARGIN",IQ_FY-6), _xll.ciqfunctions.udf.CIQ(A3378, "IQ_EBITDA_MARGIN",IQ_FY-5))</f>
        <v>2.2120000000000002</v>
      </c>
      <c r="H3382" s="15">
        <f>IF(A3386=A3387,_xll.ciqfunctions.udf.CIQ(A3378,"IQ_TOTAL_DIV_PAID_CF",IQ_FY-6)/-I3382, _xll.ciqfunctions.udf.CIQ(A3378, "IQ_TOTAL_DIV_PAID_CF",IQ_FY-5)/-I3382)</f>
        <v>0</v>
      </c>
      <c r="I3382" s="17">
        <f>IF(A3386=A3387,_xll.ciqfunctions.udf.CIQ(A3378,"IQ_TOTAL_OUTSTANDING_FILING_DATE",IQ_FY-6), _xll.ciqfunctions.udf.CIQ(A3378, "IQ_TOTAL_OUTSTANDING_FILING_DATE",IQ_FY-5))</f>
        <v>56.734720000000003</v>
      </c>
      <c r="J3382" s="17">
        <f>IF(A3386=A3387,_xll.ciqfunctions.udf.CIQ(A3378,"IQ_CASH_OPER",IQ_FY-6), _xll.ciqfunctions.udf.CIQ(A3378, "IQ_CASH_OPER",IQ_FY-5))</f>
        <v>11.106</v>
      </c>
      <c r="K3382" s="17">
        <f>IF(A3386=A3387,_xll.ciqfunctions.udf.CIQ(A3378,"IQ_CAPEX",IQ_FY-6), _xll.ciqfunctions.udf.CIQ(A3378, "IQ_CAPEX",IQ_FY-5))</f>
        <v>-2.65</v>
      </c>
      <c r="L3382" s="15">
        <f t="shared" si="900"/>
        <v>0.14904453569172454</v>
      </c>
      <c r="M3382" s="17">
        <f>IF(A3386=A3387,_xll.ciqfunctions.udf.CIQ(A3378,"IQ_TOTAL_DEBT_ISSUED",IQ_FY-6), _xll.ciqfunctions.udf.CIQ(A3378, "IQ_TOTAL_DEBT_ISSUED",IQ_FY-5))</f>
        <v>0</v>
      </c>
      <c r="N3382" s="17">
        <f>IF(A3386=A3387,_xll.ciqfunctions.udf.CIQ(A3378,"IQ_TOTAL_DEBT_REPAID",IQ_FY-6), _xll.ciqfunctions.udf.CIQ(A3378, "IQ_TOTAL_DEBT_REPAID",IQ_FY-5))</f>
        <v>-7.7670000000000003</v>
      </c>
      <c r="O3382" s="15">
        <f t="shared" si="901"/>
        <v>-0.13690029667900008</v>
      </c>
      <c r="P3382" s="15">
        <f t="shared" si="902"/>
        <v>1.2144239012724461E-2</v>
      </c>
      <c r="Q3382" s="18"/>
      <c r="R3382" s="38" t="s">
        <v>50</v>
      </c>
      <c r="S3382" s="3">
        <f>I3389</f>
        <v>4.1741317039949877E-2</v>
      </c>
      <c r="U3382" s="18"/>
      <c r="V3382" s="38" t="s">
        <v>50</v>
      </c>
      <c r="W3382" s="3">
        <f>I3389</f>
        <v>4.1741317039949877E-2</v>
      </c>
      <c r="Y3382" s="18"/>
      <c r="Z3382" s="38" t="s">
        <v>50</v>
      </c>
      <c r="AA3382" s="3">
        <f>I3389</f>
        <v>4.1741317039949877E-2</v>
      </c>
    </row>
    <row r="3383" spans="1:27">
      <c r="B3383" s="13">
        <v>6</v>
      </c>
      <c r="C3383" s="14" t="s">
        <v>26</v>
      </c>
      <c r="D3383" s="15" cm="1">
        <f t="array" ref="D3383">_xlfn.SINGLE(IF(A3386=A3387,_xll.ciqfunctions.udf.CIQ(A3378,"IQ_TOTAL_REV",IQ_FY-5)/I3383, _xll.ciqfunctions.udf.CIQ(A3378, "IQ_TOTAL_REV",IQ_FY-4)/I3383))</f>
        <v>4.3485356450005526</v>
      </c>
      <c r="E3383" s="16">
        <f t="shared" si="903"/>
        <v>0.23217856026533043</v>
      </c>
      <c r="F3383" s="15">
        <f>IF(A3386=A3387,_xll.ciqfunctions.udf.CIQ(A3378,"IQ_DILUT_EPS_EXCL",IQ_FY-5), _xll.ciqfunctions.udf.CIQ(A3378, "IQ_DILUT_EPS_EXCL",IQ_FY-4))</f>
        <v>-3.81E-3</v>
      </c>
      <c r="G3383" s="15">
        <f>IF(A3386=A3387,_xll.ciqfunctions.udf.CIQ(A3378,"IQ_EBITDA_MARGIN",IQ_FY-5), _xll.ciqfunctions.udf.CIQ(A3378, "IQ_EBITDA_MARGIN",IQ_FY-4))</f>
        <v>6.7074999999999996</v>
      </c>
      <c r="H3383" s="15">
        <f>IF(A3386=A3387,_xll.ciqfunctions.udf.CIQ(A3378,"IQ_TOTAL_DIV_PAID_CF",IQ_FY-5)/-I3383, _xll.ciqfunctions.udf.CIQ(A3378, "IQ_TOTAL_DIV_PAID_CF",IQ_FY-4)/-I3383)</f>
        <v>0</v>
      </c>
      <c r="I3383" s="17">
        <f>IF(A3386=A3387,_xll.ciqfunctions.udf.CIQ(A3378,"IQ_TOTAL_OUTSTANDING_FILING_DATE",IQ_FY-5), _xll.ciqfunctions.udf.CIQ(A3378, "IQ_TOTAL_OUTSTANDING_FILING_DATE",IQ_FY-4))</f>
        <v>59.253050000000002</v>
      </c>
      <c r="J3383" s="17">
        <f>IF(A3386=A3387,_xll.ciqfunctions.udf.CIQ(A3378,"IQ_CASH_OPER",IQ_FY-5), _xll.ciqfunctions.udf.CIQ(A3378, "IQ_CASH_OPER",IQ_FY-4))</f>
        <v>38.622</v>
      </c>
      <c r="K3383" s="17">
        <f>IF(A3386=A3387,_xll.ciqfunctions.udf.CIQ(A3378,"IQ_CAPEX",IQ_FY-5), _xll.ciqfunctions.udf.CIQ(A3378, "IQ_CAPEX",IQ_FY-4))</f>
        <v>-9.2609999999999992</v>
      </c>
      <c r="L3383" s="15">
        <f t="shared" si="900"/>
        <v>0.49551879607885163</v>
      </c>
      <c r="M3383" s="17">
        <f>IF(A3386=A3387,_xll.ciqfunctions.udf.CIQ(A3378,"IQ_TOTAL_DEBT_ISSUED",IQ_FY-5), _xll.ciqfunctions.udf.CIQ(A3378, "IQ_TOTAL_DEBT_ISSUED",IQ_FY-4))</f>
        <v>250.71100000000001</v>
      </c>
      <c r="N3383" s="17">
        <f>IF(A3386=A3387,_xll.ciqfunctions.udf.CIQ(A3378,"IQ_TOTAL_DEBT_REPAID",IQ_FY-5), _xll.ciqfunctions.udf.CIQ(A3378, "IQ_TOTAL_DEBT_REPAID",IQ_FY-4))</f>
        <v>-41.456000000000003</v>
      </c>
      <c r="O3383" s="15">
        <f t="shared" si="901"/>
        <v>3.5315481650311669</v>
      </c>
      <c r="P3383" s="15">
        <f t="shared" si="902"/>
        <v>4.0270669611100187</v>
      </c>
      <c r="Q3383" s="25" t="s">
        <v>27</v>
      </c>
      <c r="R3383" s="38" t="s">
        <v>51</v>
      </c>
      <c r="S3383" s="4">
        <f>AVERAGE(F3383:F3388)/AVERAGE(D3383:D3388)</f>
        <v>-8.3982773033551922E-2</v>
      </c>
      <c r="U3383" s="25" t="s">
        <v>58</v>
      </c>
      <c r="V3383" s="38" t="s">
        <v>51</v>
      </c>
      <c r="W3383" s="4">
        <f>AVERAGE(F3383:F3388)/AVERAGE(D3383:D3388)</f>
        <v>-8.3982773033551922E-2</v>
      </c>
      <c r="Y3383" s="25" t="s">
        <v>56</v>
      </c>
      <c r="Z3383" s="38" t="s">
        <v>51</v>
      </c>
      <c r="AA3383" s="4">
        <f>AVERAGE(F3383:F3388)/AVERAGE(D3383:D3388)</f>
        <v>-8.3982773033551922E-2</v>
      </c>
    </row>
    <row r="3384" spans="1:27">
      <c r="A3384" s="18"/>
      <c r="B3384" s="13">
        <v>7</v>
      </c>
      <c r="C3384" s="14" t="s">
        <v>28</v>
      </c>
      <c r="D3384" s="15" cm="1">
        <f t="array" ref="D3384">_xlfn.SINGLE(IF(A3386=A3387,_xll.ciqfunctions.udf.CIQ(A3378,"IQ_TOTAL_REV",IQ_FY-4)/I3384, _xll.ciqfunctions.udf.CIQ(A3378, "IQ_TOTAL_REV",IQ_FY-3)/I3384))</f>
        <v>5.3261993878230367</v>
      </c>
      <c r="E3384" s="16">
        <f t="shared" si="903"/>
        <v>0.22482596962186335</v>
      </c>
      <c r="F3384" s="15">
        <f>IF(A3386=A3387,_xll.ciqfunctions.udf.CIQ(A3378,"IQ_DILUT_EPS_EXCL",IQ_FY-4), _xll.ciqfunctions.udf.CIQ(A3378, "IQ_DILUT_EPS_EXCL",IQ_FY-3))</f>
        <v>-7.5399999999999995E-2</v>
      </c>
      <c r="G3384" s="15">
        <f>IF(A3386=A3387,_xll.ciqfunctions.udf.CIQ(A3378,"IQ_EBITDA_MARGIN",IQ_FY-4), _xll.ciqfunctions.udf.CIQ(A3378, "IQ_EBITDA_MARGIN",IQ_FY-3))</f>
        <v>5.4696999999999996</v>
      </c>
      <c r="H3384" s="15">
        <f>IF(A3386=A3387,_xll.ciqfunctions.udf.CIQ(A3378,"IQ_TOTAL_DIV_PAID_CF",IQ_FY-4)/-I3384, _xll.ciqfunctions.udf.CIQ(A3378, "IQ_TOTAL_DIV_PAID_CF",IQ_FY-3)/-I3384)</f>
        <v>0</v>
      </c>
      <c r="I3384" s="17">
        <f>IF(A3386=A3387,_xll.ciqfunctions.udf.CIQ(A3378,"IQ_TOTAL_OUTSTANDING_FILING_DATE",IQ_FY-4), _xll.ciqfunctions.udf.CIQ(A3378, "IQ_TOTAL_OUTSTANDING_FILING_DATE",IQ_FY-3))</f>
        <v>61.583500000000001</v>
      </c>
      <c r="J3384" s="17">
        <f>IF(A3386=A3387,_xll.ciqfunctions.udf.CIQ(A3378,"IQ_CASH_OPER",IQ_FY-4), _xll.ciqfunctions.udf.CIQ(A3378, "IQ_CASH_OPER",IQ_FY-3))</f>
        <v>51.220999999999997</v>
      </c>
      <c r="K3384" s="17">
        <f>IF(A3386=A3387,_xll.ciqfunctions.udf.CIQ(A3378,"IQ_CAPEX",IQ_FY-4), _xll.ciqfunctions.udf.CIQ(A3378, "IQ_CAPEX",IQ_FY-3))</f>
        <v>-19.228000000000002</v>
      </c>
      <c r="L3384" s="15">
        <f t="shared" si="900"/>
        <v>0.51950603651952221</v>
      </c>
      <c r="M3384" s="17">
        <f>IF(A3386=A3387,_xll.ciqfunctions.udf.CIQ(A3378,"IQ_TOTAL_DEBT_ISSUED",IQ_FY-4), _xll.ciqfunctions.udf.CIQ(A3378, "IQ_TOTAL_DEBT_ISSUED",IQ_FY-3))</f>
        <v>0</v>
      </c>
      <c r="N3384" s="17">
        <f>IF(A3386=A3387,_xll.ciqfunctions.udf.CIQ(A3378,"IQ_TOTAL_DEBT_REPAID",IQ_FY-4), _xll.ciqfunctions.udf.CIQ(A3378, "IQ_TOTAL_DEBT_REPAID",IQ_FY-3))</f>
        <v>-7.0540000000000003</v>
      </c>
      <c r="O3384" s="15">
        <f t="shared" si="901"/>
        <v>-0.11454366835272435</v>
      </c>
      <c r="P3384" s="15">
        <f t="shared" si="902"/>
        <v>0.40496236816679787</v>
      </c>
      <c r="Q3384" s="18"/>
      <c r="R3384" s="38" t="s">
        <v>29</v>
      </c>
      <c r="S3384" s="4">
        <f>(AVERAGE(P3383:P3388)/_xlfn.STDEV.P(P3383:P3388))/(IF(A3386=A3387,(_xlfn.SINGLE(_xll.ciqfunctions.udf.CIQ(A3378,"IQ_total_assets",IQ_FY)) - _xlfn.SINGLE(_xll.ciqfunctions.udf.CIQ(A3378,"iq_gw_intan", IQ_FY)))/I3388, (_xlfn.SINGLE(_xll.ciqfunctions.udf.CIQ(A3378, "IQ_total_assets",IQ_LTM))-_xlfn.SINGLE(_xll.ciqfunctions.udf.CIQ(A3378,"iq_gw_intan",IQ_LTM)))/I3388))</f>
        <v>4.858611606754213E-2</v>
      </c>
      <c r="U3384" s="18"/>
      <c r="V3384" s="38" t="s">
        <v>29</v>
      </c>
      <c r="W3384" s="4">
        <f>(AVERAGE(P3383:P3388)/_xlfn.STDEV.P(P3383:P3388))/(IF(A3386=A3387,(_xlfn.SINGLE(_xll.ciqfunctions.udf.CIQ(A3378,"IQ_total_assets",IQ_FY)) - _xlfn.SINGLE(_xll.ciqfunctions.udf.CIQ(A3378,"iq_gw_intan", IQ_FY)))/I3388, (_xlfn.SINGLE(_xll.ciqfunctions.udf.CIQ(A3378, "IQ_total_assets",IQ_LTM))-_xlfn.SINGLE(_xll.ciqfunctions.udf.CIQ(A3378,"iq_gw_intan",IQ_LTM)))/I3388))</f>
        <v>4.858611606754213E-2</v>
      </c>
      <c r="Y3384" s="18"/>
      <c r="Z3384" s="38" t="s">
        <v>29</v>
      </c>
      <c r="AA3384" s="4">
        <f>(AVERAGE(P3383:P3388)/_xlfn.STDEV.P(P3383:P3388))/(IF(A3386=A3387,(_xlfn.SINGLE(_xll.ciqfunctions.udf.CIQ(A3378,"IQ_total_assets",IQ_FY)) - _xlfn.SINGLE(_xll.ciqfunctions.udf.CIQ(A3378,"iq_gw_intan", IQ_FY)))/I3388, (_xlfn.SINGLE(_xll.ciqfunctions.udf.CIQ(A3378, "IQ_total_assets",IQ_LTM))-_xlfn.SINGLE(_xll.ciqfunctions.udf.CIQ(A3378,"iq_gw_intan",IQ_LTM)))/I3388))</f>
        <v>4.858611606754213E-2</v>
      </c>
    </row>
    <row r="3385" spans="1:27">
      <c r="A3385" s="18"/>
      <c r="B3385" s="13">
        <v>8</v>
      </c>
      <c r="C3385" s="14" t="s">
        <v>30</v>
      </c>
      <c r="D3385" s="15" cm="1">
        <f t="array" ref="D3385">_xlfn.SINGLE(IF(A3386=A3387,_xll.ciqfunctions.udf.CIQ(A3378,"IQ_TOTAL_REV",IQ_FY-3)/I3385, _xll.ciqfunctions.udf.CIQ(A3378, "IQ_TOTAL_REV",IQ_FY-2)/I3385))</f>
        <v>6.5242861296138344</v>
      </c>
      <c r="E3385" s="16">
        <f t="shared" si="903"/>
        <v>0.22494215003101647</v>
      </c>
      <c r="F3385" s="15">
        <f>IF(A3386=A3387,_xll.ciqfunctions.udf.CIQ(A3378,"IQ_DILUT_EPS_EXCL",IQ_FY-3), _xll.ciqfunctions.udf.CIQ(A3378, "IQ_DILUT_EPS_EXCL",IQ_FY-2))</f>
        <v>-0.65669999999999995</v>
      </c>
      <c r="G3385" s="15">
        <f>IF(A3386=A3387,_xll.ciqfunctions.udf.CIQ(A3378,"IQ_EBITDA_MARGIN",IQ_FY-3), _xll.ciqfunctions.udf.CIQ(A3378, "IQ_EBITDA_MARGIN",IQ_FY-2))</f>
        <v>2.9390000000000001</v>
      </c>
      <c r="H3385" s="15">
        <f>IF(A3386=A3387,_xll.ciqfunctions.udf.CIQ(A3378,"IQ_TOTAL_DIV_PAID_CF",IQ_FY-3)/-I3385, _xll.ciqfunctions.udf.CIQ(A3378, "IQ_TOTAL_DIV_PAID_CF",IQ_FY-2)/-I3385)</f>
        <v>0</v>
      </c>
      <c r="I3385" s="17">
        <f>IF(A3386=A3387,_xll.ciqfunctions.udf.CIQ(A3378,"IQ_TOTAL_OUTSTANDING_FILING_DATE",IQ_FY-3), _xll.ciqfunctions.udf.CIQ(A3378, "IQ_TOTAL_OUTSTANDING_FILING_DATE",IQ_FY-2))</f>
        <v>66.659859999999995</v>
      </c>
      <c r="J3385" s="17">
        <f>IF(A3386=A3387,_xll.ciqfunctions.udf.CIQ(A3378,"IQ_CASH_OPER",IQ_FY-3), _xll.ciqfunctions.udf.CIQ(A3378, "IQ_CASH_OPER",IQ_FY-2))</f>
        <v>67.302000000000007</v>
      </c>
      <c r="K3385" s="17">
        <f>IF(A3386=A3387,_xll.ciqfunctions.udf.CIQ(A3378,"IQ_CAPEX",IQ_FY-3), _xll.ciqfunctions.udf.CIQ(A3378, "IQ_CAPEX",IQ_FY-2))</f>
        <v>-30.422000000000001</v>
      </c>
      <c r="L3385" s="15">
        <f t="shared" si="900"/>
        <v>0.55325648748737266</v>
      </c>
      <c r="M3385" s="17">
        <f>IF(A3386=A3387,_xll.ciqfunctions.udf.CIQ(A3378,"IQ_TOTAL_DEBT_ISSUED",IQ_FY-3), _xll.ciqfunctions.udf.CIQ(A3378, "IQ_TOTAL_DEBT_ISSUED",IQ_FY-2))</f>
        <v>728.81200000000001</v>
      </c>
      <c r="N3385" s="17">
        <f>IF(A3386=A3387,_xll.ciqfunctions.udf.CIQ(A3378,"IQ_TOTAL_DEBT_REPAID",IQ_FY-3), _xll.ciqfunctions.udf.CIQ(A3378, "IQ_TOTAL_DEBT_REPAID",IQ_FY-2))</f>
        <v>-204.065</v>
      </c>
      <c r="O3385" s="15">
        <f t="shared" si="901"/>
        <v>7.8720087320915484</v>
      </c>
      <c r="P3385" s="15">
        <f t="shared" si="902"/>
        <v>8.4252652195789217</v>
      </c>
      <c r="Q3385" s="18"/>
      <c r="R3385" s="39" t="s">
        <v>31</v>
      </c>
      <c r="S3385" s="5">
        <f>IF(NOT(D3378&gt;0),FALSE,SLOPE(G3378:G3388,B3378:B3388))</f>
        <v>2.3653209090909093</v>
      </c>
      <c r="U3385" s="18"/>
      <c r="V3385" s="39" t="s">
        <v>31</v>
      </c>
      <c r="W3385" s="5">
        <f>IF(NOT(D3378&gt;0),FALSE,SLOPE(G3378:G3388,B3378:B3388))</f>
        <v>2.3653209090909093</v>
      </c>
      <c r="Y3385" s="18"/>
      <c r="Z3385" s="39" t="s">
        <v>31</v>
      </c>
      <c r="AA3385" s="5" t="b">
        <f>IF(NOT(L3378&gt;0),FALSE,SLOPE(O3378:O3388,J3378:J3388))</f>
        <v>0</v>
      </c>
    </row>
    <row r="3386" spans="1:27">
      <c r="A3386" s="19">
        <f>_xll.ciqfunctions.udf.CIQ(A3378,"IQ_TOTAL_REV",IQ_FY)</f>
        <v>778.846</v>
      </c>
      <c r="B3386" s="13">
        <v>9</v>
      </c>
      <c r="C3386" s="14" t="s">
        <v>32</v>
      </c>
      <c r="D3386" s="15" cm="1">
        <f t="array" ref="D3386">_xlfn.SINGLE(IF(A3386=A3387,_xll.ciqfunctions.udf.CIQ(A3378,"IQ_TOTAL_REV",IQ_FY-2)/I3386, _xll.ciqfunctions.udf.CIQ(A3378, "IQ_TOTAL_REV",IQ_FY-1)/I3386))</f>
        <v>8.8155365134327575</v>
      </c>
      <c r="E3386" s="16">
        <f t="shared" si="903"/>
        <v>0.35118790597164379</v>
      </c>
      <c r="F3386" s="15">
        <f>IF(A3386=A3387,_xll.ciqfunctions.udf.CIQ(A3378,"IQ_DILUT_EPS_EXCL",IQ_FY-2), _xll.ciqfunctions.udf.CIQ(A3378, "IQ_DILUT_EPS_EXCL",IQ_FY-1))</f>
        <v>-0.78505000000000003</v>
      </c>
      <c r="G3386" s="15">
        <f>IF(A3386=A3387,_xll.ciqfunctions.udf.CIQ(A3378,"IQ_EBITDA_MARGIN",IQ_FY-2), _xll.ciqfunctions.udf.CIQ(A3378, "IQ_EBITDA_MARGIN",IQ_FY-1))</f>
        <v>0.27850000000000003</v>
      </c>
      <c r="H3386" s="15">
        <f>IF(A3386=A3387,_xll.ciqfunctions.udf.CIQ(A3378,"IQ_TOTAL_DIV_PAID_CF",IQ_FY-2)/-I3386, _xll.ciqfunctions.udf.CIQ(A3378, "IQ_TOTAL_DIV_PAID_CF",IQ_FY-1)/-I3386)</f>
        <v>0</v>
      </c>
      <c r="I3386" s="17">
        <f>IF(A3386=A3387,_xll.ciqfunctions.udf.CIQ(A3378,"IQ_TOTAL_OUTSTANDING_FILING_DATE",IQ_FY-2), _xll.ciqfunctions.udf.CIQ(A3378, "IQ_TOTAL_OUTSTANDING_FILING_DATE",IQ_FY-1))</f>
        <v>69.149619999999999</v>
      </c>
      <c r="J3386" s="17">
        <f>IF(A3386=A3387,_xll.ciqfunctions.udf.CIQ(A3378,"IQ_CASH_OPER",IQ_FY-2), _xll.ciqfunctions.udf.CIQ(A3378, "IQ_CASH_OPER",IQ_FY-1))</f>
        <v>28.998000000000001</v>
      </c>
      <c r="K3386" s="17">
        <f>IF(A3386=A3387,_xll.ciqfunctions.udf.CIQ(A3378,"IQ_CAPEX",IQ_FY-2), _xll.ciqfunctions.udf.CIQ(A3378, "IQ_CAPEX",IQ_FY-1))</f>
        <v>-42.216000000000001</v>
      </c>
      <c r="L3386" s="15">
        <f t="shared" si="900"/>
        <v>-0.19115072505098366</v>
      </c>
      <c r="M3386" s="17">
        <f>IF(A3386=A3387,_xll.ciqfunctions.udf.CIQ(A3378,"IQ_TOTAL_DEBT_ISSUED",IQ_FY-2), _xll.ciqfunctions.udf.CIQ(A3378, "IQ_TOTAL_DEBT_ISSUED",IQ_FY-1))</f>
        <v>0</v>
      </c>
      <c r="N3386" s="17">
        <f>IF(A3386=A3387,_xll.ciqfunctions.udf.CIQ(A3378,"IQ_TOTAL_DEBT_REPAID",IQ_FY-2), _xll.ciqfunctions.udf.CIQ(A3378, "IQ_TOTAL_DEBT_REPAID",IQ_FY-1))</f>
        <v>-25.3</v>
      </c>
      <c r="O3386" s="15">
        <f t="shared" si="901"/>
        <v>-0.36587330487137892</v>
      </c>
      <c r="P3386" s="15">
        <f t="shared" si="902"/>
        <v>-0.55702402992236255</v>
      </c>
      <c r="Q3386" s="25" t="s">
        <v>33</v>
      </c>
      <c r="R3386" s="38" t="s">
        <v>52</v>
      </c>
      <c r="S3386" s="4">
        <f>(AVERAGE(O3383:O3388)/AVERAGE(P3383:P3388))</f>
        <v>0.77898734191390162</v>
      </c>
      <c r="U3386" s="25" t="s">
        <v>54</v>
      </c>
      <c r="V3386" s="38" t="s">
        <v>52</v>
      </c>
      <c r="W3386" s="4">
        <f>(AVERAGE(O3383:O3388)/AVERAGE(P3383:P3388))</f>
        <v>0.77898734191390162</v>
      </c>
      <c r="Y3386" s="25" t="s">
        <v>60</v>
      </c>
      <c r="Z3386" s="38" t="s">
        <v>52</v>
      </c>
      <c r="AA3386" s="4">
        <f>(AVERAGE(O3383:O3388)/AVERAGE(P3383:P3388))</f>
        <v>0.77898734191390162</v>
      </c>
    </row>
    <row r="3387" spans="1:27">
      <c r="A3387" s="19">
        <f>_xll.ciqfunctions.udf.CIQ(A3378,"IQ_TOTAL_REV",IQ_LTM)</f>
        <v>879.77099999999996</v>
      </c>
      <c r="B3387" s="13">
        <v>10</v>
      </c>
      <c r="C3387" s="14" t="s">
        <v>34</v>
      </c>
      <c r="D3387" s="15" cm="1">
        <f t="array" ref="D3387">_xlfn.SINGLE(IF(A3386=A3387,_xll.ciqfunctions.udf.CIQ(A3378,"IQ_TOTAL_REV",IQ_FY-1)/I3387, _xll.ciqfunctions.udf.CIQ(A3378, "IQ_TOTAL_REV",IQ_FY)/I3387))</f>
        <v>10.946329331253635</v>
      </c>
      <c r="E3387" s="16">
        <f t="shared" si="903"/>
        <v>0.24170880746441939</v>
      </c>
      <c r="F3387" s="15">
        <f>IF(A3386=A3387,_xll.ciqfunctions.udf.CIQ(A3378,"IQ_DILUT_EPS_EXCL",IQ_FY-1), _xll.ciqfunctions.udf.CIQ(A3378, "IQ_DILUT_EPS_EXCL",IQ_FY))</f>
        <v>-1.3536900000000001</v>
      </c>
      <c r="G3387" s="15">
        <f>IF(A3386=A3387,_xll.ciqfunctions.udf.CIQ(A3378,"IQ_EBITDA_MARGIN",IQ_FY-1), _xll.ciqfunctions.udf.CIQ(A3378, "IQ_EBITDA_MARGIN",IQ_FY))</f>
        <v>-3.5629</v>
      </c>
      <c r="H3387" s="15">
        <f>IF(A3386=A3387,_xll.ciqfunctions.udf.CIQ(A3378,"IQ_TOTAL_DIV_PAID_CF",IQ_FY-1)/-I3387, _xll.ciqfunctions.udf.CIQ(A3378, "IQ_TOTAL_DIV_PAID_CF",IQ_FY)/-I3387)</f>
        <v>0</v>
      </c>
      <c r="I3387" s="17">
        <f>IF(A3386=A3387,_xll.ciqfunctions.udf.CIQ(A3378,"IQ_TOTAL_OUTSTANDING_FILING_DATE",IQ_FY-1), _xll.ciqfunctions.udf.CIQ(A3378, "IQ_TOTAL_OUTSTANDING_FILING_DATE",IQ_FY))</f>
        <v>71.151340000000005</v>
      </c>
      <c r="J3387" s="17">
        <f>IF(A3386=A3387,_xll.ciqfunctions.udf.CIQ(A3378,"IQ_CASH_OPER",IQ_FY-1), _xll.ciqfunctions.udf.CIQ(A3378, "IQ_CASH_OPER",IQ_FY))</f>
        <v>88.864999999999995</v>
      </c>
      <c r="K3387" s="17">
        <f>IF(A3386=A3387,_xll.ciqfunctions.udf.CIQ(A3378,"IQ_CAPEX",IQ_FY-1), _xll.ciqfunctions.udf.CIQ(A3378, "IQ_CAPEX",IQ_FY))</f>
        <v>-52.271999999999998</v>
      </c>
      <c r="L3387" s="15">
        <f t="shared" si="900"/>
        <v>0.51429811441358653</v>
      </c>
      <c r="M3387" s="17">
        <f>IF(A3386=A3387,_xll.ciqfunctions.udf.CIQ(A3378,"IQ_TOTAL_DEBT_ISSUED",IQ_FY-1), _xll.ciqfunctions.udf.CIQ(A3378, "IQ_TOTAL_DEBT_ISSUED",IQ_FY))</f>
        <v>0</v>
      </c>
      <c r="N3387" s="17">
        <f>IF(A3386=A3387,_xll.ciqfunctions.udf.CIQ(A3378,"IQ_TOTAL_DEBT_REPAID",IQ_FY-1), _xll.ciqfunctions.udf.CIQ(A3378, "IQ_TOTAL_DEBT_REPAID",IQ_FY))</f>
        <v>-34.067</v>
      </c>
      <c r="O3387" s="15">
        <f t="shared" si="901"/>
        <v>-0.47879632344239753</v>
      </c>
      <c r="P3387" s="15">
        <f t="shared" si="902"/>
        <v>3.5501790971188996E-2</v>
      </c>
      <c r="Q3387" s="25" t="s">
        <v>44</v>
      </c>
      <c r="R3387" s="38" t="s">
        <v>35</v>
      </c>
      <c r="S3387" s="1" t="str">
        <f>_xll.ciqfunctions.udf.CIQ(A3378,"IQ_TEV_EBITDA")</f>
        <v>NM</v>
      </c>
      <c r="U3387" s="25" t="s">
        <v>55</v>
      </c>
      <c r="V3387" s="38" t="s">
        <v>53</v>
      </c>
      <c r="W3387" s="1">
        <f>V3377/(AVERAGE(D3383:D3388)/_xlfn.STDEV.P(E3383:E3388))</f>
        <v>0.66476703802198644</v>
      </c>
      <c r="Y3387" s="25" t="s">
        <v>57</v>
      </c>
      <c r="Z3387" s="38" t="s">
        <v>53</v>
      </c>
      <c r="AA3387" s="1">
        <f>Z3377/(AVERAGE(D3383:D3388)/_xlfn.STDEV.P(E3383:E3388))</f>
        <v>0.66476703802198644</v>
      </c>
    </row>
    <row r="3388" spans="1:27">
      <c r="B3388" s="13">
        <v>11</v>
      </c>
      <c r="C3388" s="20" t="s">
        <v>36</v>
      </c>
      <c r="D3388" s="21" cm="1">
        <f t="array" ref="D3388">_xlfn.SINGLE(IF(A3386=A3387,_xll.ciqfunctions.udf.CIQ(A3378,"IQ_TOTAL_REV",IQ_FY)/I3388, _xll.ciqfunctions.udf.CIQ(A3378, "IQ_TOTAL_REV",IQ_LTM)/I3388))</f>
        <v>12.102065122206275</v>
      </c>
      <c r="E3388" s="22">
        <f t="shared" si="903"/>
        <v>0.10558204088130417</v>
      </c>
      <c r="F3388" s="21">
        <f>IF(A3386=A3387,_xll.ciqfunctions.udf.CIQ(A3378,"IQ_DILUT_EPS_EXCL",IQ_FY), _xll.ciqfunctions.udf.CIQ(A3378, "IQ_DILUT_EPS_EXCL",IQ_LTM))</f>
        <v>-1.16181</v>
      </c>
      <c r="G3388" s="21">
        <f>IF(A3386=A3387,_xll.ciqfunctions.udf.CIQ(A3378,"IQ_EBITDA_MARGIN",IQ_FY), _xll.ciqfunctions.udf.CIQ(A3378, "IQ_EBITDA_MARGIN",IQ_LTM))</f>
        <v>-3.9094000000000002</v>
      </c>
      <c r="H3388" s="21">
        <f>IF(A3386=A3387,_xll.ciqfunctions.udf.CIQ(A3378,"IQ_TOTAL_DIV_PAID_CF",IQ_FY)/-I3388, _xll.ciqfunctions.udf.CIQ(A3378, "IQ_TOTAL_DIV_PAID_CF",IQ_LTM)/-I3388)</f>
        <v>0</v>
      </c>
      <c r="I3388" s="23">
        <f>IF(A3386=A3387,_xll.ciqfunctions.udf.CIQ(A3378,"IQ_TOTAL_OUTSTANDING_FILING_DATE",IQ_FY),_xll.ciqfunctions.udf.CIQ(A3378,"IQ_sharesoutstanding"))</f>
        <v>72.695939999999993</v>
      </c>
      <c r="J3388" s="23">
        <f>IF(A3386=A3387,_xll.ciqfunctions.udf.CIQ(A3378,"IQ_CASH_OPER",IQ_FY), _xll.ciqfunctions.udf.CIQ(A3378, "IQ_CASH_OPER",IQ_LTM))</f>
        <v>125.03400000000001</v>
      </c>
      <c r="K3388" s="23">
        <f>IF(A3386=A3387,_xll.ciqfunctions.udf.CIQ(A3378,"IQ_CAPEX",IQ_FY), _xll.ciqfunctions.udf.CIQ(A3378, "IQ_CAPEX",IQ_LTM))</f>
        <v>-26.184999999999999</v>
      </c>
      <c r="L3388" s="21">
        <f t="shared" si="900"/>
        <v>1.359759568416063</v>
      </c>
      <c r="M3388" s="23">
        <f>IF(A3386=A3387,_xll.ciqfunctions.udf.CIQ(A3378,"IQ_TOTAL_DEBT_ISSUED",IQ_FY), _xll.ciqfunctions.udf.CIQ(A3378, "IQ_TOTAL_DEBT_ISSUED",IQ_LTM))</f>
        <v>74.453000000000003</v>
      </c>
      <c r="N3388" s="23">
        <f>IF(A3386=A3387,_xll.ciqfunctions.udf.CIQ(A3378,"IQ_TOTAL_DEBT_REPAID",IQ_FY), _xll.ciqfunctions.udf.CIQ(A3378, "IQ_TOTAL_DEBT_REPAID",IQ_LTM))</f>
        <v>-0.67500000000000004</v>
      </c>
      <c r="O3388" s="21">
        <f t="shared" si="901"/>
        <v>1.0148847377171271</v>
      </c>
      <c r="P3388" s="21">
        <f t="shared" si="902"/>
        <v>2.3746443061331899</v>
      </c>
      <c r="Q3388" s="25" t="s">
        <v>45</v>
      </c>
      <c r="S3388" s="45"/>
      <c r="U3388" s="25"/>
      <c r="W3388" s="45"/>
      <c r="Y3388" s="25"/>
      <c r="AA3388" s="45"/>
    </row>
    <row r="3389" spans="1:27">
      <c r="B3389" s="24"/>
      <c r="C3389" s="25" t="s">
        <v>37</v>
      </c>
      <c r="E3389" s="26">
        <f>((D3388/D3383)^(1/5))-1</f>
        <v>0.22716593243108862</v>
      </c>
      <c r="F3389" s="27">
        <f>((F3388/F3383)^(1/5))-1</f>
        <v>2.1393665526472732</v>
      </c>
      <c r="G3389" s="28"/>
      <c r="H3389" s="27" t="e">
        <f>((H3388/H3383)^(1/5))-1</f>
        <v>#DIV/0!</v>
      </c>
      <c r="I3389" s="27">
        <f>((I3388/I3383)^(1/5))-1</f>
        <v>4.1741317039949877E-2</v>
      </c>
      <c r="J3389" s="27"/>
      <c r="K3389" s="27"/>
      <c r="L3389" s="26">
        <f>((L3388/L3383)^(1/5))-1</f>
        <v>0.22371532290368812</v>
      </c>
      <c r="M3389" s="26"/>
      <c r="N3389" s="26"/>
      <c r="O3389" s="26"/>
      <c r="P3389" s="26">
        <f>((P3388/P3383)^(1/5))-1</f>
        <v>-0.10024981811055433</v>
      </c>
      <c r="Q3389" s="18"/>
      <c r="R3389" s="36"/>
      <c r="S3389" s="45"/>
      <c r="U3389" s="18"/>
      <c r="V3389" s="36"/>
      <c r="W3389" s="45"/>
      <c r="Y3389" s="18"/>
      <c r="Z3389" s="36"/>
      <c r="AA3389" s="45"/>
    </row>
    <row r="3390" spans="1:27">
      <c r="A3390" s="29"/>
      <c r="B3390" s="30"/>
      <c r="C3390" s="31" t="s">
        <v>38</v>
      </c>
      <c r="D3390" s="29"/>
      <c r="E3390" s="32">
        <f>((D3388/D3378)^(1/10))-1</f>
        <v>0.20812102467817106</v>
      </c>
      <c r="F3390" s="33">
        <f>((F3388/F3378)^(1/10))-1</f>
        <v>-0.17356104920664972</v>
      </c>
      <c r="G3390" s="34"/>
      <c r="H3390" s="33" t="e">
        <f>((H3388/H3378)^(1/10))-1</f>
        <v>#DIV/0!</v>
      </c>
      <c r="I3390" s="33">
        <f>((I3388/I3378)^(1/10))-1</f>
        <v>4.6719706267468242E-2</v>
      </c>
      <c r="J3390" s="33"/>
      <c r="K3390" s="33"/>
      <c r="L3390" s="32" t="e">
        <f>((L3388/L3378)^(1/10))-1</f>
        <v>#NUM!</v>
      </c>
      <c r="M3390" s="32"/>
      <c r="N3390" s="32"/>
      <c r="O3390" s="32"/>
      <c r="P3390" s="32" t="e">
        <f>((P3388/P3378)^(1/10))-1</f>
        <v>#NUM!</v>
      </c>
      <c r="Q3390" s="40"/>
      <c r="R3390" s="41"/>
      <c r="S3390" s="46"/>
      <c r="U3390" s="40"/>
      <c r="V3390" s="41"/>
      <c r="W3390" s="46"/>
      <c r="Y3390" s="40"/>
      <c r="Z3390" s="41"/>
      <c r="AA3390" s="46"/>
    </row>
    <row r="3391" spans="1:27">
      <c r="B3391" s="24"/>
      <c r="C3391" s="25"/>
      <c r="E3391" s="26"/>
      <c r="F3391" s="27"/>
      <c r="G3391" s="28"/>
      <c r="H3391" s="27"/>
      <c r="I3391" s="27"/>
      <c r="J3391" s="27"/>
      <c r="K3391" s="27"/>
      <c r="L3391" s="26"/>
      <c r="M3391" s="17"/>
      <c r="N3391" s="17"/>
      <c r="O3391" s="17"/>
      <c r="P3391" s="35"/>
      <c r="Q3391" s="18"/>
      <c r="R3391" s="36"/>
    </row>
    <row r="3392" spans="1:27">
      <c r="A3392" s="9" t="s">
        <v>0</v>
      </c>
      <c r="B3392" s="10"/>
      <c r="C3392" s="9" t="s">
        <v>1</v>
      </c>
      <c r="D3392" s="9" t="s">
        <v>2</v>
      </c>
      <c r="E3392" s="9" t="s">
        <v>3</v>
      </c>
      <c r="F3392" s="11" t="s">
        <v>4</v>
      </c>
      <c r="G3392" s="11" t="s">
        <v>5</v>
      </c>
      <c r="H3392" s="9" t="s">
        <v>6</v>
      </c>
      <c r="I3392" s="11" t="s">
        <v>7</v>
      </c>
      <c r="J3392" s="11" t="s">
        <v>8</v>
      </c>
      <c r="K3392" s="11" t="s">
        <v>9</v>
      </c>
      <c r="L3392" s="11" t="s">
        <v>10</v>
      </c>
      <c r="M3392" s="11" t="s">
        <v>11</v>
      </c>
      <c r="N3392" s="11" t="s">
        <v>12</v>
      </c>
      <c r="O3392" s="11" t="s">
        <v>13</v>
      </c>
      <c r="P3392" s="11" t="s">
        <v>14</v>
      </c>
      <c r="Q3392" s="37" t="s">
        <v>15</v>
      </c>
      <c r="R3392" s="42">
        <f>_xll.ciqfunctions.udf.CIQ(A3393,("IQ_LASTSALEPRICE"))</f>
        <v>11.55</v>
      </c>
      <c r="S3392" s="44"/>
      <c r="U3392" s="37" t="s">
        <v>15</v>
      </c>
      <c r="V3392" s="42">
        <f>_xll.ciqfunctions.udf.CIQ(A3393,("IQ_LASTSALEPRICE"))</f>
        <v>11.55</v>
      </c>
      <c r="W3392" s="44"/>
      <c r="Y3392" s="37" t="s">
        <v>15</v>
      </c>
      <c r="Z3392" s="42">
        <f>_xll.ciqfunctions.udf.CIQ(A3393,("IQ_LASTSALEPRICE"))</f>
        <v>11.55</v>
      </c>
      <c r="AA3392" s="44"/>
    </row>
    <row r="3393" spans="1:27">
      <c r="A3393" s="12" t="str">
        <f>Analysis!B228</f>
        <v>NYSE:SWI</v>
      </c>
      <c r="B3393" s="13">
        <v>1</v>
      </c>
      <c r="C3393" s="14" t="s">
        <v>16</v>
      </c>
      <c r="D3393" s="15">
        <f>IF(A3401=A3402,_xll.ciqfunctions.udf.CIQ(A3393,"IQ_TOTAL_REV",IQ_FY-10)/I3393,_xll.ciqfunctions.udf.CIQ(A3393, "IQ_TOTAL_REV",IQ_FY-9)/I3393)</f>
        <v>3.587781555160654</v>
      </c>
      <c r="E3393" s="16"/>
      <c r="F3393" s="15">
        <f>IF(A3401=A3402,_xll.ciqfunctions.udf.CIQ(A3393,"IQ_DILUT_EPS_EXCL",IQ_FY-10), _xll.ciqfunctions.udf.CIQ(A3393, "IQ_DILUT_EPS_EXCL",IQ_FY-9))</f>
        <v>2.14</v>
      </c>
      <c r="G3393" s="15">
        <f>IF(A3401=A3402,_xll.ciqfunctions.udf.CIQ(A3393,"IQ_EBITDA_MARGIN",IQ_FY-10), _xll.ciqfunctions.udf.CIQ(A3393, "IQ_EBITDA_MARGIN",IQ_FY-9))</f>
        <v>46.533700000000003</v>
      </c>
      <c r="H3393" s="15">
        <f>IF(A3401=A3402,_xll.ciqfunctions.udf.CIQ(A3393,"IQ_TOTAL_DIV_PAID_CF",IQ_FY-10)/-I3393, _xll.ciqfunctions.udf.CIQ(A3393, "IQ_TOTAL_DIV_PAID_CF",IQ_FY-9)/-I3393)</f>
        <v>0</v>
      </c>
      <c r="I3393" s="17">
        <f>IF(A3401=A3402,_xll.ciqfunctions.udf.CIQ(A3393,"IQ_TOTAL_OUTSTANDING_FILING_DATE",IQ_FY-10), _xll.ciqfunctions.udf.CIQ(A3393, "IQ_TOTAL_OUTSTANDING_FILING_DATE",IQ_FY-9))</f>
        <v>74.966660000000005</v>
      </c>
      <c r="J3393" s="17">
        <f>IF(A3401=A3402,_xll.ciqfunctions.udf.CIQ(A3393,"IQ_CASH_OPER",IQ_FY-10), _xll.ciqfunctions.udf.CIQ(A3393, "IQ_CASH_OPER",IQ_FY-9))</f>
        <v>143.447</v>
      </c>
      <c r="K3393" s="17">
        <f>IF(A3401=A3402,_xll.ciqfunctions.udf.CIQ(A3393,"IQ_CAPEX",IQ_FY-10), _xll.ciqfunctions.udf.CIQ(A3393, "IQ_CAPEX",IQ_FY-9))</f>
        <v>-3.8849999999999998</v>
      </c>
      <c r="L3393" s="15">
        <f t="shared" ref="L3393:L3403" si="904">(J3393+K3393)/I3393</f>
        <v>1.8616542340288336</v>
      </c>
      <c r="M3393" s="17">
        <f>IF(A3401=A3402,_xll.ciqfunctions.udf.CIQ(A3393,"IQ_TOTAL_DEBT_ISSUED",IQ_FY-10), _xll.ciqfunctions.udf.CIQ(A3393, "IQ_TOTAL_DEBT_ISSUED",IQ_FY-9))</f>
        <v>0</v>
      </c>
      <c r="N3393" s="17">
        <f>IF(A3401=A3402,_xll.ciqfunctions.udf.CIQ(A3393,"IQ_TOTAL_DEBT_REPAID",IQ_FY-10), _xll.ciqfunctions.udf.CIQ(A3393, "IQ_TOTAL_DEBT_REPAID",IQ_FY-9))</f>
        <v>0</v>
      </c>
      <c r="O3393" s="15">
        <f t="shared" ref="O3393:O3403" si="905">(M3393+N3393)/I3393</f>
        <v>0</v>
      </c>
      <c r="P3393" s="15">
        <f t="shared" ref="P3393:P3403" si="906">L3393+O3393</f>
        <v>1.8616542340288336</v>
      </c>
      <c r="W3393" s="43"/>
      <c r="AA3393" s="43"/>
    </row>
    <row r="3394" spans="1:27">
      <c r="A3394" s="18" t="str">
        <f>_xll.ciqfunctions.udf.CIQ(A3393,"IQ_COMPANY_NAME")</f>
        <v>SolarWinds Corporation</v>
      </c>
      <c r="B3394" s="13">
        <v>2</v>
      </c>
      <c r="C3394" s="14" t="s">
        <v>17</v>
      </c>
      <c r="D3394" s="15">
        <f>IF(A3401=A3402,_xll.ciqfunctions.udf.CIQ(A3393,"IQ_TOTAL_REV",IQ_FY-9)/I3394, _xll.ciqfunctions.udf.CIQ(A3393, "IQ_TOTAL_REV",IQ_FY-8)/I3394)</f>
        <v>4.4712264906821284</v>
      </c>
      <c r="E3394" s="16">
        <f t="shared" ref="E3394:E3403" si="907">(D3394-D3393)/D3393</f>
        <v>0.24623710277197058</v>
      </c>
      <c r="F3394" s="15">
        <f>IF(A3401=A3402,_xll.ciqfunctions.udf.CIQ(A3393,"IQ_DILUT_EPS_EXCL",IQ_FY-9), _xll.ciqfunctions.udf.CIQ(A3393, "IQ_DILUT_EPS_EXCL",IQ_FY-8))</f>
        <v>2.34</v>
      </c>
      <c r="G3394" s="15">
        <f>IF(A3401=A3402,_xll.ciqfunctions.udf.CIQ(A3393,"IQ_EBITDA_MARGIN",IQ_FY-9), _xll.ciqfunctions.udf.CIQ(A3393, "IQ_EBITDA_MARGIN",IQ_FY-8))</f>
        <v>42.010800000000003</v>
      </c>
      <c r="H3394" s="15">
        <f>IF(A3401=A3402,_xll.ciqfunctions.udf.CIQ(A3393,"IQ_TOTAL_DIV_PAID_CF",IQ_FY-9)/-I3394, _xll.ciqfunctions.udf.CIQ(A3393, "IQ_TOTAL_DIV_PAID_CF",IQ_FY-8)/-I3394)</f>
        <v>0</v>
      </c>
      <c r="I3394" s="17">
        <f>IF(A3401=A3402,_xll.ciqfunctions.udf.CIQ(A3393,"IQ_TOTAL_OUTSTANDING_FILING_DATE",IQ_FY-9), _xll.ciqfunctions.udf.CIQ(A3393, "IQ_TOTAL_OUTSTANDING_FILING_DATE",IQ_FY-8))</f>
        <v>75.009619999999998</v>
      </c>
      <c r="J3394" s="17">
        <f>IF(A3401=A3402,_xll.ciqfunctions.udf.CIQ(A3393,"IQ_CASH_OPER",IQ_FY-9), _xll.ciqfunctions.udf.CIQ(A3393, "IQ_CASH_OPER",IQ_FY-8))</f>
        <v>163.32</v>
      </c>
      <c r="K3394" s="17">
        <f>IF(A3401=A3402,_xll.ciqfunctions.udf.CIQ(A3393,"IQ_CAPEX",IQ_FY-9), _xll.ciqfunctions.udf.CIQ(A3393, "IQ_CAPEX",IQ_FY-8))</f>
        <v>-4.7530000000000001</v>
      </c>
      <c r="L3394" s="15">
        <f t="shared" si="904"/>
        <v>2.113955516639066</v>
      </c>
      <c r="M3394" s="17">
        <f>IF(A3401=A3402,_xll.ciqfunctions.udf.CIQ(A3393,"IQ_TOTAL_DEBT_ISSUED",IQ_FY-9), _xll.ciqfunctions.udf.CIQ(A3393, "IQ_TOTAL_DEBT_ISSUED",IQ_FY-8))</f>
        <v>40</v>
      </c>
      <c r="N3394" s="17">
        <f>IF(A3401=A3402,_xll.ciqfunctions.udf.CIQ(A3393,"IQ_TOTAL_DEBT_REPAID",IQ_FY-9), _xll.ciqfunctions.udf.CIQ(A3393, "IQ_TOTAL_DEBT_REPAID",IQ_FY-8))</f>
        <v>0</v>
      </c>
      <c r="O3394" s="15">
        <f t="shared" si="905"/>
        <v>0.53326493321789925</v>
      </c>
      <c r="P3394" s="15">
        <f t="shared" si="906"/>
        <v>2.6472204498569654</v>
      </c>
      <c r="Q3394" s="25" t="s">
        <v>18</v>
      </c>
      <c r="R3394" s="39" t="s">
        <v>19</v>
      </c>
      <c r="S3394" s="1">
        <f>R3392/((AVERAGE(P3398:P3403))*(1+E3404)^3)</f>
        <v>-129.54893646034873</v>
      </c>
      <c r="U3394" s="25" t="s">
        <v>48</v>
      </c>
      <c r="V3394" s="39" t="s">
        <v>19</v>
      </c>
      <c r="W3394" s="1">
        <f>V3392/((AVERAGE(P3398:P3403))*(1+E3404)^3)</f>
        <v>-129.54893646034873</v>
      </c>
      <c r="Y3394" s="25" t="s">
        <v>39</v>
      </c>
      <c r="Z3394" s="39" t="s">
        <v>19</v>
      </c>
      <c r="AA3394" s="1">
        <f>Z3392/((AVERAGE(P3398:P3403))*(1+E3404)^3)</f>
        <v>-129.54893646034873</v>
      </c>
    </row>
    <row r="3395" spans="1:27">
      <c r="B3395" s="13">
        <v>3</v>
      </c>
      <c r="C3395" s="14" t="s">
        <v>20</v>
      </c>
      <c r="D3395" s="15" cm="1">
        <f t="array" ref="D3395">_xlfn.SINGLE(IF(A3401=A3402,_xll.ciqfunctions.udf.CIQ(A3393,"IQ_TOTAL_REV",IQ_FY-8)/I3395, _xll.ciqfunctions.udf.CIQ(A3393, "IQ_TOTAL_REV",IQ_FY-7)/I3395))</f>
        <v>5.6212777624295089</v>
      </c>
      <c r="E3395" s="16">
        <f t="shared" si="907"/>
        <v>0.25721158929077853</v>
      </c>
      <c r="F3395" s="15">
        <f>IF(A3401=A3402,_xll.ciqfunctions.udf.CIQ(A3393,"IQ_DILUT_EPS_EXCL",IQ_FY-8), _xll.ciqfunctions.udf.CIQ(A3393, "IQ_DILUT_EPS_EXCL",IQ_FY-7))</f>
        <v>2.04</v>
      </c>
      <c r="G3395" s="15">
        <f>IF(A3401=A3402,_xll.ciqfunctions.udf.CIQ(A3393,"IQ_EBITDA_MARGIN",IQ_FY-8), _xll.ciqfunctions.udf.CIQ(A3393, "IQ_EBITDA_MARGIN",IQ_FY-7))</f>
        <v>31.864999999999998</v>
      </c>
      <c r="H3395" s="15">
        <f>IF(A3401=A3402,_xll.ciqfunctions.udf.CIQ(A3393,"IQ_TOTAL_DIV_PAID_CF",IQ_FY-8)/-I3395, _xll.ciqfunctions.udf.CIQ(A3393, "IQ_TOTAL_DIV_PAID_CF",IQ_FY-7)/-I3395)</f>
        <v>0</v>
      </c>
      <c r="I3395" s="17">
        <f>IF(A3401=A3402,_xll.ciqfunctions.udf.CIQ(A3393,"IQ_TOTAL_OUTSTANDING_FILING_DATE",IQ_FY-8), _xll.ciqfunctions.udf.CIQ(A3393, "IQ_TOTAL_OUTSTANDING_FILING_DATE",IQ_FY-7))</f>
        <v>76.266289999999998</v>
      </c>
      <c r="J3395" s="17">
        <f>IF(A3401=A3402,_xll.ciqfunctions.udf.CIQ(A3393,"IQ_CASH_OPER",IQ_FY-8), _xll.ciqfunctions.udf.CIQ(A3393, "IQ_CASH_OPER",IQ_FY-7))</f>
        <v>199.81200000000001</v>
      </c>
      <c r="K3395" s="17">
        <f>IF(A3401=A3402,_xll.ciqfunctions.udf.CIQ(A3393,"IQ_CAPEX",IQ_FY-8), _xll.ciqfunctions.udf.CIQ(A3393, "IQ_CAPEX",IQ_FY-7))</f>
        <v>-19.228000000000002</v>
      </c>
      <c r="L3395" s="15">
        <f t="shared" si="904"/>
        <v>2.3678088969582762</v>
      </c>
      <c r="M3395" s="17">
        <f>IF(A3401=A3402,_xll.ciqfunctions.udf.CIQ(A3393,"IQ_TOTAL_DEBT_ISSUED",IQ_FY-8), _xll.ciqfunctions.udf.CIQ(A3393, "IQ_TOTAL_DEBT_ISSUED",IQ_FY-7))</f>
        <v>0</v>
      </c>
      <c r="N3395" s="17">
        <f>IF(A3401=A3402,_xll.ciqfunctions.udf.CIQ(A3393,"IQ_TOTAL_DEBT_REPAID",IQ_FY-8), _xll.ciqfunctions.udf.CIQ(A3393, "IQ_TOTAL_DEBT_REPAID",IQ_FY-7))</f>
        <v>-40</v>
      </c>
      <c r="O3395" s="15">
        <f t="shared" si="905"/>
        <v>-0.52447811477390605</v>
      </c>
      <c r="P3395" s="15">
        <f t="shared" si="906"/>
        <v>1.8433307821843701</v>
      </c>
      <c r="Q3395" s="25" t="s">
        <v>21</v>
      </c>
      <c r="R3395" s="38" t="s">
        <v>49</v>
      </c>
      <c r="S3395" s="2">
        <f>(R3392*I3403)/1000</f>
        <v>1.9155166799999999</v>
      </c>
      <c r="U3395" s="25" t="s">
        <v>59</v>
      </c>
      <c r="V3395" s="38" t="s">
        <v>49</v>
      </c>
      <c r="W3395" s="2">
        <f>(V3392*I3403)/1000</f>
        <v>1.9155166799999999</v>
      </c>
      <c r="Y3395" s="25" t="s">
        <v>46</v>
      </c>
      <c r="Z3395" s="38" t="s">
        <v>49</v>
      </c>
      <c r="AA3395" s="2">
        <f>(Z3392*I3403)/1000</f>
        <v>1.9155166799999999</v>
      </c>
    </row>
    <row r="3396" spans="1:27">
      <c r="A3396" s="18"/>
      <c r="B3396" s="13">
        <v>4</v>
      </c>
      <c r="C3396" s="14" t="s">
        <v>22</v>
      </c>
      <c r="D3396" s="15" cm="1">
        <f t="array" ref="D3396">_xlfn.SINGLE(IF(A3401=A3402,_xll.ciqfunctions.udf.CIQ(A3393,"IQ_TOTAL_REV",IQ_FY-7)/I3396, _xll.ciqfunctions.udf.CIQ(A3393, "IQ_TOTAL_REV",IQ_FY-6)/I3396))</f>
        <v>4.7246209677833306</v>
      </c>
      <c r="E3396" s="16">
        <f t="shared" si="907"/>
        <v>-0.15951120591106396</v>
      </c>
      <c r="F3396" s="15">
        <f>IF(A3401=A3402,_xll.ciqfunctions.udf.CIQ(A3393,"IQ_DILUT_EPS_EXCL",IQ_FY-7), _xll.ciqfunctions.udf.CIQ(A3393, "IQ_DILUT_EPS_EXCL",IQ_FY-6))</f>
        <v>-7.1055999999999999</v>
      </c>
      <c r="G3396" s="15">
        <f>IF(A3401=A3402,_xll.ciqfunctions.udf.CIQ(A3393,"IQ_EBITDA_MARGIN",IQ_FY-7), _xll.ciqfunctions.udf.CIQ(A3393, "IQ_EBITDA_MARGIN",IQ_FY-6))</f>
        <v>-37.741300000000003</v>
      </c>
      <c r="H3396" s="15">
        <f>IF(A3401=A3402,_xll.ciqfunctions.udf.CIQ(A3393,"IQ_TOTAL_DIV_PAID_CF",IQ_FY-7)/-I3396, _xll.ciqfunctions.udf.CIQ(A3393, "IQ_TOTAL_DIV_PAID_CF",IQ_FY-6)/-I3396)</f>
        <v>0</v>
      </c>
      <c r="I3396" s="17">
        <f>IF(A3401=A3402,_xll.ciqfunctions.udf.CIQ(A3393,"IQ_TOTAL_OUTSTANDING_FILING_DATE",IQ_FY-7), _xll.ciqfunctions.udf.CIQ(A3393, "IQ_TOTAL_OUTSTANDING_FILING_DATE",IQ_FY-6))</f>
        <v>99.35633</v>
      </c>
      <c r="J3396" s="17">
        <f>IF(A3401=A3402,_xll.ciqfunctions.udf.CIQ(A3393,"IQ_CASH_OPER",IQ_FY-7), _xll.ciqfunctions.udf.CIQ(A3393, "IQ_CASH_OPER",IQ_FY-6))</f>
        <v>90.19</v>
      </c>
      <c r="K3396" s="17">
        <f>IF(A3401=A3402,_xll.ciqfunctions.udf.CIQ(A3393,"IQ_CAPEX",IQ_FY-7), _xll.ciqfunctions.udf.CIQ(A3393, "IQ_CAPEX",IQ_FY-6))</f>
        <v>-7.7549999999999999</v>
      </c>
      <c r="L3396" s="15">
        <f t="shared" si="904"/>
        <v>0.82969046863949181</v>
      </c>
      <c r="M3396" s="17">
        <f>IF(A3401=A3402,_xll.ciqfunctions.udf.CIQ(A3393,"IQ_TOTAL_DEBT_ISSUED",IQ_FY-7), _xll.ciqfunctions.udf.CIQ(A3393, "IQ_TOTAL_DEBT_ISSUED",IQ_FY-6))</f>
        <v>2724.5160000000001</v>
      </c>
      <c r="N3396" s="17">
        <f>IF(A3401=A3402,_xll.ciqfunctions.udf.CIQ(A3393,"IQ_TOTAL_DEBT_REPAID",IQ_FY-7), _xll.ciqfunctions.udf.CIQ(A3393, "IQ_TOTAL_DEBT_REPAID",IQ_FY-6))</f>
        <v>-341.21499999999997</v>
      </c>
      <c r="O3396" s="15">
        <f t="shared" si="905"/>
        <v>23.987409760404798</v>
      </c>
      <c r="P3396" s="15">
        <f t="shared" si="906"/>
        <v>24.817100229044289</v>
      </c>
      <c r="Q3396" s="25" t="s">
        <v>23</v>
      </c>
      <c r="R3396" s="38" t="s">
        <v>24</v>
      </c>
      <c r="S3396" s="1" t="e">
        <f>R3392/(AVERAGE(H3398:H3403)*(1+H3404)/(0.5-H3404))</f>
        <v>#DIV/0!</v>
      </c>
      <c r="U3396" s="25" t="s">
        <v>40</v>
      </c>
      <c r="V3396" s="38" t="s">
        <v>24</v>
      </c>
      <c r="W3396" s="1" t="e">
        <f>V3392/(AVERAGE(H3398:H3403)*(1+H3404)/(0.5-H3404))</f>
        <v>#DIV/0!</v>
      </c>
      <c r="Y3396" s="25" t="s">
        <v>47</v>
      </c>
      <c r="Z3396" s="38" t="s">
        <v>24</v>
      </c>
      <c r="AA3396" s="1" t="e">
        <f>Z3392/(AVERAGE(H3398:H3403)*(1+H3404)/(0.5-H3404))</f>
        <v>#DIV/0!</v>
      </c>
    </row>
    <row r="3397" spans="1:27">
      <c r="B3397" s="13">
        <v>5</v>
      </c>
      <c r="C3397" s="14" t="s">
        <v>25</v>
      </c>
      <c r="D3397" s="15" cm="1">
        <f t="array" ref="D3397">_xlfn.SINGLE(IF(A3401=A3402,_xll.ciqfunctions.udf.CIQ(A3393,"IQ_TOTAL_REV",IQ_FY-6)/I3397, _xll.ciqfunctions.udf.CIQ(A3393, "IQ_TOTAL_REV",IQ_FY-5)/I3397))</f>
        <v>7.2271186131086154</v>
      </c>
      <c r="E3397" s="16">
        <f t="shared" si="907"/>
        <v>0.52967162072672924</v>
      </c>
      <c r="F3397" s="15">
        <f>IF(A3401=A3402,_xll.ciqfunctions.udf.CIQ(A3393,"IQ_DILUT_EPS_EXCL",IQ_FY-6), _xll.ciqfunctions.udf.CIQ(A3393, "IQ_DILUT_EPS_EXCL",IQ_FY-5))</f>
        <v>-7.0071199999999996</v>
      </c>
      <c r="G3397" s="15">
        <f>IF(A3401=A3402,_xll.ciqfunctions.udf.CIQ(A3393,"IQ_EBITDA_MARGIN",IQ_FY-6), _xll.ciqfunctions.udf.CIQ(A3393, "IQ_EBITDA_MARGIN",IQ_FY-5))</f>
        <v>20.776299999999999</v>
      </c>
      <c r="H3397" s="15">
        <f>IF(A3401=A3402,_xll.ciqfunctions.udf.CIQ(A3393,"IQ_TOTAL_DIV_PAID_CF",IQ_FY-6)/-I3397, _xll.ciqfunctions.udf.CIQ(A3393, "IQ_TOTAL_DIV_PAID_CF",IQ_FY-5)/-I3397)</f>
        <v>0</v>
      </c>
      <c r="I3397" s="17">
        <f>IF(A3401=A3402,_xll.ciqfunctions.udf.CIQ(A3393,"IQ_TOTAL_OUTSTANDING_FILING_DATE",IQ_FY-6), _xll.ciqfunctions.udf.CIQ(A3393, "IQ_TOTAL_OUTSTANDING_FILING_DATE",IQ_FY-5))</f>
        <v>100.73406</v>
      </c>
      <c r="J3397" s="17">
        <f>IF(A3401=A3402,_xll.ciqfunctions.udf.CIQ(A3393,"IQ_CASH_OPER",IQ_FY-6), _xll.ciqfunctions.udf.CIQ(A3393, "IQ_CASH_OPER",IQ_FY-5))</f>
        <v>232.69300000000001</v>
      </c>
      <c r="K3397" s="17">
        <f>IF(A3401=A3402,_xll.ciqfunctions.udf.CIQ(A3393,"IQ_CAPEX",IQ_FY-6), _xll.ciqfunctions.udf.CIQ(A3393, "IQ_CAPEX",IQ_FY-5))</f>
        <v>-7.5940000000000003</v>
      </c>
      <c r="L3397" s="15">
        <f t="shared" si="904"/>
        <v>2.2345867921932268</v>
      </c>
      <c r="M3397" s="17">
        <f>IF(A3401=A3402,_xll.ciqfunctions.udf.CIQ(A3393,"IQ_TOTAL_DEBT_ISSUED",IQ_FY-6), _xll.ciqfunctions.udf.CIQ(A3393, "IQ_TOTAL_DEBT_ISSUED",IQ_FY-5))</f>
        <v>3.5</v>
      </c>
      <c r="N3397" s="17">
        <f>IF(A3401=A3402,_xll.ciqfunctions.udf.CIQ(A3393,"IQ_TOTAL_DEBT_REPAID",IQ_FY-6), _xll.ciqfunctions.udf.CIQ(A3393, "IQ_TOTAL_DEBT_REPAID",IQ_FY-5))</f>
        <v>-36.950000000000003</v>
      </c>
      <c r="O3397" s="15">
        <f t="shared" si="905"/>
        <v>-0.33206246228931907</v>
      </c>
      <c r="P3397" s="15">
        <f t="shared" si="906"/>
        <v>1.9025243299039076</v>
      </c>
      <c r="Q3397" s="18"/>
      <c r="R3397" s="38" t="s">
        <v>50</v>
      </c>
      <c r="S3397" s="3">
        <f>I3404</f>
        <v>1.6958478440559865E-2</v>
      </c>
      <c r="U3397" s="18"/>
      <c r="V3397" s="38" t="s">
        <v>50</v>
      </c>
      <c r="W3397" s="3">
        <f>I3404</f>
        <v>1.6958478440559865E-2</v>
      </c>
      <c r="Y3397" s="18"/>
      <c r="Z3397" s="38" t="s">
        <v>50</v>
      </c>
      <c r="AA3397" s="3">
        <f>I3404</f>
        <v>1.6958478440559865E-2</v>
      </c>
    </row>
    <row r="3398" spans="1:27">
      <c r="B3398" s="13">
        <v>6</v>
      </c>
      <c r="C3398" s="14" t="s">
        <v>26</v>
      </c>
      <c r="D3398" s="15" cm="1">
        <f t="array" ref="D3398">_xlfn.SINGLE(IF(A3401=A3402,_xll.ciqfunctions.udf.CIQ(A3393,"IQ_TOTAL_REV",IQ_FY-5)/I3398, _xll.ciqfunctions.udf.CIQ(A3393, "IQ_TOTAL_REV",IQ_FY-4)/I3398))</f>
        <v>5.4639102031130991</v>
      </c>
      <c r="E3398" s="16">
        <f t="shared" si="907"/>
        <v>-0.2439711459553732</v>
      </c>
      <c r="F3398" s="15">
        <f>IF(A3401=A3402,_xll.ciqfunctions.udf.CIQ(A3393,"IQ_DILUT_EPS_EXCL",IQ_FY-5), _xll.ciqfunctions.udf.CIQ(A3393, "IQ_DILUT_EPS_EXCL",IQ_FY-4))</f>
        <v>5.12</v>
      </c>
      <c r="G3398" s="15">
        <f>IF(A3401=A3402,_xll.ciqfunctions.udf.CIQ(A3393,"IQ_EBITDA_MARGIN",IQ_FY-5), _xll.ciqfunctions.udf.CIQ(A3393, "IQ_EBITDA_MARGIN",IQ_FY-4))</f>
        <v>23.9176</v>
      </c>
      <c r="H3398" s="15">
        <f>IF(A3401=A3402,_xll.ciqfunctions.udf.CIQ(A3393,"IQ_TOTAL_DIV_PAID_CF",IQ_FY-5)/-I3398, _xll.ciqfunctions.udf.CIQ(A3393, "IQ_TOTAL_DIV_PAID_CF",IQ_FY-4)/-I3398)</f>
        <v>0</v>
      </c>
      <c r="I3398" s="17">
        <f>IF(A3401=A3402,_xll.ciqfunctions.udf.CIQ(A3393,"IQ_TOTAL_OUTSTANDING_FILING_DATE",IQ_FY-5), _xll.ciqfunctions.udf.CIQ(A3393, "IQ_TOTAL_OUTSTANDING_FILING_DATE",IQ_FY-4))</f>
        <v>152.47121000000001</v>
      </c>
      <c r="J3398" s="17">
        <f>IF(A3401=A3402,_xll.ciqfunctions.udf.CIQ(A3393,"IQ_CASH_OPER",IQ_FY-5), _xll.ciqfunctions.udf.CIQ(A3393, "IQ_CASH_OPER",IQ_FY-4))</f>
        <v>254.142</v>
      </c>
      <c r="K3398" s="17">
        <f>IF(A3401=A3402,_xll.ciqfunctions.udf.CIQ(A3393,"IQ_CAPEX",IQ_FY-5), _xll.ciqfunctions.udf.CIQ(A3393, "IQ_CAPEX",IQ_FY-4))</f>
        <v>-15.945</v>
      </c>
      <c r="L3398" s="15">
        <f t="shared" si="904"/>
        <v>1.5622424718738703</v>
      </c>
      <c r="M3398" s="17">
        <f>IF(A3401=A3402,_xll.ciqfunctions.udf.CIQ(A3393,"IQ_TOTAL_DEBT_ISSUED",IQ_FY-5), _xll.ciqfunctions.udf.CIQ(A3393, "IQ_TOTAL_DEBT_ISSUED",IQ_FY-4))</f>
        <v>626.95000000000005</v>
      </c>
      <c r="N3398" s="17">
        <f>IF(A3401=A3402,_xll.ciqfunctions.udf.CIQ(A3393,"IQ_TOTAL_DEBT_REPAID",IQ_FY-5), _xll.ciqfunctions.udf.CIQ(A3393, "IQ_TOTAL_DEBT_REPAID",IQ_FY-4))</f>
        <v>-1014.9</v>
      </c>
      <c r="O3398" s="15">
        <f t="shared" si="905"/>
        <v>-2.5444147783702897</v>
      </c>
      <c r="P3398" s="15">
        <f t="shared" si="906"/>
        <v>-0.9821723064964194</v>
      </c>
      <c r="Q3398" s="25" t="s">
        <v>27</v>
      </c>
      <c r="R3398" s="38" t="s">
        <v>51</v>
      </c>
      <c r="S3398" s="4">
        <f>AVERAGE(F3398:F3403)/AVERAGE(D3398:D3403)</f>
        <v>-2.250959589285239E-2</v>
      </c>
      <c r="U3398" s="25" t="s">
        <v>58</v>
      </c>
      <c r="V3398" s="38" t="s">
        <v>51</v>
      </c>
      <c r="W3398" s="4">
        <f>AVERAGE(F3398:F3403)/AVERAGE(D3398:D3403)</f>
        <v>-2.250959589285239E-2</v>
      </c>
      <c r="Y3398" s="25" t="s">
        <v>56</v>
      </c>
      <c r="Z3398" s="38" t="s">
        <v>51</v>
      </c>
      <c r="AA3398" s="4">
        <f>AVERAGE(F3398:F3403)/AVERAGE(D3398:D3403)</f>
        <v>-2.250959589285239E-2</v>
      </c>
    </row>
    <row r="3399" spans="1:27">
      <c r="A3399" s="18"/>
      <c r="B3399" s="13">
        <v>7</v>
      </c>
      <c r="C3399" s="14" t="s">
        <v>28</v>
      </c>
      <c r="D3399" s="15" cm="1">
        <f t="array" ref="D3399">_xlfn.SINGLE(IF(A3401=A3402,_xll.ciqfunctions.udf.CIQ(A3393,"IQ_TOTAL_REV",IQ_FY-4)/I3399, _xll.ciqfunctions.udf.CIQ(A3393, "IQ_TOTAL_REV",IQ_FY-3)/I3399))</f>
        <v>4.2978916979827035</v>
      </c>
      <c r="E3399" s="16">
        <f t="shared" si="907"/>
        <v>-0.21340367278840869</v>
      </c>
      <c r="F3399" s="15">
        <f>IF(A3401=A3402,_xll.ciqfunctions.udf.CIQ(A3393,"IQ_DILUT_EPS_EXCL",IQ_FY-4), _xll.ciqfunctions.udf.CIQ(A3393, "IQ_DILUT_EPS_EXCL",IQ_FY-3))</f>
        <v>-0.16467000000000001</v>
      </c>
      <c r="G3399" s="15">
        <f>IF(A3401=A3402,_xll.ciqfunctions.udf.CIQ(A3393,"IQ_EBITDA_MARGIN",IQ_FY-4), _xll.ciqfunctions.udf.CIQ(A3393, "IQ_EBITDA_MARGIN",IQ_FY-3))</f>
        <v>21.2348</v>
      </c>
      <c r="H3399" s="15">
        <f>IF(A3401=A3402,_xll.ciqfunctions.udf.CIQ(A3393,"IQ_TOTAL_DIV_PAID_CF",IQ_FY-4)/-I3399, _xll.ciqfunctions.udf.CIQ(A3393, "IQ_TOTAL_DIV_PAID_CF",IQ_FY-3)/-I3399)</f>
        <v>0</v>
      </c>
      <c r="I3399" s="17">
        <f>IF(A3401=A3402,_xll.ciqfunctions.udf.CIQ(A3393,"IQ_TOTAL_OUTSTANDING_FILING_DATE",IQ_FY-4), _xll.ciqfunctions.udf.CIQ(A3393, "IQ_TOTAL_OUTSTANDING_FILING_DATE",IQ_FY-3))</f>
        <v>155.68168</v>
      </c>
      <c r="J3399" s="17">
        <f>IF(A3401=A3402,_xll.ciqfunctions.udf.CIQ(A3393,"IQ_CASH_OPER",IQ_FY-4), _xll.ciqfunctions.udf.CIQ(A3393, "IQ_CASH_OPER",IQ_FY-3))</f>
        <v>299.90699999999998</v>
      </c>
      <c r="K3399" s="17">
        <f>IF(A3401=A3402,_xll.ciqfunctions.udf.CIQ(A3393,"IQ_CAPEX",IQ_FY-4), _xll.ciqfunctions.udf.CIQ(A3393, "IQ_CAPEX",IQ_FY-3))</f>
        <v>-11.397</v>
      </c>
      <c r="L3399" s="15">
        <f t="shared" si="904"/>
        <v>1.8532045645961683</v>
      </c>
      <c r="M3399" s="17">
        <f>IF(A3401=A3402,_xll.ciqfunctions.udf.CIQ(A3393,"IQ_TOTAL_DEBT_ISSUED",IQ_FY-4), _xll.ciqfunctions.udf.CIQ(A3393, "IQ_TOTAL_DEBT_ISSUED",IQ_FY-3))</f>
        <v>35</v>
      </c>
      <c r="N3399" s="17">
        <f>IF(A3401=A3402,_xll.ciqfunctions.udf.CIQ(A3393,"IQ_TOTAL_DEBT_REPAID",IQ_FY-4), _xll.ciqfunctions.udf.CIQ(A3393, "IQ_TOTAL_DEBT_REPAID",IQ_FY-3))</f>
        <v>-54.9</v>
      </c>
      <c r="O3399" s="15">
        <f t="shared" si="905"/>
        <v>-0.12782493097453726</v>
      </c>
      <c r="P3399" s="15">
        <f t="shared" si="906"/>
        <v>1.7253796336216312</v>
      </c>
      <c r="Q3399" s="18"/>
      <c r="R3399" s="38" t="s">
        <v>29</v>
      </c>
      <c r="S3399" s="4">
        <f>(AVERAGE(P3398:P3403)/_xlfn.STDEV.P(P3398:P3403))/(IF(A3401=A3402,(_xlfn.SINGLE(_xll.ciqfunctions.udf.CIQ(A3393,"IQ_total_assets",IQ_FY)) - _xlfn.SINGLE(_xll.ciqfunctions.udf.CIQ(A3393,"iq_gw_intan", IQ_FY)))/I3403, (_xlfn.SINGLE(_xll.ciqfunctions.udf.CIQ(A3393, "IQ_total_assets",IQ_LTM))-_xlfn.SINGLE(_xll.ciqfunctions.udf.CIQ(A3393,"iq_gw_intan",IQ_LTM)))/I3403))</f>
        <v>-1.4531537888283434E-2</v>
      </c>
      <c r="U3399" s="18"/>
      <c r="V3399" s="38" t="s">
        <v>29</v>
      </c>
      <c r="W3399" s="4">
        <f>(AVERAGE(P3398:P3403)/_xlfn.STDEV.P(P3398:P3403))/(IF(A3401=A3402,(_xlfn.SINGLE(_xll.ciqfunctions.udf.CIQ(A3393,"IQ_total_assets",IQ_FY)) - _xlfn.SINGLE(_xll.ciqfunctions.udf.CIQ(A3393,"iq_gw_intan", IQ_FY)))/I3403, (_xlfn.SINGLE(_xll.ciqfunctions.udf.CIQ(A3393, "IQ_total_assets",IQ_LTM))-_xlfn.SINGLE(_xll.ciqfunctions.udf.CIQ(A3393,"iq_gw_intan",IQ_LTM)))/I3403))</f>
        <v>-1.4531537888283434E-2</v>
      </c>
      <c r="Y3399" s="18"/>
      <c r="Z3399" s="38" t="s">
        <v>29</v>
      </c>
      <c r="AA3399" s="4">
        <f>(AVERAGE(P3398:P3403)/_xlfn.STDEV.P(P3398:P3403))/(IF(A3401=A3402,(_xlfn.SINGLE(_xll.ciqfunctions.udf.CIQ(A3393,"IQ_total_assets",IQ_FY)) - _xlfn.SINGLE(_xll.ciqfunctions.udf.CIQ(A3393,"iq_gw_intan", IQ_FY)))/I3403, (_xlfn.SINGLE(_xll.ciqfunctions.udf.CIQ(A3393, "IQ_total_assets",IQ_LTM))-_xlfn.SINGLE(_xll.ciqfunctions.udf.CIQ(A3393,"iq_gw_intan",IQ_LTM)))/I3403))</f>
        <v>-1.4531537888283434E-2</v>
      </c>
    </row>
    <row r="3400" spans="1:27">
      <c r="A3400" s="18"/>
      <c r="B3400" s="13">
        <v>8</v>
      </c>
      <c r="C3400" s="14" t="s">
        <v>30</v>
      </c>
      <c r="D3400" s="15" cm="1">
        <f t="array" ref="D3400">_xlfn.SINGLE(IF(A3401=A3402,_xll.ciqfunctions.udf.CIQ(A3393,"IQ_TOTAL_REV",IQ_FY-3)/I3400, _xll.ciqfunctions.udf.CIQ(A3393, "IQ_TOTAL_REV",IQ_FY-2)/I3400))</f>
        <v>4.5419235889491025</v>
      </c>
      <c r="E3400" s="16">
        <f t="shared" si="907"/>
        <v>5.6779441669258433E-2</v>
      </c>
      <c r="F3400" s="15">
        <f>IF(A3401=A3402,_xll.ciqfunctions.udf.CIQ(A3393,"IQ_DILUT_EPS_EXCL",IQ_FY-3), _xll.ciqfunctions.udf.CIQ(A3393, "IQ_DILUT_EPS_EXCL",IQ_FY-2))</f>
        <v>0.73</v>
      </c>
      <c r="G3400" s="15">
        <f>IF(A3401=A3402,_xll.ciqfunctions.udf.CIQ(A3393,"IQ_EBITDA_MARGIN",IQ_FY-3), _xll.ciqfunctions.udf.CIQ(A3393, "IQ_EBITDA_MARGIN",IQ_FY-2))</f>
        <v>16.824200000000001</v>
      </c>
      <c r="H3400" s="15">
        <f>IF(A3401=A3402,_xll.ciqfunctions.udf.CIQ(A3393,"IQ_TOTAL_DIV_PAID_CF",IQ_FY-3)/-I3400, _xll.ciqfunctions.udf.CIQ(A3393, "IQ_TOTAL_DIV_PAID_CF",IQ_FY-2)/-I3400)</f>
        <v>0</v>
      </c>
      <c r="I3400" s="17">
        <f>IF(A3401=A3402,_xll.ciqfunctions.udf.CIQ(A3393,"IQ_TOTAL_OUTSTANDING_FILING_DATE",IQ_FY-3), _xll.ciqfunctions.udf.CIQ(A3393, "IQ_TOTAL_OUTSTANDING_FILING_DATE",IQ_FY-2))</f>
        <v>157.81199000000001</v>
      </c>
      <c r="J3400" s="17">
        <f>IF(A3401=A3402,_xll.ciqfunctions.udf.CIQ(A3393,"IQ_CASH_OPER",IQ_FY-3), _xll.ciqfunctions.udf.CIQ(A3393, "IQ_CASH_OPER",IQ_FY-2))</f>
        <v>389.09399999999999</v>
      </c>
      <c r="K3400" s="17">
        <f>IF(A3401=A3402,_xll.ciqfunctions.udf.CIQ(A3393,"IQ_CAPEX",IQ_FY-3), _xll.ciqfunctions.udf.CIQ(A3393, "IQ_CAPEX",IQ_FY-2))</f>
        <v>-16.882000000000001</v>
      </c>
      <c r="L3400" s="15">
        <f t="shared" si="904"/>
        <v>2.358578711288033</v>
      </c>
      <c r="M3400" s="17">
        <f>IF(A3401=A3402,_xll.ciqfunctions.udf.CIQ(A3393,"IQ_TOTAL_DEBT_ISSUED",IQ_FY-3), _xll.ciqfunctions.udf.CIQ(A3393, "IQ_TOTAL_DEBT_ISSUED",IQ_FY-2))</f>
        <v>0</v>
      </c>
      <c r="N3400" s="17">
        <f>IF(A3401=A3402,_xll.ciqfunctions.udf.CIQ(A3393,"IQ_TOTAL_DEBT_REPAID",IQ_FY-3), _xll.ciqfunctions.udf.CIQ(A3393, "IQ_TOTAL_DEBT_REPAID",IQ_FY-2))</f>
        <v>-19.899999999999999</v>
      </c>
      <c r="O3400" s="15">
        <f t="shared" si="905"/>
        <v>-0.12609941741435488</v>
      </c>
      <c r="P3400" s="15">
        <f t="shared" si="906"/>
        <v>2.2324792938736779</v>
      </c>
      <c r="Q3400" s="18"/>
      <c r="R3400" s="39" t="s">
        <v>31</v>
      </c>
      <c r="S3400" s="5">
        <f>IF(NOT(D3393&gt;0),FALSE,SLOPE(G3393:G3403,B3393:B3403))</f>
        <v>-0.55631909090909104</v>
      </c>
      <c r="U3400" s="18"/>
      <c r="V3400" s="39" t="s">
        <v>31</v>
      </c>
      <c r="W3400" s="5">
        <f>IF(NOT(D3393&gt;0),FALSE,SLOPE(G3393:G3403,B3393:B3403))</f>
        <v>-0.55631909090909104</v>
      </c>
      <c r="Y3400" s="18"/>
      <c r="Z3400" s="39" t="s">
        <v>31</v>
      </c>
      <c r="AA3400" s="5">
        <f>IF(NOT(L3393&gt;0),FALSE,SLOPE(O3393:O3403,J3393:J3403))</f>
        <v>-3.7086945705440265E-2</v>
      </c>
    </row>
    <row r="3401" spans="1:27">
      <c r="A3401" s="19">
        <f>_xll.ciqfunctions.udf.CIQ(A3393,"IQ_TOTAL_REV",IQ_FY)</f>
        <v>719.36699999999996</v>
      </c>
      <c r="B3401" s="13">
        <v>9</v>
      </c>
      <c r="C3401" s="14" t="s">
        <v>32</v>
      </c>
      <c r="D3401" s="15" cm="1">
        <f t="array" ref="D3401">_xlfn.SINGLE(IF(A3401=A3402,_xll.ciqfunctions.udf.CIQ(A3393,"IQ_TOTAL_REV",IQ_FY-2)/I3401, _xll.ciqfunctions.udf.CIQ(A3393, "IQ_TOTAL_REV",IQ_FY-1)/I3401))</f>
        <v>4.4784552024232687</v>
      </c>
      <c r="E3401" s="16">
        <f t="shared" si="907"/>
        <v>-1.3973900107051119E-2</v>
      </c>
      <c r="F3401" s="15">
        <f>IF(A3401=A3402,_xll.ciqfunctions.udf.CIQ(A3393,"IQ_DILUT_EPS_EXCL",IQ_FY-2), _xll.ciqfunctions.udf.CIQ(A3393, "IQ_DILUT_EPS_EXCL",IQ_FY-1))</f>
        <v>-0.41</v>
      </c>
      <c r="G3401" s="15">
        <f>IF(A3401=A3402,_xll.ciqfunctions.udf.CIQ(A3393,"IQ_EBITDA_MARGIN",IQ_FY-2), _xll.ciqfunctions.udf.CIQ(A3393, "IQ_EBITDA_MARGIN",IQ_FY-1))</f>
        <v>13.1541</v>
      </c>
      <c r="H3401" s="15">
        <f>IF(A3401=A3402,_xll.ciqfunctions.udf.CIQ(A3393,"IQ_TOTAL_DIV_PAID_CF",IQ_FY-2)/-I3401, _xll.ciqfunctions.udf.CIQ(A3393, "IQ_TOTAL_DIV_PAID_CF",IQ_FY-1)/-I3401)</f>
        <v>0</v>
      </c>
      <c r="I3401" s="17">
        <f>IF(A3401=A3402,_xll.ciqfunctions.udf.CIQ(A3393,"IQ_TOTAL_OUTSTANDING_FILING_DATE",IQ_FY-2), _xll.ciqfunctions.udf.CIQ(A3393, "IQ_TOTAL_OUTSTANDING_FILING_DATE",IQ_FY-1))</f>
        <v>160.46426</v>
      </c>
      <c r="J3401" s="17">
        <f>IF(A3401=A3402,_xll.ciqfunctions.udf.CIQ(A3393,"IQ_CASH_OPER",IQ_FY-2), _xll.ciqfunctions.udf.CIQ(A3393, "IQ_CASH_OPER",IQ_FY-1))</f>
        <v>157.13200000000001</v>
      </c>
      <c r="K3401" s="17">
        <f>IF(A3401=A3402,_xll.ciqfunctions.udf.CIQ(A3393,"IQ_CAPEX",IQ_FY-2), _xll.ciqfunctions.udf.CIQ(A3393, "IQ_CAPEX",IQ_FY-1))</f>
        <v>-9.2520000000000007</v>
      </c>
      <c r="L3401" s="15">
        <f t="shared" si="904"/>
        <v>0.92157593223562684</v>
      </c>
      <c r="M3401" s="17">
        <f>IF(A3401=A3402,_xll.ciqfunctions.udf.CIQ(A3393,"IQ_TOTAL_DEBT_ISSUED",IQ_FY-2), _xll.ciqfunctions.udf.CIQ(A3393, "IQ_TOTAL_DEBT_ISSUED",IQ_FY-1))</f>
        <v>0</v>
      </c>
      <c r="N3401" s="17">
        <f>IF(A3401=A3402,_xll.ciqfunctions.udf.CIQ(A3393,"IQ_TOTAL_DEBT_REPAID",IQ_FY-2), _xll.ciqfunctions.udf.CIQ(A3393, "IQ_TOTAL_DEBT_REPAID",IQ_FY-1))</f>
        <v>-20.95</v>
      </c>
      <c r="O3401" s="15">
        <f t="shared" si="905"/>
        <v>-0.13055866770581812</v>
      </c>
      <c r="P3401" s="15">
        <f t="shared" si="906"/>
        <v>0.79101726452980869</v>
      </c>
      <c r="Q3401" s="25" t="s">
        <v>33</v>
      </c>
      <c r="R3401" s="38" t="s">
        <v>52</v>
      </c>
      <c r="S3401" s="4">
        <f>(AVERAGE(O3398:O3403)/AVERAGE(P3398:P3403))</f>
        <v>15.283010382490934</v>
      </c>
      <c r="U3401" s="25" t="s">
        <v>54</v>
      </c>
      <c r="V3401" s="38" t="s">
        <v>52</v>
      </c>
      <c r="W3401" s="4">
        <f>(AVERAGE(O3398:O3403)/AVERAGE(P3398:P3403))</f>
        <v>15.283010382490934</v>
      </c>
      <c r="Y3401" s="25" t="s">
        <v>60</v>
      </c>
      <c r="Z3401" s="38" t="s">
        <v>52</v>
      </c>
      <c r="AA3401" s="4">
        <f>(AVERAGE(O3398:O3403)/AVERAGE(P3398:P3403))</f>
        <v>15.283010382490934</v>
      </c>
    </row>
    <row r="3402" spans="1:27">
      <c r="A3402" s="19">
        <f>_xll.ciqfunctions.udf.CIQ(A3393,"IQ_TOTAL_REV",IQ_LTM)</f>
        <v>747.67</v>
      </c>
      <c r="B3402" s="13">
        <v>10</v>
      </c>
      <c r="C3402" s="14" t="s">
        <v>34</v>
      </c>
      <c r="D3402" s="15" cm="1">
        <f t="array" ref="D3402">_xlfn.SINGLE(IF(A3401=A3402,_xll.ciqfunctions.udf.CIQ(A3393,"IQ_TOTAL_REV",IQ_FY-1)/I3402, _xll.ciqfunctions.udf.CIQ(A3393, "IQ_TOTAL_REV",IQ_FY)/I3402))</f>
        <v>4.4413183800853853</v>
      </c>
      <c r="E3402" s="16">
        <f t="shared" si="907"/>
        <v>-8.2923286399714038E-3</v>
      </c>
      <c r="F3402" s="15">
        <f>IF(A3401=A3402,_xll.ciqfunctions.udf.CIQ(A3393,"IQ_DILUT_EPS_EXCL",IQ_FY-1), _xll.ciqfunctions.udf.CIQ(A3393, "IQ_DILUT_EPS_EXCL",IQ_FY))</f>
        <v>-5.78</v>
      </c>
      <c r="G3402" s="15">
        <f>IF(A3401=A3402,_xll.ciqfunctions.udf.CIQ(A3393,"IQ_EBITDA_MARGIN",IQ_FY-1), _xll.ciqfunctions.udf.CIQ(A3393, "IQ_EBITDA_MARGIN",IQ_FY))</f>
        <v>26.713200000000001</v>
      </c>
      <c r="H3402" s="15">
        <f>IF(A3401=A3402,_xll.ciqfunctions.udf.CIQ(A3393,"IQ_TOTAL_DIV_PAID_CF",IQ_FY-1)/-I3402, _xll.ciqfunctions.udf.CIQ(A3393, "IQ_TOTAL_DIV_PAID_CF",IQ_FY)/-I3402)</f>
        <v>0</v>
      </c>
      <c r="I3402" s="17">
        <f>IF(A3401=A3402,_xll.ciqfunctions.udf.CIQ(A3393,"IQ_TOTAL_OUTSTANDING_FILING_DATE",IQ_FY-1), _xll.ciqfunctions.udf.CIQ(A3393, "IQ_TOTAL_OUTSTANDING_FILING_DATE",IQ_FY))</f>
        <v>161.97149999999999</v>
      </c>
      <c r="J3402" s="17">
        <f>IF(A3401=A3402,_xll.ciqfunctions.udf.CIQ(A3393,"IQ_CASH_OPER",IQ_FY-1), _xll.ciqfunctions.udf.CIQ(A3393, "IQ_CASH_OPER",IQ_FY))</f>
        <v>154.506</v>
      </c>
      <c r="K3402" s="17">
        <f>IF(A3401=A3402,_xll.ciqfunctions.udf.CIQ(A3393,"IQ_CAPEX",IQ_FY-1), _xll.ciqfunctions.udf.CIQ(A3393, "IQ_CAPEX",IQ_FY))</f>
        <v>-7.4630000000000001</v>
      </c>
      <c r="L3402" s="15">
        <f t="shared" si="904"/>
        <v>0.90783255078825609</v>
      </c>
      <c r="M3402" s="17">
        <f>IF(A3401=A3402,_xll.ciqfunctions.udf.CIQ(A3393,"IQ_TOTAL_DEBT_ISSUED",IQ_FY-1), _xll.ciqfunctions.udf.CIQ(A3393, "IQ_TOTAL_DEBT_ISSUED",IQ_FY))</f>
        <v>0</v>
      </c>
      <c r="N3402" s="17">
        <f>IF(A3401=A3402,_xll.ciqfunctions.udf.CIQ(A3393,"IQ_TOTAL_DEBT_REPAID",IQ_FY-1), _xll.ciqfunctions.udf.CIQ(A3393, "IQ_TOTAL_DEBT_REPAID",IQ_FY))</f>
        <v>-664.35</v>
      </c>
      <c r="O3402" s="15">
        <f t="shared" si="905"/>
        <v>-4.1016475120623079</v>
      </c>
      <c r="P3402" s="15">
        <f t="shared" si="906"/>
        <v>-3.1938149612740521</v>
      </c>
      <c r="Q3402" s="25" t="s">
        <v>44</v>
      </c>
      <c r="R3402" s="38" t="s">
        <v>35</v>
      </c>
      <c r="S3402" s="1">
        <f>_xll.ciqfunctions.udf.CIQ(A3393,"IQ_TEV_EBITDA")</f>
        <v>10.388059999999999</v>
      </c>
      <c r="U3402" s="25" t="s">
        <v>55</v>
      </c>
      <c r="V3402" s="38" t="s">
        <v>53</v>
      </c>
      <c r="W3402" s="1">
        <f>V3392/(AVERAGE(D3398:D3403)/_xlfn.STDEV.P(E3398:E3403))</f>
        <v>0.29046144365974502</v>
      </c>
      <c r="Y3402" s="25" t="s">
        <v>57</v>
      </c>
      <c r="Z3402" s="38" t="s">
        <v>53</v>
      </c>
      <c r="AA3402" s="1">
        <f>Z3392/(AVERAGE(D3398:D3403)/_xlfn.STDEV.P(E3398:E3403))</f>
        <v>0.29046144365974502</v>
      </c>
    </row>
    <row r="3403" spans="1:27">
      <c r="B3403" s="13">
        <v>11</v>
      </c>
      <c r="C3403" s="20" t="s">
        <v>36</v>
      </c>
      <c r="D3403" s="21" cm="1">
        <f t="array" ref="D3403">_xlfn.SINGLE(IF(A3401=A3402,_xll.ciqfunctions.udf.CIQ(A3393,"IQ_TOTAL_REV",IQ_FY)/I3403, _xll.ciqfunctions.udf.CIQ(A3393, "IQ_TOTAL_REV",IQ_LTM)/I3403))</f>
        <v>4.5082293410256291</v>
      </c>
      <c r="E3403" s="22">
        <f t="shared" si="907"/>
        <v>1.5065562793306763E-2</v>
      </c>
      <c r="F3403" s="21">
        <f>IF(A3401=A3402,_xll.ciqfunctions.udf.CIQ(A3393,"IQ_DILUT_EPS_EXCL",IQ_FY), _xll.ciqfunctions.udf.CIQ(A3393, "IQ_DILUT_EPS_EXCL",IQ_LTM))</f>
        <v>-0.11956</v>
      </c>
      <c r="G3403" s="21">
        <f>IF(A3401=A3402,_xll.ciqfunctions.udf.CIQ(A3393,"IQ_EBITDA_MARGIN",IQ_FY), _xll.ciqfunctions.udf.CIQ(A3393, "IQ_EBITDA_MARGIN",IQ_LTM))</f>
        <v>35.8414</v>
      </c>
      <c r="H3403" s="21">
        <f>IF(A3401=A3402,_xll.ciqfunctions.udf.CIQ(A3393,"IQ_TOTAL_DIV_PAID_CF",IQ_FY)/-I3403, _xll.ciqfunctions.udf.CIQ(A3393, "IQ_TOTAL_DIV_PAID_CF",IQ_LTM)/-I3403)</f>
        <v>0</v>
      </c>
      <c r="I3403" s="23">
        <f>IF(A3401=A3402,_xll.ciqfunctions.udf.CIQ(A3393,"IQ_TOTAL_OUTSTANDING_FILING_DATE",IQ_FY),_xll.ciqfunctions.udf.CIQ(A3393,"IQ_sharesoutstanding"))</f>
        <v>165.84559999999999</v>
      </c>
      <c r="J3403" s="23">
        <f>IF(A3401=A3402,_xll.ciqfunctions.udf.CIQ(A3393,"IQ_CASH_OPER",IQ_FY), _xll.ciqfunctions.udf.CIQ(A3393, "IQ_CASH_OPER",IQ_LTM))</f>
        <v>165.96899999999999</v>
      </c>
      <c r="K3403" s="23">
        <f>IF(A3401=A3402,_xll.ciqfunctions.udf.CIQ(A3393,"IQ_CAPEX",IQ_FY), _xll.ciqfunctions.udf.CIQ(A3393, "IQ_CAPEX",IQ_LTM))</f>
        <v>-4.8929999999999998</v>
      </c>
      <c r="L3403" s="21">
        <f t="shared" si="904"/>
        <v>0.97124072028440911</v>
      </c>
      <c r="M3403" s="23">
        <f>IF(A3401=A3402,_xll.ciqfunctions.udf.CIQ(A3393,"IQ_TOTAL_DEBT_ISSUED",IQ_FY), _xll.ciqfunctions.udf.CIQ(A3393, "IQ_TOTAL_DEBT_ISSUED",IQ_LTM))</f>
        <v>0</v>
      </c>
      <c r="N3403" s="23">
        <f>IF(A3401=A3402,_xll.ciqfunctions.udf.CIQ(A3393,"IQ_TOTAL_DEBT_REPAID",IQ_FY), _xll.ciqfunctions.udf.CIQ(A3393, "IQ_TOTAL_DEBT_REPAID",IQ_LTM))</f>
        <v>-355.65100000000001</v>
      </c>
      <c r="O3403" s="21">
        <f t="shared" si="905"/>
        <v>-2.1444705195675979</v>
      </c>
      <c r="P3403" s="21">
        <f t="shared" si="906"/>
        <v>-1.1732297992831888</v>
      </c>
      <c r="Q3403" s="25" t="s">
        <v>45</v>
      </c>
      <c r="S3403" s="45"/>
      <c r="U3403" s="25"/>
      <c r="W3403" s="45"/>
      <c r="Y3403" s="25"/>
      <c r="AA3403" s="45"/>
    </row>
    <row r="3404" spans="1:27">
      <c r="B3404" s="24"/>
      <c r="C3404" s="25" t="s">
        <v>37</v>
      </c>
      <c r="E3404" s="26">
        <f>((D3403/D3398)^(1/5))-1</f>
        <v>-3.772214912837879E-2</v>
      </c>
      <c r="F3404" s="27">
        <f>((F3403/F3398)^(1/5))-1</f>
        <v>-1.4716970813975236</v>
      </c>
      <c r="G3404" s="28"/>
      <c r="H3404" s="27" t="e">
        <f>((H3403/H3398)^(1/5))-1</f>
        <v>#DIV/0!</v>
      </c>
      <c r="I3404" s="27">
        <f>((I3403/I3398)^(1/5))-1</f>
        <v>1.6958478440559865E-2</v>
      </c>
      <c r="J3404" s="27"/>
      <c r="K3404" s="27"/>
      <c r="L3404" s="26">
        <f>((L3403/L3398)^(1/5))-1</f>
        <v>-9.0682208742764669E-2</v>
      </c>
      <c r="M3404" s="26"/>
      <c r="N3404" s="26"/>
      <c r="O3404" s="26"/>
      <c r="P3404" s="26">
        <f>((P3403/P3398)^(1/5))-1</f>
        <v>3.6189244706921642E-2</v>
      </c>
      <c r="Q3404" s="18"/>
      <c r="R3404" s="36"/>
      <c r="S3404" s="45"/>
      <c r="U3404" s="18"/>
      <c r="V3404" s="36"/>
      <c r="W3404" s="45"/>
      <c r="Y3404" s="18"/>
      <c r="Z3404" s="36"/>
      <c r="AA3404" s="45"/>
    </row>
    <row r="3405" spans="1:27">
      <c r="A3405" s="29"/>
      <c r="B3405" s="30"/>
      <c r="C3405" s="31" t="s">
        <v>38</v>
      </c>
      <c r="D3405" s="29"/>
      <c r="E3405" s="32">
        <f>((D3403/D3393)^(1/10))-1</f>
        <v>2.3099802521695079E-2</v>
      </c>
      <c r="F3405" s="33" t="e">
        <f>((F3403/F3393)^(1/10))-1</f>
        <v>#NUM!</v>
      </c>
      <c r="G3405" s="34"/>
      <c r="H3405" s="33" t="e">
        <f>((H3403/H3393)^(1/10))-1</f>
        <v>#DIV/0!</v>
      </c>
      <c r="I3405" s="33">
        <f>((I3403/I3393)^(1/10))-1</f>
        <v>8.2638779412244734E-2</v>
      </c>
      <c r="J3405" s="33"/>
      <c r="K3405" s="33"/>
      <c r="L3405" s="32">
        <f>((L3403/L3393)^(1/10))-1</f>
        <v>-6.2993106457625569E-2</v>
      </c>
      <c r="M3405" s="32"/>
      <c r="N3405" s="32"/>
      <c r="O3405" s="32"/>
      <c r="P3405" s="32" t="e">
        <f>((P3403/P3393)^(1/10))-1</f>
        <v>#NUM!</v>
      </c>
      <c r="Q3405" s="40"/>
      <c r="R3405" s="41"/>
      <c r="S3405" s="46"/>
      <c r="U3405" s="40"/>
      <c r="V3405" s="41"/>
      <c r="W3405" s="46"/>
      <c r="Y3405" s="40"/>
      <c r="Z3405" s="41"/>
      <c r="AA3405" s="46"/>
    </row>
    <row r="3406" spans="1:27">
      <c r="B3406" s="24"/>
      <c r="C3406" s="25"/>
      <c r="E3406" s="26"/>
      <c r="F3406" s="27"/>
      <c r="G3406" s="28"/>
      <c r="H3406" s="27"/>
      <c r="I3406" s="27"/>
      <c r="J3406" s="27"/>
      <c r="K3406" s="27"/>
      <c r="L3406" s="26"/>
      <c r="M3406" s="17"/>
      <c r="N3406" s="17"/>
      <c r="O3406" s="17"/>
      <c r="P3406" s="35"/>
      <c r="Q3406" s="18"/>
      <c r="R3406" s="36"/>
    </row>
    <row r="3407" spans="1:27">
      <c r="A3407" s="9" t="s">
        <v>0</v>
      </c>
      <c r="B3407" s="10"/>
      <c r="C3407" s="9" t="s">
        <v>1</v>
      </c>
      <c r="D3407" s="9" t="s">
        <v>2</v>
      </c>
      <c r="E3407" s="9" t="s">
        <v>3</v>
      </c>
      <c r="F3407" s="11" t="s">
        <v>4</v>
      </c>
      <c r="G3407" s="11" t="s">
        <v>5</v>
      </c>
      <c r="H3407" s="9" t="s">
        <v>6</v>
      </c>
      <c r="I3407" s="11" t="s">
        <v>7</v>
      </c>
      <c r="J3407" s="11" t="s">
        <v>8</v>
      </c>
      <c r="K3407" s="11" t="s">
        <v>9</v>
      </c>
      <c r="L3407" s="11" t="s">
        <v>10</v>
      </c>
      <c r="M3407" s="11" t="s">
        <v>11</v>
      </c>
      <c r="N3407" s="11" t="s">
        <v>12</v>
      </c>
      <c r="O3407" s="11" t="s">
        <v>13</v>
      </c>
      <c r="P3407" s="11" t="s">
        <v>14</v>
      </c>
      <c r="Q3407" s="37" t="s">
        <v>15</v>
      </c>
      <c r="R3407" s="42">
        <f>_xll.ciqfunctions.udf.CIQ(A3408,("IQ_LASTSALEPRICE"))</f>
        <v>36.22</v>
      </c>
      <c r="S3407" s="44"/>
      <c r="U3407" s="37" t="s">
        <v>15</v>
      </c>
      <c r="V3407" s="42">
        <f>_xll.ciqfunctions.udf.CIQ(A3408,("IQ_LASTSALEPRICE"))</f>
        <v>36.22</v>
      </c>
      <c r="W3407" s="44"/>
      <c r="Y3407" s="37" t="s">
        <v>15</v>
      </c>
      <c r="Z3407" s="42">
        <f>_xll.ciqfunctions.udf.CIQ(A3408,("IQ_LASTSALEPRICE"))</f>
        <v>36.22</v>
      </c>
      <c r="AA3407" s="44"/>
    </row>
    <row r="3408" spans="1:27">
      <c r="A3408" s="12" t="str">
        <f>Analysis!B229</f>
        <v>NYSE:PRO</v>
      </c>
      <c r="B3408" s="13">
        <v>1</v>
      </c>
      <c r="C3408" s="14" t="s">
        <v>16</v>
      </c>
      <c r="D3408" s="15">
        <f>IF(A3416=A3417,_xll.ciqfunctions.udf.CIQ(A3408,"IQ_TOTAL_REV",IQ_FY-10)/I3408,_xll.ciqfunctions.udf.CIQ(A3408, "IQ_TOTAL_REV",IQ_FY-9)/I3408)</f>
        <v>4.9624281179933885</v>
      </c>
      <c r="E3408" s="16"/>
      <c r="F3408" s="15">
        <f>IF(A3416=A3417,_xll.ciqfunctions.udf.CIQ(A3408,"IQ_DILUT_EPS_EXCL",IQ_FY-10), _xll.ciqfunctions.udf.CIQ(A3408, "IQ_DILUT_EPS_EXCL",IQ_FY-9))</f>
        <v>0.11</v>
      </c>
      <c r="G3408" s="15">
        <f>IF(A3416=A3417,_xll.ciqfunctions.udf.CIQ(A3408,"IQ_EBITDA_MARGIN",IQ_FY-10), _xll.ciqfunctions.udf.CIQ(A3408, "IQ_EBITDA_MARGIN",IQ_FY-9))</f>
        <v>6.9166999999999996</v>
      </c>
      <c r="H3408" s="15">
        <f>IF(A3416=A3417,_xll.ciqfunctions.udf.CIQ(A3408,"IQ_TOTAL_DIV_PAID_CF",IQ_FY-10)/-I3408, _xll.ciqfunctions.udf.CIQ(A3408, "IQ_TOTAL_DIV_PAID_CF",IQ_FY-9)/-I3408)</f>
        <v>0</v>
      </c>
      <c r="I3408" s="17">
        <f>IF(A3416=A3417,_xll.ciqfunctions.udf.CIQ(A3408,"IQ_TOTAL_OUTSTANDING_FILING_DATE",IQ_FY-10), _xll.ciqfunctions.udf.CIQ(A3408, "IQ_TOTAL_OUTSTANDING_FILING_DATE",IQ_FY-9))</f>
        <v>29.186720000000001</v>
      </c>
      <c r="J3408" s="17">
        <f>IF(A3416=A3417,_xll.ciqfunctions.udf.CIQ(A3408,"IQ_CASH_OPER",IQ_FY-10), _xll.ciqfunctions.udf.CIQ(A3408, "IQ_CASH_OPER",IQ_FY-9))</f>
        <v>16.971</v>
      </c>
      <c r="K3408" s="17">
        <f>IF(A3416=A3417,_xll.ciqfunctions.udf.CIQ(A3408,"IQ_CAPEX",IQ_FY-10), _xll.ciqfunctions.udf.CIQ(A3408, "IQ_CAPEX",IQ_FY-9))</f>
        <v>-3.4009999999999998</v>
      </c>
      <c r="L3408" s="15">
        <f t="shared" ref="L3408:L3418" si="908">(J3408+K3408)/I3408</f>
        <v>0.46493747841484073</v>
      </c>
      <c r="M3408" s="17">
        <f>IF(A3416=A3417,_xll.ciqfunctions.udf.CIQ(A3408,"IQ_TOTAL_DEBT_ISSUED",IQ_FY-10), _xll.ciqfunctions.udf.CIQ(A3408, "IQ_TOTAL_DEBT_ISSUED",IQ_FY-9))</f>
        <v>0</v>
      </c>
      <c r="N3408" s="17">
        <f>IF(A3416=A3417,_xll.ciqfunctions.udf.CIQ(A3408,"IQ_TOTAL_DEBT_REPAID",IQ_FY-10), _xll.ciqfunctions.udf.CIQ(A3408, "IQ_TOTAL_DEBT_REPAID",IQ_FY-9))</f>
        <v>0</v>
      </c>
      <c r="O3408" s="15">
        <f t="shared" ref="O3408:O3418" si="909">(M3408+N3408)/I3408</f>
        <v>0</v>
      </c>
      <c r="P3408" s="15">
        <f t="shared" ref="P3408:P3418" si="910">L3408+O3408</f>
        <v>0.46493747841484073</v>
      </c>
      <c r="W3408" s="43"/>
      <c r="AA3408" s="43"/>
    </row>
    <row r="3409" spans="1:27">
      <c r="A3409" s="18" t="str">
        <f>_xll.ciqfunctions.udf.CIQ(A3408,"IQ_COMPANY_NAME")</f>
        <v>PROS Holdings, Inc.</v>
      </c>
      <c r="B3409" s="13">
        <v>2</v>
      </c>
      <c r="C3409" s="14" t="s">
        <v>17</v>
      </c>
      <c r="D3409" s="15">
        <f>IF(A3416=A3417,_xll.ciqfunctions.udf.CIQ(A3408,"IQ_TOTAL_REV",IQ_FY-9)/I3409, _xll.ciqfunctions.udf.CIQ(A3408, "IQ_TOTAL_REV",IQ_FY-8)/I3409)</f>
        <v>6.3353286390578543</v>
      </c>
      <c r="E3409" s="16">
        <f t="shared" ref="E3409:E3418" si="911">(D3409-D3408)/D3408</f>
        <v>0.27665902425597511</v>
      </c>
      <c r="F3409" s="15">
        <f>IF(A3416=A3417,_xll.ciqfunctions.udf.CIQ(A3408,"IQ_DILUT_EPS_EXCL",IQ_FY-9), _xll.ciqfunctions.udf.CIQ(A3408, "IQ_DILUT_EPS_EXCL",IQ_FY-8))</f>
        <v>-1.27</v>
      </c>
      <c r="G3409" s="15">
        <f>IF(A3416=A3417,_xll.ciqfunctions.udf.CIQ(A3408,"IQ_EBITDA_MARGIN",IQ_FY-9), _xll.ciqfunctions.udf.CIQ(A3408, "IQ_EBITDA_MARGIN",IQ_FY-8))</f>
        <v>-2.6395</v>
      </c>
      <c r="H3409" s="15">
        <f>IF(A3416=A3417,_xll.ciqfunctions.udf.CIQ(A3408,"IQ_TOTAL_DIV_PAID_CF",IQ_FY-9)/-I3409, _xll.ciqfunctions.udf.CIQ(A3408, "IQ_TOTAL_DIV_PAID_CF",IQ_FY-8)/-I3409)</f>
        <v>0</v>
      </c>
      <c r="I3409" s="17">
        <f>IF(A3416=A3417,_xll.ciqfunctions.udf.CIQ(A3408,"IQ_TOTAL_OUTSTANDING_FILING_DATE",IQ_FY-9), _xll.ciqfunctions.udf.CIQ(A3408, "IQ_TOTAL_OUTSTANDING_FILING_DATE",IQ_FY-8))</f>
        <v>29.332180000000001</v>
      </c>
      <c r="J3409" s="17">
        <f>IF(A3416=A3417,_xll.ciqfunctions.udf.CIQ(A3408,"IQ_CASH_OPER",IQ_FY-9), _xll.ciqfunctions.udf.CIQ(A3408, "IQ_CASH_OPER",IQ_FY-8))</f>
        <v>1.754</v>
      </c>
      <c r="K3409" s="17">
        <f>IF(A3416=A3417,_xll.ciqfunctions.udf.CIQ(A3408,"IQ_CAPEX",IQ_FY-9), _xll.ciqfunctions.udf.CIQ(A3408, "IQ_CAPEX",IQ_FY-8))</f>
        <v>-7.4989999999999997</v>
      </c>
      <c r="L3409" s="15">
        <f t="shared" si="908"/>
        <v>-0.19585997358532503</v>
      </c>
      <c r="M3409" s="17">
        <f>IF(A3416=A3417,_xll.ciqfunctions.udf.CIQ(A3408,"IQ_TOTAL_DEBT_ISSUED",IQ_FY-9), _xll.ciqfunctions.udf.CIQ(A3408, "IQ_TOTAL_DEBT_ISSUED",IQ_FY-8))</f>
        <v>138.631</v>
      </c>
      <c r="N3409" s="17">
        <f>IF(A3416=A3417,_xll.ciqfunctions.udf.CIQ(A3408,"IQ_TOTAL_DEBT_REPAID",IQ_FY-9), _xll.ciqfunctions.udf.CIQ(A3408, "IQ_TOTAL_DEBT_REPAID",IQ_FY-8))</f>
        <v>0</v>
      </c>
      <c r="O3409" s="15">
        <f t="shared" si="909"/>
        <v>4.726242645449469</v>
      </c>
      <c r="P3409" s="15">
        <f t="shared" si="910"/>
        <v>4.5303826718641442</v>
      </c>
      <c r="Q3409" s="25" t="s">
        <v>18</v>
      </c>
      <c r="R3409" s="39" t="s">
        <v>19</v>
      </c>
      <c r="S3409" s="1">
        <f>R3407/((AVERAGE(P3413:P3418))*(1+E3419)^3)</f>
        <v>131.68676576169773</v>
      </c>
      <c r="U3409" s="25" t="s">
        <v>48</v>
      </c>
      <c r="V3409" s="39" t="s">
        <v>19</v>
      </c>
      <c r="W3409" s="1">
        <f>V3407/((AVERAGE(P3413:P3418))*(1+E3419)^3)</f>
        <v>131.68676576169773</v>
      </c>
      <c r="Y3409" s="25" t="s">
        <v>39</v>
      </c>
      <c r="Z3409" s="39" t="s">
        <v>19</v>
      </c>
      <c r="AA3409" s="1">
        <f>Z3407/((AVERAGE(P3413:P3418))*(1+E3419)^3)</f>
        <v>131.68676576169773</v>
      </c>
    </row>
    <row r="3410" spans="1:27">
      <c r="B3410" s="13">
        <v>3</v>
      </c>
      <c r="C3410" s="14" t="s">
        <v>20</v>
      </c>
      <c r="D3410" s="15" cm="1">
        <f t="array" ref="D3410">_xlfn.SINGLE(IF(A3416=A3417,_xll.ciqfunctions.udf.CIQ(A3408,"IQ_TOTAL_REV",IQ_FY-8)/I3410, _xll.ciqfunctions.udf.CIQ(A3408, "IQ_TOTAL_REV",IQ_FY-7)/I3410))</f>
        <v>5.5933626732820079</v>
      </c>
      <c r="E3410" s="16">
        <f t="shared" si="911"/>
        <v>-0.11711562383702739</v>
      </c>
      <c r="F3410" s="15">
        <f>IF(A3416=A3417,_xll.ciqfunctions.udf.CIQ(A3408,"IQ_DILUT_EPS_EXCL",IQ_FY-8), _xll.ciqfunctions.udf.CIQ(A3408, "IQ_DILUT_EPS_EXCL",IQ_FY-7))</f>
        <v>-2.23</v>
      </c>
      <c r="G3410" s="15">
        <f>IF(A3416=A3417,_xll.ciqfunctions.udf.CIQ(A3408,"IQ_EBITDA_MARGIN",IQ_FY-8), _xll.ciqfunctions.udf.CIQ(A3408, "IQ_EBITDA_MARGIN",IQ_FY-7))</f>
        <v>-25.089400000000001</v>
      </c>
      <c r="H3410" s="15">
        <f>IF(A3416=A3417,_xll.ciqfunctions.udf.CIQ(A3408,"IQ_TOTAL_DIV_PAID_CF",IQ_FY-8)/-I3410, _xll.ciqfunctions.udf.CIQ(A3408, "IQ_TOTAL_DIV_PAID_CF",IQ_FY-7)/-I3410)</f>
        <v>0</v>
      </c>
      <c r="I3410" s="17">
        <f>IF(A3416=A3417,_xll.ciqfunctions.udf.CIQ(A3408,"IQ_TOTAL_OUTSTANDING_FILING_DATE",IQ_FY-8), _xll.ciqfunctions.udf.CIQ(A3408, "IQ_TOTAL_OUTSTANDING_FILING_DATE",IQ_FY-7))</f>
        <v>30.07958</v>
      </c>
      <c r="J3410" s="17">
        <f>IF(A3416=A3417,_xll.ciqfunctions.udf.CIQ(A3408,"IQ_CASH_OPER",IQ_FY-8), _xll.ciqfunctions.udf.CIQ(A3408, "IQ_CASH_OPER",IQ_FY-7))</f>
        <v>15.532</v>
      </c>
      <c r="K3410" s="17">
        <f>IF(A3416=A3417,_xll.ciqfunctions.udf.CIQ(A3408,"IQ_CAPEX",IQ_FY-8), _xll.ciqfunctions.udf.CIQ(A3408, "IQ_CAPEX",IQ_FY-7))</f>
        <v>-6.7939999999999996</v>
      </c>
      <c r="L3410" s="15">
        <f t="shared" si="908"/>
        <v>0.29049607740533612</v>
      </c>
      <c r="M3410" s="17">
        <f>IF(A3416=A3417,_xll.ciqfunctions.udf.CIQ(A3408,"IQ_TOTAL_DEBT_ISSUED",IQ_FY-8), _xll.ciqfunctions.udf.CIQ(A3408, "IQ_TOTAL_DEBT_ISSUED",IQ_FY-7))</f>
        <v>0</v>
      </c>
      <c r="N3410" s="17">
        <f>IF(A3416=A3417,_xll.ciqfunctions.udf.CIQ(A3408,"IQ_TOTAL_DEBT_REPAID",IQ_FY-8), _xll.ciqfunctions.udf.CIQ(A3408, "IQ_TOTAL_DEBT_REPAID",IQ_FY-7))</f>
        <v>-0.26300000000000001</v>
      </c>
      <c r="O3410" s="15">
        <f t="shared" si="909"/>
        <v>-8.7434731468989928E-3</v>
      </c>
      <c r="P3410" s="15">
        <f t="shared" si="910"/>
        <v>0.28175260425843712</v>
      </c>
      <c r="Q3410" s="25" t="s">
        <v>21</v>
      </c>
      <c r="R3410" s="38" t="s">
        <v>49</v>
      </c>
      <c r="S3410" s="2">
        <f>(R3407*I3418)/1000</f>
        <v>1.6755889945999998</v>
      </c>
      <c r="U3410" s="25" t="s">
        <v>59</v>
      </c>
      <c r="V3410" s="38" t="s">
        <v>49</v>
      </c>
      <c r="W3410" s="2">
        <f>(V3407*I3418)/1000</f>
        <v>1.6755889945999998</v>
      </c>
      <c r="Y3410" s="25" t="s">
        <v>46</v>
      </c>
      <c r="Z3410" s="38" t="s">
        <v>49</v>
      </c>
      <c r="AA3410" s="2">
        <f>(Z3407*I3418)/1000</f>
        <v>1.6755889945999998</v>
      </c>
    </row>
    <row r="3411" spans="1:27">
      <c r="A3411" s="18"/>
      <c r="B3411" s="13">
        <v>4</v>
      </c>
      <c r="C3411" s="14" t="s">
        <v>22</v>
      </c>
      <c r="D3411" s="15" cm="1">
        <f t="array" ref="D3411">_xlfn.SINGLE(IF(A3416=A3417,_xll.ciqfunctions.udf.CIQ(A3408,"IQ_TOTAL_REV",IQ_FY-7)/I3411, _xll.ciqfunctions.udf.CIQ(A3408, "IQ_TOTAL_REV",IQ_FY-6)/I3411))</f>
        <v>4.9640077376805811</v>
      </c>
      <c r="E3411" s="16">
        <f t="shared" si="911"/>
        <v>-0.11251817061813037</v>
      </c>
      <c r="F3411" s="15">
        <f>IF(A3416=A3417,_xll.ciqfunctions.udf.CIQ(A3408,"IQ_DILUT_EPS_EXCL",IQ_FY-7), _xll.ciqfunctions.udf.CIQ(A3408, "IQ_DILUT_EPS_EXCL",IQ_FY-6))</f>
        <v>-2.4749099999999999</v>
      </c>
      <c r="G3411" s="15">
        <f>IF(A3416=A3417,_xll.ciqfunctions.udf.CIQ(A3408,"IQ_EBITDA_MARGIN",IQ_FY-7), _xll.ciqfunctions.udf.CIQ(A3408, "IQ_EBITDA_MARGIN",IQ_FY-6))</f>
        <v>-36.464199999999998</v>
      </c>
      <c r="H3411" s="15">
        <f>IF(A3416=A3417,_xll.ciqfunctions.udf.CIQ(A3408,"IQ_TOTAL_DIV_PAID_CF",IQ_FY-7)/-I3411, _xll.ciqfunctions.udf.CIQ(A3408, "IQ_TOTAL_DIV_PAID_CF",IQ_FY-6)/-I3411)</f>
        <v>0</v>
      </c>
      <c r="I3411" s="17">
        <f>IF(A3416=A3417,_xll.ciqfunctions.udf.CIQ(A3408,"IQ_TOTAL_OUTSTANDING_FILING_DATE",IQ_FY-7), _xll.ciqfunctions.udf.CIQ(A3408, "IQ_TOTAL_OUTSTANDING_FILING_DATE",IQ_FY-6))</f>
        <v>30.877469999999999</v>
      </c>
      <c r="J3411" s="17">
        <f>IF(A3416=A3417,_xll.ciqfunctions.udf.CIQ(A3408,"IQ_CASH_OPER",IQ_FY-7), _xll.ciqfunctions.udf.CIQ(A3408, "IQ_CASH_OPER",IQ_FY-6))</f>
        <v>-14.345000000000001</v>
      </c>
      <c r="K3411" s="17">
        <f>IF(A3416=A3417,_xll.ciqfunctions.udf.CIQ(A3408,"IQ_CAPEX",IQ_FY-7), _xll.ciqfunctions.udf.CIQ(A3408, "IQ_CAPEX",IQ_FY-6))</f>
        <v>-7.2409999999999997</v>
      </c>
      <c r="L3411" s="15">
        <f t="shared" si="908"/>
        <v>-0.69908577354297485</v>
      </c>
      <c r="M3411" s="17">
        <f>IF(A3416=A3417,_xll.ciqfunctions.udf.CIQ(A3408,"IQ_TOTAL_DEBT_ISSUED",IQ_FY-7), _xll.ciqfunctions.udf.CIQ(A3408, "IQ_TOTAL_DEBT_ISSUED",IQ_FY-6))</f>
        <v>0</v>
      </c>
      <c r="N3411" s="17">
        <f>IF(A3416=A3417,_xll.ciqfunctions.udf.CIQ(A3408,"IQ_TOTAL_DEBT_REPAID",IQ_FY-7), _xll.ciqfunctions.udf.CIQ(A3408, "IQ_TOTAL_DEBT_REPAID",IQ_FY-6))</f>
        <v>-0.19600000000000001</v>
      </c>
      <c r="O3411" s="15">
        <f t="shared" si="909"/>
        <v>-6.3476703240259004E-3</v>
      </c>
      <c r="P3411" s="15">
        <f t="shared" si="910"/>
        <v>-0.7054334438670008</v>
      </c>
      <c r="Q3411" s="25" t="s">
        <v>23</v>
      </c>
      <c r="R3411" s="38" t="s">
        <v>24</v>
      </c>
      <c r="S3411" s="1" t="e">
        <f>R3407/(AVERAGE(H3413:H3418)*(1+H3419)/(0.5-H3419))</f>
        <v>#DIV/0!</v>
      </c>
      <c r="U3411" s="25" t="s">
        <v>40</v>
      </c>
      <c r="V3411" s="38" t="s">
        <v>24</v>
      </c>
      <c r="W3411" s="1" t="e">
        <f>V3407/(AVERAGE(H3413:H3418)*(1+H3419)/(0.5-H3419))</f>
        <v>#DIV/0!</v>
      </c>
      <c r="Y3411" s="25" t="s">
        <v>47</v>
      </c>
      <c r="Z3411" s="38" t="s">
        <v>24</v>
      </c>
      <c r="AA3411" s="1" t="e">
        <f>Z3407/(AVERAGE(H3413:H3418)*(1+H3419)/(0.5-H3419))</f>
        <v>#DIV/0!</v>
      </c>
    </row>
    <row r="3412" spans="1:27">
      <c r="B3412" s="13">
        <v>5</v>
      </c>
      <c r="C3412" s="14" t="s">
        <v>25</v>
      </c>
      <c r="D3412" s="15" cm="1">
        <f t="array" ref="D3412">_xlfn.SINGLE(IF(A3416=A3417,_xll.ciqfunctions.udf.CIQ(A3408,"IQ_TOTAL_REV",IQ_FY-6)/I3412, _xll.ciqfunctions.udf.CIQ(A3408, "IQ_TOTAL_REV",IQ_FY-5)/I3412))</f>
        <v>5.2336309523809526</v>
      </c>
      <c r="E3412" s="16">
        <f t="shared" si="911"/>
        <v>5.4315631430976001E-2</v>
      </c>
      <c r="F3412" s="15">
        <f>IF(A3416=A3417,_xll.ciqfunctions.udf.CIQ(A3408,"IQ_DILUT_EPS_EXCL",IQ_FY-6), _xll.ciqfunctions.udf.CIQ(A3408, "IQ_DILUT_EPS_EXCL",IQ_FY-5))</f>
        <v>-2.4639099999999998</v>
      </c>
      <c r="G3412" s="15">
        <f>IF(A3416=A3417,_xll.ciqfunctions.udf.CIQ(A3408,"IQ_EBITDA_MARGIN",IQ_FY-6), _xll.ciqfunctions.udf.CIQ(A3408, "IQ_EBITDA_MARGIN",IQ_FY-5))</f>
        <v>-31.805</v>
      </c>
      <c r="H3412" s="15">
        <f>IF(A3416=A3417,_xll.ciqfunctions.udf.CIQ(A3408,"IQ_TOTAL_DIV_PAID_CF",IQ_FY-6)/-I3412, _xll.ciqfunctions.udf.CIQ(A3408, "IQ_TOTAL_DIV_PAID_CF",IQ_FY-5)/-I3412)</f>
        <v>0</v>
      </c>
      <c r="I3412" s="17">
        <f>IF(A3416=A3417,_xll.ciqfunctions.udf.CIQ(A3408,"IQ_TOTAL_OUTSTANDING_FILING_DATE",IQ_FY-6), _xll.ciqfunctions.udf.CIQ(A3408, "IQ_TOTAL_OUTSTANDING_FILING_DATE",IQ_FY-5))</f>
        <v>32.256</v>
      </c>
      <c r="J3412" s="17">
        <f>IF(A3416=A3417,_xll.ciqfunctions.udf.CIQ(A3408,"IQ_CASH_OPER",IQ_FY-6), _xll.ciqfunctions.udf.CIQ(A3408, "IQ_CASH_OPER",IQ_FY-5))</f>
        <v>-25.312999999999999</v>
      </c>
      <c r="K3412" s="17">
        <f>IF(A3416=A3417,_xll.ciqfunctions.udf.CIQ(A3408,"IQ_CAPEX",IQ_FY-6), _xll.ciqfunctions.udf.CIQ(A3408, "IQ_CAPEX",IQ_FY-5))</f>
        <v>-1.286</v>
      </c>
      <c r="L3412" s="15">
        <f t="shared" si="908"/>
        <v>-0.82462177579365081</v>
      </c>
      <c r="M3412" s="17">
        <f>IF(A3416=A3417,_xll.ciqfunctions.udf.CIQ(A3408,"IQ_TOTAL_DEBT_ISSUED",IQ_FY-6), _xll.ciqfunctions.udf.CIQ(A3408, "IQ_TOTAL_DEBT_ISSUED",IQ_FY-5))</f>
        <v>93.5</v>
      </c>
      <c r="N3412" s="17">
        <f>IF(A3416=A3417,_xll.ciqfunctions.udf.CIQ(A3408,"IQ_TOTAL_DEBT_REPAID",IQ_FY-6), _xll.ciqfunctions.udf.CIQ(A3408, "IQ_TOTAL_DEBT_REPAID",IQ_FY-5))</f>
        <v>-0.20899999999999999</v>
      </c>
      <c r="O3412" s="15">
        <f t="shared" si="909"/>
        <v>2.8922061011904763</v>
      </c>
      <c r="P3412" s="15">
        <f t="shared" si="910"/>
        <v>2.0675843253968256</v>
      </c>
      <c r="Q3412" s="18"/>
      <c r="R3412" s="38" t="s">
        <v>50</v>
      </c>
      <c r="S3412" s="3">
        <f>I3419</f>
        <v>4.302421933842604E-2</v>
      </c>
      <c r="U3412" s="18"/>
      <c r="V3412" s="38" t="s">
        <v>50</v>
      </c>
      <c r="W3412" s="3">
        <f>I3419</f>
        <v>4.302421933842604E-2</v>
      </c>
      <c r="Y3412" s="18"/>
      <c r="Z3412" s="38" t="s">
        <v>50</v>
      </c>
      <c r="AA3412" s="3">
        <f>I3419</f>
        <v>4.302421933842604E-2</v>
      </c>
    </row>
    <row r="3413" spans="1:27">
      <c r="B3413" s="13">
        <v>6</v>
      </c>
      <c r="C3413" s="14" t="s">
        <v>26</v>
      </c>
      <c r="D3413" s="15" cm="1">
        <f t="array" ref="D3413">_xlfn.SINGLE(IF(A3416=A3417,_xll.ciqfunctions.udf.CIQ(A3408,"IQ_TOTAL_REV",IQ_FY-5)/I3413, _xll.ciqfunctions.udf.CIQ(A3408, "IQ_TOTAL_REV",IQ_FY-4)/I3413))</f>
        <v>5.2574123820194911</v>
      </c>
      <c r="E3413" s="16">
        <f t="shared" si="911"/>
        <v>4.5439638092402397E-3</v>
      </c>
      <c r="F3413" s="15">
        <f>IF(A3416=A3417,_xll.ciqfunctions.udf.CIQ(A3408,"IQ_DILUT_EPS_EXCL",IQ_FY-5), _xll.ciqfunctions.udf.CIQ(A3408, "IQ_DILUT_EPS_EXCL",IQ_FY-4))</f>
        <v>-1.86409</v>
      </c>
      <c r="G3413" s="15">
        <f>IF(A3416=A3417,_xll.ciqfunctions.udf.CIQ(A3408,"IQ_EBITDA_MARGIN",IQ_FY-5), _xll.ciqfunctions.udf.CIQ(A3408, "IQ_EBITDA_MARGIN",IQ_FY-4))</f>
        <v>-18.3048</v>
      </c>
      <c r="H3413" s="15">
        <f>IF(A3416=A3417,_xll.ciqfunctions.udf.CIQ(A3408,"IQ_TOTAL_DIV_PAID_CF",IQ_FY-5)/-I3413, _xll.ciqfunctions.udf.CIQ(A3408, "IQ_TOTAL_DIV_PAID_CF",IQ_FY-4)/-I3413)</f>
        <v>0</v>
      </c>
      <c r="I3413" s="17">
        <f>IF(A3416=A3417,_xll.ciqfunctions.udf.CIQ(A3408,"IQ_TOTAL_OUTSTANDING_FILING_DATE",IQ_FY-5), _xll.ciqfunctions.udf.CIQ(A3408, "IQ_TOTAL_OUTSTANDING_FILING_DATE",IQ_FY-4))</f>
        <v>37.475470000000001</v>
      </c>
      <c r="J3413" s="17">
        <f>IF(A3416=A3417,_xll.ciqfunctions.udf.CIQ(A3408,"IQ_CASH_OPER",IQ_FY-5), _xll.ciqfunctions.udf.CIQ(A3408, "IQ_CASH_OPER",IQ_FY-4))</f>
        <v>5.7030000000000003</v>
      </c>
      <c r="K3413" s="17">
        <f>IF(A3416=A3417,_xll.ciqfunctions.udf.CIQ(A3408,"IQ_CAPEX",IQ_FY-5), _xll.ciqfunctions.udf.CIQ(A3408, "IQ_CAPEX",IQ_FY-4))</f>
        <v>-1.4750000000000001</v>
      </c>
      <c r="L3413" s="15">
        <f t="shared" si="908"/>
        <v>0.112820466294352</v>
      </c>
      <c r="M3413" s="17">
        <f>IF(A3416=A3417,_xll.ciqfunctions.udf.CIQ(A3408,"IQ_TOTAL_DEBT_ISSUED",IQ_FY-5), _xll.ciqfunctions.udf.CIQ(A3408, "IQ_TOTAL_DEBT_ISSUED",IQ_FY-4))</f>
        <v>0</v>
      </c>
      <c r="N3413" s="17">
        <f>IF(A3416=A3417,_xll.ciqfunctions.udf.CIQ(A3408,"IQ_TOTAL_DEBT_REPAID",IQ_FY-5), _xll.ciqfunctions.udf.CIQ(A3408, "IQ_TOTAL_DEBT_REPAID",IQ_FY-4))</f>
        <v>-5.3999999999999999E-2</v>
      </c>
      <c r="O3413" s="15">
        <f t="shared" si="909"/>
        <v>-1.4409425685655175E-3</v>
      </c>
      <c r="P3413" s="15">
        <f t="shared" si="910"/>
        <v>0.11137952372578648</v>
      </c>
      <c r="Q3413" s="25" t="s">
        <v>27</v>
      </c>
      <c r="R3413" s="38" t="s">
        <v>51</v>
      </c>
      <c r="S3413" s="4">
        <f>AVERAGE(F3413:F3418)/AVERAGE(D3413:D3418)</f>
        <v>-0.29870713963334661</v>
      </c>
      <c r="U3413" s="25" t="s">
        <v>58</v>
      </c>
      <c r="V3413" s="38" t="s">
        <v>51</v>
      </c>
      <c r="W3413" s="4">
        <f>AVERAGE(F3413:F3418)/AVERAGE(D3413:D3418)</f>
        <v>-0.29870713963334661</v>
      </c>
      <c r="Y3413" s="25" t="s">
        <v>56</v>
      </c>
      <c r="Z3413" s="38" t="s">
        <v>51</v>
      </c>
      <c r="AA3413" s="4">
        <f>AVERAGE(F3413:F3418)/AVERAGE(D3413:D3418)</f>
        <v>-0.29870713963334661</v>
      </c>
    </row>
    <row r="3414" spans="1:27">
      <c r="A3414" s="18"/>
      <c r="B3414" s="13">
        <v>7</v>
      </c>
      <c r="C3414" s="14" t="s">
        <v>28</v>
      </c>
      <c r="D3414" s="15" cm="1">
        <f t="array" ref="D3414">_xlfn.SINGLE(IF(A3416=A3417,_xll.ciqfunctions.udf.CIQ(A3408,"IQ_TOTAL_REV",IQ_FY-4)/I3414, _xll.ciqfunctions.udf.CIQ(A3408, "IQ_TOTAL_REV",IQ_FY-3)/I3414))</f>
        <v>5.8208464495799008</v>
      </c>
      <c r="E3414" s="16">
        <f t="shared" si="911"/>
        <v>0.10716946410507405</v>
      </c>
      <c r="F3414" s="15">
        <f>IF(A3416=A3417,_xll.ciqfunctions.udf.CIQ(A3408,"IQ_DILUT_EPS_EXCL",IQ_FY-4), _xll.ciqfunctions.udf.CIQ(A3408, "IQ_DILUT_EPS_EXCL",IQ_FY-3))</f>
        <v>-1.72</v>
      </c>
      <c r="G3414" s="15">
        <f>IF(A3416=A3417,_xll.ciqfunctions.udf.CIQ(A3408,"IQ_EBITDA_MARGIN",IQ_FY-4), _xll.ciqfunctions.udf.CIQ(A3408, "IQ_EBITDA_MARGIN",IQ_FY-3))</f>
        <v>-15.5656</v>
      </c>
      <c r="H3414" s="15">
        <f>IF(A3416=A3417,_xll.ciqfunctions.udf.CIQ(A3408,"IQ_TOTAL_DIV_PAID_CF",IQ_FY-4)/-I3414, _xll.ciqfunctions.udf.CIQ(A3408, "IQ_TOTAL_DIV_PAID_CF",IQ_FY-3)/-I3414)</f>
        <v>0</v>
      </c>
      <c r="I3414" s="17">
        <f>IF(A3416=A3417,_xll.ciqfunctions.udf.CIQ(A3408,"IQ_TOTAL_OUTSTANDING_FILING_DATE",IQ_FY-4), _xll.ciqfunctions.udf.CIQ(A3408, "IQ_TOTAL_OUTSTANDING_FILING_DATE",IQ_FY-3))</f>
        <v>43.006459999999997</v>
      </c>
      <c r="J3414" s="17">
        <f>IF(A3416=A3417,_xll.ciqfunctions.udf.CIQ(A3408,"IQ_CASH_OPER",IQ_FY-4), _xll.ciqfunctions.udf.CIQ(A3408, "IQ_CASH_OPER",IQ_FY-3))</f>
        <v>5.2450000000000001</v>
      </c>
      <c r="K3414" s="17">
        <f>IF(A3416=A3417,_xll.ciqfunctions.udf.CIQ(A3408,"IQ_CAPEX",IQ_FY-4), _xll.ciqfunctions.udf.CIQ(A3408, "IQ_CAPEX",IQ_FY-3))</f>
        <v>-5.2709999999999999</v>
      </c>
      <c r="L3414" s="15">
        <f t="shared" si="908"/>
        <v>-6.0456033814454391E-4</v>
      </c>
      <c r="M3414" s="17">
        <f>IF(A3416=A3417,_xll.ciqfunctions.udf.CIQ(A3408,"IQ_TOTAL_DEBT_ISSUED",IQ_FY-4), _xll.ciqfunctions.udf.CIQ(A3408, "IQ_TOTAL_DEBT_ISSUED",IQ_FY-3))</f>
        <v>140.15600000000001</v>
      </c>
      <c r="N3414" s="17">
        <f>IF(A3416=A3417,_xll.ciqfunctions.udf.CIQ(A3408,"IQ_TOTAL_DEBT_REPAID",IQ_FY-4), _xll.ciqfunctions.udf.CIQ(A3408, "IQ_TOTAL_DEBT_REPAID",IQ_FY-3))</f>
        <v>-97.677999999999997</v>
      </c>
      <c r="O3414" s="15">
        <f t="shared" si="909"/>
        <v>0.98771207860400534</v>
      </c>
      <c r="P3414" s="15">
        <f t="shared" si="910"/>
        <v>0.98710751826586085</v>
      </c>
      <c r="Q3414" s="18"/>
      <c r="R3414" s="38" t="s">
        <v>29</v>
      </c>
      <c r="S3414" s="4">
        <f>(AVERAGE(P3413:P3418)/_xlfn.STDEV.P(P3413:P3418))/(IF(A3416=A3417,(_xlfn.SINGLE(_xll.ciqfunctions.udf.CIQ(A3408,"IQ_total_assets",IQ_FY)) - _xlfn.SINGLE(_xll.ciqfunctions.udf.CIQ(A3408,"iq_gw_intan", IQ_FY)))/I3418, (_xlfn.SINGLE(_xll.ciqfunctions.udf.CIQ(A3408, "IQ_total_assets",IQ_LTM))-_xlfn.SINGLE(_xll.ciqfunctions.udf.CIQ(A3408,"iq_gw_intan",IQ_LTM)))/I3418))</f>
        <v>4.6648632137194265E-2</v>
      </c>
      <c r="U3414" s="18"/>
      <c r="V3414" s="38" t="s">
        <v>29</v>
      </c>
      <c r="W3414" s="4">
        <f>(AVERAGE(P3413:P3418)/_xlfn.STDEV.P(P3413:P3418))/(IF(A3416=A3417,(_xlfn.SINGLE(_xll.ciqfunctions.udf.CIQ(A3408,"IQ_total_assets",IQ_FY)) - _xlfn.SINGLE(_xll.ciqfunctions.udf.CIQ(A3408,"iq_gw_intan", IQ_FY)))/I3418, (_xlfn.SINGLE(_xll.ciqfunctions.udf.CIQ(A3408, "IQ_total_assets",IQ_LTM))-_xlfn.SINGLE(_xll.ciqfunctions.udf.CIQ(A3408,"iq_gw_intan",IQ_LTM)))/I3418))</f>
        <v>4.6648632137194265E-2</v>
      </c>
      <c r="Y3414" s="18"/>
      <c r="Z3414" s="38" t="s">
        <v>29</v>
      </c>
      <c r="AA3414" s="4">
        <f>(AVERAGE(P3413:P3418)/_xlfn.STDEV.P(P3413:P3418))/(IF(A3416=A3417,(_xlfn.SINGLE(_xll.ciqfunctions.udf.CIQ(A3408,"IQ_total_assets",IQ_FY)) - _xlfn.SINGLE(_xll.ciqfunctions.udf.CIQ(A3408,"iq_gw_intan", IQ_FY)))/I3418, (_xlfn.SINGLE(_xll.ciqfunctions.udf.CIQ(A3408, "IQ_total_assets",IQ_LTM))-_xlfn.SINGLE(_xll.ciqfunctions.udf.CIQ(A3408,"iq_gw_intan",IQ_LTM)))/I3418))</f>
        <v>4.6648632137194265E-2</v>
      </c>
    </row>
    <row r="3415" spans="1:27">
      <c r="A3415" s="18"/>
      <c r="B3415" s="13">
        <v>8</v>
      </c>
      <c r="C3415" s="14" t="s">
        <v>30</v>
      </c>
      <c r="D3415" s="15" cm="1">
        <f t="array" ref="D3415">_xlfn.SINGLE(IF(A3416=A3417,_xll.ciqfunctions.udf.CIQ(A3408,"IQ_TOTAL_REV",IQ_FY-3)/I3415, _xll.ciqfunctions.udf.CIQ(A3408, "IQ_TOTAL_REV",IQ_FY-2)/I3415))</f>
        <v>5.7063760881266443</v>
      </c>
      <c r="E3415" s="16">
        <f t="shared" si="911"/>
        <v>-1.9665586860055036E-2</v>
      </c>
      <c r="F3415" s="15">
        <f>IF(A3416=A3417,_xll.ciqfunctions.udf.CIQ(A3408,"IQ_DILUT_EPS_EXCL",IQ_FY-3), _xll.ciqfunctions.udf.CIQ(A3408, "IQ_DILUT_EPS_EXCL",IQ_FY-2))</f>
        <v>-1.78</v>
      </c>
      <c r="G3415" s="15">
        <f>IF(A3416=A3417,_xll.ciqfunctions.udf.CIQ(A3408,"IQ_EBITDA_MARGIN",IQ_FY-3), _xll.ciqfunctions.udf.CIQ(A3408, "IQ_EBITDA_MARGIN",IQ_FY-2))</f>
        <v>-20.499600000000001</v>
      </c>
      <c r="H3415" s="15">
        <f>IF(A3416=A3417,_xll.ciqfunctions.udf.CIQ(A3408,"IQ_TOTAL_DIV_PAID_CF",IQ_FY-3)/-I3415, _xll.ciqfunctions.udf.CIQ(A3408, "IQ_TOTAL_DIV_PAID_CF",IQ_FY-2)/-I3415)</f>
        <v>0</v>
      </c>
      <c r="I3415" s="17">
        <f>IF(A3416=A3417,_xll.ciqfunctions.udf.CIQ(A3408,"IQ_TOTAL_OUTSTANDING_FILING_DATE",IQ_FY-3), _xll.ciqfunctions.udf.CIQ(A3408, "IQ_TOTAL_OUTSTANDING_FILING_DATE",IQ_FY-2))</f>
        <v>44.235430000000001</v>
      </c>
      <c r="J3415" s="17">
        <f>IF(A3416=A3417,_xll.ciqfunctions.udf.CIQ(A3408,"IQ_CASH_OPER",IQ_FY-3), _xll.ciqfunctions.udf.CIQ(A3408, "IQ_CASH_OPER",IQ_FY-2))</f>
        <v>-49.389000000000003</v>
      </c>
      <c r="K3415" s="17">
        <f>IF(A3416=A3417,_xll.ciqfunctions.udf.CIQ(A3408,"IQ_CAPEX",IQ_FY-3), _xll.ciqfunctions.udf.CIQ(A3408, "IQ_CAPEX",IQ_FY-2))</f>
        <v>-28.492999999999999</v>
      </c>
      <c r="L3415" s="15">
        <f t="shared" si="908"/>
        <v>-1.760624910846351</v>
      </c>
      <c r="M3415" s="17">
        <f>IF(A3416=A3417,_xll.ciqfunctions.udf.CIQ(A3408,"IQ_TOTAL_DEBT_ISSUED",IQ_FY-3), _xll.ciqfunctions.udf.CIQ(A3408, "IQ_TOTAL_DEBT_ISSUED",IQ_FY-2))</f>
        <v>146.92500000000001</v>
      </c>
      <c r="N3415" s="17">
        <f>IF(A3416=A3417,_xll.ciqfunctions.udf.CIQ(A3408,"IQ_TOTAL_DEBT_REPAID",IQ_FY-3), _xll.ciqfunctions.udf.CIQ(A3408, "IQ_TOTAL_DEBT_REPAID",IQ_FY-2))</f>
        <v>0</v>
      </c>
      <c r="O3415" s="15">
        <f t="shared" si="909"/>
        <v>3.3214326163439578</v>
      </c>
      <c r="P3415" s="15">
        <f t="shared" si="910"/>
        <v>1.5608077054976068</v>
      </c>
      <c r="Q3415" s="18"/>
      <c r="R3415" s="39" t="s">
        <v>31</v>
      </c>
      <c r="S3415" s="5">
        <f>IF(NOT(D3408&gt;0),FALSE,SLOPE(G3408:G3418,B3408:B3418))</f>
        <v>-1.2213409090909089</v>
      </c>
      <c r="U3415" s="18"/>
      <c r="V3415" s="39" t="s">
        <v>31</v>
      </c>
      <c r="W3415" s="5">
        <f>IF(NOT(D3408&gt;0),FALSE,SLOPE(G3408:G3418,B3408:B3418))</f>
        <v>-1.2213409090909089</v>
      </c>
      <c r="Y3415" s="18"/>
      <c r="Z3415" s="39" t="s">
        <v>31</v>
      </c>
      <c r="AA3415" s="5">
        <f>IF(NOT(L3408&gt;0),FALSE,SLOPE(O3408:O3418,J3408:J3418))</f>
        <v>-3.0547057634100629E-2</v>
      </c>
    </row>
    <row r="3416" spans="1:27">
      <c r="A3416" s="19">
        <f>_xll.ciqfunctions.udf.CIQ(A3408,"IQ_TOTAL_REV",IQ_FY)</f>
        <v>276.137</v>
      </c>
      <c r="B3416" s="13">
        <v>9</v>
      </c>
      <c r="C3416" s="14" t="s">
        <v>32</v>
      </c>
      <c r="D3416" s="15" cm="1">
        <f t="array" ref="D3416">_xlfn.SINGLE(IF(A3416=A3417,_xll.ciqfunctions.udf.CIQ(A3408,"IQ_TOTAL_REV",IQ_FY-2)/I3416, _xll.ciqfunctions.udf.CIQ(A3408, "IQ_TOTAL_REV",IQ_FY-1)/I3416))</f>
        <v>5.5824351889494768</v>
      </c>
      <c r="E3416" s="16">
        <f t="shared" si="911"/>
        <v>-2.1719721459483459E-2</v>
      </c>
      <c r="F3416" s="15">
        <f>IF(A3416=A3417,_xll.ciqfunctions.udf.CIQ(A3408,"IQ_DILUT_EPS_EXCL",IQ_FY-2), _xll.ciqfunctions.udf.CIQ(A3408, "IQ_DILUT_EPS_EXCL",IQ_FY-1))</f>
        <v>-1.83118</v>
      </c>
      <c r="G3416" s="15">
        <f>IF(A3416=A3417,_xll.ciqfunctions.udf.CIQ(A3408,"IQ_EBITDA_MARGIN",IQ_FY-2), _xll.ciqfunctions.udf.CIQ(A3408, "IQ_EBITDA_MARGIN",IQ_FY-1))</f>
        <v>-23.8231</v>
      </c>
      <c r="H3416" s="15">
        <f>IF(A3416=A3417,_xll.ciqfunctions.udf.CIQ(A3408,"IQ_TOTAL_DIV_PAID_CF",IQ_FY-2)/-I3416, _xll.ciqfunctions.udf.CIQ(A3408, "IQ_TOTAL_DIV_PAID_CF",IQ_FY-1)/-I3416)</f>
        <v>0</v>
      </c>
      <c r="I3416" s="17">
        <f>IF(A3416=A3417,_xll.ciqfunctions.udf.CIQ(A3408,"IQ_TOTAL_OUTSTANDING_FILING_DATE",IQ_FY-2), _xll.ciqfunctions.udf.CIQ(A3408, "IQ_TOTAL_OUTSTANDING_FILING_DATE",IQ_FY-1))</f>
        <v>45.038229999999999</v>
      </c>
      <c r="J3416" s="17">
        <f>IF(A3416=A3417,_xll.ciqfunctions.udf.CIQ(A3408,"IQ_CASH_OPER",IQ_FY-2), _xll.ciqfunctions.udf.CIQ(A3408, "IQ_CASH_OPER",IQ_FY-1))</f>
        <v>-18.555</v>
      </c>
      <c r="K3416" s="17">
        <f>IF(A3416=A3417,_xll.ciqfunctions.udf.CIQ(A3408,"IQ_CAPEX",IQ_FY-2), _xll.ciqfunctions.udf.CIQ(A3408, "IQ_CAPEX",IQ_FY-1))</f>
        <v>-2.7959999999999998</v>
      </c>
      <c r="L3416" s="15">
        <f t="shared" si="908"/>
        <v>-0.47406392302717049</v>
      </c>
      <c r="M3416" s="17">
        <f>IF(A3416=A3417,_xll.ciqfunctions.udf.CIQ(A3408,"IQ_TOTAL_DEBT_ISSUED",IQ_FY-2), _xll.ciqfunctions.udf.CIQ(A3408, "IQ_TOTAL_DEBT_ISSUED",IQ_FY-1))</f>
        <v>0</v>
      </c>
      <c r="N3416" s="17">
        <f>IF(A3416=A3417,_xll.ciqfunctions.udf.CIQ(A3408,"IQ_TOTAL_DEBT_REPAID",IQ_FY-2), _xll.ciqfunctions.udf.CIQ(A3408, "IQ_TOTAL_DEBT_REPAID",IQ_FY-1))</f>
        <v>-0.28799999999999998</v>
      </c>
      <c r="O3416" s="15">
        <f t="shared" si="909"/>
        <v>-6.3945674596892462E-3</v>
      </c>
      <c r="P3416" s="15">
        <f t="shared" si="910"/>
        <v>-0.48045849048685974</v>
      </c>
      <c r="Q3416" s="25" t="s">
        <v>33</v>
      </c>
      <c r="R3416" s="38" t="s">
        <v>52</v>
      </c>
      <c r="S3416" s="4">
        <f>(AVERAGE(O3413:O3418)/AVERAGE(P3413:P3418))</f>
        <v>2.9392854943027862</v>
      </c>
      <c r="U3416" s="25" t="s">
        <v>54</v>
      </c>
      <c r="V3416" s="38" t="s">
        <v>52</v>
      </c>
      <c r="W3416" s="4">
        <f>(AVERAGE(O3413:O3418)/AVERAGE(P3413:P3418))</f>
        <v>2.9392854943027862</v>
      </c>
      <c r="Y3416" s="25" t="s">
        <v>60</v>
      </c>
      <c r="Z3416" s="38" t="s">
        <v>52</v>
      </c>
      <c r="AA3416" s="4">
        <f>(AVERAGE(O3413:O3418)/AVERAGE(P3413:P3418))</f>
        <v>2.9392854943027862</v>
      </c>
    </row>
    <row r="3417" spans="1:27">
      <c r="A3417" s="19">
        <f>_xll.ciqfunctions.udf.CIQ(A3408,"IQ_TOTAL_REV",IQ_LTM)</f>
        <v>297.15899999999999</v>
      </c>
      <c r="B3417" s="13">
        <v>10</v>
      </c>
      <c r="C3417" s="14" t="s">
        <v>34</v>
      </c>
      <c r="D3417" s="15" cm="1">
        <f t="array" ref="D3417">_xlfn.SINGLE(IF(A3416=A3417,_xll.ciqfunctions.udf.CIQ(A3408,"IQ_TOTAL_REV",IQ_FY-1)/I3417, _xll.ciqfunctions.udf.CIQ(A3408, "IQ_TOTAL_REV",IQ_FY)/I3417))</f>
        <v>6.0196067702673455</v>
      </c>
      <c r="E3417" s="16">
        <f t="shared" si="911"/>
        <v>7.8311985096263567E-2</v>
      </c>
      <c r="F3417" s="15">
        <f>IF(A3416=A3417,_xll.ciqfunctions.udf.CIQ(A3408,"IQ_DILUT_EPS_EXCL",IQ_FY-1), _xll.ciqfunctions.udf.CIQ(A3408, "IQ_DILUT_EPS_EXCL",IQ_FY))</f>
        <v>-1.82</v>
      </c>
      <c r="G3417" s="15">
        <f>IF(A3416=A3417,_xll.ciqfunctions.udf.CIQ(A3408,"IQ_EBITDA_MARGIN",IQ_FY-1), _xll.ciqfunctions.udf.CIQ(A3408, "IQ_EBITDA_MARGIN",IQ_FY))</f>
        <v>-22.298999999999999</v>
      </c>
      <c r="H3417" s="15">
        <f>IF(A3416=A3417,_xll.ciqfunctions.udf.CIQ(A3408,"IQ_TOTAL_DIV_PAID_CF",IQ_FY-1)/-I3417, _xll.ciqfunctions.udf.CIQ(A3408, "IQ_TOTAL_DIV_PAID_CF",IQ_FY)/-I3417)</f>
        <v>0</v>
      </c>
      <c r="I3417" s="17">
        <f>IF(A3416=A3417,_xll.ciqfunctions.udf.CIQ(A3408,"IQ_TOTAL_OUTSTANDING_FILING_DATE",IQ_FY-1), _xll.ciqfunctions.udf.CIQ(A3408, "IQ_TOTAL_OUTSTANDING_FILING_DATE",IQ_FY))</f>
        <v>45.872929999999997</v>
      </c>
      <c r="J3417" s="17">
        <f>IF(A3416=A3417,_xll.ciqfunctions.udf.CIQ(A3408,"IQ_CASH_OPER",IQ_FY-1), _xll.ciqfunctions.udf.CIQ(A3408, "IQ_CASH_OPER",IQ_FY))</f>
        <v>-23.905999999999999</v>
      </c>
      <c r="K3417" s="17">
        <f>IF(A3416=A3417,_xll.ciqfunctions.udf.CIQ(A3408,"IQ_CAPEX",IQ_FY-1), _xll.ciqfunctions.udf.CIQ(A3408, "IQ_CAPEX",IQ_FY))</f>
        <v>-0.86099999999999999</v>
      </c>
      <c r="L3417" s="15">
        <f t="shared" si="908"/>
        <v>-0.53990447089383653</v>
      </c>
      <c r="M3417" s="17">
        <f>IF(A3416=A3417,_xll.ciqfunctions.udf.CIQ(A3408,"IQ_TOTAL_DEBT_ISSUED",IQ_FY-1), _xll.ciqfunctions.udf.CIQ(A3408, "IQ_TOTAL_DEBT_ISSUED",IQ_FY))</f>
        <v>0</v>
      </c>
      <c r="N3417" s="17">
        <f>IF(A3416=A3417,_xll.ciqfunctions.udf.CIQ(A3408,"IQ_TOTAL_DEBT_REPAID",IQ_FY-1), _xll.ciqfunctions.udf.CIQ(A3408, "IQ_TOTAL_DEBT_REPAID",IQ_FY))</f>
        <v>0</v>
      </c>
      <c r="O3417" s="15">
        <f t="shared" si="909"/>
        <v>0</v>
      </c>
      <c r="P3417" s="15">
        <f t="shared" si="910"/>
        <v>-0.53990447089383653</v>
      </c>
      <c r="Q3417" s="25" t="s">
        <v>44</v>
      </c>
      <c r="R3417" s="38" t="s">
        <v>35</v>
      </c>
      <c r="S3417" s="1" t="str">
        <f>_xll.ciqfunctions.udf.CIQ(A3408,"IQ_TEV_EBITDA")</f>
        <v>NM</v>
      </c>
      <c r="U3417" s="25" t="s">
        <v>55</v>
      </c>
      <c r="V3417" s="38" t="s">
        <v>53</v>
      </c>
      <c r="W3417" s="1">
        <f>V3407/(AVERAGE(D3413:D3418)/_xlfn.STDEV.P(E3413:E3418))</f>
        <v>0.31465601381107244</v>
      </c>
      <c r="Y3417" s="25" t="s">
        <v>57</v>
      </c>
      <c r="Z3417" s="38" t="s">
        <v>53</v>
      </c>
      <c r="AA3417" s="1">
        <f>Z3407/(AVERAGE(D3413:D3418)/_xlfn.STDEV.P(E3413:E3418))</f>
        <v>0.31465601381107244</v>
      </c>
    </row>
    <row r="3418" spans="1:27">
      <c r="B3418" s="13">
        <v>11</v>
      </c>
      <c r="C3418" s="20" t="s">
        <v>36</v>
      </c>
      <c r="D3418" s="21" cm="1">
        <f t="array" ref="D3418">_xlfn.SINGLE(IF(A3416=A3417,_xll.ciqfunctions.udf.CIQ(A3408,"IQ_TOTAL_REV",IQ_FY)/I3418, _xll.ciqfunctions.udf.CIQ(A3408, "IQ_TOTAL_REV",IQ_LTM)/I3418))</f>
        <v>6.4234719938402254</v>
      </c>
      <c r="E3418" s="22">
        <f t="shared" si="911"/>
        <v>6.7091628903019396E-2</v>
      </c>
      <c r="F3418" s="21">
        <f>IF(A3416=A3417,_xll.ciqfunctions.udf.CIQ(A3408,"IQ_DILUT_EPS_EXCL",IQ_FY), _xll.ciqfunctions.udf.CIQ(A3408, "IQ_DILUT_EPS_EXCL",IQ_LTM))</f>
        <v>-1.3827700000000001</v>
      </c>
      <c r="G3418" s="21">
        <f>IF(A3416=A3417,_xll.ciqfunctions.udf.CIQ(A3408,"IQ_EBITDA_MARGIN",IQ_FY), _xll.ciqfunctions.udf.CIQ(A3408, "IQ_EBITDA_MARGIN",IQ_LTM))</f>
        <v>-14.6187</v>
      </c>
      <c r="H3418" s="21">
        <f>IF(A3416=A3417,_xll.ciqfunctions.udf.CIQ(A3408,"IQ_TOTAL_DIV_PAID_CF",IQ_FY)/-I3418, _xll.ciqfunctions.udf.CIQ(A3408, "IQ_TOTAL_DIV_PAID_CF",IQ_LTM)/-I3418)</f>
        <v>0</v>
      </c>
      <c r="I3418" s="23">
        <f>IF(A3416=A3417,_xll.ciqfunctions.udf.CIQ(A3408,"IQ_TOTAL_OUTSTANDING_FILING_DATE",IQ_FY),_xll.ciqfunctions.udf.CIQ(A3408,"IQ_sharesoutstanding"))</f>
        <v>46.261429999999997</v>
      </c>
      <c r="J3418" s="23">
        <f>IF(A3416=A3417,_xll.ciqfunctions.udf.CIQ(A3408,"IQ_CASH_OPER",IQ_FY), _xll.ciqfunctions.udf.CIQ(A3408, "IQ_CASH_OPER",IQ_LTM))</f>
        <v>-5.9370000000000003</v>
      </c>
      <c r="K3418" s="23">
        <f>IF(A3416=A3417,_xll.ciqfunctions.udf.CIQ(A3408,"IQ_CAPEX",IQ_FY), _xll.ciqfunctions.udf.CIQ(A3408, "IQ_CAPEX",IQ_LTM))</f>
        <v>-2.1840000000000002</v>
      </c>
      <c r="L3418" s="21">
        <f t="shared" si="908"/>
        <v>-0.1755458056527868</v>
      </c>
      <c r="M3418" s="23">
        <f>IF(A3416=A3417,_xll.ciqfunctions.udf.CIQ(A3408,"IQ_TOTAL_DEBT_ISSUED",IQ_FY), _xll.ciqfunctions.udf.CIQ(A3408, "IQ_TOTAL_DEBT_ISSUED",IQ_LTM))</f>
        <v>0</v>
      </c>
      <c r="N3418" s="23">
        <f>IF(A3416=A3417,_xll.ciqfunctions.udf.CIQ(A3408,"IQ_TOTAL_DEBT_REPAID",IQ_FY), _xll.ciqfunctions.udf.CIQ(A3408, "IQ_TOTAL_DEBT_REPAID",IQ_LTM))</f>
        <v>0</v>
      </c>
      <c r="O3418" s="21">
        <f t="shared" si="909"/>
        <v>0</v>
      </c>
      <c r="P3418" s="21">
        <f t="shared" si="910"/>
        <v>-0.1755458056527868</v>
      </c>
      <c r="Q3418" s="25" t="s">
        <v>45</v>
      </c>
      <c r="S3418" s="45"/>
      <c r="U3418" s="25"/>
      <c r="W3418" s="45"/>
      <c r="Y3418" s="25"/>
      <c r="AA3418" s="45"/>
    </row>
    <row r="3419" spans="1:27">
      <c r="B3419" s="24"/>
      <c r="C3419" s="25" t="s">
        <v>37</v>
      </c>
      <c r="E3419" s="26">
        <f>((D3418/D3413)^(1/5))-1</f>
        <v>4.0877350201228957E-2</v>
      </c>
      <c r="F3419" s="27">
        <f>((F3418/F3413)^(1/5))-1</f>
        <v>-5.7987611226656521E-2</v>
      </c>
      <c r="G3419" s="28"/>
      <c r="H3419" s="27" t="e">
        <f>((H3418/H3413)^(1/5))-1</f>
        <v>#DIV/0!</v>
      </c>
      <c r="I3419" s="27">
        <f>((I3418/I3413)^(1/5))-1</f>
        <v>4.302421933842604E-2</v>
      </c>
      <c r="J3419" s="27"/>
      <c r="K3419" s="27"/>
      <c r="L3419" s="26">
        <f>((L3418/L3413)^(1/5))-1</f>
        <v>-2.0924473446039258</v>
      </c>
      <c r="M3419" s="26"/>
      <c r="N3419" s="26"/>
      <c r="O3419" s="26"/>
      <c r="P3419" s="26">
        <f>((P3418/P3413)^(1/5))-1</f>
        <v>-2.0952594781438667</v>
      </c>
      <c r="Q3419" s="18"/>
      <c r="R3419" s="36"/>
      <c r="S3419" s="45"/>
      <c r="U3419" s="18"/>
      <c r="V3419" s="36"/>
      <c r="W3419" s="45"/>
      <c r="Y3419" s="18"/>
      <c r="Z3419" s="36"/>
      <c r="AA3419" s="45"/>
    </row>
    <row r="3420" spans="1:27">
      <c r="A3420" s="29"/>
      <c r="B3420" s="30"/>
      <c r="C3420" s="31" t="s">
        <v>38</v>
      </c>
      <c r="D3420" s="29"/>
      <c r="E3420" s="32">
        <f>((D3418/D3408)^(1/10))-1</f>
        <v>2.6142229070145406E-2</v>
      </c>
      <c r="F3420" s="33" t="e">
        <f>((F3418/F3408)^(1/10))-1</f>
        <v>#NUM!</v>
      </c>
      <c r="G3420" s="34"/>
      <c r="H3420" s="33" t="e">
        <f>((H3418/H3408)^(1/10))-1</f>
        <v>#DIV/0!</v>
      </c>
      <c r="I3420" s="33">
        <f>((I3418/I3408)^(1/10))-1</f>
        <v>4.7136688319411979E-2</v>
      </c>
      <c r="J3420" s="33"/>
      <c r="K3420" s="33"/>
      <c r="L3420" s="32" t="e">
        <f>((L3418/L3408)^(1/10))-1</f>
        <v>#NUM!</v>
      </c>
      <c r="M3420" s="32"/>
      <c r="N3420" s="32"/>
      <c r="O3420" s="32"/>
      <c r="P3420" s="32" t="e">
        <f>((P3418/P3408)^(1/10))-1</f>
        <v>#NUM!</v>
      </c>
      <c r="Q3420" s="40"/>
      <c r="R3420" s="41"/>
      <c r="S3420" s="46"/>
      <c r="U3420" s="40"/>
      <c r="V3420" s="41"/>
      <c r="W3420" s="46"/>
      <c r="Y3420" s="40"/>
      <c r="Z3420" s="41"/>
      <c r="AA3420" s="46"/>
    </row>
    <row r="3421" spans="1:27">
      <c r="B3421" s="24"/>
      <c r="C3421" s="25"/>
      <c r="E3421" s="26"/>
      <c r="F3421" s="27"/>
      <c r="G3421" s="28"/>
      <c r="H3421" s="27"/>
      <c r="I3421" s="27"/>
      <c r="J3421" s="27"/>
      <c r="K3421" s="27"/>
      <c r="L3421" s="26"/>
      <c r="M3421" s="17"/>
      <c r="N3421" s="17"/>
      <c r="O3421" s="17"/>
      <c r="P3421" s="35"/>
      <c r="Q3421" s="18"/>
      <c r="R3421" s="36"/>
    </row>
    <row r="3422" spans="1:27">
      <c r="A3422" s="9" t="s">
        <v>0</v>
      </c>
      <c r="B3422" s="10"/>
      <c r="C3422" s="9" t="s">
        <v>1</v>
      </c>
      <c r="D3422" s="9" t="s">
        <v>2</v>
      </c>
      <c r="E3422" s="9" t="s">
        <v>3</v>
      </c>
      <c r="F3422" s="11" t="s">
        <v>4</v>
      </c>
      <c r="G3422" s="11" t="s">
        <v>5</v>
      </c>
      <c r="H3422" s="9" t="s">
        <v>6</v>
      </c>
      <c r="I3422" s="11" t="s">
        <v>7</v>
      </c>
      <c r="J3422" s="11" t="s">
        <v>8</v>
      </c>
      <c r="K3422" s="11" t="s">
        <v>9</v>
      </c>
      <c r="L3422" s="11" t="s">
        <v>10</v>
      </c>
      <c r="M3422" s="11" t="s">
        <v>11</v>
      </c>
      <c r="N3422" s="11" t="s">
        <v>12</v>
      </c>
      <c r="O3422" s="11" t="s">
        <v>13</v>
      </c>
      <c r="P3422" s="11" t="s">
        <v>14</v>
      </c>
      <c r="Q3422" s="37" t="s">
        <v>15</v>
      </c>
      <c r="R3422" s="42">
        <f>_xll.ciqfunctions.udf.CIQ(A3423,("IQ_LASTSALEPRICE"))</f>
        <v>16.75</v>
      </c>
      <c r="S3422" s="44"/>
      <c r="U3422" s="37" t="s">
        <v>15</v>
      </c>
      <c r="V3422" s="42">
        <f>_xll.ciqfunctions.udf.CIQ(A3423,("IQ_LASTSALEPRICE"))</f>
        <v>16.75</v>
      </c>
      <c r="W3422" s="44"/>
      <c r="Y3422" s="37" t="s">
        <v>15</v>
      </c>
      <c r="Z3422" s="42">
        <f>_xll.ciqfunctions.udf.CIQ(A3423,("IQ_LASTSALEPRICE"))</f>
        <v>16.75</v>
      </c>
      <c r="AA3422" s="44"/>
    </row>
    <row r="3423" spans="1:27">
      <c r="A3423" s="12" t="str">
        <f>Analysis!B230</f>
        <v>NasdaqGS:JAMF</v>
      </c>
      <c r="B3423" s="13">
        <v>1</v>
      </c>
      <c r="C3423" s="14" t="s">
        <v>16</v>
      </c>
      <c r="D3423" s="15" t="e">
        <f>IF(A3431=A3432,_xll.ciqfunctions.udf.CIQ(A3423,"IQ_TOTAL_REV",IQ_FY-10)/I3423,_xll.ciqfunctions.udf.CIQ(A3423, "IQ_TOTAL_REV",IQ_FY-9)/I3423)</f>
        <v>#DIV/0!</v>
      </c>
      <c r="E3423" s="16"/>
      <c r="F3423" s="15">
        <f>IF(A3431=A3432,_xll.ciqfunctions.udf.CIQ(A3423,"IQ_DILUT_EPS_EXCL",IQ_FY-10), _xll.ciqfunctions.udf.CIQ(A3423, "IQ_DILUT_EPS_EXCL",IQ_FY-9))</f>
        <v>0</v>
      </c>
      <c r="G3423" s="15">
        <f>IF(A3431=A3432,_xll.ciqfunctions.udf.CIQ(A3423,"IQ_EBITDA_MARGIN",IQ_FY-10), _xll.ciqfunctions.udf.CIQ(A3423, "IQ_EBITDA_MARGIN",IQ_FY-9))</f>
        <v>0</v>
      </c>
      <c r="H3423" s="15" t="e">
        <f>IF(A3431=A3432,_xll.ciqfunctions.udf.CIQ(A3423,"IQ_TOTAL_DIV_PAID_CF",IQ_FY-10)/-I3423, _xll.ciqfunctions.udf.CIQ(A3423, "IQ_TOTAL_DIV_PAID_CF",IQ_FY-9)/-I3423)</f>
        <v>#DIV/0!</v>
      </c>
      <c r="I3423" s="17">
        <f>IF(A3431=A3432,_xll.ciqfunctions.udf.CIQ(A3423,"IQ_TOTAL_OUTSTANDING_FILING_DATE",IQ_FY-10), _xll.ciqfunctions.udf.CIQ(A3423, "IQ_TOTAL_OUTSTANDING_FILING_DATE",IQ_FY-9))</f>
        <v>0</v>
      </c>
      <c r="J3423" s="17">
        <f>IF(A3431=A3432,_xll.ciqfunctions.udf.CIQ(A3423,"IQ_CASH_OPER",IQ_FY-10), _xll.ciqfunctions.udf.CIQ(A3423, "IQ_CASH_OPER",IQ_FY-9))</f>
        <v>0</v>
      </c>
      <c r="K3423" s="17">
        <f>IF(A3431=A3432,_xll.ciqfunctions.udf.CIQ(A3423,"IQ_CAPEX",IQ_FY-10), _xll.ciqfunctions.udf.CIQ(A3423, "IQ_CAPEX",IQ_FY-9))</f>
        <v>0</v>
      </c>
      <c r="L3423" s="15" t="e">
        <f t="shared" ref="L3423:L3433" si="912">(J3423+K3423)/I3423</f>
        <v>#DIV/0!</v>
      </c>
      <c r="M3423" s="17">
        <f>IF(A3431=A3432,_xll.ciqfunctions.udf.CIQ(A3423,"IQ_TOTAL_DEBT_ISSUED",IQ_FY-10), _xll.ciqfunctions.udf.CIQ(A3423, "IQ_TOTAL_DEBT_ISSUED",IQ_FY-9))</f>
        <v>0</v>
      </c>
      <c r="N3423" s="17">
        <f>IF(A3431=A3432,_xll.ciqfunctions.udf.CIQ(A3423,"IQ_TOTAL_DEBT_REPAID",IQ_FY-10), _xll.ciqfunctions.udf.CIQ(A3423, "IQ_TOTAL_DEBT_REPAID",IQ_FY-9))</f>
        <v>0</v>
      </c>
      <c r="O3423" s="15" t="e">
        <f t="shared" ref="O3423:O3433" si="913">(M3423+N3423)/I3423</f>
        <v>#DIV/0!</v>
      </c>
      <c r="P3423" s="15" t="e">
        <f t="shared" ref="P3423:P3433" si="914">L3423+O3423</f>
        <v>#DIV/0!</v>
      </c>
      <c r="W3423" s="43"/>
      <c r="AA3423" s="43"/>
    </row>
    <row r="3424" spans="1:27">
      <c r="A3424" s="18" t="str">
        <f>_xll.ciqfunctions.udf.CIQ(A3423,"IQ_COMPANY_NAME")</f>
        <v>Jamf Holding Corp.</v>
      </c>
      <c r="B3424" s="13">
        <v>2</v>
      </c>
      <c r="C3424" s="14" t="s">
        <v>17</v>
      </c>
      <c r="D3424" s="15" t="e">
        <f>IF(A3431=A3432,_xll.ciqfunctions.udf.CIQ(A3423,"IQ_TOTAL_REV",IQ_FY-9)/I3424, _xll.ciqfunctions.udf.CIQ(A3423, "IQ_TOTAL_REV",IQ_FY-8)/I3424)</f>
        <v>#DIV/0!</v>
      </c>
      <c r="E3424" s="16" t="e">
        <f t="shared" ref="E3424:E3433" si="915">(D3424-D3423)/D3423</f>
        <v>#DIV/0!</v>
      </c>
      <c r="F3424" s="15">
        <f>IF(A3431=A3432,_xll.ciqfunctions.udf.CIQ(A3423,"IQ_DILUT_EPS_EXCL",IQ_FY-9), _xll.ciqfunctions.udf.CIQ(A3423, "IQ_DILUT_EPS_EXCL",IQ_FY-8))</f>
        <v>0</v>
      </c>
      <c r="G3424" s="15">
        <f>IF(A3431=A3432,_xll.ciqfunctions.udf.CIQ(A3423,"IQ_EBITDA_MARGIN",IQ_FY-9), _xll.ciqfunctions.udf.CIQ(A3423, "IQ_EBITDA_MARGIN",IQ_FY-8))</f>
        <v>0</v>
      </c>
      <c r="H3424" s="15" t="e">
        <f>IF(A3431=A3432,_xll.ciqfunctions.udf.CIQ(A3423,"IQ_TOTAL_DIV_PAID_CF",IQ_FY-9)/-I3424, _xll.ciqfunctions.udf.CIQ(A3423, "IQ_TOTAL_DIV_PAID_CF",IQ_FY-8)/-I3424)</f>
        <v>#DIV/0!</v>
      </c>
      <c r="I3424" s="17">
        <f>IF(A3431=A3432,_xll.ciqfunctions.udf.CIQ(A3423,"IQ_TOTAL_OUTSTANDING_FILING_DATE",IQ_FY-9), _xll.ciqfunctions.udf.CIQ(A3423, "IQ_TOTAL_OUTSTANDING_FILING_DATE",IQ_FY-8))</f>
        <v>0</v>
      </c>
      <c r="J3424" s="17">
        <f>IF(A3431=A3432,_xll.ciqfunctions.udf.CIQ(A3423,"IQ_CASH_OPER",IQ_FY-9), _xll.ciqfunctions.udf.CIQ(A3423, "IQ_CASH_OPER",IQ_FY-8))</f>
        <v>0</v>
      </c>
      <c r="K3424" s="17">
        <f>IF(A3431=A3432,_xll.ciqfunctions.udf.CIQ(A3423,"IQ_CAPEX",IQ_FY-9), _xll.ciqfunctions.udf.CIQ(A3423, "IQ_CAPEX",IQ_FY-8))</f>
        <v>0</v>
      </c>
      <c r="L3424" s="15" t="e">
        <f t="shared" si="912"/>
        <v>#DIV/0!</v>
      </c>
      <c r="M3424" s="17">
        <f>IF(A3431=A3432,_xll.ciqfunctions.udf.CIQ(A3423,"IQ_TOTAL_DEBT_ISSUED",IQ_FY-9), _xll.ciqfunctions.udf.CIQ(A3423, "IQ_TOTAL_DEBT_ISSUED",IQ_FY-8))</f>
        <v>0</v>
      </c>
      <c r="N3424" s="17">
        <f>IF(A3431=A3432,_xll.ciqfunctions.udf.CIQ(A3423,"IQ_TOTAL_DEBT_REPAID",IQ_FY-9), _xll.ciqfunctions.udf.CIQ(A3423, "IQ_TOTAL_DEBT_REPAID",IQ_FY-8))</f>
        <v>0</v>
      </c>
      <c r="O3424" s="15" t="e">
        <f t="shared" si="913"/>
        <v>#DIV/0!</v>
      </c>
      <c r="P3424" s="15" t="e">
        <f t="shared" si="914"/>
        <v>#DIV/0!</v>
      </c>
      <c r="Q3424" s="25" t="s">
        <v>18</v>
      </c>
      <c r="R3424" s="39" t="s">
        <v>19</v>
      </c>
      <c r="S3424" s="1">
        <f>R3422/((AVERAGE(P3428:P3433))*(1+E3434)^3)</f>
        <v>14.177130092139951</v>
      </c>
      <c r="U3424" s="25" t="s">
        <v>48</v>
      </c>
      <c r="V3424" s="39" t="s">
        <v>19</v>
      </c>
      <c r="W3424" s="1">
        <f>V3422/((AVERAGE(P3428:P3433))*(1+E3434)^3)</f>
        <v>14.177130092139951</v>
      </c>
      <c r="Y3424" s="25" t="s">
        <v>39</v>
      </c>
      <c r="Z3424" s="39" t="s">
        <v>19</v>
      </c>
      <c r="AA3424" s="1">
        <f>Z3422/((AVERAGE(P3428:P3433))*(1+E3434)^3)</f>
        <v>14.177130092139951</v>
      </c>
    </row>
    <row r="3425" spans="1:27">
      <c r="B3425" s="13">
        <v>3</v>
      </c>
      <c r="C3425" s="14" t="s">
        <v>20</v>
      </c>
      <c r="D3425" s="15" t="e" cm="1">
        <f t="array" ref="D3425">_xlfn.SINGLE(IF(A3431=A3432,_xll.ciqfunctions.udf.CIQ(A3423,"IQ_TOTAL_REV",IQ_FY-8)/I3425, _xll.ciqfunctions.udf.CIQ(A3423, "IQ_TOTAL_REV",IQ_FY-7)/I3425))</f>
        <v>#DIV/0!</v>
      </c>
      <c r="E3425" s="16" t="e">
        <f t="shared" si="915"/>
        <v>#DIV/0!</v>
      </c>
      <c r="F3425" s="15">
        <f>IF(A3431=A3432,_xll.ciqfunctions.udf.CIQ(A3423,"IQ_DILUT_EPS_EXCL",IQ_FY-8), _xll.ciqfunctions.udf.CIQ(A3423, "IQ_DILUT_EPS_EXCL",IQ_FY-7))</f>
        <v>0</v>
      </c>
      <c r="G3425" s="15">
        <f>IF(A3431=A3432,_xll.ciqfunctions.udf.CIQ(A3423,"IQ_EBITDA_MARGIN",IQ_FY-8), _xll.ciqfunctions.udf.CIQ(A3423, "IQ_EBITDA_MARGIN",IQ_FY-7))</f>
        <v>0</v>
      </c>
      <c r="H3425" s="15" t="e">
        <f>IF(A3431=A3432,_xll.ciqfunctions.udf.CIQ(A3423,"IQ_TOTAL_DIV_PAID_CF",IQ_FY-8)/-I3425, _xll.ciqfunctions.udf.CIQ(A3423, "IQ_TOTAL_DIV_PAID_CF",IQ_FY-7)/-I3425)</f>
        <v>#DIV/0!</v>
      </c>
      <c r="I3425" s="17">
        <f>IF(A3431=A3432,_xll.ciqfunctions.udf.CIQ(A3423,"IQ_TOTAL_OUTSTANDING_FILING_DATE",IQ_FY-8), _xll.ciqfunctions.udf.CIQ(A3423, "IQ_TOTAL_OUTSTANDING_FILING_DATE",IQ_FY-7))</f>
        <v>0</v>
      </c>
      <c r="J3425" s="17">
        <f>IF(A3431=A3432,_xll.ciqfunctions.udf.CIQ(A3423,"IQ_CASH_OPER",IQ_FY-8), _xll.ciqfunctions.udf.CIQ(A3423, "IQ_CASH_OPER",IQ_FY-7))</f>
        <v>0</v>
      </c>
      <c r="K3425" s="17">
        <f>IF(A3431=A3432,_xll.ciqfunctions.udf.CIQ(A3423,"IQ_CAPEX",IQ_FY-8), _xll.ciqfunctions.udf.CIQ(A3423, "IQ_CAPEX",IQ_FY-7))</f>
        <v>0</v>
      </c>
      <c r="L3425" s="15" t="e">
        <f t="shared" si="912"/>
        <v>#DIV/0!</v>
      </c>
      <c r="M3425" s="17">
        <f>IF(A3431=A3432,_xll.ciqfunctions.udf.CIQ(A3423,"IQ_TOTAL_DEBT_ISSUED",IQ_FY-8), _xll.ciqfunctions.udf.CIQ(A3423, "IQ_TOTAL_DEBT_ISSUED",IQ_FY-7))</f>
        <v>0</v>
      </c>
      <c r="N3425" s="17">
        <f>IF(A3431=A3432,_xll.ciqfunctions.udf.CIQ(A3423,"IQ_TOTAL_DEBT_REPAID",IQ_FY-8), _xll.ciqfunctions.udf.CIQ(A3423, "IQ_TOTAL_DEBT_REPAID",IQ_FY-7))</f>
        <v>0</v>
      </c>
      <c r="O3425" s="15" t="e">
        <f t="shared" si="913"/>
        <v>#DIV/0!</v>
      </c>
      <c r="P3425" s="15" t="e">
        <f t="shared" si="914"/>
        <v>#DIV/0!</v>
      </c>
      <c r="Q3425" s="25" t="s">
        <v>21</v>
      </c>
      <c r="R3425" s="38" t="s">
        <v>49</v>
      </c>
      <c r="S3425" s="2">
        <f>(R3422*I3433)/1000</f>
        <v>2.1070791474999999</v>
      </c>
      <c r="U3425" s="25" t="s">
        <v>59</v>
      </c>
      <c r="V3425" s="38" t="s">
        <v>49</v>
      </c>
      <c r="W3425" s="2">
        <f>(V3422*I3433)/1000</f>
        <v>2.1070791474999999</v>
      </c>
      <c r="Y3425" s="25" t="s">
        <v>46</v>
      </c>
      <c r="Z3425" s="38" t="s">
        <v>49</v>
      </c>
      <c r="AA3425" s="2">
        <f>(Z3422*I3433)/1000</f>
        <v>2.1070791474999999</v>
      </c>
    </row>
    <row r="3426" spans="1:27">
      <c r="A3426" s="18"/>
      <c r="B3426" s="13">
        <v>4</v>
      </c>
      <c r="C3426" s="14" t="s">
        <v>22</v>
      </c>
      <c r="D3426" s="15" t="e" cm="1">
        <f t="array" ref="D3426">_xlfn.SINGLE(IF(A3431=A3432,_xll.ciqfunctions.udf.CIQ(A3423,"IQ_TOTAL_REV",IQ_FY-7)/I3426, _xll.ciqfunctions.udf.CIQ(A3423, "IQ_TOTAL_REV",IQ_FY-6)/I3426))</f>
        <v>#DIV/0!</v>
      </c>
      <c r="E3426" s="16" t="e">
        <f t="shared" si="915"/>
        <v>#DIV/0!</v>
      </c>
      <c r="F3426" s="15">
        <f>IF(A3431=A3432,_xll.ciqfunctions.udf.CIQ(A3423,"IQ_DILUT_EPS_EXCL",IQ_FY-7), _xll.ciqfunctions.udf.CIQ(A3423, "IQ_DILUT_EPS_EXCL",IQ_FY-6))</f>
        <v>0</v>
      </c>
      <c r="G3426" s="15">
        <f>IF(A3431=A3432,_xll.ciqfunctions.udf.CIQ(A3423,"IQ_EBITDA_MARGIN",IQ_FY-7), _xll.ciqfunctions.udf.CIQ(A3423, "IQ_EBITDA_MARGIN",IQ_FY-6))</f>
        <v>0</v>
      </c>
      <c r="H3426" s="15" t="e">
        <f>IF(A3431=A3432,_xll.ciqfunctions.udf.CIQ(A3423,"IQ_TOTAL_DIV_PAID_CF",IQ_FY-7)/-I3426, _xll.ciqfunctions.udf.CIQ(A3423, "IQ_TOTAL_DIV_PAID_CF",IQ_FY-6)/-I3426)</f>
        <v>#DIV/0!</v>
      </c>
      <c r="I3426" s="17">
        <f>IF(A3431=A3432,_xll.ciqfunctions.udf.CIQ(A3423,"IQ_TOTAL_OUTSTANDING_FILING_DATE",IQ_FY-7), _xll.ciqfunctions.udf.CIQ(A3423, "IQ_TOTAL_OUTSTANDING_FILING_DATE",IQ_FY-6))</f>
        <v>0</v>
      </c>
      <c r="J3426" s="17">
        <f>IF(A3431=A3432,_xll.ciqfunctions.udf.CIQ(A3423,"IQ_CASH_OPER",IQ_FY-7), _xll.ciqfunctions.udf.CIQ(A3423, "IQ_CASH_OPER",IQ_FY-6))</f>
        <v>0</v>
      </c>
      <c r="K3426" s="17">
        <f>IF(A3431=A3432,_xll.ciqfunctions.udf.CIQ(A3423,"IQ_CAPEX",IQ_FY-7), _xll.ciqfunctions.udf.CIQ(A3423, "IQ_CAPEX",IQ_FY-6))</f>
        <v>0</v>
      </c>
      <c r="L3426" s="15" t="e">
        <f t="shared" si="912"/>
        <v>#DIV/0!</v>
      </c>
      <c r="M3426" s="17">
        <f>IF(A3431=A3432,_xll.ciqfunctions.udf.CIQ(A3423,"IQ_TOTAL_DEBT_ISSUED",IQ_FY-7), _xll.ciqfunctions.udf.CIQ(A3423, "IQ_TOTAL_DEBT_ISSUED",IQ_FY-6))</f>
        <v>0</v>
      </c>
      <c r="N3426" s="17">
        <f>IF(A3431=A3432,_xll.ciqfunctions.udf.CIQ(A3423,"IQ_TOTAL_DEBT_REPAID",IQ_FY-7), _xll.ciqfunctions.udf.CIQ(A3423, "IQ_TOTAL_DEBT_REPAID",IQ_FY-6))</f>
        <v>0</v>
      </c>
      <c r="O3426" s="15" t="e">
        <f t="shared" si="913"/>
        <v>#DIV/0!</v>
      </c>
      <c r="P3426" s="15" t="e">
        <f t="shared" si="914"/>
        <v>#DIV/0!</v>
      </c>
      <c r="Q3426" s="25" t="s">
        <v>23</v>
      </c>
      <c r="R3426" s="38" t="s">
        <v>24</v>
      </c>
      <c r="S3426" s="1" t="e">
        <f>R3422/(AVERAGE(H3428:H3433)*(1+H3434)/(0.5-H3434))</f>
        <v>#DIV/0!</v>
      </c>
      <c r="U3426" s="25" t="s">
        <v>40</v>
      </c>
      <c r="V3426" s="38" t="s">
        <v>24</v>
      </c>
      <c r="W3426" s="1" t="e">
        <f>V3422/(AVERAGE(H3428:H3433)*(1+H3434)/(0.5-H3434))</f>
        <v>#DIV/0!</v>
      </c>
      <c r="Y3426" s="25" t="s">
        <v>47</v>
      </c>
      <c r="Z3426" s="38" t="s">
        <v>24</v>
      </c>
      <c r="AA3426" s="1" t="e">
        <f>Z3422/(AVERAGE(H3428:H3433)*(1+H3434)/(0.5-H3434))</f>
        <v>#DIV/0!</v>
      </c>
    </row>
    <row r="3427" spans="1:27">
      <c r="B3427" s="13">
        <v>5</v>
      </c>
      <c r="C3427" s="14" t="s">
        <v>25</v>
      </c>
      <c r="D3427" s="15" t="e" cm="1">
        <f t="array" ref="D3427">_xlfn.SINGLE(IF(A3431=A3432,_xll.ciqfunctions.udf.CIQ(A3423,"IQ_TOTAL_REV",IQ_FY-6)/I3427, _xll.ciqfunctions.udf.CIQ(A3423, "IQ_TOTAL_REV",IQ_FY-5)/I3427))</f>
        <v>#DIV/0!</v>
      </c>
      <c r="E3427" s="16" t="e">
        <f t="shared" si="915"/>
        <v>#DIV/0!</v>
      </c>
      <c r="F3427" s="15">
        <f>IF(A3431=A3432,_xll.ciqfunctions.udf.CIQ(A3423,"IQ_DILUT_EPS_EXCL",IQ_FY-6), _xll.ciqfunctions.udf.CIQ(A3423, "IQ_DILUT_EPS_EXCL",IQ_FY-5))</f>
        <v>0</v>
      </c>
      <c r="G3427" s="15">
        <f>IF(A3431=A3432,_xll.ciqfunctions.udf.CIQ(A3423,"IQ_EBITDA_MARGIN",IQ_FY-6), _xll.ciqfunctions.udf.CIQ(A3423, "IQ_EBITDA_MARGIN",IQ_FY-5))</f>
        <v>0</v>
      </c>
      <c r="H3427" s="15" t="e">
        <f>IF(A3431=A3432,_xll.ciqfunctions.udf.CIQ(A3423,"IQ_TOTAL_DIV_PAID_CF",IQ_FY-6)/-I3427, _xll.ciqfunctions.udf.CIQ(A3423, "IQ_TOTAL_DIV_PAID_CF",IQ_FY-5)/-I3427)</f>
        <v>#DIV/0!</v>
      </c>
      <c r="I3427" s="17">
        <f>IF(A3431=A3432,_xll.ciqfunctions.udf.CIQ(A3423,"IQ_TOTAL_OUTSTANDING_FILING_DATE",IQ_FY-6), _xll.ciqfunctions.udf.CIQ(A3423, "IQ_TOTAL_OUTSTANDING_FILING_DATE",IQ_FY-5))</f>
        <v>0</v>
      </c>
      <c r="J3427" s="17">
        <f>IF(A3431=A3432,_xll.ciqfunctions.udf.CIQ(A3423,"IQ_CASH_OPER",IQ_FY-6), _xll.ciqfunctions.udf.CIQ(A3423, "IQ_CASH_OPER",IQ_FY-5))</f>
        <v>0</v>
      </c>
      <c r="K3427" s="17">
        <f>IF(A3431=A3432,_xll.ciqfunctions.udf.CIQ(A3423,"IQ_CAPEX",IQ_FY-6), _xll.ciqfunctions.udf.CIQ(A3423, "IQ_CAPEX",IQ_FY-5))</f>
        <v>0</v>
      </c>
      <c r="L3427" s="15" t="e">
        <f t="shared" si="912"/>
        <v>#DIV/0!</v>
      </c>
      <c r="M3427" s="17">
        <f>IF(A3431=A3432,_xll.ciqfunctions.udf.CIQ(A3423,"IQ_TOTAL_DEBT_ISSUED",IQ_FY-6), _xll.ciqfunctions.udf.CIQ(A3423, "IQ_TOTAL_DEBT_ISSUED",IQ_FY-5))</f>
        <v>0</v>
      </c>
      <c r="N3427" s="17">
        <f>IF(A3431=A3432,_xll.ciqfunctions.udf.CIQ(A3423,"IQ_TOTAL_DEBT_REPAID",IQ_FY-6), _xll.ciqfunctions.udf.CIQ(A3423, "IQ_TOTAL_DEBT_REPAID",IQ_FY-5))</f>
        <v>0</v>
      </c>
      <c r="O3427" s="15" t="e">
        <f t="shared" si="913"/>
        <v>#DIV/0!</v>
      </c>
      <c r="P3427" s="15" t="e">
        <f t="shared" si="914"/>
        <v>#DIV/0!</v>
      </c>
      <c r="Q3427" s="18"/>
      <c r="R3427" s="38" t="s">
        <v>50</v>
      </c>
      <c r="S3427" s="3">
        <f>I3434</f>
        <v>4.1505767179674802E-2</v>
      </c>
      <c r="U3427" s="18"/>
      <c r="V3427" s="38" t="s">
        <v>50</v>
      </c>
      <c r="W3427" s="3">
        <f>I3434</f>
        <v>4.1505767179674802E-2</v>
      </c>
      <c r="Y3427" s="18"/>
      <c r="Z3427" s="38" t="s">
        <v>50</v>
      </c>
      <c r="AA3427" s="3">
        <f>I3434</f>
        <v>4.1505767179674802E-2</v>
      </c>
    </row>
    <row r="3428" spans="1:27">
      <c r="B3428" s="13">
        <v>6</v>
      </c>
      <c r="C3428" s="14" t="s">
        <v>26</v>
      </c>
      <c r="D3428" s="15" cm="1">
        <f t="array" ref="D3428">_xlfn.SINGLE(IF(A3431=A3432,_xll.ciqfunctions.udf.CIQ(A3423,"IQ_TOTAL_REV",IQ_FY-5)/I3428, _xll.ciqfunctions.udf.CIQ(A3423, "IQ_TOTAL_REV",IQ_FY-4)/I3428))</f>
        <v>1.4277880430033447</v>
      </c>
      <c r="E3428" s="16" t="e">
        <f t="shared" si="915"/>
        <v>#DIV/0!</v>
      </c>
      <c r="F3428" s="15">
        <f>IF(A3431=A3432,_xll.ciqfunctions.udf.CIQ(A3423,"IQ_DILUT_EPS_EXCL",IQ_FY-5), _xll.ciqfunctions.udf.CIQ(A3423, "IQ_DILUT_EPS_EXCL",IQ_FY-4))</f>
        <v>-0.35432000000000002</v>
      </c>
      <c r="G3428" s="15">
        <f>IF(A3431=A3432,_xll.ciqfunctions.udf.CIQ(A3423,"IQ_EBITDA_MARGIN",IQ_FY-5), _xll.ciqfunctions.udf.CIQ(A3423, "IQ_EBITDA_MARGIN",IQ_FY-4))</f>
        <v>2.7831000000000001</v>
      </c>
      <c r="H3428" s="15">
        <f>IF(A3431=A3432,_xll.ciqfunctions.udf.CIQ(A3423,"IQ_TOTAL_DIV_PAID_CF",IQ_FY-5)/-I3428, _xll.ciqfunctions.udf.CIQ(A3423, "IQ_TOTAL_DIV_PAID_CF",IQ_FY-4)/-I3428)</f>
        <v>0</v>
      </c>
      <c r="I3428" s="17">
        <f>IF(A3431=A3432,_xll.ciqfunctions.udf.CIQ(A3423,"IQ_TOTAL_OUTSTANDING_FILING_DATE",IQ_FY-5), _xll.ciqfunctions.udf.CIQ(A3423, "IQ_TOTAL_OUTSTANDING_FILING_DATE",IQ_FY-4))</f>
        <v>102.64969000000001</v>
      </c>
      <c r="J3428" s="17">
        <f>IF(A3431=A3432,_xll.ciqfunctions.udf.CIQ(A3423,"IQ_CASH_OPER",IQ_FY-5), _xll.ciqfunctions.udf.CIQ(A3423, "IQ_CASH_OPER",IQ_FY-4))</f>
        <v>9.36</v>
      </c>
      <c r="K3428" s="17">
        <f>IF(A3431=A3432,_xll.ciqfunctions.udf.CIQ(A3423,"IQ_CAPEX",IQ_FY-5), _xll.ciqfunctions.udf.CIQ(A3423, "IQ_CAPEX",IQ_FY-4))</f>
        <v>-2.9089999999999998</v>
      </c>
      <c r="L3428" s="15">
        <f t="shared" si="912"/>
        <v>6.2844807422214322E-2</v>
      </c>
      <c r="M3428" s="17">
        <f>IF(A3431=A3432,_xll.ciqfunctions.udf.CIQ(A3423,"IQ_TOTAL_DEBT_ISSUED",IQ_FY-5), _xll.ciqfunctions.udf.CIQ(A3423, "IQ_TOTAL_DEBT_ISSUED",IQ_FY-4))</f>
        <v>0</v>
      </c>
      <c r="N3428" s="17">
        <f>IF(A3431=A3432,_xll.ciqfunctions.udf.CIQ(A3423,"IQ_TOTAL_DEBT_REPAID",IQ_FY-5), _xll.ciqfunctions.udf.CIQ(A3423, "IQ_TOTAL_DEBT_REPAID",IQ_FY-4))</f>
        <v>0</v>
      </c>
      <c r="O3428" s="15">
        <f t="shared" si="913"/>
        <v>0</v>
      </c>
      <c r="P3428" s="15">
        <f t="shared" si="914"/>
        <v>6.2844807422214322E-2</v>
      </c>
      <c r="Q3428" s="25" t="s">
        <v>27</v>
      </c>
      <c r="R3428" s="38" t="s">
        <v>51</v>
      </c>
      <c r="S3428" s="4">
        <f>AVERAGE(F3428:F3433)/AVERAGE(D3428:D3433)</f>
        <v>-0.2145834890192348</v>
      </c>
      <c r="U3428" s="25" t="s">
        <v>58</v>
      </c>
      <c r="V3428" s="38" t="s">
        <v>51</v>
      </c>
      <c r="W3428" s="4">
        <f>AVERAGE(F3428:F3433)/AVERAGE(D3428:D3433)</f>
        <v>-0.2145834890192348</v>
      </c>
      <c r="Y3428" s="25" t="s">
        <v>56</v>
      </c>
      <c r="Z3428" s="38" t="s">
        <v>51</v>
      </c>
      <c r="AA3428" s="4">
        <f>AVERAGE(F3428:F3433)/AVERAGE(D3428:D3433)</f>
        <v>-0.2145834890192348</v>
      </c>
    </row>
    <row r="3429" spans="1:27">
      <c r="A3429" s="18"/>
      <c r="B3429" s="13">
        <v>7</v>
      </c>
      <c r="C3429" s="14" t="s">
        <v>28</v>
      </c>
      <c r="D3429" s="15" cm="1">
        <f t="array" ref="D3429">_xlfn.SINGLE(IF(A3431=A3432,_xll.ciqfunctions.udf.CIQ(A3423,"IQ_TOTAL_REV",IQ_FY-4)/I3429, _xll.ciqfunctions.udf.CIQ(A3423, "IQ_TOTAL_REV",IQ_FY-3)/I3429))</f>
        <v>1.9828917077571593</v>
      </c>
      <c r="E3429" s="16">
        <f t="shared" si="915"/>
        <v>0.38878576373714191</v>
      </c>
      <c r="F3429" s="15">
        <f>IF(A3431=A3432,_xll.ciqfunctions.udf.CIQ(A3423,"IQ_DILUT_EPS_EXCL",IQ_FY-4), _xll.ciqfunctions.udf.CIQ(A3423, "IQ_DILUT_EPS_EXCL",IQ_FY-3))</f>
        <v>-0.33424999999999999</v>
      </c>
      <c r="G3429" s="15">
        <f>IF(A3431=A3432,_xll.ciqfunctions.udf.CIQ(A3423,"IQ_EBITDA_MARGIN",IQ_FY-4), _xll.ciqfunctions.udf.CIQ(A3423, "IQ_EBITDA_MARGIN",IQ_FY-3))</f>
        <v>8.2126000000000001</v>
      </c>
      <c r="H3429" s="15">
        <f>IF(A3431=A3432,_xll.ciqfunctions.udf.CIQ(A3423,"IQ_TOTAL_DIV_PAID_CF",IQ_FY-4)/-I3429, _xll.ciqfunctions.udf.CIQ(A3423, "IQ_TOTAL_DIV_PAID_CF",IQ_FY-3)/-I3429)</f>
        <v>0</v>
      </c>
      <c r="I3429" s="17">
        <f>IF(A3431=A3432,_xll.ciqfunctions.udf.CIQ(A3423,"IQ_TOTAL_OUTSTANDING_FILING_DATE",IQ_FY-4), _xll.ciqfunctions.udf.CIQ(A3423, "IQ_TOTAL_OUTSTANDING_FILING_DATE",IQ_FY-3))</f>
        <v>102.86239999999999</v>
      </c>
      <c r="J3429" s="17">
        <f>IF(A3431=A3432,_xll.ciqfunctions.udf.CIQ(A3423,"IQ_CASH_OPER",IQ_FY-4), _xll.ciqfunctions.udf.CIQ(A3423, "IQ_CASH_OPER",IQ_FY-3))</f>
        <v>11.846</v>
      </c>
      <c r="K3429" s="17">
        <f>IF(A3431=A3432,_xll.ciqfunctions.udf.CIQ(A3423,"IQ_CAPEX",IQ_FY-4), _xll.ciqfunctions.udf.CIQ(A3423, "IQ_CAPEX",IQ_FY-3))</f>
        <v>-7.19</v>
      </c>
      <c r="L3429" s="15">
        <f t="shared" si="912"/>
        <v>4.5264353155283175E-2</v>
      </c>
      <c r="M3429" s="17">
        <f>IF(A3431=A3432,_xll.ciqfunctions.udf.CIQ(A3423,"IQ_TOTAL_DEBT_ISSUED",IQ_FY-4), _xll.ciqfunctions.udf.CIQ(A3423, "IQ_TOTAL_DEBT_ISSUED",IQ_FY-3))</f>
        <v>40</v>
      </c>
      <c r="N3429" s="17">
        <f>IF(A3431=A3432,_xll.ciqfunctions.udf.CIQ(A3423,"IQ_TOTAL_DEBT_REPAID",IQ_FY-4), _xll.ciqfunctions.udf.CIQ(A3423, "IQ_TOTAL_DEBT_REPAID",IQ_FY-3))</f>
        <v>-10</v>
      </c>
      <c r="O3429" s="15">
        <f t="shared" si="913"/>
        <v>0.2916517600211545</v>
      </c>
      <c r="P3429" s="15">
        <f t="shared" si="914"/>
        <v>0.33691611317643766</v>
      </c>
      <c r="Q3429" s="18"/>
      <c r="R3429" s="38" t="s">
        <v>29</v>
      </c>
      <c r="S3429" s="4">
        <f>(AVERAGE(P3428:P3433)/_xlfn.STDEV.P(P3428:P3433))/(IF(A3431=A3432,(_xlfn.SINGLE(_xll.ciqfunctions.udf.CIQ(A3423,"IQ_total_assets",IQ_FY)) - _xlfn.SINGLE(_xll.ciqfunctions.udf.CIQ(A3423,"iq_gw_intan", IQ_FY)))/I3433, (_xlfn.SINGLE(_xll.ciqfunctions.udf.CIQ(A3423, "IQ_total_assets",IQ_LTM))-_xlfn.SINGLE(_xll.ciqfunctions.udf.CIQ(A3423,"iq_gw_intan",IQ_LTM)))/I3433))</f>
        <v>0.1085216955896805</v>
      </c>
      <c r="U3429" s="18"/>
      <c r="V3429" s="38" t="s">
        <v>29</v>
      </c>
      <c r="W3429" s="4">
        <f>(AVERAGE(P3428:P3433)/_xlfn.STDEV.P(P3428:P3433))/(IF(A3431=A3432,(_xlfn.SINGLE(_xll.ciqfunctions.udf.CIQ(A3423,"IQ_total_assets",IQ_FY)) - _xlfn.SINGLE(_xll.ciqfunctions.udf.CIQ(A3423,"iq_gw_intan", IQ_FY)))/I3433, (_xlfn.SINGLE(_xll.ciqfunctions.udf.CIQ(A3423, "IQ_total_assets",IQ_LTM))-_xlfn.SINGLE(_xll.ciqfunctions.udf.CIQ(A3423,"iq_gw_intan",IQ_LTM)))/I3433))</f>
        <v>0.1085216955896805</v>
      </c>
      <c r="Y3429" s="18"/>
      <c r="Z3429" s="38" t="s">
        <v>29</v>
      </c>
      <c r="AA3429" s="4">
        <f>(AVERAGE(P3428:P3433)/_xlfn.STDEV.P(P3428:P3433))/(IF(A3431=A3432,(_xlfn.SINGLE(_xll.ciqfunctions.udf.CIQ(A3423,"IQ_total_assets",IQ_FY)) - _xlfn.SINGLE(_xll.ciqfunctions.udf.CIQ(A3423,"iq_gw_intan", IQ_FY)))/I3433, (_xlfn.SINGLE(_xll.ciqfunctions.udf.CIQ(A3423, "IQ_total_assets",IQ_LTM))-_xlfn.SINGLE(_xll.ciqfunctions.udf.CIQ(A3423,"iq_gw_intan",IQ_LTM)))/I3433))</f>
        <v>0.1085216955896805</v>
      </c>
    </row>
    <row r="3430" spans="1:27">
      <c r="A3430" s="18"/>
      <c r="B3430" s="13">
        <v>8</v>
      </c>
      <c r="C3430" s="14" t="s">
        <v>30</v>
      </c>
      <c r="D3430" s="15" cm="1">
        <f t="array" ref="D3430">_xlfn.SINGLE(IF(A3431=A3432,_xll.ciqfunctions.udf.CIQ(A3423,"IQ_TOTAL_REV",IQ_FY-3)/I3430, _xll.ciqfunctions.udf.CIQ(A3423, "IQ_TOTAL_REV",IQ_FY-2)/I3430))</f>
        <v>2.2911785047457767</v>
      </c>
      <c r="E3430" s="16">
        <f t="shared" si="915"/>
        <v>0.15547334016405734</v>
      </c>
      <c r="F3430" s="15">
        <f>IF(A3431=A3432,_xll.ciqfunctions.udf.CIQ(A3423,"IQ_DILUT_EPS_EXCL",IQ_FY-3), _xll.ciqfunctions.udf.CIQ(A3423, "IQ_DILUT_EPS_EXCL",IQ_FY-2))</f>
        <v>-0.22112000000000001</v>
      </c>
      <c r="G3430" s="15">
        <f>IF(A3431=A3432,_xll.ciqfunctions.udf.CIQ(A3423,"IQ_EBITDA_MARGIN",IQ_FY-3), _xll.ciqfunctions.udf.CIQ(A3423, "IQ_EBITDA_MARGIN",IQ_FY-2))</f>
        <v>9.3853000000000009</v>
      </c>
      <c r="H3430" s="15">
        <f>IF(A3431=A3432,_xll.ciqfunctions.udf.CIQ(A3423,"IQ_TOTAL_DIV_PAID_CF",IQ_FY-3)/-I3430, _xll.ciqfunctions.udf.CIQ(A3423, "IQ_TOTAL_DIV_PAID_CF",IQ_FY-2)/-I3430)</f>
        <v>0</v>
      </c>
      <c r="I3430" s="17">
        <f>IF(A3431=A3432,_xll.ciqfunctions.udf.CIQ(A3423,"IQ_TOTAL_OUTSTANDING_FILING_DATE",IQ_FY-3), _xll.ciqfunctions.udf.CIQ(A3423, "IQ_TOTAL_OUTSTANDING_FILING_DATE",IQ_FY-2))</f>
        <v>117.46444</v>
      </c>
      <c r="J3430" s="17">
        <f>IF(A3431=A3432,_xll.ciqfunctions.udf.CIQ(A3423,"IQ_CASH_OPER",IQ_FY-3), _xll.ciqfunctions.udf.CIQ(A3423, "IQ_CASH_OPER",IQ_FY-2))</f>
        <v>52.801000000000002</v>
      </c>
      <c r="K3430" s="17">
        <f>IF(A3431=A3432,_xll.ciqfunctions.udf.CIQ(A3423,"IQ_CAPEX",IQ_FY-3), _xll.ciqfunctions.udf.CIQ(A3423, "IQ_CAPEX",IQ_FY-2))</f>
        <v>-4.3680000000000003</v>
      </c>
      <c r="L3430" s="15">
        <f t="shared" si="912"/>
        <v>0.41232052866382374</v>
      </c>
      <c r="M3430" s="17">
        <f>IF(A3431=A3432,_xll.ciqfunctions.udf.CIQ(A3423,"IQ_TOTAL_DEBT_ISSUED",IQ_FY-3), _xll.ciqfunctions.udf.CIQ(A3423, "IQ_TOTAL_DEBT_ISSUED",IQ_FY-2))</f>
        <v>0</v>
      </c>
      <c r="N3430" s="17">
        <f>IF(A3431=A3432,_xll.ciqfunctions.udf.CIQ(A3423,"IQ_TOTAL_DEBT_REPAID",IQ_FY-3), _xll.ciqfunctions.udf.CIQ(A3423, "IQ_TOTAL_DEBT_REPAID",IQ_FY-2))</f>
        <v>-205</v>
      </c>
      <c r="O3430" s="15">
        <f t="shared" si="913"/>
        <v>-1.7452090181505144</v>
      </c>
      <c r="P3430" s="15">
        <f t="shared" si="914"/>
        <v>-1.3328884894866908</v>
      </c>
      <c r="Q3430" s="18"/>
      <c r="R3430" s="39" t="s">
        <v>31</v>
      </c>
      <c r="S3430" s="5" t="e">
        <f>IF(NOT(D3423&gt;0),FALSE,SLOPE(G3423:G3433,B3423:B3433))</f>
        <v>#DIV/0!</v>
      </c>
      <c r="U3430" s="18"/>
      <c r="V3430" s="39" t="s">
        <v>31</v>
      </c>
      <c r="W3430" s="5" t="e">
        <f>IF(NOT(D3423&gt;0),FALSE,SLOPE(G3423:G3433,B3423:B3433))</f>
        <v>#DIV/0!</v>
      </c>
      <c r="Y3430" s="18"/>
      <c r="Z3430" s="39" t="s">
        <v>31</v>
      </c>
      <c r="AA3430" s="5" t="e">
        <f>IF(NOT(L3423&gt;0),FALSE,SLOPE(O3423:O3433,J3423:J3433))</f>
        <v>#DIV/0!</v>
      </c>
    </row>
    <row r="3431" spans="1:27">
      <c r="A3431" s="19">
        <f>_xll.ciqfunctions.udf.CIQ(A3423,"IQ_TOTAL_REV",IQ_FY)</f>
        <v>478.77600000000001</v>
      </c>
      <c r="B3431" s="13">
        <v>9</v>
      </c>
      <c r="C3431" s="14" t="s">
        <v>32</v>
      </c>
      <c r="D3431" s="15" cm="1">
        <f t="array" ref="D3431">_xlfn.SINGLE(IF(A3431=A3432,_xll.ciqfunctions.udf.CIQ(A3423,"IQ_TOTAL_REV",IQ_FY-2)/I3431, _xll.ciqfunctions.udf.CIQ(A3423, "IQ_TOTAL_REV",IQ_FY-1)/I3431))</f>
        <v>3.0638700689226095</v>
      </c>
      <c r="E3431" s="16">
        <f t="shared" si="915"/>
        <v>0.33724633963540468</v>
      </c>
      <c r="F3431" s="15">
        <f>IF(A3431=A3432,_xll.ciqfunctions.udf.CIQ(A3423,"IQ_DILUT_EPS_EXCL",IQ_FY-2), _xll.ciqfunctions.udf.CIQ(A3423, "IQ_DILUT_EPS_EXCL",IQ_FY-1))</f>
        <v>-0.63571</v>
      </c>
      <c r="G3431" s="15">
        <f>IF(A3431=A3432,_xll.ciqfunctions.udf.CIQ(A3423,"IQ_EBITDA_MARGIN",IQ_FY-2), _xll.ciqfunctions.udf.CIQ(A3423, "IQ_EBITDA_MARGIN",IQ_FY-1))</f>
        <v>-3.1955</v>
      </c>
      <c r="H3431" s="15">
        <f>IF(A3431=A3432,_xll.ciqfunctions.udf.CIQ(A3423,"IQ_TOTAL_DIV_PAID_CF",IQ_FY-2)/-I3431, _xll.ciqfunctions.udf.CIQ(A3423, "IQ_TOTAL_DIV_PAID_CF",IQ_FY-1)/-I3431)</f>
        <v>0</v>
      </c>
      <c r="I3431" s="17">
        <f>IF(A3431=A3432,_xll.ciqfunctions.udf.CIQ(A3423,"IQ_TOTAL_OUTSTANDING_FILING_DATE",IQ_FY-2), _xll.ciqfunctions.udf.CIQ(A3423, "IQ_TOTAL_OUTSTANDING_FILING_DATE",IQ_FY-1))</f>
        <v>119.5834</v>
      </c>
      <c r="J3431" s="17">
        <f>IF(A3431=A3432,_xll.ciqfunctions.udf.CIQ(A3423,"IQ_CASH_OPER",IQ_FY-2), _xll.ciqfunctions.udf.CIQ(A3423, "IQ_CASH_OPER",IQ_FY-1))</f>
        <v>65.165000000000006</v>
      </c>
      <c r="K3431" s="17">
        <f>IF(A3431=A3432,_xll.ciqfunctions.udf.CIQ(A3423,"IQ_CAPEX",IQ_FY-2), _xll.ciqfunctions.udf.CIQ(A3423, "IQ_CAPEX",IQ_FY-1))</f>
        <v>-9.7550000000000008</v>
      </c>
      <c r="L3431" s="15">
        <f t="shared" si="912"/>
        <v>0.4633586266990235</v>
      </c>
      <c r="M3431" s="17">
        <f>IF(A3431=A3432,_xll.ciqfunctions.udf.CIQ(A3423,"IQ_TOTAL_DEBT_ISSUED",IQ_FY-2), _xll.ciqfunctions.udf.CIQ(A3423, "IQ_TOTAL_DEBT_ISSUED",IQ_FY-1))</f>
        <v>623.75</v>
      </c>
      <c r="N3431" s="17">
        <f>IF(A3431=A3432,_xll.ciqfunctions.udf.CIQ(A3423,"IQ_TOTAL_DEBT_REPAID",IQ_FY-2), _xll.ciqfunctions.udf.CIQ(A3423, "IQ_TOTAL_DEBT_REPAID",IQ_FY-1))</f>
        <v>-250</v>
      </c>
      <c r="O3431" s="15">
        <f t="shared" si="913"/>
        <v>3.1254337976675695</v>
      </c>
      <c r="P3431" s="15">
        <f t="shared" si="914"/>
        <v>3.5887924243665932</v>
      </c>
      <c r="Q3431" s="25" t="s">
        <v>33</v>
      </c>
      <c r="R3431" s="38" t="s">
        <v>52</v>
      </c>
      <c r="S3431" s="4">
        <f>(AVERAGE(O3428:O3433)/AVERAGE(P3428:P3433))</f>
        <v>0.45665159863521543</v>
      </c>
      <c r="U3431" s="25" t="s">
        <v>54</v>
      </c>
      <c r="V3431" s="38" t="s">
        <v>52</v>
      </c>
      <c r="W3431" s="4">
        <f>(AVERAGE(O3428:O3433)/AVERAGE(P3428:P3433))</f>
        <v>0.45665159863521543</v>
      </c>
      <c r="Y3431" s="25" t="s">
        <v>60</v>
      </c>
      <c r="Z3431" s="38" t="s">
        <v>52</v>
      </c>
      <c r="AA3431" s="4">
        <f>(AVERAGE(O3428:O3433)/AVERAGE(P3428:P3433))</f>
        <v>0.45665159863521543</v>
      </c>
    </row>
    <row r="3432" spans="1:27">
      <c r="A3432" s="19">
        <f>_xll.ciqfunctions.udf.CIQ(A3423,"IQ_TOTAL_REV",IQ_LTM)</f>
        <v>540.24900000000002</v>
      </c>
      <c r="B3432" s="13">
        <v>10</v>
      </c>
      <c r="C3432" s="14" t="s">
        <v>34</v>
      </c>
      <c r="D3432" s="15" cm="1">
        <f t="array" ref="D3432">_xlfn.SINGLE(IF(A3431=A3432,_xll.ciqfunctions.udf.CIQ(A3423,"IQ_TOTAL_REV",IQ_FY-1)/I3432, _xll.ciqfunctions.udf.CIQ(A3423, "IQ_TOTAL_REV",IQ_FY)/I3432))</f>
        <v>3.8797398628814346</v>
      </c>
      <c r="E3432" s="16">
        <f t="shared" si="915"/>
        <v>0.26628733451667569</v>
      </c>
      <c r="F3432" s="15">
        <f>IF(A3431=A3432,_xll.ciqfunctions.udf.CIQ(A3423,"IQ_DILUT_EPS_EXCL",IQ_FY-1), _xll.ciqfunctions.udf.CIQ(A3423, "IQ_DILUT_EPS_EXCL",IQ_FY))</f>
        <v>-1.17048</v>
      </c>
      <c r="G3432" s="15">
        <f>IF(A3431=A3432,_xll.ciqfunctions.udf.CIQ(A3423,"IQ_EBITDA_MARGIN",IQ_FY-1), _xll.ciqfunctions.udf.CIQ(A3423, "IQ_EBITDA_MARGIN",IQ_FY))</f>
        <v>-16.4392</v>
      </c>
      <c r="H3432" s="15">
        <f>IF(A3431=A3432,_xll.ciqfunctions.udf.CIQ(A3423,"IQ_TOTAL_DIV_PAID_CF",IQ_FY-1)/-I3432, _xll.ciqfunctions.udf.CIQ(A3423, "IQ_TOTAL_DIV_PAID_CF",IQ_FY)/-I3432)</f>
        <v>0</v>
      </c>
      <c r="I3432" s="17">
        <f>IF(A3431=A3432,_xll.ciqfunctions.udf.CIQ(A3423,"IQ_TOTAL_OUTSTANDING_FILING_DATE",IQ_FY-1), _xll.ciqfunctions.udf.CIQ(A3423, "IQ_TOTAL_OUTSTANDING_FILING_DATE",IQ_FY))</f>
        <v>123.40415</v>
      </c>
      <c r="J3432" s="17">
        <f>IF(A3431=A3432,_xll.ciqfunctions.udf.CIQ(A3423,"IQ_CASH_OPER",IQ_FY-1), _xll.ciqfunctions.udf.CIQ(A3423, "IQ_CASH_OPER",IQ_FY))</f>
        <v>90.004999999999995</v>
      </c>
      <c r="K3432" s="17">
        <f>IF(A3431=A3432,_xll.ciqfunctions.udf.CIQ(A3423,"IQ_CAPEX",IQ_FY-1), _xll.ciqfunctions.udf.CIQ(A3423, "IQ_CAPEX",IQ_FY))</f>
        <v>-7.7270000000000003</v>
      </c>
      <c r="L3432" s="15">
        <f t="shared" si="912"/>
        <v>0.66673608626614256</v>
      </c>
      <c r="M3432" s="17">
        <f>IF(A3431=A3432,_xll.ciqfunctions.udf.CIQ(A3423,"IQ_TOTAL_DEBT_ISSUED",IQ_FY-1), _xll.ciqfunctions.udf.CIQ(A3423, "IQ_TOTAL_DEBT_ISSUED",IQ_FY))</f>
        <v>0</v>
      </c>
      <c r="N3432" s="17">
        <f>IF(A3431=A3432,_xll.ciqfunctions.udf.CIQ(A3423,"IQ_TOTAL_DEBT_REPAID",IQ_FY-1), _xll.ciqfunctions.udf.CIQ(A3423, "IQ_TOTAL_DEBT_REPAID",IQ_FY))</f>
        <v>0</v>
      </c>
      <c r="O3432" s="15">
        <f t="shared" si="913"/>
        <v>0</v>
      </c>
      <c r="P3432" s="15">
        <f t="shared" si="914"/>
        <v>0.66673608626614256</v>
      </c>
      <c r="Q3432" s="25" t="s">
        <v>44</v>
      </c>
      <c r="R3432" s="38" t="s">
        <v>35</v>
      </c>
      <c r="S3432" s="1" t="str">
        <f>_xll.ciqfunctions.udf.CIQ(A3423,"IQ_TEV_EBITDA")</f>
        <v>NM</v>
      </c>
      <c r="U3432" s="25" t="s">
        <v>55</v>
      </c>
      <c r="V3432" s="38" t="s">
        <v>53</v>
      </c>
      <c r="W3432" s="1" t="e">
        <f>V3422/(AVERAGE(D3428:D3433)/_xlfn.STDEV.P(E3428:E3433))</f>
        <v>#DIV/0!</v>
      </c>
      <c r="Y3432" s="25" t="s">
        <v>57</v>
      </c>
      <c r="Z3432" s="38" t="s">
        <v>53</v>
      </c>
      <c r="AA3432" s="1" t="e">
        <f>Z3422/(AVERAGE(D3428:D3433)/_xlfn.STDEV.P(E3428:E3433))</f>
        <v>#DIV/0!</v>
      </c>
    </row>
    <row r="3433" spans="1:27">
      <c r="B3433" s="13">
        <v>11</v>
      </c>
      <c r="C3433" s="20" t="s">
        <v>36</v>
      </c>
      <c r="D3433" s="21" cm="1">
        <f t="array" ref="D3433">_xlfn.SINGLE(IF(A3431=A3432,_xll.ciqfunctions.udf.CIQ(A3423,"IQ_TOTAL_REV",IQ_FY)/I3433, _xll.ciqfunctions.udf.CIQ(A3423, "IQ_TOTAL_REV",IQ_LTM)/I3433))</f>
        <v>4.2946515610183074</v>
      </c>
      <c r="E3433" s="22">
        <f t="shared" si="915"/>
        <v>0.10694317474902119</v>
      </c>
      <c r="F3433" s="21">
        <f>IF(A3431=A3432,_xll.ciqfunctions.udf.CIQ(A3423,"IQ_DILUT_EPS_EXCL",IQ_FY), _xll.ciqfunctions.udf.CIQ(A3423, "IQ_DILUT_EPS_EXCL",IQ_LTM))</f>
        <v>-0.91918999999999995</v>
      </c>
      <c r="G3433" s="21">
        <f>IF(A3431=A3432,_xll.ciqfunctions.udf.CIQ(A3423,"IQ_EBITDA_MARGIN",IQ_FY), _xll.ciqfunctions.udf.CIQ(A3423, "IQ_EBITDA_MARGIN",IQ_LTM))</f>
        <v>-11.709899999999999</v>
      </c>
      <c r="H3433" s="21">
        <f>IF(A3431=A3432,_xll.ciqfunctions.udf.CIQ(A3423,"IQ_TOTAL_DIV_PAID_CF",IQ_FY)/-I3433, _xll.ciqfunctions.udf.CIQ(A3423, "IQ_TOTAL_DIV_PAID_CF",IQ_LTM)/-I3433)</f>
        <v>0</v>
      </c>
      <c r="I3433" s="23">
        <f>IF(A3431=A3432,_xll.ciqfunctions.udf.CIQ(A3423,"IQ_TOTAL_OUTSTANDING_FILING_DATE",IQ_FY),_xll.ciqfunctions.udf.CIQ(A3423,"IQ_sharesoutstanding"))</f>
        <v>125.79577</v>
      </c>
      <c r="J3433" s="23">
        <f>IF(A3431=A3432,_xll.ciqfunctions.udf.CIQ(A3423,"IQ_CASH_OPER",IQ_FY), _xll.ciqfunctions.udf.CIQ(A3423, "IQ_CASH_OPER",IQ_LTM))</f>
        <v>47.219000000000001</v>
      </c>
      <c r="K3433" s="23">
        <f>IF(A3431=A3432,_xll.ciqfunctions.udf.CIQ(A3423,"IQ_CAPEX",IQ_FY), _xll.ciqfunctions.udf.CIQ(A3423, "IQ_CAPEX",IQ_LTM))</f>
        <v>-4.6040000000000001</v>
      </c>
      <c r="L3433" s="21">
        <f t="shared" si="912"/>
        <v>0.33876337813266694</v>
      </c>
      <c r="M3433" s="23">
        <f>IF(A3431=A3432,_xll.ciqfunctions.udf.CIQ(A3423,"IQ_TOTAL_DEBT_ISSUED",IQ_FY), _xll.ciqfunctions.udf.CIQ(A3423, "IQ_TOTAL_DEBT_ISSUED",IQ_LTM))</f>
        <v>0</v>
      </c>
      <c r="N3433" s="23">
        <f>IF(A3431=A3432,_xll.ciqfunctions.udf.CIQ(A3423,"IQ_TOTAL_DEBT_REPAID",IQ_FY), _xll.ciqfunctions.udf.CIQ(A3423, "IQ_TOTAL_DEBT_REPAID",IQ_LTM))</f>
        <v>0</v>
      </c>
      <c r="O3433" s="21">
        <f t="shared" si="913"/>
        <v>0</v>
      </c>
      <c r="P3433" s="21">
        <f t="shared" si="914"/>
        <v>0.33876337813266694</v>
      </c>
      <c r="Q3433" s="25" t="s">
        <v>45</v>
      </c>
      <c r="S3433" s="45"/>
      <c r="U3433" s="25"/>
      <c r="W3433" s="45"/>
      <c r="Y3433" s="25"/>
      <c r="AA3433" s="45"/>
    </row>
    <row r="3434" spans="1:27">
      <c r="B3434" s="24"/>
      <c r="C3434" s="25" t="s">
        <v>37</v>
      </c>
      <c r="E3434" s="26">
        <f>((D3433/D3428)^(1/5))-1</f>
        <v>0.24638679351160753</v>
      </c>
      <c r="F3434" s="27">
        <f>((F3433/F3428)^(1/5))-1</f>
        <v>0.21004612360871233</v>
      </c>
      <c r="G3434" s="28"/>
      <c r="H3434" s="27" t="e">
        <f>((H3433/H3428)^(1/5))-1</f>
        <v>#DIV/0!</v>
      </c>
      <c r="I3434" s="27">
        <f>((I3433/I3428)^(1/5))-1</f>
        <v>4.1505767179674802E-2</v>
      </c>
      <c r="J3434" s="27"/>
      <c r="K3434" s="27"/>
      <c r="L3434" s="26">
        <f>((L3433/L3428)^(1/5))-1</f>
        <v>0.40063640761849917</v>
      </c>
      <c r="M3434" s="26"/>
      <c r="N3434" s="26"/>
      <c r="O3434" s="26"/>
      <c r="P3434" s="26">
        <f>((P3433/P3428)^(1/5))-1</f>
        <v>0.40063640761849917</v>
      </c>
      <c r="Q3434" s="18"/>
      <c r="R3434" s="36"/>
      <c r="S3434" s="45"/>
      <c r="U3434" s="18"/>
      <c r="V3434" s="36"/>
      <c r="W3434" s="45"/>
      <c r="Y3434" s="18"/>
      <c r="Z3434" s="36"/>
      <c r="AA3434" s="45"/>
    </row>
    <row r="3435" spans="1:27">
      <c r="A3435" s="29"/>
      <c r="B3435" s="30"/>
      <c r="C3435" s="31" t="s">
        <v>38</v>
      </c>
      <c r="D3435" s="29"/>
      <c r="E3435" s="32" t="e">
        <f>((D3433/D3423)^(1/10))-1</f>
        <v>#DIV/0!</v>
      </c>
      <c r="F3435" s="33" t="e">
        <f>((F3433/F3423)^(1/10))-1</f>
        <v>#DIV/0!</v>
      </c>
      <c r="G3435" s="34"/>
      <c r="H3435" s="33" t="e">
        <f>((H3433/H3423)^(1/10))-1</f>
        <v>#DIV/0!</v>
      </c>
      <c r="I3435" s="33" t="e">
        <f>((I3433/I3423)^(1/10))-1</f>
        <v>#DIV/0!</v>
      </c>
      <c r="J3435" s="33"/>
      <c r="K3435" s="33"/>
      <c r="L3435" s="32" t="e">
        <f>((L3433/L3423)^(1/10))-1</f>
        <v>#DIV/0!</v>
      </c>
      <c r="M3435" s="32"/>
      <c r="N3435" s="32"/>
      <c r="O3435" s="32"/>
      <c r="P3435" s="32" t="e">
        <f>((P3433/P3423)^(1/10))-1</f>
        <v>#DIV/0!</v>
      </c>
      <c r="Q3435" s="40"/>
      <c r="R3435" s="41"/>
      <c r="S3435" s="46"/>
      <c r="U3435" s="40"/>
      <c r="V3435" s="41"/>
      <c r="W3435" s="46"/>
      <c r="Y3435" s="40"/>
      <c r="Z3435" s="41"/>
      <c r="AA3435" s="46"/>
    </row>
    <row r="3436" spans="1:27">
      <c r="B3436" s="24"/>
      <c r="C3436" s="25"/>
      <c r="E3436" s="26"/>
      <c r="F3436" s="27"/>
      <c r="G3436" s="28"/>
      <c r="H3436" s="27"/>
      <c r="I3436" s="27"/>
      <c r="J3436" s="27"/>
      <c r="K3436" s="27"/>
      <c r="L3436" s="26"/>
      <c r="M3436" s="17"/>
      <c r="N3436" s="17"/>
      <c r="O3436" s="17"/>
      <c r="P3436" s="35"/>
      <c r="Q3436" s="18"/>
      <c r="R3436" s="36"/>
    </row>
    <row r="3437" spans="1:27">
      <c r="A3437" s="9" t="s">
        <v>0</v>
      </c>
      <c r="B3437" s="10"/>
      <c r="C3437" s="9" t="s">
        <v>1</v>
      </c>
      <c r="D3437" s="9" t="s">
        <v>2</v>
      </c>
      <c r="E3437" s="9" t="s">
        <v>3</v>
      </c>
      <c r="F3437" s="11" t="s">
        <v>4</v>
      </c>
      <c r="G3437" s="11" t="s">
        <v>5</v>
      </c>
      <c r="H3437" s="9" t="s">
        <v>6</v>
      </c>
      <c r="I3437" s="11" t="s">
        <v>7</v>
      </c>
      <c r="J3437" s="11" t="s">
        <v>8</v>
      </c>
      <c r="K3437" s="11" t="s">
        <v>9</v>
      </c>
      <c r="L3437" s="11" t="s">
        <v>10</v>
      </c>
      <c r="M3437" s="11" t="s">
        <v>11</v>
      </c>
      <c r="N3437" s="11" t="s">
        <v>12</v>
      </c>
      <c r="O3437" s="11" t="s">
        <v>13</v>
      </c>
      <c r="P3437" s="11" t="s">
        <v>14</v>
      </c>
      <c r="Q3437" s="37" t="s">
        <v>15</v>
      </c>
      <c r="R3437" s="42">
        <f>_xll.ciqfunctions.udf.CIQ(A3438,("IQ_LASTSALEPRICE"))</f>
        <v>37.83</v>
      </c>
      <c r="S3437" s="44"/>
      <c r="U3437" s="37" t="s">
        <v>15</v>
      </c>
      <c r="V3437" s="42">
        <f>_xll.ciqfunctions.udf.CIQ(A3438,("IQ_LASTSALEPRICE"))</f>
        <v>37.83</v>
      </c>
      <c r="W3437" s="44"/>
      <c r="Y3437" s="37" t="s">
        <v>15</v>
      </c>
      <c r="Z3437" s="42">
        <f>_xll.ciqfunctions.udf.CIQ(A3438,("IQ_LASTSALEPRICE"))</f>
        <v>37.83</v>
      </c>
      <c r="AA3437" s="44"/>
    </row>
    <row r="3438" spans="1:27">
      <c r="A3438" s="12" t="str">
        <f>Analysis!B231</f>
        <v>NYSE:AYX</v>
      </c>
      <c r="B3438" s="13">
        <v>1</v>
      </c>
      <c r="C3438" s="14" t="s">
        <v>16</v>
      </c>
      <c r="D3438" s="15" t="e">
        <f>IF(A3446=A3447,_xll.ciqfunctions.udf.CIQ(A3438,"IQ_TOTAL_REV",IQ_FY-10)/I3438,_xll.ciqfunctions.udf.CIQ(A3438, "IQ_TOTAL_REV",IQ_FY-9)/I3438)</f>
        <v>#DIV/0!</v>
      </c>
      <c r="E3438" s="16"/>
      <c r="F3438" s="15">
        <f>IF(A3446=A3447,_xll.ciqfunctions.udf.CIQ(A3438,"IQ_DILUT_EPS_EXCL",IQ_FY-10), _xll.ciqfunctions.udf.CIQ(A3438, "IQ_DILUT_EPS_EXCL",IQ_FY-9))</f>
        <v>0</v>
      </c>
      <c r="G3438" s="15">
        <f>IF(A3446=A3447,_xll.ciqfunctions.udf.CIQ(A3438,"IQ_EBITDA_MARGIN",IQ_FY-10), _xll.ciqfunctions.udf.CIQ(A3438, "IQ_EBITDA_MARGIN",IQ_FY-9))</f>
        <v>0</v>
      </c>
      <c r="H3438" s="15" t="e">
        <f>IF(A3446=A3447,_xll.ciqfunctions.udf.CIQ(A3438,"IQ_TOTAL_DIV_PAID_CF",IQ_FY-10)/-I3438, _xll.ciqfunctions.udf.CIQ(A3438, "IQ_TOTAL_DIV_PAID_CF",IQ_FY-9)/-I3438)</f>
        <v>#DIV/0!</v>
      </c>
      <c r="I3438" s="17">
        <f>IF(A3446=A3447,_xll.ciqfunctions.udf.CIQ(A3438,"IQ_TOTAL_OUTSTANDING_FILING_DATE",IQ_FY-10), _xll.ciqfunctions.udf.CIQ(A3438, "IQ_TOTAL_OUTSTANDING_FILING_DATE",IQ_FY-9))</f>
        <v>0</v>
      </c>
      <c r="J3438" s="17">
        <f>IF(A3446=A3447,_xll.ciqfunctions.udf.CIQ(A3438,"IQ_CASH_OPER",IQ_FY-10), _xll.ciqfunctions.udf.CIQ(A3438, "IQ_CASH_OPER",IQ_FY-9))</f>
        <v>0</v>
      </c>
      <c r="K3438" s="17">
        <f>IF(A3446=A3447,_xll.ciqfunctions.udf.CIQ(A3438,"IQ_CAPEX",IQ_FY-10), _xll.ciqfunctions.udf.CIQ(A3438, "IQ_CAPEX",IQ_FY-9))</f>
        <v>0</v>
      </c>
      <c r="L3438" s="15" t="e">
        <f t="shared" ref="L3438:L3448" si="916">(J3438+K3438)/I3438</f>
        <v>#DIV/0!</v>
      </c>
      <c r="M3438" s="17">
        <f>IF(A3446=A3447,_xll.ciqfunctions.udf.CIQ(A3438,"IQ_TOTAL_DEBT_ISSUED",IQ_FY-10), _xll.ciqfunctions.udf.CIQ(A3438, "IQ_TOTAL_DEBT_ISSUED",IQ_FY-9))</f>
        <v>0</v>
      </c>
      <c r="N3438" s="17">
        <f>IF(A3446=A3447,_xll.ciqfunctions.udf.CIQ(A3438,"IQ_TOTAL_DEBT_REPAID",IQ_FY-10), _xll.ciqfunctions.udf.CIQ(A3438, "IQ_TOTAL_DEBT_REPAID",IQ_FY-9))</f>
        <v>0</v>
      </c>
      <c r="O3438" s="15" t="e">
        <f t="shared" ref="O3438:O3448" si="917">(M3438+N3438)/I3438</f>
        <v>#DIV/0!</v>
      </c>
      <c r="P3438" s="15" t="e">
        <f t="shared" ref="P3438:P3448" si="918">L3438+O3438</f>
        <v>#DIV/0!</v>
      </c>
      <c r="W3438" s="43"/>
      <c r="AA3438" s="43"/>
    </row>
    <row r="3439" spans="1:27">
      <c r="A3439" s="18" t="str">
        <f>_xll.ciqfunctions.udf.CIQ(A3438,"IQ_COMPANY_NAME")</f>
        <v>Alteryx, Inc.</v>
      </c>
      <c r="B3439" s="13">
        <v>2</v>
      </c>
      <c r="C3439" s="14" t="s">
        <v>17</v>
      </c>
      <c r="D3439" s="15">
        <f>IF(A3446=A3447,_xll.ciqfunctions.udf.CIQ(A3438,"IQ_TOTAL_REV",IQ_FY-9)/I3439, _xll.ciqfunctions.udf.CIQ(A3438, "IQ_TOTAL_REV",IQ_FY-8)/I3439)</f>
        <v>1.2139147664626644</v>
      </c>
      <c r="E3439" s="16" t="e">
        <f t="shared" ref="E3439:E3448" si="919">(D3439-D3438)/D3438</f>
        <v>#DIV/0!</v>
      </c>
      <c r="F3439" s="15">
        <f>IF(A3446=A3447,_xll.ciqfunctions.udf.CIQ(A3438,"IQ_DILUT_EPS_EXCL",IQ_FY-9), _xll.ciqfunctions.udf.CIQ(A3438, "IQ_DILUT_EPS_EXCL",IQ_FY-8))</f>
        <v>-1.3653200000000001</v>
      </c>
      <c r="G3439" s="15">
        <f>IF(A3446=A3447,_xll.ciqfunctions.udf.CIQ(A3438,"IQ_EBITDA_MARGIN",IQ_FY-9), _xll.ciqfunctions.udf.CIQ(A3438, "IQ_EBITDA_MARGIN",IQ_FY-8))</f>
        <v>-52.303600000000003</v>
      </c>
      <c r="H3439" s="15">
        <f>IF(A3446=A3447,_xll.ciqfunctions.udf.CIQ(A3438,"IQ_TOTAL_DIV_PAID_CF",IQ_FY-9)/-I3439, _xll.ciqfunctions.udf.CIQ(A3438, "IQ_TOTAL_DIV_PAID_CF",IQ_FY-8)/-I3439)</f>
        <v>0</v>
      </c>
      <c r="I3439" s="17">
        <f>IF(A3446=A3447,_xll.ciqfunctions.udf.CIQ(A3438,"IQ_TOTAL_OUTSTANDING_FILING_DATE",IQ_FY-9), _xll.ciqfunctions.udf.CIQ(A3438, "IQ_TOTAL_OUTSTANDING_FILING_DATE",IQ_FY-8))</f>
        <v>31.290500000000002</v>
      </c>
      <c r="J3439" s="17">
        <f>IF(A3446=A3447,_xll.ciqfunctions.udf.CIQ(A3438,"IQ_CASH_OPER",IQ_FY-9), _xll.ciqfunctions.udf.CIQ(A3438, "IQ_CASH_OPER",IQ_FY-8))</f>
        <v>-3.4279999999999999</v>
      </c>
      <c r="K3439" s="17">
        <f>IF(A3446=A3447,_xll.ciqfunctions.udf.CIQ(A3438,"IQ_CAPEX",IQ_FY-9), _xll.ciqfunctions.udf.CIQ(A3438, "IQ_CAPEX",IQ_FY-8))</f>
        <v>-0.53100000000000003</v>
      </c>
      <c r="L3439" s="15">
        <f t="shared" si="916"/>
        <v>-0.12652402486377654</v>
      </c>
      <c r="M3439" s="17">
        <f>IF(A3446=A3447,_xll.ciqfunctions.udf.CIQ(A3438,"IQ_TOTAL_DEBT_ISSUED",IQ_FY-9), _xll.ciqfunctions.udf.CIQ(A3438, "IQ_TOTAL_DEBT_ISSUED",IQ_FY-8))</f>
        <v>0</v>
      </c>
      <c r="N3439" s="17">
        <f>IF(A3446=A3447,_xll.ciqfunctions.udf.CIQ(A3438,"IQ_TOTAL_DEBT_REPAID",IQ_FY-9), _xll.ciqfunctions.udf.CIQ(A3438, "IQ_TOTAL_DEBT_REPAID",IQ_FY-8))</f>
        <v>0</v>
      </c>
      <c r="O3439" s="15">
        <f t="shared" si="917"/>
        <v>0</v>
      </c>
      <c r="P3439" s="15">
        <f t="shared" si="918"/>
        <v>-0.12652402486377654</v>
      </c>
      <c r="Q3439" s="25" t="s">
        <v>18</v>
      </c>
      <c r="R3439" s="39" t="s">
        <v>19</v>
      </c>
      <c r="S3439" s="1">
        <f>R3437/((AVERAGE(P3443:P3448))*(1+E3449)^3)</f>
        <v>6.4404190830808181</v>
      </c>
      <c r="U3439" s="25" t="s">
        <v>48</v>
      </c>
      <c r="V3439" s="39" t="s">
        <v>19</v>
      </c>
      <c r="W3439" s="1">
        <f>V3437/((AVERAGE(P3443:P3448))*(1+E3449)^3)</f>
        <v>6.4404190830808181</v>
      </c>
      <c r="Y3439" s="25" t="s">
        <v>39</v>
      </c>
      <c r="Z3439" s="39" t="s">
        <v>19</v>
      </c>
      <c r="AA3439" s="1">
        <f>Z3437/((AVERAGE(P3443:P3448))*(1+E3449)^3)</f>
        <v>6.4404190830808181</v>
      </c>
    </row>
    <row r="3440" spans="1:27">
      <c r="B3440" s="13">
        <v>3</v>
      </c>
      <c r="C3440" s="14" t="s">
        <v>20</v>
      </c>
      <c r="D3440" s="15" cm="1">
        <f t="array" ref="D3440">_xlfn.SINGLE(IF(A3446=A3447,_xll.ciqfunctions.udf.CIQ(A3438,"IQ_TOTAL_REV",IQ_FY-8)/I3440, _xll.ciqfunctions.udf.CIQ(A3438, "IQ_TOTAL_REV",IQ_FY-7)/I3440))</f>
        <v>1.6684026163241266</v>
      </c>
      <c r="E3440" s="16">
        <f t="shared" si="919"/>
        <v>0.37439848531197562</v>
      </c>
      <c r="F3440" s="15">
        <f>IF(A3446=A3447,_xll.ciqfunctions.udf.CIQ(A3438,"IQ_DILUT_EPS_EXCL",IQ_FY-8), _xll.ciqfunctions.udf.CIQ(A3438, "IQ_DILUT_EPS_EXCL",IQ_FY-7))</f>
        <v>-0.75883999999999996</v>
      </c>
      <c r="G3440" s="15">
        <f>IF(A3446=A3447,_xll.ciqfunctions.udf.CIQ(A3438,"IQ_EBITDA_MARGIN",IQ_FY-8), _xll.ciqfunctions.udf.CIQ(A3438, "IQ_EBITDA_MARGIN",IQ_FY-7))</f>
        <v>-37.767699999999998</v>
      </c>
      <c r="H3440" s="15">
        <f>IF(A3446=A3447,_xll.ciqfunctions.udf.CIQ(A3438,"IQ_TOTAL_DIV_PAID_CF",IQ_FY-8)/-I3440, _xll.ciqfunctions.udf.CIQ(A3438, "IQ_TOTAL_DIV_PAID_CF",IQ_FY-7)/-I3440)</f>
        <v>0</v>
      </c>
      <c r="I3440" s="17">
        <f>IF(A3446=A3447,_xll.ciqfunctions.udf.CIQ(A3438,"IQ_TOTAL_OUTSTANDING_FILING_DATE",IQ_FY-8), _xll.ciqfunctions.udf.CIQ(A3438, "IQ_TOTAL_OUTSTANDING_FILING_DATE",IQ_FY-7))</f>
        <v>32.259</v>
      </c>
      <c r="J3440" s="17">
        <f>IF(A3446=A3447,_xll.ciqfunctions.udf.CIQ(A3438,"IQ_CASH_OPER",IQ_FY-8), _xll.ciqfunctions.udf.CIQ(A3438, "IQ_CASH_OPER",IQ_FY-7))</f>
        <v>-8.0350000000000001</v>
      </c>
      <c r="K3440" s="17">
        <f>IF(A3446=A3447,_xll.ciqfunctions.udf.CIQ(A3438,"IQ_CAPEX",IQ_FY-8), _xll.ciqfunctions.udf.CIQ(A3438, "IQ_CAPEX",IQ_FY-7))</f>
        <v>-2.714</v>
      </c>
      <c r="L3440" s="15">
        <f t="shared" si="916"/>
        <v>-0.33320933692922905</v>
      </c>
      <c r="M3440" s="17">
        <f>IF(A3446=A3447,_xll.ciqfunctions.udf.CIQ(A3438,"IQ_TOTAL_DEBT_ISSUED",IQ_FY-8), _xll.ciqfunctions.udf.CIQ(A3438, "IQ_TOTAL_DEBT_ISSUED",IQ_FY-7))</f>
        <v>1.875</v>
      </c>
      <c r="N3440" s="17">
        <f>IF(A3446=A3447,_xll.ciqfunctions.udf.CIQ(A3438,"IQ_TOTAL_DEBT_REPAID",IQ_FY-8), _xll.ciqfunctions.udf.CIQ(A3438, "IQ_TOTAL_DEBT_REPAID",IQ_FY-7))</f>
        <v>-3.875</v>
      </c>
      <c r="O3440" s="15">
        <f t="shared" si="917"/>
        <v>-6.1998202052140489E-2</v>
      </c>
      <c r="P3440" s="15">
        <f t="shared" si="918"/>
        <v>-0.39520753898136951</v>
      </c>
      <c r="Q3440" s="25" t="s">
        <v>21</v>
      </c>
      <c r="R3440" s="38" t="s">
        <v>49</v>
      </c>
      <c r="S3440" s="2">
        <f>(R3437*I3448)/1000</f>
        <v>2.7154680422999999</v>
      </c>
      <c r="U3440" s="25" t="s">
        <v>59</v>
      </c>
      <c r="V3440" s="38" t="s">
        <v>49</v>
      </c>
      <c r="W3440" s="2">
        <f>(V3437*I3448)/1000</f>
        <v>2.7154680422999999</v>
      </c>
      <c r="Y3440" s="25" t="s">
        <v>46</v>
      </c>
      <c r="Z3440" s="38" t="s">
        <v>49</v>
      </c>
      <c r="AA3440" s="2">
        <f>(Z3437*I3448)/1000</f>
        <v>2.7154680422999999</v>
      </c>
    </row>
    <row r="3441" spans="1:27">
      <c r="A3441" s="18"/>
      <c r="B3441" s="13">
        <v>4</v>
      </c>
      <c r="C3441" s="14" t="s">
        <v>22</v>
      </c>
      <c r="D3441" s="15" cm="1">
        <f t="array" ref="D3441">_xlfn.SINGLE(IF(A3446=A3447,_xll.ciqfunctions.udf.CIQ(A3438,"IQ_TOTAL_REV",IQ_FY-7)/I3441, _xll.ciqfunctions.udf.CIQ(A3438, "IQ_TOTAL_REV",IQ_FY-6)/I3441))</f>
        <v>2.6256350615168027</v>
      </c>
      <c r="E3441" s="16">
        <f t="shared" si="919"/>
        <v>0.57374187490887463</v>
      </c>
      <c r="F3441" s="15">
        <f>IF(A3446=A3447,_xll.ciqfunctions.udf.CIQ(A3438,"IQ_DILUT_EPS_EXCL",IQ_FY-7), _xll.ciqfunctions.udf.CIQ(A3438, "IQ_DILUT_EPS_EXCL",IQ_FY-6))</f>
        <v>-0.95</v>
      </c>
      <c r="G3441" s="15">
        <f>IF(A3446=A3447,_xll.ciqfunctions.udf.CIQ(A3438,"IQ_EBITDA_MARGIN",IQ_FY-7), _xll.ciqfunctions.udf.CIQ(A3438, "IQ_EBITDA_MARGIN",IQ_FY-6))</f>
        <v>-24.880500000000001</v>
      </c>
      <c r="H3441" s="15">
        <f>IF(A3446=A3447,_xll.ciqfunctions.udf.CIQ(A3438,"IQ_TOTAL_DIV_PAID_CF",IQ_FY-7)/-I3441, _xll.ciqfunctions.udf.CIQ(A3438, "IQ_TOTAL_DIV_PAID_CF",IQ_FY-6)/-I3441)</f>
        <v>0</v>
      </c>
      <c r="I3441" s="17">
        <f>IF(A3446=A3447,_xll.ciqfunctions.udf.CIQ(A3438,"IQ_TOTAL_OUTSTANDING_FILING_DATE",IQ_FY-7), _xll.ciqfunctions.udf.CIQ(A3438, "IQ_TOTAL_OUTSTANDING_FILING_DATE",IQ_FY-6))</f>
        <v>32.673999999999999</v>
      </c>
      <c r="J3441" s="17">
        <f>IF(A3446=A3447,_xll.ciqfunctions.udf.CIQ(A3438,"IQ_CASH_OPER",IQ_FY-7), _xll.ciqfunctions.udf.CIQ(A3438, "IQ_CASH_OPER",IQ_FY-6))</f>
        <v>-6.03</v>
      </c>
      <c r="K3441" s="17">
        <f>IF(A3446=A3447,_xll.ciqfunctions.udf.CIQ(A3438,"IQ_CAPEX",IQ_FY-7), _xll.ciqfunctions.udf.CIQ(A3438, "IQ_CAPEX",IQ_FY-6))</f>
        <v>-4.3070000000000004</v>
      </c>
      <c r="L3441" s="15">
        <f t="shared" si="916"/>
        <v>-0.31636775417763358</v>
      </c>
      <c r="M3441" s="17">
        <f>IF(A3446=A3447,_xll.ciqfunctions.udf.CIQ(A3438,"IQ_TOTAL_DEBT_ISSUED",IQ_FY-7), _xll.ciqfunctions.udf.CIQ(A3438, "IQ_TOTAL_DEBT_ISSUED",IQ_FY-6))</f>
        <v>0</v>
      </c>
      <c r="N3441" s="17">
        <f>IF(A3446=A3447,_xll.ciqfunctions.udf.CIQ(A3438,"IQ_TOTAL_DEBT_REPAID",IQ_FY-7), _xll.ciqfunctions.udf.CIQ(A3438, "IQ_TOTAL_DEBT_REPAID",IQ_FY-6))</f>
        <v>-0.27400000000000002</v>
      </c>
      <c r="O3441" s="15">
        <f t="shared" si="917"/>
        <v>-8.3858725592214009E-3</v>
      </c>
      <c r="P3441" s="15">
        <f t="shared" si="918"/>
        <v>-0.32475362673685498</v>
      </c>
      <c r="Q3441" s="25" t="s">
        <v>23</v>
      </c>
      <c r="R3441" s="38" t="s">
        <v>24</v>
      </c>
      <c r="S3441" s="1" t="e">
        <f>R3437/(AVERAGE(H3443:H3448)*(1+H3449)/(0.5-H3449))</f>
        <v>#DIV/0!</v>
      </c>
      <c r="U3441" s="25" t="s">
        <v>40</v>
      </c>
      <c r="V3441" s="38" t="s">
        <v>24</v>
      </c>
      <c r="W3441" s="1" t="e">
        <f>V3437/(AVERAGE(H3443:H3448)*(1+H3449)/(0.5-H3449))</f>
        <v>#DIV/0!</v>
      </c>
      <c r="Y3441" s="25" t="s">
        <v>47</v>
      </c>
      <c r="Z3441" s="38" t="s">
        <v>24</v>
      </c>
      <c r="AA3441" s="1" t="e">
        <f>Z3437/(AVERAGE(H3443:H3448)*(1+H3449)/(0.5-H3449))</f>
        <v>#DIV/0!</v>
      </c>
    </row>
    <row r="3442" spans="1:27">
      <c r="B3442" s="13">
        <v>5</v>
      </c>
      <c r="C3442" s="14" t="s">
        <v>25</v>
      </c>
      <c r="D3442" s="15" cm="1">
        <f t="array" ref="D3442">_xlfn.SINGLE(IF(A3446=A3447,_xll.ciqfunctions.udf.CIQ(A3438,"IQ_TOTAL_REV",IQ_FY-6)/I3442, _xll.ciqfunctions.udf.CIQ(A3438, "IQ_TOTAL_REV",IQ_FY-5)/I3442))</f>
        <v>2.1853264132797015</v>
      </c>
      <c r="E3442" s="16">
        <f t="shared" si="919"/>
        <v>-0.16769605749503491</v>
      </c>
      <c r="F3442" s="15">
        <f>IF(A3446=A3447,_xll.ciqfunctions.udf.CIQ(A3438,"IQ_DILUT_EPS_EXCL",IQ_FY-6), _xll.ciqfunctions.udf.CIQ(A3438, "IQ_DILUT_EPS_EXCL",IQ_FY-5))</f>
        <v>-0.37</v>
      </c>
      <c r="G3442" s="15">
        <f>IF(A3446=A3447,_xll.ciqfunctions.udf.CIQ(A3438,"IQ_EBITDA_MARGIN",IQ_FY-6), _xll.ciqfunctions.udf.CIQ(A3438, "IQ_EBITDA_MARGIN",IQ_FY-5))</f>
        <v>-11.029</v>
      </c>
      <c r="H3442" s="15">
        <f>IF(A3446=A3447,_xll.ciqfunctions.udf.CIQ(A3438,"IQ_TOTAL_DIV_PAID_CF",IQ_FY-6)/-I3442, _xll.ciqfunctions.udf.CIQ(A3438, "IQ_TOTAL_DIV_PAID_CF",IQ_FY-5)/-I3442)</f>
        <v>0</v>
      </c>
      <c r="I3442" s="17">
        <f>IF(A3446=A3447,_xll.ciqfunctions.udf.CIQ(A3438,"IQ_TOTAL_OUTSTANDING_FILING_DATE",IQ_FY-6), _xll.ciqfunctions.udf.CIQ(A3438, "IQ_TOTAL_OUTSTANDING_FILING_DATE",IQ_FY-5))</f>
        <v>60.223039999999997</v>
      </c>
      <c r="J3442" s="17">
        <f>IF(A3446=A3447,_xll.ciqfunctions.udf.CIQ(A3438,"IQ_CASH_OPER",IQ_FY-6), _xll.ciqfunctions.udf.CIQ(A3438, "IQ_CASH_OPER",IQ_FY-5))</f>
        <v>19.105</v>
      </c>
      <c r="K3442" s="17">
        <f>IF(A3446=A3447,_xll.ciqfunctions.udf.CIQ(A3438,"IQ_CAPEX",IQ_FY-6), _xll.ciqfunctions.udf.CIQ(A3438, "IQ_CAPEX",IQ_FY-5))</f>
        <v>-3.669</v>
      </c>
      <c r="L3442" s="15">
        <f t="shared" si="916"/>
        <v>0.25631386260142297</v>
      </c>
      <c r="M3442" s="17">
        <f>IF(A3446=A3447,_xll.ciqfunctions.udf.CIQ(A3438,"IQ_TOTAL_DEBT_ISSUED",IQ_FY-6), _xll.ciqfunctions.udf.CIQ(A3438, "IQ_TOTAL_DEBT_ISSUED",IQ_FY-5))</f>
        <v>0</v>
      </c>
      <c r="N3442" s="17">
        <f>IF(A3446=A3447,_xll.ciqfunctions.udf.CIQ(A3438,"IQ_TOTAL_DEBT_REPAID",IQ_FY-6), _xll.ciqfunctions.udf.CIQ(A3438, "IQ_TOTAL_DEBT_REPAID",IQ_FY-5))</f>
        <v>0</v>
      </c>
      <c r="O3442" s="15">
        <f t="shared" si="917"/>
        <v>0</v>
      </c>
      <c r="P3442" s="15">
        <f t="shared" si="918"/>
        <v>0.25631386260142297</v>
      </c>
      <c r="Q3442" s="18"/>
      <c r="R3442" s="38" t="s">
        <v>50</v>
      </c>
      <c r="S3442" s="3">
        <f>I3449</f>
        <v>3.0448181856289613E-2</v>
      </c>
      <c r="U3442" s="18"/>
      <c r="V3442" s="38" t="s">
        <v>50</v>
      </c>
      <c r="W3442" s="3">
        <f>I3449</f>
        <v>3.0448181856289613E-2</v>
      </c>
      <c r="Y3442" s="18"/>
      <c r="Z3442" s="38" t="s">
        <v>50</v>
      </c>
      <c r="AA3442" s="3">
        <f>I3449</f>
        <v>3.0448181856289613E-2</v>
      </c>
    </row>
    <row r="3443" spans="1:27">
      <c r="B3443" s="13">
        <v>6</v>
      </c>
      <c r="C3443" s="14" t="s">
        <v>26</v>
      </c>
      <c r="D3443" s="15" cm="1">
        <f t="array" ref="D3443">_xlfn.SINGLE(IF(A3446=A3447,_xll.ciqfunctions.udf.CIQ(A3438,"IQ_TOTAL_REV",IQ_FY-5)/I3443, _xll.ciqfunctions.udf.CIQ(A3438, "IQ_TOTAL_REV",IQ_FY-4)/I3443))</f>
        <v>4.1041223794684143</v>
      </c>
      <c r="E3443" s="16">
        <f t="shared" si="919"/>
        <v>0.87803632195568249</v>
      </c>
      <c r="F3443" s="15">
        <f>IF(A3446=A3447,_xll.ciqfunctions.udf.CIQ(A3438,"IQ_DILUT_EPS_EXCL",IQ_FY-5), _xll.ciqfunctions.udf.CIQ(A3438, "IQ_DILUT_EPS_EXCL",IQ_FY-4))</f>
        <v>0.43</v>
      </c>
      <c r="G3443" s="15">
        <f>IF(A3446=A3447,_xll.ciqfunctions.udf.CIQ(A3438,"IQ_EBITDA_MARGIN",IQ_FY-5), _xll.ciqfunctions.udf.CIQ(A3438, "IQ_EBITDA_MARGIN",IQ_FY-4))</f>
        <v>13.7981</v>
      </c>
      <c r="H3443" s="15">
        <f>IF(A3446=A3447,_xll.ciqfunctions.udf.CIQ(A3438,"IQ_TOTAL_DIV_PAID_CF",IQ_FY-5)/-I3443, _xll.ciqfunctions.udf.CIQ(A3438, "IQ_TOTAL_DIV_PAID_CF",IQ_FY-4)/-I3443)</f>
        <v>0</v>
      </c>
      <c r="I3443" s="17">
        <f>IF(A3446=A3447,_xll.ciqfunctions.udf.CIQ(A3438,"IQ_TOTAL_OUTSTANDING_FILING_DATE",IQ_FY-5), _xll.ciqfunctions.udf.CIQ(A3438, "IQ_TOTAL_OUTSTANDING_FILING_DATE",IQ_FY-4))</f>
        <v>61.784219999999998</v>
      </c>
      <c r="J3443" s="17">
        <f>IF(A3446=A3447,_xll.ciqfunctions.udf.CIQ(A3438,"IQ_CASH_OPER",IQ_FY-5), _xll.ciqfunctions.udf.CIQ(A3438, "IQ_CASH_OPER",IQ_FY-4))</f>
        <v>26.088999999999999</v>
      </c>
      <c r="K3443" s="17">
        <f>IF(A3446=A3447,_xll.ciqfunctions.udf.CIQ(A3438,"IQ_CAPEX",IQ_FY-5), _xll.ciqfunctions.udf.CIQ(A3438, "IQ_CAPEX",IQ_FY-4))</f>
        <v>-6.7279999999999998</v>
      </c>
      <c r="L3443" s="15">
        <f t="shared" si="916"/>
        <v>0.31336480415225759</v>
      </c>
      <c r="M3443" s="17">
        <f>IF(A3446=A3447,_xll.ciqfunctions.udf.CIQ(A3438,"IQ_TOTAL_DEBT_ISSUED",IQ_FY-5), _xll.ciqfunctions.udf.CIQ(A3438, "IQ_TOTAL_DEBT_ISSUED",IQ_FY-4))</f>
        <v>224.24600000000001</v>
      </c>
      <c r="N3443" s="17">
        <f>IF(A3446=A3447,_xll.ciqfunctions.udf.CIQ(A3438,"IQ_TOTAL_DEBT_REPAID",IQ_FY-5), _xll.ciqfunctions.udf.CIQ(A3438, "IQ_TOTAL_DEBT_REPAID",IQ_FY-4))</f>
        <v>0</v>
      </c>
      <c r="O3443" s="15">
        <f t="shared" si="917"/>
        <v>3.6295028083222549</v>
      </c>
      <c r="P3443" s="15">
        <f t="shared" si="918"/>
        <v>3.9428676124745126</v>
      </c>
      <c r="Q3443" s="25" t="s">
        <v>27</v>
      </c>
      <c r="R3443" s="38" t="s">
        <v>51</v>
      </c>
      <c r="S3443" s="4">
        <f>AVERAGE(F3443:F3448)/AVERAGE(D3443:D3448)</f>
        <v>-0.21599028868540832</v>
      </c>
      <c r="U3443" s="25" t="s">
        <v>58</v>
      </c>
      <c r="V3443" s="38" t="s">
        <v>51</v>
      </c>
      <c r="W3443" s="4">
        <f>AVERAGE(F3443:F3448)/AVERAGE(D3443:D3448)</f>
        <v>-0.21599028868540832</v>
      </c>
      <c r="Y3443" s="25" t="s">
        <v>56</v>
      </c>
      <c r="Z3443" s="38" t="s">
        <v>51</v>
      </c>
      <c r="AA3443" s="4">
        <f>AVERAGE(F3443:F3448)/AVERAGE(D3443:D3448)</f>
        <v>-0.21599028868540832</v>
      </c>
    </row>
    <row r="3444" spans="1:27">
      <c r="A3444" s="18"/>
      <c r="B3444" s="13">
        <v>7</v>
      </c>
      <c r="C3444" s="14" t="s">
        <v>28</v>
      </c>
      <c r="D3444" s="15" cm="1">
        <f t="array" ref="D3444">_xlfn.SINGLE(IF(A3446=A3447,_xll.ciqfunctions.udf.CIQ(A3438,"IQ_TOTAL_REV",IQ_FY-4)/I3444, _xll.ciqfunctions.udf.CIQ(A3438, "IQ_TOTAL_REV",IQ_FY-3)/I3444))</f>
        <v>6.389465202786897</v>
      </c>
      <c r="E3444" s="16">
        <f t="shared" si="919"/>
        <v>0.55684080834219452</v>
      </c>
      <c r="F3444" s="15">
        <f>IF(A3446=A3447,_xll.ciqfunctions.udf.CIQ(A3438,"IQ_DILUT_EPS_EXCL",IQ_FY-4), _xll.ciqfunctions.udf.CIQ(A3438, "IQ_DILUT_EPS_EXCL",IQ_FY-3))</f>
        <v>0.4</v>
      </c>
      <c r="G3444" s="15">
        <f>IF(A3446=A3447,_xll.ciqfunctions.udf.CIQ(A3438,"IQ_EBITDA_MARGIN",IQ_FY-4), _xll.ciqfunctions.udf.CIQ(A3438, "IQ_EBITDA_MARGIN",IQ_FY-3))</f>
        <v>11.0724</v>
      </c>
      <c r="H3444" s="15">
        <f>IF(A3446=A3447,_xll.ciqfunctions.udf.CIQ(A3438,"IQ_TOTAL_DIV_PAID_CF",IQ_FY-4)/-I3444, _xll.ciqfunctions.udf.CIQ(A3438, "IQ_TOTAL_DIV_PAID_CF",IQ_FY-3)/-I3444)</f>
        <v>0</v>
      </c>
      <c r="I3444" s="17">
        <f>IF(A3446=A3447,_xll.ciqfunctions.udf.CIQ(A3438,"IQ_TOTAL_OUTSTANDING_FILING_DATE",IQ_FY-4), _xll.ciqfunctions.udf.CIQ(A3438, "IQ_TOTAL_OUTSTANDING_FILING_DATE",IQ_FY-3))</f>
        <v>65.406099999999995</v>
      </c>
      <c r="J3444" s="17">
        <f>IF(A3446=A3447,_xll.ciqfunctions.udf.CIQ(A3438,"IQ_CASH_OPER",IQ_FY-4), _xll.ciqfunctions.udf.CIQ(A3438, "IQ_CASH_OPER",IQ_FY-3))</f>
        <v>34.192</v>
      </c>
      <c r="K3444" s="17">
        <f>IF(A3446=A3447,_xll.ciqfunctions.udf.CIQ(A3438,"IQ_CAPEX",IQ_FY-4), _xll.ciqfunctions.udf.CIQ(A3438, "IQ_CAPEX",IQ_FY-3))</f>
        <v>-11.452999999999999</v>
      </c>
      <c r="L3444" s="15">
        <f t="shared" si="916"/>
        <v>0.34765870461623616</v>
      </c>
      <c r="M3444" s="17">
        <f>IF(A3446=A3447,_xll.ciqfunctions.udf.CIQ(A3438,"IQ_TOTAL_DEBT_ISSUED",IQ_FY-4), _xll.ciqfunctions.udf.CIQ(A3438, "IQ_TOTAL_DEBT_ISSUED",IQ_FY-3))</f>
        <v>783.32100000000003</v>
      </c>
      <c r="N3444" s="17">
        <f>IF(A3446=A3447,_xll.ciqfunctions.udf.CIQ(A3438,"IQ_TOTAL_DEBT_REPAID",IQ_FY-4), _xll.ciqfunctions.udf.CIQ(A3438, "IQ_TOTAL_DEBT_REPAID",IQ_FY-3))</f>
        <v>-145.24100000000001</v>
      </c>
      <c r="O3444" s="15">
        <f t="shared" si="917"/>
        <v>9.7556649914916207</v>
      </c>
      <c r="P3444" s="15">
        <f t="shared" si="918"/>
        <v>10.103323696107857</v>
      </c>
      <c r="Q3444" s="18"/>
      <c r="R3444" s="38" t="s">
        <v>29</v>
      </c>
      <c r="S3444" s="4">
        <f>(AVERAGE(P3443:P3448)/_xlfn.STDEV.P(P3443:P3448))/(IF(A3446=A3447,(_xlfn.SINGLE(_xll.ciqfunctions.udf.CIQ(A3438,"IQ_total_assets",IQ_FY)) - _xlfn.SINGLE(_xll.ciqfunctions.udf.CIQ(A3438,"iq_gw_intan", IQ_FY)))/I3448, (_xlfn.SINGLE(_xll.ciqfunctions.udf.CIQ(A3438, "IQ_total_assets",IQ_LTM))-_xlfn.SINGLE(_xll.ciqfunctions.udf.CIQ(A3438,"iq_gw_intan",IQ_LTM)))/I3448))</f>
        <v>4.5726502445887274E-2</v>
      </c>
      <c r="U3444" s="18"/>
      <c r="V3444" s="38" t="s">
        <v>29</v>
      </c>
      <c r="W3444" s="4">
        <f>(AVERAGE(P3443:P3448)/_xlfn.STDEV.P(P3443:P3448))/(IF(A3446=A3447,(_xlfn.SINGLE(_xll.ciqfunctions.udf.CIQ(A3438,"IQ_total_assets",IQ_FY)) - _xlfn.SINGLE(_xll.ciqfunctions.udf.CIQ(A3438,"iq_gw_intan", IQ_FY)))/I3448, (_xlfn.SINGLE(_xll.ciqfunctions.udf.CIQ(A3438, "IQ_total_assets",IQ_LTM))-_xlfn.SINGLE(_xll.ciqfunctions.udf.CIQ(A3438,"iq_gw_intan",IQ_LTM)))/I3448))</f>
        <v>4.5726502445887274E-2</v>
      </c>
      <c r="Y3444" s="18"/>
      <c r="Z3444" s="38" t="s">
        <v>29</v>
      </c>
      <c r="AA3444" s="4">
        <f>(AVERAGE(P3443:P3448)/_xlfn.STDEV.P(P3443:P3448))/(IF(A3446=A3447,(_xlfn.SINGLE(_xll.ciqfunctions.udf.CIQ(A3438,"IQ_total_assets",IQ_FY)) - _xlfn.SINGLE(_xll.ciqfunctions.udf.CIQ(A3438,"iq_gw_intan", IQ_FY)))/I3448, (_xlfn.SINGLE(_xll.ciqfunctions.udf.CIQ(A3438, "IQ_total_assets",IQ_LTM))-_xlfn.SINGLE(_xll.ciqfunctions.udf.CIQ(A3438,"iq_gw_intan",IQ_LTM)))/I3448))</f>
        <v>4.5726502445887274E-2</v>
      </c>
    </row>
    <row r="3445" spans="1:27">
      <c r="A3445" s="18"/>
      <c r="B3445" s="13">
        <v>8</v>
      </c>
      <c r="C3445" s="14" t="s">
        <v>30</v>
      </c>
      <c r="D3445" s="15" cm="1">
        <f t="array" ref="D3445">_xlfn.SINGLE(IF(A3446=A3447,_xll.ciqfunctions.udf.CIQ(A3438,"IQ_TOTAL_REV",IQ_FY-3)/I3445, _xll.ciqfunctions.udf.CIQ(A3438, "IQ_TOTAL_REV",IQ_FY-2)/I3445))</f>
        <v>7.4077109540822068</v>
      </c>
      <c r="E3445" s="16">
        <f t="shared" si="919"/>
        <v>0.15936322039146264</v>
      </c>
      <c r="F3445" s="15">
        <f>IF(A3446=A3447,_xll.ciqfunctions.udf.CIQ(A3438,"IQ_DILUT_EPS_EXCL",IQ_FY-3), _xll.ciqfunctions.udf.CIQ(A3438, "IQ_DILUT_EPS_EXCL",IQ_FY-2))</f>
        <v>-0.37</v>
      </c>
      <c r="G3445" s="15">
        <f>IF(A3446=A3447,_xll.ciqfunctions.udf.CIQ(A3438,"IQ_EBITDA_MARGIN",IQ_FY-3), _xll.ciqfunctions.udf.CIQ(A3438, "IQ_EBITDA_MARGIN",IQ_FY-2))</f>
        <v>2.0581</v>
      </c>
      <c r="H3445" s="15">
        <f>IF(A3446=A3447,_xll.ciqfunctions.udf.CIQ(A3438,"IQ_TOTAL_DIV_PAID_CF",IQ_FY-3)/-I3445, _xll.ciqfunctions.udf.CIQ(A3438, "IQ_TOTAL_DIV_PAID_CF",IQ_FY-2)/-I3445)</f>
        <v>0</v>
      </c>
      <c r="I3445" s="17">
        <f>IF(A3446=A3447,_xll.ciqfunctions.udf.CIQ(A3438,"IQ_TOTAL_OUTSTANDING_FILING_DATE",IQ_FY-3), _xll.ciqfunctions.udf.CIQ(A3438, "IQ_TOTAL_OUTSTANDING_FILING_DATE",IQ_FY-2))</f>
        <v>66.863839999999996</v>
      </c>
      <c r="J3445" s="17">
        <f>IF(A3446=A3447,_xll.ciqfunctions.udf.CIQ(A3438,"IQ_CASH_OPER",IQ_FY-3), _xll.ciqfunctions.udf.CIQ(A3438, "IQ_CASH_OPER",IQ_FY-2))</f>
        <v>74.781999999999996</v>
      </c>
      <c r="K3445" s="17">
        <f>IF(A3446=A3447,_xll.ciqfunctions.udf.CIQ(A3438,"IQ_CAPEX",IQ_FY-3), _xll.ciqfunctions.udf.CIQ(A3438, "IQ_CAPEX",IQ_FY-2))</f>
        <v>-26.358000000000001</v>
      </c>
      <c r="L3445" s="15">
        <f t="shared" si="916"/>
        <v>0.72421805268737172</v>
      </c>
      <c r="M3445" s="17">
        <f>IF(A3446=A3447,_xll.ciqfunctions.udf.CIQ(A3438,"IQ_TOTAL_DEBT_ISSUED",IQ_FY-3), _xll.ciqfunctions.udf.CIQ(A3438, "IQ_TOTAL_DEBT_ISSUED",IQ_FY-2))</f>
        <v>0</v>
      </c>
      <c r="N3445" s="17">
        <f>IF(A3446=A3447,_xll.ciqfunctions.udf.CIQ(A3438,"IQ_TOTAL_DEBT_REPAID",IQ_FY-3), _xll.ciqfunctions.udf.CIQ(A3438, "IQ_TOTAL_DEBT_REPAID",IQ_FY-2))</f>
        <v>-1.0999999999999999E-2</v>
      </c>
      <c r="O3445" s="15">
        <f t="shared" si="917"/>
        <v>-1.6451343506445338E-4</v>
      </c>
      <c r="P3445" s="15">
        <f t="shared" si="918"/>
        <v>0.72405353925230731</v>
      </c>
      <c r="Q3445" s="18"/>
      <c r="R3445" s="39" t="s">
        <v>31</v>
      </c>
      <c r="S3445" s="5" t="e">
        <f>IF(NOT(D3438&gt;0),FALSE,SLOPE(G3438:G3448,B3438:B3448))</f>
        <v>#DIV/0!</v>
      </c>
      <c r="U3445" s="18"/>
      <c r="V3445" s="39" t="s">
        <v>31</v>
      </c>
      <c r="W3445" s="5" t="e">
        <f>IF(NOT(D3438&gt;0),FALSE,SLOPE(G3438:G3448,B3438:B3448))</f>
        <v>#DIV/0!</v>
      </c>
      <c r="Y3445" s="18"/>
      <c r="Z3445" s="39" t="s">
        <v>31</v>
      </c>
      <c r="AA3445" s="5" t="e">
        <f>IF(NOT(L3438&gt;0),FALSE,SLOPE(O3438:O3448,J3438:J3448))</f>
        <v>#DIV/0!</v>
      </c>
    </row>
    <row r="3446" spans="1:27">
      <c r="A3446" s="19">
        <f>_xll.ciqfunctions.udf.CIQ(A3438,"IQ_TOTAL_REV",IQ_FY)</f>
        <v>855.35400000000004</v>
      </c>
      <c r="B3446" s="13">
        <v>9</v>
      </c>
      <c r="C3446" s="14" t="s">
        <v>32</v>
      </c>
      <c r="D3446" s="15" cm="1">
        <f t="array" ref="D3446">_xlfn.SINGLE(IF(A3446=A3447,_xll.ciqfunctions.udf.CIQ(A3438,"IQ_TOTAL_REV",IQ_FY-2)/I3446, _xll.ciqfunctions.udf.CIQ(A3438, "IQ_TOTAL_REV",IQ_FY-1)/I3446))</f>
        <v>7.9266924179875229</v>
      </c>
      <c r="E3446" s="16">
        <f t="shared" si="919"/>
        <v>7.0059626667711455E-2</v>
      </c>
      <c r="F3446" s="15">
        <f>IF(A3446=A3447,_xll.ciqfunctions.udf.CIQ(A3438,"IQ_DILUT_EPS_EXCL",IQ_FY-2), _xll.ciqfunctions.udf.CIQ(A3438, "IQ_DILUT_EPS_EXCL",IQ_FY-1))</f>
        <v>-2.6741799999999998</v>
      </c>
      <c r="G3446" s="15">
        <f>IF(A3446=A3447,_xll.ciqfunctions.udf.CIQ(A3438,"IQ_EBITDA_MARGIN",IQ_FY-2), _xll.ciqfunctions.udf.CIQ(A3438, "IQ_EBITDA_MARGIN",IQ_FY-1))</f>
        <v>-21.335100000000001</v>
      </c>
      <c r="H3446" s="15">
        <f>IF(A3446=A3447,_xll.ciqfunctions.udf.CIQ(A3438,"IQ_TOTAL_DIV_PAID_CF",IQ_FY-2)/-I3446, _xll.ciqfunctions.udf.CIQ(A3438, "IQ_TOTAL_DIV_PAID_CF",IQ_FY-1)/-I3446)</f>
        <v>0</v>
      </c>
      <c r="I3446" s="17">
        <f>IF(A3446=A3447,_xll.ciqfunctions.udf.CIQ(A3438,"IQ_TOTAL_OUTSTANDING_FILING_DATE",IQ_FY-2), _xll.ciqfunctions.udf.CIQ(A3438, "IQ_TOTAL_OUTSTANDING_FILING_DATE",IQ_FY-1))</f>
        <v>67.636660000000006</v>
      </c>
      <c r="J3446" s="17">
        <f>IF(A3446=A3447,_xll.ciqfunctions.udf.CIQ(A3438,"IQ_CASH_OPER",IQ_FY-2), _xll.ciqfunctions.udf.CIQ(A3438, "IQ_CASH_OPER",IQ_FY-1))</f>
        <v>63.158999999999999</v>
      </c>
      <c r="K3446" s="17">
        <f>IF(A3446=A3447,_xll.ciqfunctions.udf.CIQ(A3438,"IQ_CAPEX",IQ_FY-2), _xll.ciqfunctions.udf.CIQ(A3438, "IQ_CAPEX",IQ_FY-1))</f>
        <v>-23.515000000000001</v>
      </c>
      <c r="L3446" s="15">
        <f t="shared" si="916"/>
        <v>0.58613184033629095</v>
      </c>
      <c r="M3446" s="17">
        <f>IF(A3446=A3447,_xll.ciqfunctions.udf.CIQ(A3438,"IQ_TOTAL_DEBT_ISSUED",IQ_FY-2), _xll.ciqfunctions.udf.CIQ(A3438, "IQ_TOTAL_DEBT_ISSUED",IQ_FY-1))</f>
        <v>0</v>
      </c>
      <c r="N3446" s="17">
        <f>IF(A3446=A3447,_xll.ciqfunctions.udf.CIQ(A3438,"IQ_TOTAL_DEBT_REPAID",IQ_FY-2), _xll.ciqfunctions.udf.CIQ(A3438, "IQ_TOTAL_DEBT_REPAID",IQ_FY-1))</f>
        <v>0</v>
      </c>
      <c r="O3446" s="15">
        <f t="shared" si="917"/>
        <v>0</v>
      </c>
      <c r="P3446" s="15">
        <f t="shared" si="918"/>
        <v>0.58613184033629095</v>
      </c>
      <c r="Q3446" s="25" t="s">
        <v>33</v>
      </c>
      <c r="R3446" s="38" t="s">
        <v>52</v>
      </c>
      <c r="S3446" s="4">
        <f>(AVERAGE(O3443:O3448)/AVERAGE(P3443:P3448))</f>
        <v>1.0310251399888175</v>
      </c>
      <c r="U3446" s="25" t="s">
        <v>54</v>
      </c>
      <c r="V3446" s="38" t="s">
        <v>52</v>
      </c>
      <c r="W3446" s="4">
        <f>(AVERAGE(O3443:O3448)/AVERAGE(P3443:P3448))</f>
        <v>1.0310251399888175</v>
      </c>
      <c r="Y3446" s="25" t="s">
        <v>60</v>
      </c>
      <c r="Z3446" s="38" t="s">
        <v>52</v>
      </c>
      <c r="AA3446" s="4">
        <f>(AVERAGE(O3443:O3448)/AVERAGE(P3443:P3448))</f>
        <v>1.0310251399888175</v>
      </c>
    </row>
    <row r="3447" spans="1:27">
      <c r="A3447" s="19">
        <f>_xll.ciqfunctions.udf.CIQ(A3438,"IQ_TOTAL_REV",IQ_LTM)</f>
        <v>920.35400000000004</v>
      </c>
      <c r="B3447" s="13">
        <v>10</v>
      </c>
      <c r="C3447" s="14" t="s">
        <v>34</v>
      </c>
      <c r="D3447" s="15" cm="1">
        <f t="array" ref="D3447">_xlfn.SINGLE(IF(A3446=A3447,_xll.ciqfunctions.udf.CIQ(A3438,"IQ_TOTAL_REV",IQ_FY-1)/I3447, _xll.ciqfunctions.udf.CIQ(A3438, "IQ_TOTAL_REV",IQ_FY)/I3447))</f>
        <v>12.303035132419364</v>
      </c>
      <c r="E3447" s="16">
        <f t="shared" si="919"/>
        <v>0.55210199710801111</v>
      </c>
      <c r="F3447" s="15">
        <f>IF(A3446=A3447,_xll.ciqfunctions.udf.CIQ(A3438,"IQ_DILUT_EPS_EXCL",IQ_FY-1), _xll.ciqfunctions.udf.CIQ(A3438, "IQ_DILUT_EPS_EXCL",IQ_FY))</f>
        <v>-4.6500000000000004</v>
      </c>
      <c r="G3447" s="15">
        <f>IF(A3446=A3447,_xll.ciqfunctions.udf.CIQ(A3438,"IQ_EBITDA_MARGIN",IQ_FY-1), _xll.ciqfunctions.udf.CIQ(A3438, "IQ_EBITDA_MARGIN",IQ_FY))</f>
        <v>-24.390899999999998</v>
      </c>
      <c r="H3447" s="15">
        <f>IF(A3446=A3447,_xll.ciqfunctions.udf.CIQ(A3438,"IQ_TOTAL_DIV_PAID_CF",IQ_FY-1)/-I3447, _xll.ciqfunctions.udf.CIQ(A3438, "IQ_TOTAL_DIV_PAID_CF",IQ_FY)/-I3447)</f>
        <v>0</v>
      </c>
      <c r="I3447" s="17">
        <f>IF(A3446=A3447,_xll.ciqfunctions.udf.CIQ(A3438,"IQ_TOTAL_OUTSTANDING_FILING_DATE",IQ_FY-1), _xll.ciqfunctions.udf.CIQ(A3438, "IQ_TOTAL_OUTSTANDING_FILING_DATE",IQ_FY))</f>
        <v>69.523820000000001</v>
      </c>
      <c r="J3447" s="17">
        <f>IF(A3446=A3447,_xll.ciqfunctions.udf.CIQ(A3438,"IQ_CASH_OPER",IQ_FY-1), _xll.ciqfunctions.udf.CIQ(A3438, "IQ_CASH_OPER",IQ_FY))</f>
        <v>-104.84699999999999</v>
      </c>
      <c r="K3447" s="17">
        <f>IF(A3446=A3447,_xll.ciqfunctions.udf.CIQ(A3438,"IQ_CAPEX",IQ_FY-1), _xll.ciqfunctions.udf.CIQ(A3438, "IQ_CAPEX",IQ_FY))</f>
        <v>-23.632999999999999</v>
      </c>
      <c r="L3447" s="15">
        <f t="shared" si="916"/>
        <v>-1.8479997215342883</v>
      </c>
      <c r="M3447" s="17">
        <f>IF(A3446=A3447,_xll.ciqfunctions.udf.CIQ(A3438,"IQ_TOTAL_DEBT_ISSUED",IQ_FY-1), _xll.ciqfunctions.udf.CIQ(A3438, "IQ_TOTAL_DEBT_ISSUED",IQ_FY))</f>
        <v>0</v>
      </c>
      <c r="N3447" s="17">
        <f>IF(A3446=A3447,_xll.ciqfunctions.udf.CIQ(A3438,"IQ_TOTAL_DEBT_REPAID",IQ_FY-1), _xll.ciqfunctions.udf.CIQ(A3438, "IQ_TOTAL_DEBT_REPAID",IQ_FY))</f>
        <v>0</v>
      </c>
      <c r="O3447" s="15">
        <f t="shared" si="917"/>
        <v>0</v>
      </c>
      <c r="P3447" s="15">
        <f t="shared" si="918"/>
        <v>-1.8479997215342883</v>
      </c>
      <c r="Q3447" s="25" t="s">
        <v>44</v>
      </c>
      <c r="R3447" s="38" t="s">
        <v>35</v>
      </c>
      <c r="S3447" s="1" t="str">
        <f>_xll.ciqfunctions.udf.CIQ(A3438,"IQ_TEV_EBITDA")</f>
        <v>NM</v>
      </c>
      <c r="U3447" s="25" t="s">
        <v>55</v>
      </c>
      <c r="V3447" s="38" t="s">
        <v>53</v>
      </c>
      <c r="W3447" s="1">
        <f>V3437/(AVERAGE(D3443:D3448)/_xlfn.STDEV.P(E3443:E3448))</f>
        <v>1.3703047036872418</v>
      </c>
      <c r="Y3447" s="25" t="s">
        <v>57</v>
      </c>
      <c r="Z3447" s="38" t="s">
        <v>53</v>
      </c>
      <c r="AA3447" s="1">
        <f>Z3437/(AVERAGE(D3443:D3448)/_xlfn.STDEV.P(E3443:E3448))</f>
        <v>1.3703047036872418</v>
      </c>
    </row>
    <row r="3448" spans="1:27">
      <c r="B3448" s="13">
        <v>11</v>
      </c>
      <c r="C3448" s="20" t="s">
        <v>36</v>
      </c>
      <c r="D3448" s="21" cm="1">
        <f t="array" ref="D3448">_xlfn.SINGLE(IF(A3446=A3447,_xll.ciqfunctions.udf.CIQ(A3438,"IQ_TOTAL_REV",IQ_FY)/I3448, _xll.ciqfunctions.udf.CIQ(A3438, "IQ_TOTAL_REV",IQ_LTM)/I3448))</f>
        <v>12.821727701317386</v>
      </c>
      <c r="E3448" s="22">
        <f t="shared" si="919"/>
        <v>4.2159724272527704E-2</v>
      </c>
      <c r="F3448" s="21">
        <f>IF(A3446=A3447,_xll.ciqfunctions.udf.CIQ(A3438,"IQ_DILUT_EPS_EXCL",IQ_FY), _xll.ciqfunctions.udf.CIQ(A3438, "IQ_DILUT_EPS_EXCL",IQ_LTM))</f>
        <v>-4.1411199999999999</v>
      </c>
      <c r="G3448" s="21">
        <f>IF(A3446=A3447,_xll.ciqfunctions.udf.CIQ(A3438,"IQ_EBITDA_MARGIN",IQ_FY), _xll.ciqfunctions.udf.CIQ(A3438, "IQ_EBITDA_MARGIN",IQ_LTM))</f>
        <v>-20.277899999999999</v>
      </c>
      <c r="H3448" s="21">
        <f>IF(A3446=A3447,_xll.ciqfunctions.udf.CIQ(A3438,"IQ_TOTAL_DIV_PAID_CF",IQ_FY)/-I3448, _xll.ciqfunctions.udf.CIQ(A3438, "IQ_TOTAL_DIV_PAID_CF",IQ_LTM)/-I3448)</f>
        <v>0</v>
      </c>
      <c r="I3448" s="23">
        <f>IF(A3446=A3447,_xll.ciqfunctions.udf.CIQ(A3438,"IQ_TOTAL_OUTSTANDING_FILING_DATE",IQ_FY),_xll.ciqfunctions.udf.CIQ(A3438,"IQ_sharesoutstanding"))</f>
        <v>71.780810000000002</v>
      </c>
      <c r="J3448" s="23">
        <f>IF(A3446=A3447,_xll.ciqfunctions.udf.CIQ(A3438,"IQ_CASH_OPER",IQ_FY), _xll.ciqfunctions.udf.CIQ(A3438, "IQ_CASH_OPER",IQ_LTM))</f>
        <v>-42.847000000000001</v>
      </c>
      <c r="K3448" s="23">
        <f>IF(A3446=A3447,_xll.ciqfunctions.udf.CIQ(A3438,"IQ_CAPEX",IQ_FY), _xll.ciqfunctions.udf.CIQ(A3438, "IQ_CAPEX",IQ_LTM))</f>
        <v>-5.633</v>
      </c>
      <c r="L3448" s="21">
        <f t="shared" si="916"/>
        <v>-0.67538942511236644</v>
      </c>
      <c r="M3448" s="23">
        <f>IF(A3446=A3447,_xll.ciqfunctions.udf.CIQ(A3438,"IQ_TOTAL_DEBT_ISSUED",IQ_FY), _xll.ciqfunctions.udf.CIQ(A3438, "IQ_TOTAL_DEBT_ISSUED",IQ_LTM))</f>
        <v>441</v>
      </c>
      <c r="N3448" s="23">
        <f>IF(A3446=A3447,_xll.ciqfunctions.udf.CIQ(A3438,"IQ_TOTAL_DEBT_REPAID",IQ_FY), _xll.ciqfunctions.udf.CIQ(A3438, "IQ_TOTAL_DEBT_REPAID",IQ_LTM))</f>
        <v>-85</v>
      </c>
      <c r="O3448" s="21">
        <f t="shared" si="917"/>
        <v>4.9595428081683668</v>
      </c>
      <c r="P3448" s="21">
        <f t="shared" si="918"/>
        <v>4.2841533830560001</v>
      </c>
      <c r="Q3448" s="25" t="s">
        <v>45</v>
      </c>
      <c r="S3448" s="45"/>
      <c r="U3448" s="25"/>
      <c r="W3448" s="45"/>
      <c r="Y3448" s="25"/>
      <c r="AA3448" s="45"/>
    </row>
    <row r="3449" spans="1:27">
      <c r="B3449" s="24"/>
      <c r="C3449" s="25" t="s">
        <v>37</v>
      </c>
      <c r="E3449" s="26">
        <f>((D3448/D3443)^(1/5))-1</f>
        <v>0.25587162861352031</v>
      </c>
      <c r="F3449" s="27">
        <f>((F3448/F3443)^(1/5))-1</f>
        <v>-2.5730041629704559</v>
      </c>
      <c r="G3449" s="28"/>
      <c r="H3449" s="27" t="e">
        <f>((H3448/H3443)^(1/5))-1</f>
        <v>#DIV/0!</v>
      </c>
      <c r="I3449" s="27">
        <f>((I3448/I3443)^(1/5))-1</f>
        <v>3.0448181856289613E-2</v>
      </c>
      <c r="J3449" s="27"/>
      <c r="K3449" s="27"/>
      <c r="L3449" s="26">
        <f>((L3448/L3443)^(1/5))-1</f>
        <v>-2.1660060610305383</v>
      </c>
      <c r="M3449" s="26"/>
      <c r="N3449" s="26"/>
      <c r="O3449" s="26"/>
      <c r="P3449" s="26">
        <f>((P3448/P3443)^(1/5))-1</f>
        <v>1.6741530023357099E-2</v>
      </c>
      <c r="Q3449" s="18"/>
      <c r="R3449" s="36"/>
      <c r="S3449" s="45"/>
      <c r="U3449" s="18"/>
      <c r="V3449" s="36"/>
      <c r="W3449" s="45"/>
      <c r="Y3449" s="18"/>
      <c r="Z3449" s="36"/>
      <c r="AA3449" s="45"/>
    </row>
    <row r="3450" spans="1:27">
      <c r="A3450" s="29"/>
      <c r="B3450" s="30"/>
      <c r="C3450" s="31" t="s">
        <v>38</v>
      </c>
      <c r="D3450" s="29"/>
      <c r="E3450" s="32" t="e">
        <f>((D3448/D3438)^(1/10))-1</f>
        <v>#DIV/0!</v>
      </c>
      <c r="F3450" s="33" t="e">
        <f>((F3448/F3438)^(1/10))-1</f>
        <v>#DIV/0!</v>
      </c>
      <c r="G3450" s="34"/>
      <c r="H3450" s="33" t="e">
        <f>((H3448/H3438)^(1/10))-1</f>
        <v>#DIV/0!</v>
      </c>
      <c r="I3450" s="33" t="e">
        <f>((I3448/I3438)^(1/10))-1</f>
        <v>#DIV/0!</v>
      </c>
      <c r="J3450" s="33"/>
      <c r="K3450" s="33"/>
      <c r="L3450" s="32" t="e">
        <f>((L3448/L3438)^(1/10))-1</f>
        <v>#DIV/0!</v>
      </c>
      <c r="M3450" s="32"/>
      <c r="N3450" s="32"/>
      <c r="O3450" s="32"/>
      <c r="P3450" s="32" t="e">
        <f>((P3448/P3438)^(1/10))-1</f>
        <v>#DIV/0!</v>
      </c>
      <c r="Q3450" s="40"/>
      <c r="R3450" s="41"/>
      <c r="S3450" s="46"/>
      <c r="U3450" s="40"/>
      <c r="V3450" s="41"/>
      <c r="W3450" s="46"/>
      <c r="Y3450" s="40"/>
      <c r="Z3450" s="41"/>
      <c r="AA3450" s="46"/>
    </row>
    <row r="3451" spans="1:27">
      <c r="B3451" s="24"/>
      <c r="C3451" s="25"/>
      <c r="E3451" s="26"/>
      <c r="F3451" s="27"/>
      <c r="G3451" s="28"/>
      <c r="H3451" s="27"/>
      <c r="I3451" s="27"/>
      <c r="J3451" s="27"/>
      <c r="K3451" s="27"/>
      <c r="L3451" s="26"/>
      <c r="M3451" s="17"/>
      <c r="N3451" s="17"/>
      <c r="O3451" s="17"/>
      <c r="P3451" s="35"/>
      <c r="Q3451" s="18"/>
      <c r="R3451" s="36"/>
    </row>
    <row r="3452" spans="1:27">
      <c r="A3452" s="9" t="s">
        <v>0</v>
      </c>
      <c r="B3452" s="10"/>
      <c r="C3452" s="9" t="s">
        <v>1</v>
      </c>
      <c r="D3452" s="9" t="s">
        <v>2</v>
      </c>
      <c r="E3452" s="9" t="s">
        <v>3</v>
      </c>
      <c r="F3452" s="11" t="s">
        <v>4</v>
      </c>
      <c r="G3452" s="11" t="s">
        <v>5</v>
      </c>
      <c r="H3452" s="9" t="s">
        <v>6</v>
      </c>
      <c r="I3452" s="11" t="s">
        <v>7</v>
      </c>
      <c r="J3452" s="11" t="s">
        <v>8</v>
      </c>
      <c r="K3452" s="11" t="s">
        <v>9</v>
      </c>
      <c r="L3452" s="11" t="s">
        <v>10</v>
      </c>
      <c r="M3452" s="11" t="s">
        <v>11</v>
      </c>
      <c r="N3452" s="11" t="s">
        <v>12</v>
      </c>
      <c r="O3452" s="11" t="s">
        <v>13</v>
      </c>
      <c r="P3452" s="11" t="s">
        <v>14</v>
      </c>
      <c r="Q3452" s="37" t="s">
        <v>15</v>
      </c>
      <c r="R3452" s="42">
        <f>_xll.ciqfunctions.udf.CIQ(A3453,("IQ_LASTSALEPRICE"))</f>
        <v>25.59</v>
      </c>
      <c r="S3452" s="44"/>
      <c r="U3452" s="37" t="s">
        <v>15</v>
      </c>
      <c r="V3452" s="42">
        <f>_xll.ciqfunctions.udf.CIQ(A3453,("IQ_LASTSALEPRICE"))</f>
        <v>25.59</v>
      </c>
      <c r="W3452" s="44"/>
      <c r="Y3452" s="37" t="s">
        <v>15</v>
      </c>
      <c r="Z3452" s="42">
        <f>_xll.ciqfunctions.udf.CIQ(A3453,("IQ_LASTSALEPRICE"))</f>
        <v>25.59</v>
      </c>
      <c r="AA3452" s="44"/>
    </row>
    <row r="3453" spans="1:27">
      <c r="A3453" s="12" t="str">
        <f>Analysis!B232</f>
        <v>NYSE:INST</v>
      </c>
      <c r="B3453" s="13">
        <v>1</v>
      </c>
      <c r="C3453" s="14" t="s">
        <v>16</v>
      </c>
      <c r="D3453" s="15">
        <f>IF(A3461=A3462,_xll.ciqfunctions.udf.CIQ(A3453,"IQ_TOTAL_REV",IQ_FY-10)/I3453,_xll.ciqfunctions.udf.CIQ(A3453, "IQ_TOTAL_REV",IQ_FY-9)/I3453)</f>
        <v>6.8879918153050621</v>
      </c>
      <c r="E3453" s="16"/>
      <c r="F3453" s="15">
        <f>IF(A3461=A3462,_xll.ciqfunctions.udf.CIQ(A3453,"IQ_DILUT_EPS_EXCL",IQ_FY-10), _xll.ciqfunctions.udf.CIQ(A3453, "IQ_DILUT_EPS_EXCL",IQ_FY-9))</f>
        <v>-1E-4</v>
      </c>
      <c r="G3453" s="15">
        <f>IF(A3461=A3462,_xll.ciqfunctions.udf.CIQ(A3453,"IQ_EBITDA_MARGIN",IQ_FY-10), _xll.ciqfunctions.udf.CIQ(A3453, "IQ_EBITDA_MARGIN",IQ_FY-9))</f>
        <v>-78.165400000000005</v>
      </c>
      <c r="H3453" s="15">
        <f>IF(A3461=A3462,_xll.ciqfunctions.udf.CIQ(A3453,"IQ_TOTAL_DIV_PAID_CF",IQ_FY-10)/-I3453, _xll.ciqfunctions.udf.CIQ(A3453, "IQ_TOTAL_DIV_PAID_CF",IQ_FY-9)/-I3453)</f>
        <v>0</v>
      </c>
      <c r="I3453" s="17">
        <f>IF(A3461=A3462,_xll.ciqfunctions.udf.CIQ(A3453,"IQ_TOTAL_OUTSTANDING_FILING_DATE",IQ_FY-10), _xll.ciqfunctions.udf.CIQ(A3453, "IQ_TOTAL_OUTSTANDING_FILING_DATE",IQ_FY-9))</f>
        <v>3.78267</v>
      </c>
      <c r="J3453" s="17">
        <f>IF(A3461=A3462,_xll.ciqfunctions.udf.CIQ(A3453,"IQ_CASH_OPER",IQ_FY-10), _xll.ciqfunctions.udf.CIQ(A3453, "IQ_CASH_OPER",IQ_FY-9))</f>
        <v>-8.6340000000000003</v>
      </c>
      <c r="K3453" s="17">
        <f>IF(A3461=A3462,_xll.ciqfunctions.udf.CIQ(A3453,"IQ_CAPEX",IQ_FY-10), _xll.ciqfunctions.udf.CIQ(A3453, "IQ_CAPEX",IQ_FY-9))</f>
        <v>-0.997</v>
      </c>
      <c r="L3453" s="15">
        <f t="shared" ref="L3453:L3463" si="920">(J3453+K3453)/I3453</f>
        <v>-2.5460851726426044</v>
      </c>
      <c r="M3453" s="17">
        <f>IF(A3461=A3462,_xll.ciqfunctions.udf.CIQ(A3453,"IQ_TOTAL_DEBT_ISSUED",IQ_FY-10), _xll.ciqfunctions.udf.CIQ(A3453, "IQ_TOTAL_DEBT_ISSUED",IQ_FY-9))</f>
        <v>2</v>
      </c>
      <c r="N3453" s="17">
        <f>IF(A3461=A3462,_xll.ciqfunctions.udf.CIQ(A3453,"IQ_TOTAL_DEBT_REPAID",IQ_FY-10), _xll.ciqfunctions.udf.CIQ(A3453, "IQ_TOTAL_DEBT_REPAID",IQ_FY-9))</f>
        <v>-2.2050000000000001</v>
      </c>
      <c r="O3453" s="15">
        <f t="shared" ref="O3453:O3463" si="921">(M3453+N3453)/I3453</f>
        <v>-5.4194523973806884E-2</v>
      </c>
      <c r="P3453" s="15">
        <f t="shared" ref="P3453:P3463" si="922">L3453+O3453</f>
        <v>-2.6002796966164112</v>
      </c>
      <c r="W3453" s="43"/>
      <c r="AA3453" s="43"/>
    </row>
    <row r="3454" spans="1:27">
      <c r="A3454" s="18" t="str">
        <f>_xll.ciqfunctions.udf.CIQ(A3453,"IQ_COMPANY_NAME")</f>
        <v>Instructure Holdings, Inc.</v>
      </c>
      <c r="B3454" s="13">
        <v>2</v>
      </c>
      <c r="C3454" s="14" t="s">
        <v>17</v>
      </c>
      <c r="D3454" s="15">
        <f>IF(A3461=A3462,_xll.ciqfunctions.udf.CIQ(A3453,"IQ_TOTAL_REV",IQ_FY-9)/I3454, _xll.ciqfunctions.udf.CIQ(A3453, "IQ_TOTAL_REV",IQ_FY-8)/I3454)</f>
        <v>7.0511923688394269</v>
      </c>
      <c r="E3454" s="16">
        <f t="shared" ref="E3454:E3463" si="923">(D3454-D3453)/D3453</f>
        <v>2.3693488306959727E-2</v>
      </c>
      <c r="F3454" s="15">
        <f>IF(A3461=A3462,_xll.ciqfunctions.udf.CIQ(A3453,"IQ_DILUT_EPS_EXCL",IQ_FY-9), _xll.ciqfunctions.udf.CIQ(A3453, "IQ_DILUT_EPS_EXCL",IQ_FY-8))</f>
        <v>-1E-4</v>
      </c>
      <c r="G3454" s="15">
        <f>IF(A3461=A3462,_xll.ciqfunctions.udf.CIQ(A3453,"IQ_EBITDA_MARGIN",IQ_FY-9), _xll.ciqfunctions.udf.CIQ(A3453, "IQ_EBITDA_MARGIN",IQ_FY-8))</f>
        <v>-83.146100000000004</v>
      </c>
      <c r="H3454" s="15">
        <f>IF(A3461=A3462,_xll.ciqfunctions.udf.CIQ(A3453,"IQ_TOTAL_DIV_PAID_CF",IQ_FY-9)/-I3454, _xll.ciqfunctions.udf.CIQ(A3453, "IQ_TOTAL_DIV_PAID_CF",IQ_FY-8)/-I3454)</f>
        <v>0</v>
      </c>
      <c r="I3454" s="17">
        <f>IF(A3461=A3462,_xll.ciqfunctions.udf.CIQ(A3453,"IQ_TOTAL_OUTSTANDING_FILING_DATE",IQ_FY-9), _xll.ciqfunctions.udf.CIQ(A3453, "IQ_TOTAL_OUTSTANDING_FILING_DATE",IQ_FY-8))</f>
        <v>6.29</v>
      </c>
      <c r="J3454" s="17">
        <f>IF(A3461=A3462,_xll.ciqfunctions.udf.CIQ(A3453,"IQ_CASH_OPER",IQ_FY-9), _xll.ciqfunctions.udf.CIQ(A3453, "IQ_CASH_OPER",IQ_FY-8))</f>
        <v>-20.395</v>
      </c>
      <c r="K3454" s="17">
        <f>IF(A3461=A3462,_xll.ciqfunctions.udf.CIQ(A3453,"IQ_CAPEX",IQ_FY-9), _xll.ciqfunctions.udf.CIQ(A3453, "IQ_CAPEX",IQ_FY-8))</f>
        <v>-2.44</v>
      </c>
      <c r="L3454" s="15">
        <f t="shared" si="920"/>
        <v>-3.6303656597774245</v>
      </c>
      <c r="M3454" s="17">
        <f>IF(A3461=A3462,_xll.ciqfunctions.udf.CIQ(A3453,"IQ_TOTAL_DEBT_ISSUED",IQ_FY-9), _xll.ciqfunctions.udf.CIQ(A3453, "IQ_TOTAL_DEBT_ISSUED",IQ_FY-8))</f>
        <v>0</v>
      </c>
      <c r="N3454" s="17">
        <f>IF(A3461=A3462,_xll.ciqfunctions.udf.CIQ(A3453,"IQ_TOTAL_DEBT_REPAID",IQ_FY-9), _xll.ciqfunctions.udf.CIQ(A3453, "IQ_TOTAL_DEBT_REPAID",IQ_FY-8))</f>
        <v>-0.27100000000000002</v>
      </c>
      <c r="O3454" s="15">
        <f t="shared" si="921"/>
        <v>-4.308426073131956E-2</v>
      </c>
      <c r="P3454" s="15">
        <f t="shared" si="922"/>
        <v>-3.6734499205087441</v>
      </c>
      <c r="Q3454" s="25" t="s">
        <v>18</v>
      </c>
      <c r="R3454" s="39" t="s">
        <v>19</v>
      </c>
      <c r="S3454" s="1">
        <f>R3452/((AVERAGE(P3458:P3463))*(1+E3464)^3)</f>
        <v>32.530981841740221</v>
      </c>
      <c r="U3454" s="25" t="s">
        <v>48</v>
      </c>
      <c r="V3454" s="39" t="s">
        <v>19</v>
      </c>
      <c r="W3454" s="1">
        <f>V3452/((AVERAGE(P3458:P3463))*(1+E3464)^3)</f>
        <v>32.530981841740221</v>
      </c>
      <c r="Y3454" s="25" t="s">
        <v>39</v>
      </c>
      <c r="Z3454" s="39" t="s">
        <v>19</v>
      </c>
      <c r="AA3454" s="1">
        <f>Z3452/((AVERAGE(P3458:P3463))*(1+E3464)^3)</f>
        <v>32.530981841740221</v>
      </c>
    </row>
    <row r="3455" spans="1:27">
      <c r="B3455" s="13">
        <v>3</v>
      </c>
      <c r="C3455" s="14" t="s">
        <v>20</v>
      </c>
      <c r="D3455" s="15" cm="1">
        <f t="array" ref="D3455">_xlfn.SINGLE(IF(A3461=A3462,_xll.ciqfunctions.udf.CIQ(A3453,"IQ_TOTAL_REV",IQ_FY-8)/I3455, _xll.ciqfunctions.udf.CIQ(A3453, "IQ_TOTAL_REV",IQ_FY-7)/I3455))</f>
        <v>2.674875763527139</v>
      </c>
      <c r="E3455" s="16">
        <f t="shared" si="923"/>
        <v>-0.62064915781507701</v>
      </c>
      <c r="F3455" s="15">
        <f>IF(A3461=A3462,_xll.ciqfunctions.udf.CIQ(A3453,"IQ_DILUT_EPS_EXCL",IQ_FY-8), _xll.ciqfunctions.udf.CIQ(A3453, "IQ_DILUT_EPS_EXCL",IQ_FY-7))</f>
        <v>-5.0000000000000002E-5</v>
      </c>
      <c r="G3455" s="15">
        <f>IF(A3461=A3462,_xll.ciqfunctions.udf.CIQ(A3453,"IQ_EBITDA_MARGIN",IQ_FY-8), _xll.ciqfunctions.udf.CIQ(A3453, "IQ_EBITDA_MARGIN",IQ_FY-7))</f>
        <v>-67.852099999999993</v>
      </c>
      <c r="H3455" s="15">
        <f>IF(A3461=A3462,_xll.ciqfunctions.udf.CIQ(A3453,"IQ_TOTAL_DIV_PAID_CF",IQ_FY-8)/-I3455, _xll.ciqfunctions.udf.CIQ(A3453, "IQ_TOTAL_DIV_PAID_CF",IQ_FY-7)/-I3455)</f>
        <v>0</v>
      </c>
      <c r="I3455" s="17">
        <f>IF(A3461=A3462,_xll.ciqfunctions.udf.CIQ(A3453,"IQ_TOTAL_OUTSTANDING_FILING_DATE",IQ_FY-8), _xll.ciqfunctions.udf.CIQ(A3453, "IQ_TOTAL_OUTSTANDING_FILING_DATE",IQ_FY-7))</f>
        <v>27.363140000000001</v>
      </c>
      <c r="J3455" s="17">
        <f>IF(A3461=A3462,_xll.ciqfunctions.udf.CIQ(A3453,"IQ_CASH_OPER",IQ_FY-8), _xll.ciqfunctions.udf.CIQ(A3453, "IQ_CASH_OPER",IQ_FY-7))</f>
        <v>-19.350999999999999</v>
      </c>
      <c r="K3455" s="17">
        <f>IF(A3461=A3462,_xll.ciqfunctions.udf.CIQ(A3453,"IQ_CAPEX",IQ_FY-8), _xll.ciqfunctions.udf.CIQ(A3453, "IQ_CAPEX",IQ_FY-7))</f>
        <v>-6.6959999999999997</v>
      </c>
      <c r="L3455" s="15">
        <f t="shared" si="920"/>
        <v>-0.95190098797140954</v>
      </c>
      <c r="M3455" s="17">
        <f>IF(A3461=A3462,_xll.ciqfunctions.udf.CIQ(A3453,"IQ_TOTAL_DEBT_ISSUED",IQ_FY-8), _xll.ciqfunctions.udf.CIQ(A3453, "IQ_TOTAL_DEBT_ISSUED",IQ_FY-7))</f>
        <v>0</v>
      </c>
      <c r="N3455" s="17">
        <f>IF(A3461=A3462,_xll.ciqfunctions.udf.CIQ(A3453,"IQ_TOTAL_DEBT_REPAID",IQ_FY-8), _xll.ciqfunctions.udf.CIQ(A3453, "IQ_TOTAL_DEBT_REPAID",IQ_FY-7))</f>
        <v>-0.223</v>
      </c>
      <c r="O3455" s="15">
        <f t="shared" si="921"/>
        <v>-8.1496494919808173E-3</v>
      </c>
      <c r="P3455" s="15">
        <f t="shared" si="922"/>
        <v>-0.96005063746339037</v>
      </c>
      <c r="Q3455" s="25" t="s">
        <v>21</v>
      </c>
      <c r="R3455" s="38" t="s">
        <v>49</v>
      </c>
      <c r="S3455" s="2">
        <f>(R3452*I3463)/1000</f>
        <v>3.7027747344000002</v>
      </c>
      <c r="U3455" s="25" t="s">
        <v>59</v>
      </c>
      <c r="V3455" s="38" t="s">
        <v>49</v>
      </c>
      <c r="W3455" s="2">
        <f>(V3452*I3463)/1000</f>
        <v>3.7027747344000002</v>
      </c>
      <c r="Y3455" s="25" t="s">
        <v>46</v>
      </c>
      <c r="Z3455" s="38" t="s">
        <v>49</v>
      </c>
      <c r="AA3455" s="2">
        <f>(Z3452*I3463)/1000</f>
        <v>3.7027747344000002</v>
      </c>
    </row>
    <row r="3456" spans="1:27">
      <c r="A3456" s="18"/>
      <c r="B3456" s="13">
        <v>4</v>
      </c>
      <c r="C3456" s="14" t="s">
        <v>22</v>
      </c>
      <c r="D3456" s="15" cm="1">
        <f t="array" ref="D3456">_xlfn.SINGLE(IF(A3461=A3462,_xll.ciqfunctions.udf.CIQ(A3453,"IQ_TOTAL_REV",IQ_FY-7)/I3456, _xll.ciqfunctions.udf.CIQ(A3453, "IQ_TOTAL_REV",IQ_FY-6)/I3456))</f>
        <v>3.92966747679107</v>
      </c>
      <c r="E3456" s="16">
        <f t="shared" si="923"/>
        <v>0.46910280109956964</v>
      </c>
      <c r="F3456" s="15">
        <f>IF(A3461=A3462,_xll.ciqfunctions.udf.CIQ(A3453,"IQ_DILUT_EPS_EXCL",IQ_FY-7), _xll.ciqfunctions.udf.CIQ(A3453, "IQ_DILUT_EPS_EXCL",IQ_FY-6))</f>
        <v>-1.0000000000000001E-5</v>
      </c>
      <c r="G3456" s="15">
        <f>IF(A3461=A3462,_xll.ciqfunctions.udf.CIQ(A3453,"IQ_EBITDA_MARGIN",IQ_FY-7), _xll.ciqfunctions.udf.CIQ(A3453, "IQ_EBITDA_MARGIN",IQ_FY-6))</f>
        <v>-39.771000000000001</v>
      </c>
      <c r="H3456" s="15">
        <f>IF(A3461=A3462,_xll.ciqfunctions.udf.CIQ(A3453,"IQ_TOTAL_DIV_PAID_CF",IQ_FY-7)/-I3456, _xll.ciqfunctions.udf.CIQ(A3453, "IQ_TOTAL_DIV_PAID_CF",IQ_FY-6)/-I3456)</f>
        <v>0</v>
      </c>
      <c r="I3456" s="17">
        <f>IF(A3461=A3462,_xll.ciqfunctions.udf.CIQ(A3453,"IQ_TOTAL_OUTSTANDING_FILING_DATE",IQ_FY-7), _xll.ciqfunctions.udf.CIQ(A3453, "IQ_TOTAL_OUTSTANDING_FILING_DATE",IQ_FY-6))</f>
        <v>28.658149999999999</v>
      </c>
      <c r="J3456" s="17">
        <f>IF(A3461=A3462,_xll.ciqfunctions.udf.CIQ(A3453,"IQ_CASH_OPER",IQ_FY-7), _xll.ciqfunctions.udf.CIQ(A3453, "IQ_CASH_OPER",IQ_FY-6))</f>
        <v>-21.608000000000001</v>
      </c>
      <c r="K3456" s="17">
        <f>IF(A3461=A3462,_xll.ciqfunctions.udf.CIQ(A3453,"IQ_CAPEX",IQ_FY-7), _xll.ciqfunctions.udf.CIQ(A3453, "IQ_CAPEX",IQ_FY-6))</f>
        <v>-7.0209999999999999</v>
      </c>
      <c r="L3456" s="15">
        <f t="shared" si="920"/>
        <v>-0.9989828373429549</v>
      </c>
      <c r="M3456" s="17">
        <f>IF(A3461=A3462,_xll.ciqfunctions.udf.CIQ(A3453,"IQ_TOTAL_DEBT_ISSUED",IQ_FY-7), _xll.ciqfunctions.udf.CIQ(A3453, "IQ_TOTAL_DEBT_ISSUED",IQ_FY-6))</f>
        <v>0</v>
      </c>
      <c r="N3456" s="17">
        <f>IF(A3461=A3462,_xll.ciqfunctions.udf.CIQ(A3453,"IQ_TOTAL_DEBT_REPAID",IQ_FY-7), _xll.ciqfunctions.udf.CIQ(A3453, "IQ_TOTAL_DEBT_REPAID",IQ_FY-6))</f>
        <v>0</v>
      </c>
      <c r="O3456" s="15">
        <f t="shared" si="921"/>
        <v>0</v>
      </c>
      <c r="P3456" s="15">
        <f t="shared" si="922"/>
        <v>-0.9989828373429549</v>
      </c>
      <c r="Q3456" s="25" t="s">
        <v>23</v>
      </c>
      <c r="R3456" s="38" t="s">
        <v>24</v>
      </c>
      <c r="S3456" s="1" t="e">
        <f>R3452/(AVERAGE(H3458:H3463)*(1+H3464)/(0.5-H3464))</f>
        <v>#DIV/0!</v>
      </c>
      <c r="U3456" s="25" t="s">
        <v>40</v>
      </c>
      <c r="V3456" s="38" t="s">
        <v>24</v>
      </c>
      <c r="W3456" s="1" t="e">
        <f>V3452/(AVERAGE(H3458:H3463)*(1+H3464)/(0.5-H3464))</f>
        <v>#DIV/0!</v>
      </c>
      <c r="Y3456" s="25" t="s">
        <v>47</v>
      </c>
      <c r="Z3456" s="38" t="s">
        <v>24</v>
      </c>
      <c r="AA3456" s="1" t="e">
        <f>Z3452/(AVERAGE(H3458:H3463)*(1+H3464)/(0.5-H3464))</f>
        <v>#DIV/0!</v>
      </c>
    </row>
    <row r="3457" spans="1:27">
      <c r="B3457" s="13">
        <v>5</v>
      </c>
      <c r="C3457" s="14" t="s">
        <v>25</v>
      </c>
      <c r="D3457" s="15" cm="1">
        <f t="array" ref="D3457">_xlfn.SINGLE(IF(A3461=A3462,_xll.ciqfunctions.udf.CIQ(A3453,"IQ_TOTAL_REV",IQ_FY-6)/I3457, _xll.ciqfunctions.udf.CIQ(A3453, "IQ_TOTAL_REV",IQ_FY-5)/I3457))</f>
        <v>5.1850346323915932</v>
      </c>
      <c r="E3457" s="16">
        <f t="shared" si="923"/>
        <v>0.31945887610461238</v>
      </c>
      <c r="F3457" s="15">
        <f>IF(A3461=A3462,_xll.ciqfunctions.udf.CIQ(A3453,"IQ_DILUT_EPS_EXCL",IQ_FY-6), _xll.ciqfunctions.udf.CIQ(A3453, "IQ_DILUT_EPS_EXCL",IQ_FY-5))</f>
        <v>-1.0000000000000001E-5</v>
      </c>
      <c r="G3457" s="15">
        <f>IF(A3461=A3462,_xll.ciqfunctions.udf.CIQ(A3453,"IQ_EBITDA_MARGIN",IQ_FY-6), _xll.ciqfunctions.udf.CIQ(A3453, "IQ_EBITDA_MARGIN",IQ_FY-5))</f>
        <v>-24.555900000000001</v>
      </c>
      <c r="H3457" s="15">
        <f>IF(A3461=A3462,_xll.ciqfunctions.udf.CIQ(A3453,"IQ_TOTAL_DIV_PAID_CF",IQ_FY-6)/-I3457, _xll.ciqfunctions.udf.CIQ(A3453, "IQ_TOTAL_DIV_PAID_CF",IQ_FY-5)/-I3457)</f>
        <v>0</v>
      </c>
      <c r="I3457" s="17">
        <f>IF(A3461=A3462,_xll.ciqfunctions.udf.CIQ(A3453,"IQ_TOTAL_OUTSTANDING_FILING_DATE",IQ_FY-6), _xll.ciqfunctions.udf.CIQ(A3453, "IQ_TOTAL_OUTSTANDING_FILING_DATE",IQ_FY-5))</f>
        <v>31.04608</v>
      </c>
      <c r="J3457" s="17">
        <f>IF(A3461=A3462,_xll.ciqfunctions.udf.CIQ(A3453,"IQ_CASH_OPER",IQ_FY-6), _xll.ciqfunctions.udf.CIQ(A3453, "IQ_CASH_OPER",IQ_FY-5))</f>
        <v>-21.129000000000001</v>
      </c>
      <c r="K3457" s="17">
        <f>IF(A3461=A3462,_xll.ciqfunctions.udf.CIQ(A3453,"IQ_CAPEX",IQ_FY-6), _xll.ciqfunctions.udf.CIQ(A3453, "IQ_CAPEX",IQ_FY-5))</f>
        <v>-15.75</v>
      </c>
      <c r="L3457" s="15">
        <f t="shared" si="920"/>
        <v>-1.1878794359867657</v>
      </c>
      <c r="M3457" s="17">
        <f>IF(A3461=A3462,_xll.ciqfunctions.udf.CIQ(A3453,"IQ_TOTAL_DEBT_ISSUED",IQ_FY-6), _xll.ciqfunctions.udf.CIQ(A3453, "IQ_TOTAL_DEBT_ISSUED",IQ_FY-5))</f>
        <v>0</v>
      </c>
      <c r="N3457" s="17">
        <f>IF(A3461=A3462,_xll.ciqfunctions.udf.CIQ(A3453,"IQ_TOTAL_DEBT_REPAID",IQ_FY-6), _xll.ciqfunctions.udf.CIQ(A3453, "IQ_TOTAL_DEBT_REPAID",IQ_FY-5))</f>
        <v>0</v>
      </c>
      <c r="O3457" s="15">
        <f t="shared" si="921"/>
        <v>0</v>
      </c>
      <c r="P3457" s="15">
        <f t="shared" si="922"/>
        <v>-1.1878794359867657</v>
      </c>
      <c r="Q3457" s="18"/>
      <c r="R3457" s="38" t="s">
        <v>50</v>
      </c>
      <c r="S3457" s="3">
        <f>I3464</f>
        <v>0.325176264552415</v>
      </c>
      <c r="U3457" s="18"/>
      <c r="V3457" s="38" t="s">
        <v>50</v>
      </c>
      <c r="W3457" s="3">
        <f>I3464</f>
        <v>0.325176264552415</v>
      </c>
      <c r="Y3457" s="18"/>
      <c r="Z3457" s="38" t="s">
        <v>50</v>
      </c>
      <c r="AA3457" s="3">
        <f>I3464</f>
        <v>0.325176264552415</v>
      </c>
    </row>
    <row r="3458" spans="1:27">
      <c r="B3458" s="13">
        <v>6</v>
      </c>
      <c r="C3458" s="14" t="s">
        <v>26</v>
      </c>
      <c r="D3458" s="15" cm="1">
        <f t="array" ref="D3458">_xlfn.SINGLE(IF(A3461=A3462,_xll.ciqfunctions.udf.CIQ(A3453,"IQ_TOTAL_REV",IQ_FY-5)/I3458, _xll.ciqfunctions.udf.CIQ(A3453, "IQ_TOTAL_REV",IQ_FY-4)/I3458))</f>
        <v>5.9181567922925913</v>
      </c>
      <c r="E3458" s="16">
        <f t="shared" si="923"/>
        <v>0.14139195046472544</v>
      </c>
      <c r="F3458" s="15">
        <f>IF(A3461=A3462,_xll.ciqfunctions.udf.CIQ(A3453,"IQ_DILUT_EPS_EXCL",IQ_FY-5), _xll.ciqfunctions.udf.CIQ(A3453, "IQ_DILUT_EPS_EXCL",IQ_FY-4))</f>
        <v>-1.0000000000000001E-5</v>
      </c>
      <c r="G3458" s="15">
        <f>IF(A3461=A3462,_xll.ciqfunctions.udf.CIQ(A3453,"IQ_EBITDA_MARGIN",IQ_FY-5), _xll.ciqfunctions.udf.CIQ(A3453, "IQ_EBITDA_MARGIN",IQ_FY-4))</f>
        <v>-18.5855</v>
      </c>
      <c r="H3458" s="15">
        <f>IF(A3461=A3462,_xll.ciqfunctions.udf.CIQ(A3453,"IQ_TOTAL_DIV_PAID_CF",IQ_FY-5)/-I3458, _xll.ciqfunctions.udf.CIQ(A3453, "IQ_TOTAL_DIV_PAID_CF",IQ_FY-4)/-I3458)</f>
        <v>0</v>
      </c>
      <c r="I3458" s="17">
        <f>IF(A3461=A3462,_xll.ciqfunctions.udf.CIQ(A3453,"IQ_TOTAL_OUTSTANDING_FILING_DATE",IQ_FY-5), _xll.ciqfunctions.udf.CIQ(A3453, "IQ_TOTAL_OUTSTANDING_FILING_DATE",IQ_FY-4))</f>
        <v>35.406970000000001</v>
      </c>
      <c r="J3458" s="17">
        <f>IF(A3461=A3462,_xll.ciqfunctions.udf.CIQ(A3453,"IQ_CASH_OPER",IQ_FY-5), _xll.ciqfunctions.udf.CIQ(A3453, "IQ_CASH_OPER",IQ_FY-4))</f>
        <v>9.8000000000000004E-2</v>
      </c>
      <c r="K3458" s="17">
        <f>IF(A3461=A3462,_xll.ciqfunctions.udf.CIQ(A3453,"IQ_CAPEX",IQ_FY-5), _xll.ciqfunctions.udf.CIQ(A3453, "IQ_CAPEX",IQ_FY-4))</f>
        <v>-11.132</v>
      </c>
      <c r="L3458" s="15">
        <f t="shared" si="920"/>
        <v>-0.31163355689571853</v>
      </c>
      <c r="M3458" s="17">
        <f>IF(A3461=A3462,_xll.ciqfunctions.udf.CIQ(A3453,"IQ_TOTAL_DEBT_ISSUED",IQ_FY-5), _xll.ciqfunctions.udf.CIQ(A3453, "IQ_TOTAL_DEBT_ISSUED",IQ_FY-4))</f>
        <v>0</v>
      </c>
      <c r="N3458" s="17">
        <f>IF(A3461=A3462,_xll.ciqfunctions.udf.CIQ(A3453,"IQ_TOTAL_DEBT_REPAID",IQ_FY-5), _xll.ciqfunctions.udf.CIQ(A3453, "IQ_TOTAL_DEBT_REPAID",IQ_FY-4))</f>
        <v>0</v>
      </c>
      <c r="O3458" s="15">
        <f t="shared" si="921"/>
        <v>0</v>
      </c>
      <c r="P3458" s="15">
        <f t="shared" si="922"/>
        <v>-0.31163355689571853</v>
      </c>
      <c r="Q3458" s="25" t="s">
        <v>27</v>
      </c>
      <c r="R3458" s="38" t="s">
        <v>51</v>
      </c>
      <c r="S3458" s="4">
        <f>AVERAGE(F3458:F3463)/AVERAGE(D3458:D3463)</f>
        <v>-0.21157424545456924</v>
      </c>
      <c r="U3458" s="25" t="s">
        <v>58</v>
      </c>
      <c r="V3458" s="38" t="s">
        <v>51</v>
      </c>
      <c r="W3458" s="4">
        <f>AVERAGE(F3458:F3463)/AVERAGE(D3458:D3463)</f>
        <v>-0.21157424545456924</v>
      </c>
      <c r="Y3458" s="25" t="s">
        <v>56</v>
      </c>
      <c r="Z3458" s="38" t="s">
        <v>51</v>
      </c>
      <c r="AA3458" s="4">
        <f>AVERAGE(F3458:F3463)/AVERAGE(D3458:D3463)</f>
        <v>-0.21157424545456924</v>
      </c>
    </row>
    <row r="3459" spans="1:27">
      <c r="A3459" s="18"/>
      <c r="B3459" s="13">
        <v>7</v>
      </c>
      <c r="C3459" s="14" t="s">
        <v>28</v>
      </c>
      <c r="D3459" s="15" cm="1">
        <f t="array" ref="D3459">_xlfn.SINGLE(IF(A3461=A3462,_xll.ciqfunctions.udf.CIQ(A3453,"IQ_TOTAL_REV",IQ_FY-4)/I3459, _xll.ciqfunctions.udf.CIQ(A3453, "IQ_TOTAL_REV",IQ_FY-3)/I3459))</f>
        <v>6.7551311037416886</v>
      </c>
      <c r="E3459" s="16">
        <f t="shared" si="923"/>
        <v>0.14142482884858953</v>
      </c>
      <c r="F3459" s="15">
        <f>IF(A3461=A3462,_xll.ciqfunctions.udf.CIQ(A3453,"IQ_DILUT_EPS_EXCL",IQ_FY-4), _xll.ciqfunctions.udf.CIQ(A3453, "IQ_DILUT_EPS_EXCL",IQ_FY-3))</f>
        <v>-2.19069</v>
      </c>
      <c r="G3459" s="15">
        <f>IF(A3461=A3462,_xll.ciqfunctions.udf.CIQ(A3453,"IQ_EBITDA_MARGIN",IQ_FY-4), _xll.ciqfunctions.udf.CIQ(A3453, "IQ_EBITDA_MARGIN",IQ_FY-3))</f>
        <v>-27.861999999999998</v>
      </c>
      <c r="H3459" s="15">
        <f>IF(A3461=A3462,_xll.ciqfunctions.udf.CIQ(A3453,"IQ_TOTAL_DIV_PAID_CF",IQ_FY-4)/-I3459, _xll.ciqfunctions.udf.CIQ(A3453, "IQ_TOTAL_DIV_PAID_CF",IQ_FY-3)/-I3459)</f>
        <v>0</v>
      </c>
      <c r="I3459" s="17">
        <f>IF(A3461=A3462,_xll.ciqfunctions.udf.CIQ(A3453,"IQ_TOTAL_OUTSTANDING_FILING_DATE",IQ_FY-4), _xll.ciqfunctions.udf.CIQ(A3453, "IQ_TOTAL_OUTSTANDING_FILING_DATE",IQ_FY-3))</f>
        <v>38.263210000000001</v>
      </c>
      <c r="J3459" s="17">
        <f>IF(A3461=A3462,_xll.ciqfunctions.udf.CIQ(A3453,"IQ_CASH_OPER",IQ_FY-4), _xll.ciqfunctions.udf.CIQ(A3453, "IQ_CASH_OPER",IQ_FY-3))</f>
        <v>18.861000000000001</v>
      </c>
      <c r="K3459" s="17">
        <f>IF(A3461=A3462,_xll.ciqfunctions.udf.CIQ(A3453,"IQ_CAPEX",IQ_FY-4), _xll.ciqfunctions.udf.CIQ(A3453, "IQ_CAPEX",IQ_FY-3))</f>
        <v>-10.243</v>
      </c>
      <c r="L3459" s="15">
        <f t="shared" si="920"/>
        <v>0.22522940443313563</v>
      </c>
      <c r="M3459" s="17">
        <f>IF(A3461=A3462,_xll.ciqfunctions.udf.CIQ(A3453,"IQ_TOTAL_DEBT_ISSUED",IQ_FY-4), _xll.ciqfunctions.udf.CIQ(A3453, "IQ_TOTAL_DEBT_ISSUED",IQ_FY-3))</f>
        <v>0</v>
      </c>
      <c r="N3459" s="17">
        <f>IF(A3461=A3462,_xll.ciqfunctions.udf.CIQ(A3453,"IQ_TOTAL_DEBT_REPAID",IQ_FY-4), _xll.ciqfunctions.udf.CIQ(A3453, "IQ_TOTAL_DEBT_REPAID",IQ_FY-3))</f>
        <v>0</v>
      </c>
      <c r="O3459" s="15">
        <f t="shared" si="921"/>
        <v>0</v>
      </c>
      <c r="P3459" s="15">
        <f t="shared" si="922"/>
        <v>0.22522940443313563</v>
      </c>
      <c r="Q3459" s="18"/>
      <c r="R3459" s="38" t="s">
        <v>29</v>
      </c>
      <c r="S3459" s="4">
        <f>(AVERAGE(P3458:P3463)/_xlfn.STDEV.P(P3458:P3463))/(IF(A3461=A3462,(_xlfn.SINGLE(_xll.ciqfunctions.udf.CIQ(A3453,"IQ_total_assets",IQ_FY)) - _xlfn.SINGLE(_xll.ciqfunctions.udf.CIQ(A3453,"iq_gw_intan", IQ_FY)))/I3463, (_xlfn.SINGLE(_xll.ciqfunctions.udf.CIQ(A3453, "IQ_total_assets",IQ_LTM))-_xlfn.SINGLE(_xll.ciqfunctions.udf.CIQ(A3453,"iq_gw_intan",IQ_LTM)))/I3463))</f>
        <v>0.1247915541116276</v>
      </c>
      <c r="U3459" s="18"/>
      <c r="V3459" s="38" t="s">
        <v>29</v>
      </c>
      <c r="W3459" s="4">
        <f>(AVERAGE(P3458:P3463)/_xlfn.STDEV.P(P3458:P3463))/(IF(A3461=A3462,(_xlfn.SINGLE(_xll.ciqfunctions.udf.CIQ(A3453,"IQ_total_assets",IQ_FY)) - _xlfn.SINGLE(_xll.ciqfunctions.udf.CIQ(A3453,"iq_gw_intan", IQ_FY)))/I3463, (_xlfn.SINGLE(_xll.ciqfunctions.udf.CIQ(A3453, "IQ_total_assets",IQ_LTM))-_xlfn.SINGLE(_xll.ciqfunctions.udf.CIQ(A3453,"iq_gw_intan",IQ_LTM)))/I3463))</f>
        <v>0.1247915541116276</v>
      </c>
      <c r="Y3459" s="18"/>
      <c r="Z3459" s="38" t="s">
        <v>29</v>
      </c>
      <c r="AA3459" s="4">
        <f>(AVERAGE(P3458:P3463)/_xlfn.STDEV.P(P3458:P3463))/(IF(A3461=A3462,(_xlfn.SINGLE(_xll.ciqfunctions.udf.CIQ(A3453,"IQ_total_assets",IQ_FY)) - _xlfn.SINGLE(_xll.ciqfunctions.udf.CIQ(A3453,"iq_gw_intan", IQ_FY)))/I3463, (_xlfn.SINGLE(_xll.ciqfunctions.udf.CIQ(A3453, "IQ_total_assets",IQ_LTM))-_xlfn.SINGLE(_xll.ciqfunctions.udf.CIQ(A3453,"iq_gw_intan",IQ_LTM)))/I3463))</f>
        <v>0.1247915541116276</v>
      </c>
    </row>
    <row r="3460" spans="1:27">
      <c r="A3460" s="18"/>
      <c r="B3460" s="13">
        <v>8</v>
      </c>
      <c r="C3460" s="14" t="s">
        <v>30</v>
      </c>
      <c r="D3460" s="15" cm="1">
        <f t="array" ref="D3460">_xlfn.SINGLE(IF(A3461=A3462,_xll.ciqfunctions.udf.CIQ(A3453,"IQ_TOTAL_REV",IQ_FY-3)/I3460, _xll.ciqfunctions.udf.CIQ(A3453, "IQ_TOTAL_REV",IQ_FY-2)/I3460))</f>
        <v>2.3927632342948528</v>
      </c>
      <c r="E3460" s="16">
        <f t="shared" si="923"/>
        <v>-0.64578581858026496</v>
      </c>
      <c r="F3460" s="15">
        <f>IF(A3461=A3462,_xll.ciqfunctions.udf.CIQ(A3453,"IQ_DILUT_EPS_EXCL",IQ_FY-3), _xll.ciqfunctions.udf.CIQ(A3453, "IQ_DILUT_EPS_EXCL",IQ_FY-2))</f>
        <v>-1.9176800000000001</v>
      </c>
      <c r="G3460" s="15">
        <f>IF(A3461=A3462,_xll.ciqfunctions.udf.CIQ(A3453,"IQ_EBITDA_MARGIN",IQ_FY-3), _xll.ciqfunctions.udf.CIQ(A3453, "IQ_EBITDA_MARGIN",IQ_FY-2))</f>
        <v>-3.8283</v>
      </c>
      <c r="H3460" s="15">
        <f>IF(A3461=A3462,_xll.ciqfunctions.udf.CIQ(A3453,"IQ_TOTAL_DIV_PAID_CF",IQ_FY-3)/-I3460, _xll.ciqfunctions.udf.CIQ(A3453, "IQ_TOTAL_DIV_PAID_CF",IQ_FY-2)/-I3460)</f>
        <v>0</v>
      </c>
      <c r="I3460" s="17">
        <f>IF(A3461=A3462,_xll.ciqfunctions.udf.CIQ(A3453,"IQ_TOTAL_OUTSTANDING_FILING_DATE",IQ_FY-3), _xll.ciqfunctions.udf.CIQ(A3453, "IQ_TOTAL_OUTSTANDING_FILING_DATE",IQ_FY-2))</f>
        <v>126.23981999999999</v>
      </c>
      <c r="J3460" s="17">
        <f>IF(A3461=A3462,_xll.ciqfunctions.udf.CIQ(A3453,"IQ_CASH_OPER",IQ_FY-3), _xll.ciqfunctions.udf.CIQ(A3453, "IQ_CASH_OPER",IQ_FY-2))</f>
        <v>-20.173999999999999</v>
      </c>
      <c r="K3460" s="17">
        <f>IF(A3461=A3462,_xll.ciqfunctions.udf.CIQ(A3453,"IQ_CAPEX",IQ_FY-3), _xll.ciqfunctions.udf.CIQ(A3453, "IQ_CAPEX",IQ_FY-2))</f>
        <v>-2.3660000000000001</v>
      </c>
      <c r="L3460" s="15">
        <f t="shared" si="920"/>
        <v>-0.1785490505293813</v>
      </c>
      <c r="M3460" s="17">
        <f>IF(A3461=A3462,_xll.ciqfunctions.udf.CIQ(A3453,"IQ_TOTAL_DEBT_ISSUED",IQ_FY-3), _xll.ciqfunctions.udf.CIQ(A3453, "IQ_TOTAL_DEBT_ISSUED",IQ_FY-2))</f>
        <v>830.72900000000004</v>
      </c>
      <c r="N3460" s="17">
        <f>IF(A3461=A3462,_xll.ciqfunctions.udf.CIQ(A3453,"IQ_TOTAL_DEBT_REPAID",IQ_FY-3), _xll.ciqfunctions.udf.CIQ(A3453, "IQ_TOTAL_DEBT_REPAID",IQ_FY-2))</f>
        <v>-5.8129999999999997</v>
      </c>
      <c r="O3460" s="15">
        <f t="shared" si="921"/>
        <v>6.5345150206963227</v>
      </c>
      <c r="P3460" s="15">
        <f t="shared" si="922"/>
        <v>6.3559659701669418</v>
      </c>
      <c r="Q3460" s="18"/>
      <c r="R3460" s="39" t="s">
        <v>31</v>
      </c>
      <c r="S3460" s="5">
        <f>IF(NOT(D3453&gt;0),FALSE,SLOPE(G3453:G3463,B3453:B3463))</f>
        <v>12.236152727272728</v>
      </c>
      <c r="U3460" s="18"/>
      <c r="V3460" s="39" t="s">
        <v>31</v>
      </c>
      <c r="W3460" s="5">
        <f>IF(NOT(D3453&gt;0),FALSE,SLOPE(G3453:G3463,B3453:B3463))</f>
        <v>12.236152727272728</v>
      </c>
      <c r="Y3460" s="18"/>
      <c r="Z3460" s="39" t="s">
        <v>31</v>
      </c>
      <c r="AA3460" s="5" t="b">
        <f>IF(NOT(L3453&gt;0),FALSE,SLOPE(O3453:O3463,J3453:J3463))</f>
        <v>0</v>
      </c>
    </row>
    <row r="3461" spans="1:27">
      <c r="A3461" s="19">
        <f>_xll.ciqfunctions.udf.CIQ(A3453,"IQ_TOTAL_REV",IQ_FY)</f>
        <v>475.19400000000002</v>
      </c>
      <c r="B3461" s="13">
        <v>9</v>
      </c>
      <c r="C3461" s="14" t="s">
        <v>32</v>
      </c>
      <c r="D3461" s="15" cm="1">
        <f t="array" ref="D3461">_xlfn.SINGLE(IF(A3461=A3462,_xll.ciqfunctions.udf.CIQ(A3453,"IQ_TOTAL_REV",IQ_FY-2)/I3461, _xll.ciqfunctions.udf.CIQ(A3453, "IQ_TOTAL_REV",IQ_FY-1)/I3461))</f>
        <v>2.8802000730848256</v>
      </c>
      <c r="E3461" s="16">
        <f t="shared" si="923"/>
        <v>0.20371294234367504</v>
      </c>
      <c r="F3461" s="15">
        <f>IF(A3461=A3462,_xll.ciqfunctions.udf.CIQ(A3453,"IQ_DILUT_EPS_EXCL",IQ_FY-2), _xll.ciqfunctions.udf.CIQ(A3453, "IQ_DILUT_EPS_EXCL",IQ_FY-1))</f>
        <v>-0.67</v>
      </c>
      <c r="G3461" s="15">
        <f>IF(A3461=A3462,_xll.ciqfunctions.udf.CIQ(A3453,"IQ_EBITDA_MARGIN",IQ_FY-2), _xll.ciqfunctions.udf.CIQ(A3453, "IQ_EBITDA_MARGIN",IQ_FY-1))</f>
        <v>27.538900000000002</v>
      </c>
      <c r="H3461" s="15">
        <f>IF(A3461=A3462,_xll.ciqfunctions.udf.CIQ(A3453,"IQ_TOTAL_DIV_PAID_CF",IQ_FY-2)/-I3461, _xll.ciqfunctions.udf.CIQ(A3453, "IQ_TOTAL_DIV_PAID_CF",IQ_FY-1)/-I3461)</f>
        <v>6.6079027532714987E-3</v>
      </c>
      <c r="I3461" s="17">
        <f>IF(A3461=A3462,_xll.ciqfunctions.udf.CIQ(A3453,"IQ_TOTAL_OUTSTANDING_FILING_DATE",IQ_FY-2), _xll.ciqfunctions.udf.CIQ(A3453, "IQ_TOTAL_OUTSTANDING_FILING_DATE",IQ_FY-1))</f>
        <v>140.74056999999999</v>
      </c>
      <c r="J3461" s="17">
        <f>IF(A3461=A3462,_xll.ciqfunctions.udf.CIQ(A3453,"IQ_CASH_OPER",IQ_FY-2), _xll.ciqfunctions.udf.CIQ(A3453, "IQ_CASH_OPER",IQ_FY-1))</f>
        <v>105.143</v>
      </c>
      <c r="K3461" s="17">
        <f>IF(A3461=A3462,_xll.ciqfunctions.udf.CIQ(A3453,"IQ_CAPEX",IQ_FY-2), _xll.ciqfunctions.udf.CIQ(A3453, "IQ_CAPEX",IQ_FY-1))</f>
        <v>-4.2590000000000003</v>
      </c>
      <c r="L3461" s="15">
        <f t="shared" si="920"/>
        <v>0.71680823802262561</v>
      </c>
      <c r="M3461" s="17">
        <f>IF(A3461=A3462,_xll.ciqfunctions.udf.CIQ(A3453,"IQ_TOTAL_DEBT_ISSUED",IQ_FY-2), _xll.ciqfunctions.udf.CIQ(A3453, "IQ_TOTAL_DEBT_ISSUED",IQ_FY-1))</f>
        <v>493.09</v>
      </c>
      <c r="N3461" s="17">
        <f>IF(A3461=A3462,_xll.ciqfunctions.udf.CIQ(A3453,"IQ_TOTAL_DEBT_REPAID",IQ_FY-2), _xll.ciqfunctions.udf.CIQ(A3453, "IQ_TOTAL_DEBT_REPAID",IQ_FY-1))</f>
        <v>-839.18700000000001</v>
      </c>
      <c r="O3461" s="15">
        <f t="shared" si="921"/>
        <v>-2.4591132464505443</v>
      </c>
      <c r="P3461" s="15">
        <f t="shared" si="922"/>
        <v>-1.7423050084279188</v>
      </c>
      <c r="Q3461" s="25" t="s">
        <v>33</v>
      </c>
      <c r="R3461" s="38" t="s">
        <v>52</v>
      </c>
      <c r="S3461" s="4">
        <f>(AVERAGE(O3458:O3463)/AVERAGE(P3458:P3463))</f>
        <v>0.63025177918123643</v>
      </c>
      <c r="U3461" s="25" t="s">
        <v>54</v>
      </c>
      <c r="V3461" s="38" t="s">
        <v>52</v>
      </c>
      <c r="W3461" s="4">
        <f>(AVERAGE(O3458:O3463)/AVERAGE(P3458:P3463))</f>
        <v>0.63025177918123643</v>
      </c>
      <c r="Y3461" s="25" t="s">
        <v>60</v>
      </c>
      <c r="Z3461" s="38" t="s">
        <v>52</v>
      </c>
      <c r="AA3461" s="4">
        <f>(AVERAGE(O3458:O3463)/AVERAGE(P3458:P3463))</f>
        <v>0.63025177918123643</v>
      </c>
    </row>
    <row r="3462" spans="1:27">
      <c r="A3462" s="19">
        <f>_xll.ciqfunctions.udf.CIQ(A3453,"IQ_TOTAL_REV",IQ_LTM)</f>
        <v>519.55999999999995</v>
      </c>
      <c r="B3462" s="13">
        <v>10</v>
      </c>
      <c r="C3462" s="14" t="s">
        <v>34</v>
      </c>
      <c r="D3462" s="15" cm="1">
        <f t="array" ref="D3462">_xlfn.SINGLE(IF(A3461=A3462,_xll.ciqfunctions.udf.CIQ(A3453,"IQ_TOTAL_REV",IQ_FY-1)/I3462, _xll.ciqfunctions.udf.CIQ(A3453, "IQ_TOTAL_REV",IQ_FY)/I3462))</f>
        <v>3.324962978532727</v>
      </c>
      <c r="E3462" s="16">
        <f t="shared" si="923"/>
        <v>0.15442083680372248</v>
      </c>
      <c r="F3462" s="15">
        <f>IF(A3461=A3462,_xll.ciqfunctions.udf.CIQ(A3453,"IQ_DILUT_EPS_EXCL",IQ_FY-1), _xll.ciqfunctions.udf.CIQ(A3453, "IQ_DILUT_EPS_EXCL",IQ_FY))</f>
        <v>-0.24146000000000001</v>
      </c>
      <c r="G3462" s="15">
        <f>IF(A3461=A3462,_xll.ciqfunctions.udf.CIQ(A3453,"IQ_EBITDA_MARGIN",IQ_FY-1), _xll.ciqfunctions.udf.CIQ(A3453, "IQ_EBITDA_MARGIN",IQ_FY))</f>
        <v>28.689900000000002</v>
      </c>
      <c r="H3462" s="15">
        <f>IF(A3461=A3462,_xll.ciqfunctions.udf.CIQ(A3453,"IQ_TOTAL_DIV_PAID_CF",IQ_FY-1)/-I3462, _xll.ciqfunctions.udf.CIQ(A3453, "IQ_TOTAL_DIV_PAID_CF",IQ_FY)/-I3462)</f>
        <v>0</v>
      </c>
      <c r="I3462" s="17">
        <f>IF(A3461=A3462,_xll.ciqfunctions.udf.CIQ(A3453,"IQ_TOTAL_OUTSTANDING_FILING_DATE",IQ_FY-1), _xll.ciqfunctions.udf.CIQ(A3453, "IQ_TOTAL_OUTSTANDING_FILING_DATE",IQ_FY))</f>
        <v>142.91708</v>
      </c>
      <c r="J3462" s="17">
        <f>IF(A3461=A3462,_xll.ciqfunctions.udf.CIQ(A3453,"IQ_CASH_OPER",IQ_FY-1), _xll.ciqfunctions.udf.CIQ(A3453, "IQ_CASH_OPER",IQ_FY))</f>
        <v>140.27099999999999</v>
      </c>
      <c r="K3462" s="17">
        <f>IF(A3461=A3462,_xll.ciqfunctions.udf.CIQ(A3453,"IQ_CAPEX",IQ_FY-1), _xll.ciqfunctions.udf.CIQ(A3453, "IQ_CAPEX",IQ_FY))</f>
        <v>-6.3209999999999997</v>
      </c>
      <c r="L3462" s="15">
        <f t="shared" si="920"/>
        <v>0.93725676455186457</v>
      </c>
      <c r="M3462" s="17">
        <f>IF(A3461=A3462,_xll.ciqfunctions.udf.CIQ(A3453,"IQ_TOTAL_DEBT_ISSUED",IQ_FY-1), _xll.ciqfunctions.udf.CIQ(A3453, "IQ_TOTAL_DEBT_ISSUED",IQ_FY))</f>
        <v>0</v>
      </c>
      <c r="N3462" s="17">
        <f>IF(A3461=A3462,_xll.ciqfunctions.udf.CIQ(A3453,"IQ_TOTAL_DEBT_REPAID",IQ_FY-1), _xll.ciqfunctions.udf.CIQ(A3453, "IQ_TOTAL_DEBT_REPAID",IQ_FY))</f>
        <v>-3.75</v>
      </c>
      <c r="O3462" s="15">
        <f t="shared" si="921"/>
        <v>-2.6238991168865192E-2</v>
      </c>
      <c r="P3462" s="15">
        <f t="shared" si="922"/>
        <v>0.91101777338299939</v>
      </c>
      <c r="Q3462" s="25" t="s">
        <v>44</v>
      </c>
      <c r="R3462" s="38" t="s">
        <v>35</v>
      </c>
      <c r="S3462" s="1">
        <f>_xll.ciqfunctions.udf.CIQ(A3453,"IQ_TEV_EBITDA")</f>
        <v>23.15896</v>
      </c>
      <c r="U3462" s="25" t="s">
        <v>55</v>
      </c>
      <c r="V3462" s="38" t="s">
        <v>53</v>
      </c>
      <c r="W3462" s="1">
        <f>V3452/(AVERAGE(D3458:D3463)/_xlfn.STDEV.P(E3458:E3463))</f>
        <v>1.831707630665488</v>
      </c>
      <c r="Y3462" s="25" t="s">
        <v>57</v>
      </c>
      <c r="Z3462" s="38" t="s">
        <v>53</v>
      </c>
      <c r="AA3462" s="1">
        <f>Z3452/(AVERAGE(D3458:D3463)/_xlfn.STDEV.P(E3458:E3463))</f>
        <v>1.831707630665488</v>
      </c>
    </row>
    <row r="3463" spans="1:27">
      <c r="B3463" s="13">
        <v>11</v>
      </c>
      <c r="C3463" s="20" t="s">
        <v>36</v>
      </c>
      <c r="D3463" s="21" cm="1">
        <f t="array" ref="D3463">_xlfn.SINGLE(IF(A3461=A3462,_xll.ciqfunctions.udf.CIQ(A3453,"IQ_TOTAL_REV",IQ_FY)/I3463, _xll.ciqfunctions.udf.CIQ(A3453, "IQ_TOTAL_REV",IQ_LTM)/I3463))</f>
        <v>3.5906965326515921</v>
      </c>
      <c r="E3463" s="22">
        <f t="shared" si="923"/>
        <v>7.9920755760153034E-2</v>
      </c>
      <c r="F3463" s="21">
        <f>IF(A3461=A3462,_xll.ciqfunctions.udf.CIQ(A3453,"IQ_DILUT_EPS_EXCL",IQ_FY), _xll.ciqfunctions.udf.CIQ(A3453, "IQ_DILUT_EPS_EXCL",IQ_LTM))</f>
        <v>-0.24030000000000001</v>
      </c>
      <c r="G3463" s="21">
        <f>IF(A3461=A3462,_xll.ciqfunctions.udf.CIQ(A3453,"IQ_EBITDA_MARGIN",IQ_FY), _xll.ciqfunctions.udf.CIQ(A3453, "IQ_EBITDA_MARGIN",IQ_LTM))</f>
        <v>30.610700000000001</v>
      </c>
      <c r="H3463" s="21">
        <f>IF(A3461=A3462,_xll.ciqfunctions.udf.CIQ(A3453,"IQ_TOTAL_DIV_PAID_CF",IQ_FY)/-I3463, _xll.ciqfunctions.udf.CIQ(A3453, "IQ_TOTAL_DIV_PAID_CF",IQ_LTM)/-I3463)</f>
        <v>0</v>
      </c>
      <c r="I3463" s="23">
        <f>IF(A3461=A3462,_xll.ciqfunctions.udf.CIQ(A3453,"IQ_TOTAL_OUTSTANDING_FILING_DATE",IQ_FY),_xll.ciqfunctions.udf.CIQ(A3453,"IQ_sharesoutstanding"))</f>
        <v>144.69615999999999</v>
      </c>
      <c r="J3463" s="23">
        <f>IF(A3461=A3462,_xll.ciqfunctions.udf.CIQ(A3453,"IQ_CASH_OPER",IQ_FY), _xll.ciqfunctions.udf.CIQ(A3453, "IQ_CASH_OPER",IQ_LTM))</f>
        <v>145.845</v>
      </c>
      <c r="K3463" s="23">
        <f>IF(A3461=A3462,_xll.ciqfunctions.udf.CIQ(A3453,"IQ_CAPEX",IQ_FY), _xll.ciqfunctions.udf.CIQ(A3453, "IQ_CAPEX",IQ_LTM))</f>
        <v>-6.05</v>
      </c>
      <c r="L3463" s="21">
        <f t="shared" si="920"/>
        <v>0.96612791935874454</v>
      </c>
      <c r="M3463" s="23">
        <f>IF(A3461=A3462,_xll.ciqfunctions.udf.CIQ(A3453,"IQ_TOTAL_DEBT_ISSUED",IQ_FY), _xll.ciqfunctions.udf.CIQ(A3453, "IQ_TOTAL_DEBT_ISSUED",IQ_LTM))</f>
        <v>0</v>
      </c>
      <c r="N3463" s="23">
        <f>IF(A3461=A3462,_xll.ciqfunctions.udf.CIQ(A3453,"IQ_TOTAL_DEBT_REPAID",IQ_FY), _xll.ciqfunctions.udf.CIQ(A3453, "IQ_TOTAL_DEBT_REPAID",IQ_LTM))</f>
        <v>-5</v>
      </c>
      <c r="O3463" s="21">
        <f t="shared" si="921"/>
        <v>-3.4555167186192087E-2</v>
      </c>
      <c r="P3463" s="21">
        <f t="shared" si="922"/>
        <v>0.93157275217255242</v>
      </c>
      <c r="Q3463" s="25" t="s">
        <v>45</v>
      </c>
      <c r="S3463" s="45"/>
      <c r="U3463" s="25"/>
      <c r="W3463" s="45"/>
      <c r="Y3463" s="25"/>
      <c r="AA3463" s="45"/>
    </row>
    <row r="3464" spans="1:27">
      <c r="B3464" s="24"/>
      <c r="C3464" s="25" t="s">
        <v>37</v>
      </c>
      <c r="E3464" s="26">
        <f>((D3463/D3458)^(1/5))-1</f>
        <v>-9.5104461276159791E-2</v>
      </c>
      <c r="F3464" s="27">
        <f>((F3463/F3458)^(1/5))-1</f>
        <v>6.5188384586535868</v>
      </c>
      <c r="G3464" s="28"/>
      <c r="H3464" s="27" t="e">
        <f>((H3463/H3458)^(1/5))-1</f>
        <v>#DIV/0!</v>
      </c>
      <c r="I3464" s="27">
        <f>((I3463/I3458)^(1/5))-1</f>
        <v>0.325176264552415</v>
      </c>
      <c r="J3464" s="27"/>
      <c r="K3464" s="27"/>
      <c r="L3464" s="26">
        <f>((L3463/L3458)^(1/5))-1</f>
        <v>-2.2539438310040865</v>
      </c>
      <c r="M3464" s="26"/>
      <c r="N3464" s="26"/>
      <c r="O3464" s="26"/>
      <c r="P3464" s="26">
        <f>((P3463/P3458)^(1/5))-1</f>
        <v>-2.2448428010763877</v>
      </c>
      <c r="Q3464" s="18"/>
      <c r="R3464" s="36"/>
      <c r="S3464" s="45"/>
      <c r="U3464" s="18"/>
      <c r="V3464" s="36"/>
      <c r="W3464" s="45"/>
      <c r="Y3464" s="18"/>
      <c r="Z3464" s="36"/>
      <c r="AA3464" s="45"/>
    </row>
    <row r="3465" spans="1:27">
      <c r="A3465" s="29"/>
      <c r="B3465" s="30"/>
      <c r="C3465" s="31" t="s">
        <v>38</v>
      </c>
      <c r="D3465" s="29"/>
      <c r="E3465" s="32">
        <f>((D3463/D3453)^(1/10))-1</f>
        <v>-6.3066843899823755E-2</v>
      </c>
      <c r="F3465" s="33">
        <f>((F3463/F3453)^(1/10))-1</f>
        <v>1.1780877731275243</v>
      </c>
      <c r="G3465" s="34"/>
      <c r="H3465" s="33" t="e">
        <f>((H3463/H3453)^(1/10))-1</f>
        <v>#DIV/0!</v>
      </c>
      <c r="I3465" s="33">
        <f>((I3463/I3453)^(1/10))-1</f>
        <v>0.4396796140828596</v>
      </c>
      <c r="J3465" s="33"/>
      <c r="K3465" s="33"/>
      <c r="L3465" s="32" t="e">
        <f>((L3463/L3453)^(1/10))-1</f>
        <v>#NUM!</v>
      </c>
      <c r="M3465" s="32"/>
      <c r="N3465" s="32"/>
      <c r="O3465" s="32"/>
      <c r="P3465" s="32" t="e">
        <f>((P3463/P3453)^(1/10))-1</f>
        <v>#NUM!</v>
      </c>
      <c r="Q3465" s="40"/>
      <c r="R3465" s="41"/>
      <c r="S3465" s="46"/>
      <c r="U3465" s="40"/>
      <c r="V3465" s="41"/>
      <c r="W3465" s="46"/>
      <c r="Y3465" s="40"/>
      <c r="Z3465" s="41"/>
      <c r="AA3465" s="46"/>
    </row>
    <row r="3466" spans="1:27">
      <c r="B3466" s="24"/>
      <c r="C3466" s="25"/>
      <c r="E3466" s="26"/>
      <c r="F3466" s="27"/>
      <c r="G3466" s="28"/>
      <c r="H3466" s="27"/>
      <c r="I3466" s="27"/>
      <c r="J3466" s="27"/>
      <c r="K3466" s="27"/>
      <c r="L3466" s="26"/>
      <c r="M3466" s="17"/>
      <c r="N3466" s="17"/>
      <c r="O3466" s="17"/>
      <c r="P3466" s="35"/>
      <c r="Q3466" s="18"/>
      <c r="R3466" s="36"/>
    </row>
    <row r="3467" spans="1:27">
      <c r="A3467" s="9" t="s">
        <v>0</v>
      </c>
      <c r="B3467" s="10"/>
      <c r="C3467" s="9" t="s">
        <v>1</v>
      </c>
      <c r="D3467" s="9" t="s">
        <v>2</v>
      </c>
      <c r="E3467" s="9" t="s">
        <v>3</v>
      </c>
      <c r="F3467" s="11" t="s">
        <v>4</v>
      </c>
      <c r="G3467" s="11" t="s">
        <v>5</v>
      </c>
      <c r="H3467" s="9" t="s">
        <v>6</v>
      </c>
      <c r="I3467" s="11" t="s">
        <v>7</v>
      </c>
      <c r="J3467" s="11" t="s">
        <v>8</v>
      </c>
      <c r="K3467" s="11" t="s">
        <v>9</v>
      </c>
      <c r="L3467" s="11" t="s">
        <v>10</v>
      </c>
      <c r="M3467" s="11" t="s">
        <v>11</v>
      </c>
      <c r="N3467" s="11" t="s">
        <v>12</v>
      </c>
      <c r="O3467" s="11" t="s">
        <v>13</v>
      </c>
      <c r="P3467" s="11" t="s">
        <v>14</v>
      </c>
      <c r="Q3467" s="37" t="s">
        <v>15</v>
      </c>
      <c r="R3467" s="42">
        <f>_xll.ciqfunctions.udf.CIQ(A3468,("IQ_LASTSALEPRICE"))</f>
        <v>8.25</v>
      </c>
      <c r="S3467" s="44"/>
      <c r="U3467" s="37" t="s">
        <v>15</v>
      </c>
      <c r="V3467" s="42">
        <f>_xll.ciqfunctions.udf.CIQ(A3468,("IQ_LASTSALEPRICE"))</f>
        <v>8.25</v>
      </c>
      <c r="W3467" s="44"/>
      <c r="Y3467" s="37" t="s">
        <v>15</v>
      </c>
      <c r="Z3467" s="42">
        <f>_xll.ciqfunctions.udf.CIQ(A3468,("IQ_LASTSALEPRICE"))</f>
        <v>8.25</v>
      </c>
      <c r="AA3467" s="44"/>
    </row>
    <row r="3468" spans="1:27">
      <c r="A3468" s="12" t="str">
        <f>Analysis!B233</f>
        <v>NYSE:ZUO</v>
      </c>
      <c r="B3468" s="13">
        <v>1</v>
      </c>
      <c r="C3468" s="14" t="s">
        <v>16</v>
      </c>
      <c r="D3468" s="15" t="e">
        <f>IF(A3476=A3477,_xll.ciqfunctions.udf.CIQ(A3468,"IQ_TOTAL_REV",IQ_FY-10)/I3468,_xll.ciqfunctions.udf.CIQ(A3468, "IQ_TOTAL_REV",IQ_FY-9)/I3468)</f>
        <v>#DIV/0!</v>
      </c>
      <c r="E3468" s="16"/>
      <c r="F3468" s="15">
        <f>IF(A3476=A3477,_xll.ciqfunctions.udf.CIQ(A3468,"IQ_DILUT_EPS_EXCL",IQ_FY-10), _xll.ciqfunctions.udf.CIQ(A3468, "IQ_DILUT_EPS_EXCL",IQ_FY-9))</f>
        <v>0</v>
      </c>
      <c r="G3468" s="15">
        <f>IF(A3476=A3477,_xll.ciqfunctions.udf.CIQ(A3468,"IQ_EBITDA_MARGIN",IQ_FY-10), _xll.ciqfunctions.udf.CIQ(A3468, "IQ_EBITDA_MARGIN",IQ_FY-9))</f>
        <v>0</v>
      </c>
      <c r="H3468" s="15" t="e">
        <f>IF(A3476=A3477,_xll.ciqfunctions.udf.CIQ(A3468,"IQ_TOTAL_DIV_PAID_CF",IQ_FY-10)/-I3468, _xll.ciqfunctions.udf.CIQ(A3468, "IQ_TOTAL_DIV_PAID_CF",IQ_FY-9)/-I3468)</f>
        <v>#DIV/0!</v>
      </c>
      <c r="I3468" s="17">
        <f>IF(A3476=A3477,_xll.ciqfunctions.udf.CIQ(A3468,"IQ_TOTAL_OUTSTANDING_FILING_DATE",IQ_FY-10), _xll.ciqfunctions.udf.CIQ(A3468, "IQ_TOTAL_OUTSTANDING_FILING_DATE",IQ_FY-9))</f>
        <v>0</v>
      </c>
      <c r="J3468" s="17">
        <f>IF(A3476=A3477,_xll.ciqfunctions.udf.CIQ(A3468,"IQ_CASH_OPER",IQ_FY-10), _xll.ciqfunctions.udf.CIQ(A3468, "IQ_CASH_OPER",IQ_FY-9))</f>
        <v>0</v>
      </c>
      <c r="K3468" s="17">
        <f>IF(A3476=A3477,_xll.ciqfunctions.udf.CIQ(A3468,"IQ_CAPEX",IQ_FY-10), _xll.ciqfunctions.udf.CIQ(A3468, "IQ_CAPEX",IQ_FY-9))</f>
        <v>0</v>
      </c>
      <c r="L3468" s="15" t="e">
        <f t="shared" ref="L3468:L3478" si="924">(J3468+K3468)/I3468</f>
        <v>#DIV/0!</v>
      </c>
      <c r="M3468" s="17">
        <f>IF(A3476=A3477,_xll.ciqfunctions.udf.CIQ(A3468,"IQ_TOTAL_DEBT_ISSUED",IQ_FY-10), _xll.ciqfunctions.udf.CIQ(A3468, "IQ_TOTAL_DEBT_ISSUED",IQ_FY-9))</f>
        <v>0</v>
      </c>
      <c r="N3468" s="17">
        <f>IF(A3476=A3477,_xll.ciqfunctions.udf.CIQ(A3468,"IQ_TOTAL_DEBT_REPAID",IQ_FY-10), _xll.ciqfunctions.udf.CIQ(A3468, "IQ_TOTAL_DEBT_REPAID",IQ_FY-9))</f>
        <v>0</v>
      </c>
      <c r="O3468" s="15" t="e">
        <f t="shared" ref="O3468:O3478" si="925">(M3468+N3468)/I3468</f>
        <v>#DIV/0!</v>
      </c>
      <c r="P3468" s="15" t="e">
        <f t="shared" ref="P3468:P3478" si="926">L3468+O3468</f>
        <v>#DIV/0!</v>
      </c>
      <c r="W3468" s="43"/>
      <c r="AA3468" s="43"/>
    </row>
    <row r="3469" spans="1:27">
      <c r="A3469" s="18" t="str">
        <f>_xll.ciqfunctions.udf.CIQ(A3468,"IQ_COMPANY_NAME")</f>
        <v>Zuora, Inc.</v>
      </c>
      <c r="B3469" s="13">
        <v>2</v>
      </c>
      <c r="C3469" s="14" t="s">
        <v>17</v>
      </c>
      <c r="D3469" s="15" t="e">
        <f>IF(A3476=A3477,_xll.ciqfunctions.udf.CIQ(A3468,"IQ_TOTAL_REV",IQ_FY-9)/I3469, _xll.ciqfunctions.udf.CIQ(A3468, "IQ_TOTAL_REV",IQ_FY-8)/I3469)</f>
        <v>#DIV/0!</v>
      </c>
      <c r="E3469" s="16" t="e">
        <f t="shared" ref="E3469:E3478" si="927">(D3469-D3468)/D3468</f>
        <v>#DIV/0!</v>
      </c>
      <c r="F3469" s="15">
        <f>IF(A3476=A3477,_xll.ciqfunctions.udf.CIQ(A3468,"IQ_DILUT_EPS_EXCL",IQ_FY-9), _xll.ciqfunctions.udf.CIQ(A3468, "IQ_DILUT_EPS_EXCL",IQ_FY-8))</f>
        <v>0</v>
      </c>
      <c r="G3469" s="15">
        <f>IF(A3476=A3477,_xll.ciqfunctions.udf.CIQ(A3468,"IQ_EBITDA_MARGIN",IQ_FY-9), _xll.ciqfunctions.udf.CIQ(A3468, "IQ_EBITDA_MARGIN",IQ_FY-8))</f>
        <v>0</v>
      </c>
      <c r="H3469" s="15" t="e">
        <f>IF(A3476=A3477,_xll.ciqfunctions.udf.CIQ(A3468,"IQ_TOTAL_DIV_PAID_CF",IQ_FY-9)/-I3469, _xll.ciqfunctions.udf.CIQ(A3468, "IQ_TOTAL_DIV_PAID_CF",IQ_FY-8)/-I3469)</f>
        <v>#DIV/0!</v>
      </c>
      <c r="I3469" s="17">
        <f>IF(A3476=A3477,_xll.ciqfunctions.udf.CIQ(A3468,"IQ_TOTAL_OUTSTANDING_FILING_DATE",IQ_FY-9), _xll.ciqfunctions.udf.CIQ(A3468, "IQ_TOTAL_OUTSTANDING_FILING_DATE",IQ_FY-8))</f>
        <v>0</v>
      </c>
      <c r="J3469" s="17">
        <f>IF(A3476=A3477,_xll.ciqfunctions.udf.CIQ(A3468,"IQ_CASH_OPER",IQ_FY-9), _xll.ciqfunctions.udf.CIQ(A3468, "IQ_CASH_OPER",IQ_FY-8))</f>
        <v>0</v>
      </c>
      <c r="K3469" s="17">
        <f>IF(A3476=A3477,_xll.ciqfunctions.udf.CIQ(A3468,"IQ_CAPEX",IQ_FY-9), _xll.ciqfunctions.udf.CIQ(A3468, "IQ_CAPEX",IQ_FY-8))</f>
        <v>0</v>
      </c>
      <c r="L3469" s="15" t="e">
        <f t="shared" si="924"/>
        <v>#DIV/0!</v>
      </c>
      <c r="M3469" s="17">
        <f>IF(A3476=A3477,_xll.ciqfunctions.udf.CIQ(A3468,"IQ_TOTAL_DEBT_ISSUED",IQ_FY-9), _xll.ciqfunctions.udf.CIQ(A3468, "IQ_TOTAL_DEBT_ISSUED",IQ_FY-8))</f>
        <v>0</v>
      </c>
      <c r="N3469" s="17">
        <f>IF(A3476=A3477,_xll.ciqfunctions.udf.CIQ(A3468,"IQ_TOTAL_DEBT_REPAID",IQ_FY-9), _xll.ciqfunctions.udf.CIQ(A3468, "IQ_TOTAL_DEBT_REPAID",IQ_FY-8))</f>
        <v>0</v>
      </c>
      <c r="O3469" s="15" t="e">
        <f t="shared" si="925"/>
        <v>#DIV/0!</v>
      </c>
      <c r="P3469" s="15" t="e">
        <f t="shared" si="926"/>
        <v>#DIV/0!</v>
      </c>
      <c r="Q3469" s="25" t="s">
        <v>18</v>
      </c>
      <c r="R3469" s="39" t="s">
        <v>19</v>
      </c>
      <c r="S3469" s="1">
        <f>R3467/((AVERAGE(P3473:P3478))*(1+E3479)^3)</f>
        <v>52.315800623097459</v>
      </c>
      <c r="U3469" s="25" t="s">
        <v>48</v>
      </c>
      <c r="V3469" s="39" t="s">
        <v>19</v>
      </c>
      <c r="W3469" s="1">
        <f>V3467/((AVERAGE(P3473:P3478))*(1+E3479)^3)</f>
        <v>52.315800623097459</v>
      </c>
      <c r="Y3469" s="25" t="s">
        <v>39</v>
      </c>
      <c r="Z3469" s="39" t="s">
        <v>19</v>
      </c>
      <c r="AA3469" s="1">
        <f>Z3467/((AVERAGE(P3473:P3478))*(1+E3479)^3)</f>
        <v>52.315800623097459</v>
      </c>
    </row>
    <row r="3470" spans="1:27">
      <c r="B3470" s="13">
        <v>3</v>
      </c>
      <c r="C3470" s="14" t="s">
        <v>20</v>
      </c>
      <c r="D3470" s="15" cm="1">
        <f t="array" ref="D3470">_xlfn.SINGLE(IF(A3476=A3477,_xll.ciqfunctions.udf.CIQ(A3468,"IQ_TOTAL_REV",IQ_FY-8)/I3470, _xll.ciqfunctions.udf.CIQ(A3468, "IQ_TOTAL_REV",IQ_FY-7)/I3470))</f>
        <v>3.8750992588532167</v>
      </c>
      <c r="E3470" s="16" t="e">
        <f t="shared" si="927"/>
        <v>#DIV/0!</v>
      </c>
      <c r="F3470" s="15">
        <f>IF(A3476=A3477,_xll.ciqfunctions.udf.CIQ(A3468,"IQ_DILUT_EPS_EXCL",IQ_FY-8), _xll.ciqfunctions.udf.CIQ(A3468, "IQ_DILUT_EPS_EXCL",IQ_FY-7))</f>
        <v>-2.1495600000000001</v>
      </c>
      <c r="G3470" s="15">
        <f>IF(A3476=A3477,_xll.ciqfunctions.udf.CIQ(A3468,"IQ_EBITDA_MARGIN",IQ_FY-8), _xll.ciqfunctions.udf.CIQ(A3468, "IQ_EBITDA_MARGIN",IQ_FY-7))</f>
        <v>-47.937800000000003</v>
      </c>
      <c r="H3470" s="15">
        <f>IF(A3476=A3477,_xll.ciqfunctions.udf.CIQ(A3468,"IQ_TOTAL_DIV_PAID_CF",IQ_FY-8)/-I3470, _xll.ciqfunctions.udf.CIQ(A3468, "IQ_TOTAL_DIV_PAID_CF",IQ_FY-7)/-I3470)</f>
        <v>0</v>
      </c>
      <c r="I3470" s="17">
        <f>IF(A3476=A3477,_xll.ciqfunctions.udf.CIQ(A3468,"IQ_TOTAL_OUTSTANDING_FILING_DATE",IQ_FY-8), _xll.ciqfunctions.udf.CIQ(A3468, "IQ_TOTAL_OUTSTANDING_FILING_DATE",IQ_FY-7))</f>
        <v>23.788810000000002</v>
      </c>
      <c r="J3470" s="17">
        <f>IF(A3476=A3477,_xll.ciqfunctions.udf.CIQ(A3468,"IQ_CASH_OPER",IQ_FY-8), _xll.ciqfunctions.udf.CIQ(A3468, "IQ_CASH_OPER",IQ_FY-7))</f>
        <v>-37.359000000000002</v>
      </c>
      <c r="K3470" s="17">
        <f>IF(A3476=A3477,_xll.ciqfunctions.udf.CIQ(A3468,"IQ_CAPEX",IQ_FY-8), _xll.ciqfunctions.udf.CIQ(A3468, "IQ_CAPEX",IQ_FY-7))</f>
        <v>-3.169</v>
      </c>
      <c r="L3470" s="15">
        <f t="shared" si="924"/>
        <v>-1.7036581485160458</v>
      </c>
      <c r="M3470" s="17">
        <f>IF(A3476=A3477,_xll.ciqfunctions.udf.CIQ(A3468,"IQ_TOTAL_DEBT_ISSUED",IQ_FY-8), _xll.ciqfunctions.udf.CIQ(A3468, "IQ_TOTAL_DEBT_ISSUED",IQ_FY-7))</f>
        <v>0</v>
      </c>
      <c r="N3470" s="17">
        <f>IF(A3476=A3477,_xll.ciqfunctions.udf.CIQ(A3468,"IQ_TOTAL_DEBT_REPAID",IQ_FY-8), _xll.ciqfunctions.udf.CIQ(A3468, "IQ_TOTAL_DEBT_REPAID",IQ_FY-7))</f>
        <v>-1.966</v>
      </c>
      <c r="O3470" s="15">
        <f t="shared" si="925"/>
        <v>-8.2643898538850818E-2</v>
      </c>
      <c r="P3470" s="15">
        <f t="shared" si="926"/>
        <v>-1.7863020470548967</v>
      </c>
      <c r="Q3470" s="25" t="s">
        <v>21</v>
      </c>
      <c r="R3470" s="38" t="s">
        <v>49</v>
      </c>
      <c r="S3470" s="2">
        <f>(R3467*I3478)/1000</f>
        <v>1.15967775</v>
      </c>
      <c r="U3470" s="25" t="s">
        <v>59</v>
      </c>
      <c r="V3470" s="38" t="s">
        <v>49</v>
      </c>
      <c r="W3470" s="2">
        <f>(V3467*I3478)/1000</f>
        <v>1.15967775</v>
      </c>
      <c r="Y3470" s="25" t="s">
        <v>46</v>
      </c>
      <c r="Z3470" s="38" t="s">
        <v>49</v>
      </c>
      <c r="AA3470" s="2">
        <f>(Z3467*I3478)/1000</f>
        <v>1.15967775</v>
      </c>
    </row>
    <row r="3471" spans="1:27">
      <c r="A3471" s="18"/>
      <c r="B3471" s="13">
        <v>4</v>
      </c>
      <c r="C3471" s="14" t="s">
        <v>22</v>
      </c>
      <c r="D3471" s="15" cm="1">
        <f t="array" ref="D3471">_xlfn.SINGLE(IF(A3476=A3477,_xll.ciqfunctions.udf.CIQ(A3468,"IQ_TOTAL_REV",IQ_FY-7)/I3471, _xll.ciqfunctions.udf.CIQ(A3468, "IQ_TOTAL_REV",IQ_FY-6)/I3471))</f>
        <v>4.5872144305985323</v>
      </c>
      <c r="E3471" s="16">
        <f t="shared" si="927"/>
        <v>0.18376694999963858</v>
      </c>
      <c r="F3471" s="15">
        <f>IF(A3476=A3477,_xll.ciqfunctions.udf.CIQ(A3468,"IQ_DILUT_EPS_EXCL",IQ_FY-7), _xll.ciqfunctions.udf.CIQ(A3468, "IQ_DILUT_EPS_EXCL",IQ_FY-6))</f>
        <v>-1.63652</v>
      </c>
      <c r="G3471" s="15">
        <f>IF(A3476=A3477,_xll.ciqfunctions.udf.CIQ(A3468,"IQ_EBITDA_MARGIN",IQ_FY-7), _xll.ciqfunctions.udf.CIQ(A3468, "IQ_EBITDA_MARGIN",IQ_FY-6))</f>
        <v>-31.5747</v>
      </c>
      <c r="H3471" s="15">
        <f>IF(A3476=A3477,_xll.ciqfunctions.udf.CIQ(A3468,"IQ_TOTAL_DIV_PAID_CF",IQ_FY-7)/-I3471, _xll.ciqfunctions.udf.CIQ(A3468, "IQ_TOTAL_DIV_PAID_CF",IQ_FY-6)/-I3471)</f>
        <v>0</v>
      </c>
      <c r="I3471" s="17">
        <f>IF(A3476=A3477,_xll.ciqfunctions.udf.CIQ(A3468,"IQ_TOTAL_OUTSTANDING_FILING_DATE",IQ_FY-7), _xll.ciqfunctions.udf.CIQ(A3468, "IQ_TOTAL_OUTSTANDING_FILING_DATE",IQ_FY-6))</f>
        <v>24.635429999999999</v>
      </c>
      <c r="J3471" s="17">
        <f>IF(A3476=A3477,_xll.ciqfunctions.udf.CIQ(A3468,"IQ_CASH_OPER",IQ_FY-7), _xll.ciqfunctions.udf.CIQ(A3468, "IQ_CASH_OPER",IQ_FY-6))</f>
        <v>-24.975000000000001</v>
      </c>
      <c r="K3471" s="17">
        <f>IF(A3476=A3477,_xll.ciqfunctions.udf.CIQ(A3468,"IQ_CAPEX",IQ_FY-7), _xll.ciqfunctions.udf.CIQ(A3468, "IQ_CAPEX",IQ_FY-6))</f>
        <v>-3.7759999999999998</v>
      </c>
      <c r="L3471" s="15">
        <f t="shared" si="924"/>
        <v>-1.1670589878073978</v>
      </c>
      <c r="M3471" s="17">
        <f>IF(A3476=A3477,_xll.ciqfunctions.udf.CIQ(A3468,"IQ_TOTAL_DEBT_ISSUED",IQ_FY-7), _xll.ciqfunctions.udf.CIQ(A3468, "IQ_TOTAL_DEBT_ISSUED",IQ_FY-6))</f>
        <v>0</v>
      </c>
      <c r="N3471" s="17">
        <f>IF(A3476=A3477,_xll.ciqfunctions.udf.CIQ(A3468,"IQ_TOTAL_DEBT_REPAID",IQ_FY-7), _xll.ciqfunctions.udf.CIQ(A3468, "IQ_TOTAL_DEBT_REPAID",IQ_FY-6))</f>
        <v>-1.982</v>
      </c>
      <c r="O3471" s="15">
        <f t="shared" si="925"/>
        <v>-8.0453233412203479E-2</v>
      </c>
      <c r="P3471" s="15">
        <f t="shared" si="926"/>
        <v>-1.2475122212196013</v>
      </c>
      <c r="Q3471" s="25" t="s">
        <v>23</v>
      </c>
      <c r="R3471" s="38" t="s">
        <v>24</v>
      </c>
      <c r="S3471" s="1" t="e">
        <f>R3467/(AVERAGE(H3473:H3478)*(1+H3479)/(0.5-H3479))</f>
        <v>#DIV/0!</v>
      </c>
      <c r="U3471" s="25" t="s">
        <v>40</v>
      </c>
      <c r="V3471" s="38" t="s">
        <v>24</v>
      </c>
      <c r="W3471" s="1" t="e">
        <f>V3467/(AVERAGE(H3473:H3478)*(1+H3479)/(0.5-H3479))</f>
        <v>#DIV/0!</v>
      </c>
      <c r="Y3471" s="25" t="s">
        <v>47</v>
      </c>
      <c r="Z3471" s="38" t="s">
        <v>24</v>
      </c>
      <c r="AA3471" s="1" t="e">
        <f>Z3467/(AVERAGE(H3473:H3478)*(1+H3479)/(0.5-H3479))</f>
        <v>#DIV/0!</v>
      </c>
    </row>
    <row r="3472" spans="1:27">
      <c r="B3472" s="13">
        <v>5</v>
      </c>
      <c r="C3472" s="14" t="s">
        <v>25</v>
      </c>
      <c r="D3472" s="15" cm="1">
        <f t="array" ref="D3472">_xlfn.SINGLE(IF(A3476=A3477,_xll.ciqfunctions.udf.CIQ(A3468,"IQ_TOTAL_REV",IQ_FY-6)/I3472, _xll.ciqfunctions.udf.CIQ(A3468, "IQ_TOTAL_REV",IQ_FY-5)/I3472))</f>
        <v>5.605621805792163</v>
      </c>
      <c r="E3472" s="16">
        <f t="shared" si="927"/>
        <v>0.22200997808178558</v>
      </c>
      <c r="F3472" s="15">
        <f>IF(A3476=A3477,_xll.ciqfunctions.udf.CIQ(A3468,"IQ_DILUT_EPS_EXCL",IQ_FY-6), _xll.ciqfunctions.udf.CIQ(A3468, "IQ_DILUT_EPS_EXCL",IQ_FY-5))</f>
        <v>-1.4823999999999999</v>
      </c>
      <c r="G3472" s="15">
        <f>IF(A3476=A3477,_xll.ciqfunctions.udf.CIQ(A3468,"IQ_EBITDA_MARGIN",IQ_FY-6), _xll.ciqfunctions.udf.CIQ(A3468, "IQ_EBITDA_MARGIN",IQ_FY-5))</f>
        <v>-19.127300000000002</v>
      </c>
      <c r="H3472" s="15">
        <f>IF(A3476=A3477,_xll.ciqfunctions.udf.CIQ(A3468,"IQ_TOTAL_DIV_PAID_CF",IQ_FY-6)/-I3472, _xll.ciqfunctions.udf.CIQ(A3468, "IQ_TOTAL_DIV_PAID_CF",IQ_FY-5)/-I3472)</f>
        <v>0</v>
      </c>
      <c r="I3472" s="17">
        <f>IF(A3476=A3477,_xll.ciqfunctions.udf.CIQ(A3468,"IQ_TOTAL_OUTSTANDING_FILING_DATE",IQ_FY-6), _xll.ciqfunctions.udf.CIQ(A3468, "IQ_TOTAL_OUTSTANDING_FILING_DATE",IQ_FY-5))</f>
        <v>30.524000000000001</v>
      </c>
      <c r="J3472" s="17">
        <f>IF(A3476=A3477,_xll.ciqfunctions.udf.CIQ(A3468,"IQ_CASH_OPER",IQ_FY-6), _xll.ciqfunctions.udf.CIQ(A3468, "IQ_CASH_OPER",IQ_FY-5))</f>
        <v>-24.776</v>
      </c>
      <c r="K3472" s="17">
        <f>IF(A3476=A3477,_xll.ciqfunctions.udf.CIQ(A3468,"IQ_CAPEX",IQ_FY-6), _xll.ciqfunctions.udf.CIQ(A3468, "IQ_CAPEX",IQ_FY-5))</f>
        <v>-4.6980000000000004</v>
      </c>
      <c r="L3472" s="15">
        <f t="shared" si="924"/>
        <v>-0.96560083868431401</v>
      </c>
      <c r="M3472" s="17">
        <f>IF(A3476=A3477,_xll.ciqfunctions.udf.CIQ(A3468,"IQ_TOTAL_DEBT_ISSUED",IQ_FY-6), _xll.ciqfunctions.udf.CIQ(A3468, "IQ_TOTAL_DEBT_ISSUED",IQ_FY-5))</f>
        <v>14.968999999999999</v>
      </c>
      <c r="N3472" s="17">
        <f>IF(A3476=A3477,_xll.ciqfunctions.udf.CIQ(A3468,"IQ_TOTAL_DEBT_REPAID",IQ_FY-6), _xll.ciqfunctions.udf.CIQ(A3468, "IQ_TOTAL_DEBT_REPAID",IQ_FY-5))</f>
        <v>-2.081</v>
      </c>
      <c r="O3472" s="15">
        <f t="shared" si="925"/>
        <v>0.42222513432053466</v>
      </c>
      <c r="P3472" s="15">
        <f t="shared" si="926"/>
        <v>-0.54337570436377935</v>
      </c>
      <c r="Q3472" s="18"/>
      <c r="R3472" s="38" t="s">
        <v>50</v>
      </c>
      <c r="S3472" s="3">
        <f>I3479</f>
        <v>4.9310985508514982E-2</v>
      </c>
      <c r="U3472" s="18"/>
      <c r="V3472" s="38" t="s">
        <v>50</v>
      </c>
      <c r="W3472" s="3">
        <f>I3479</f>
        <v>4.9310985508514982E-2</v>
      </c>
      <c r="Y3472" s="18"/>
      <c r="Z3472" s="38" t="s">
        <v>50</v>
      </c>
      <c r="AA3472" s="3">
        <f>I3479</f>
        <v>4.9310985508514982E-2</v>
      </c>
    </row>
    <row r="3473" spans="1:27">
      <c r="B3473" s="13">
        <v>6</v>
      </c>
      <c r="C3473" s="14" t="s">
        <v>26</v>
      </c>
      <c r="D3473" s="15" cm="1">
        <f t="array" ref="D3473">_xlfn.SINGLE(IF(A3476=A3477,_xll.ciqfunctions.udf.CIQ(A3468,"IQ_TOTAL_REV",IQ_FY-5)/I3473, _xll.ciqfunctions.udf.CIQ(A3468, "IQ_TOTAL_REV",IQ_FY-4)/I3473))</f>
        <v>2.1265972850678732</v>
      </c>
      <c r="E3473" s="16">
        <f t="shared" si="927"/>
        <v>-0.62063133069902998</v>
      </c>
      <c r="F3473" s="15">
        <f>IF(A3476=A3477,_xll.ciqfunctions.udf.CIQ(A3468,"IQ_DILUT_EPS_EXCL",IQ_FY-5), _xll.ciqfunctions.udf.CIQ(A3468, "IQ_DILUT_EPS_EXCL",IQ_FY-4))</f>
        <v>-0.79701</v>
      </c>
      <c r="G3473" s="15">
        <f>IF(A3476=A3477,_xll.ciqfunctions.udf.CIQ(A3468,"IQ_EBITDA_MARGIN",IQ_FY-5), _xll.ciqfunctions.udf.CIQ(A3468, "IQ_EBITDA_MARGIN",IQ_FY-4))</f>
        <v>-26.464600000000001</v>
      </c>
      <c r="H3473" s="15">
        <f>IF(A3476=A3477,_xll.ciqfunctions.udf.CIQ(A3468,"IQ_TOTAL_DIV_PAID_CF",IQ_FY-5)/-I3473, _xll.ciqfunctions.udf.CIQ(A3468, "IQ_TOTAL_DIV_PAID_CF",IQ_FY-4)/-I3473)</f>
        <v>0</v>
      </c>
      <c r="I3473" s="17">
        <f>IF(A3476=A3477,_xll.ciqfunctions.udf.CIQ(A3468,"IQ_TOTAL_OUTSTANDING_FILING_DATE",IQ_FY-5), _xll.ciqfunctions.udf.CIQ(A3468, "IQ_TOTAL_OUTSTANDING_FILING_DATE",IQ_FY-4))</f>
        <v>110.5</v>
      </c>
      <c r="J3473" s="17">
        <f>IF(A3476=A3477,_xll.ciqfunctions.udf.CIQ(A3468,"IQ_CASH_OPER",IQ_FY-5), _xll.ciqfunctions.udf.CIQ(A3468, "IQ_CASH_OPER",IQ_FY-4))</f>
        <v>-23.581</v>
      </c>
      <c r="K3473" s="17">
        <f>IF(A3476=A3477,_xll.ciqfunctions.udf.CIQ(A3468,"IQ_CAPEX",IQ_FY-5), _xll.ciqfunctions.udf.CIQ(A3468, "IQ_CAPEX",IQ_FY-4))</f>
        <v>-13.412000000000001</v>
      </c>
      <c r="L3473" s="15">
        <f t="shared" si="924"/>
        <v>-0.33477828054298642</v>
      </c>
      <c r="M3473" s="17">
        <f>IF(A3476=A3477,_xll.ciqfunctions.udf.CIQ(A3468,"IQ_TOTAL_DEBT_ISSUED",IQ_FY-5), _xll.ciqfunctions.udf.CIQ(A3468, "IQ_TOTAL_DEBT_ISSUED",IQ_FY-4))</f>
        <v>0</v>
      </c>
      <c r="N3473" s="17">
        <f>IF(A3476=A3477,_xll.ciqfunctions.udf.CIQ(A3468,"IQ_TOTAL_DEBT_REPAID",IQ_FY-5), _xll.ciqfunctions.udf.CIQ(A3468, "IQ_TOTAL_DEBT_REPAID",IQ_FY-4))</f>
        <v>-4.4569999999999999</v>
      </c>
      <c r="O3473" s="15">
        <f t="shared" si="925"/>
        <v>-4.0334841628959277E-2</v>
      </c>
      <c r="P3473" s="15">
        <f t="shared" si="926"/>
        <v>-0.3751131221719457</v>
      </c>
      <c r="Q3473" s="25" t="s">
        <v>27</v>
      </c>
      <c r="R3473" s="38" t="s">
        <v>51</v>
      </c>
      <c r="S3473" s="4">
        <f>AVERAGE(F3473:F3478)/AVERAGE(D3473:D3478)</f>
        <v>-0.37442244945175213</v>
      </c>
      <c r="U3473" s="25" t="s">
        <v>58</v>
      </c>
      <c r="V3473" s="38" t="s">
        <v>51</v>
      </c>
      <c r="W3473" s="4">
        <f>AVERAGE(F3473:F3478)/AVERAGE(D3473:D3478)</f>
        <v>-0.37442244945175213</v>
      </c>
      <c r="Y3473" s="25" t="s">
        <v>56</v>
      </c>
      <c r="Z3473" s="38" t="s">
        <v>51</v>
      </c>
      <c r="AA3473" s="4">
        <f>AVERAGE(F3473:F3478)/AVERAGE(D3473:D3478)</f>
        <v>-0.37442244945175213</v>
      </c>
    </row>
    <row r="3474" spans="1:27">
      <c r="A3474" s="18"/>
      <c r="B3474" s="13">
        <v>7</v>
      </c>
      <c r="C3474" s="14" t="s">
        <v>28</v>
      </c>
      <c r="D3474" s="15" cm="1">
        <f t="array" ref="D3474">_xlfn.SINGLE(IF(A3476=A3477,_xll.ciqfunctions.udf.CIQ(A3468,"IQ_TOTAL_REV",IQ_FY-4)/I3474, _xll.ciqfunctions.udf.CIQ(A3468, "IQ_TOTAL_REV",IQ_FY-3)/I3474))</f>
        <v>2.4004956521739134</v>
      </c>
      <c r="E3474" s="16">
        <f t="shared" si="927"/>
        <v>0.12879653756225801</v>
      </c>
      <c r="F3474" s="15">
        <f>IF(A3476=A3477,_xll.ciqfunctions.udf.CIQ(A3468,"IQ_DILUT_EPS_EXCL",IQ_FY-4), _xll.ciqfunctions.udf.CIQ(A3468, "IQ_DILUT_EPS_EXCL",IQ_FY-3))</f>
        <v>-0.75046999999999997</v>
      </c>
      <c r="G3474" s="15">
        <f>IF(A3476=A3477,_xll.ciqfunctions.udf.CIQ(A3468,"IQ_EBITDA_MARGIN",IQ_FY-4), _xll.ciqfunctions.udf.CIQ(A3468, "IQ_EBITDA_MARGIN",IQ_FY-3))</f>
        <v>-26.7332</v>
      </c>
      <c r="H3474" s="15">
        <f>IF(A3476=A3477,_xll.ciqfunctions.udf.CIQ(A3468,"IQ_TOTAL_DIV_PAID_CF",IQ_FY-4)/-I3474, _xll.ciqfunctions.udf.CIQ(A3468, "IQ_TOTAL_DIV_PAID_CF",IQ_FY-3)/-I3474)</f>
        <v>0</v>
      </c>
      <c r="I3474" s="17">
        <f>IF(A3476=A3477,_xll.ciqfunctions.udf.CIQ(A3468,"IQ_TOTAL_OUTSTANDING_FILING_DATE",IQ_FY-4), _xll.ciqfunctions.udf.CIQ(A3468, "IQ_TOTAL_OUTSTANDING_FILING_DATE",IQ_FY-3))</f>
        <v>115</v>
      </c>
      <c r="J3474" s="17">
        <f>IF(A3476=A3477,_xll.ciqfunctions.udf.CIQ(A3468,"IQ_CASH_OPER",IQ_FY-4), _xll.ciqfunctions.udf.CIQ(A3468, "IQ_CASH_OPER",IQ_FY-3))</f>
        <v>-3.59</v>
      </c>
      <c r="K3474" s="17">
        <f>IF(A3476=A3477,_xll.ciqfunctions.udf.CIQ(A3468,"IQ_CAPEX",IQ_FY-4), _xll.ciqfunctions.udf.CIQ(A3468, "IQ_CAPEX",IQ_FY-3))</f>
        <v>-21.423999999999999</v>
      </c>
      <c r="L3474" s="15">
        <f t="shared" si="924"/>
        <v>-0.21751304347826086</v>
      </c>
      <c r="M3474" s="17">
        <f>IF(A3476=A3477,_xll.ciqfunctions.udf.CIQ(A3468,"IQ_TOTAL_DEBT_ISSUED",IQ_FY-4), _xll.ciqfunctions.udf.CIQ(A3468, "IQ_TOTAL_DEBT_ISSUED",IQ_FY-3))</f>
        <v>0</v>
      </c>
      <c r="N3474" s="17">
        <f>IF(A3476=A3477,_xll.ciqfunctions.udf.CIQ(A3468,"IQ_TOTAL_DEBT_REPAID",IQ_FY-4), _xll.ciqfunctions.udf.CIQ(A3468, "IQ_TOTAL_DEBT_REPAID",IQ_FY-3))</f>
        <v>-2.96</v>
      </c>
      <c r="O3474" s="15">
        <f t="shared" si="925"/>
        <v>-2.5739130434782608E-2</v>
      </c>
      <c r="P3474" s="15">
        <f t="shared" si="926"/>
        <v>-0.24325217391304346</v>
      </c>
      <c r="Q3474" s="18"/>
      <c r="R3474" s="38" t="s">
        <v>29</v>
      </c>
      <c r="S3474" s="4">
        <f>(AVERAGE(P3473:P3478)/_xlfn.STDEV.P(P3473:P3478))/(IF(A3476=A3477,(_xlfn.SINGLE(_xll.ciqfunctions.udf.CIQ(A3468,"IQ_total_assets",IQ_FY)) - _xlfn.SINGLE(_xll.ciqfunctions.udf.CIQ(A3468,"iq_gw_intan", IQ_FY)))/I3478, (_xlfn.SINGLE(_xll.ciqfunctions.udf.CIQ(A3468, "IQ_total_assets",IQ_LTM))-_xlfn.SINGLE(_xll.ciqfunctions.udf.CIQ(A3468,"iq_gw_intan",IQ_LTM)))/I3478))</f>
        <v>4.781024761306292E-2</v>
      </c>
      <c r="U3474" s="18"/>
      <c r="V3474" s="38" t="s">
        <v>29</v>
      </c>
      <c r="W3474" s="4">
        <f>(AVERAGE(P3473:P3478)/_xlfn.STDEV.P(P3473:P3478))/(IF(A3476=A3477,(_xlfn.SINGLE(_xll.ciqfunctions.udf.CIQ(A3468,"IQ_total_assets",IQ_FY)) - _xlfn.SINGLE(_xll.ciqfunctions.udf.CIQ(A3468,"iq_gw_intan", IQ_FY)))/I3478, (_xlfn.SINGLE(_xll.ciqfunctions.udf.CIQ(A3468, "IQ_total_assets",IQ_LTM))-_xlfn.SINGLE(_xll.ciqfunctions.udf.CIQ(A3468,"iq_gw_intan",IQ_LTM)))/I3478))</f>
        <v>4.781024761306292E-2</v>
      </c>
      <c r="Y3474" s="18"/>
      <c r="Z3474" s="38" t="s">
        <v>29</v>
      </c>
      <c r="AA3474" s="4">
        <f>(AVERAGE(P3473:P3478)/_xlfn.STDEV.P(P3473:P3478))/(IF(A3476=A3477,(_xlfn.SINGLE(_xll.ciqfunctions.udf.CIQ(A3468,"IQ_total_assets",IQ_FY)) - _xlfn.SINGLE(_xll.ciqfunctions.udf.CIQ(A3468,"iq_gw_intan", IQ_FY)))/I3478, (_xlfn.SINGLE(_xll.ciqfunctions.udf.CIQ(A3468, "IQ_total_assets",IQ_LTM))-_xlfn.SINGLE(_xll.ciqfunctions.udf.CIQ(A3468,"iq_gw_intan",IQ_LTM)))/I3478))</f>
        <v>4.781024761306292E-2</v>
      </c>
    </row>
    <row r="3475" spans="1:27">
      <c r="A3475" s="18"/>
      <c r="B3475" s="13">
        <v>8</v>
      </c>
      <c r="C3475" s="14" t="s">
        <v>30</v>
      </c>
      <c r="D3475" s="15" cm="1">
        <f t="array" ref="D3475">_xlfn.SINGLE(IF(A3476=A3477,_xll.ciqfunctions.udf.CIQ(A3468,"IQ_TOTAL_REV",IQ_FY-3)/I3475, _xll.ciqfunctions.udf.CIQ(A3468, "IQ_TOTAL_REV",IQ_FY-2)/I3475))</f>
        <v>2.524132231404959</v>
      </c>
      <c r="E3475" s="16">
        <f t="shared" si="927"/>
        <v>5.1504604525769125E-2</v>
      </c>
      <c r="F3475" s="15">
        <f>IF(A3476=A3477,_xll.ciqfunctions.udf.CIQ(A3468,"IQ_DILUT_EPS_EXCL",IQ_FY-3), _xll.ciqfunctions.udf.CIQ(A3468, "IQ_DILUT_EPS_EXCL",IQ_FY-2))</f>
        <v>-0.62224000000000002</v>
      </c>
      <c r="G3475" s="15">
        <f>IF(A3476=A3477,_xll.ciqfunctions.udf.CIQ(A3468,"IQ_EBITDA_MARGIN",IQ_FY-3), _xll.ciqfunctions.udf.CIQ(A3468, "IQ_EBITDA_MARGIN",IQ_FY-2))</f>
        <v>-19.171600000000002</v>
      </c>
      <c r="H3475" s="15">
        <f>IF(A3476=A3477,_xll.ciqfunctions.udf.CIQ(A3468,"IQ_TOTAL_DIV_PAID_CF",IQ_FY-3)/-I3475, _xll.ciqfunctions.udf.CIQ(A3468, "IQ_TOTAL_DIV_PAID_CF",IQ_FY-2)/-I3475)</f>
        <v>0</v>
      </c>
      <c r="I3475" s="17">
        <f>IF(A3476=A3477,_xll.ciqfunctions.udf.CIQ(A3468,"IQ_TOTAL_OUTSTANDING_FILING_DATE",IQ_FY-3), _xll.ciqfunctions.udf.CIQ(A3468, "IQ_TOTAL_OUTSTANDING_FILING_DATE",IQ_FY-2))</f>
        <v>121</v>
      </c>
      <c r="J3475" s="17">
        <f>IF(A3476=A3477,_xll.ciqfunctions.udf.CIQ(A3468,"IQ_CASH_OPER",IQ_FY-3), _xll.ciqfunctions.udf.CIQ(A3468, "IQ_CASH_OPER",IQ_FY-2))</f>
        <v>11.286</v>
      </c>
      <c r="K3475" s="17">
        <f>IF(A3476=A3477,_xll.ciqfunctions.udf.CIQ(A3468,"IQ_CAPEX",IQ_FY-3), _xll.ciqfunctions.udf.CIQ(A3468, "IQ_CAPEX",IQ_FY-2))</f>
        <v>-13.144</v>
      </c>
      <c r="L3475" s="15">
        <f t="shared" si="924"/>
        <v>-1.5355371900826451E-2</v>
      </c>
      <c r="M3475" s="17">
        <f>IF(A3476=A3477,_xll.ciqfunctions.udf.CIQ(A3468,"IQ_TOTAL_DEBT_ISSUED",IQ_FY-3), _xll.ciqfunctions.udf.CIQ(A3468, "IQ_TOTAL_DEBT_ISSUED",IQ_FY-2))</f>
        <v>0</v>
      </c>
      <c r="N3475" s="17">
        <f>IF(A3476=A3477,_xll.ciqfunctions.udf.CIQ(A3468,"IQ_TOTAL_DEBT_REPAID",IQ_FY-3), _xll.ciqfunctions.udf.CIQ(A3468, "IQ_TOTAL_DEBT_REPAID",IQ_FY-2))</f>
        <v>-4.4400000000000004</v>
      </c>
      <c r="O3475" s="15">
        <f t="shared" si="925"/>
        <v>-3.6694214876033061E-2</v>
      </c>
      <c r="P3475" s="15">
        <f t="shared" si="926"/>
        <v>-5.2049586776859516E-2</v>
      </c>
      <c r="Q3475" s="18"/>
      <c r="R3475" s="39" t="s">
        <v>31</v>
      </c>
      <c r="S3475" s="5" t="e">
        <f>IF(NOT(D3468&gt;0),FALSE,SLOPE(G3468:G3478,B3468:B3478))</f>
        <v>#DIV/0!</v>
      </c>
      <c r="U3475" s="18"/>
      <c r="V3475" s="39" t="s">
        <v>31</v>
      </c>
      <c r="W3475" s="5" t="e">
        <f>IF(NOT(D3468&gt;0),FALSE,SLOPE(G3468:G3478,B3468:B3478))</f>
        <v>#DIV/0!</v>
      </c>
      <c r="Y3475" s="18"/>
      <c r="Z3475" s="39" t="s">
        <v>31</v>
      </c>
      <c r="AA3475" s="5" t="e">
        <f>IF(NOT(L3468&gt;0),FALSE,SLOPE(O3468:O3478,J3468:J3478))</f>
        <v>#DIV/0!</v>
      </c>
    </row>
    <row r="3476" spans="1:27">
      <c r="A3476" s="19">
        <f>_xll.ciqfunctions.udf.CIQ(A3468,"IQ_TOTAL_REV",IQ_FY)</f>
        <v>396.08699999999999</v>
      </c>
      <c r="B3476" s="13">
        <v>9</v>
      </c>
      <c r="C3476" s="14" t="s">
        <v>32</v>
      </c>
      <c r="D3476" s="15" cm="1">
        <f t="array" ref="D3476">_xlfn.SINGLE(IF(A3476=A3477,_xll.ciqfunctions.udf.CIQ(A3468,"IQ_TOTAL_REV",IQ_FY-2)/I3476, _xll.ciqfunctions.udf.CIQ(A3468, "IQ_TOTAL_REV",IQ_FY-1)/I3476))</f>
        <v>2.708890625</v>
      </c>
      <c r="E3476" s="16">
        <f t="shared" si="927"/>
        <v>7.3196796624320465E-2</v>
      </c>
      <c r="F3476" s="15">
        <f>IF(A3476=A3477,_xll.ciqfunctions.udf.CIQ(A3468,"IQ_DILUT_EPS_EXCL",IQ_FY-2), _xll.ciqfunctions.udf.CIQ(A3468, "IQ_DILUT_EPS_EXCL",IQ_FY-1))</f>
        <v>-0.80047999999999997</v>
      </c>
      <c r="G3476" s="15">
        <f>IF(A3476=A3477,_xll.ciqfunctions.udf.CIQ(A3468,"IQ_EBITDA_MARGIN",IQ_FY-2), _xll.ciqfunctions.udf.CIQ(A3468, "IQ_EBITDA_MARGIN",IQ_FY-1))</f>
        <v>-19.217099999999999</v>
      </c>
      <c r="H3476" s="15">
        <f>IF(A3476=A3477,_xll.ciqfunctions.udf.CIQ(A3468,"IQ_TOTAL_DIV_PAID_CF",IQ_FY-2)/-I3476, _xll.ciqfunctions.udf.CIQ(A3468, "IQ_TOTAL_DIV_PAID_CF",IQ_FY-1)/-I3476)</f>
        <v>0</v>
      </c>
      <c r="I3476" s="17">
        <f>IF(A3476=A3477,_xll.ciqfunctions.udf.CIQ(A3468,"IQ_TOTAL_OUTSTANDING_FILING_DATE",IQ_FY-2), _xll.ciqfunctions.udf.CIQ(A3468, "IQ_TOTAL_OUTSTANDING_FILING_DATE",IQ_FY-1))</f>
        <v>128</v>
      </c>
      <c r="J3476" s="17">
        <f>IF(A3476=A3477,_xll.ciqfunctions.udf.CIQ(A3468,"IQ_CASH_OPER",IQ_FY-2), _xll.ciqfunctions.udf.CIQ(A3468, "IQ_CASH_OPER",IQ_FY-1))</f>
        <v>18.686</v>
      </c>
      <c r="K3476" s="17">
        <f>IF(A3476=A3477,_xll.ciqfunctions.udf.CIQ(A3468,"IQ_CAPEX",IQ_FY-2), _xll.ciqfunctions.udf.CIQ(A3468, "IQ_CAPEX",IQ_FY-1))</f>
        <v>-8.7759999999999998</v>
      </c>
      <c r="L3476" s="15">
        <f t="shared" si="924"/>
        <v>7.7421875000000001E-2</v>
      </c>
      <c r="M3476" s="17">
        <f>IF(A3476=A3477,_xll.ciqfunctions.udf.CIQ(A3468,"IQ_TOTAL_DEBT_ISSUED",IQ_FY-2), _xll.ciqfunctions.udf.CIQ(A3468, "IQ_TOTAL_DEBT_ISSUED",IQ_FY-1))</f>
        <v>0</v>
      </c>
      <c r="N3476" s="17">
        <f>IF(A3476=A3477,_xll.ciqfunctions.udf.CIQ(A3468,"IQ_TOTAL_DEBT_REPAID",IQ_FY-2), _xll.ciqfunctions.udf.CIQ(A3468, "IQ_TOTAL_DEBT_REPAID",IQ_FY-1))</f>
        <v>-4.444</v>
      </c>
      <c r="O3476" s="15">
        <f t="shared" si="925"/>
        <v>-3.471875E-2</v>
      </c>
      <c r="P3476" s="15">
        <f t="shared" si="926"/>
        <v>4.2703125000000001E-2</v>
      </c>
      <c r="Q3476" s="25" t="s">
        <v>33</v>
      </c>
      <c r="R3476" s="38" t="s">
        <v>52</v>
      </c>
      <c r="S3476" s="4">
        <f>(AVERAGE(O3473:O3478)/AVERAGE(P3473:P3478))</f>
        <v>2.0310809271966872</v>
      </c>
      <c r="U3476" s="25" t="s">
        <v>54</v>
      </c>
      <c r="V3476" s="38" t="s">
        <v>52</v>
      </c>
      <c r="W3476" s="4">
        <f>(AVERAGE(O3473:O3478)/AVERAGE(P3473:P3478))</f>
        <v>2.0310809271966872</v>
      </c>
      <c r="Y3476" s="25" t="s">
        <v>60</v>
      </c>
      <c r="Z3476" s="38" t="s">
        <v>52</v>
      </c>
      <c r="AA3476" s="4">
        <f>(AVERAGE(O3473:O3478)/AVERAGE(P3473:P3478))</f>
        <v>2.0310809271966872</v>
      </c>
    </row>
    <row r="3477" spans="1:27">
      <c r="A3477" s="19">
        <f>_xll.ciqfunctions.udf.CIQ(A3468,"IQ_TOTAL_REV",IQ_LTM)</f>
        <v>415.25599999999997</v>
      </c>
      <c r="B3477" s="13">
        <v>10</v>
      </c>
      <c r="C3477" s="14" t="s">
        <v>34</v>
      </c>
      <c r="D3477" s="15" cm="1">
        <f t="array" ref="D3477">_xlfn.SINGLE(IF(A3476=A3477,_xll.ciqfunctions.udf.CIQ(A3468,"IQ_TOTAL_REV",IQ_FY-1)/I3477, _xll.ciqfunctions.udf.CIQ(A3468, "IQ_TOTAL_REV",IQ_FY)/I3477))</f>
        <v>2.923151291512915</v>
      </c>
      <c r="E3477" s="16">
        <f t="shared" si="927"/>
        <v>7.9095355322038874E-2</v>
      </c>
      <c r="F3477" s="15">
        <f>IF(A3476=A3477,_xll.ciqfunctions.udf.CIQ(A3468,"IQ_DILUT_EPS_EXCL",IQ_FY-1), _xll.ciqfunctions.udf.CIQ(A3468, "IQ_DILUT_EPS_EXCL",IQ_FY))</f>
        <v>-1.5061500000000001</v>
      </c>
      <c r="G3477" s="15">
        <f>IF(A3476=A3477,_xll.ciqfunctions.udf.CIQ(A3468,"IQ_EBITDA_MARGIN",IQ_FY-1), _xll.ciqfunctions.udf.CIQ(A3468, "IQ_EBITDA_MARGIN",IQ_FY))</f>
        <v>-19.954699999999999</v>
      </c>
      <c r="H3477" s="15">
        <f>IF(A3476=A3477,_xll.ciqfunctions.udf.CIQ(A3468,"IQ_TOTAL_DIV_PAID_CF",IQ_FY-1)/-I3477, _xll.ciqfunctions.udf.CIQ(A3468, "IQ_TOTAL_DIV_PAID_CF",IQ_FY)/-I3477)</f>
        <v>0</v>
      </c>
      <c r="I3477" s="17">
        <f>IF(A3476=A3477,_xll.ciqfunctions.udf.CIQ(A3468,"IQ_TOTAL_OUTSTANDING_FILING_DATE",IQ_FY-1), _xll.ciqfunctions.udf.CIQ(A3468, "IQ_TOTAL_OUTSTANDING_FILING_DATE",IQ_FY))</f>
        <v>135.5</v>
      </c>
      <c r="J3477" s="17">
        <f>IF(A3476=A3477,_xll.ciqfunctions.udf.CIQ(A3468,"IQ_CASH_OPER",IQ_FY-1), _xll.ciqfunctions.udf.CIQ(A3468, "IQ_CASH_OPER",IQ_FY))</f>
        <v>-20.643999999999998</v>
      </c>
      <c r="K3477" s="17">
        <f>IF(A3476=A3477,_xll.ciqfunctions.udf.CIQ(A3468,"IQ_CAPEX",IQ_FY-1), _xll.ciqfunctions.udf.CIQ(A3468, "IQ_CAPEX",IQ_FY))</f>
        <v>-10.634</v>
      </c>
      <c r="L3477" s="15">
        <f t="shared" si="924"/>
        <v>-0.2308339483394834</v>
      </c>
      <c r="M3477" s="17">
        <f>IF(A3476=A3477,_xll.ciqfunctions.udf.CIQ(A3468,"IQ_TOTAL_DEBT_ISSUED",IQ_FY-1), _xll.ciqfunctions.udf.CIQ(A3468, "IQ_TOTAL_DEBT_ISSUED",IQ_FY))</f>
        <v>233.90100000000001</v>
      </c>
      <c r="N3477" s="17">
        <f>IF(A3476=A3477,_xll.ciqfunctions.udf.CIQ(A3468,"IQ_TOTAL_DEBT_REPAID",IQ_FY-1), _xll.ciqfunctions.udf.CIQ(A3468, "IQ_TOTAL_DEBT_REPAID",IQ_FY))</f>
        <v>-1.48</v>
      </c>
      <c r="O3477" s="15">
        <f t="shared" si="925"/>
        <v>1.7152841328413286</v>
      </c>
      <c r="P3477" s="15">
        <f t="shared" si="926"/>
        <v>1.4844501845018452</v>
      </c>
      <c r="Q3477" s="25" t="s">
        <v>44</v>
      </c>
      <c r="R3477" s="38" t="s">
        <v>35</v>
      </c>
      <c r="S3477" s="1" t="str">
        <f>_xll.ciqfunctions.udf.CIQ(A3468,"IQ_TEV_EBITDA")</f>
        <v>NM</v>
      </c>
      <c r="U3477" s="25" t="s">
        <v>55</v>
      </c>
      <c r="V3477" s="38" t="s">
        <v>53</v>
      </c>
      <c r="W3477" s="1">
        <f>V3467/(AVERAGE(D3473:D3478)/_xlfn.STDEV.P(E3473:E3478))</f>
        <v>0.82071209436878989</v>
      </c>
      <c r="Y3477" s="25" t="s">
        <v>57</v>
      </c>
      <c r="Z3477" s="38" t="s">
        <v>53</v>
      </c>
      <c r="AA3477" s="1">
        <f>Z3467/(AVERAGE(D3473:D3478)/_xlfn.STDEV.P(E3473:E3478))</f>
        <v>0.82071209436878989</v>
      </c>
    </row>
    <row r="3478" spans="1:27">
      <c r="B3478" s="13">
        <v>11</v>
      </c>
      <c r="C3478" s="20" t="s">
        <v>36</v>
      </c>
      <c r="D3478" s="21" cm="1">
        <f t="array" ref="D3478">_xlfn.SINGLE(IF(A3476=A3477,_xll.ciqfunctions.udf.CIQ(A3468,"IQ_TOTAL_REV",IQ_FY)/I3478, _xll.ciqfunctions.udf.CIQ(A3468, "IQ_TOTAL_REV",IQ_LTM)/I3478))</f>
        <v>2.9541499783021616</v>
      </c>
      <c r="E3478" s="22">
        <f t="shared" si="927"/>
        <v>1.0604544102540411E-2</v>
      </c>
      <c r="F3478" s="21">
        <f>IF(A3476=A3477,_xll.ciqfunctions.udf.CIQ(A3468,"IQ_DILUT_EPS_EXCL",IQ_FY), _xll.ciqfunctions.udf.CIQ(A3468, "IQ_DILUT_EPS_EXCL",IQ_LTM))</f>
        <v>-1.3786499999999999</v>
      </c>
      <c r="G3478" s="21">
        <f>IF(A3476=A3477,_xll.ciqfunctions.udf.CIQ(A3468,"IQ_EBITDA_MARGIN",IQ_FY), _xll.ciqfunctions.udf.CIQ(A3468, "IQ_EBITDA_MARGIN",IQ_LTM))</f>
        <v>-15.2958</v>
      </c>
      <c r="H3478" s="21">
        <f>IF(A3476=A3477,_xll.ciqfunctions.udf.CIQ(A3468,"IQ_TOTAL_DIV_PAID_CF",IQ_FY)/-I3478, _xll.ciqfunctions.udf.CIQ(A3468, "IQ_TOTAL_DIV_PAID_CF",IQ_LTM)/-I3478)</f>
        <v>0</v>
      </c>
      <c r="I3478" s="23">
        <f>IF(A3476=A3477,_xll.ciqfunctions.udf.CIQ(A3468,"IQ_TOTAL_OUTSTANDING_FILING_DATE",IQ_FY),_xll.ciqfunctions.udf.CIQ(A3468,"IQ_sharesoutstanding"))</f>
        <v>140.56700000000001</v>
      </c>
      <c r="J3478" s="23">
        <f>IF(A3476=A3477,_xll.ciqfunctions.udf.CIQ(A3468,"IQ_CASH_OPER",IQ_FY), _xll.ciqfunctions.udf.CIQ(A3468, "IQ_CASH_OPER",IQ_LTM))</f>
        <v>-2.8450000000000002</v>
      </c>
      <c r="K3478" s="23">
        <f>IF(A3476=A3477,_xll.ciqfunctions.udf.CIQ(A3468,"IQ_CAPEX",IQ_FY), _xll.ciqfunctions.udf.CIQ(A3468, "IQ_CAPEX",IQ_LTM))</f>
        <v>-8.3879999999999999</v>
      </c>
      <c r="L3478" s="21">
        <f t="shared" si="924"/>
        <v>-7.9912070400591895E-2</v>
      </c>
      <c r="M3478" s="23">
        <f>IF(A3476=A3477,_xll.ciqfunctions.udf.CIQ(A3468,"IQ_TOTAL_DEBT_ISSUED",IQ_FY), _xll.ciqfunctions.udf.CIQ(A3468, "IQ_TOTAL_DEBT_ISSUED",IQ_LTM))</f>
        <v>0</v>
      </c>
      <c r="N3478" s="23">
        <f>IF(A3476=A3477,_xll.ciqfunctions.udf.CIQ(A3468,"IQ_TOTAL_DEBT_REPAID",IQ_FY), _xll.ciqfunctions.udf.CIQ(A3468, "IQ_TOTAL_DEBT_REPAID",IQ_LTM))</f>
        <v>0</v>
      </c>
      <c r="O3478" s="21">
        <f t="shared" si="925"/>
        <v>0</v>
      </c>
      <c r="P3478" s="21">
        <f t="shared" si="926"/>
        <v>-7.9912070400591895E-2</v>
      </c>
      <c r="Q3478" s="25" t="s">
        <v>45</v>
      </c>
      <c r="S3478" s="45"/>
      <c r="U3478" s="25"/>
      <c r="W3478" s="45"/>
      <c r="Y3478" s="25"/>
      <c r="AA3478" s="45"/>
    </row>
    <row r="3479" spans="1:27">
      <c r="B3479" s="24"/>
      <c r="C3479" s="25" t="s">
        <v>37</v>
      </c>
      <c r="E3479" s="26">
        <f>((D3478/D3473)^(1/5))-1</f>
        <v>6.7946402229218439E-2</v>
      </c>
      <c r="F3479" s="27">
        <f>((F3478/F3473)^(1/5))-1</f>
        <v>0.11583004456089085</v>
      </c>
      <c r="G3479" s="28"/>
      <c r="H3479" s="27" t="e">
        <f>((H3478/H3473)^(1/5))-1</f>
        <v>#DIV/0!</v>
      </c>
      <c r="I3479" s="27">
        <f>((I3478/I3473)^(1/5))-1</f>
        <v>4.9310985508514982E-2</v>
      </c>
      <c r="J3479" s="27"/>
      <c r="K3479" s="27"/>
      <c r="L3479" s="26">
        <f>((L3478/L3473)^(1/5))-1</f>
        <v>-0.24911916182143523</v>
      </c>
      <c r="M3479" s="26"/>
      <c r="N3479" s="26"/>
      <c r="O3479" s="26"/>
      <c r="P3479" s="26">
        <f>((P3478/P3473)^(1/5))-1</f>
        <v>-0.26601019923517988</v>
      </c>
      <c r="Q3479" s="18"/>
      <c r="R3479" s="36"/>
      <c r="S3479" s="45"/>
      <c r="U3479" s="18"/>
      <c r="V3479" s="36"/>
      <c r="W3479" s="45"/>
      <c r="Y3479" s="18"/>
      <c r="Z3479" s="36"/>
      <c r="AA3479" s="45"/>
    </row>
    <row r="3480" spans="1:27">
      <c r="A3480" s="29"/>
      <c r="B3480" s="30"/>
      <c r="C3480" s="31" t="s">
        <v>38</v>
      </c>
      <c r="D3480" s="29"/>
      <c r="E3480" s="32" t="e">
        <f>((D3478/D3468)^(1/10))-1</f>
        <v>#DIV/0!</v>
      </c>
      <c r="F3480" s="33" t="e">
        <f>((F3478/F3468)^(1/10))-1</f>
        <v>#DIV/0!</v>
      </c>
      <c r="G3480" s="34"/>
      <c r="H3480" s="33" t="e">
        <f>((H3478/H3468)^(1/10))-1</f>
        <v>#DIV/0!</v>
      </c>
      <c r="I3480" s="33" t="e">
        <f>((I3478/I3468)^(1/10))-1</f>
        <v>#DIV/0!</v>
      </c>
      <c r="J3480" s="33"/>
      <c r="K3480" s="33"/>
      <c r="L3480" s="32" t="e">
        <f>((L3478/L3468)^(1/10))-1</f>
        <v>#DIV/0!</v>
      </c>
      <c r="M3480" s="32"/>
      <c r="N3480" s="32"/>
      <c r="O3480" s="32"/>
      <c r="P3480" s="32" t="e">
        <f>((P3478/P3468)^(1/10))-1</f>
        <v>#DIV/0!</v>
      </c>
      <c r="Q3480" s="40"/>
      <c r="R3480" s="41"/>
      <c r="S3480" s="46"/>
      <c r="U3480" s="40"/>
      <c r="V3480" s="41"/>
      <c r="W3480" s="46"/>
      <c r="Y3480" s="40"/>
      <c r="Z3480" s="41"/>
      <c r="AA3480" s="46"/>
    </row>
    <row r="3481" spans="1:27">
      <c r="B3481" s="24"/>
      <c r="C3481" s="25"/>
      <c r="E3481" s="26"/>
      <c r="F3481" s="27"/>
      <c r="G3481" s="28"/>
      <c r="H3481" s="27"/>
      <c r="I3481" s="27"/>
      <c r="J3481" s="27"/>
      <c r="K3481" s="27"/>
      <c r="L3481" s="26"/>
      <c r="M3481" s="17"/>
      <c r="N3481" s="17"/>
      <c r="O3481" s="17"/>
      <c r="P3481" s="35"/>
      <c r="Q3481" s="18"/>
      <c r="R3481" s="36"/>
    </row>
    <row r="3482" spans="1:27">
      <c r="A3482" s="9" t="s">
        <v>0</v>
      </c>
      <c r="B3482" s="10"/>
      <c r="C3482" s="9" t="s">
        <v>1</v>
      </c>
      <c r="D3482" s="9" t="s">
        <v>2</v>
      </c>
      <c r="E3482" s="9" t="s">
        <v>3</v>
      </c>
      <c r="F3482" s="11" t="s">
        <v>4</v>
      </c>
      <c r="G3482" s="11" t="s">
        <v>5</v>
      </c>
      <c r="H3482" s="9" t="s">
        <v>6</v>
      </c>
      <c r="I3482" s="11" t="s">
        <v>7</v>
      </c>
      <c r="J3482" s="11" t="s">
        <v>8</v>
      </c>
      <c r="K3482" s="11" t="s">
        <v>9</v>
      </c>
      <c r="L3482" s="11" t="s">
        <v>10</v>
      </c>
      <c r="M3482" s="11" t="s">
        <v>11</v>
      </c>
      <c r="N3482" s="11" t="s">
        <v>12</v>
      </c>
      <c r="O3482" s="11" t="s">
        <v>13</v>
      </c>
      <c r="P3482" s="11" t="s">
        <v>14</v>
      </c>
      <c r="Q3482" s="37" t="s">
        <v>15</v>
      </c>
      <c r="R3482" s="42">
        <f>_xll.ciqfunctions.udf.CIQ(A3483,("IQ_LASTSALEPRICE"))</f>
        <v>40.29</v>
      </c>
      <c r="S3482" s="44"/>
      <c r="U3482" s="37" t="s">
        <v>15</v>
      </c>
      <c r="V3482" s="42">
        <f>_xll.ciqfunctions.udf.CIQ(A3483,("IQ_LASTSALEPRICE"))</f>
        <v>40.29</v>
      </c>
      <c r="W3482" s="44"/>
      <c r="Y3482" s="37" t="s">
        <v>15</v>
      </c>
      <c r="Z3482" s="42">
        <f>_xll.ciqfunctions.udf.CIQ(A3483,("IQ_LASTSALEPRICE"))</f>
        <v>40.29</v>
      </c>
      <c r="AA3482" s="44"/>
    </row>
    <row r="3483" spans="1:27">
      <c r="A3483" s="12" t="str">
        <f>Analysis!B234</f>
        <v>NasdaqGS:VRNS</v>
      </c>
      <c r="B3483" s="13">
        <v>1</v>
      </c>
      <c r="C3483" s="14" t="s">
        <v>16</v>
      </c>
      <c r="D3483" s="15">
        <f>IF(A3491=A3492,_xll.ciqfunctions.udf.CIQ(A3483,"IQ_TOTAL_REV",IQ_FY-10)/I3483,_xll.ciqfunctions.udf.CIQ(A3483, "IQ_TOTAL_REV",IQ_FY-9)/I3483)</f>
        <v>1.0434874543344879</v>
      </c>
      <c r="E3483" s="16"/>
      <c r="F3483" s="15">
        <f>IF(A3491=A3492,_xll.ciqfunctions.udf.CIQ(A3483,"IQ_DILUT_EPS_EXCL",IQ_FY-10), _xll.ciqfunctions.udf.CIQ(A3483, "IQ_DILUT_EPS_EXCL",IQ_FY-9))</f>
        <v>-0.64205999999999996</v>
      </c>
      <c r="G3483" s="15">
        <f>IF(A3491=A3492,_xll.ciqfunctions.udf.CIQ(A3483,"IQ_EBITDA_MARGIN",IQ_FY-10), _xll.ciqfunctions.udf.CIQ(A3483, "IQ_EBITDA_MARGIN",IQ_FY-9))</f>
        <v>-6.7666000000000004</v>
      </c>
      <c r="H3483" s="15">
        <f>IF(A3491=A3492,_xll.ciqfunctions.udf.CIQ(A3483,"IQ_TOTAL_DIV_PAID_CF",IQ_FY-10)/-I3483, _xll.ciqfunctions.udf.CIQ(A3483, "IQ_TOTAL_DIV_PAID_CF",IQ_FY-9)/-I3483)</f>
        <v>0</v>
      </c>
      <c r="I3483" s="17">
        <f>IF(A3491=A3492,_xll.ciqfunctions.udf.CIQ(A3483,"IQ_TOTAL_OUTSTANDING_FILING_DATE",IQ_FY-10), _xll.ciqfunctions.udf.CIQ(A3483, "IQ_TOTAL_OUTSTANDING_FILING_DATE",IQ_FY-9))</f>
        <v>71.506370000000004</v>
      </c>
      <c r="J3483" s="17">
        <f>IF(A3491=A3492,_xll.ciqfunctions.udf.CIQ(A3483,"IQ_CASH_OPER",IQ_FY-10), _xll.ciqfunctions.udf.CIQ(A3483, "IQ_CASH_OPER",IQ_FY-9))</f>
        <v>5.3999999999999999E-2</v>
      </c>
      <c r="K3483" s="17">
        <f>IF(A3491=A3492,_xll.ciqfunctions.udf.CIQ(A3483,"IQ_CAPEX",IQ_FY-10), _xll.ciqfunctions.udf.CIQ(A3483, "IQ_CAPEX",IQ_FY-9))</f>
        <v>-1.349</v>
      </c>
      <c r="L3483" s="15">
        <f t="shared" ref="L3483:L3493" si="928">(J3483+K3483)/I3483</f>
        <v>-1.8110274651055563E-2</v>
      </c>
      <c r="M3483" s="17">
        <f>IF(A3491=A3492,_xll.ciqfunctions.udf.CIQ(A3483,"IQ_TOTAL_DEBT_ISSUED",IQ_FY-10), _xll.ciqfunctions.udf.CIQ(A3483, "IQ_TOTAL_DEBT_ISSUED",IQ_FY-9))</f>
        <v>0</v>
      </c>
      <c r="N3483" s="17">
        <f>IF(A3491=A3492,_xll.ciqfunctions.udf.CIQ(A3483,"IQ_TOTAL_DEBT_REPAID",IQ_FY-10), _xll.ciqfunctions.udf.CIQ(A3483, "IQ_TOTAL_DEBT_REPAID",IQ_FY-9))</f>
        <v>0</v>
      </c>
      <c r="O3483" s="15">
        <f t="shared" ref="O3483:O3493" si="929">(M3483+N3483)/I3483</f>
        <v>0</v>
      </c>
      <c r="P3483" s="15">
        <f t="shared" ref="P3483:P3493" si="930">L3483+O3483</f>
        <v>-1.8110274651055563E-2</v>
      </c>
      <c r="W3483" s="43"/>
      <c r="AA3483" s="43"/>
    </row>
    <row r="3484" spans="1:27">
      <c r="A3484" s="18" t="str">
        <f>_xll.ciqfunctions.udf.CIQ(A3483,"IQ_COMPANY_NAME")</f>
        <v>Varonis Systems, Inc.</v>
      </c>
      <c r="B3484" s="13">
        <v>2</v>
      </c>
      <c r="C3484" s="14" t="s">
        <v>17</v>
      </c>
      <c r="D3484" s="15">
        <f>IF(A3491=A3492,_xll.ciqfunctions.udf.CIQ(A3483,"IQ_TOTAL_REV",IQ_FY-9)/I3484, _xll.ciqfunctions.udf.CIQ(A3483, "IQ_TOTAL_REV",IQ_FY-8)/I3484)</f>
        <v>1.3680582665286569</v>
      </c>
      <c r="E3484" s="16">
        <f t="shared" ref="E3484:E3493" si="931">(D3484-D3483)/D3483</f>
        <v>0.31104428792694283</v>
      </c>
      <c r="F3484" s="15">
        <f>IF(A3491=A3492,_xll.ciqfunctions.udf.CIQ(A3483,"IQ_DILUT_EPS_EXCL",IQ_FY-9), _xll.ciqfunctions.udf.CIQ(A3483, "IQ_DILUT_EPS_EXCL",IQ_FY-8))</f>
        <v>-0.30438999999999999</v>
      </c>
      <c r="G3484" s="15">
        <f>IF(A3491=A3492,_xll.ciqfunctions.udf.CIQ(A3483,"IQ_EBITDA_MARGIN",IQ_FY-9), _xll.ciqfunctions.udf.CIQ(A3483, "IQ_EBITDA_MARGIN",IQ_FY-8))</f>
        <v>-15.809799999999999</v>
      </c>
      <c r="H3484" s="15">
        <f>IF(A3491=A3492,_xll.ciqfunctions.udf.CIQ(A3483,"IQ_TOTAL_DIV_PAID_CF",IQ_FY-9)/-I3484, _xll.ciqfunctions.udf.CIQ(A3483, "IQ_TOTAL_DIV_PAID_CF",IQ_FY-8)/-I3484)</f>
        <v>0</v>
      </c>
      <c r="I3484" s="17">
        <f>IF(A3491=A3492,_xll.ciqfunctions.udf.CIQ(A3483,"IQ_TOTAL_OUTSTANDING_FILING_DATE",IQ_FY-9), _xll.ciqfunctions.udf.CIQ(A3483, "IQ_TOTAL_OUTSTANDING_FILING_DATE",IQ_FY-8))</f>
        <v>74.081639999999993</v>
      </c>
      <c r="J3484" s="17">
        <f>IF(A3491=A3492,_xll.ciqfunctions.udf.CIQ(A3483,"IQ_CASH_OPER",IQ_FY-9), _xll.ciqfunctions.udf.CIQ(A3483, "IQ_CASH_OPER",IQ_FY-8))</f>
        <v>-7.11</v>
      </c>
      <c r="K3484" s="17">
        <f>IF(A3491=A3492,_xll.ciqfunctions.udf.CIQ(A3483,"IQ_CAPEX",IQ_FY-9), _xll.ciqfunctions.udf.CIQ(A3483, "IQ_CAPEX",IQ_FY-8))</f>
        <v>-2.3330000000000002</v>
      </c>
      <c r="L3484" s="15">
        <f t="shared" si="928"/>
        <v>-0.12746748047154466</v>
      </c>
      <c r="M3484" s="17">
        <f>IF(A3491=A3492,_xll.ciqfunctions.udf.CIQ(A3483,"IQ_TOTAL_DEBT_ISSUED",IQ_FY-9), _xll.ciqfunctions.udf.CIQ(A3483, "IQ_TOTAL_DEBT_ISSUED",IQ_FY-8))</f>
        <v>0</v>
      </c>
      <c r="N3484" s="17">
        <f>IF(A3491=A3492,_xll.ciqfunctions.udf.CIQ(A3483,"IQ_TOTAL_DEBT_REPAID",IQ_FY-9), _xll.ciqfunctions.udf.CIQ(A3483, "IQ_TOTAL_DEBT_REPAID",IQ_FY-8))</f>
        <v>0</v>
      </c>
      <c r="O3484" s="15">
        <f t="shared" si="929"/>
        <v>0</v>
      </c>
      <c r="P3484" s="15">
        <f t="shared" si="930"/>
        <v>-0.12746748047154466</v>
      </c>
      <c r="Q3484" s="25" t="s">
        <v>18</v>
      </c>
      <c r="R3484" s="39" t="s">
        <v>19</v>
      </c>
      <c r="S3484" s="1">
        <f>R3482/((AVERAGE(P3488:P3493))*(1+E3494)^3)</f>
        <v>74.97983134055508</v>
      </c>
      <c r="U3484" s="25" t="s">
        <v>48</v>
      </c>
      <c r="V3484" s="39" t="s">
        <v>19</v>
      </c>
      <c r="W3484" s="1">
        <f>V3482/((AVERAGE(P3488:P3493))*(1+E3494)^3)</f>
        <v>74.97983134055508</v>
      </c>
      <c r="Y3484" s="25" t="s">
        <v>39</v>
      </c>
      <c r="Z3484" s="39" t="s">
        <v>19</v>
      </c>
      <c r="AA3484" s="1">
        <f>Z3482/((AVERAGE(P3488:P3493))*(1+E3494)^3)</f>
        <v>74.97983134055508</v>
      </c>
    </row>
    <row r="3485" spans="1:27">
      <c r="B3485" s="13">
        <v>3</v>
      </c>
      <c r="C3485" s="14" t="s">
        <v>20</v>
      </c>
      <c r="D3485" s="15" cm="1">
        <f t="array" ref="D3485">_xlfn.SINGLE(IF(A3491=A3492,_xll.ciqfunctions.udf.CIQ(A3483,"IQ_TOTAL_REV",IQ_FY-8)/I3485, _xll.ciqfunctions.udf.CIQ(A3483, "IQ_TOTAL_REV",IQ_FY-7)/I3485))</f>
        <v>1.6260362130190524</v>
      </c>
      <c r="E3485" s="16">
        <f t="shared" si="931"/>
        <v>0.18857233847575425</v>
      </c>
      <c r="F3485" s="15">
        <f>IF(A3491=A3492,_xll.ciqfunctions.udf.CIQ(A3483,"IQ_DILUT_EPS_EXCL",IQ_FY-8), _xll.ciqfunctions.udf.CIQ(A3483, "IQ_DILUT_EPS_EXCL",IQ_FY-7))</f>
        <v>-0.28154000000000001</v>
      </c>
      <c r="G3485" s="15">
        <f>IF(A3491=A3492,_xll.ciqfunctions.udf.CIQ(A3483,"IQ_EBITDA_MARGIN",IQ_FY-8), _xll.ciqfunctions.udf.CIQ(A3483, "IQ_EBITDA_MARGIN",IQ_FY-7))</f>
        <v>-13.724500000000001</v>
      </c>
      <c r="H3485" s="15">
        <f>IF(A3491=A3492,_xll.ciqfunctions.udf.CIQ(A3483,"IQ_TOTAL_DIV_PAID_CF",IQ_FY-8)/-I3485, _xll.ciqfunctions.udf.CIQ(A3483, "IQ_TOTAL_DIV_PAID_CF",IQ_FY-7)/-I3485)</f>
        <v>0</v>
      </c>
      <c r="I3485" s="17">
        <f>IF(A3491=A3492,_xll.ciqfunctions.udf.CIQ(A3483,"IQ_TOTAL_OUTSTANDING_FILING_DATE",IQ_FY-8), _xll.ciqfunctions.udf.CIQ(A3483, "IQ_TOTAL_OUTSTANDING_FILING_DATE",IQ_FY-7))</f>
        <v>78.233189999999993</v>
      </c>
      <c r="J3485" s="17">
        <f>IF(A3491=A3492,_xll.ciqfunctions.udf.CIQ(A3483,"IQ_CASH_OPER",IQ_FY-8), _xll.ciqfunctions.udf.CIQ(A3483, "IQ_CASH_OPER",IQ_FY-7))</f>
        <v>-2.7290000000000001</v>
      </c>
      <c r="K3485" s="17">
        <f>IF(A3491=A3492,_xll.ciqfunctions.udf.CIQ(A3483,"IQ_CAPEX",IQ_FY-8), _xll.ciqfunctions.udf.CIQ(A3483, "IQ_CAPEX",IQ_FY-7))</f>
        <v>-4.5359999999999996</v>
      </c>
      <c r="L3485" s="15">
        <f t="shared" si="928"/>
        <v>-9.2863399792338777E-2</v>
      </c>
      <c r="M3485" s="17">
        <f>IF(A3491=A3492,_xll.ciqfunctions.udf.CIQ(A3483,"IQ_TOTAL_DEBT_ISSUED",IQ_FY-8), _xll.ciqfunctions.udf.CIQ(A3483, "IQ_TOTAL_DEBT_ISSUED",IQ_FY-7))</f>
        <v>0</v>
      </c>
      <c r="N3485" s="17">
        <f>IF(A3491=A3492,_xll.ciqfunctions.udf.CIQ(A3483,"IQ_TOTAL_DEBT_REPAID",IQ_FY-8), _xll.ciqfunctions.udf.CIQ(A3483, "IQ_TOTAL_DEBT_REPAID",IQ_FY-7))</f>
        <v>0</v>
      </c>
      <c r="O3485" s="15">
        <f t="shared" si="929"/>
        <v>0</v>
      </c>
      <c r="P3485" s="15">
        <f t="shared" si="930"/>
        <v>-9.2863399792338777E-2</v>
      </c>
      <c r="Q3485" s="25" t="s">
        <v>21</v>
      </c>
      <c r="R3485" s="38" t="s">
        <v>49</v>
      </c>
      <c r="S3485" s="2">
        <f>(R3482*I3493)/1000</f>
        <v>4.3897187873999988</v>
      </c>
      <c r="U3485" s="25" t="s">
        <v>59</v>
      </c>
      <c r="V3485" s="38" t="s">
        <v>49</v>
      </c>
      <c r="W3485" s="2">
        <f>(V3482*I3493)/1000</f>
        <v>4.3897187873999988</v>
      </c>
      <c r="Y3485" s="25" t="s">
        <v>46</v>
      </c>
      <c r="Z3485" s="38" t="s">
        <v>49</v>
      </c>
      <c r="AA3485" s="2">
        <f>(Z3482*I3493)/1000</f>
        <v>4.3897187873999988</v>
      </c>
    </row>
    <row r="3486" spans="1:27">
      <c r="A3486" s="18"/>
      <c r="B3486" s="13">
        <v>4</v>
      </c>
      <c r="C3486" s="14" t="s">
        <v>22</v>
      </c>
      <c r="D3486" s="15" cm="1">
        <f t="array" ref="D3486">_xlfn.SINGLE(IF(A3491=A3492,_xll.ciqfunctions.udf.CIQ(A3483,"IQ_TOTAL_REV",IQ_FY-7)/I3486, _xll.ciqfunctions.udf.CIQ(A3483, "IQ_TOTAL_REV",IQ_FY-6)/I3486))</f>
        <v>2.0597756293434606</v>
      </c>
      <c r="E3486" s="16">
        <f t="shared" si="931"/>
        <v>0.26674646779181294</v>
      </c>
      <c r="F3486" s="15">
        <f>IF(A3491=A3492,_xll.ciqfunctions.udf.CIQ(A3483,"IQ_DILUT_EPS_EXCL",IQ_FY-7), _xll.ciqfunctions.udf.CIQ(A3483, "IQ_DILUT_EPS_EXCL",IQ_FY-6))</f>
        <v>-0.17916000000000001</v>
      </c>
      <c r="G3486" s="15">
        <f>IF(A3491=A3492,_xll.ciqfunctions.udf.CIQ(A3483,"IQ_EBITDA_MARGIN",IQ_FY-7), _xll.ciqfunctions.udf.CIQ(A3483, "IQ_EBITDA_MARGIN",IQ_FY-6))</f>
        <v>-5.9175000000000004</v>
      </c>
      <c r="H3486" s="15">
        <f>IF(A3491=A3492,_xll.ciqfunctions.udf.CIQ(A3483,"IQ_TOTAL_DIV_PAID_CF",IQ_FY-7)/-I3486, _xll.ciqfunctions.udf.CIQ(A3483, "IQ_TOTAL_DIV_PAID_CF",IQ_FY-6)/-I3486)</f>
        <v>0</v>
      </c>
      <c r="I3486" s="17">
        <f>IF(A3491=A3492,_xll.ciqfunctions.udf.CIQ(A3483,"IQ_TOTAL_OUTSTANDING_FILING_DATE",IQ_FY-7), _xll.ciqfunctions.udf.CIQ(A3483, "IQ_TOTAL_OUTSTANDING_FILING_DATE",IQ_FY-6))</f>
        <v>80.524789999999996</v>
      </c>
      <c r="J3486" s="17">
        <f>IF(A3491=A3492,_xll.ciqfunctions.udf.CIQ(A3483,"IQ_CASH_OPER",IQ_FY-7), _xll.ciqfunctions.udf.CIQ(A3483, "IQ_CASH_OPER",IQ_FY-6))</f>
        <v>7.3470000000000004</v>
      </c>
      <c r="K3486" s="17">
        <f>IF(A3491=A3492,_xll.ciqfunctions.udf.CIQ(A3483,"IQ_CAPEX",IQ_FY-7), _xll.ciqfunctions.udf.CIQ(A3483, "IQ_CAPEX",IQ_FY-6))</f>
        <v>-3.8250000000000002</v>
      </c>
      <c r="L3486" s="15">
        <f t="shared" si="928"/>
        <v>4.3738083638591302E-2</v>
      </c>
      <c r="M3486" s="17">
        <f>IF(A3491=A3492,_xll.ciqfunctions.udf.CIQ(A3483,"IQ_TOTAL_DEBT_ISSUED",IQ_FY-7), _xll.ciqfunctions.udf.CIQ(A3483, "IQ_TOTAL_DEBT_ISSUED",IQ_FY-6))</f>
        <v>0</v>
      </c>
      <c r="N3486" s="17">
        <f>IF(A3491=A3492,_xll.ciqfunctions.udf.CIQ(A3483,"IQ_TOTAL_DEBT_REPAID",IQ_FY-7), _xll.ciqfunctions.udf.CIQ(A3483, "IQ_TOTAL_DEBT_REPAID",IQ_FY-6))</f>
        <v>0</v>
      </c>
      <c r="O3486" s="15">
        <f t="shared" si="929"/>
        <v>0</v>
      </c>
      <c r="P3486" s="15">
        <f t="shared" si="930"/>
        <v>4.3738083638591302E-2</v>
      </c>
      <c r="Q3486" s="25" t="s">
        <v>23</v>
      </c>
      <c r="R3486" s="38" t="s">
        <v>24</v>
      </c>
      <c r="S3486" s="1" t="e">
        <f>R3482/(AVERAGE(H3488:H3493)*(1+H3494)/(0.5-H3494))</f>
        <v>#DIV/0!</v>
      </c>
      <c r="U3486" s="25" t="s">
        <v>40</v>
      </c>
      <c r="V3486" s="38" t="s">
        <v>24</v>
      </c>
      <c r="W3486" s="1" t="e">
        <f>V3482/(AVERAGE(H3488:H3493)*(1+H3494)/(0.5-H3494))</f>
        <v>#DIV/0!</v>
      </c>
      <c r="Y3486" s="25" t="s">
        <v>47</v>
      </c>
      <c r="Z3486" s="38" t="s">
        <v>24</v>
      </c>
      <c r="AA3486" s="1" t="e">
        <f>Z3482/(AVERAGE(H3488:H3493)*(1+H3494)/(0.5-H3494))</f>
        <v>#DIV/0!</v>
      </c>
    </row>
    <row r="3487" spans="1:27">
      <c r="B3487" s="13">
        <v>5</v>
      </c>
      <c r="C3487" s="14" t="s">
        <v>25</v>
      </c>
      <c r="D3487" s="15" cm="1">
        <f t="array" ref="D3487">_xlfn.SINGLE(IF(A3491=A3492,_xll.ciqfunctions.udf.CIQ(A3483,"IQ_TOTAL_REV",IQ_FY-6)/I3487, _xll.ciqfunctions.udf.CIQ(A3483, "IQ_TOTAL_REV",IQ_FY-5)/I3487))</f>
        <v>2.5497789319529005</v>
      </c>
      <c r="E3487" s="16">
        <f t="shared" si="931"/>
        <v>0.23789159150583072</v>
      </c>
      <c r="F3487" s="15">
        <f>IF(A3491=A3492,_xll.ciqfunctions.udf.CIQ(A3483,"IQ_DILUT_EPS_EXCL",IQ_FY-6), _xll.ciqfunctions.udf.CIQ(A3483, "IQ_DILUT_EPS_EXCL",IQ_FY-5))</f>
        <v>-0.16800000000000001</v>
      </c>
      <c r="G3487" s="15">
        <f>IF(A3491=A3492,_xll.ciqfunctions.udf.CIQ(A3483,"IQ_EBITDA_MARGIN",IQ_FY-6), _xll.ciqfunctions.udf.CIQ(A3483, "IQ_EBITDA_MARGIN",IQ_FY-5))</f>
        <v>-4.6848999999999998</v>
      </c>
      <c r="H3487" s="15">
        <f>IF(A3491=A3492,_xll.ciqfunctions.udf.CIQ(A3483,"IQ_TOTAL_DIV_PAID_CF",IQ_FY-6)/-I3487, _xll.ciqfunctions.udf.CIQ(A3483, "IQ_TOTAL_DIV_PAID_CF",IQ_FY-5)/-I3487)</f>
        <v>0</v>
      </c>
      <c r="I3487" s="17">
        <f>IF(A3491=A3492,_xll.ciqfunctions.udf.CIQ(A3483,"IQ_TOTAL_OUTSTANDING_FILING_DATE",IQ_FY-6), _xll.ciqfunctions.udf.CIQ(A3483, "IQ_TOTAL_OUTSTANDING_FILING_DATE",IQ_FY-5))</f>
        <v>84.473990000000001</v>
      </c>
      <c r="J3487" s="17">
        <f>IF(A3491=A3492,_xll.ciqfunctions.udf.CIQ(A3483,"IQ_CASH_OPER",IQ_FY-6), _xll.ciqfunctions.udf.CIQ(A3483, "IQ_CASH_OPER",IQ_FY-5))</f>
        <v>16.350999999999999</v>
      </c>
      <c r="K3487" s="17">
        <f>IF(A3491=A3492,_xll.ciqfunctions.udf.CIQ(A3483,"IQ_CAPEX",IQ_FY-6), _xll.ciqfunctions.udf.CIQ(A3483, "IQ_CAPEX",IQ_FY-5))</f>
        <v>-5.3140000000000001</v>
      </c>
      <c r="L3487" s="15">
        <f t="shared" si="928"/>
        <v>0.13065560180121713</v>
      </c>
      <c r="M3487" s="17">
        <f>IF(A3491=A3492,_xll.ciqfunctions.udf.CIQ(A3483,"IQ_TOTAL_DEBT_ISSUED",IQ_FY-6), _xll.ciqfunctions.udf.CIQ(A3483, "IQ_TOTAL_DEBT_ISSUED",IQ_FY-5))</f>
        <v>0</v>
      </c>
      <c r="N3487" s="17">
        <f>IF(A3491=A3492,_xll.ciqfunctions.udf.CIQ(A3483,"IQ_TOTAL_DEBT_REPAID",IQ_FY-6), _xll.ciqfunctions.udf.CIQ(A3483, "IQ_TOTAL_DEBT_REPAID",IQ_FY-5))</f>
        <v>0</v>
      </c>
      <c r="O3487" s="15">
        <f t="shared" si="929"/>
        <v>0</v>
      </c>
      <c r="P3487" s="15">
        <f t="shared" si="930"/>
        <v>0.13065560180121713</v>
      </c>
      <c r="Q3487" s="18"/>
      <c r="R3487" s="38" t="s">
        <v>50</v>
      </c>
      <c r="S3487" s="3">
        <f>I3494</f>
        <v>4.1890840697506704E-2</v>
      </c>
      <c r="U3487" s="18"/>
      <c r="V3487" s="38" t="s">
        <v>50</v>
      </c>
      <c r="W3487" s="3">
        <f>I3494</f>
        <v>4.1890840697506704E-2</v>
      </c>
      <c r="Y3487" s="18"/>
      <c r="Z3487" s="38" t="s">
        <v>50</v>
      </c>
      <c r="AA3487" s="3">
        <f>I3494</f>
        <v>4.1890840697506704E-2</v>
      </c>
    </row>
    <row r="3488" spans="1:27">
      <c r="B3488" s="13">
        <v>6</v>
      </c>
      <c r="C3488" s="14" t="s">
        <v>26</v>
      </c>
      <c r="D3488" s="15" cm="1">
        <f t="array" ref="D3488">_xlfn.SINGLE(IF(A3491=A3492,_xll.ciqfunctions.udf.CIQ(A3483,"IQ_TOTAL_REV",IQ_FY-5)/I3488, _xll.ciqfunctions.udf.CIQ(A3483, "IQ_TOTAL_REV",IQ_FY-4)/I3488))</f>
        <v>3.0457793180261574</v>
      </c>
      <c r="E3488" s="16">
        <f t="shared" si="931"/>
        <v>0.19452681950484443</v>
      </c>
      <c r="F3488" s="15">
        <f>IF(A3491=A3492,_xll.ciqfunctions.udf.CIQ(A3483,"IQ_DILUT_EPS_EXCL",IQ_FY-5), _xll.ciqfunctions.udf.CIQ(A3483, "IQ_DILUT_EPS_EXCL",IQ_FY-4))</f>
        <v>-0.32824999999999999</v>
      </c>
      <c r="G3488" s="15">
        <f>IF(A3491=A3492,_xll.ciqfunctions.udf.CIQ(A3483,"IQ_EBITDA_MARGIN",IQ_FY-5), _xll.ciqfunctions.udf.CIQ(A3483, "IQ_EBITDA_MARGIN",IQ_FY-4))</f>
        <v>-9.2416</v>
      </c>
      <c r="H3488" s="15">
        <f>IF(A3491=A3492,_xll.ciqfunctions.udf.CIQ(A3483,"IQ_TOTAL_DIV_PAID_CF",IQ_FY-5)/-I3488, _xll.ciqfunctions.udf.CIQ(A3483, "IQ_TOTAL_DIV_PAID_CF",IQ_FY-4)/-I3488)</f>
        <v>0</v>
      </c>
      <c r="I3488" s="17">
        <f>IF(A3491=A3492,_xll.ciqfunctions.udf.CIQ(A3483,"IQ_TOTAL_OUTSTANDING_FILING_DATE",IQ_FY-5), _xll.ciqfunctions.udf.CIQ(A3483, "IQ_TOTAL_OUTSTANDING_FILING_DATE",IQ_FY-4))</f>
        <v>88.741820000000004</v>
      </c>
      <c r="J3488" s="17">
        <f>IF(A3491=A3492,_xll.ciqfunctions.udf.CIQ(A3483,"IQ_CASH_OPER",IQ_FY-5), _xll.ciqfunctions.udf.CIQ(A3483, "IQ_CASH_OPER",IQ_FY-4))</f>
        <v>23.545000000000002</v>
      </c>
      <c r="K3488" s="17">
        <f>IF(A3491=A3492,_xll.ciqfunctions.udf.CIQ(A3483,"IQ_CAPEX",IQ_FY-5), _xll.ciqfunctions.udf.CIQ(A3483, "IQ_CAPEX",IQ_FY-4))</f>
        <v>-9.5830000000000002</v>
      </c>
      <c r="L3488" s="15">
        <f t="shared" si="928"/>
        <v>0.15733281106923433</v>
      </c>
      <c r="M3488" s="17">
        <f>IF(A3491=A3492,_xll.ciqfunctions.udf.CIQ(A3483,"IQ_TOTAL_DEBT_ISSUED",IQ_FY-5), _xll.ciqfunctions.udf.CIQ(A3483, "IQ_TOTAL_DEBT_ISSUED",IQ_FY-4))</f>
        <v>0</v>
      </c>
      <c r="N3488" s="17">
        <f>IF(A3491=A3492,_xll.ciqfunctions.udf.CIQ(A3483,"IQ_TOTAL_DEBT_REPAID",IQ_FY-5), _xll.ciqfunctions.udf.CIQ(A3483, "IQ_TOTAL_DEBT_REPAID",IQ_FY-4))</f>
        <v>0</v>
      </c>
      <c r="O3488" s="15">
        <f t="shared" si="929"/>
        <v>0</v>
      </c>
      <c r="P3488" s="15">
        <f t="shared" si="930"/>
        <v>0.15733281106923433</v>
      </c>
      <c r="Q3488" s="25" t="s">
        <v>27</v>
      </c>
      <c r="R3488" s="38" t="s">
        <v>51</v>
      </c>
      <c r="S3488" s="4">
        <f>AVERAGE(F3488:F3493)/AVERAGE(D3488:D3493)</f>
        <v>-0.25513802529453938</v>
      </c>
      <c r="U3488" s="25" t="s">
        <v>58</v>
      </c>
      <c r="V3488" s="38" t="s">
        <v>51</v>
      </c>
      <c r="W3488" s="4">
        <f>AVERAGE(F3488:F3493)/AVERAGE(D3488:D3493)</f>
        <v>-0.25513802529453938</v>
      </c>
      <c r="Y3488" s="25" t="s">
        <v>56</v>
      </c>
      <c r="Z3488" s="38" t="s">
        <v>51</v>
      </c>
      <c r="AA3488" s="4">
        <f>AVERAGE(F3488:F3493)/AVERAGE(D3488:D3493)</f>
        <v>-0.25513802529453938</v>
      </c>
    </row>
    <row r="3489" spans="1:27">
      <c r="A3489" s="18"/>
      <c r="B3489" s="13">
        <v>7</v>
      </c>
      <c r="C3489" s="14" t="s">
        <v>28</v>
      </c>
      <c r="D3489" s="15" cm="1">
        <f t="array" ref="D3489">_xlfn.SINGLE(IF(A3491=A3492,_xll.ciqfunctions.udf.CIQ(A3483,"IQ_TOTAL_REV",IQ_FY-4)/I3489, _xll.ciqfunctions.udf.CIQ(A3483, "IQ_TOTAL_REV",IQ_FY-3)/I3489))</f>
        <v>2.76821093246748</v>
      </c>
      <c r="E3489" s="16">
        <f t="shared" si="931"/>
        <v>-9.1132139454725161E-2</v>
      </c>
      <c r="F3489" s="15">
        <f>IF(A3491=A3492,_xll.ciqfunctions.udf.CIQ(A3483,"IQ_DILUT_EPS_EXCL",IQ_FY-4), _xll.ciqfunctions.udf.CIQ(A3483, "IQ_DILUT_EPS_EXCL",IQ_FY-3))</f>
        <v>-0.86770999999999998</v>
      </c>
      <c r="G3489" s="15">
        <f>IF(A3491=A3492,_xll.ciqfunctions.udf.CIQ(A3483,"IQ_EBITDA_MARGIN",IQ_FY-4), _xll.ciqfunctions.udf.CIQ(A3483, "IQ_EBITDA_MARGIN",IQ_FY-3))</f>
        <v>-27.407</v>
      </c>
      <c r="H3489" s="15">
        <f>IF(A3491=A3492,_xll.ciqfunctions.udf.CIQ(A3483,"IQ_TOTAL_DIV_PAID_CF",IQ_FY-4)/-I3489, _xll.ciqfunctions.udf.CIQ(A3483, "IQ_TOTAL_DIV_PAID_CF",IQ_FY-3)/-I3489)</f>
        <v>0</v>
      </c>
      <c r="I3489" s="17">
        <f>IF(A3491=A3492,_xll.ciqfunctions.udf.CIQ(A3483,"IQ_TOTAL_OUTSTANDING_FILING_DATE",IQ_FY-4), _xll.ciqfunctions.udf.CIQ(A3483, "IQ_TOTAL_OUTSTANDING_FILING_DATE",IQ_FY-3))</f>
        <v>91.824650000000005</v>
      </c>
      <c r="J3489" s="17">
        <f>IF(A3491=A3492,_xll.ciqfunctions.udf.CIQ(A3483,"IQ_CASH_OPER",IQ_FY-4), _xll.ciqfunctions.udf.CIQ(A3483, "IQ_CASH_OPER",IQ_FY-3))</f>
        <v>-10.683</v>
      </c>
      <c r="K3489" s="17">
        <f>IF(A3491=A3492,_xll.ciqfunctions.udf.CIQ(A3483,"IQ_CAPEX",IQ_FY-4), _xll.ciqfunctions.udf.CIQ(A3483, "IQ_CAPEX",IQ_FY-3))</f>
        <v>-25.391999999999999</v>
      </c>
      <c r="L3489" s="15">
        <f t="shared" si="928"/>
        <v>-0.39286836377813583</v>
      </c>
      <c r="M3489" s="17">
        <f>IF(A3491=A3492,_xll.ciqfunctions.udf.CIQ(A3483,"IQ_TOTAL_DEBT_ISSUED",IQ_FY-4), _xll.ciqfunctions.udf.CIQ(A3483, "IQ_TOTAL_DEBT_ISSUED",IQ_FY-3))</f>
        <v>0</v>
      </c>
      <c r="N3489" s="17">
        <f>IF(A3491=A3492,_xll.ciqfunctions.udf.CIQ(A3483,"IQ_TOTAL_DEBT_REPAID",IQ_FY-4), _xll.ciqfunctions.udf.CIQ(A3483, "IQ_TOTAL_DEBT_REPAID",IQ_FY-3))</f>
        <v>0</v>
      </c>
      <c r="O3489" s="15">
        <f t="shared" si="929"/>
        <v>0</v>
      </c>
      <c r="P3489" s="15">
        <f t="shared" si="930"/>
        <v>-0.39286836377813583</v>
      </c>
      <c r="Q3489" s="18"/>
      <c r="R3489" s="38" t="s">
        <v>29</v>
      </c>
      <c r="S3489" s="4">
        <f>(AVERAGE(P3488:P3493)/_xlfn.STDEV.P(P3488:P3493))/(IF(A3491=A3492,(_xlfn.SINGLE(_xll.ciqfunctions.udf.CIQ(A3483,"IQ_total_assets",IQ_FY)) - _xlfn.SINGLE(_xll.ciqfunctions.udf.CIQ(A3483,"iq_gw_intan", IQ_FY)))/I3493, (_xlfn.SINGLE(_xll.ciqfunctions.udf.CIQ(A3483, "IQ_total_assets",IQ_LTM))-_xlfn.SINGLE(_xll.ciqfunctions.udf.CIQ(A3483,"iq_gw_intan",IQ_LTM)))/I3493))</f>
        <v>5.0949707283576319E-2</v>
      </c>
      <c r="U3489" s="18"/>
      <c r="V3489" s="38" t="s">
        <v>29</v>
      </c>
      <c r="W3489" s="4">
        <f>(AVERAGE(P3488:P3493)/_xlfn.STDEV.P(P3488:P3493))/(IF(A3491=A3492,(_xlfn.SINGLE(_xll.ciqfunctions.udf.CIQ(A3483,"IQ_total_assets",IQ_FY)) - _xlfn.SINGLE(_xll.ciqfunctions.udf.CIQ(A3483,"iq_gw_intan", IQ_FY)))/I3493, (_xlfn.SINGLE(_xll.ciqfunctions.udf.CIQ(A3483, "IQ_total_assets",IQ_LTM))-_xlfn.SINGLE(_xll.ciqfunctions.udf.CIQ(A3483,"iq_gw_intan",IQ_LTM)))/I3493))</f>
        <v>5.0949707283576319E-2</v>
      </c>
      <c r="Y3489" s="18"/>
      <c r="Z3489" s="38" t="s">
        <v>29</v>
      </c>
      <c r="AA3489" s="4">
        <f>(AVERAGE(P3488:P3493)/_xlfn.STDEV.P(P3488:P3493))/(IF(A3491=A3492,(_xlfn.SINGLE(_xll.ciqfunctions.udf.CIQ(A3483,"IQ_total_assets",IQ_FY)) - _xlfn.SINGLE(_xll.ciqfunctions.udf.CIQ(A3483,"iq_gw_intan", IQ_FY)))/I3493, (_xlfn.SINGLE(_xll.ciqfunctions.udf.CIQ(A3483, "IQ_total_assets",IQ_LTM))-_xlfn.SINGLE(_xll.ciqfunctions.udf.CIQ(A3483,"iq_gw_intan",IQ_LTM)))/I3493))</f>
        <v>5.0949707283576319E-2</v>
      </c>
    </row>
    <row r="3490" spans="1:27">
      <c r="A3490" s="18"/>
      <c r="B3490" s="13">
        <v>8</v>
      </c>
      <c r="C3490" s="14" t="s">
        <v>30</v>
      </c>
      <c r="D3490" s="15" cm="1">
        <f t="array" ref="D3490">_xlfn.SINGLE(IF(A3491=A3492,_xll.ciqfunctions.udf.CIQ(A3483,"IQ_TOTAL_REV",IQ_FY-3)/I3490, _xll.ciqfunctions.udf.CIQ(A3483, "IQ_TOTAL_REV",IQ_FY-2)/I3490))</f>
        <v>3.0648624451233402</v>
      </c>
      <c r="E3490" s="16">
        <f t="shared" si="931"/>
        <v>0.10716362296547832</v>
      </c>
      <c r="F3490" s="15">
        <f>IF(A3491=A3492,_xll.ciqfunctions.udf.CIQ(A3483,"IQ_DILUT_EPS_EXCL",IQ_FY-3), _xll.ciqfunctions.udf.CIQ(A3483, "IQ_DILUT_EPS_EXCL",IQ_FY-2))</f>
        <v>-0.99653000000000003</v>
      </c>
      <c r="G3490" s="15">
        <f>IF(A3491=A3492,_xll.ciqfunctions.udf.CIQ(A3483,"IQ_EBITDA_MARGIN",IQ_FY-3), _xll.ciqfunctions.udf.CIQ(A3483, "IQ_EBITDA_MARGIN",IQ_FY-2))</f>
        <v>-23.317499999999999</v>
      </c>
      <c r="H3490" s="15">
        <f>IF(A3491=A3492,_xll.ciqfunctions.udf.CIQ(A3483,"IQ_TOTAL_DIV_PAID_CF",IQ_FY-3)/-I3490, _xll.ciqfunctions.udf.CIQ(A3483, "IQ_TOTAL_DIV_PAID_CF",IQ_FY-2)/-I3490)</f>
        <v>0</v>
      </c>
      <c r="I3490" s="17">
        <f>IF(A3491=A3492,_xll.ciqfunctions.udf.CIQ(A3483,"IQ_TOTAL_OUTSTANDING_FILING_DATE",IQ_FY-3), _xll.ciqfunctions.udf.CIQ(A3483, "IQ_TOTAL_OUTSTANDING_FILING_DATE",IQ_FY-2))</f>
        <v>95.498249999999999</v>
      </c>
      <c r="J3490" s="17">
        <f>IF(A3491=A3492,_xll.ciqfunctions.udf.CIQ(A3483,"IQ_CASH_OPER",IQ_FY-3), _xll.ciqfunctions.udf.CIQ(A3483, "IQ_CASH_OPER",IQ_FY-2))</f>
        <v>-5.8419999999999996</v>
      </c>
      <c r="K3490" s="17">
        <f>IF(A3491=A3492,_xll.ciqfunctions.udf.CIQ(A3483,"IQ_CAPEX",IQ_FY-3), _xll.ciqfunctions.udf.CIQ(A3483, "IQ_CAPEX",IQ_FY-2))</f>
        <v>-10.116</v>
      </c>
      <c r="L3490" s="15">
        <f t="shared" si="928"/>
        <v>-0.1671025385281929</v>
      </c>
      <c r="M3490" s="17">
        <f>IF(A3491=A3492,_xll.ciqfunctions.udf.CIQ(A3483,"IQ_TOTAL_DEBT_ISSUED",IQ_FY-3), _xll.ciqfunctions.udf.CIQ(A3483, "IQ_TOTAL_DEBT_ISSUED",IQ_FY-2))</f>
        <v>245.30799999999999</v>
      </c>
      <c r="N3490" s="17">
        <f>IF(A3491=A3492,_xll.ciqfunctions.udf.CIQ(A3483,"IQ_TOTAL_DEBT_REPAID",IQ_FY-3), _xll.ciqfunctions.udf.CIQ(A3483, "IQ_TOTAL_DEBT_REPAID",IQ_FY-2))</f>
        <v>0</v>
      </c>
      <c r="O3490" s="15">
        <f t="shared" si="929"/>
        <v>2.5687172278026038</v>
      </c>
      <c r="P3490" s="15">
        <f t="shared" si="930"/>
        <v>2.4016146892744108</v>
      </c>
      <c r="Q3490" s="18"/>
      <c r="R3490" s="39" t="s">
        <v>31</v>
      </c>
      <c r="S3490" s="5">
        <f>IF(NOT(D3483&gt;0),FALSE,SLOPE(G3483:G3493,B3483:B3493))</f>
        <v>-1.7348881818181816</v>
      </c>
      <c r="U3490" s="18"/>
      <c r="V3490" s="39" t="s">
        <v>31</v>
      </c>
      <c r="W3490" s="5">
        <f>IF(NOT(D3483&gt;0),FALSE,SLOPE(G3483:G3493,B3483:B3493))</f>
        <v>-1.7348881818181816</v>
      </c>
      <c r="Y3490" s="18"/>
      <c r="Z3490" s="39" t="s">
        <v>31</v>
      </c>
      <c r="AA3490" s="5" t="b">
        <f>IF(NOT(L3483&gt;0),FALSE,SLOPE(O3483:O3493,J3483:J3493))</f>
        <v>0</v>
      </c>
    </row>
    <row r="3491" spans="1:27">
      <c r="A3491" s="19">
        <f>_xll.ciqfunctions.udf.CIQ(A3483,"IQ_TOTAL_REV",IQ_FY)</f>
        <v>473.63400000000001</v>
      </c>
      <c r="B3491" s="13">
        <v>9</v>
      </c>
      <c r="C3491" s="14" t="s">
        <v>32</v>
      </c>
      <c r="D3491" s="15" cm="1">
        <f t="array" ref="D3491">_xlfn.SINGLE(IF(A3491=A3492,_xll.ciqfunctions.udf.CIQ(A3483,"IQ_TOTAL_REV",IQ_FY-2)/I3491, _xll.ciqfunctions.udf.CIQ(A3483, "IQ_TOTAL_REV",IQ_FY-1)/I3491))</f>
        <v>3.6286667407032471</v>
      </c>
      <c r="E3491" s="16">
        <f t="shared" si="931"/>
        <v>0.1839574550815502</v>
      </c>
      <c r="F3491" s="15">
        <f>IF(A3491=A3492,_xll.ciqfunctions.udf.CIQ(A3483,"IQ_DILUT_EPS_EXCL",IQ_FY-2), _xll.ciqfunctions.udf.CIQ(A3483, "IQ_DILUT_EPS_EXCL",IQ_FY-1))</f>
        <v>-1.1097300000000001</v>
      </c>
      <c r="G3491" s="15">
        <f>IF(A3491=A3492,_xll.ciqfunctions.udf.CIQ(A3483,"IQ_EBITDA_MARGIN",IQ_FY-2), _xll.ciqfunctions.udf.CIQ(A3483, "IQ_EBITDA_MARGIN",IQ_FY-1))</f>
        <v>-22.506599999999999</v>
      </c>
      <c r="H3491" s="15">
        <f>IF(A3491=A3492,_xll.ciqfunctions.udf.CIQ(A3483,"IQ_TOTAL_DIV_PAID_CF",IQ_FY-2)/-I3491, _xll.ciqfunctions.udf.CIQ(A3483, "IQ_TOTAL_DIV_PAID_CF",IQ_FY-1)/-I3491)</f>
        <v>0</v>
      </c>
      <c r="I3491" s="17">
        <f>IF(A3491=A3492,_xll.ciqfunctions.udf.CIQ(A3483,"IQ_TOTAL_OUTSTANDING_FILING_DATE",IQ_FY-2), _xll.ciqfunctions.udf.CIQ(A3483, "IQ_TOTAL_OUTSTANDING_FILING_DATE",IQ_FY-1))</f>
        <v>107.51442</v>
      </c>
      <c r="J3491" s="17">
        <f>IF(A3491=A3492,_xll.ciqfunctions.udf.CIQ(A3483,"IQ_CASH_OPER",IQ_FY-2), _xll.ciqfunctions.udf.CIQ(A3483, "IQ_CASH_OPER",IQ_FY-1))</f>
        <v>7.1779999999999999</v>
      </c>
      <c r="K3491" s="17">
        <f>IF(A3491=A3492,_xll.ciqfunctions.udf.CIQ(A3483,"IQ_CAPEX",IQ_FY-2), _xll.ciqfunctions.udf.CIQ(A3483, "IQ_CAPEX",IQ_FY-1))</f>
        <v>-10.49</v>
      </c>
      <c r="L3491" s="15">
        <f t="shared" si="928"/>
        <v>-3.0805170134387556E-2</v>
      </c>
      <c r="M3491" s="17">
        <f>IF(A3491=A3492,_xll.ciqfunctions.udf.CIQ(A3483,"IQ_TOTAL_DEBT_ISSUED",IQ_FY-2), _xll.ciqfunctions.udf.CIQ(A3483, "IQ_TOTAL_DEBT_ISSUED",IQ_FY-1))</f>
        <v>0</v>
      </c>
      <c r="N3491" s="17">
        <f>IF(A3491=A3492,_xll.ciqfunctions.udf.CIQ(A3483,"IQ_TOTAL_DEBT_REPAID",IQ_FY-2), _xll.ciqfunctions.udf.CIQ(A3483, "IQ_TOTAL_DEBT_REPAID",IQ_FY-1))</f>
        <v>0</v>
      </c>
      <c r="O3491" s="15">
        <f t="shared" si="929"/>
        <v>0</v>
      </c>
      <c r="P3491" s="15">
        <f t="shared" si="930"/>
        <v>-3.0805170134387556E-2</v>
      </c>
      <c r="Q3491" s="25" t="s">
        <v>33</v>
      </c>
      <c r="R3491" s="38" t="s">
        <v>52</v>
      </c>
      <c r="S3491" s="4">
        <f>(AVERAGE(O3488:O3493)/AVERAGE(P3488:P3493))</f>
        <v>1.0037589233108632</v>
      </c>
      <c r="U3491" s="25" t="s">
        <v>54</v>
      </c>
      <c r="V3491" s="38" t="s">
        <v>52</v>
      </c>
      <c r="W3491" s="4">
        <f>(AVERAGE(O3488:O3493)/AVERAGE(P3488:P3493))</f>
        <v>1.0037589233108632</v>
      </c>
      <c r="Y3491" s="25" t="s">
        <v>60</v>
      </c>
      <c r="Z3491" s="38" t="s">
        <v>52</v>
      </c>
      <c r="AA3491" s="4">
        <f>(AVERAGE(O3488:O3493)/AVERAGE(P3488:P3493))</f>
        <v>1.0037589233108632</v>
      </c>
    </row>
    <row r="3492" spans="1:27">
      <c r="A3492" s="19">
        <f>_xll.ciqfunctions.udf.CIQ(A3483,"IQ_TOTAL_REV",IQ_LTM)</f>
        <v>487.678</v>
      </c>
      <c r="B3492" s="13">
        <v>10</v>
      </c>
      <c r="C3492" s="14" t="s">
        <v>34</v>
      </c>
      <c r="D3492" s="15" cm="1">
        <f t="array" ref="D3492">_xlfn.SINGLE(IF(A3491=A3492,_xll.ciqfunctions.udf.CIQ(A3483,"IQ_TOTAL_REV",IQ_FY-1)/I3492, _xll.ciqfunctions.udf.CIQ(A3483, "IQ_TOTAL_REV",IQ_FY)/I3492))</f>
        <v>4.4011423935905531</v>
      </c>
      <c r="E3492" s="16">
        <f t="shared" si="931"/>
        <v>0.21288139917131044</v>
      </c>
      <c r="F3492" s="15">
        <f>IF(A3491=A3492,_xll.ciqfunctions.udf.CIQ(A3483,"IQ_DILUT_EPS_EXCL",IQ_FY-1), _xll.ciqfunctions.udf.CIQ(A3483, "IQ_DILUT_EPS_EXCL",IQ_FY))</f>
        <v>-1.1394299999999999</v>
      </c>
      <c r="G3492" s="15">
        <f>IF(A3491=A3492,_xll.ciqfunctions.udf.CIQ(A3483,"IQ_EBITDA_MARGIN",IQ_FY-1), _xll.ciqfunctions.udf.CIQ(A3483, "IQ_EBITDA_MARGIN",IQ_FY))</f>
        <v>-23.0245</v>
      </c>
      <c r="H3492" s="15">
        <f>IF(A3491=A3492,_xll.ciqfunctions.udf.CIQ(A3483,"IQ_TOTAL_DIV_PAID_CF",IQ_FY-1)/-I3492, _xll.ciqfunctions.udf.CIQ(A3483, "IQ_TOTAL_DIV_PAID_CF",IQ_FY)/-I3492)</f>
        <v>0</v>
      </c>
      <c r="I3492" s="17">
        <f>IF(A3491=A3492,_xll.ciqfunctions.udf.CIQ(A3483,"IQ_TOTAL_OUTSTANDING_FILING_DATE",IQ_FY-1), _xll.ciqfunctions.udf.CIQ(A3483, "IQ_TOTAL_OUTSTANDING_FILING_DATE",IQ_FY))</f>
        <v>107.61615</v>
      </c>
      <c r="J3492" s="17">
        <f>IF(A3491=A3492,_xll.ciqfunctions.udf.CIQ(A3483,"IQ_CASH_OPER",IQ_FY-1), _xll.ciqfunctions.udf.CIQ(A3483, "IQ_CASH_OPER",IQ_FY))</f>
        <v>11.871</v>
      </c>
      <c r="K3492" s="17">
        <f>IF(A3491=A3492,_xll.ciqfunctions.udf.CIQ(A3483,"IQ_CAPEX",IQ_FY-1), _xll.ciqfunctions.udf.CIQ(A3483, "IQ_CAPEX",IQ_FY))</f>
        <v>-11.396000000000001</v>
      </c>
      <c r="L3492" s="15">
        <f t="shared" si="928"/>
        <v>4.4138356557078063E-3</v>
      </c>
      <c r="M3492" s="17">
        <f>IF(A3491=A3492,_xll.ciqfunctions.udf.CIQ(A3483,"IQ_TOTAL_DEBT_ISSUED",IQ_FY-1), _xll.ciqfunctions.udf.CIQ(A3483, "IQ_TOTAL_DEBT_ISSUED",IQ_FY))</f>
        <v>0</v>
      </c>
      <c r="N3492" s="17">
        <f>IF(A3491=A3492,_xll.ciqfunctions.udf.CIQ(A3483,"IQ_TOTAL_DEBT_REPAID",IQ_FY-1), _xll.ciqfunctions.udf.CIQ(A3483, "IQ_TOTAL_DEBT_REPAID",IQ_FY))</f>
        <v>0</v>
      </c>
      <c r="O3492" s="15">
        <f t="shared" si="929"/>
        <v>0</v>
      </c>
      <c r="P3492" s="15">
        <f t="shared" si="930"/>
        <v>4.4138356557078063E-3</v>
      </c>
      <c r="Q3492" s="25" t="s">
        <v>44</v>
      </c>
      <c r="R3492" s="38" t="s">
        <v>35</v>
      </c>
      <c r="S3492" s="1" t="str">
        <f>_xll.ciqfunctions.udf.CIQ(A3483,"IQ_TEV_EBITDA")</f>
        <v>NM</v>
      </c>
      <c r="U3492" s="25" t="s">
        <v>55</v>
      </c>
      <c r="V3492" s="38" t="s">
        <v>53</v>
      </c>
      <c r="W3492" s="1">
        <f>V3482/(AVERAGE(D3488:D3493)/_xlfn.STDEV.P(E3488:E3493))</f>
        <v>1.2391540542593558</v>
      </c>
      <c r="Y3492" s="25" t="s">
        <v>57</v>
      </c>
      <c r="Z3492" s="38" t="s">
        <v>53</v>
      </c>
      <c r="AA3492" s="1">
        <f>Z3482/(AVERAGE(D3488:D3493)/_xlfn.STDEV.P(E3488:E3493))</f>
        <v>1.2391540542593558</v>
      </c>
    </row>
    <row r="3493" spans="1:27">
      <c r="B3493" s="13">
        <v>11</v>
      </c>
      <c r="C3493" s="20" t="s">
        <v>36</v>
      </c>
      <c r="D3493" s="21" cm="1">
        <f t="array" ref="D3493">_xlfn.SINGLE(IF(A3491=A3492,_xll.ciqfunctions.udf.CIQ(A3483,"IQ_TOTAL_REV",IQ_FY)/I3493, _xll.ciqfunctions.udf.CIQ(A3483, "IQ_TOTAL_REV",IQ_LTM)/I3493))</f>
        <v>4.4760376624575757</v>
      </c>
      <c r="E3493" s="22">
        <f t="shared" si="931"/>
        <v>1.7017233747331974E-2</v>
      </c>
      <c r="F3493" s="21">
        <f>IF(A3491=A3492,_xll.ciqfunctions.udf.CIQ(A3483,"IQ_DILUT_EPS_EXCL",IQ_FY), _xll.ciqfunctions.udf.CIQ(A3483, "IQ_DILUT_EPS_EXCL",IQ_LTM))</f>
        <v>-1.0144</v>
      </c>
      <c r="G3493" s="21">
        <f>IF(A3491=A3492,_xll.ciqfunctions.udf.CIQ(A3483,"IQ_EBITDA_MARGIN",IQ_FY), _xll.ciqfunctions.udf.CIQ(A3483, "IQ_EBITDA_MARGIN",IQ_LTM))</f>
        <v>-22.3887</v>
      </c>
      <c r="H3493" s="21">
        <f>IF(A3491=A3492,_xll.ciqfunctions.udf.CIQ(A3483,"IQ_TOTAL_DIV_PAID_CF",IQ_FY)/-I3493, _xll.ciqfunctions.udf.CIQ(A3483, "IQ_TOTAL_DIV_PAID_CF",IQ_LTM)/-I3493)</f>
        <v>0</v>
      </c>
      <c r="I3493" s="23">
        <f>IF(A3491=A3492,_xll.ciqfunctions.udf.CIQ(A3483,"IQ_TOTAL_OUTSTANDING_FILING_DATE",IQ_FY),_xll.ciqfunctions.udf.CIQ(A3483,"IQ_sharesoutstanding"))</f>
        <v>108.95305999999999</v>
      </c>
      <c r="J3493" s="23">
        <f>IF(A3491=A3492,_xll.ciqfunctions.udf.CIQ(A3483,"IQ_CASH_OPER",IQ_FY), _xll.ciqfunctions.udf.CIQ(A3483, "IQ_CASH_OPER",IQ_LTM))</f>
        <v>52.402999999999999</v>
      </c>
      <c r="K3493" s="23">
        <f>IF(A3491=A3492,_xll.ciqfunctions.udf.CIQ(A3483,"IQ_CAPEX",IQ_FY), _xll.ciqfunctions.udf.CIQ(A3483, "IQ_CAPEX",IQ_LTM))</f>
        <v>-6.7069999999999999</v>
      </c>
      <c r="L3493" s="21">
        <f t="shared" si="928"/>
        <v>0.41940997343259567</v>
      </c>
      <c r="M3493" s="23">
        <f>IF(A3491=A3492,_xll.ciqfunctions.udf.CIQ(A3483,"IQ_TOTAL_DEBT_ISSUED",IQ_FY), _xll.ciqfunctions.udf.CIQ(A3483, "IQ_TOTAL_DEBT_ISSUED",IQ_LTM))</f>
        <v>0</v>
      </c>
      <c r="N3493" s="23">
        <f>IF(A3491=A3492,_xll.ciqfunctions.udf.CIQ(A3483,"IQ_TOTAL_DEBT_REPAID",IQ_FY), _xll.ciqfunctions.udf.CIQ(A3483, "IQ_TOTAL_DEBT_REPAID",IQ_LTM))</f>
        <v>0</v>
      </c>
      <c r="O3493" s="21">
        <f t="shared" si="929"/>
        <v>0</v>
      </c>
      <c r="P3493" s="21">
        <f t="shared" si="930"/>
        <v>0.41940997343259567</v>
      </c>
      <c r="Q3493" s="25" t="s">
        <v>45</v>
      </c>
      <c r="S3493" s="45"/>
      <c r="U3493" s="25"/>
      <c r="W3493" s="45"/>
      <c r="Y3493" s="25"/>
      <c r="AA3493" s="45"/>
    </row>
    <row r="3494" spans="1:27">
      <c r="B3494" s="24"/>
      <c r="C3494" s="25" t="s">
        <v>37</v>
      </c>
      <c r="E3494" s="26">
        <f>((D3493/D3488)^(1/5))-1</f>
        <v>8.0038059213564328E-2</v>
      </c>
      <c r="F3494" s="27">
        <f>((F3493/F3488)^(1/5))-1</f>
        <v>0.253143775195253</v>
      </c>
      <c r="G3494" s="28"/>
      <c r="H3494" s="27" t="e">
        <f>((H3493/H3488)^(1/5))-1</f>
        <v>#DIV/0!</v>
      </c>
      <c r="I3494" s="27">
        <f>((I3493/I3488)^(1/5))-1</f>
        <v>4.1890840697506704E-2</v>
      </c>
      <c r="J3494" s="27"/>
      <c r="K3494" s="27"/>
      <c r="L3494" s="26">
        <f>((L3493/L3488)^(1/5))-1</f>
        <v>0.21664504093900483</v>
      </c>
      <c r="M3494" s="26"/>
      <c r="N3494" s="26"/>
      <c r="O3494" s="26"/>
      <c r="P3494" s="26">
        <f>((P3493/P3488)^(1/5))-1</f>
        <v>0.21664504093900483</v>
      </c>
      <c r="Q3494" s="18"/>
      <c r="R3494" s="36"/>
      <c r="S3494" s="45"/>
      <c r="U3494" s="18"/>
      <c r="V3494" s="36"/>
      <c r="W3494" s="45"/>
      <c r="Y3494" s="18"/>
      <c r="Z3494" s="36"/>
      <c r="AA3494" s="45"/>
    </row>
    <row r="3495" spans="1:27">
      <c r="A3495" s="29"/>
      <c r="B3495" s="30"/>
      <c r="C3495" s="31" t="s">
        <v>38</v>
      </c>
      <c r="D3495" s="29"/>
      <c r="E3495" s="32">
        <f>((D3493/D3483)^(1/10))-1</f>
        <v>0.15675304131860912</v>
      </c>
      <c r="F3495" s="33">
        <f>((F3493/F3483)^(1/10))-1</f>
        <v>4.6799153105379077E-2</v>
      </c>
      <c r="G3495" s="34"/>
      <c r="H3495" s="33" t="e">
        <f>((H3493/H3483)^(1/10))-1</f>
        <v>#DIV/0!</v>
      </c>
      <c r="I3495" s="33">
        <f>((I3493/I3483)^(1/10))-1</f>
        <v>4.3012396175315493E-2</v>
      </c>
      <c r="J3495" s="33"/>
      <c r="K3495" s="33"/>
      <c r="L3495" s="32" t="e">
        <f>((L3493/L3483)^(1/10))-1</f>
        <v>#NUM!</v>
      </c>
      <c r="M3495" s="32"/>
      <c r="N3495" s="32"/>
      <c r="O3495" s="32"/>
      <c r="P3495" s="32" t="e">
        <f>((P3493/P3483)^(1/10))-1</f>
        <v>#NUM!</v>
      </c>
      <c r="Q3495" s="40"/>
      <c r="R3495" s="41"/>
      <c r="S3495" s="46"/>
      <c r="U3495" s="40"/>
      <c r="V3495" s="41"/>
      <c r="W3495" s="46"/>
      <c r="Y3495" s="40"/>
      <c r="Z3495" s="41"/>
      <c r="AA3495" s="46"/>
    </row>
    <row r="3496" spans="1:27">
      <c r="B3496" s="24"/>
      <c r="C3496" s="25"/>
      <c r="E3496" s="26"/>
      <c r="F3496" s="27"/>
      <c r="G3496" s="28"/>
      <c r="H3496" s="27"/>
      <c r="I3496" s="27"/>
      <c r="J3496" s="27"/>
      <c r="K3496" s="27"/>
      <c r="L3496" s="26"/>
      <c r="M3496" s="17"/>
      <c r="N3496" s="17"/>
      <c r="O3496" s="17"/>
      <c r="P3496" s="35"/>
      <c r="Q3496" s="18"/>
      <c r="R3496" s="36"/>
    </row>
    <row r="3497" spans="1:27">
      <c r="A3497" s="9" t="s">
        <v>0</v>
      </c>
      <c r="B3497" s="10"/>
      <c r="C3497" s="9" t="s">
        <v>1</v>
      </c>
      <c r="D3497" s="9" t="s">
        <v>2</v>
      </c>
      <c r="E3497" s="9" t="s">
        <v>3</v>
      </c>
      <c r="F3497" s="11" t="s">
        <v>4</v>
      </c>
      <c r="G3497" s="11" t="s">
        <v>5</v>
      </c>
      <c r="H3497" s="9" t="s">
        <v>6</v>
      </c>
      <c r="I3497" s="11" t="s">
        <v>7</v>
      </c>
      <c r="J3497" s="11" t="s">
        <v>8</v>
      </c>
      <c r="K3497" s="11" t="s">
        <v>9</v>
      </c>
      <c r="L3497" s="11" t="s">
        <v>10</v>
      </c>
      <c r="M3497" s="11" t="s">
        <v>11</v>
      </c>
      <c r="N3497" s="11" t="s">
        <v>12</v>
      </c>
      <c r="O3497" s="11" t="s">
        <v>13</v>
      </c>
      <c r="P3497" s="11" t="s">
        <v>14</v>
      </c>
      <c r="Q3497" s="37" t="s">
        <v>15</v>
      </c>
      <c r="R3497" s="42">
        <f>_xll.ciqfunctions.udf.CIQ(A3498,("IQ_LASTSALEPRICE"))</f>
        <v>21.725000000000001</v>
      </c>
      <c r="S3497" s="44"/>
      <c r="U3497" s="37" t="s">
        <v>15</v>
      </c>
      <c r="V3497" s="42">
        <f>_xll.ciqfunctions.udf.CIQ(A3498,("IQ_LASTSALEPRICE"))</f>
        <v>21.725000000000001</v>
      </c>
      <c r="W3497" s="44"/>
      <c r="Y3497" s="37" t="s">
        <v>15</v>
      </c>
      <c r="Z3497" s="42">
        <f>_xll.ciqfunctions.udf.CIQ(A3498,("IQ_LASTSALEPRICE"))</f>
        <v>21.725000000000001</v>
      </c>
      <c r="AA3497" s="44"/>
    </row>
    <row r="3498" spans="1:27">
      <c r="A3498" s="12" t="str">
        <f>Analysis!B235</f>
        <v>NYSE:PD</v>
      </c>
      <c r="B3498" s="13">
        <v>1</v>
      </c>
      <c r="C3498" s="14" t="s">
        <v>16</v>
      </c>
      <c r="D3498" s="15" t="e">
        <f>IF(A3506=A3507,_xll.ciqfunctions.udf.CIQ(A3498,"IQ_TOTAL_REV",IQ_FY-10)/I3498,_xll.ciqfunctions.udf.CIQ(A3498, "IQ_TOTAL_REV",IQ_FY-9)/I3498)</f>
        <v>#DIV/0!</v>
      </c>
      <c r="E3498" s="16"/>
      <c r="F3498" s="15">
        <f>IF(A3506=A3507,_xll.ciqfunctions.udf.CIQ(A3498,"IQ_DILUT_EPS_EXCL",IQ_FY-10), _xll.ciqfunctions.udf.CIQ(A3498, "IQ_DILUT_EPS_EXCL",IQ_FY-9))</f>
        <v>0</v>
      </c>
      <c r="G3498" s="15">
        <f>IF(A3506=A3507,_xll.ciqfunctions.udf.CIQ(A3498,"IQ_EBITDA_MARGIN",IQ_FY-10), _xll.ciqfunctions.udf.CIQ(A3498, "IQ_EBITDA_MARGIN",IQ_FY-9))</f>
        <v>0</v>
      </c>
      <c r="H3498" s="15" t="e">
        <f>IF(A3506=A3507,_xll.ciqfunctions.udf.CIQ(A3498,"IQ_TOTAL_DIV_PAID_CF",IQ_FY-10)/-I3498, _xll.ciqfunctions.udf.CIQ(A3498, "IQ_TOTAL_DIV_PAID_CF",IQ_FY-9)/-I3498)</f>
        <v>#DIV/0!</v>
      </c>
      <c r="I3498" s="17">
        <f>IF(A3506=A3507,_xll.ciqfunctions.udf.CIQ(A3498,"IQ_TOTAL_OUTSTANDING_FILING_DATE",IQ_FY-10), _xll.ciqfunctions.udf.CIQ(A3498, "IQ_TOTAL_OUTSTANDING_FILING_DATE",IQ_FY-9))</f>
        <v>0</v>
      </c>
      <c r="J3498" s="17">
        <f>IF(A3506=A3507,_xll.ciqfunctions.udf.CIQ(A3498,"IQ_CASH_OPER",IQ_FY-10), _xll.ciqfunctions.udf.CIQ(A3498, "IQ_CASH_OPER",IQ_FY-9))</f>
        <v>0</v>
      </c>
      <c r="K3498" s="17">
        <f>IF(A3506=A3507,_xll.ciqfunctions.udf.CIQ(A3498,"IQ_CAPEX",IQ_FY-10), _xll.ciqfunctions.udf.CIQ(A3498, "IQ_CAPEX",IQ_FY-9))</f>
        <v>0</v>
      </c>
      <c r="L3498" s="15" t="e">
        <f t="shared" ref="L3498:L3508" si="932">(J3498+K3498)/I3498</f>
        <v>#DIV/0!</v>
      </c>
      <c r="M3498" s="17">
        <f>IF(A3506=A3507,_xll.ciqfunctions.udf.CIQ(A3498,"IQ_TOTAL_DEBT_ISSUED",IQ_FY-10), _xll.ciqfunctions.udf.CIQ(A3498, "IQ_TOTAL_DEBT_ISSUED",IQ_FY-9))</f>
        <v>0</v>
      </c>
      <c r="N3498" s="17">
        <f>IF(A3506=A3507,_xll.ciqfunctions.udf.CIQ(A3498,"IQ_TOTAL_DEBT_REPAID",IQ_FY-10), _xll.ciqfunctions.udf.CIQ(A3498, "IQ_TOTAL_DEBT_REPAID",IQ_FY-9))</f>
        <v>0</v>
      </c>
      <c r="O3498" s="15" t="e">
        <f t="shared" ref="O3498:O3508" si="933">(M3498+N3498)/I3498</f>
        <v>#DIV/0!</v>
      </c>
      <c r="P3498" s="15" t="e">
        <f t="shared" ref="P3498:P3508" si="934">L3498+O3498</f>
        <v>#DIV/0!</v>
      </c>
      <c r="W3498" s="43"/>
      <c r="AA3498" s="43"/>
    </row>
    <row r="3499" spans="1:27">
      <c r="A3499" s="18" t="str">
        <f>_xll.ciqfunctions.udf.CIQ(A3498,"IQ_COMPANY_NAME")</f>
        <v>PagerDuty, Inc.</v>
      </c>
      <c r="B3499" s="13">
        <v>2</v>
      </c>
      <c r="C3499" s="14" t="s">
        <v>17</v>
      </c>
      <c r="D3499" s="15" t="e">
        <f>IF(A3506=A3507,_xll.ciqfunctions.udf.CIQ(A3498,"IQ_TOTAL_REV",IQ_FY-9)/I3499, _xll.ciqfunctions.udf.CIQ(A3498, "IQ_TOTAL_REV",IQ_FY-8)/I3499)</f>
        <v>#DIV/0!</v>
      </c>
      <c r="E3499" s="16" t="e">
        <f t="shared" ref="E3499:E3508" si="935">(D3499-D3498)/D3498</f>
        <v>#DIV/0!</v>
      </c>
      <c r="F3499" s="15">
        <f>IF(A3506=A3507,_xll.ciqfunctions.udf.CIQ(A3498,"IQ_DILUT_EPS_EXCL",IQ_FY-9), _xll.ciqfunctions.udf.CIQ(A3498, "IQ_DILUT_EPS_EXCL",IQ_FY-8))</f>
        <v>0</v>
      </c>
      <c r="G3499" s="15">
        <f>IF(A3506=A3507,_xll.ciqfunctions.udf.CIQ(A3498,"IQ_EBITDA_MARGIN",IQ_FY-9), _xll.ciqfunctions.udf.CIQ(A3498, "IQ_EBITDA_MARGIN",IQ_FY-8))</f>
        <v>0</v>
      </c>
      <c r="H3499" s="15" t="e">
        <f>IF(A3506=A3507,_xll.ciqfunctions.udf.CIQ(A3498,"IQ_TOTAL_DIV_PAID_CF",IQ_FY-9)/-I3499, _xll.ciqfunctions.udf.CIQ(A3498, "IQ_TOTAL_DIV_PAID_CF",IQ_FY-8)/-I3499)</f>
        <v>#DIV/0!</v>
      </c>
      <c r="I3499" s="17">
        <f>IF(A3506=A3507,_xll.ciqfunctions.udf.CIQ(A3498,"IQ_TOTAL_OUTSTANDING_FILING_DATE",IQ_FY-9), _xll.ciqfunctions.udf.CIQ(A3498, "IQ_TOTAL_OUTSTANDING_FILING_DATE",IQ_FY-8))</f>
        <v>0</v>
      </c>
      <c r="J3499" s="17">
        <f>IF(A3506=A3507,_xll.ciqfunctions.udf.CIQ(A3498,"IQ_CASH_OPER",IQ_FY-9), _xll.ciqfunctions.udf.CIQ(A3498, "IQ_CASH_OPER",IQ_FY-8))</f>
        <v>0</v>
      </c>
      <c r="K3499" s="17">
        <f>IF(A3506=A3507,_xll.ciqfunctions.udf.CIQ(A3498,"IQ_CAPEX",IQ_FY-9), _xll.ciqfunctions.udf.CIQ(A3498, "IQ_CAPEX",IQ_FY-8))</f>
        <v>0</v>
      </c>
      <c r="L3499" s="15" t="e">
        <f t="shared" si="932"/>
        <v>#DIV/0!</v>
      </c>
      <c r="M3499" s="17">
        <f>IF(A3506=A3507,_xll.ciqfunctions.udf.CIQ(A3498,"IQ_TOTAL_DEBT_ISSUED",IQ_FY-9), _xll.ciqfunctions.udf.CIQ(A3498, "IQ_TOTAL_DEBT_ISSUED",IQ_FY-8))</f>
        <v>0</v>
      </c>
      <c r="N3499" s="17">
        <f>IF(A3506=A3507,_xll.ciqfunctions.udf.CIQ(A3498,"IQ_TOTAL_DEBT_REPAID",IQ_FY-9), _xll.ciqfunctions.udf.CIQ(A3498, "IQ_TOTAL_DEBT_REPAID",IQ_FY-8))</f>
        <v>0</v>
      </c>
      <c r="O3499" s="15" t="e">
        <f t="shared" si="933"/>
        <v>#DIV/0!</v>
      </c>
      <c r="P3499" s="15" t="e">
        <f t="shared" si="934"/>
        <v>#DIV/0!</v>
      </c>
      <c r="Q3499" s="25" t="s">
        <v>18</v>
      </c>
      <c r="R3499" s="39" t="s">
        <v>19</v>
      </c>
      <c r="S3499" s="1">
        <f>R3497/((AVERAGE(P3503:P3508))*(1+E3509)^3)</f>
        <v>39.994543402507077</v>
      </c>
      <c r="U3499" s="25" t="s">
        <v>48</v>
      </c>
      <c r="V3499" s="39" t="s">
        <v>19</v>
      </c>
      <c r="W3499" s="1">
        <f>V3497/((AVERAGE(P3503:P3508))*(1+E3509)^3)</f>
        <v>39.994543402507077</v>
      </c>
      <c r="Y3499" s="25" t="s">
        <v>39</v>
      </c>
      <c r="Z3499" s="39" t="s">
        <v>19</v>
      </c>
      <c r="AA3499" s="1">
        <f>Z3497/((AVERAGE(P3503:P3508))*(1+E3509)^3)</f>
        <v>39.994543402507077</v>
      </c>
    </row>
    <row r="3500" spans="1:27">
      <c r="B3500" s="13">
        <v>3</v>
      </c>
      <c r="C3500" s="14" t="s">
        <v>20</v>
      </c>
      <c r="D3500" s="15" t="e" cm="1">
        <f t="array" ref="D3500">_xlfn.SINGLE(IF(A3506=A3507,_xll.ciqfunctions.udf.CIQ(A3498,"IQ_TOTAL_REV",IQ_FY-8)/I3500, _xll.ciqfunctions.udf.CIQ(A3498, "IQ_TOTAL_REV",IQ_FY-7)/I3500))</f>
        <v>#DIV/0!</v>
      </c>
      <c r="E3500" s="16" t="e">
        <f t="shared" si="935"/>
        <v>#DIV/0!</v>
      </c>
      <c r="F3500" s="15">
        <f>IF(A3506=A3507,_xll.ciqfunctions.udf.CIQ(A3498,"IQ_DILUT_EPS_EXCL",IQ_FY-8), _xll.ciqfunctions.udf.CIQ(A3498, "IQ_DILUT_EPS_EXCL",IQ_FY-7))</f>
        <v>0</v>
      </c>
      <c r="G3500" s="15">
        <f>IF(A3506=A3507,_xll.ciqfunctions.udf.CIQ(A3498,"IQ_EBITDA_MARGIN",IQ_FY-8), _xll.ciqfunctions.udf.CIQ(A3498, "IQ_EBITDA_MARGIN",IQ_FY-7))</f>
        <v>0</v>
      </c>
      <c r="H3500" s="15" t="e">
        <f>IF(A3506=A3507,_xll.ciqfunctions.udf.CIQ(A3498,"IQ_TOTAL_DIV_PAID_CF",IQ_FY-8)/-I3500, _xll.ciqfunctions.udf.CIQ(A3498, "IQ_TOTAL_DIV_PAID_CF",IQ_FY-7)/-I3500)</f>
        <v>#DIV/0!</v>
      </c>
      <c r="I3500" s="17">
        <f>IF(A3506=A3507,_xll.ciqfunctions.udf.CIQ(A3498,"IQ_TOTAL_OUTSTANDING_FILING_DATE",IQ_FY-8), _xll.ciqfunctions.udf.CIQ(A3498, "IQ_TOTAL_OUTSTANDING_FILING_DATE",IQ_FY-7))</f>
        <v>0</v>
      </c>
      <c r="J3500" s="17">
        <f>IF(A3506=A3507,_xll.ciqfunctions.udf.CIQ(A3498,"IQ_CASH_OPER",IQ_FY-8), _xll.ciqfunctions.udf.CIQ(A3498, "IQ_CASH_OPER",IQ_FY-7))</f>
        <v>0</v>
      </c>
      <c r="K3500" s="17">
        <f>IF(A3506=A3507,_xll.ciqfunctions.udf.CIQ(A3498,"IQ_CAPEX",IQ_FY-8), _xll.ciqfunctions.udf.CIQ(A3498, "IQ_CAPEX",IQ_FY-7))</f>
        <v>0</v>
      </c>
      <c r="L3500" s="15" t="e">
        <f t="shared" si="932"/>
        <v>#DIV/0!</v>
      </c>
      <c r="M3500" s="17">
        <f>IF(A3506=A3507,_xll.ciqfunctions.udf.CIQ(A3498,"IQ_TOTAL_DEBT_ISSUED",IQ_FY-8), _xll.ciqfunctions.udf.CIQ(A3498, "IQ_TOTAL_DEBT_ISSUED",IQ_FY-7))</f>
        <v>0</v>
      </c>
      <c r="N3500" s="17">
        <f>IF(A3506=A3507,_xll.ciqfunctions.udf.CIQ(A3498,"IQ_TOTAL_DEBT_REPAID",IQ_FY-8), _xll.ciqfunctions.udf.CIQ(A3498, "IQ_TOTAL_DEBT_REPAID",IQ_FY-7))</f>
        <v>0</v>
      </c>
      <c r="O3500" s="15" t="e">
        <f t="shared" si="933"/>
        <v>#DIV/0!</v>
      </c>
      <c r="P3500" s="15" t="e">
        <f t="shared" si="934"/>
        <v>#DIV/0!</v>
      </c>
      <c r="Q3500" s="25" t="s">
        <v>21</v>
      </c>
      <c r="R3500" s="38" t="s">
        <v>49</v>
      </c>
      <c r="S3500" s="2">
        <f>(R3497*I3508)/1000</f>
        <v>2.0271877752500003</v>
      </c>
      <c r="U3500" s="25" t="s">
        <v>59</v>
      </c>
      <c r="V3500" s="38" t="s">
        <v>49</v>
      </c>
      <c r="W3500" s="2">
        <f>(V3497*I3508)/1000</f>
        <v>2.0271877752500003</v>
      </c>
      <c r="Y3500" s="25" t="s">
        <v>46</v>
      </c>
      <c r="Z3500" s="38" t="s">
        <v>49</v>
      </c>
      <c r="AA3500" s="2">
        <f>(Z3497*I3508)/1000</f>
        <v>2.0271877752500003</v>
      </c>
    </row>
    <row r="3501" spans="1:27">
      <c r="A3501" s="18"/>
      <c r="B3501" s="13">
        <v>4</v>
      </c>
      <c r="C3501" s="14" t="s">
        <v>22</v>
      </c>
      <c r="D3501" s="15" t="e" cm="1">
        <f t="array" ref="D3501">_xlfn.SINGLE(IF(A3506=A3507,_xll.ciqfunctions.udf.CIQ(A3498,"IQ_TOTAL_REV",IQ_FY-7)/I3501, _xll.ciqfunctions.udf.CIQ(A3498, "IQ_TOTAL_REV",IQ_FY-6)/I3501))</f>
        <v>#DIV/0!</v>
      </c>
      <c r="E3501" s="16" t="e">
        <f t="shared" si="935"/>
        <v>#DIV/0!</v>
      </c>
      <c r="F3501" s="15">
        <f>IF(A3506=A3507,_xll.ciqfunctions.udf.CIQ(A3498,"IQ_DILUT_EPS_EXCL",IQ_FY-7), _xll.ciqfunctions.udf.CIQ(A3498, "IQ_DILUT_EPS_EXCL",IQ_FY-6))</f>
        <v>0</v>
      </c>
      <c r="G3501" s="15">
        <f>IF(A3506=A3507,_xll.ciqfunctions.udf.CIQ(A3498,"IQ_EBITDA_MARGIN",IQ_FY-7), _xll.ciqfunctions.udf.CIQ(A3498, "IQ_EBITDA_MARGIN",IQ_FY-6))</f>
        <v>0</v>
      </c>
      <c r="H3501" s="15" t="e">
        <f>IF(A3506=A3507,_xll.ciqfunctions.udf.CIQ(A3498,"IQ_TOTAL_DIV_PAID_CF",IQ_FY-7)/-I3501, _xll.ciqfunctions.udf.CIQ(A3498, "IQ_TOTAL_DIV_PAID_CF",IQ_FY-6)/-I3501)</f>
        <v>#DIV/0!</v>
      </c>
      <c r="I3501" s="17">
        <f>IF(A3506=A3507,_xll.ciqfunctions.udf.CIQ(A3498,"IQ_TOTAL_OUTSTANDING_FILING_DATE",IQ_FY-7), _xll.ciqfunctions.udf.CIQ(A3498, "IQ_TOTAL_OUTSTANDING_FILING_DATE",IQ_FY-6))</f>
        <v>0</v>
      </c>
      <c r="J3501" s="17">
        <f>IF(A3506=A3507,_xll.ciqfunctions.udf.CIQ(A3498,"IQ_CASH_OPER",IQ_FY-7), _xll.ciqfunctions.udf.CIQ(A3498, "IQ_CASH_OPER",IQ_FY-6))</f>
        <v>0</v>
      </c>
      <c r="K3501" s="17">
        <f>IF(A3506=A3507,_xll.ciqfunctions.udf.CIQ(A3498,"IQ_CAPEX",IQ_FY-7), _xll.ciqfunctions.udf.CIQ(A3498, "IQ_CAPEX",IQ_FY-6))</f>
        <v>0</v>
      </c>
      <c r="L3501" s="15" t="e">
        <f t="shared" si="932"/>
        <v>#DIV/0!</v>
      </c>
      <c r="M3501" s="17">
        <f>IF(A3506=A3507,_xll.ciqfunctions.udf.CIQ(A3498,"IQ_TOTAL_DEBT_ISSUED",IQ_FY-7), _xll.ciqfunctions.udf.CIQ(A3498, "IQ_TOTAL_DEBT_ISSUED",IQ_FY-6))</f>
        <v>0</v>
      </c>
      <c r="N3501" s="17">
        <f>IF(A3506=A3507,_xll.ciqfunctions.udf.CIQ(A3498,"IQ_TOTAL_DEBT_REPAID",IQ_FY-7), _xll.ciqfunctions.udf.CIQ(A3498, "IQ_TOTAL_DEBT_REPAID",IQ_FY-6))</f>
        <v>0</v>
      </c>
      <c r="O3501" s="15" t="e">
        <f t="shared" si="933"/>
        <v>#DIV/0!</v>
      </c>
      <c r="P3501" s="15" t="e">
        <f t="shared" si="934"/>
        <v>#DIV/0!</v>
      </c>
      <c r="Q3501" s="25" t="s">
        <v>23</v>
      </c>
      <c r="R3501" s="38" t="s">
        <v>24</v>
      </c>
      <c r="S3501" s="1" t="e">
        <f>R3497/(AVERAGE(H3503:H3508)*(1+H3509)/(0.5-H3509))</f>
        <v>#DIV/0!</v>
      </c>
      <c r="U3501" s="25" t="s">
        <v>40</v>
      </c>
      <c r="V3501" s="38" t="s">
        <v>24</v>
      </c>
      <c r="W3501" s="1" t="e">
        <f>V3497/(AVERAGE(H3503:H3508)*(1+H3509)/(0.5-H3509))</f>
        <v>#DIV/0!</v>
      </c>
      <c r="Y3501" s="25" t="s">
        <v>47</v>
      </c>
      <c r="Z3501" s="38" t="s">
        <v>24</v>
      </c>
      <c r="AA3501" s="1" t="e">
        <f>Z3497/(AVERAGE(H3503:H3508)*(1+H3509)/(0.5-H3509))</f>
        <v>#DIV/0!</v>
      </c>
    </row>
    <row r="3502" spans="1:27">
      <c r="B3502" s="13">
        <v>5</v>
      </c>
      <c r="C3502" s="14" t="s">
        <v>25</v>
      </c>
      <c r="D3502" s="15" cm="1">
        <f t="array" ref="D3502">_xlfn.SINGLE(IF(A3506=A3507,_xll.ciqfunctions.udf.CIQ(A3498,"IQ_TOTAL_REV",IQ_FY-6)/I3502, _xll.ciqfunctions.udf.CIQ(A3498, "IQ_TOTAL_REV",IQ_FY-5)/I3502))</f>
        <v>3.4549365719983096</v>
      </c>
      <c r="E3502" s="16" t="e">
        <f t="shared" si="935"/>
        <v>#DIV/0!</v>
      </c>
      <c r="F3502" s="15">
        <f>IF(A3506=A3507,_xll.ciqfunctions.udf.CIQ(A3498,"IQ_DILUT_EPS_EXCL",IQ_FY-6), _xll.ciqfunctions.udf.CIQ(A3498, "IQ_DILUT_EPS_EXCL",IQ_FY-5))</f>
        <v>-1.90879</v>
      </c>
      <c r="G3502" s="15">
        <f>IF(A3506=A3507,_xll.ciqfunctions.udf.CIQ(A3498,"IQ_EBITDA_MARGIN",IQ_FY-6), _xll.ciqfunctions.udf.CIQ(A3498, "IQ_EBITDA_MARGIN",IQ_FY-5))</f>
        <v>-46.427199999999999</v>
      </c>
      <c r="H3502" s="15">
        <f>IF(A3506=A3507,_xll.ciqfunctions.udf.CIQ(A3498,"IQ_TOTAL_DIV_PAID_CF",IQ_FY-6)/-I3502, _xll.ciqfunctions.udf.CIQ(A3498, "IQ_TOTAL_DIV_PAID_CF",IQ_FY-5)/-I3502)</f>
        <v>0</v>
      </c>
      <c r="I3502" s="17">
        <f>IF(A3506=A3507,_xll.ciqfunctions.udf.CIQ(A3498,"IQ_TOTAL_OUTSTANDING_FILING_DATE",IQ_FY-6), _xll.ciqfunctions.udf.CIQ(A3498, "IQ_TOTAL_OUTSTANDING_FILING_DATE",IQ_FY-5))</f>
        <v>23.048179999999999</v>
      </c>
      <c r="J3502" s="17">
        <f>IF(A3506=A3507,_xll.ciqfunctions.udf.CIQ(A3498,"IQ_CASH_OPER",IQ_FY-6), _xll.ciqfunctions.udf.CIQ(A3498, "IQ_CASH_OPER",IQ_FY-5))</f>
        <v>-11.836</v>
      </c>
      <c r="K3502" s="17">
        <f>IF(A3506=A3507,_xll.ciqfunctions.udf.CIQ(A3498,"IQ_CAPEX",IQ_FY-6), _xll.ciqfunctions.udf.CIQ(A3498, "IQ_CAPEX",IQ_FY-5))</f>
        <v>-0.82199999999999995</v>
      </c>
      <c r="L3502" s="15">
        <f t="shared" si="932"/>
        <v>-0.54919737697293236</v>
      </c>
      <c r="M3502" s="17">
        <f>IF(A3506=A3507,_xll.ciqfunctions.udf.CIQ(A3498,"IQ_TOTAL_DEBT_ISSUED",IQ_FY-6), _xll.ciqfunctions.udf.CIQ(A3498, "IQ_TOTAL_DEBT_ISSUED",IQ_FY-5))</f>
        <v>9.8239999999999998</v>
      </c>
      <c r="N3502" s="17">
        <f>IF(A3506=A3507,_xll.ciqfunctions.udf.CIQ(A3498,"IQ_TOTAL_DEBT_REPAID",IQ_FY-6), _xll.ciqfunctions.udf.CIQ(A3498, "IQ_TOTAL_DEBT_REPAID",IQ_FY-5))</f>
        <v>-10</v>
      </c>
      <c r="O3502" s="15">
        <f t="shared" si="933"/>
        <v>-7.6361777806317104E-3</v>
      </c>
      <c r="P3502" s="15">
        <f t="shared" si="934"/>
        <v>-0.55683355475356411</v>
      </c>
      <c r="Q3502" s="18"/>
      <c r="R3502" s="38" t="s">
        <v>50</v>
      </c>
      <c r="S3502" s="3">
        <f>I3509</f>
        <v>0.32107352331433359</v>
      </c>
      <c r="U3502" s="18"/>
      <c r="V3502" s="38" t="s">
        <v>50</v>
      </c>
      <c r="W3502" s="3">
        <f>I3509</f>
        <v>0.32107352331433359</v>
      </c>
      <c r="Y3502" s="18"/>
      <c r="Z3502" s="38" t="s">
        <v>50</v>
      </c>
      <c r="AA3502" s="3">
        <f>I3509</f>
        <v>0.32107352331433359</v>
      </c>
    </row>
    <row r="3503" spans="1:27">
      <c r="B3503" s="13">
        <v>6</v>
      </c>
      <c r="C3503" s="14" t="s">
        <v>26</v>
      </c>
      <c r="D3503" s="15" cm="1">
        <f t="array" ref="D3503">_xlfn.SINGLE(IF(A3506=A3507,_xll.ciqfunctions.udf.CIQ(A3498,"IQ_TOTAL_REV",IQ_FY-5)/I3503, _xll.ciqfunctions.udf.CIQ(A3498, "IQ_TOTAL_REV",IQ_FY-4)/I3503))</f>
        <v>5.0807850997329869</v>
      </c>
      <c r="E3503" s="16">
        <f t="shared" si="935"/>
        <v>0.47058708426427015</v>
      </c>
      <c r="F3503" s="15">
        <f>IF(A3506=A3507,_xll.ciqfunctions.udf.CIQ(A3498,"IQ_DILUT_EPS_EXCL",IQ_FY-5), _xll.ciqfunctions.udf.CIQ(A3498, "IQ_DILUT_EPS_EXCL",IQ_FY-4))</f>
        <v>-1.9029</v>
      </c>
      <c r="G3503" s="15">
        <f>IF(A3506=A3507,_xll.ciqfunctions.udf.CIQ(A3498,"IQ_EBITDA_MARGIN",IQ_FY-5), _xll.ciqfunctions.udf.CIQ(A3498, "IQ_EBITDA_MARGIN",IQ_FY-4))</f>
        <v>-34.482999999999997</v>
      </c>
      <c r="H3503" s="15">
        <f>IF(A3506=A3507,_xll.ciqfunctions.udf.CIQ(A3498,"IQ_TOTAL_DIV_PAID_CF",IQ_FY-5)/-I3503, _xll.ciqfunctions.udf.CIQ(A3498, "IQ_TOTAL_DIV_PAID_CF",IQ_FY-4)/-I3503)</f>
        <v>0</v>
      </c>
      <c r="I3503" s="17">
        <f>IF(A3506=A3507,_xll.ciqfunctions.udf.CIQ(A3498,"IQ_TOTAL_OUTSTANDING_FILING_DATE",IQ_FY-5), _xll.ciqfunctions.udf.CIQ(A3498, "IQ_TOTAL_OUTSTANDING_FILING_DATE",IQ_FY-4))</f>
        <v>23.189920000000001</v>
      </c>
      <c r="J3503" s="17">
        <f>IF(A3506=A3507,_xll.ciqfunctions.udf.CIQ(A3498,"IQ_CASH_OPER",IQ_FY-5), _xll.ciqfunctions.udf.CIQ(A3498, "IQ_CASH_OPER",IQ_FY-4))</f>
        <v>-5.6079999999999997</v>
      </c>
      <c r="K3503" s="17">
        <f>IF(A3506=A3507,_xll.ciqfunctions.udf.CIQ(A3498,"IQ_CAPEX",IQ_FY-5), _xll.ciqfunctions.udf.CIQ(A3498, "IQ_CAPEX",IQ_FY-4))</f>
        <v>-3.73</v>
      </c>
      <c r="L3503" s="15">
        <f t="shared" si="932"/>
        <v>-0.40267495532541719</v>
      </c>
      <c r="M3503" s="17">
        <f>IF(A3506=A3507,_xll.ciqfunctions.udf.CIQ(A3498,"IQ_TOTAL_DEBT_ISSUED",IQ_FY-5), _xll.ciqfunctions.udf.CIQ(A3498, "IQ_TOTAL_DEBT_ISSUED",IQ_FY-4))</f>
        <v>0</v>
      </c>
      <c r="N3503" s="17">
        <f>IF(A3506=A3507,_xll.ciqfunctions.udf.CIQ(A3498,"IQ_TOTAL_DEBT_REPAID",IQ_FY-5), _xll.ciqfunctions.udf.CIQ(A3498, "IQ_TOTAL_DEBT_REPAID",IQ_FY-4))</f>
        <v>0</v>
      </c>
      <c r="O3503" s="15">
        <f t="shared" si="933"/>
        <v>0</v>
      </c>
      <c r="P3503" s="15">
        <f t="shared" si="934"/>
        <v>-0.40267495532541719</v>
      </c>
      <c r="Q3503" s="25" t="s">
        <v>27</v>
      </c>
      <c r="R3503" s="38" t="s">
        <v>51</v>
      </c>
      <c r="S3503" s="4">
        <f>AVERAGE(F3503:F3508)/AVERAGE(D3503:D3508)</f>
        <v>-0.33965329525841986</v>
      </c>
      <c r="U3503" s="25" t="s">
        <v>58</v>
      </c>
      <c r="V3503" s="38" t="s">
        <v>51</v>
      </c>
      <c r="W3503" s="4">
        <f>AVERAGE(F3503:F3508)/AVERAGE(D3503:D3508)</f>
        <v>-0.33965329525841986</v>
      </c>
      <c r="Y3503" s="25" t="s">
        <v>56</v>
      </c>
      <c r="Z3503" s="38" t="s">
        <v>51</v>
      </c>
      <c r="AA3503" s="4">
        <f>AVERAGE(F3503:F3508)/AVERAGE(D3503:D3508)</f>
        <v>-0.33965329525841986</v>
      </c>
    </row>
    <row r="3504" spans="1:27">
      <c r="A3504" s="18"/>
      <c r="B3504" s="13">
        <v>7</v>
      </c>
      <c r="C3504" s="14" t="s">
        <v>28</v>
      </c>
      <c r="D3504" s="15" cm="1">
        <f t="array" ref="D3504">_xlfn.SINGLE(IF(A3506=A3507,_xll.ciqfunctions.udf.CIQ(A3498,"IQ_TOTAL_REV",IQ_FY-4)/I3504, _xll.ciqfunctions.udf.CIQ(A3498, "IQ_TOTAL_REV",IQ_FY-3)/I3504))</f>
        <v>2.1375996833775801</v>
      </c>
      <c r="E3504" s="16">
        <f t="shared" si="935"/>
        <v>-0.57927768220507525</v>
      </c>
      <c r="F3504" s="15">
        <f>IF(A3506=A3507,_xll.ciqfunctions.udf.CIQ(A3498,"IQ_DILUT_EPS_EXCL",IQ_FY-4), _xll.ciqfunctions.udf.CIQ(A3498, "IQ_DILUT_EPS_EXCL",IQ_FY-3))</f>
        <v>-0.76802000000000004</v>
      </c>
      <c r="G3504" s="15">
        <f>IF(A3506=A3507,_xll.ciqfunctions.udf.CIQ(A3498,"IQ_EBITDA_MARGIN",IQ_FY-4), _xll.ciqfunctions.udf.CIQ(A3498, "IQ_EBITDA_MARGIN",IQ_FY-3))</f>
        <v>-31.9937</v>
      </c>
      <c r="H3504" s="15">
        <f>IF(A3506=A3507,_xll.ciqfunctions.udf.CIQ(A3498,"IQ_TOTAL_DIV_PAID_CF",IQ_FY-4)/-I3504, _xll.ciqfunctions.udf.CIQ(A3498, "IQ_TOTAL_DIV_PAID_CF",IQ_FY-3)/-I3504)</f>
        <v>0</v>
      </c>
      <c r="I3504" s="17">
        <f>IF(A3506=A3507,_xll.ciqfunctions.udf.CIQ(A3498,"IQ_TOTAL_OUTSTANDING_FILING_DATE",IQ_FY-4), _xll.ciqfunctions.udf.CIQ(A3498, "IQ_TOTAL_OUTSTANDING_FILING_DATE",IQ_FY-3))</f>
        <v>77.821399999999997</v>
      </c>
      <c r="J3504" s="17">
        <f>IF(A3506=A3507,_xll.ciqfunctions.udf.CIQ(A3498,"IQ_CASH_OPER",IQ_FY-4), _xll.ciqfunctions.udf.CIQ(A3498, "IQ_CASH_OPER",IQ_FY-3))</f>
        <v>-0.17299999999999999</v>
      </c>
      <c r="K3504" s="17">
        <f>IF(A3506=A3507,_xll.ciqfunctions.udf.CIQ(A3498,"IQ_CAPEX",IQ_FY-4), _xll.ciqfunctions.udf.CIQ(A3498, "IQ_CAPEX",IQ_FY-3))</f>
        <v>-5.1740000000000004</v>
      </c>
      <c r="L3504" s="15">
        <f t="shared" si="932"/>
        <v>-6.870860714405036E-2</v>
      </c>
      <c r="M3504" s="17">
        <f>IF(A3506=A3507,_xll.ciqfunctions.udf.CIQ(A3498,"IQ_TOTAL_DEBT_ISSUED",IQ_FY-4), _xll.ciqfunctions.udf.CIQ(A3498, "IQ_TOTAL_DEBT_ISSUED",IQ_FY-3))</f>
        <v>0</v>
      </c>
      <c r="N3504" s="17">
        <f>IF(A3506=A3507,_xll.ciqfunctions.udf.CIQ(A3498,"IQ_TOTAL_DEBT_REPAID",IQ_FY-4), _xll.ciqfunctions.udf.CIQ(A3498, "IQ_TOTAL_DEBT_REPAID",IQ_FY-3))</f>
        <v>0</v>
      </c>
      <c r="O3504" s="15">
        <f t="shared" si="933"/>
        <v>0</v>
      </c>
      <c r="P3504" s="15">
        <f t="shared" si="934"/>
        <v>-6.870860714405036E-2</v>
      </c>
      <c r="Q3504" s="18"/>
      <c r="R3504" s="38" t="s">
        <v>29</v>
      </c>
      <c r="S3504" s="4">
        <f>(AVERAGE(P3503:P3508)/_xlfn.STDEV.P(P3503:P3508))/(IF(A3506=A3507,(_xlfn.SINGLE(_xll.ciqfunctions.udf.CIQ(A3498,"IQ_total_assets",IQ_FY)) - _xlfn.SINGLE(_xll.ciqfunctions.udf.CIQ(A3498,"iq_gw_intan", IQ_FY)))/I3508, (_xlfn.SINGLE(_xll.ciqfunctions.udf.CIQ(A3498, "IQ_total_assets",IQ_LTM))-_xlfn.SINGLE(_xll.ciqfunctions.udf.CIQ(A3498,"iq_gw_intan",IQ_LTM)))/I3508))</f>
        <v>6.2657718092656398E-2</v>
      </c>
      <c r="U3504" s="18"/>
      <c r="V3504" s="38" t="s">
        <v>29</v>
      </c>
      <c r="W3504" s="4">
        <f>(AVERAGE(P3503:P3508)/_xlfn.STDEV.P(P3503:P3508))/(IF(A3506=A3507,(_xlfn.SINGLE(_xll.ciqfunctions.udf.CIQ(A3498,"IQ_total_assets",IQ_FY)) - _xlfn.SINGLE(_xll.ciqfunctions.udf.CIQ(A3498,"iq_gw_intan", IQ_FY)))/I3508, (_xlfn.SINGLE(_xll.ciqfunctions.udf.CIQ(A3498, "IQ_total_assets",IQ_LTM))-_xlfn.SINGLE(_xll.ciqfunctions.udf.CIQ(A3498,"iq_gw_intan",IQ_LTM)))/I3508))</f>
        <v>6.2657718092656398E-2</v>
      </c>
      <c r="Y3504" s="18"/>
      <c r="Z3504" s="38" t="s">
        <v>29</v>
      </c>
      <c r="AA3504" s="4">
        <f>(AVERAGE(P3503:P3508)/_xlfn.STDEV.P(P3503:P3508))/(IF(A3506=A3507,(_xlfn.SINGLE(_xll.ciqfunctions.udf.CIQ(A3498,"IQ_total_assets",IQ_FY)) - _xlfn.SINGLE(_xll.ciqfunctions.udf.CIQ(A3498,"iq_gw_intan", IQ_FY)))/I3508, (_xlfn.SINGLE(_xll.ciqfunctions.udf.CIQ(A3498, "IQ_total_assets",IQ_LTM))-_xlfn.SINGLE(_xll.ciqfunctions.udf.CIQ(A3498,"iq_gw_intan",IQ_LTM)))/I3508))</f>
        <v>6.2657718092656398E-2</v>
      </c>
    </row>
    <row r="3505" spans="1:27">
      <c r="A3505" s="18"/>
      <c r="B3505" s="13">
        <v>8</v>
      </c>
      <c r="C3505" s="14" t="s">
        <v>30</v>
      </c>
      <c r="D3505" s="15" cm="1">
        <f t="array" ref="D3505">_xlfn.SINGLE(IF(A3506=A3507,_xll.ciqfunctions.udf.CIQ(A3498,"IQ_TOTAL_REV",IQ_FY-3)/I3505, _xll.ciqfunctions.udf.CIQ(A3498, "IQ_TOTAL_REV",IQ_FY-2)/I3505))</f>
        <v>2.5711696127232662</v>
      </c>
      <c r="E3505" s="16">
        <f t="shared" si="935"/>
        <v>0.20283027393632963</v>
      </c>
      <c r="F3505" s="15">
        <f>IF(A3506=A3507,_xll.ciqfunctions.udf.CIQ(A3498,"IQ_DILUT_EPS_EXCL",IQ_FY-3), _xll.ciqfunctions.udf.CIQ(A3498, "IQ_DILUT_EPS_EXCL",IQ_FY-2))</f>
        <v>-0.86546000000000001</v>
      </c>
      <c r="G3505" s="15">
        <f>IF(A3506=A3507,_xll.ciqfunctions.udf.CIQ(A3498,"IQ_EBITDA_MARGIN",IQ_FY-3), _xll.ciqfunctions.udf.CIQ(A3498, "IQ_EBITDA_MARGIN",IQ_FY-2))</f>
        <v>-27.117899999999999</v>
      </c>
      <c r="H3505" s="15">
        <f>IF(A3506=A3507,_xll.ciqfunctions.udf.CIQ(A3498,"IQ_TOTAL_DIV_PAID_CF",IQ_FY-3)/-I3505, _xll.ciqfunctions.udf.CIQ(A3498, "IQ_TOTAL_DIV_PAID_CF",IQ_FY-2)/-I3505)</f>
        <v>0</v>
      </c>
      <c r="I3505" s="17">
        <f>IF(A3506=A3507,_xll.ciqfunctions.udf.CIQ(A3498,"IQ_TOTAL_OUTSTANDING_FILING_DATE",IQ_FY-3), _xll.ciqfunctions.udf.CIQ(A3498, "IQ_TOTAL_OUTSTANDING_FILING_DATE",IQ_FY-2))</f>
        <v>83.057919999999996</v>
      </c>
      <c r="J3505" s="17">
        <f>IF(A3506=A3507,_xll.ciqfunctions.udf.CIQ(A3498,"IQ_CASH_OPER",IQ_FY-3), _xll.ciqfunctions.udf.CIQ(A3498, "IQ_CASH_OPER",IQ_FY-2))</f>
        <v>10.095000000000001</v>
      </c>
      <c r="K3505" s="17">
        <f>IF(A3506=A3507,_xll.ciqfunctions.udf.CIQ(A3498,"IQ_CAPEX",IQ_FY-3), _xll.ciqfunctions.udf.CIQ(A3498, "IQ_CAPEX",IQ_FY-2))</f>
        <v>-4.0380000000000003</v>
      </c>
      <c r="L3505" s="15">
        <f t="shared" si="932"/>
        <v>7.292501425511258E-2</v>
      </c>
      <c r="M3505" s="17">
        <f>IF(A3506=A3507,_xll.ciqfunctions.udf.CIQ(A3498,"IQ_TOTAL_DEBT_ISSUED",IQ_FY-3), _xll.ciqfunctions.udf.CIQ(A3498, "IQ_TOTAL_DEBT_ISSUED",IQ_FY-2))</f>
        <v>287.5</v>
      </c>
      <c r="N3505" s="17">
        <f>IF(A3506=A3507,_xll.ciqfunctions.udf.CIQ(A3498,"IQ_TOTAL_DEBT_REPAID",IQ_FY-3), _xll.ciqfunctions.udf.CIQ(A3498, "IQ_TOTAL_DEBT_REPAID",IQ_FY-2))</f>
        <v>0</v>
      </c>
      <c r="O3505" s="15">
        <f t="shared" si="933"/>
        <v>3.4614399204795885</v>
      </c>
      <c r="P3505" s="15">
        <f t="shared" si="934"/>
        <v>3.5343649347347013</v>
      </c>
      <c r="Q3505" s="18"/>
      <c r="R3505" s="39" t="s">
        <v>31</v>
      </c>
      <c r="S3505" s="5" t="e">
        <f>IF(NOT(D3498&gt;0),FALSE,SLOPE(G3498:G3508,B3498:B3508))</f>
        <v>#DIV/0!</v>
      </c>
      <c r="U3505" s="18"/>
      <c r="V3505" s="39" t="s">
        <v>31</v>
      </c>
      <c r="W3505" s="5" t="e">
        <f>IF(NOT(D3498&gt;0),FALSE,SLOPE(G3498:G3508,B3498:B3508))</f>
        <v>#DIV/0!</v>
      </c>
      <c r="Y3505" s="18"/>
      <c r="Z3505" s="39" t="s">
        <v>31</v>
      </c>
      <c r="AA3505" s="5" t="e">
        <f>IF(NOT(L3498&gt;0),FALSE,SLOPE(O3498:O3508,J3498:J3508))</f>
        <v>#DIV/0!</v>
      </c>
    </row>
    <row r="3506" spans="1:27">
      <c r="A3506" s="19">
        <f>_xll.ciqfunctions.udf.CIQ(A3498,"IQ_TOTAL_REV",IQ_FY)</f>
        <v>370.79300000000001</v>
      </c>
      <c r="B3506" s="13">
        <v>9</v>
      </c>
      <c r="C3506" s="14" t="s">
        <v>32</v>
      </c>
      <c r="D3506" s="15" cm="1">
        <f t="array" ref="D3506">_xlfn.SINGLE(IF(A3506=A3507,_xll.ciqfunctions.udf.CIQ(A3498,"IQ_TOTAL_REV",IQ_FY-2)/I3506, _xll.ciqfunctions.udf.CIQ(A3498, "IQ_TOTAL_REV",IQ_FY-1)/I3506))</f>
        <v>3.2322737588707877</v>
      </c>
      <c r="E3506" s="16">
        <f t="shared" si="935"/>
        <v>0.25712195060026011</v>
      </c>
      <c r="F3506" s="15">
        <f>IF(A3506=A3507,_xll.ciqfunctions.udf.CIQ(A3498,"IQ_DILUT_EPS_EXCL",IQ_FY-2), _xll.ciqfunctions.udf.CIQ(A3498, "IQ_DILUT_EPS_EXCL",IQ_FY-1))</f>
        <v>-1.27145</v>
      </c>
      <c r="G3506" s="15">
        <f>IF(A3506=A3507,_xll.ciqfunctions.udf.CIQ(A3498,"IQ_EBITDA_MARGIN",IQ_FY-2), _xll.ciqfunctions.udf.CIQ(A3498, "IQ_EBITDA_MARGIN",IQ_FY-1))</f>
        <v>-33.175600000000003</v>
      </c>
      <c r="H3506" s="15">
        <f>IF(A3506=A3507,_xll.ciqfunctions.udf.CIQ(A3498,"IQ_TOTAL_DIV_PAID_CF",IQ_FY-2)/-I3506, _xll.ciqfunctions.udf.CIQ(A3498, "IQ_TOTAL_DIV_PAID_CF",IQ_FY-1)/-I3506)</f>
        <v>0</v>
      </c>
      <c r="I3506" s="17">
        <f>IF(A3506=A3507,_xll.ciqfunctions.udf.CIQ(A3498,"IQ_TOTAL_OUTSTANDING_FILING_DATE",IQ_FY-2), _xll.ciqfunctions.udf.CIQ(A3498, "IQ_TOTAL_OUTSTANDING_FILING_DATE",IQ_FY-1))</f>
        <v>87.058220000000006</v>
      </c>
      <c r="J3506" s="17">
        <f>IF(A3506=A3507,_xll.ciqfunctions.udf.CIQ(A3498,"IQ_CASH_OPER",IQ_FY-2), _xll.ciqfunctions.udf.CIQ(A3498, "IQ_CASH_OPER",IQ_FY-1))</f>
        <v>-6.0209999999999999</v>
      </c>
      <c r="K3506" s="17">
        <f>IF(A3506=A3507,_xll.ciqfunctions.udf.CIQ(A3498,"IQ_CAPEX",IQ_FY-2), _xll.ciqfunctions.udf.CIQ(A3498, "IQ_CAPEX",IQ_FY-1))</f>
        <v>-3.4569999999999999</v>
      </c>
      <c r="L3506" s="15">
        <f t="shared" si="932"/>
        <v>-0.10886967365057543</v>
      </c>
      <c r="M3506" s="17">
        <f>IF(A3506=A3507,_xll.ciqfunctions.udf.CIQ(A3498,"IQ_TOTAL_DEBT_ISSUED",IQ_FY-2), _xll.ciqfunctions.udf.CIQ(A3498, "IQ_TOTAL_DEBT_ISSUED",IQ_FY-1))</f>
        <v>0</v>
      </c>
      <c r="N3506" s="17">
        <f>IF(A3506=A3507,_xll.ciqfunctions.udf.CIQ(A3498,"IQ_TOTAL_DEBT_REPAID",IQ_FY-2), _xll.ciqfunctions.udf.CIQ(A3498, "IQ_TOTAL_DEBT_REPAID",IQ_FY-1))</f>
        <v>0</v>
      </c>
      <c r="O3506" s="15">
        <f t="shared" si="933"/>
        <v>0</v>
      </c>
      <c r="P3506" s="15">
        <f t="shared" si="934"/>
        <v>-0.10886967365057543</v>
      </c>
      <c r="Q3506" s="25" t="s">
        <v>33</v>
      </c>
      <c r="R3506" s="38" t="s">
        <v>52</v>
      </c>
      <c r="S3506" s="4">
        <f>(AVERAGE(O3503:O3508)/AVERAGE(P3503:P3508))</f>
        <v>0.96774962005866616</v>
      </c>
      <c r="U3506" s="25" t="s">
        <v>54</v>
      </c>
      <c r="V3506" s="38" t="s">
        <v>52</v>
      </c>
      <c r="W3506" s="4">
        <f>(AVERAGE(O3503:O3508)/AVERAGE(P3503:P3508))</f>
        <v>0.96774962005866616</v>
      </c>
      <c r="Y3506" s="25" t="s">
        <v>60</v>
      </c>
      <c r="Z3506" s="38" t="s">
        <v>52</v>
      </c>
      <c r="AA3506" s="4">
        <f>(AVERAGE(O3503:O3508)/AVERAGE(P3503:P3508))</f>
        <v>0.96774962005866616</v>
      </c>
    </row>
    <row r="3507" spans="1:27">
      <c r="A3507" s="19">
        <f>_xll.ciqfunctions.udf.CIQ(A3498,"IQ_TOTAL_REV",IQ_LTM)</f>
        <v>406.03100000000001</v>
      </c>
      <c r="B3507" s="13">
        <v>10</v>
      </c>
      <c r="C3507" s="14" t="s">
        <v>34</v>
      </c>
      <c r="D3507" s="15" cm="1">
        <f t="array" ref="D3507">_xlfn.SINGLE(IF(A3506=A3507,_xll.ciqfunctions.udf.CIQ(A3498,"IQ_TOTAL_REV",IQ_FY-1)/I3507, _xll.ciqfunctions.udf.CIQ(A3498, "IQ_TOTAL_REV",IQ_FY)/I3507))</f>
        <v>4.0585781661009941</v>
      </c>
      <c r="E3507" s="16">
        <f t="shared" si="935"/>
        <v>0.25564183880231739</v>
      </c>
      <c r="F3507" s="15">
        <f>IF(A3506=A3507,_xll.ciqfunctions.udf.CIQ(A3498,"IQ_DILUT_EPS_EXCL",IQ_FY-1), _xll.ciqfunctions.udf.CIQ(A3498, "IQ_DILUT_EPS_EXCL",IQ_FY))</f>
        <v>-1.4474899999999999</v>
      </c>
      <c r="G3507" s="15">
        <f>IF(A3506=A3507,_xll.ciqfunctions.udf.CIQ(A3498,"IQ_EBITDA_MARGIN",IQ_FY-1), _xll.ciqfunctions.udf.CIQ(A3498, "IQ_EBITDA_MARGIN",IQ_FY))</f>
        <v>-30.322299999999998</v>
      </c>
      <c r="H3507" s="15">
        <f>IF(A3506=A3507,_xll.ciqfunctions.udf.CIQ(A3498,"IQ_TOTAL_DIV_PAID_CF",IQ_FY-1)/-I3507, _xll.ciqfunctions.udf.CIQ(A3498, "IQ_TOTAL_DIV_PAID_CF",IQ_FY)/-I3507)</f>
        <v>0</v>
      </c>
      <c r="I3507" s="17">
        <f>IF(A3506=A3507,_xll.ciqfunctions.udf.CIQ(A3498,"IQ_TOTAL_OUTSTANDING_FILING_DATE",IQ_FY-1), _xll.ciqfunctions.udf.CIQ(A3498, "IQ_TOTAL_OUTSTANDING_FILING_DATE",IQ_FY))</f>
        <v>91.360320000000002</v>
      </c>
      <c r="J3507" s="17">
        <f>IF(A3506=A3507,_xll.ciqfunctions.udf.CIQ(A3498,"IQ_CASH_OPER",IQ_FY-1), _xll.ciqfunctions.udf.CIQ(A3498, "IQ_CASH_OPER",IQ_FY))</f>
        <v>16.98</v>
      </c>
      <c r="K3507" s="17">
        <f>IF(A3506=A3507,_xll.ciqfunctions.udf.CIQ(A3498,"IQ_CAPEX",IQ_FY-1), _xll.ciqfunctions.udf.CIQ(A3498, "IQ_CAPEX",IQ_FY))</f>
        <v>-6.4820000000000002</v>
      </c>
      <c r="L3507" s="15">
        <f t="shared" si="932"/>
        <v>0.11490765356338507</v>
      </c>
      <c r="M3507" s="17">
        <f>IF(A3506=A3507,_xll.ciqfunctions.udf.CIQ(A3498,"IQ_TOTAL_DEBT_ISSUED",IQ_FY-1), _xll.ciqfunctions.udf.CIQ(A3498, "IQ_TOTAL_DEBT_ISSUED",IQ_FY))</f>
        <v>0</v>
      </c>
      <c r="N3507" s="17">
        <f>IF(A3506=A3507,_xll.ciqfunctions.udf.CIQ(A3498,"IQ_TOTAL_DEBT_REPAID",IQ_FY-1), _xll.ciqfunctions.udf.CIQ(A3498, "IQ_TOTAL_DEBT_REPAID",IQ_FY))</f>
        <v>0</v>
      </c>
      <c r="O3507" s="15">
        <f t="shared" si="933"/>
        <v>0</v>
      </c>
      <c r="P3507" s="15">
        <f t="shared" si="934"/>
        <v>0.11490765356338507</v>
      </c>
      <c r="Q3507" s="25" t="s">
        <v>44</v>
      </c>
      <c r="R3507" s="38" t="s">
        <v>35</v>
      </c>
      <c r="S3507" s="1" t="str">
        <f>_xll.ciqfunctions.udf.CIQ(A3498,"IQ_TEV_EBITDA")</f>
        <v>NM</v>
      </c>
      <c r="U3507" s="25" t="s">
        <v>55</v>
      </c>
      <c r="V3507" s="38" t="s">
        <v>53</v>
      </c>
      <c r="W3507" s="1">
        <f>V3497/(AVERAGE(D3503:D3508)/_xlfn.STDEV.P(E3503:E3508))</f>
        <v>2.0141031254609372</v>
      </c>
      <c r="Y3507" s="25" t="s">
        <v>57</v>
      </c>
      <c r="Z3507" s="38" t="s">
        <v>53</v>
      </c>
      <c r="AA3507" s="1">
        <f>Z3497/(AVERAGE(D3503:D3508)/_xlfn.STDEV.P(E3503:E3508))</f>
        <v>2.0141031254609372</v>
      </c>
    </row>
    <row r="3508" spans="1:27">
      <c r="B3508" s="13">
        <v>11</v>
      </c>
      <c r="C3508" s="20" t="s">
        <v>36</v>
      </c>
      <c r="D3508" s="21" cm="1">
        <f t="array" ref="D3508">_xlfn.SINGLE(IF(A3506=A3507,_xll.ciqfunctions.udf.CIQ(A3498,"IQ_TOTAL_REV",IQ_FY)/I3508, _xll.ciqfunctions.udf.CIQ(A3498, "IQ_TOTAL_REV",IQ_LTM)/I3508))</f>
        <v>4.3513598408081169</v>
      </c>
      <c r="E3508" s="22">
        <f t="shared" si="935"/>
        <v>7.2138976440705854E-2</v>
      </c>
      <c r="F3508" s="21">
        <f>IF(A3506=A3507,_xll.ciqfunctions.udf.CIQ(A3498,"IQ_DILUT_EPS_EXCL",IQ_FY), _xll.ciqfunctions.udf.CIQ(A3498, "IQ_DILUT_EPS_EXCL",IQ_LTM))</f>
        <v>-1.0240499999999999</v>
      </c>
      <c r="G3508" s="21">
        <f>IF(A3506=A3507,_xll.ciqfunctions.udf.CIQ(A3498,"IQ_EBITDA_MARGIN",IQ_FY), _xll.ciqfunctions.udf.CIQ(A3498, "IQ_EBITDA_MARGIN",IQ_LTM))</f>
        <v>-20.1248</v>
      </c>
      <c r="H3508" s="21">
        <f>IF(A3506=A3507,_xll.ciqfunctions.udf.CIQ(A3498,"IQ_TOTAL_DIV_PAID_CF",IQ_FY)/-I3508, _xll.ciqfunctions.udf.CIQ(A3498, "IQ_TOTAL_DIV_PAID_CF",IQ_LTM)/-I3508)</f>
        <v>0</v>
      </c>
      <c r="I3508" s="23">
        <f>IF(A3506=A3507,_xll.ciqfunctions.udf.CIQ(A3498,"IQ_TOTAL_OUTSTANDING_FILING_DATE",IQ_FY),_xll.ciqfunctions.udf.CIQ(A3498,"IQ_sharesoutstanding"))</f>
        <v>93.31129</v>
      </c>
      <c r="J3508" s="23">
        <f>IF(A3506=A3507,_xll.ciqfunctions.udf.CIQ(A3498,"IQ_CASH_OPER",IQ_FY), _xll.ciqfunctions.udf.CIQ(A3498, "IQ_CASH_OPER",IQ_LTM))</f>
        <v>50.026000000000003</v>
      </c>
      <c r="K3508" s="23">
        <f>IF(A3506=A3507,_xll.ciqfunctions.udf.CIQ(A3498,"IQ_CAPEX",IQ_FY), _xll.ciqfunctions.udf.CIQ(A3498, "IQ_CAPEX",IQ_LTM))</f>
        <v>-2.645</v>
      </c>
      <c r="L3508" s="21">
        <f t="shared" si="932"/>
        <v>0.50777349664761895</v>
      </c>
      <c r="M3508" s="23">
        <f>IF(A3506=A3507,_xll.ciqfunctions.udf.CIQ(A3498,"IQ_TOTAL_DEBT_ISSUED",IQ_FY), _xll.ciqfunctions.udf.CIQ(A3498, "IQ_TOTAL_DEBT_ISSUED",IQ_LTM))</f>
        <v>0</v>
      </c>
      <c r="N3508" s="23">
        <f>IF(A3506=A3507,_xll.ciqfunctions.udf.CIQ(A3498,"IQ_TOTAL_DEBT_REPAID",IQ_FY), _xll.ciqfunctions.udf.CIQ(A3498, "IQ_TOTAL_DEBT_REPAID",IQ_LTM))</f>
        <v>0</v>
      </c>
      <c r="O3508" s="21">
        <f t="shared" si="933"/>
        <v>0</v>
      </c>
      <c r="P3508" s="21">
        <f t="shared" si="934"/>
        <v>0.50777349664761895</v>
      </c>
      <c r="Q3508" s="25" t="s">
        <v>45</v>
      </c>
      <c r="S3508" s="45"/>
      <c r="U3508" s="25"/>
      <c r="W3508" s="45"/>
      <c r="Y3508" s="25"/>
      <c r="AA3508" s="45"/>
    </row>
    <row r="3509" spans="1:27">
      <c r="B3509" s="24"/>
      <c r="C3509" s="25" t="s">
        <v>37</v>
      </c>
      <c r="E3509" s="26">
        <f>((D3508/D3503)^(1/5))-1</f>
        <v>-3.0520043625946403E-2</v>
      </c>
      <c r="F3509" s="27">
        <f>((F3508/F3503)^(1/5))-1</f>
        <v>-0.11655190386417991</v>
      </c>
      <c r="G3509" s="28"/>
      <c r="H3509" s="27" t="e">
        <f>((H3508/H3503)^(1/5))-1</f>
        <v>#DIV/0!</v>
      </c>
      <c r="I3509" s="27">
        <f>((I3508/I3503)^(1/5))-1</f>
        <v>0.32107352331433359</v>
      </c>
      <c r="J3509" s="27"/>
      <c r="K3509" s="27"/>
      <c r="L3509" s="26">
        <f>((L3508/L3503)^(1/5))-1</f>
        <v>-2.0474735901980696</v>
      </c>
      <c r="M3509" s="26"/>
      <c r="N3509" s="26"/>
      <c r="O3509" s="26"/>
      <c r="P3509" s="26">
        <f>((P3508/P3503)^(1/5))-1</f>
        <v>-2.0474735901980696</v>
      </c>
      <c r="Q3509" s="18"/>
      <c r="R3509" s="36"/>
      <c r="S3509" s="45"/>
      <c r="U3509" s="18"/>
      <c r="V3509" s="36"/>
      <c r="W3509" s="45"/>
      <c r="Y3509" s="18"/>
      <c r="Z3509" s="36"/>
      <c r="AA3509" s="45"/>
    </row>
    <row r="3510" spans="1:27">
      <c r="A3510" s="29"/>
      <c r="B3510" s="30"/>
      <c r="C3510" s="31" t="s">
        <v>38</v>
      </c>
      <c r="D3510" s="29"/>
      <c r="E3510" s="32" t="e">
        <f>((D3508/D3498)^(1/10))-1</f>
        <v>#DIV/0!</v>
      </c>
      <c r="F3510" s="33" t="e">
        <f>((F3508/F3498)^(1/10))-1</f>
        <v>#DIV/0!</v>
      </c>
      <c r="G3510" s="34"/>
      <c r="H3510" s="33" t="e">
        <f>((H3508/H3498)^(1/10))-1</f>
        <v>#DIV/0!</v>
      </c>
      <c r="I3510" s="33" t="e">
        <f>((I3508/I3498)^(1/10))-1</f>
        <v>#DIV/0!</v>
      </c>
      <c r="J3510" s="33"/>
      <c r="K3510" s="33"/>
      <c r="L3510" s="32" t="e">
        <f>((L3508/L3498)^(1/10))-1</f>
        <v>#DIV/0!</v>
      </c>
      <c r="M3510" s="32"/>
      <c r="N3510" s="32"/>
      <c r="O3510" s="32"/>
      <c r="P3510" s="32" t="e">
        <f>((P3508/P3498)^(1/10))-1</f>
        <v>#DIV/0!</v>
      </c>
      <c r="Q3510" s="40"/>
      <c r="R3510" s="41"/>
      <c r="S3510" s="46"/>
      <c r="U3510" s="40"/>
      <c r="V3510" s="41"/>
      <c r="W3510" s="46"/>
      <c r="Y3510" s="40"/>
      <c r="Z3510" s="41"/>
      <c r="AA3510" s="46"/>
    </row>
    <row r="3511" spans="1:27">
      <c r="B3511" s="24"/>
      <c r="C3511" s="25"/>
      <c r="E3511" s="26"/>
      <c r="F3511" s="27"/>
      <c r="G3511" s="28"/>
      <c r="H3511" s="27"/>
      <c r="I3511" s="27"/>
      <c r="J3511" s="27"/>
      <c r="K3511" s="27"/>
      <c r="L3511" s="26"/>
      <c r="M3511" s="17"/>
      <c r="N3511" s="17"/>
      <c r="O3511" s="17"/>
      <c r="P3511" s="35"/>
      <c r="Q3511" s="18"/>
      <c r="R3511" s="36"/>
    </row>
    <row r="3512" spans="1:27">
      <c r="A3512" s="9" t="s">
        <v>0</v>
      </c>
      <c r="B3512" s="10"/>
      <c r="C3512" s="9" t="s">
        <v>1</v>
      </c>
      <c r="D3512" s="9" t="s">
        <v>2</v>
      </c>
      <c r="E3512" s="9" t="s">
        <v>3</v>
      </c>
      <c r="F3512" s="11" t="s">
        <v>4</v>
      </c>
      <c r="G3512" s="11" t="s">
        <v>5</v>
      </c>
      <c r="H3512" s="9" t="s">
        <v>6</v>
      </c>
      <c r="I3512" s="11" t="s">
        <v>7</v>
      </c>
      <c r="J3512" s="11" t="s">
        <v>8</v>
      </c>
      <c r="K3512" s="11" t="s">
        <v>9</v>
      </c>
      <c r="L3512" s="11" t="s">
        <v>10</v>
      </c>
      <c r="M3512" s="11" t="s">
        <v>11</v>
      </c>
      <c r="N3512" s="11" t="s">
        <v>12</v>
      </c>
      <c r="O3512" s="11" t="s">
        <v>13</v>
      </c>
      <c r="P3512" s="11" t="s">
        <v>14</v>
      </c>
      <c r="Q3512" s="37" t="s">
        <v>15</v>
      </c>
      <c r="R3512" s="42">
        <f>_xll.ciqfunctions.udf.CIQ(A3513,("IQ_LASTSALEPRICE"))</f>
        <v>20.725000000000001</v>
      </c>
      <c r="S3512" s="44"/>
      <c r="U3512" s="37" t="s">
        <v>15</v>
      </c>
      <c r="V3512" s="42">
        <f>_xll.ciqfunctions.udf.CIQ(A3513,("IQ_LASTSALEPRICE"))</f>
        <v>20.725000000000001</v>
      </c>
      <c r="W3512" s="44"/>
      <c r="Y3512" s="37" t="s">
        <v>15</v>
      </c>
      <c r="Z3512" s="42">
        <f>_xll.ciqfunctions.udf.CIQ(A3513,("IQ_LASTSALEPRICE"))</f>
        <v>20.725000000000001</v>
      </c>
      <c r="AA3512" s="44"/>
    </row>
    <row r="3513" spans="1:27">
      <c r="A3513" s="12" t="str">
        <f>Analysis!B236</f>
        <v>NYSE:ASAN</v>
      </c>
      <c r="B3513" s="13">
        <v>1</v>
      </c>
      <c r="C3513" s="14" t="s">
        <v>16</v>
      </c>
      <c r="D3513" s="15" t="e">
        <f>IF(A3521=A3522,_xll.ciqfunctions.udf.CIQ(A3513,"IQ_TOTAL_REV",IQ_FY-10)/I3513,_xll.ciqfunctions.udf.CIQ(A3513, "IQ_TOTAL_REV",IQ_FY-9)/I3513)</f>
        <v>#DIV/0!</v>
      </c>
      <c r="E3513" s="16"/>
      <c r="F3513" s="15">
        <f>IF(A3521=A3522,_xll.ciqfunctions.udf.CIQ(A3513,"IQ_DILUT_EPS_EXCL",IQ_FY-10), _xll.ciqfunctions.udf.CIQ(A3513, "IQ_DILUT_EPS_EXCL",IQ_FY-9))</f>
        <v>0</v>
      </c>
      <c r="G3513" s="15">
        <f>IF(A3521=A3522,_xll.ciqfunctions.udf.CIQ(A3513,"IQ_EBITDA_MARGIN",IQ_FY-10), _xll.ciqfunctions.udf.CIQ(A3513, "IQ_EBITDA_MARGIN",IQ_FY-9))</f>
        <v>0</v>
      </c>
      <c r="H3513" s="15" t="e">
        <f>IF(A3521=A3522,_xll.ciqfunctions.udf.CIQ(A3513,"IQ_TOTAL_DIV_PAID_CF",IQ_FY-10)/-I3513, _xll.ciqfunctions.udf.CIQ(A3513, "IQ_TOTAL_DIV_PAID_CF",IQ_FY-9)/-I3513)</f>
        <v>#DIV/0!</v>
      </c>
      <c r="I3513" s="17">
        <f>IF(A3521=A3522,_xll.ciqfunctions.udf.CIQ(A3513,"IQ_TOTAL_OUTSTANDING_FILING_DATE",IQ_FY-10), _xll.ciqfunctions.udf.CIQ(A3513, "IQ_TOTAL_OUTSTANDING_FILING_DATE",IQ_FY-9))</f>
        <v>0</v>
      </c>
      <c r="J3513" s="17">
        <f>IF(A3521=A3522,_xll.ciqfunctions.udf.CIQ(A3513,"IQ_CASH_OPER",IQ_FY-10), _xll.ciqfunctions.udf.CIQ(A3513, "IQ_CASH_OPER",IQ_FY-9))</f>
        <v>0</v>
      </c>
      <c r="K3513" s="17">
        <f>IF(A3521=A3522,_xll.ciqfunctions.udf.CIQ(A3513,"IQ_CAPEX",IQ_FY-10), _xll.ciqfunctions.udf.CIQ(A3513, "IQ_CAPEX",IQ_FY-9))</f>
        <v>0</v>
      </c>
      <c r="L3513" s="15" t="e">
        <f t="shared" ref="L3513:L3523" si="936">(J3513+K3513)/I3513</f>
        <v>#DIV/0!</v>
      </c>
      <c r="M3513" s="17">
        <f>IF(A3521=A3522,_xll.ciqfunctions.udf.CIQ(A3513,"IQ_TOTAL_DEBT_ISSUED",IQ_FY-10), _xll.ciqfunctions.udf.CIQ(A3513, "IQ_TOTAL_DEBT_ISSUED",IQ_FY-9))</f>
        <v>0</v>
      </c>
      <c r="N3513" s="17">
        <f>IF(A3521=A3522,_xll.ciqfunctions.udf.CIQ(A3513,"IQ_TOTAL_DEBT_REPAID",IQ_FY-10), _xll.ciqfunctions.udf.CIQ(A3513, "IQ_TOTAL_DEBT_REPAID",IQ_FY-9))</f>
        <v>0</v>
      </c>
      <c r="O3513" s="15" t="e">
        <f t="shared" ref="O3513:O3523" si="937">(M3513+N3513)/I3513</f>
        <v>#DIV/0!</v>
      </c>
      <c r="P3513" s="15" t="e">
        <f t="shared" ref="P3513:P3523" si="938">L3513+O3513</f>
        <v>#DIV/0!</v>
      </c>
      <c r="W3513" s="43"/>
      <c r="AA3513" s="43"/>
    </row>
    <row r="3514" spans="1:27">
      <c r="A3514" s="18" t="str">
        <f>_xll.ciqfunctions.udf.CIQ(A3513,"IQ_COMPANY_NAME")</f>
        <v>Asana, Inc.</v>
      </c>
      <c r="B3514" s="13">
        <v>2</v>
      </c>
      <c r="C3514" s="14" t="s">
        <v>17</v>
      </c>
      <c r="D3514" s="15" t="e">
        <f>IF(A3521=A3522,_xll.ciqfunctions.udf.CIQ(A3513,"IQ_TOTAL_REV",IQ_FY-9)/I3514, _xll.ciqfunctions.udf.CIQ(A3513, "IQ_TOTAL_REV",IQ_FY-8)/I3514)</f>
        <v>#DIV/0!</v>
      </c>
      <c r="E3514" s="16" t="e">
        <f t="shared" ref="E3514:E3523" si="939">(D3514-D3513)/D3513</f>
        <v>#DIV/0!</v>
      </c>
      <c r="F3514" s="15">
        <f>IF(A3521=A3522,_xll.ciqfunctions.udf.CIQ(A3513,"IQ_DILUT_EPS_EXCL",IQ_FY-9), _xll.ciqfunctions.udf.CIQ(A3513, "IQ_DILUT_EPS_EXCL",IQ_FY-8))</f>
        <v>0</v>
      </c>
      <c r="G3514" s="15">
        <f>IF(A3521=A3522,_xll.ciqfunctions.udf.CIQ(A3513,"IQ_EBITDA_MARGIN",IQ_FY-9), _xll.ciqfunctions.udf.CIQ(A3513, "IQ_EBITDA_MARGIN",IQ_FY-8))</f>
        <v>0</v>
      </c>
      <c r="H3514" s="15" t="e">
        <f>IF(A3521=A3522,_xll.ciqfunctions.udf.CIQ(A3513,"IQ_TOTAL_DIV_PAID_CF",IQ_FY-9)/-I3514, _xll.ciqfunctions.udf.CIQ(A3513, "IQ_TOTAL_DIV_PAID_CF",IQ_FY-8)/-I3514)</f>
        <v>#DIV/0!</v>
      </c>
      <c r="I3514" s="17">
        <f>IF(A3521=A3522,_xll.ciqfunctions.udf.CIQ(A3513,"IQ_TOTAL_OUTSTANDING_FILING_DATE",IQ_FY-9), _xll.ciqfunctions.udf.CIQ(A3513, "IQ_TOTAL_OUTSTANDING_FILING_DATE",IQ_FY-8))</f>
        <v>0</v>
      </c>
      <c r="J3514" s="17">
        <f>IF(A3521=A3522,_xll.ciqfunctions.udf.CIQ(A3513,"IQ_CASH_OPER",IQ_FY-9), _xll.ciqfunctions.udf.CIQ(A3513, "IQ_CASH_OPER",IQ_FY-8))</f>
        <v>0</v>
      </c>
      <c r="K3514" s="17">
        <f>IF(A3521=A3522,_xll.ciqfunctions.udf.CIQ(A3513,"IQ_CAPEX",IQ_FY-9), _xll.ciqfunctions.udf.CIQ(A3513, "IQ_CAPEX",IQ_FY-8))</f>
        <v>0</v>
      </c>
      <c r="L3514" s="15" t="e">
        <f t="shared" si="936"/>
        <v>#DIV/0!</v>
      </c>
      <c r="M3514" s="17">
        <f>IF(A3521=A3522,_xll.ciqfunctions.udf.CIQ(A3513,"IQ_TOTAL_DEBT_ISSUED",IQ_FY-9), _xll.ciqfunctions.udf.CIQ(A3513, "IQ_TOTAL_DEBT_ISSUED",IQ_FY-8))</f>
        <v>0</v>
      </c>
      <c r="N3514" s="17">
        <f>IF(A3521=A3522,_xll.ciqfunctions.udf.CIQ(A3513,"IQ_TOTAL_DEBT_REPAID",IQ_FY-9), _xll.ciqfunctions.udf.CIQ(A3513, "IQ_TOTAL_DEBT_REPAID",IQ_FY-8))</f>
        <v>0</v>
      </c>
      <c r="O3514" s="15" t="e">
        <f t="shared" si="937"/>
        <v>#DIV/0!</v>
      </c>
      <c r="P3514" s="15" t="e">
        <f t="shared" si="938"/>
        <v>#DIV/0!</v>
      </c>
      <c r="Q3514" s="25" t="s">
        <v>18</v>
      </c>
      <c r="R3514" s="39" t="s">
        <v>19</v>
      </c>
      <c r="S3514" s="1">
        <f>R3512/((AVERAGE(P3518:P3523))*(1+E3524)^3)</f>
        <v>54.34411768763033</v>
      </c>
      <c r="U3514" s="25" t="s">
        <v>48</v>
      </c>
      <c r="V3514" s="39" t="s">
        <v>19</v>
      </c>
      <c r="W3514" s="1">
        <f>V3512/((AVERAGE(P3518:P3523))*(1+E3524)^3)</f>
        <v>54.34411768763033</v>
      </c>
      <c r="Y3514" s="25" t="s">
        <v>39</v>
      </c>
      <c r="Z3514" s="39" t="s">
        <v>19</v>
      </c>
      <c r="AA3514" s="1">
        <f>Z3512/((AVERAGE(P3518:P3523))*(1+E3524)^3)</f>
        <v>54.34411768763033</v>
      </c>
    </row>
    <row r="3515" spans="1:27">
      <c r="B3515" s="13">
        <v>3</v>
      </c>
      <c r="C3515" s="14" t="s">
        <v>20</v>
      </c>
      <c r="D3515" s="15" t="e" cm="1">
        <f t="array" ref="D3515">_xlfn.SINGLE(IF(A3521=A3522,_xll.ciqfunctions.udf.CIQ(A3513,"IQ_TOTAL_REV",IQ_FY-8)/I3515, _xll.ciqfunctions.udf.CIQ(A3513, "IQ_TOTAL_REV",IQ_FY-7)/I3515))</f>
        <v>#DIV/0!</v>
      </c>
      <c r="E3515" s="16" t="e">
        <f t="shared" si="939"/>
        <v>#DIV/0!</v>
      </c>
      <c r="F3515" s="15">
        <f>IF(A3521=A3522,_xll.ciqfunctions.udf.CIQ(A3513,"IQ_DILUT_EPS_EXCL",IQ_FY-8), _xll.ciqfunctions.udf.CIQ(A3513, "IQ_DILUT_EPS_EXCL",IQ_FY-7))</f>
        <v>0</v>
      </c>
      <c r="G3515" s="15">
        <f>IF(A3521=A3522,_xll.ciqfunctions.udf.CIQ(A3513,"IQ_EBITDA_MARGIN",IQ_FY-8), _xll.ciqfunctions.udf.CIQ(A3513, "IQ_EBITDA_MARGIN",IQ_FY-7))</f>
        <v>0</v>
      </c>
      <c r="H3515" s="15" t="e">
        <f>IF(A3521=A3522,_xll.ciqfunctions.udf.CIQ(A3513,"IQ_TOTAL_DIV_PAID_CF",IQ_FY-8)/-I3515, _xll.ciqfunctions.udf.CIQ(A3513, "IQ_TOTAL_DIV_PAID_CF",IQ_FY-7)/-I3515)</f>
        <v>#DIV/0!</v>
      </c>
      <c r="I3515" s="17">
        <f>IF(A3521=A3522,_xll.ciqfunctions.udf.CIQ(A3513,"IQ_TOTAL_OUTSTANDING_FILING_DATE",IQ_FY-8), _xll.ciqfunctions.udf.CIQ(A3513, "IQ_TOTAL_OUTSTANDING_FILING_DATE",IQ_FY-7))</f>
        <v>0</v>
      </c>
      <c r="J3515" s="17">
        <f>IF(A3521=A3522,_xll.ciqfunctions.udf.CIQ(A3513,"IQ_CASH_OPER",IQ_FY-8), _xll.ciqfunctions.udf.CIQ(A3513, "IQ_CASH_OPER",IQ_FY-7))</f>
        <v>0</v>
      </c>
      <c r="K3515" s="17">
        <f>IF(A3521=A3522,_xll.ciqfunctions.udf.CIQ(A3513,"IQ_CAPEX",IQ_FY-8), _xll.ciqfunctions.udf.CIQ(A3513, "IQ_CAPEX",IQ_FY-7))</f>
        <v>0</v>
      </c>
      <c r="L3515" s="15" t="e">
        <f t="shared" si="936"/>
        <v>#DIV/0!</v>
      </c>
      <c r="M3515" s="17">
        <f>IF(A3521=A3522,_xll.ciqfunctions.udf.CIQ(A3513,"IQ_TOTAL_DEBT_ISSUED",IQ_FY-8), _xll.ciqfunctions.udf.CIQ(A3513, "IQ_TOTAL_DEBT_ISSUED",IQ_FY-7))</f>
        <v>0</v>
      </c>
      <c r="N3515" s="17">
        <f>IF(A3521=A3522,_xll.ciqfunctions.udf.CIQ(A3513,"IQ_TOTAL_DEBT_REPAID",IQ_FY-8), _xll.ciqfunctions.udf.CIQ(A3513, "IQ_TOTAL_DEBT_REPAID",IQ_FY-7))</f>
        <v>0</v>
      </c>
      <c r="O3515" s="15" t="e">
        <f t="shared" si="937"/>
        <v>#DIV/0!</v>
      </c>
      <c r="P3515" s="15" t="e">
        <f t="shared" si="938"/>
        <v>#DIV/0!</v>
      </c>
      <c r="Q3515" s="25" t="s">
        <v>21</v>
      </c>
      <c r="R3515" s="38" t="s">
        <v>49</v>
      </c>
      <c r="S3515" s="2">
        <f>(R3512*I3523)/1000</f>
        <v>4.6024585727500007</v>
      </c>
      <c r="U3515" s="25" t="s">
        <v>59</v>
      </c>
      <c r="V3515" s="38" t="s">
        <v>49</v>
      </c>
      <c r="W3515" s="2">
        <f>(V3512*I3523)/1000</f>
        <v>4.6024585727500007</v>
      </c>
      <c r="Y3515" s="25" t="s">
        <v>46</v>
      </c>
      <c r="Z3515" s="38" t="s">
        <v>49</v>
      </c>
      <c r="AA3515" s="2">
        <f>(Z3512*I3523)/1000</f>
        <v>4.6024585727500007</v>
      </c>
    </row>
    <row r="3516" spans="1:27">
      <c r="A3516" s="18"/>
      <c r="B3516" s="13">
        <v>4</v>
      </c>
      <c r="C3516" s="14" t="s">
        <v>22</v>
      </c>
      <c r="D3516" s="15" t="e" cm="1">
        <f t="array" ref="D3516">_xlfn.SINGLE(IF(A3521=A3522,_xll.ciqfunctions.udf.CIQ(A3513,"IQ_TOTAL_REV",IQ_FY-7)/I3516, _xll.ciqfunctions.udf.CIQ(A3513, "IQ_TOTAL_REV",IQ_FY-6)/I3516))</f>
        <v>#DIV/0!</v>
      </c>
      <c r="E3516" s="16" t="e">
        <f t="shared" si="939"/>
        <v>#DIV/0!</v>
      </c>
      <c r="F3516" s="15">
        <f>IF(A3521=A3522,_xll.ciqfunctions.udf.CIQ(A3513,"IQ_DILUT_EPS_EXCL",IQ_FY-7), _xll.ciqfunctions.udf.CIQ(A3513, "IQ_DILUT_EPS_EXCL",IQ_FY-6))</f>
        <v>0</v>
      </c>
      <c r="G3516" s="15">
        <f>IF(A3521=A3522,_xll.ciqfunctions.udf.CIQ(A3513,"IQ_EBITDA_MARGIN",IQ_FY-7), _xll.ciqfunctions.udf.CIQ(A3513, "IQ_EBITDA_MARGIN",IQ_FY-6))</f>
        <v>0</v>
      </c>
      <c r="H3516" s="15" t="e">
        <f>IF(A3521=A3522,_xll.ciqfunctions.udf.CIQ(A3513,"IQ_TOTAL_DIV_PAID_CF",IQ_FY-7)/-I3516, _xll.ciqfunctions.udf.CIQ(A3513, "IQ_TOTAL_DIV_PAID_CF",IQ_FY-6)/-I3516)</f>
        <v>#DIV/0!</v>
      </c>
      <c r="I3516" s="17">
        <f>IF(A3521=A3522,_xll.ciqfunctions.udf.CIQ(A3513,"IQ_TOTAL_OUTSTANDING_FILING_DATE",IQ_FY-7), _xll.ciqfunctions.udf.CIQ(A3513, "IQ_TOTAL_OUTSTANDING_FILING_DATE",IQ_FY-6))</f>
        <v>0</v>
      </c>
      <c r="J3516" s="17">
        <f>IF(A3521=A3522,_xll.ciqfunctions.udf.CIQ(A3513,"IQ_CASH_OPER",IQ_FY-7), _xll.ciqfunctions.udf.CIQ(A3513, "IQ_CASH_OPER",IQ_FY-6))</f>
        <v>0</v>
      </c>
      <c r="K3516" s="17">
        <f>IF(A3521=A3522,_xll.ciqfunctions.udf.CIQ(A3513,"IQ_CAPEX",IQ_FY-7), _xll.ciqfunctions.udf.CIQ(A3513, "IQ_CAPEX",IQ_FY-6))</f>
        <v>0</v>
      </c>
      <c r="L3516" s="15" t="e">
        <f t="shared" si="936"/>
        <v>#DIV/0!</v>
      </c>
      <c r="M3516" s="17">
        <f>IF(A3521=A3522,_xll.ciqfunctions.udf.CIQ(A3513,"IQ_TOTAL_DEBT_ISSUED",IQ_FY-7), _xll.ciqfunctions.udf.CIQ(A3513, "IQ_TOTAL_DEBT_ISSUED",IQ_FY-6))</f>
        <v>0</v>
      </c>
      <c r="N3516" s="17">
        <f>IF(A3521=A3522,_xll.ciqfunctions.udf.CIQ(A3513,"IQ_TOTAL_DEBT_REPAID",IQ_FY-7), _xll.ciqfunctions.udf.CIQ(A3513, "IQ_TOTAL_DEBT_REPAID",IQ_FY-6))</f>
        <v>0</v>
      </c>
      <c r="O3516" s="15" t="e">
        <f t="shared" si="937"/>
        <v>#DIV/0!</v>
      </c>
      <c r="P3516" s="15" t="e">
        <f t="shared" si="938"/>
        <v>#DIV/0!</v>
      </c>
      <c r="Q3516" s="25" t="s">
        <v>23</v>
      </c>
      <c r="R3516" s="38" t="s">
        <v>24</v>
      </c>
      <c r="S3516" s="1" t="e">
        <f>R3512/(AVERAGE(H3518:H3523)*(1+H3524)/(0.5-H3524))</f>
        <v>#DIV/0!</v>
      </c>
      <c r="U3516" s="25" t="s">
        <v>40</v>
      </c>
      <c r="V3516" s="38" t="s">
        <v>24</v>
      </c>
      <c r="W3516" s="1" t="e">
        <f>V3512/(AVERAGE(H3518:H3523)*(1+H3524)/(0.5-H3524))</f>
        <v>#DIV/0!</v>
      </c>
      <c r="Y3516" s="25" t="s">
        <v>47</v>
      </c>
      <c r="Z3516" s="38" t="s">
        <v>24</v>
      </c>
      <c r="AA3516" s="1" t="e">
        <f>Z3512/(AVERAGE(H3518:H3523)*(1+H3524)/(0.5-H3524))</f>
        <v>#DIV/0!</v>
      </c>
    </row>
    <row r="3517" spans="1:27">
      <c r="B3517" s="13">
        <v>5</v>
      </c>
      <c r="C3517" s="14" t="s">
        <v>25</v>
      </c>
      <c r="D3517" s="15" t="e" cm="1">
        <f t="array" ref="D3517">_xlfn.SINGLE(IF(A3521=A3522,_xll.ciqfunctions.udf.CIQ(A3513,"IQ_TOTAL_REV",IQ_FY-6)/I3517, _xll.ciqfunctions.udf.CIQ(A3513, "IQ_TOTAL_REV",IQ_FY-5)/I3517))</f>
        <v>#DIV/0!</v>
      </c>
      <c r="E3517" s="16" t="e">
        <f t="shared" si="939"/>
        <v>#DIV/0!</v>
      </c>
      <c r="F3517" s="15">
        <f>IF(A3521=A3522,_xll.ciqfunctions.udf.CIQ(A3513,"IQ_DILUT_EPS_EXCL",IQ_FY-6), _xll.ciqfunctions.udf.CIQ(A3513, "IQ_DILUT_EPS_EXCL",IQ_FY-5))</f>
        <v>0</v>
      </c>
      <c r="G3517" s="15">
        <f>IF(A3521=A3522,_xll.ciqfunctions.udf.CIQ(A3513,"IQ_EBITDA_MARGIN",IQ_FY-6), _xll.ciqfunctions.udf.CIQ(A3513, "IQ_EBITDA_MARGIN",IQ_FY-5))</f>
        <v>0</v>
      </c>
      <c r="H3517" s="15" t="e">
        <f>IF(A3521=A3522,_xll.ciqfunctions.udf.CIQ(A3513,"IQ_TOTAL_DIV_PAID_CF",IQ_FY-6)/-I3517, _xll.ciqfunctions.udf.CIQ(A3513, "IQ_TOTAL_DIV_PAID_CF",IQ_FY-5)/-I3517)</f>
        <v>#DIV/0!</v>
      </c>
      <c r="I3517" s="17">
        <f>IF(A3521=A3522,_xll.ciqfunctions.udf.CIQ(A3513,"IQ_TOTAL_OUTSTANDING_FILING_DATE",IQ_FY-6), _xll.ciqfunctions.udf.CIQ(A3513, "IQ_TOTAL_OUTSTANDING_FILING_DATE",IQ_FY-5))</f>
        <v>0</v>
      </c>
      <c r="J3517" s="17">
        <f>IF(A3521=A3522,_xll.ciqfunctions.udf.CIQ(A3513,"IQ_CASH_OPER",IQ_FY-6), _xll.ciqfunctions.udf.CIQ(A3513, "IQ_CASH_OPER",IQ_FY-5))</f>
        <v>0</v>
      </c>
      <c r="K3517" s="17">
        <f>IF(A3521=A3522,_xll.ciqfunctions.udf.CIQ(A3513,"IQ_CAPEX",IQ_FY-6), _xll.ciqfunctions.udf.CIQ(A3513, "IQ_CAPEX",IQ_FY-5))</f>
        <v>0</v>
      </c>
      <c r="L3517" s="15" t="e">
        <f t="shared" si="936"/>
        <v>#DIV/0!</v>
      </c>
      <c r="M3517" s="17">
        <f>IF(A3521=A3522,_xll.ciqfunctions.udf.CIQ(A3513,"IQ_TOTAL_DEBT_ISSUED",IQ_FY-6), _xll.ciqfunctions.udf.CIQ(A3513, "IQ_TOTAL_DEBT_ISSUED",IQ_FY-5))</f>
        <v>0</v>
      </c>
      <c r="N3517" s="17">
        <f>IF(A3521=A3522,_xll.ciqfunctions.udf.CIQ(A3513,"IQ_TOTAL_DEBT_REPAID",IQ_FY-6), _xll.ciqfunctions.udf.CIQ(A3513, "IQ_TOTAL_DEBT_REPAID",IQ_FY-5))</f>
        <v>0</v>
      </c>
      <c r="O3517" s="15" t="e">
        <f t="shared" si="937"/>
        <v>#DIV/0!</v>
      </c>
      <c r="P3517" s="15" t="e">
        <f t="shared" si="938"/>
        <v>#DIV/0!</v>
      </c>
      <c r="Q3517" s="18"/>
      <c r="R3517" s="38" t="s">
        <v>50</v>
      </c>
      <c r="S3517" s="3">
        <f>I3524</f>
        <v>0.26610639714766604</v>
      </c>
      <c r="U3517" s="18"/>
      <c r="V3517" s="38" t="s">
        <v>50</v>
      </c>
      <c r="W3517" s="3">
        <f>I3524</f>
        <v>0.26610639714766604</v>
      </c>
      <c r="Y3517" s="18"/>
      <c r="Z3517" s="38" t="s">
        <v>50</v>
      </c>
      <c r="AA3517" s="3">
        <f>I3524</f>
        <v>0.26610639714766604</v>
      </c>
    </row>
    <row r="3518" spans="1:27">
      <c r="B3518" s="13">
        <v>6</v>
      </c>
      <c r="C3518" s="14" t="s">
        <v>26</v>
      </c>
      <c r="D3518" s="15" cm="1">
        <f t="array" ref="D3518">_xlfn.SINGLE(IF(A3521=A3522,_xll.ciqfunctions.udf.CIQ(A3513,"IQ_TOTAL_REV",IQ_FY-5)/I3518, _xll.ciqfunctions.udf.CIQ(A3513, "IQ_TOTAL_REV",IQ_FY-4)/I3518))</f>
        <v>1.124727223980702</v>
      </c>
      <c r="E3518" s="16" t="e">
        <f t="shared" si="939"/>
        <v>#DIV/0!</v>
      </c>
      <c r="F3518" s="15">
        <f>IF(A3521=A3522,_xll.ciqfunctions.udf.CIQ(A3513,"IQ_DILUT_EPS_EXCL",IQ_FY-5), _xll.ciqfunctions.udf.CIQ(A3513, "IQ_DILUT_EPS_EXCL",IQ_FY-4))</f>
        <v>-0.78093999999999997</v>
      </c>
      <c r="G3518" s="15">
        <f>IF(A3521=A3522,_xll.ciqfunctions.udf.CIQ(A3513,"IQ_EBITDA_MARGIN",IQ_FY-5), _xll.ciqfunctions.udf.CIQ(A3513, "IQ_EBITDA_MARGIN",IQ_FY-4))</f>
        <v>-62.240400000000001</v>
      </c>
      <c r="H3518" s="15">
        <f>IF(A3521=A3522,_xll.ciqfunctions.udf.CIQ(A3513,"IQ_TOTAL_DIV_PAID_CF",IQ_FY-5)/-I3518, _xll.ciqfunctions.udf.CIQ(A3513, "IQ_TOTAL_DIV_PAID_CF",IQ_FY-4)/-I3518)</f>
        <v>0</v>
      </c>
      <c r="I3518" s="17">
        <f>IF(A3521=A3522,_xll.ciqfunctions.udf.CIQ(A3513,"IQ_TOTAL_OUTSTANDING_FILING_DATE",IQ_FY-5), _xll.ciqfunctions.udf.CIQ(A3513, "IQ_TOTAL_OUTSTANDING_FILING_DATE",IQ_FY-4))</f>
        <v>68.256550000000004</v>
      </c>
      <c r="J3518" s="17">
        <f>IF(A3521=A3522,_xll.ciqfunctions.udf.CIQ(A3513,"IQ_CASH_OPER",IQ_FY-5), _xll.ciqfunctions.udf.CIQ(A3513, "IQ_CASH_OPER",IQ_FY-4))</f>
        <v>-30.18</v>
      </c>
      <c r="K3518" s="17">
        <f>IF(A3521=A3522,_xll.ciqfunctions.udf.CIQ(A3513,"IQ_CAPEX",IQ_FY-5), _xll.ciqfunctions.udf.CIQ(A3513, "IQ_CAPEX",IQ_FY-4))</f>
        <v>-2.85</v>
      </c>
      <c r="L3518" s="15">
        <f t="shared" si="936"/>
        <v>-0.48390960281467493</v>
      </c>
      <c r="M3518" s="17">
        <f>IF(A3521=A3522,_xll.ciqfunctions.udf.CIQ(A3513,"IQ_TOTAL_DEBT_ISSUED",IQ_FY-5), _xll.ciqfunctions.udf.CIQ(A3513, "IQ_TOTAL_DEBT_ISSUED",IQ_FY-4))</f>
        <v>0</v>
      </c>
      <c r="N3518" s="17">
        <f>IF(A3521=A3522,_xll.ciqfunctions.udf.CIQ(A3513,"IQ_TOTAL_DEBT_REPAID",IQ_FY-5), _xll.ciqfunctions.udf.CIQ(A3513, "IQ_TOTAL_DEBT_REPAID",IQ_FY-4))</f>
        <v>0</v>
      </c>
      <c r="O3518" s="15">
        <f t="shared" si="937"/>
        <v>0</v>
      </c>
      <c r="P3518" s="15">
        <f t="shared" si="938"/>
        <v>-0.48390960281467493</v>
      </c>
      <c r="Q3518" s="25" t="s">
        <v>27</v>
      </c>
      <c r="R3518" s="38" t="s">
        <v>51</v>
      </c>
      <c r="S3518" s="4">
        <f>AVERAGE(F3518:F3523)/AVERAGE(D3518:D3523)</f>
        <v>-0.82925806209008013</v>
      </c>
      <c r="U3518" s="25" t="s">
        <v>58</v>
      </c>
      <c r="V3518" s="38" t="s">
        <v>51</v>
      </c>
      <c r="W3518" s="4">
        <f>AVERAGE(F3518:F3523)/AVERAGE(D3518:D3523)</f>
        <v>-0.82925806209008013</v>
      </c>
      <c r="Y3518" s="25" t="s">
        <v>56</v>
      </c>
      <c r="Z3518" s="38" t="s">
        <v>51</v>
      </c>
      <c r="AA3518" s="4">
        <f>AVERAGE(F3518:F3523)/AVERAGE(D3518:D3523)</f>
        <v>-0.82925806209008013</v>
      </c>
    </row>
    <row r="3519" spans="1:27">
      <c r="A3519" s="18"/>
      <c r="B3519" s="13">
        <v>7</v>
      </c>
      <c r="C3519" s="14" t="s">
        <v>28</v>
      </c>
      <c r="D3519" s="15" cm="1">
        <f t="array" ref="D3519">_xlfn.SINGLE(IF(A3521=A3522,_xll.ciqfunctions.udf.CIQ(A3513,"IQ_TOTAL_REV",IQ_FY-4)/I3519, _xll.ciqfunctions.udf.CIQ(A3513, "IQ_TOTAL_REV",IQ_FY-3)/I3519))</f>
        <v>1.8595726996482216</v>
      </c>
      <c r="E3519" s="16">
        <f t="shared" si="939"/>
        <v>0.65335439562555475</v>
      </c>
      <c r="F3519" s="15">
        <f>IF(A3521=A3522,_xll.ciqfunctions.udf.CIQ(A3513,"IQ_DILUT_EPS_EXCL",IQ_FY-4), _xll.ciqfunctions.udf.CIQ(A3513, "IQ_DILUT_EPS_EXCL",IQ_FY-3))</f>
        <v>-1.6860599999999999</v>
      </c>
      <c r="G3519" s="15">
        <f>IF(A3521=A3522,_xll.ciqfunctions.udf.CIQ(A3513,"IQ_EBITDA_MARGIN",IQ_FY-4), _xll.ciqfunctions.udf.CIQ(A3513, "IQ_EBITDA_MARGIN",IQ_FY-3))</f>
        <v>-82.323300000000003</v>
      </c>
      <c r="H3519" s="15">
        <f>IF(A3521=A3522,_xll.ciqfunctions.udf.CIQ(A3513,"IQ_TOTAL_DIV_PAID_CF",IQ_FY-4)/-I3519, _xll.ciqfunctions.udf.CIQ(A3513, "IQ_TOTAL_DIV_PAID_CF",IQ_FY-3)/-I3519)</f>
        <v>0</v>
      </c>
      <c r="I3519" s="17">
        <f>IF(A3521=A3522,_xll.ciqfunctions.udf.CIQ(A3513,"IQ_TOTAL_OUTSTANDING_FILING_DATE",IQ_FY-4), _xll.ciqfunctions.udf.CIQ(A3513, "IQ_TOTAL_OUTSTANDING_FILING_DATE",IQ_FY-3))</f>
        <v>76.687510000000003</v>
      </c>
      <c r="J3519" s="17">
        <f>IF(A3521=A3522,_xll.ciqfunctions.udf.CIQ(A3513,"IQ_CASH_OPER",IQ_FY-4), _xll.ciqfunctions.udf.CIQ(A3513, "IQ_CASH_OPER",IQ_FY-3))</f>
        <v>-40.136000000000003</v>
      </c>
      <c r="K3519" s="17">
        <f>IF(A3521=A3522,_xll.ciqfunctions.udf.CIQ(A3513,"IQ_CAPEX",IQ_FY-4), _xll.ciqfunctions.udf.CIQ(A3513, "IQ_CAPEX",IQ_FY-3))</f>
        <v>-6.8780000000000001</v>
      </c>
      <c r="L3519" s="15">
        <f t="shared" si="936"/>
        <v>-0.61305941475997849</v>
      </c>
      <c r="M3519" s="17">
        <f>IF(A3521=A3522,_xll.ciqfunctions.udf.CIQ(A3513,"IQ_TOTAL_DEBT_ISSUED",IQ_FY-4), _xll.ciqfunctions.udf.CIQ(A3513, "IQ_TOTAL_DEBT_ISSUED",IQ_FY-3))</f>
        <v>300</v>
      </c>
      <c r="N3519" s="17">
        <f>IF(A3521=A3522,_xll.ciqfunctions.udf.CIQ(A3513,"IQ_TOTAL_DEBT_REPAID",IQ_FY-4), _xll.ciqfunctions.udf.CIQ(A3513, "IQ_TOTAL_DEBT_REPAID",IQ_FY-3))</f>
        <v>0</v>
      </c>
      <c r="O3519" s="15">
        <f t="shared" si="937"/>
        <v>3.911979929978167</v>
      </c>
      <c r="P3519" s="15">
        <f t="shared" si="938"/>
        <v>3.2989205152181884</v>
      </c>
      <c r="Q3519" s="18"/>
      <c r="R3519" s="38" t="s">
        <v>29</v>
      </c>
      <c r="S3519" s="4">
        <f>(AVERAGE(P3518:P3523)/_xlfn.STDEV.P(P3518:P3523))/(IF(A3521=A3522,(_xlfn.SINGLE(_xll.ciqfunctions.udf.CIQ(A3513,"IQ_total_assets",IQ_FY)) - _xlfn.SINGLE(_xll.ciqfunctions.udf.CIQ(A3513,"iq_gw_intan", IQ_FY)))/I3523, (_xlfn.SINGLE(_xll.ciqfunctions.udf.CIQ(A3513, "IQ_total_assets",IQ_LTM))-_xlfn.SINGLE(_xll.ciqfunctions.udf.CIQ(A3513,"iq_gw_intan",IQ_LTM)))/I3523))</f>
        <v>3.6988809043890375E-2</v>
      </c>
      <c r="U3519" s="18"/>
      <c r="V3519" s="38" t="s">
        <v>29</v>
      </c>
      <c r="W3519" s="4">
        <f>(AVERAGE(P3518:P3523)/_xlfn.STDEV.P(P3518:P3523))/(IF(A3521=A3522,(_xlfn.SINGLE(_xll.ciqfunctions.udf.CIQ(A3513,"IQ_total_assets",IQ_FY)) - _xlfn.SINGLE(_xll.ciqfunctions.udf.CIQ(A3513,"iq_gw_intan", IQ_FY)))/I3523, (_xlfn.SINGLE(_xll.ciqfunctions.udf.CIQ(A3513, "IQ_total_assets",IQ_LTM))-_xlfn.SINGLE(_xll.ciqfunctions.udf.CIQ(A3513,"iq_gw_intan",IQ_LTM)))/I3523))</f>
        <v>3.6988809043890375E-2</v>
      </c>
      <c r="Y3519" s="18"/>
      <c r="Z3519" s="38" t="s">
        <v>29</v>
      </c>
      <c r="AA3519" s="4">
        <f>(AVERAGE(P3518:P3523)/_xlfn.STDEV.P(P3518:P3523))/(IF(A3521=A3522,(_xlfn.SINGLE(_xll.ciqfunctions.udf.CIQ(A3513,"IQ_total_assets",IQ_FY)) - _xlfn.SINGLE(_xll.ciqfunctions.udf.CIQ(A3513,"iq_gw_intan", IQ_FY)))/I3523, (_xlfn.SINGLE(_xll.ciqfunctions.udf.CIQ(A3513, "IQ_total_assets",IQ_LTM))-_xlfn.SINGLE(_xll.ciqfunctions.udf.CIQ(A3513,"iq_gw_intan",IQ_LTM)))/I3523))</f>
        <v>3.6988809043890375E-2</v>
      </c>
    </row>
    <row r="3520" spans="1:27">
      <c r="A3520" s="18"/>
      <c r="B3520" s="13">
        <v>8</v>
      </c>
      <c r="C3520" s="14" t="s">
        <v>30</v>
      </c>
      <c r="D3520" s="15" cm="1">
        <f t="array" ref="D3520">_xlfn.SINGLE(IF(A3521=A3522,_xll.ciqfunctions.udf.CIQ(A3513,"IQ_TOTAL_REV",IQ_FY-3)/I3520, _xll.ciqfunctions.udf.CIQ(A3513, "IQ_TOTAL_REV",IQ_FY-2)/I3520))</f>
        <v>1.3922197141584103</v>
      </c>
      <c r="E3520" s="16">
        <f t="shared" si="939"/>
        <v>-0.25132278268992725</v>
      </c>
      <c r="F3520" s="15">
        <f>IF(A3521=A3522,_xll.ciqfunctions.udf.CIQ(A3513,"IQ_DILUT_EPS_EXCL",IQ_FY-3), _xll.ciqfunctions.udf.CIQ(A3513, "IQ_DILUT_EPS_EXCL",IQ_FY-2))</f>
        <v>-1.9907999999999999</v>
      </c>
      <c r="G3520" s="15">
        <f>IF(A3521=A3522,_xll.ciqfunctions.udf.CIQ(A3513,"IQ_EBITDA_MARGIN",IQ_FY-3), _xll.ciqfunctions.udf.CIQ(A3513, "IQ_EBITDA_MARGIN",IQ_FY-2))</f>
        <v>-75.805199999999999</v>
      </c>
      <c r="H3520" s="15">
        <f>IF(A3521=A3522,_xll.ciqfunctions.udf.CIQ(A3513,"IQ_TOTAL_DIV_PAID_CF",IQ_FY-3)/-I3520, _xll.ciqfunctions.udf.CIQ(A3513, "IQ_TOTAL_DIV_PAID_CF",IQ_FY-2)/-I3520)</f>
        <v>0</v>
      </c>
      <c r="I3520" s="17">
        <f>IF(A3521=A3522,_xll.ciqfunctions.udf.CIQ(A3513,"IQ_TOTAL_OUTSTANDING_FILING_DATE",IQ_FY-3), _xll.ciqfunctions.udf.CIQ(A3513, "IQ_TOTAL_OUTSTANDING_FILING_DATE",IQ_FY-2))</f>
        <v>163.05185</v>
      </c>
      <c r="J3520" s="17">
        <f>IF(A3521=A3522,_xll.ciqfunctions.udf.CIQ(A3513,"IQ_CASH_OPER",IQ_FY-3), _xll.ciqfunctions.udf.CIQ(A3513, "IQ_CASH_OPER",IQ_FY-2))</f>
        <v>-92.87</v>
      </c>
      <c r="K3520" s="17">
        <f>IF(A3521=A3522,_xll.ciqfunctions.udf.CIQ(A3513,"IQ_CAPEX",IQ_FY-3), _xll.ciqfunctions.udf.CIQ(A3513, "IQ_CAPEX",IQ_FY-2))</f>
        <v>-57.344000000000001</v>
      </c>
      <c r="L3520" s="15">
        <f t="shared" si="936"/>
        <v>-0.92126522943468592</v>
      </c>
      <c r="M3520" s="17">
        <f>IF(A3521=A3522,_xll.ciqfunctions.udf.CIQ(A3513,"IQ_TOTAL_DEBT_ISSUED",IQ_FY-3), _xll.ciqfunctions.udf.CIQ(A3513, "IQ_TOTAL_DEBT_ISSUED",IQ_FY-2))</f>
        <v>180.91499999999999</v>
      </c>
      <c r="N3520" s="17">
        <f>IF(A3521=A3522,_xll.ciqfunctions.udf.CIQ(A3513,"IQ_TOTAL_DEBT_REPAID",IQ_FY-3), _xll.ciqfunctions.udf.CIQ(A3513, "IQ_TOTAL_DEBT_REPAID",IQ_FY-2))</f>
        <v>0</v>
      </c>
      <c r="O3520" s="15">
        <f t="shared" si="937"/>
        <v>1.1095550280478264</v>
      </c>
      <c r="P3520" s="15">
        <f t="shared" si="938"/>
        <v>0.18828979861314044</v>
      </c>
      <c r="Q3520" s="18"/>
      <c r="R3520" s="39" t="s">
        <v>31</v>
      </c>
      <c r="S3520" s="5" t="e">
        <f>IF(NOT(D3513&gt;0),FALSE,SLOPE(G3513:G3523,B3513:B3523))</f>
        <v>#DIV/0!</v>
      </c>
      <c r="U3520" s="18"/>
      <c r="V3520" s="39" t="s">
        <v>31</v>
      </c>
      <c r="W3520" s="5" t="e">
        <f>IF(NOT(D3513&gt;0),FALSE,SLOPE(G3513:G3523,B3513:B3523))</f>
        <v>#DIV/0!</v>
      </c>
      <c r="Y3520" s="18"/>
      <c r="Z3520" s="39" t="s">
        <v>31</v>
      </c>
      <c r="AA3520" s="5" t="e">
        <f>IF(NOT(L3513&gt;0),FALSE,SLOPE(O3513:O3523,J3513:J3523))</f>
        <v>#DIV/0!</v>
      </c>
    </row>
    <row r="3521" spans="1:27">
      <c r="A3521" s="19">
        <f>_xll.ciqfunctions.udf.CIQ(A3513,"IQ_TOTAL_REV",IQ_FY)</f>
        <v>547.21199999999999</v>
      </c>
      <c r="B3521" s="13">
        <v>9</v>
      </c>
      <c r="C3521" s="14" t="s">
        <v>32</v>
      </c>
      <c r="D3521" s="15" cm="1">
        <f t="array" ref="D3521">_xlfn.SINGLE(IF(A3521=A3522,_xll.ciqfunctions.udf.CIQ(A3513,"IQ_TOTAL_REV",IQ_FY-2)/I3521, _xll.ciqfunctions.udf.CIQ(A3513, "IQ_TOTAL_REV",IQ_FY-1)/I3521))</f>
        <v>2.0006368212185492</v>
      </c>
      <c r="E3521" s="16">
        <f t="shared" si="939"/>
        <v>0.43701227677839916</v>
      </c>
      <c r="F3521" s="15">
        <f>IF(A3521=A3522,_xll.ciqfunctions.udf.CIQ(A3513,"IQ_DILUT_EPS_EXCL",IQ_FY-2), _xll.ciqfunctions.udf.CIQ(A3513, "IQ_DILUT_EPS_EXCL",IQ_FY-1))</f>
        <v>-1.6345799999999999</v>
      </c>
      <c r="G3521" s="15">
        <f>IF(A3521=A3522,_xll.ciqfunctions.udf.CIQ(A3513,"IQ_EBITDA_MARGIN",IQ_FY-2), _xll.ciqfunctions.udf.CIQ(A3513, "IQ_EBITDA_MARGIN",IQ_FY-1))</f>
        <v>-68.035799999999995</v>
      </c>
      <c r="H3521" s="15">
        <f>IF(A3521=A3522,_xll.ciqfunctions.udf.CIQ(A3513,"IQ_TOTAL_DIV_PAID_CF",IQ_FY-2)/-I3521, _xll.ciqfunctions.udf.CIQ(A3513, "IQ_TOTAL_DIV_PAID_CF",IQ_FY-1)/-I3521)</f>
        <v>0</v>
      </c>
      <c r="I3521" s="17">
        <f>IF(A3521=A3522,_xll.ciqfunctions.udf.CIQ(A3513,"IQ_TOTAL_OUTSTANDING_FILING_DATE",IQ_FY-2), _xll.ciqfunctions.udf.CIQ(A3513, "IQ_TOTAL_OUTSTANDING_FILING_DATE",IQ_FY-1))</f>
        <v>189.15826999999999</v>
      </c>
      <c r="J3521" s="17">
        <f>IF(A3521=A3522,_xll.ciqfunctions.udf.CIQ(A3513,"IQ_CASH_OPER",IQ_FY-2), _xll.ciqfunctions.udf.CIQ(A3513, "IQ_CASH_OPER",IQ_FY-1))</f>
        <v>-83.784999999999997</v>
      </c>
      <c r="K3521" s="17">
        <f>IF(A3521=A3522,_xll.ciqfunctions.udf.CIQ(A3513,"IQ_CAPEX",IQ_FY-2), _xll.ciqfunctions.udf.CIQ(A3513, "IQ_CAPEX",IQ_FY-1))</f>
        <v>-41.587000000000003</v>
      </c>
      <c r="L3521" s="15">
        <f t="shared" si="936"/>
        <v>-0.66278889101703042</v>
      </c>
      <c r="M3521" s="17">
        <f>IF(A3521=A3522,_xll.ciqfunctions.udf.CIQ(A3513,"IQ_TOTAL_DEBT_ISSUED",IQ_FY-2), _xll.ciqfunctions.udf.CIQ(A3513, "IQ_TOTAL_DEBT_ISSUED",IQ_FY-1))</f>
        <v>9</v>
      </c>
      <c r="N3521" s="17">
        <f>IF(A3521=A3522,_xll.ciqfunctions.udf.CIQ(A3513,"IQ_TOTAL_DEBT_REPAID",IQ_FY-2), _xll.ciqfunctions.udf.CIQ(A3513, "IQ_TOTAL_DEBT_REPAID",IQ_FY-1))</f>
        <v>-1.667</v>
      </c>
      <c r="O3521" s="15">
        <f t="shared" si="937"/>
        <v>3.8766478462718024E-2</v>
      </c>
      <c r="P3521" s="15">
        <f t="shared" si="938"/>
        <v>-0.62402241255431234</v>
      </c>
      <c r="Q3521" s="25" t="s">
        <v>33</v>
      </c>
      <c r="R3521" s="38" t="s">
        <v>52</v>
      </c>
      <c r="S3521" s="4">
        <f>(AVERAGE(O3518:O3523)/AVERAGE(P3518:P3523))</f>
        <v>3.8417893144424555</v>
      </c>
      <c r="U3521" s="25" t="s">
        <v>54</v>
      </c>
      <c r="V3521" s="38" t="s">
        <v>52</v>
      </c>
      <c r="W3521" s="4">
        <f>(AVERAGE(O3518:O3523)/AVERAGE(P3518:P3523))</f>
        <v>3.8417893144424555</v>
      </c>
      <c r="Y3521" s="25" t="s">
        <v>60</v>
      </c>
      <c r="Z3521" s="38" t="s">
        <v>52</v>
      </c>
      <c r="AA3521" s="4">
        <f>(AVERAGE(O3518:O3523)/AVERAGE(P3518:P3523))</f>
        <v>3.8417893144424555</v>
      </c>
    </row>
    <row r="3522" spans="1:27">
      <c r="A3522" s="19">
        <f>_xll.ciqfunctions.udf.CIQ(A3513,"IQ_TOTAL_REV",IQ_LTM)</f>
        <v>606.53599999999994</v>
      </c>
      <c r="B3522" s="13">
        <v>10</v>
      </c>
      <c r="C3522" s="14" t="s">
        <v>34</v>
      </c>
      <c r="D3522" s="15" cm="1">
        <f t="array" ref="D3522">_xlfn.SINGLE(IF(A3521=A3522,_xll.ciqfunctions.udf.CIQ(A3513,"IQ_TOTAL_REV",IQ_FY-1)/I3522, _xll.ciqfunctions.udf.CIQ(A3513, "IQ_TOTAL_REV",IQ_FY)/I3522))</f>
        <v>2.5524402556899464</v>
      </c>
      <c r="E3522" s="16">
        <f t="shared" si="939"/>
        <v>0.27581389516529259</v>
      </c>
      <c r="F3522" s="15">
        <f>IF(A3521=A3522,_xll.ciqfunctions.udf.CIQ(A3513,"IQ_DILUT_EPS_EXCL",IQ_FY-1), _xll.ciqfunctions.udf.CIQ(A3513, "IQ_DILUT_EPS_EXCL",IQ_FY))</f>
        <v>-2.0384899999999999</v>
      </c>
      <c r="G3522" s="15">
        <f>IF(A3521=A3522,_xll.ciqfunctions.udf.CIQ(A3513,"IQ_EBITDA_MARGIN",IQ_FY-1), _xll.ciqfunctions.udf.CIQ(A3513, "IQ_EBITDA_MARGIN",IQ_FY))</f>
        <v>-70.716800000000006</v>
      </c>
      <c r="H3522" s="15">
        <f>IF(A3521=A3522,_xll.ciqfunctions.udf.CIQ(A3513,"IQ_TOTAL_DIV_PAID_CF",IQ_FY-1)/-I3522, _xll.ciqfunctions.udf.CIQ(A3513, "IQ_TOTAL_DIV_PAID_CF",IQ_FY)/-I3522)</f>
        <v>0</v>
      </c>
      <c r="I3522" s="17">
        <f>IF(A3521=A3522,_xll.ciqfunctions.udf.CIQ(A3513,"IQ_TOTAL_OUTSTANDING_FILING_DATE",IQ_FY-1), _xll.ciqfunctions.udf.CIQ(A3513, "IQ_TOTAL_OUTSTANDING_FILING_DATE",IQ_FY))</f>
        <v>214.38777999999999</v>
      </c>
      <c r="J3522" s="17">
        <f>IF(A3521=A3522,_xll.ciqfunctions.udf.CIQ(A3513,"IQ_CASH_OPER",IQ_FY-1), _xll.ciqfunctions.udf.CIQ(A3513, "IQ_CASH_OPER",IQ_FY))</f>
        <v>-160.05799999999999</v>
      </c>
      <c r="K3522" s="17">
        <f>IF(A3521=A3522,_xll.ciqfunctions.udf.CIQ(A3513,"IQ_CAPEX",IQ_FY-1), _xll.ciqfunctions.udf.CIQ(A3513, "IQ_CAPEX",IQ_FY))</f>
        <v>-5.351</v>
      </c>
      <c r="L3522" s="15">
        <f t="shared" si="936"/>
        <v>-0.77154117646071063</v>
      </c>
      <c r="M3522" s="17">
        <f>IF(A3521=A3522,_xll.ciqfunctions.udf.CIQ(A3513,"IQ_TOTAL_DEBT_ISSUED",IQ_FY-1), _xll.ciqfunctions.udf.CIQ(A3513, "IQ_TOTAL_DEBT_ISSUED",IQ_FY))</f>
        <v>49.555</v>
      </c>
      <c r="N3522" s="17">
        <f>IF(A3521=A3522,_xll.ciqfunctions.udf.CIQ(A3513,"IQ_TOTAL_DEBT_REPAID",IQ_FY-1), _xll.ciqfunctions.udf.CIQ(A3513, "IQ_TOTAL_DEBT_REPAID",IQ_FY))</f>
        <v>-38.332999999999998</v>
      </c>
      <c r="O3522" s="15">
        <f t="shared" si="937"/>
        <v>5.234440134600956E-2</v>
      </c>
      <c r="P3522" s="15">
        <f t="shared" si="938"/>
        <v>-0.71919677511470104</v>
      </c>
      <c r="Q3522" s="25" t="s">
        <v>44</v>
      </c>
      <c r="R3522" s="38" t="s">
        <v>35</v>
      </c>
      <c r="S3522" s="1" t="str">
        <f>_xll.ciqfunctions.udf.CIQ(A3513,"IQ_TEV_EBITDA")</f>
        <v>NM</v>
      </c>
      <c r="U3522" s="25" t="s">
        <v>55</v>
      </c>
      <c r="V3522" s="38" t="s">
        <v>53</v>
      </c>
      <c r="W3522" s="1" t="e">
        <f>V3512/(AVERAGE(D3518:D3523)/_xlfn.STDEV.P(E3518:E3523))</f>
        <v>#DIV/0!</v>
      </c>
      <c r="Y3522" s="25" t="s">
        <v>57</v>
      </c>
      <c r="Z3522" s="38" t="s">
        <v>53</v>
      </c>
      <c r="AA3522" s="1" t="e">
        <f>Z3512/(AVERAGE(D3518:D3523)/_xlfn.STDEV.P(E3518:E3523))</f>
        <v>#DIV/0!</v>
      </c>
    </row>
    <row r="3523" spans="1:27">
      <c r="B3523" s="13">
        <v>11</v>
      </c>
      <c r="C3523" s="20" t="s">
        <v>36</v>
      </c>
      <c r="D3523" s="21" cm="1">
        <f t="array" ref="D3523">_xlfn.SINGLE(IF(A3521=A3522,_xll.ciqfunctions.udf.CIQ(A3513,"IQ_TOTAL_REV",IQ_FY)/I3523, _xll.ciqfunctions.udf.CIQ(A3513, "IQ_TOTAL_REV",IQ_LTM)/I3523))</f>
        <v>2.73124861447456</v>
      </c>
      <c r="E3523" s="22">
        <f t="shared" si="939"/>
        <v>7.0053886035534349E-2</v>
      </c>
      <c r="F3523" s="21">
        <f>IF(A3521=A3522,_xll.ciqfunctions.udf.CIQ(A3513,"IQ_DILUT_EPS_EXCL",IQ_FY), _xll.ciqfunctions.udf.CIQ(A3513, "IQ_DILUT_EPS_EXCL",IQ_LTM))</f>
        <v>-1.53898</v>
      </c>
      <c r="G3523" s="21">
        <f>IF(A3521=A3522,_xll.ciqfunctions.udf.CIQ(A3513,"IQ_EBITDA_MARGIN",IQ_FY), _xll.ciqfunctions.udf.CIQ(A3513, "IQ_EBITDA_MARGIN",IQ_LTM))</f>
        <v>-52.35</v>
      </c>
      <c r="H3523" s="21">
        <f>IF(A3521=A3522,_xll.ciqfunctions.udf.CIQ(A3513,"IQ_TOTAL_DIV_PAID_CF",IQ_FY)/-I3523, _xll.ciqfunctions.udf.CIQ(A3513, "IQ_TOTAL_DIV_PAID_CF",IQ_LTM)/-I3523)</f>
        <v>0</v>
      </c>
      <c r="I3523" s="23">
        <f>IF(A3521=A3522,_xll.ciqfunctions.udf.CIQ(A3513,"IQ_TOTAL_OUTSTANDING_FILING_DATE",IQ_FY),_xll.ciqfunctions.udf.CIQ(A3513,"IQ_sharesoutstanding"))</f>
        <v>222.07279</v>
      </c>
      <c r="J3523" s="23">
        <f>IF(A3521=A3522,_xll.ciqfunctions.udf.CIQ(A3513,"IQ_CASH_OPER",IQ_FY), _xll.ciqfunctions.udf.CIQ(A3513, "IQ_CASH_OPER",IQ_LTM))</f>
        <v>-71.638000000000005</v>
      </c>
      <c r="K3523" s="23">
        <f>IF(A3521=A3522,_xll.ciqfunctions.udf.CIQ(A3513,"IQ_CAPEX",IQ_FY), _xll.ciqfunctions.udf.CIQ(A3513, "IQ_CAPEX",IQ_LTM))</f>
        <v>-9.6340000000000003</v>
      </c>
      <c r="L3523" s="21">
        <f t="shared" si="936"/>
        <v>-0.36597009476037118</v>
      </c>
      <c r="M3523" s="23">
        <f>IF(A3521=A3522,_xll.ciqfunctions.udf.CIQ(A3513,"IQ_TOTAL_DEBT_ISSUED",IQ_FY), _xll.ciqfunctions.udf.CIQ(A3513, "IQ_TOTAL_DEBT_ISSUED",IQ_LTM))</f>
        <v>49.555</v>
      </c>
      <c r="N3523" s="23">
        <f>IF(A3521=A3522,_xll.ciqfunctions.udf.CIQ(A3513,"IQ_TOTAL_DEBT_REPAID",IQ_FY), _xll.ciqfunctions.udf.CIQ(A3513, "IQ_TOTAL_DEBT_REPAID",IQ_LTM))</f>
        <v>-38.540999999999997</v>
      </c>
      <c r="O3523" s="21">
        <f t="shared" si="937"/>
        <v>4.9596350818125912E-2</v>
      </c>
      <c r="P3523" s="21">
        <f t="shared" si="938"/>
        <v>-0.31637374394224527</v>
      </c>
      <c r="Q3523" s="25" t="s">
        <v>45</v>
      </c>
      <c r="S3523" s="45"/>
      <c r="U3523" s="25"/>
      <c r="W3523" s="45"/>
      <c r="Y3523" s="25"/>
      <c r="AA3523" s="45"/>
    </row>
    <row r="3524" spans="1:27">
      <c r="B3524" s="24"/>
      <c r="C3524" s="25" t="s">
        <v>37</v>
      </c>
      <c r="E3524" s="26">
        <f>((D3523/D3518)^(1/5))-1</f>
        <v>0.19416078508344348</v>
      </c>
      <c r="F3524" s="27">
        <f>((F3523/F3518)^(1/5))-1</f>
        <v>0.14531002345532373</v>
      </c>
      <c r="G3524" s="28"/>
      <c r="H3524" s="27" t="e">
        <f>((H3523/H3518)^(1/5))-1</f>
        <v>#DIV/0!</v>
      </c>
      <c r="I3524" s="27">
        <f>((I3523/I3518)^(1/5))-1</f>
        <v>0.26610639714766604</v>
      </c>
      <c r="J3524" s="27"/>
      <c r="K3524" s="27"/>
      <c r="L3524" s="26">
        <f>((L3523/L3518)^(1/5))-1</f>
        <v>-5.4337273400589803E-2</v>
      </c>
      <c r="M3524" s="26"/>
      <c r="N3524" s="26"/>
      <c r="O3524" s="26"/>
      <c r="P3524" s="26">
        <f>((P3523/P3518)^(1/5))-1</f>
        <v>-8.1482915353758401E-2</v>
      </c>
      <c r="Q3524" s="18"/>
      <c r="R3524" s="36"/>
      <c r="S3524" s="45"/>
      <c r="U3524" s="18"/>
      <c r="V3524" s="36"/>
      <c r="W3524" s="45"/>
      <c r="Y3524" s="18"/>
      <c r="Z3524" s="36"/>
      <c r="AA3524" s="45"/>
    </row>
    <row r="3525" spans="1:27">
      <c r="A3525" s="29"/>
      <c r="B3525" s="30"/>
      <c r="C3525" s="31" t="s">
        <v>38</v>
      </c>
      <c r="D3525" s="29"/>
      <c r="E3525" s="32" t="e">
        <f>((D3523/D3513)^(1/10))-1</f>
        <v>#DIV/0!</v>
      </c>
      <c r="F3525" s="33" t="e">
        <f>((F3523/F3513)^(1/10))-1</f>
        <v>#DIV/0!</v>
      </c>
      <c r="G3525" s="34"/>
      <c r="H3525" s="33" t="e">
        <f>((H3523/H3513)^(1/10))-1</f>
        <v>#DIV/0!</v>
      </c>
      <c r="I3525" s="33" t="e">
        <f>((I3523/I3513)^(1/10))-1</f>
        <v>#DIV/0!</v>
      </c>
      <c r="J3525" s="33"/>
      <c r="K3525" s="33"/>
      <c r="L3525" s="32" t="e">
        <f>((L3523/L3513)^(1/10))-1</f>
        <v>#DIV/0!</v>
      </c>
      <c r="M3525" s="32"/>
      <c r="N3525" s="32"/>
      <c r="O3525" s="32"/>
      <c r="P3525" s="32" t="e">
        <f>((P3523/P3513)^(1/10))-1</f>
        <v>#DIV/0!</v>
      </c>
      <c r="Q3525" s="40"/>
      <c r="R3525" s="41"/>
      <c r="S3525" s="46"/>
      <c r="U3525" s="40"/>
      <c r="V3525" s="41"/>
      <c r="W3525" s="46"/>
      <c r="Y3525" s="40"/>
      <c r="Z3525" s="41"/>
      <c r="AA3525" s="46"/>
    </row>
    <row r="3526" spans="1:27">
      <c r="B3526" s="24"/>
      <c r="C3526" s="25"/>
      <c r="E3526" s="26"/>
      <c r="F3526" s="27"/>
      <c r="G3526" s="28"/>
      <c r="H3526" s="27"/>
      <c r="I3526" s="27"/>
      <c r="J3526" s="27"/>
      <c r="K3526" s="27"/>
      <c r="L3526" s="26"/>
      <c r="M3526" s="17"/>
      <c r="N3526" s="17"/>
      <c r="O3526" s="17"/>
      <c r="P3526" s="35"/>
      <c r="Q3526" s="18"/>
      <c r="R3526" s="36"/>
    </row>
    <row r="3527" spans="1:27">
      <c r="A3527" s="9" t="s">
        <v>0</v>
      </c>
      <c r="B3527" s="10"/>
      <c r="C3527" s="9" t="s">
        <v>1</v>
      </c>
      <c r="D3527" s="9" t="s">
        <v>2</v>
      </c>
      <c r="E3527" s="9" t="s">
        <v>3</v>
      </c>
      <c r="F3527" s="11" t="s">
        <v>4</v>
      </c>
      <c r="G3527" s="11" t="s">
        <v>5</v>
      </c>
      <c r="H3527" s="9" t="s">
        <v>6</v>
      </c>
      <c r="I3527" s="11" t="s">
        <v>7</v>
      </c>
      <c r="J3527" s="11" t="s">
        <v>8</v>
      </c>
      <c r="K3527" s="11" t="s">
        <v>9</v>
      </c>
      <c r="L3527" s="11" t="s">
        <v>10</v>
      </c>
      <c r="M3527" s="11" t="s">
        <v>11</v>
      </c>
      <c r="N3527" s="11" t="s">
        <v>12</v>
      </c>
      <c r="O3527" s="11" t="s">
        <v>13</v>
      </c>
      <c r="P3527" s="11" t="s">
        <v>14</v>
      </c>
      <c r="Q3527" s="37" t="s">
        <v>15</v>
      </c>
      <c r="R3527" s="42">
        <f>_xll.ciqfunctions.udf.CIQ(A3528,("IQ_LASTSALEPRICE"))</f>
        <v>17.747</v>
      </c>
      <c r="S3527" s="44"/>
      <c r="U3527" s="37" t="s">
        <v>15</v>
      </c>
      <c r="V3527" s="42">
        <f>_xll.ciqfunctions.udf.CIQ(A3528,("IQ_LASTSALEPRICE"))</f>
        <v>17.747</v>
      </c>
      <c r="W3527" s="44"/>
      <c r="Y3527" s="37" t="s">
        <v>15</v>
      </c>
      <c r="Z3527" s="42">
        <f>_xll.ciqfunctions.udf.CIQ(A3528,("IQ_LASTSALEPRICE"))</f>
        <v>17.747</v>
      </c>
      <c r="AA3527" s="44"/>
    </row>
    <row r="3528" spans="1:27">
      <c r="A3528" s="12" t="str">
        <f>Analysis!B237</f>
        <v>NYSE:S</v>
      </c>
      <c r="B3528" s="13">
        <v>1</v>
      </c>
      <c r="C3528" s="14" t="s">
        <v>16</v>
      </c>
      <c r="D3528" s="15" t="e">
        <f>IF(A3536=A3537,_xll.ciqfunctions.udf.CIQ(A3528,"IQ_TOTAL_REV",IQ_FY-10)/I3528,_xll.ciqfunctions.udf.CIQ(A3528, "IQ_TOTAL_REV",IQ_FY-9)/I3528)</f>
        <v>#DIV/0!</v>
      </c>
      <c r="E3528" s="16"/>
      <c r="F3528" s="15">
        <f>IF(A3536=A3537,_xll.ciqfunctions.udf.CIQ(A3528,"IQ_DILUT_EPS_EXCL",IQ_FY-10), _xll.ciqfunctions.udf.CIQ(A3528, "IQ_DILUT_EPS_EXCL",IQ_FY-9))</f>
        <v>0</v>
      </c>
      <c r="G3528" s="15">
        <f>IF(A3536=A3537,_xll.ciqfunctions.udf.CIQ(A3528,"IQ_EBITDA_MARGIN",IQ_FY-10), _xll.ciqfunctions.udf.CIQ(A3528, "IQ_EBITDA_MARGIN",IQ_FY-9))</f>
        <v>0</v>
      </c>
      <c r="H3528" s="15" t="e">
        <f>IF(A3536=A3537,_xll.ciqfunctions.udf.CIQ(A3528,"IQ_TOTAL_DIV_PAID_CF",IQ_FY-10)/-I3528, _xll.ciqfunctions.udf.CIQ(A3528, "IQ_TOTAL_DIV_PAID_CF",IQ_FY-9)/-I3528)</f>
        <v>#DIV/0!</v>
      </c>
      <c r="I3528" s="17">
        <f>IF(A3536=A3537,_xll.ciqfunctions.udf.CIQ(A3528,"IQ_TOTAL_OUTSTANDING_FILING_DATE",IQ_FY-10), _xll.ciqfunctions.udf.CIQ(A3528, "IQ_TOTAL_OUTSTANDING_FILING_DATE",IQ_FY-9))</f>
        <v>0</v>
      </c>
      <c r="J3528" s="17">
        <f>IF(A3536=A3537,_xll.ciqfunctions.udf.CIQ(A3528,"IQ_CASH_OPER",IQ_FY-10), _xll.ciqfunctions.udf.CIQ(A3528, "IQ_CASH_OPER",IQ_FY-9))</f>
        <v>0</v>
      </c>
      <c r="K3528" s="17">
        <f>IF(A3536=A3537,_xll.ciqfunctions.udf.CIQ(A3528,"IQ_CAPEX",IQ_FY-10), _xll.ciqfunctions.udf.CIQ(A3528, "IQ_CAPEX",IQ_FY-9))</f>
        <v>0</v>
      </c>
      <c r="L3528" s="15" t="e">
        <f t="shared" ref="L3528:L3538" si="940">(J3528+K3528)/I3528</f>
        <v>#DIV/0!</v>
      </c>
      <c r="M3528" s="17">
        <f>IF(A3536=A3537,_xll.ciqfunctions.udf.CIQ(A3528,"IQ_TOTAL_DEBT_ISSUED",IQ_FY-10), _xll.ciqfunctions.udf.CIQ(A3528, "IQ_TOTAL_DEBT_ISSUED",IQ_FY-9))</f>
        <v>0</v>
      </c>
      <c r="N3528" s="17">
        <f>IF(A3536=A3537,_xll.ciqfunctions.udf.CIQ(A3528,"IQ_TOTAL_DEBT_REPAID",IQ_FY-10), _xll.ciqfunctions.udf.CIQ(A3528, "IQ_TOTAL_DEBT_REPAID",IQ_FY-9))</f>
        <v>0</v>
      </c>
      <c r="O3528" s="15" t="e">
        <f t="shared" ref="O3528:O3538" si="941">(M3528+N3528)/I3528</f>
        <v>#DIV/0!</v>
      </c>
      <c r="P3528" s="15" t="e">
        <f t="shared" ref="P3528:P3538" si="942">L3528+O3528</f>
        <v>#DIV/0!</v>
      </c>
      <c r="W3528" s="43"/>
      <c r="AA3528" s="43"/>
    </row>
    <row r="3529" spans="1:27">
      <c r="A3529" s="18" t="str">
        <f>_xll.ciqfunctions.udf.CIQ(A3528,"IQ_COMPANY_NAME")</f>
        <v>SentinelOne, Inc.</v>
      </c>
      <c r="B3529" s="13">
        <v>2</v>
      </c>
      <c r="C3529" s="14" t="s">
        <v>17</v>
      </c>
      <c r="D3529" s="15" t="e">
        <f>IF(A3536=A3537,_xll.ciqfunctions.udf.CIQ(A3528,"IQ_TOTAL_REV",IQ_FY-9)/I3529, _xll.ciqfunctions.udf.CIQ(A3528, "IQ_TOTAL_REV",IQ_FY-8)/I3529)</f>
        <v>#DIV/0!</v>
      </c>
      <c r="E3529" s="16" t="e">
        <f t="shared" ref="E3529:E3538" si="943">(D3529-D3528)/D3528</f>
        <v>#DIV/0!</v>
      </c>
      <c r="F3529" s="15">
        <f>IF(A3536=A3537,_xll.ciqfunctions.udf.CIQ(A3528,"IQ_DILUT_EPS_EXCL",IQ_FY-9), _xll.ciqfunctions.udf.CIQ(A3528, "IQ_DILUT_EPS_EXCL",IQ_FY-8))</f>
        <v>0</v>
      </c>
      <c r="G3529" s="15">
        <f>IF(A3536=A3537,_xll.ciqfunctions.udf.CIQ(A3528,"IQ_EBITDA_MARGIN",IQ_FY-9), _xll.ciqfunctions.udf.CIQ(A3528, "IQ_EBITDA_MARGIN",IQ_FY-8))</f>
        <v>0</v>
      </c>
      <c r="H3529" s="15" t="e">
        <f>IF(A3536=A3537,_xll.ciqfunctions.udf.CIQ(A3528,"IQ_TOTAL_DIV_PAID_CF",IQ_FY-9)/-I3529, _xll.ciqfunctions.udf.CIQ(A3528, "IQ_TOTAL_DIV_PAID_CF",IQ_FY-8)/-I3529)</f>
        <v>#DIV/0!</v>
      </c>
      <c r="I3529" s="17">
        <f>IF(A3536=A3537,_xll.ciqfunctions.udf.CIQ(A3528,"IQ_TOTAL_OUTSTANDING_FILING_DATE",IQ_FY-9), _xll.ciqfunctions.udf.CIQ(A3528, "IQ_TOTAL_OUTSTANDING_FILING_DATE",IQ_FY-8))</f>
        <v>0</v>
      </c>
      <c r="J3529" s="17">
        <f>IF(A3536=A3537,_xll.ciqfunctions.udf.CIQ(A3528,"IQ_CASH_OPER",IQ_FY-9), _xll.ciqfunctions.udf.CIQ(A3528, "IQ_CASH_OPER",IQ_FY-8))</f>
        <v>0</v>
      </c>
      <c r="K3529" s="17">
        <f>IF(A3536=A3537,_xll.ciqfunctions.udf.CIQ(A3528,"IQ_CAPEX",IQ_FY-9), _xll.ciqfunctions.udf.CIQ(A3528, "IQ_CAPEX",IQ_FY-8))</f>
        <v>0</v>
      </c>
      <c r="L3529" s="15" t="e">
        <f t="shared" si="940"/>
        <v>#DIV/0!</v>
      </c>
      <c r="M3529" s="17">
        <f>IF(A3536=A3537,_xll.ciqfunctions.udf.CIQ(A3528,"IQ_TOTAL_DEBT_ISSUED",IQ_FY-9), _xll.ciqfunctions.udf.CIQ(A3528, "IQ_TOTAL_DEBT_ISSUED",IQ_FY-8))</f>
        <v>0</v>
      </c>
      <c r="N3529" s="17">
        <f>IF(A3536=A3537,_xll.ciqfunctions.udf.CIQ(A3528,"IQ_TOTAL_DEBT_REPAID",IQ_FY-9), _xll.ciqfunctions.udf.CIQ(A3528, "IQ_TOTAL_DEBT_REPAID",IQ_FY-8))</f>
        <v>0</v>
      </c>
      <c r="O3529" s="15" t="e">
        <f t="shared" si="941"/>
        <v>#DIV/0!</v>
      </c>
      <c r="P3529" s="15" t="e">
        <f t="shared" si="942"/>
        <v>#DIV/0!</v>
      </c>
      <c r="Q3529" s="25" t="s">
        <v>18</v>
      </c>
      <c r="R3529" s="39" t="s">
        <v>19</v>
      </c>
      <c r="S3529" s="1" t="e">
        <f>R3527/((AVERAGE(P3533:P3538))*(1+E3539)^3)</f>
        <v>#DIV/0!</v>
      </c>
      <c r="U3529" s="25" t="s">
        <v>48</v>
      </c>
      <c r="V3529" s="39" t="s">
        <v>19</v>
      </c>
      <c r="W3529" s="1" t="e">
        <f>V3527/((AVERAGE(P3533:P3538))*(1+E3539)^3)</f>
        <v>#DIV/0!</v>
      </c>
      <c r="Y3529" s="25" t="s">
        <v>39</v>
      </c>
      <c r="Z3529" s="39" t="s">
        <v>19</v>
      </c>
      <c r="AA3529" s="1" t="e">
        <f>Z3527/((AVERAGE(P3533:P3538))*(1+E3539)^3)</f>
        <v>#DIV/0!</v>
      </c>
    </row>
    <row r="3530" spans="1:27">
      <c r="B3530" s="13">
        <v>3</v>
      </c>
      <c r="C3530" s="14" t="s">
        <v>20</v>
      </c>
      <c r="D3530" s="15" t="e" cm="1">
        <f t="array" ref="D3530">_xlfn.SINGLE(IF(A3536=A3537,_xll.ciqfunctions.udf.CIQ(A3528,"IQ_TOTAL_REV",IQ_FY-8)/I3530, _xll.ciqfunctions.udf.CIQ(A3528, "IQ_TOTAL_REV",IQ_FY-7)/I3530))</f>
        <v>#DIV/0!</v>
      </c>
      <c r="E3530" s="16" t="e">
        <f t="shared" si="943"/>
        <v>#DIV/0!</v>
      </c>
      <c r="F3530" s="15">
        <f>IF(A3536=A3537,_xll.ciqfunctions.udf.CIQ(A3528,"IQ_DILUT_EPS_EXCL",IQ_FY-8), _xll.ciqfunctions.udf.CIQ(A3528, "IQ_DILUT_EPS_EXCL",IQ_FY-7))</f>
        <v>0</v>
      </c>
      <c r="G3530" s="15">
        <f>IF(A3536=A3537,_xll.ciqfunctions.udf.CIQ(A3528,"IQ_EBITDA_MARGIN",IQ_FY-8), _xll.ciqfunctions.udf.CIQ(A3528, "IQ_EBITDA_MARGIN",IQ_FY-7))</f>
        <v>0</v>
      </c>
      <c r="H3530" s="15" t="e">
        <f>IF(A3536=A3537,_xll.ciqfunctions.udf.CIQ(A3528,"IQ_TOTAL_DIV_PAID_CF",IQ_FY-8)/-I3530, _xll.ciqfunctions.udf.CIQ(A3528, "IQ_TOTAL_DIV_PAID_CF",IQ_FY-7)/-I3530)</f>
        <v>#DIV/0!</v>
      </c>
      <c r="I3530" s="17">
        <f>IF(A3536=A3537,_xll.ciqfunctions.udf.CIQ(A3528,"IQ_TOTAL_OUTSTANDING_FILING_DATE",IQ_FY-8), _xll.ciqfunctions.udf.CIQ(A3528, "IQ_TOTAL_OUTSTANDING_FILING_DATE",IQ_FY-7))</f>
        <v>0</v>
      </c>
      <c r="J3530" s="17">
        <f>IF(A3536=A3537,_xll.ciqfunctions.udf.CIQ(A3528,"IQ_CASH_OPER",IQ_FY-8), _xll.ciqfunctions.udf.CIQ(A3528, "IQ_CASH_OPER",IQ_FY-7))</f>
        <v>0</v>
      </c>
      <c r="K3530" s="17">
        <f>IF(A3536=A3537,_xll.ciqfunctions.udf.CIQ(A3528,"IQ_CAPEX",IQ_FY-8), _xll.ciqfunctions.udf.CIQ(A3528, "IQ_CAPEX",IQ_FY-7))</f>
        <v>0</v>
      </c>
      <c r="L3530" s="15" t="e">
        <f t="shared" si="940"/>
        <v>#DIV/0!</v>
      </c>
      <c r="M3530" s="17">
        <f>IF(A3536=A3537,_xll.ciqfunctions.udf.CIQ(A3528,"IQ_TOTAL_DEBT_ISSUED",IQ_FY-8), _xll.ciqfunctions.udf.CIQ(A3528, "IQ_TOTAL_DEBT_ISSUED",IQ_FY-7))</f>
        <v>0</v>
      </c>
      <c r="N3530" s="17">
        <f>IF(A3536=A3537,_xll.ciqfunctions.udf.CIQ(A3528,"IQ_TOTAL_DEBT_REPAID",IQ_FY-8), _xll.ciqfunctions.udf.CIQ(A3528, "IQ_TOTAL_DEBT_REPAID",IQ_FY-7))</f>
        <v>0</v>
      </c>
      <c r="O3530" s="15" t="e">
        <f t="shared" si="941"/>
        <v>#DIV/0!</v>
      </c>
      <c r="P3530" s="15" t="e">
        <f t="shared" si="942"/>
        <v>#DIV/0!</v>
      </c>
      <c r="Q3530" s="25" t="s">
        <v>21</v>
      </c>
      <c r="R3530" s="38" t="s">
        <v>49</v>
      </c>
      <c r="S3530" s="2">
        <f>(R3527*I3538)/1000</f>
        <v>5.2473234610099997</v>
      </c>
      <c r="U3530" s="25" t="s">
        <v>59</v>
      </c>
      <c r="V3530" s="38" t="s">
        <v>49</v>
      </c>
      <c r="W3530" s="2">
        <f>(V3527*I3538)/1000</f>
        <v>5.2473234610099997</v>
      </c>
      <c r="Y3530" s="25" t="s">
        <v>46</v>
      </c>
      <c r="Z3530" s="38" t="s">
        <v>49</v>
      </c>
      <c r="AA3530" s="2">
        <f>(Z3527*I3538)/1000</f>
        <v>5.2473234610099997</v>
      </c>
    </row>
    <row r="3531" spans="1:27">
      <c r="A3531" s="18"/>
      <c r="B3531" s="13">
        <v>4</v>
      </c>
      <c r="C3531" s="14" t="s">
        <v>22</v>
      </c>
      <c r="D3531" s="15" t="e" cm="1">
        <f t="array" ref="D3531">_xlfn.SINGLE(IF(A3536=A3537,_xll.ciqfunctions.udf.CIQ(A3528,"IQ_TOTAL_REV",IQ_FY-7)/I3531, _xll.ciqfunctions.udf.CIQ(A3528, "IQ_TOTAL_REV",IQ_FY-6)/I3531))</f>
        <v>#DIV/0!</v>
      </c>
      <c r="E3531" s="16" t="e">
        <f t="shared" si="943"/>
        <v>#DIV/0!</v>
      </c>
      <c r="F3531" s="15">
        <f>IF(A3536=A3537,_xll.ciqfunctions.udf.CIQ(A3528,"IQ_DILUT_EPS_EXCL",IQ_FY-7), _xll.ciqfunctions.udf.CIQ(A3528, "IQ_DILUT_EPS_EXCL",IQ_FY-6))</f>
        <v>0</v>
      </c>
      <c r="G3531" s="15">
        <f>IF(A3536=A3537,_xll.ciqfunctions.udf.CIQ(A3528,"IQ_EBITDA_MARGIN",IQ_FY-7), _xll.ciqfunctions.udf.CIQ(A3528, "IQ_EBITDA_MARGIN",IQ_FY-6))</f>
        <v>0</v>
      </c>
      <c r="H3531" s="15" t="e">
        <f>IF(A3536=A3537,_xll.ciqfunctions.udf.CIQ(A3528,"IQ_TOTAL_DIV_PAID_CF",IQ_FY-7)/-I3531, _xll.ciqfunctions.udf.CIQ(A3528, "IQ_TOTAL_DIV_PAID_CF",IQ_FY-6)/-I3531)</f>
        <v>#DIV/0!</v>
      </c>
      <c r="I3531" s="17">
        <f>IF(A3536=A3537,_xll.ciqfunctions.udf.CIQ(A3528,"IQ_TOTAL_OUTSTANDING_FILING_DATE",IQ_FY-7), _xll.ciqfunctions.udf.CIQ(A3528, "IQ_TOTAL_OUTSTANDING_FILING_DATE",IQ_FY-6))</f>
        <v>0</v>
      </c>
      <c r="J3531" s="17">
        <f>IF(A3536=A3537,_xll.ciqfunctions.udf.CIQ(A3528,"IQ_CASH_OPER",IQ_FY-7), _xll.ciqfunctions.udf.CIQ(A3528, "IQ_CASH_OPER",IQ_FY-6))</f>
        <v>0</v>
      </c>
      <c r="K3531" s="17">
        <f>IF(A3536=A3537,_xll.ciqfunctions.udf.CIQ(A3528,"IQ_CAPEX",IQ_FY-7), _xll.ciqfunctions.udf.CIQ(A3528, "IQ_CAPEX",IQ_FY-6))</f>
        <v>0</v>
      </c>
      <c r="L3531" s="15" t="e">
        <f t="shared" si="940"/>
        <v>#DIV/0!</v>
      </c>
      <c r="M3531" s="17">
        <f>IF(A3536=A3537,_xll.ciqfunctions.udf.CIQ(A3528,"IQ_TOTAL_DEBT_ISSUED",IQ_FY-7), _xll.ciqfunctions.udf.CIQ(A3528, "IQ_TOTAL_DEBT_ISSUED",IQ_FY-6))</f>
        <v>0</v>
      </c>
      <c r="N3531" s="17">
        <f>IF(A3536=A3537,_xll.ciqfunctions.udf.CIQ(A3528,"IQ_TOTAL_DEBT_REPAID",IQ_FY-7), _xll.ciqfunctions.udf.CIQ(A3528, "IQ_TOTAL_DEBT_REPAID",IQ_FY-6))</f>
        <v>0</v>
      </c>
      <c r="O3531" s="15" t="e">
        <f t="shared" si="941"/>
        <v>#DIV/0!</v>
      </c>
      <c r="P3531" s="15" t="e">
        <f t="shared" si="942"/>
        <v>#DIV/0!</v>
      </c>
      <c r="Q3531" s="25" t="s">
        <v>23</v>
      </c>
      <c r="R3531" s="38" t="s">
        <v>24</v>
      </c>
      <c r="S3531" s="1" t="e">
        <f>R3527/(AVERAGE(H3533:H3538)*(1+H3539)/(0.5-H3539))</f>
        <v>#DIV/0!</v>
      </c>
      <c r="U3531" s="25" t="s">
        <v>40</v>
      </c>
      <c r="V3531" s="38" t="s">
        <v>24</v>
      </c>
      <c r="W3531" s="1" t="e">
        <f>V3527/(AVERAGE(H3533:H3538)*(1+H3539)/(0.5-H3539))</f>
        <v>#DIV/0!</v>
      </c>
      <c r="Y3531" s="25" t="s">
        <v>47</v>
      </c>
      <c r="Z3531" s="38" t="s">
        <v>24</v>
      </c>
      <c r="AA3531" s="1" t="e">
        <f>Z3527/(AVERAGE(H3533:H3538)*(1+H3539)/(0.5-H3539))</f>
        <v>#DIV/0!</v>
      </c>
    </row>
    <row r="3532" spans="1:27">
      <c r="B3532" s="13">
        <v>5</v>
      </c>
      <c r="C3532" s="14" t="s">
        <v>25</v>
      </c>
      <c r="D3532" s="15" t="e" cm="1">
        <f t="array" ref="D3532">_xlfn.SINGLE(IF(A3536=A3537,_xll.ciqfunctions.udf.CIQ(A3528,"IQ_TOTAL_REV",IQ_FY-6)/I3532, _xll.ciqfunctions.udf.CIQ(A3528, "IQ_TOTAL_REV",IQ_FY-5)/I3532))</f>
        <v>#DIV/0!</v>
      </c>
      <c r="E3532" s="16" t="e">
        <f t="shared" si="943"/>
        <v>#DIV/0!</v>
      </c>
      <c r="F3532" s="15">
        <f>IF(A3536=A3537,_xll.ciqfunctions.udf.CIQ(A3528,"IQ_DILUT_EPS_EXCL",IQ_FY-6), _xll.ciqfunctions.udf.CIQ(A3528, "IQ_DILUT_EPS_EXCL",IQ_FY-5))</f>
        <v>0</v>
      </c>
      <c r="G3532" s="15">
        <f>IF(A3536=A3537,_xll.ciqfunctions.udf.CIQ(A3528,"IQ_EBITDA_MARGIN",IQ_FY-6), _xll.ciqfunctions.udf.CIQ(A3528, "IQ_EBITDA_MARGIN",IQ_FY-5))</f>
        <v>0</v>
      </c>
      <c r="H3532" s="15" t="e">
        <f>IF(A3536=A3537,_xll.ciqfunctions.udf.CIQ(A3528,"IQ_TOTAL_DIV_PAID_CF",IQ_FY-6)/-I3532, _xll.ciqfunctions.udf.CIQ(A3528, "IQ_TOTAL_DIV_PAID_CF",IQ_FY-5)/-I3532)</f>
        <v>#DIV/0!</v>
      </c>
      <c r="I3532" s="17">
        <f>IF(A3536=A3537,_xll.ciqfunctions.udf.CIQ(A3528,"IQ_TOTAL_OUTSTANDING_FILING_DATE",IQ_FY-6), _xll.ciqfunctions.udf.CIQ(A3528, "IQ_TOTAL_OUTSTANDING_FILING_DATE",IQ_FY-5))</f>
        <v>0</v>
      </c>
      <c r="J3532" s="17">
        <f>IF(A3536=A3537,_xll.ciqfunctions.udf.CIQ(A3528,"IQ_CASH_OPER",IQ_FY-6), _xll.ciqfunctions.udf.CIQ(A3528, "IQ_CASH_OPER",IQ_FY-5))</f>
        <v>0</v>
      </c>
      <c r="K3532" s="17">
        <f>IF(A3536=A3537,_xll.ciqfunctions.udf.CIQ(A3528,"IQ_CAPEX",IQ_FY-6), _xll.ciqfunctions.udf.CIQ(A3528, "IQ_CAPEX",IQ_FY-5))</f>
        <v>0</v>
      </c>
      <c r="L3532" s="15" t="e">
        <f t="shared" si="940"/>
        <v>#DIV/0!</v>
      </c>
      <c r="M3532" s="17">
        <f>IF(A3536=A3537,_xll.ciqfunctions.udf.CIQ(A3528,"IQ_TOTAL_DEBT_ISSUED",IQ_FY-6), _xll.ciqfunctions.udf.CIQ(A3528, "IQ_TOTAL_DEBT_ISSUED",IQ_FY-5))</f>
        <v>0</v>
      </c>
      <c r="N3532" s="17">
        <f>IF(A3536=A3537,_xll.ciqfunctions.udf.CIQ(A3528,"IQ_TOTAL_DEBT_REPAID",IQ_FY-6), _xll.ciqfunctions.udf.CIQ(A3528, "IQ_TOTAL_DEBT_REPAID",IQ_FY-5))</f>
        <v>0</v>
      </c>
      <c r="O3532" s="15" t="e">
        <f t="shared" si="941"/>
        <v>#DIV/0!</v>
      </c>
      <c r="P3532" s="15" t="e">
        <f t="shared" si="942"/>
        <v>#DIV/0!</v>
      </c>
      <c r="Q3532" s="18"/>
      <c r="R3532" s="38" t="s">
        <v>50</v>
      </c>
      <c r="S3532" s="3" t="e">
        <f>I3539</f>
        <v>#DIV/0!</v>
      </c>
      <c r="U3532" s="18"/>
      <c r="V3532" s="38" t="s">
        <v>50</v>
      </c>
      <c r="W3532" s="3" t="e">
        <f>I3539</f>
        <v>#DIV/0!</v>
      </c>
      <c r="Y3532" s="18"/>
      <c r="Z3532" s="38" t="s">
        <v>50</v>
      </c>
      <c r="AA3532" s="3" t="e">
        <f>I3539</f>
        <v>#DIV/0!</v>
      </c>
    </row>
    <row r="3533" spans="1:27">
      <c r="B3533" s="13">
        <v>6</v>
      </c>
      <c r="C3533" s="14" t="s">
        <v>26</v>
      </c>
      <c r="D3533" s="15" t="e" cm="1">
        <f t="array" ref="D3533">_xlfn.SINGLE(IF(A3536=A3537,_xll.ciqfunctions.udf.CIQ(A3528,"IQ_TOTAL_REV",IQ_FY-5)/I3533, _xll.ciqfunctions.udf.CIQ(A3528, "IQ_TOTAL_REV",IQ_FY-4)/I3533))</f>
        <v>#DIV/0!</v>
      </c>
      <c r="E3533" s="16" t="e">
        <f t="shared" si="943"/>
        <v>#DIV/0!</v>
      </c>
      <c r="F3533" s="15">
        <f>IF(A3536=A3537,_xll.ciqfunctions.udf.CIQ(A3528,"IQ_DILUT_EPS_EXCL",IQ_FY-5), _xll.ciqfunctions.udf.CIQ(A3528, "IQ_DILUT_EPS_EXCL",IQ_FY-4))</f>
        <v>0</v>
      </c>
      <c r="G3533" s="15">
        <f>IF(A3536=A3537,_xll.ciqfunctions.udf.CIQ(A3528,"IQ_EBITDA_MARGIN",IQ_FY-5), _xll.ciqfunctions.udf.CIQ(A3528, "IQ_EBITDA_MARGIN",IQ_FY-4))</f>
        <v>0</v>
      </c>
      <c r="H3533" s="15" t="e">
        <f>IF(A3536=A3537,_xll.ciqfunctions.udf.CIQ(A3528,"IQ_TOTAL_DIV_PAID_CF",IQ_FY-5)/-I3533, _xll.ciqfunctions.udf.CIQ(A3528, "IQ_TOTAL_DIV_PAID_CF",IQ_FY-4)/-I3533)</f>
        <v>#DIV/0!</v>
      </c>
      <c r="I3533" s="17">
        <f>IF(A3536=A3537,_xll.ciqfunctions.udf.CIQ(A3528,"IQ_TOTAL_OUTSTANDING_FILING_DATE",IQ_FY-5), _xll.ciqfunctions.udf.CIQ(A3528, "IQ_TOTAL_OUTSTANDING_FILING_DATE",IQ_FY-4))</f>
        <v>0</v>
      </c>
      <c r="J3533" s="17">
        <f>IF(A3536=A3537,_xll.ciqfunctions.udf.CIQ(A3528,"IQ_CASH_OPER",IQ_FY-5), _xll.ciqfunctions.udf.CIQ(A3528, "IQ_CASH_OPER",IQ_FY-4))</f>
        <v>0</v>
      </c>
      <c r="K3533" s="17">
        <f>IF(A3536=A3537,_xll.ciqfunctions.udf.CIQ(A3528,"IQ_CAPEX",IQ_FY-5), _xll.ciqfunctions.udf.CIQ(A3528, "IQ_CAPEX",IQ_FY-4))</f>
        <v>0</v>
      </c>
      <c r="L3533" s="15" t="e">
        <f t="shared" si="940"/>
        <v>#DIV/0!</v>
      </c>
      <c r="M3533" s="17">
        <f>IF(A3536=A3537,_xll.ciqfunctions.udf.CIQ(A3528,"IQ_TOTAL_DEBT_ISSUED",IQ_FY-5), _xll.ciqfunctions.udf.CIQ(A3528, "IQ_TOTAL_DEBT_ISSUED",IQ_FY-4))</f>
        <v>0</v>
      </c>
      <c r="N3533" s="17">
        <f>IF(A3536=A3537,_xll.ciqfunctions.udf.CIQ(A3528,"IQ_TOTAL_DEBT_REPAID",IQ_FY-5), _xll.ciqfunctions.udf.CIQ(A3528, "IQ_TOTAL_DEBT_REPAID",IQ_FY-4))</f>
        <v>0</v>
      </c>
      <c r="O3533" s="15" t="e">
        <f t="shared" si="941"/>
        <v>#DIV/0!</v>
      </c>
      <c r="P3533" s="15" t="e">
        <f t="shared" si="942"/>
        <v>#DIV/0!</v>
      </c>
      <c r="Q3533" s="25" t="s">
        <v>27</v>
      </c>
      <c r="R3533" s="38" t="s">
        <v>51</v>
      </c>
      <c r="S3533" s="4" t="e">
        <f>AVERAGE(F3533:F3538)/AVERAGE(D3533:D3538)</f>
        <v>#DIV/0!</v>
      </c>
      <c r="U3533" s="25" t="s">
        <v>58</v>
      </c>
      <c r="V3533" s="38" t="s">
        <v>51</v>
      </c>
      <c r="W3533" s="4" t="e">
        <f>AVERAGE(F3533:F3538)/AVERAGE(D3533:D3538)</f>
        <v>#DIV/0!</v>
      </c>
      <c r="Y3533" s="25" t="s">
        <v>56</v>
      </c>
      <c r="Z3533" s="38" t="s">
        <v>51</v>
      </c>
      <c r="AA3533" s="4" t="e">
        <f>AVERAGE(F3533:F3538)/AVERAGE(D3533:D3538)</f>
        <v>#DIV/0!</v>
      </c>
    </row>
    <row r="3534" spans="1:27">
      <c r="A3534" s="18"/>
      <c r="B3534" s="13">
        <v>7</v>
      </c>
      <c r="C3534" s="14" t="s">
        <v>28</v>
      </c>
      <c r="D3534" s="15" cm="1">
        <f t="array" ref="D3534">_xlfn.SINGLE(IF(A3536=A3537,_xll.ciqfunctions.udf.CIQ(A3528,"IQ_TOTAL_REV",IQ_FY-4)/I3534, _xll.ciqfunctions.udf.CIQ(A3528, "IQ_TOTAL_REV",IQ_FY-3)/I3534))</f>
        <v>1.3851826528182181</v>
      </c>
      <c r="E3534" s="16" t="e">
        <f t="shared" si="943"/>
        <v>#DIV/0!</v>
      </c>
      <c r="F3534" s="15">
        <f>IF(A3536=A3537,_xll.ciqfunctions.udf.CIQ(A3528,"IQ_DILUT_EPS_EXCL",IQ_FY-4), _xll.ciqfunctions.udf.CIQ(A3528, "IQ_DILUT_EPS_EXCL",IQ_FY-3))</f>
        <v>-2.3406099999999999</v>
      </c>
      <c r="G3534" s="15">
        <f>IF(A3536=A3537,_xll.ciqfunctions.udf.CIQ(A3528,"IQ_EBITDA_MARGIN",IQ_FY-4), _xll.ciqfunctions.udf.CIQ(A3528, "IQ_EBITDA_MARGIN",IQ_FY-3))</f>
        <v>-158.86080000000001</v>
      </c>
      <c r="H3534" s="15">
        <f>IF(A3536=A3537,_xll.ciqfunctions.udf.CIQ(A3528,"IQ_TOTAL_DIV_PAID_CF",IQ_FY-4)/-I3534, _xll.ciqfunctions.udf.CIQ(A3528, "IQ_TOTAL_DIV_PAID_CF",IQ_FY-3)/-I3534)</f>
        <v>0</v>
      </c>
      <c r="I3534" s="17">
        <f>IF(A3536=A3537,_xll.ciqfunctions.udf.CIQ(A3528,"IQ_TOTAL_OUTSTANDING_FILING_DATE",IQ_FY-4), _xll.ciqfunctions.udf.CIQ(A3528, "IQ_TOTAL_OUTSTANDING_FILING_DATE",IQ_FY-3))</f>
        <v>33.550809999999998</v>
      </c>
      <c r="J3534" s="17">
        <f>IF(A3536=A3537,_xll.ciqfunctions.udf.CIQ(A3528,"IQ_CASH_OPER",IQ_FY-4), _xll.ciqfunctions.udf.CIQ(A3528, "IQ_CASH_OPER",IQ_FY-3))</f>
        <v>-44.423999999999999</v>
      </c>
      <c r="K3534" s="17">
        <f>IF(A3536=A3537,_xll.ciqfunctions.udf.CIQ(A3528,"IQ_CAPEX",IQ_FY-4), _xll.ciqfunctions.udf.CIQ(A3528, "IQ_CAPEX",IQ_FY-3))</f>
        <v>-0.95299999999999996</v>
      </c>
      <c r="L3534" s="15">
        <f t="shared" si="940"/>
        <v>-1.3524859757484247</v>
      </c>
      <c r="M3534" s="17">
        <f>IF(A3536=A3537,_xll.ciqfunctions.udf.CIQ(A3528,"IQ_TOTAL_DEBT_ISSUED",IQ_FY-4), _xll.ciqfunctions.udf.CIQ(A3528, "IQ_TOTAL_DEBT_ISSUED",IQ_FY-3))</f>
        <v>0</v>
      </c>
      <c r="N3534" s="17">
        <f>IF(A3536=A3537,_xll.ciqfunctions.udf.CIQ(A3528,"IQ_TOTAL_DEBT_REPAID",IQ_FY-4), _xll.ciqfunctions.udf.CIQ(A3528, "IQ_TOTAL_DEBT_REPAID",IQ_FY-3))</f>
        <v>0</v>
      </c>
      <c r="O3534" s="15">
        <f t="shared" si="941"/>
        <v>0</v>
      </c>
      <c r="P3534" s="15">
        <f t="shared" si="942"/>
        <v>-1.3524859757484247</v>
      </c>
      <c r="Q3534" s="18"/>
      <c r="R3534" s="38" t="s">
        <v>29</v>
      </c>
      <c r="S3534" s="4" t="e">
        <f>(AVERAGE(P3533:P3538)/_xlfn.STDEV.P(P3533:P3538))/(IF(A3536=A3537,(_xlfn.SINGLE(_xll.ciqfunctions.udf.CIQ(A3528,"IQ_total_assets",IQ_FY)) - _xlfn.SINGLE(_xll.ciqfunctions.udf.CIQ(A3528,"iq_gw_intan", IQ_FY)))/I3538, (_xlfn.SINGLE(_xll.ciqfunctions.udf.CIQ(A3528, "IQ_total_assets",IQ_LTM))-_xlfn.SINGLE(_xll.ciqfunctions.udf.CIQ(A3528,"iq_gw_intan",IQ_LTM)))/I3538))</f>
        <v>#DIV/0!</v>
      </c>
      <c r="U3534" s="18"/>
      <c r="V3534" s="38" t="s">
        <v>29</v>
      </c>
      <c r="W3534" s="4" t="e">
        <f>(AVERAGE(P3533:P3538)/_xlfn.STDEV.P(P3533:P3538))/(IF(A3536=A3537,(_xlfn.SINGLE(_xll.ciqfunctions.udf.CIQ(A3528,"IQ_total_assets",IQ_FY)) - _xlfn.SINGLE(_xll.ciqfunctions.udf.CIQ(A3528,"iq_gw_intan", IQ_FY)))/I3538, (_xlfn.SINGLE(_xll.ciqfunctions.udf.CIQ(A3528, "IQ_total_assets",IQ_LTM))-_xlfn.SINGLE(_xll.ciqfunctions.udf.CIQ(A3528,"iq_gw_intan",IQ_LTM)))/I3538))</f>
        <v>#DIV/0!</v>
      </c>
      <c r="Y3534" s="18"/>
      <c r="Z3534" s="38" t="s">
        <v>29</v>
      </c>
      <c r="AA3534" s="4" t="e">
        <f>(AVERAGE(P3533:P3538)/_xlfn.STDEV.P(P3533:P3538))/(IF(A3536=A3537,(_xlfn.SINGLE(_xll.ciqfunctions.udf.CIQ(A3528,"IQ_total_assets",IQ_FY)) - _xlfn.SINGLE(_xll.ciqfunctions.udf.CIQ(A3528,"iq_gw_intan", IQ_FY)))/I3538, (_xlfn.SINGLE(_xll.ciqfunctions.udf.CIQ(A3528, "IQ_total_assets",IQ_LTM))-_xlfn.SINGLE(_xll.ciqfunctions.udf.CIQ(A3528,"iq_gw_intan",IQ_LTM)))/I3538))</f>
        <v>#DIV/0!</v>
      </c>
    </row>
    <row r="3535" spans="1:27">
      <c r="A3535" s="18"/>
      <c r="B3535" s="13">
        <v>8</v>
      </c>
      <c r="C3535" s="14" t="s">
        <v>30</v>
      </c>
      <c r="D3535" s="15" cm="1">
        <f t="array" ref="D3535">_xlfn.SINGLE(IF(A3536=A3537,_xll.ciqfunctions.udf.CIQ(A3528,"IQ_TOTAL_REV",IQ_FY-3)/I3535, _xll.ciqfunctions.udf.CIQ(A3528, "IQ_TOTAL_REV",IQ_FY-2)/I3535))</f>
        <v>2.3713174960094103</v>
      </c>
      <c r="E3535" s="16">
        <f t="shared" si="943"/>
        <v>0.71191683001866601</v>
      </c>
      <c r="F3535" s="15">
        <f>IF(A3536=A3537,_xll.ciqfunctions.udf.CIQ(A3528,"IQ_DILUT_EPS_EXCL",IQ_FY-3), _xll.ciqfunctions.udf.CIQ(A3528, "IQ_DILUT_EPS_EXCL",IQ_FY-2))</f>
        <v>-3.3135500000000002</v>
      </c>
      <c r="G3535" s="15">
        <f>IF(A3536=A3537,_xll.ciqfunctions.udf.CIQ(A3528,"IQ_EBITDA_MARGIN",IQ_FY-3), _xll.ciqfunctions.udf.CIQ(A3528, "IQ_EBITDA_MARGIN",IQ_FY-2))</f>
        <v>-122.4875</v>
      </c>
      <c r="H3535" s="15">
        <f>IF(A3536=A3537,_xll.ciqfunctions.udf.CIQ(A3528,"IQ_TOTAL_DIV_PAID_CF",IQ_FY-3)/-I3535, _xll.ciqfunctions.udf.CIQ(A3528, "IQ_TOTAL_DIV_PAID_CF",IQ_FY-2)/-I3535)</f>
        <v>0</v>
      </c>
      <c r="I3535" s="17">
        <f>IF(A3536=A3537,_xll.ciqfunctions.udf.CIQ(A3528,"IQ_TOTAL_OUTSTANDING_FILING_DATE",IQ_FY-3), _xll.ciqfunctions.udf.CIQ(A3528, "IQ_TOTAL_OUTSTANDING_FILING_DATE",IQ_FY-2))</f>
        <v>39.242319999999999</v>
      </c>
      <c r="J3535" s="17">
        <f>IF(A3536=A3537,_xll.ciqfunctions.udf.CIQ(A3528,"IQ_CASH_OPER",IQ_FY-3), _xll.ciqfunctions.udf.CIQ(A3528, "IQ_CASH_OPER",IQ_FY-2))</f>
        <v>-66.569999999999993</v>
      </c>
      <c r="K3535" s="17">
        <f>IF(A3536=A3537,_xll.ciqfunctions.udf.CIQ(A3528,"IQ_CAPEX",IQ_FY-3), _xll.ciqfunctions.udf.CIQ(A3528, "IQ_CAPEX",IQ_FY-2))</f>
        <v>-3.2829999999999999</v>
      </c>
      <c r="L3535" s="15">
        <f t="shared" si="940"/>
        <v>-1.7800425662906778</v>
      </c>
      <c r="M3535" s="17">
        <f>IF(A3536=A3537,_xll.ciqfunctions.udf.CIQ(A3528,"IQ_TOTAL_DEBT_ISSUED",IQ_FY-3), _xll.ciqfunctions.udf.CIQ(A3528, "IQ_TOTAL_DEBT_ISSUED",IQ_FY-2))</f>
        <v>19.856999999999999</v>
      </c>
      <c r="N3535" s="17">
        <f>IF(A3536=A3537,_xll.ciqfunctions.udf.CIQ(A3528,"IQ_TOTAL_DEBT_REPAID",IQ_FY-3), _xll.ciqfunctions.udf.CIQ(A3528, "IQ_TOTAL_DEBT_REPAID",IQ_FY-2))</f>
        <v>-20</v>
      </c>
      <c r="O3535" s="15">
        <f t="shared" si="941"/>
        <v>-3.6440251238968715E-3</v>
      </c>
      <c r="P3535" s="15">
        <f t="shared" si="942"/>
        <v>-1.7836865914145748</v>
      </c>
      <c r="Q3535" s="18"/>
      <c r="R3535" s="39" t="s">
        <v>31</v>
      </c>
      <c r="S3535" s="5" t="e">
        <f>IF(NOT(D3528&gt;0),FALSE,SLOPE(G3528:G3538,B3528:B3538))</f>
        <v>#DIV/0!</v>
      </c>
      <c r="U3535" s="18"/>
      <c r="V3535" s="39" t="s">
        <v>31</v>
      </c>
      <c r="W3535" s="5" t="e">
        <f>IF(NOT(D3528&gt;0),FALSE,SLOPE(G3528:G3538,B3528:B3538))</f>
        <v>#DIV/0!</v>
      </c>
      <c r="Y3535" s="18"/>
      <c r="Z3535" s="39" t="s">
        <v>31</v>
      </c>
      <c r="AA3535" s="5" t="e">
        <f>IF(NOT(L3528&gt;0),FALSE,SLOPE(O3528:O3538,J3528:J3538))</f>
        <v>#DIV/0!</v>
      </c>
    </row>
    <row r="3536" spans="1:27">
      <c r="A3536" s="19">
        <f>_xll.ciqfunctions.udf.CIQ(A3528,"IQ_TOTAL_REV",IQ_FY)</f>
        <v>422.17899999999997</v>
      </c>
      <c r="B3536" s="13">
        <v>9</v>
      </c>
      <c r="C3536" s="14" t="s">
        <v>32</v>
      </c>
      <c r="D3536" s="15" cm="1">
        <f t="array" ref="D3536">_xlfn.SINGLE(IF(A3536=A3537,_xll.ciqfunctions.udf.CIQ(A3528,"IQ_TOTAL_REV",IQ_FY-2)/I3536, _xll.ciqfunctions.udf.CIQ(A3528, "IQ_TOTAL_REV",IQ_FY-1)/I3536))</f>
        <v>0.75361522728215258</v>
      </c>
      <c r="E3536" s="16">
        <f t="shared" si="943"/>
        <v>-0.68219556067444376</v>
      </c>
      <c r="F3536" s="15">
        <f>IF(A3536=A3537,_xll.ciqfunctions.udf.CIQ(A3528,"IQ_DILUT_EPS_EXCL",IQ_FY-2), _xll.ciqfunctions.udf.CIQ(A3528, "IQ_DILUT_EPS_EXCL",IQ_FY-1))</f>
        <v>-1.55759</v>
      </c>
      <c r="G3536" s="15">
        <f>IF(A3536=A3537,_xll.ciqfunctions.udf.CIQ(A3528,"IQ_EBITDA_MARGIN",IQ_FY-2), _xll.ciqfunctions.udf.CIQ(A3528, "IQ_EBITDA_MARGIN",IQ_FY-1))</f>
        <v>-127.6485</v>
      </c>
      <c r="H3536" s="15">
        <f>IF(A3536=A3537,_xll.ciqfunctions.udf.CIQ(A3528,"IQ_TOTAL_DIV_PAID_CF",IQ_FY-2)/-I3536, _xll.ciqfunctions.udf.CIQ(A3528, "IQ_TOTAL_DIV_PAID_CF",IQ_FY-1)/-I3536)</f>
        <v>0</v>
      </c>
      <c r="I3536" s="17">
        <f>IF(A3536=A3537,_xll.ciqfunctions.udf.CIQ(A3528,"IQ_TOTAL_OUTSTANDING_FILING_DATE",IQ_FY-2), _xll.ciqfunctions.udf.CIQ(A3528, "IQ_TOTAL_OUTSTANDING_FILING_DATE",IQ_FY-1))</f>
        <v>271.75538999999998</v>
      </c>
      <c r="J3536" s="17">
        <f>IF(A3536=A3537,_xll.ciqfunctions.udf.CIQ(A3528,"IQ_CASH_OPER",IQ_FY-2), _xll.ciqfunctions.udf.CIQ(A3528, "IQ_CASH_OPER",IQ_FY-1))</f>
        <v>-95.587999999999994</v>
      </c>
      <c r="K3536" s="17">
        <f>IF(A3536=A3537,_xll.ciqfunctions.udf.CIQ(A3528,"IQ_CAPEX",IQ_FY-2), _xll.ciqfunctions.udf.CIQ(A3528, "IQ_CAPEX",IQ_FY-1))</f>
        <v>-3.653</v>
      </c>
      <c r="L3536" s="15">
        <f t="shared" si="940"/>
        <v>-0.36518502908074796</v>
      </c>
      <c r="M3536" s="17">
        <f>IF(A3536=A3537,_xll.ciqfunctions.udf.CIQ(A3528,"IQ_TOTAL_DEBT_ISSUED",IQ_FY-2), _xll.ciqfunctions.udf.CIQ(A3528, "IQ_TOTAL_DEBT_ISSUED",IQ_FY-1))</f>
        <v>0</v>
      </c>
      <c r="N3536" s="17">
        <f>IF(A3536=A3537,_xll.ciqfunctions.udf.CIQ(A3528,"IQ_TOTAL_DEBT_REPAID",IQ_FY-2), _xll.ciqfunctions.udf.CIQ(A3528, "IQ_TOTAL_DEBT_REPAID",IQ_FY-1))</f>
        <v>-20</v>
      </c>
      <c r="O3536" s="15">
        <f t="shared" si="941"/>
        <v>-7.3595596392770732E-2</v>
      </c>
      <c r="P3536" s="15">
        <f t="shared" si="942"/>
        <v>-0.4387806254735187</v>
      </c>
      <c r="Q3536" s="25" t="s">
        <v>33</v>
      </c>
      <c r="R3536" s="38" t="s">
        <v>52</v>
      </c>
      <c r="S3536" s="4" t="e">
        <f>(AVERAGE(O3533:O3538)/AVERAGE(P3533:P3538))</f>
        <v>#DIV/0!</v>
      </c>
      <c r="U3536" s="25" t="s">
        <v>54</v>
      </c>
      <c r="V3536" s="38" t="s">
        <v>52</v>
      </c>
      <c r="W3536" s="4" t="e">
        <f>(AVERAGE(O3533:O3538)/AVERAGE(P3533:P3538))</f>
        <v>#DIV/0!</v>
      </c>
      <c r="Y3536" s="25" t="s">
        <v>60</v>
      </c>
      <c r="Z3536" s="38" t="s">
        <v>52</v>
      </c>
      <c r="AA3536" s="4" t="e">
        <f>(AVERAGE(O3533:O3538)/AVERAGE(P3533:P3538))</f>
        <v>#DIV/0!</v>
      </c>
    </row>
    <row r="3537" spans="1:27">
      <c r="A3537" s="19">
        <f>_xll.ciqfunctions.udf.CIQ(A3528,"IQ_TOTAL_REV",IQ_LTM)</f>
        <v>524.23299999999995</v>
      </c>
      <c r="B3537" s="13">
        <v>10</v>
      </c>
      <c r="C3537" s="14" t="s">
        <v>34</v>
      </c>
      <c r="D3537" s="15" cm="1">
        <f t="array" ref="D3537">_xlfn.SINGLE(IF(A3536=A3537,_xll.ciqfunctions.udf.CIQ(A3528,"IQ_TOTAL_REV",IQ_FY-1)/I3537, _xll.ciqfunctions.udf.CIQ(A3528, "IQ_TOTAL_REV",IQ_FY)/I3537))</f>
        <v>1.4627453117668259</v>
      </c>
      <c r="E3537" s="16">
        <f t="shared" si="943"/>
        <v>0.94097101387148041</v>
      </c>
      <c r="F3537" s="15">
        <f>IF(A3536=A3537,_xll.ciqfunctions.udf.CIQ(A3528,"IQ_DILUT_EPS_EXCL",IQ_FY-1), _xll.ciqfunctions.udf.CIQ(A3528, "IQ_DILUT_EPS_EXCL",IQ_FY))</f>
        <v>-1.3631200000000001</v>
      </c>
      <c r="G3537" s="15">
        <f>IF(A3536=A3537,_xll.ciqfunctions.udf.CIQ(A3528,"IQ_EBITDA_MARGIN",IQ_FY-1), _xll.ciqfunctions.udf.CIQ(A3528, "IQ_EBITDA_MARGIN",IQ_FY))</f>
        <v>-88.529899999999998</v>
      </c>
      <c r="H3537" s="15">
        <f>IF(A3536=A3537,_xll.ciqfunctions.udf.CIQ(A3528,"IQ_TOTAL_DIV_PAID_CF",IQ_FY-1)/-I3537, _xll.ciqfunctions.udf.CIQ(A3528, "IQ_TOTAL_DIV_PAID_CF",IQ_FY)/-I3537)</f>
        <v>0</v>
      </c>
      <c r="I3537" s="17">
        <f>IF(A3536=A3537,_xll.ciqfunctions.udf.CIQ(A3528,"IQ_TOTAL_OUTSTANDING_FILING_DATE",IQ_FY-1), _xll.ciqfunctions.udf.CIQ(A3528, "IQ_TOTAL_OUTSTANDING_FILING_DATE",IQ_FY))</f>
        <v>288.62099000000001</v>
      </c>
      <c r="J3537" s="17">
        <f>IF(A3536=A3537,_xll.ciqfunctions.udf.CIQ(A3528,"IQ_CASH_OPER",IQ_FY-1), _xll.ciqfunctions.udf.CIQ(A3528, "IQ_CASH_OPER",IQ_FY))</f>
        <v>-193.28700000000001</v>
      </c>
      <c r="K3537" s="17">
        <f>IF(A3536=A3537,_xll.ciqfunctions.udf.CIQ(A3528,"IQ_CAPEX",IQ_FY-1), _xll.ciqfunctions.udf.CIQ(A3528, "IQ_CAPEX",IQ_FY))</f>
        <v>-4.9530000000000003</v>
      </c>
      <c r="L3537" s="15">
        <f t="shared" si="940"/>
        <v>-0.68685233184183869</v>
      </c>
      <c r="M3537" s="17">
        <f>IF(A3536=A3537,_xll.ciqfunctions.udf.CIQ(A3528,"IQ_TOTAL_DEBT_ISSUED",IQ_FY-1), _xll.ciqfunctions.udf.CIQ(A3528, "IQ_TOTAL_DEBT_ISSUED",IQ_FY))</f>
        <v>0</v>
      </c>
      <c r="N3537" s="17">
        <f>IF(A3536=A3537,_xll.ciqfunctions.udf.CIQ(A3528,"IQ_TOTAL_DEBT_REPAID",IQ_FY-1), _xll.ciqfunctions.udf.CIQ(A3528, "IQ_TOTAL_DEBT_REPAID",IQ_FY))</f>
        <v>0</v>
      </c>
      <c r="O3537" s="15">
        <f t="shared" si="941"/>
        <v>0</v>
      </c>
      <c r="P3537" s="15">
        <f t="shared" si="942"/>
        <v>-0.68685233184183869</v>
      </c>
      <c r="Q3537" s="25" t="s">
        <v>44</v>
      </c>
      <c r="R3537" s="38" t="s">
        <v>35</v>
      </c>
      <c r="S3537" s="1" t="str">
        <f>_xll.ciqfunctions.udf.CIQ(A3528,"IQ_TEV_EBITDA")</f>
        <v>NM</v>
      </c>
      <c r="U3537" s="25" t="s">
        <v>55</v>
      </c>
      <c r="V3537" s="38" t="s">
        <v>53</v>
      </c>
      <c r="W3537" s="1" t="e">
        <f>V3527/(AVERAGE(D3533:D3538)/_xlfn.STDEV.P(E3533:E3538))</f>
        <v>#DIV/0!</v>
      </c>
      <c r="Y3537" s="25" t="s">
        <v>57</v>
      </c>
      <c r="Z3537" s="38" t="s">
        <v>53</v>
      </c>
      <c r="AA3537" s="1" t="e">
        <f>Z3527/(AVERAGE(D3533:D3538)/_xlfn.STDEV.P(E3533:E3538))</f>
        <v>#DIV/0!</v>
      </c>
    </row>
    <row r="3538" spans="1:27">
      <c r="B3538" s="13">
        <v>11</v>
      </c>
      <c r="C3538" s="20" t="s">
        <v>36</v>
      </c>
      <c r="D3538" s="21" cm="1">
        <f t="array" ref="D3538">_xlfn.SINGLE(IF(A3536=A3537,_xll.ciqfunctions.udf.CIQ(A3528,"IQ_TOTAL_REV",IQ_FY)/I3538, _xll.ciqfunctions.udf.CIQ(A3528, "IQ_TOTAL_REV",IQ_LTM)/I3538))</f>
        <v>1.7730111589517406</v>
      </c>
      <c r="E3538" s="22">
        <f t="shared" si="943"/>
        <v>0.21211200930813423</v>
      </c>
      <c r="F3538" s="21">
        <f>IF(A3536=A3537,_xll.ciqfunctions.udf.CIQ(A3528,"IQ_DILUT_EPS_EXCL",IQ_FY), _xll.ciqfunctions.udf.CIQ(A3528, "IQ_DILUT_EPS_EXCL",IQ_LTM))</f>
        <v>-1.3576699999999999</v>
      </c>
      <c r="G3538" s="21">
        <f>IF(A3536=A3537,_xll.ciqfunctions.udf.CIQ(A3528,"IQ_EBITDA_MARGIN",IQ_FY), _xll.ciqfunctions.udf.CIQ(A3528, "IQ_EBITDA_MARGIN",IQ_LTM))</f>
        <v>-72.280199999999994</v>
      </c>
      <c r="H3538" s="21">
        <f>IF(A3536=A3537,_xll.ciqfunctions.udf.CIQ(A3528,"IQ_TOTAL_DIV_PAID_CF",IQ_FY)/-I3538, _xll.ciqfunctions.udf.CIQ(A3528, "IQ_TOTAL_DIV_PAID_CF",IQ_LTM)/-I3538)</f>
        <v>0</v>
      </c>
      <c r="I3538" s="23">
        <f>IF(A3536=A3537,_xll.ciqfunctions.udf.CIQ(A3528,"IQ_TOTAL_OUTSTANDING_FILING_DATE",IQ_FY),_xll.ciqfunctions.udf.CIQ(A3528,"IQ_sharesoutstanding"))</f>
        <v>295.67383000000001</v>
      </c>
      <c r="J3538" s="23">
        <f>IF(A3536=A3537,_xll.ciqfunctions.udf.CIQ(A3528,"IQ_CASH_OPER",IQ_FY), _xll.ciqfunctions.udf.CIQ(A3528, "IQ_CASH_OPER",IQ_LTM))</f>
        <v>-121.77200000000001</v>
      </c>
      <c r="K3538" s="23">
        <f>IF(A3536=A3537,_xll.ciqfunctions.udf.CIQ(A3528,"IQ_CAPEX",IQ_FY), _xll.ciqfunctions.udf.CIQ(A3528, "IQ_CAPEX",IQ_LTM))</f>
        <v>-1.3460000000000001</v>
      </c>
      <c r="L3538" s="21">
        <f t="shared" si="940"/>
        <v>-0.41639802886850014</v>
      </c>
      <c r="M3538" s="23">
        <f>IF(A3536=A3537,_xll.ciqfunctions.udf.CIQ(A3528,"IQ_TOTAL_DEBT_ISSUED",IQ_FY), _xll.ciqfunctions.udf.CIQ(A3528, "IQ_TOTAL_DEBT_ISSUED",IQ_LTM))</f>
        <v>0</v>
      </c>
      <c r="N3538" s="23">
        <f>IF(A3536=A3537,_xll.ciqfunctions.udf.CIQ(A3528,"IQ_TOTAL_DEBT_REPAID",IQ_FY), _xll.ciqfunctions.udf.CIQ(A3528, "IQ_TOTAL_DEBT_REPAID",IQ_LTM))</f>
        <v>0</v>
      </c>
      <c r="O3538" s="21">
        <f t="shared" si="941"/>
        <v>0</v>
      </c>
      <c r="P3538" s="21">
        <f t="shared" si="942"/>
        <v>-0.41639802886850014</v>
      </c>
      <c r="Q3538" s="25" t="s">
        <v>45</v>
      </c>
      <c r="S3538" s="45"/>
      <c r="U3538" s="25"/>
      <c r="W3538" s="45"/>
      <c r="Y3538" s="25"/>
      <c r="AA3538" s="45"/>
    </row>
    <row r="3539" spans="1:27">
      <c r="B3539" s="24"/>
      <c r="C3539" s="25" t="s">
        <v>37</v>
      </c>
      <c r="E3539" s="26" t="e">
        <f>((D3538/D3533)^(1/5))-1</f>
        <v>#DIV/0!</v>
      </c>
      <c r="F3539" s="27" t="e">
        <f>((F3538/F3533)^(1/5))-1</f>
        <v>#DIV/0!</v>
      </c>
      <c r="G3539" s="28"/>
      <c r="H3539" s="27" t="e">
        <f>((H3538/H3533)^(1/5))-1</f>
        <v>#DIV/0!</v>
      </c>
      <c r="I3539" s="27" t="e">
        <f>((I3538/I3533)^(1/5))-1</f>
        <v>#DIV/0!</v>
      </c>
      <c r="J3539" s="27"/>
      <c r="K3539" s="27"/>
      <c r="L3539" s="26" t="e">
        <f>((L3538/L3533)^(1/5))-1</f>
        <v>#DIV/0!</v>
      </c>
      <c r="M3539" s="26"/>
      <c r="N3539" s="26"/>
      <c r="O3539" s="26"/>
      <c r="P3539" s="26" t="e">
        <f>((P3538/P3533)^(1/5))-1</f>
        <v>#DIV/0!</v>
      </c>
      <c r="Q3539" s="18"/>
      <c r="R3539" s="36"/>
      <c r="S3539" s="45"/>
      <c r="U3539" s="18"/>
      <c r="V3539" s="36"/>
      <c r="W3539" s="45"/>
      <c r="Y3539" s="18"/>
      <c r="Z3539" s="36"/>
      <c r="AA3539" s="45"/>
    </row>
    <row r="3540" spans="1:27">
      <c r="A3540" s="29"/>
      <c r="B3540" s="30"/>
      <c r="C3540" s="31" t="s">
        <v>38</v>
      </c>
      <c r="D3540" s="29"/>
      <c r="E3540" s="32" t="e">
        <f>((D3538/D3528)^(1/10))-1</f>
        <v>#DIV/0!</v>
      </c>
      <c r="F3540" s="33" t="e">
        <f>((F3538/F3528)^(1/10))-1</f>
        <v>#DIV/0!</v>
      </c>
      <c r="G3540" s="34"/>
      <c r="H3540" s="33" t="e">
        <f>((H3538/H3528)^(1/10))-1</f>
        <v>#DIV/0!</v>
      </c>
      <c r="I3540" s="33" t="e">
        <f>((I3538/I3528)^(1/10))-1</f>
        <v>#DIV/0!</v>
      </c>
      <c r="J3540" s="33"/>
      <c r="K3540" s="33"/>
      <c r="L3540" s="32" t="e">
        <f>((L3538/L3528)^(1/10))-1</f>
        <v>#DIV/0!</v>
      </c>
      <c r="M3540" s="32"/>
      <c r="N3540" s="32"/>
      <c r="O3540" s="32"/>
      <c r="P3540" s="32" t="e">
        <f>((P3538/P3528)^(1/10))-1</f>
        <v>#DIV/0!</v>
      </c>
      <c r="Q3540" s="40"/>
      <c r="R3540" s="41"/>
      <c r="S3540" s="46"/>
      <c r="U3540" s="40"/>
      <c r="V3540" s="41"/>
      <c r="W3540" s="46"/>
      <c r="Y3540" s="40"/>
      <c r="Z3540" s="41"/>
      <c r="AA3540" s="46"/>
    </row>
    <row r="3541" spans="1:27">
      <c r="B3541" s="24"/>
      <c r="C3541" s="25"/>
      <c r="E3541" s="26"/>
      <c r="F3541" s="27"/>
      <c r="G3541" s="28"/>
      <c r="H3541" s="27"/>
      <c r="I3541" s="27"/>
      <c r="J3541" s="27"/>
      <c r="K3541" s="27"/>
      <c r="L3541" s="26"/>
      <c r="M3541" s="17"/>
      <c r="N3541" s="17"/>
      <c r="O3541" s="17"/>
      <c r="P3541" s="35"/>
      <c r="Q3541" s="18"/>
      <c r="R3541" s="36"/>
    </row>
    <row r="3542" spans="1:27">
      <c r="A3542" s="9" t="s">
        <v>0</v>
      </c>
      <c r="B3542" s="10"/>
      <c r="C3542" s="9" t="s">
        <v>1</v>
      </c>
      <c r="D3542" s="9" t="s">
        <v>2</v>
      </c>
      <c r="E3542" s="9" t="s">
        <v>3</v>
      </c>
      <c r="F3542" s="11" t="s">
        <v>4</v>
      </c>
      <c r="G3542" s="11" t="s">
        <v>5</v>
      </c>
      <c r="H3542" s="9" t="s">
        <v>6</v>
      </c>
      <c r="I3542" s="11" t="s">
        <v>7</v>
      </c>
      <c r="J3542" s="11" t="s">
        <v>8</v>
      </c>
      <c r="K3542" s="11" t="s">
        <v>9</v>
      </c>
      <c r="L3542" s="11" t="s">
        <v>10</v>
      </c>
      <c r="M3542" s="11" t="s">
        <v>11</v>
      </c>
      <c r="N3542" s="11" t="s">
        <v>12</v>
      </c>
      <c r="O3542" s="11" t="s">
        <v>13</v>
      </c>
      <c r="P3542" s="11" t="s">
        <v>14</v>
      </c>
      <c r="Q3542" s="37" t="s">
        <v>15</v>
      </c>
      <c r="R3542" s="42">
        <f>_xll.ciqfunctions.udf.CIQ(A3543,("IQ_LASTSALEPRICE"))</f>
        <v>21.114999999999998</v>
      </c>
      <c r="S3542" s="44"/>
      <c r="U3542" s="37" t="s">
        <v>15</v>
      </c>
      <c r="V3542" s="42">
        <f>_xll.ciqfunctions.udf.CIQ(A3543,("IQ_LASTSALEPRICE"))</f>
        <v>21.114999999999998</v>
      </c>
      <c r="W3542" s="44"/>
      <c r="Y3542" s="37" t="s">
        <v>15</v>
      </c>
      <c r="Z3542" s="42">
        <f>_xll.ciqfunctions.udf.CIQ(A3543,("IQ_LASTSALEPRICE"))</f>
        <v>21.114999999999998</v>
      </c>
      <c r="AA3542" s="44"/>
    </row>
    <row r="3543" spans="1:27">
      <c r="A3543" s="12" t="str">
        <f>Analysis!B238</f>
        <v>NasdaqGS:HCP</v>
      </c>
      <c r="B3543" s="13">
        <v>1</v>
      </c>
      <c r="C3543" s="14" t="s">
        <v>16</v>
      </c>
      <c r="D3543" s="15" t="e">
        <f>IF(A3551=A3552,_xll.ciqfunctions.udf.CIQ(A3543,"IQ_TOTAL_REV",IQ_FY-10)/I3543,_xll.ciqfunctions.udf.CIQ(A3543, "IQ_TOTAL_REV",IQ_FY-9)/I3543)</f>
        <v>#DIV/0!</v>
      </c>
      <c r="E3543" s="16"/>
      <c r="F3543" s="15">
        <f>IF(A3551=A3552,_xll.ciqfunctions.udf.CIQ(A3543,"IQ_DILUT_EPS_EXCL",IQ_FY-10), _xll.ciqfunctions.udf.CIQ(A3543, "IQ_DILUT_EPS_EXCL",IQ_FY-9))</f>
        <v>0</v>
      </c>
      <c r="G3543" s="15">
        <f>IF(A3551=A3552,_xll.ciqfunctions.udf.CIQ(A3543,"IQ_EBITDA_MARGIN",IQ_FY-10), _xll.ciqfunctions.udf.CIQ(A3543, "IQ_EBITDA_MARGIN",IQ_FY-9))</f>
        <v>0</v>
      </c>
      <c r="H3543" s="15" t="e">
        <f>IF(A3551=A3552,_xll.ciqfunctions.udf.CIQ(A3543,"IQ_TOTAL_DIV_PAID_CF",IQ_FY-10)/-I3543, _xll.ciqfunctions.udf.CIQ(A3543, "IQ_TOTAL_DIV_PAID_CF",IQ_FY-9)/-I3543)</f>
        <v>#DIV/0!</v>
      </c>
      <c r="I3543" s="17">
        <f>IF(A3551=A3552,_xll.ciqfunctions.udf.CIQ(A3543,"IQ_TOTAL_OUTSTANDING_FILING_DATE",IQ_FY-10), _xll.ciqfunctions.udf.CIQ(A3543, "IQ_TOTAL_OUTSTANDING_FILING_DATE",IQ_FY-9))</f>
        <v>0</v>
      </c>
      <c r="J3543" s="17">
        <f>IF(A3551=A3552,_xll.ciqfunctions.udf.CIQ(A3543,"IQ_CASH_OPER",IQ_FY-10), _xll.ciqfunctions.udf.CIQ(A3543, "IQ_CASH_OPER",IQ_FY-9))</f>
        <v>0</v>
      </c>
      <c r="K3543" s="17">
        <f>IF(A3551=A3552,_xll.ciqfunctions.udf.CIQ(A3543,"IQ_CAPEX",IQ_FY-10), _xll.ciqfunctions.udf.CIQ(A3543, "IQ_CAPEX",IQ_FY-9))</f>
        <v>0</v>
      </c>
      <c r="L3543" s="15" t="e">
        <f t="shared" ref="L3543:L3553" si="944">(J3543+K3543)/I3543</f>
        <v>#DIV/0!</v>
      </c>
      <c r="M3543" s="17">
        <f>IF(A3551=A3552,_xll.ciqfunctions.udf.CIQ(A3543,"IQ_TOTAL_DEBT_ISSUED",IQ_FY-10), _xll.ciqfunctions.udf.CIQ(A3543, "IQ_TOTAL_DEBT_ISSUED",IQ_FY-9))</f>
        <v>0</v>
      </c>
      <c r="N3543" s="17">
        <f>IF(A3551=A3552,_xll.ciqfunctions.udf.CIQ(A3543,"IQ_TOTAL_DEBT_REPAID",IQ_FY-10), _xll.ciqfunctions.udf.CIQ(A3543, "IQ_TOTAL_DEBT_REPAID",IQ_FY-9))</f>
        <v>0</v>
      </c>
      <c r="O3543" s="15" t="e">
        <f t="shared" ref="O3543:O3553" si="945">(M3543+N3543)/I3543</f>
        <v>#DIV/0!</v>
      </c>
      <c r="P3543" s="15" t="e">
        <f t="shared" ref="P3543:P3553" si="946">L3543+O3543</f>
        <v>#DIV/0!</v>
      </c>
      <c r="W3543" s="43"/>
      <c r="AA3543" s="43"/>
    </row>
    <row r="3544" spans="1:27">
      <c r="A3544" s="18" t="str">
        <f>_xll.ciqfunctions.udf.CIQ(A3543,"IQ_COMPANY_NAME")</f>
        <v>HashiCorp, Inc.</v>
      </c>
      <c r="B3544" s="13">
        <v>2</v>
      </c>
      <c r="C3544" s="14" t="s">
        <v>17</v>
      </c>
      <c r="D3544" s="15" t="e">
        <f>IF(A3551=A3552,_xll.ciqfunctions.udf.CIQ(A3543,"IQ_TOTAL_REV",IQ_FY-9)/I3544, _xll.ciqfunctions.udf.CIQ(A3543, "IQ_TOTAL_REV",IQ_FY-8)/I3544)</f>
        <v>#DIV/0!</v>
      </c>
      <c r="E3544" s="16" t="e">
        <f t="shared" ref="E3544:E3553" si="947">(D3544-D3543)/D3543</f>
        <v>#DIV/0!</v>
      </c>
      <c r="F3544" s="15">
        <f>IF(A3551=A3552,_xll.ciqfunctions.udf.CIQ(A3543,"IQ_DILUT_EPS_EXCL",IQ_FY-9), _xll.ciqfunctions.udf.CIQ(A3543, "IQ_DILUT_EPS_EXCL",IQ_FY-8))</f>
        <v>0</v>
      </c>
      <c r="G3544" s="15">
        <f>IF(A3551=A3552,_xll.ciqfunctions.udf.CIQ(A3543,"IQ_EBITDA_MARGIN",IQ_FY-9), _xll.ciqfunctions.udf.CIQ(A3543, "IQ_EBITDA_MARGIN",IQ_FY-8))</f>
        <v>0</v>
      </c>
      <c r="H3544" s="15" t="e">
        <f>IF(A3551=A3552,_xll.ciqfunctions.udf.CIQ(A3543,"IQ_TOTAL_DIV_PAID_CF",IQ_FY-9)/-I3544, _xll.ciqfunctions.udf.CIQ(A3543, "IQ_TOTAL_DIV_PAID_CF",IQ_FY-8)/-I3544)</f>
        <v>#DIV/0!</v>
      </c>
      <c r="I3544" s="17">
        <f>IF(A3551=A3552,_xll.ciqfunctions.udf.CIQ(A3543,"IQ_TOTAL_OUTSTANDING_FILING_DATE",IQ_FY-9), _xll.ciqfunctions.udf.CIQ(A3543, "IQ_TOTAL_OUTSTANDING_FILING_DATE",IQ_FY-8))</f>
        <v>0</v>
      </c>
      <c r="J3544" s="17">
        <f>IF(A3551=A3552,_xll.ciqfunctions.udf.CIQ(A3543,"IQ_CASH_OPER",IQ_FY-9), _xll.ciqfunctions.udf.CIQ(A3543, "IQ_CASH_OPER",IQ_FY-8))</f>
        <v>0</v>
      </c>
      <c r="K3544" s="17">
        <f>IF(A3551=A3552,_xll.ciqfunctions.udf.CIQ(A3543,"IQ_CAPEX",IQ_FY-9), _xll.ciqfunctions.udf.CIQ(A3543, "IQ_CAPEX",IQ_FY-8))</f>
        <v>0</v>
      </c>
      <c r="L3544" s="15" t="e">
        <f t="shared" si="944"/>
        <v>#DIV/0!</v>
      </c>
      <c r="M3544" s="17">
        <f>IF(A3551=A3552,_xll.ciqfunctions.udf.CIQ(A3543,"IQ_TOTAL_DEBT_ISSUED",IQ_FY-9), _xll.ciqfunctions.udf.CIQ(A3543, "IQ_TOTAL_DEBT_ISSUED",IQ_FY-8))</f>
        <v>0</v>
      </c>
      <c r="N3544" s="17">
        <f>IF(A3551=A3552,_xll.ciqfunctions.udf.CIQ(A3543,"IQ_TOTAL_DEBT_REPAID",IQ_FY-9), _xll.ciqfunctions.udf.CIQ(A3543, "IQ_TOTAL_DEBT_REPAID",IQ_FY-8))</f>
        <v>0</v>
      </c>
      <c r="O3544" s="15" t="e">
        <f t="shared" si="945"/>
        <v>#DIV/0!</v>
      </c>
      <c r="P3544" s="15" t="e">
        <f t="shared" si="946"/>
        <v>#DIV/0!</v>
      </c>
      <c r="Q3544" s="25" t="s">
        <v>18</v>
      </c>
      <c r="R3544" s="39" t="s">
        <v>19</v>
      </c>
      <c r="S3544" s="1" t="e">
        <f>R3542/((AVERAGE(P3548:P3553))*(1+E3554)^3)</f>
        <v>#DIV/0!</v>
      </c>
      <c r="U3544" s="25" t="s">
        <v>48</v>
      </c>
      <c r="V3544" s="39" t="s">
        <v>19</v>
      </c>
      <c r="W3544" s="1" t="e">
        <f>V3542/((AVERAGE(P3548:P3553))*(1+E3554)^3)</f>
        <v>#DIV/0!</v>
      </c>
      <c r="Y3544" s="25" t="s">
        <v>39</v>
      </c>
      <c r="Z3544" s="39" t="s">
        <v>19</v>
      </c>
      <c r="AA3544" s="1" t="e">
        <f>Z3542/((AVERAGE(P3548:P3553))*(1+E3554)^3)</f>
        <v>#DIV/0!</v>
      </c>
    </row>
    <row r="3545" spans="1:27">
      <c r="B3545" s="13">
        <v>3</v>
      </c>
      <c r="C3545" s="14" t="s">
        <v>20</v>
      </c>
      <c r="D3545" s="15" t="e" cm="1">
        <f t="array" ref="D3545">_xlfn.SINGLE(IF(A3551=A3552,_xll.ciqfunctions.udf.CIQ(A3543,"IQ_TOTAL_REV",IQ_FY-8)/I3545, _xll.ciqfunctions.udf.CIQ(A3543, "IQ_TOTAL_REV",IQ_FY-7)/I3545))</f>
        <v>#DIV/0!</v>
      </c>
      <c r="E3545" s="16" t="e">
        <f t="shared" si="947"/>
        <v>#DIV/0!</v>
      </c>
      <c r="F3545" s="15">
        <f>IF(A3551=A3552,_xll.ciqfunctions.udf.CIQ(A3543,"IQ_DILUT_EPS_EXCL",IQ_FY-8), _xll.ciqfunctions.udf.CIQ(A3543, "IQ_DILUT_EPS_EXCL",IQ_FY-7))</f>
        <v>0</v>
      </c>
      <c r="G3545" s="15">
        <f>IF(A3551=A3552,_xll.ciqfunctions.udf.CIQ(A3543,"IQ_EBITDA_MARGIN",IQ_FY-8), _xll.ciqfunctions.udf.CIQ(A3543, "IQ_EBITDA_MARGIN",IQ_FY-7))</f>
        <v>0</v>
      </c>
      <c r="H3545" s="15" t="e">
        <f>IF(A3551=A3552,_xll.ciqfunctions.udf.CIQ(A3543,"IQ_TOTAL_DIV_PAID_CF",IQ_FY-8)/-I3545, _xll.ciqfunctions.udf.CIQ(A3543, "IQ_TOTAL_DIV_PAID_CF",IQ_FY-7)/-I3545)</f>
        <v>#DIV/0!</v>
      </c>
      <c r="I3545" s="17">
        <f>IF(A3551=A3552,_xll.ciqfunctions.udf.CIQ(A3543,"IQ_TOTAL_OUTSTANDING_FILING_DATE",IQ_FY-8), _xll.ciqfunctions.udf.CIQ(A3543, "IQ_TOTAL_OUTSTANDING_FILING_DATE",IQ_FY-7))</f>
        <v>0</v>
      </c>
      <c r="J3545" s="17">
        <f>IF(A3551=A3552,_xll.ciqfunctions.udf.CIQ(A3543,"IQ_CASH_OPER",IQ_FY-8), _xll.ciqfunctions.udf.CIQ(A3543, "IQ_CASH_OPER",IQ_FY-7))</f>
        <v>0</v>
      </c>
      <c r="K3545" s="17">
        <f>IF(A3551=A3552,_xll.ciqfunctions.udf.CIQ(A3543,"IQ_CAPEX",IQ_FY-8), _xll.ciqfunctions.udf.CIQ(A3543, "IQ_CAPEX",IQ_FY-7))</f>
        <v>0</v>
      </c>
      <c r="L3545" s="15" t="e">
        <f t="shared" si="944"/>
        <v>#DIV/0!</v>
      </c>
      <c r="M3545" s="17">
        <f>IF(A3551=A3552,_xll.ciqfunctions.udf.CIQ(A3543,"IQ_TOTAL_DEBT_ISSUED",IQ_FY-8), _xll.ciqfunctions.udf.CIQ(A3543, "IQ_TOTAL_DEBT_ISSUED",IQ_FY-7))</f>
        <v>0</v>
      </c>
      <c r="N3545" s="17">
        <f>IF(A3551=A3552,_xll.ciqfunctions.udf.CIQ(A3543,"IQ_TOTAL_DEBT_REPAID",IQ_FY-8), _xll.ciqfunctions.udf.CIQ(A3543, "IQ_TOTAL_DEBT_REPAID",IQ_FY-7))</f>
        <v>0</v>
      </c>
      <c r="O3545" s="15" t="e">
        <f t="shared" si="945"/>
        <v>#DIV/0!</v>
      </c>
      <c r="P3545" s="15" t="e">
        <f t="shared" si="946"/>
        <v>#DIV/0!</v>
      </c>
      <c r="Q3545" s="25" t="s">
        <v>21</v>
      </c>
      <c r="R3545" s="38" t="s">
        <v>49</v>
      </c>
      <c r="S3545" s="2">
        <f>(R3542*I3553)/1000</f>
        <v>4.0939396300999995</v>
      </c>
      <c r="U3545" s="25" t="s">
        <v>59</v>
      </c>
      <c r="V3545" s="38" t="s">
        <v>49</v>
      </c>
      <c r="W3545" s="2">
        <f>(V3542*I3553)/1000</f>
        <v>4.0939396300999995</v>
      </c>
      <c r="Y3545" s="25" t="s">
        <v>46</v>
      </c>
      <c r="Z3545" s="38" t="s">
        <v>49</v>
      </c>
      <c r="AA3545" s="2">
        <f>(Z3542*I3553)/1000</f>
        <v>4.0939396300999995</v>
      </c>
    </row>
    <row r="3546" spans="1:27">
      <c r="A3546" s="18"/>
      <c r="B3546" s="13">
        <v>4</v>
      </c>
      <c r="C3546" s="14" t="s">
        <v>22</v>
      </c>
      <c r="D3546" s="15" t="e" cm="1">
        <f t="array" ref="D3546">_xlfn.SINGLE(IF(A3551=A3552,_xll.ciqfunctions.udf.CIQ(A3543,"IQ_TOTAL_REV",IQ_FY-7)/I3546, _xll.ciqfunctions.udf.CIQ(A3543, "IQ_TOTAL_REV",IQ_FY-6)/I3546))</f>
        <v>#DIV/0!</v>
      </c>
      <c r="E3546" s="16" t="e">
        <f t="shared" si="947"/>
        <v>#DIV/0!</v>
      </c>
      <c r="F3546" s="15">
        <f>IF(A3551=A3552,_xll.ciqfunctions.udf.CIQ(A3543,"IQ_DILUT_EPS_EXCL",IQ_FY-7), _xll.ciqfunctions.udf.CIQ(A3543, "IQ_DILUT_EPS_EXCL",IQ_FY-6))</f>
        <v>0</v>
      </c>
      <c r="G3546" s="15">
        <f>IF(A3551=A3552,_xll.ciqfunctions.udf.CIQ(A3543,"IQ_EBITDA_MARGIN",IQ_FY-7), _xll.ciqfunctions.udf.CIQ(A3543, "IQ_EBITDA_MARGIN",IQ_FY-6))</f>
        <v>0</v>
      </c>
      <c r="H3546" s="15" t="e">
        <f>IF(A3551=A3552,_xll.ciqfunctions.udf.CIQ(A3543,"IQ_TOTAL_DIV_PAID_CF",IQ_FY-7)/-I3546, _xll.ciqfunctions.udf.CIQ(A3543, "IQ_TOTAL_DIV_PAID_CF",IQ_FY-6)/-I3546)</f>
        <v>#DIV/0!</v>
      </c>
      <c r="I3546" s="17">
        <f>IF(A3551=A3552,_xll.ciqfunctions.udf.CIQ(A3543,"IQ_TOTAL_OUTSTANDING_FILING_DATE",IQ_FY-7), _xll.ciqfunctions.udf.CIQ(A3543, "IQ_TOTAL_OUTSTANDING_FILING_DATE",IQ_FY-6))</f>
        <v>0</v>
      </c>
      <c r="J3546" s="17">
        <f>IF(A3551=A3552,_xll.ciqfunctions.udf.CIQ(A3543,"IQ_CASH_OPER",IQ_FY-7), _xll.ciqfunctions.udf.CIQ(A3543, "IQ_CASH_OPER",IQ_FY-6))</f>
        <v>0</v>
      </c>
      <c r="K3546" s="17">
        <f>IF(A3551=A3552,_xll.ciqfunctions.udf.CIQ(A3543,"IQ_CAPEX",IQ_FY-7), _xll.ciqfunctions.udf.CIQ(A3543, "IQ_CAPEX",IQ_FY-6))</f>
        <v>0</v>
      </c>
      <c r="L3546" s="15" t="e">
        <f t="shared" si="944"/>
        <v>#DIV/0!</v>
      </c>
      <c r="M3546" s="17">
        <f>IF(A3551=A3552,_xll.ciqfunctions.udf.CIQ(A3543,"IQ_TOTAL_DEBT_ISSUED",IQ_FY-7), _xll.ciqfunctions.udf.CIQ(A3543, "IQ_TOTAL_DEBT_ISSUED",IQ_FY-6))</f>
        <v>0</v>
      </c>
      <c r="N3546" s="17">
        <f>IF(A3551=A3552,_xll.ciqfunctions.udf.CIQ(A3543,"IQ_TOTAL_DEBT_REPAID",IQ_FY-7), _xll.ciqfunctions.udf.CIQ(A3543, "IQ_TOTAL_DEBT_REPAID",IQ_FY-6))</f>
        <v>0</v>
      </c>
      <c r="O3546" s="15" t="e">
        <f t="shared" si="945"/>
        <v>#DIV/0!</v>
      </c>
      <c r="P3546" s="15" t="e">
        <f t="shared" si="946"/>
        <v>#DIV/0!</v>
      </c>
      <c r="Q3546" s="25" t="s">
        <v>23</v>
      </c>
      <c r="R3546" s="38" t="s">
        <v>24</v>
      </c>
      <c r="S3546" s="1" t="e">
        <f>R3542/(AVERAGE(H3548:H3553)*(1+H3554)/(0.5-H3554))</f>
        <v>#DIV/0!</v>
      </c>
      <c r="U3546" s="25" t="s">
        <v>40</v>
      </c>
      <c r="V3546" s="38" t="s">
        <v>24</v>
      </c>
      <c r="W3546" s="1" t="e">
        <f>V3542/(AVERAGE(H3548:H3553)*(1+H3554)/(0.5-H3554))</f>
        <v>#DIV/0!</v>
      </c>
      <c r="Y3546" s="25" t="s">
        <v>47</v>
      </c>
      <c r="Z3546" s="38" t="s">
        <v>24</v>
      </c>
      <c r="AA3546" s="1" t="e">
        <f>Z3542/(AVERAGE(H3548:H3553)*(1+H3554)/(0.5-H3554))</f>
        <v>#DIV/0!</v>
      </c>
    </row>
    <row r="3547" spans="1:27">
      <c r="B3547" s="13">
        <v>5</v>
      </c>
      <c r="C3547" s="14" t="s">
        <v>25</v>
      </c>
      <c r="D3547" s="15" t="e" cm="1">
        <f t="array" ref="D3547">_xlfn.SINGLE(IF(A3551=A3552,_xll.ciqfunctions.udf.CIQ(A3543,"IQ_TOTAL_REV",IQ_FY-6)/I3547, _xll.ciqfunctions.udf.CIQ(A3543, "IQ_TOTAL_REV",IQ_FY-5)/I3547))</f>
        <v>#DIV/0!</v>
      </c>
      <c r="E3547" s="16" t="e">
        <f t="shared" si="947"/>
        <v>#DIV/0!</v>
      </c>
      <c r="F3547" s="15">
        <f>IF(A3551=A3552,_xll.ciqfunctions.udf.CIQ(A3543,"IQ_DILUT_EPS_EXCL",IQ_FY-6), _xll.ciqfunctions.udf.CIQ(A3543, "IQ_DILUT_EPS_EXCL",IQ_FY-5))</f>
        <v>0</v>
      </c>
      <c r="G3547" s="15">
        <f>IF(A3551=A3552,_xll.ciqfunctions.udf.CIQ(A3543,"IQ_EBITDA_MARGIN",IQ_FY-6), _xll.ciqfunctions.udf.CIQ(A3543, "IQ_EBITDA_MARGIN",IQ_FY-5))</f>
        <v>0</v>
      </c>
      <c r="H3547" s="15" t="e">
        <f>IF(A3551=A3552,_xll.ciqfunctions.udf.CIQ(A3543,"IQ_TOTAL_DIV_PAID_CF",IQ_FY-6)/-I3547, _xll.ciqfunctions.udf.CIQ(A3543, "IQ_TOTAL_DIV_PAID_CF",IQ_FY-5)/-I3547)</f>
        <v>#DIV/0!</v>
      </c>
      <c r="I3547" s="17">
        <f>IF(A3551=A3552,_xll.ciqfunctions.udf.CIQ(A3543,"IQ_TOTAL_OUTSTANDING_FILING_DATE",IQ_FY-6), _xll.ciqfunctions.udf.CIQ(A3543, "IQ_TOTAL_OUTSTANDING_FILING_DATE",IQ_FY-5))</f>
        <v>0</v>
      </c>
      <c r="J3547" s="17">
        <f>IF(A3551=A3552,_xll.ciqfunctions.udf.CIQ(A3543,"IQ_CASH_OPER",IQ_FY-6), _xll.ciqfunctions.udf.CIQ(A3543, "IQ_CASH_OPER",IQ_FY-5))</f>
        <v>0</v>
      </c>
      <c r="K3547" s="17">
        <f>IF(A3551=A3552,_xll.ciqfunctions.udf.CIQ(A3543,"IQ_CAPEX",IQ_FY-6), _xll.ciqfunctions.udf.CIQ(A3543, "IQ_CAPEX",IQ_FY-5))</f>
        <v>0</v>
      </c>
      <c r="L3547" s="15" t="e">
        <f t="shared" si="944"/>
        <v>#DIV/0!</v>
      </c>
      <c r="M3547" s="17">
        <f>IF(A3551=A3552,_xll.ciqfunctions.udf.CIQ(A3543,"IQ_TOTAL_DEBT_ISSUED",IQ_FY-6), _xll.ciqfunctions.udf.CIQ(A3543, "IQ_TOTAL_DEBT_ISSUED",IQ_FY-5))</f>
        <v>0</v>
      </c>
      <c r="N3547" s="17">
        <f>IF(A3551=A3552,_xll.ciqfunctions.udf.CIQ(A3543,"IQ_TOTAL_DEBT_REPAID",IQ_FY-6), _xll.ciqfunctions.udf.CIQ(A3543, "IQ_TOTAL_DEBT_REPAID",IQ_FY-5))</f>
        <v>0</v>
      </c>
      <c r="O3547" s="15" t="e">
        <f t="shared" si="945"/>
        <v>#DIV/0!</v>
      </c>
      <c r="P3547" s="15" t="e">
        <f t="shared" si="946"/>
        <v>#DIV/0!</v>
      </c>
      <c r="Q3547" s="18"/>
      <c r="R3547" s="38" t="s">
        <v>50</v>
      </c>
      <c r="S3547" s="3" t="e">
        <f>I3554</f>
        <v>#DIV/0!</v>
      </c>
      <c r="U3547" s="18"/>
      <c r="V3547" s="38" t="s">
        <v>50</v>
      </c>
      <c r="W3547" s="3" t="e">
        <f>I3554</f>
        <v>#DIV/0!</v>
      </c>
      <c r="Y3547" s="18"/>
      <c r="Z3547" s="38" t="s">
        <v>50</v>
      </c>
      <c r="AA3547" s="3" t="e">
        <f>I3554</f>
        <v>#DIV/0!</v>
      </c>
    </row>
    <row r="3548" spans="1:27">
      <c r="B3548" s="13">
        <v>6</v>
      </c>
      <c r="C3548" s="14" t="s">
        <v>26</v>
      </c>
      <c r="D3548" s="15" t="e" cm="1">
        <f t="array" ref="D3548">_xlfn.SINGLE(IF(A3551=A3552,_xll.ciqfunctions.udf.CIQ(A3543,"IQ_TOTAL_REV",IQ_FY-5)/I3548, _xll.ciqfunctions.udf.CIQ(A3543, "IQ_TOTAL_REV",IQ_FY-4)/I3548))</f>
        <v>#DIV/0!</v>
      </c>
      <c r="E3548" s="16" t="e">
        <f t="shared" si="947"/>
        <v>#DIV/0!</v>
      </c>
      <c r="F3548" s="15">
        <f>IF(A3551=A3552,_xll.ciqfunctions.udf.CIQ(A3543,"IQ_DILUT_EPS_EXCL",IQ_FY-5), _xll.ciqfunctions.udf.CIQ(A3543, "IQ_DILUT_EPS_EXCL",IQ_FY-4))</f>
        <v>0</v>
      </c>
      <c r="G3548" s="15">
        <f>IF(A3551=A3552,_xll.ciqfunctions.udf.CIQ(A3543,"IQ_EBITDA_MARGIN",IQ_FY-5), _xll.ciqfunctions.udf.CIQ(A3543, "IQ_EBITDA_MARGIN",IQ_FY-4))</f>
        <v>0</v>
      </c>
      <c r="H3548" s="15" t="e">
        <f>IF(A3551=A3552,_xll.ciqfunctions.udf.CIQ(A3543,"IQ_TOTAL_DIV_PAID_CF",IQ_FY-5)/-I3548, _xll.ciqfunctions.udf.CIQ(A3543, "IQ_TOTAL_DIV_PAID_CF",IQ_FY-4)/-I3548)</f>
        <v>#DIV/0!</v>
      </c>
      <c r="I3548" s="17">
        <f>IF(A3551=A3552,_xll.ciqfunctions.udf.CIQ(A3543,"IQ_TOTAL_OUTSTANDING_FILING_DATE",IQ_FY-5), _xll.ciqfunctions.udf.CIQ(A3543, "IQ_TOTAL_OUTSTANDING_FILING_DATE",IQ_FY-4))</f>
        <v>0</v>
      </c>
      <c r="J3548" s="17">
        <f>IF(A3551=A3552,_xll.ciqfunctions.udf.CIQ(A3543,"IQ_CASH_OPER",IQ_FY-5), _xll.ciqfunctions.udf.CIQ(A3543, "IQ_CASH_OPER",IQ_FY-4))</f>
        <v>0</v>
      </c>
      <c r="K3548" s="17">
        <f>IF(A3551=A3552,_xll.ciqfunctions.udf.CIQ(A3543,"IQ_CAPEX",IQ_FY-5), _xll.ciqfunctions.udf.CIQ(A3543, "IQ_CAPEX",IQ_FY-4))</f>
        <v>0</v>
      </c>
      <c r="L3548" s="15" t="e">
        <f t="shared" si="944"/>
        <v>#DIV/0!</v>
      </c>
      <c r="M3548" s="17">
        <f>IF(A3551=A3552,_xll.ciqfunctions.udf.CIQ(A3543,"IQ_TOTAL_DEBT_ISSUED",IQ_FY-5), _xll.ciqfunctions.udf.CIQ(A3543, "IQ_TOTAL_DEBT_ISSUED",IQ_FY-4))</f>
        <v>0</v>
      </c>
      <c r="N3548" s="17">
        <f>IF(A3551=A3552,_xll.ciqfunctions.udf.CIQ(A3543,"IQ_TOTAL_DEBT_REPAID",IQ_FY-5), _xll.ciqfunctions.udf.CIQ(A3543, "IQ_TOTAL_DEBT_REPAID",IQ_FY-4))</f>
        <v>0</v>
      </c>
      <c r="O3548" s="15" t="e">
        <f t="shared" si="945"/>
        <v>#DIV/0!</v>
      </c>
      <c r="P3548" s="15" t="e">
        <f t="shared" si="946"/>
        <v>#DIV/0!</v>
      </c>
      <c r="Q3548" s="25" t="s">
        <v>27</v>
      </c>
      <c r="R3548" s="38" t="s">
        <v>51</v>
      </c>
      <c r="S3548" s="4" t="e">
        <f>AVERAGE(F3548:F3553)/AVERAGE(D3548:D3553)</f>
        <v>#DIV/0!</v>
      </c>
      <c r="U3548" s="25" t="s">
        <v>58</v>
      </c>
      <c r="V3548" s="38" t="s">
        <v>51</v>
      </c>
      <c r="W3548" s="4" t="e">
        <f>AVERAGE(F3548:F3553)/AVERAGE(D3548:D3553)</f>
        <v>#DIV/0!</v>
      </c>
      <c r="Y3548" s="25" t="s">
        <v>56</v>
      </c>
      <c r="Z3548" s="38" t="s">
        <v>51</v>
      </c>
      <c r="AA3548" s="4" t="e">
        <f>AVERAGE(F3548:F3553)/AVERAGE(D3548:D3553)</f>
        <v>#DIV/0!</v>
      </c>
    </row>
    <row r="3549" spans="1:27">
      <c r="A3549" s="18"/>
      <c r="B3549" s="13">
        <v>7</v>
      </c>
      <c r="C3549" s="14" t="s">
        <v>28</v>
      </c>
      <c r="D3549" s="15" cm="1">
        <f t="array" ref="D3549">_xlfn.SINGLE(IF(A3551=A3552,_xll.ciqfunctions.udf.CIQ(A3543,"IQ_TOTAL_REV",IQ_FY-4)/I3549, _xll.ciqfunctions.udf.CIQ(A3543, "IQ_TOTAL_REV",IQ_FY-3)/I3549))</f>
        <v>2.0496689894704745</v>
      </c>
      <c r="E3549" s="16" t="e">
        <f t="shared" si="947"/>
        <v>#DIV/0!</v>
      </c>
      <c r="F3549" s="15">
        <f>IF(A3551=A3552,_xll.ciqfunctions.udf.CIQ(A3543,"IQ_DILUT_EPS_EXCL",IQ_FY-4), _xll.ciqfunctions.udf.CIQ(A3543, "IQ_DILUT_EPS_EXCL",IQ_FY-3))</f>
        <v>-0.90210999999999997</v>
      </c>
      <c r="G3549" s="15">
        <f>IF(A3551=A3552,_xll.ciqfunctions.udf.CIQ(A3543,"IQ_EBITDA_MARGIN",IQ_FY-4), _xll.ciqfunctions.udf.CIQ(A3543, "IQ_EBITDA_MARGIN",IQ_FY-3))</f>
        <v>-46.166499999999999</v>
      </c>
      <c r="H3549" s="15">
        <f>IF(A3551=A3552,_xll.ciqfunctions.udf.CIQ(A3543,"IQ_TOTAL_DIV_PAID_CF",IQ_FY-4)/-I3549, _xll.ciqfunctions.udf.CIQ(A3543, "IQ_TOTAL_DIV_PAID_CF",IQ_FY-3)/-I3549)</f>
        <v>0</v>
      </c>
      <c r="I3549" s="17">
        <f>IF(A3551=A3552,_xll.ciqfunctions.udf.CIQ(A3543,"IQ_TOTAL_OUTSTANDING_FILING_DATE",IQ_FY-4), _xll.ciqfunctions.udf.CIQ(A3543, "IQ_TOTAL_OUTSTANDING_FILING_DATE",IQ_FY-3))</f>
        <v>59.161259999999999</v>
      </c>
      <c r="J3549" s="17">
        <f>IF(A3551=A3552,_xll.ciqfunctions.udf.CIQ(A3543,"IQ_CASH_OPER",IQ_FY-4), _xll.ciqfunctions.udf.CIQ(A3543, "IQ_CASH_OPER",IQ_FY-3))</f>
        <v>-28.364999999999998</v>
      </c>
      <c r="K3549" s="17">
        <f>IF(A3551=A3552,_xll.ciqfunctions.udf.CIQ(A3543,"IQ_CAPEX",IQ_FY-4), _xll.ciqfunctions.udf.CIQ(A3543, "IQ_CAPEX",IQ_FY-3))</f>
        <v>-0.98</v>
      </c>
      <c r="L3549" s="15">
        <f t="shared" si="944"/>
        <v>-0.49601715717346112</v>
      </c>
      <c r="M3549" s="17">
        <f>IF(A3551=A3552,_xll.ciqfunctions.udf.CIQ(A3543,"IQ_TOTAL_DEBT_ISSUED",IQ_FY-4), _xll.ciqfunctions.udf.CIQ(A3543, "IQ_TOTAL_DEBT_ISSUED",IQ_FY-3))</f>
        <v>0</v>
      </c>
      <c r="N3549" s="17">
        <f>IF(A3551=A3552,_xll.ciqfunctions.udf.CIQ(A3543,"IQ_TOTAL_DEBT_REPAID",IQ_FY-4), _xll.ciqfunctions.udf.CIQ(A3543, "IQ_TOTAL_DEBT_REPAID",IQ_FY-3))</f>
        <v>0</v>
      </c>
      <c r="O3549" s="15">
        <f t="shared" si="945"/>
        <v>0</v>
      </c>
      <c r="P3549" s="15">
        <f t="shared" si="946"/>
        <v>-0.49601715717346112</v>
      </c>
      <c r="Q3549" s="18"/>
      <c r="R3549" s="38" t="s">
        <v>29</v>
      </c>
      <c r="S3549" s="4" t="e">
        <f>(AVERAGE(P3548:P3553)/_xlfn.STDEV.P(P3548:P3553))/(IF(A3551=A3552,(_xlfn.SINGLE(_xll.ciqfunctions.udf.CIQ(A3543,"IQ_total_assets",IQ_FY)) - _xlfn.SINGLE(_xll.ciqfunctions.udf.CIQ(A3543,"iq_gw_intan", IQ_FY)))/I3553, (_xlfn.SINGLE(_xll.ciqfunctions.udf.CIQ(A3543, "IQ_total_assets",IQ_LTM))-_xlfn.SINGLE(_xll.ciqfunctions.udf.CIQ(A3543,"iq_gw_intan",IQ_LTM)))/I3553))</f>
        <v>#DIV/0!</v>
      </c>
      <c r="U3549" s="18"/>
      <c r="V3549" s="38" t="s">
        <v>29</v>
      </c>
      <c r="W3549" s="4" t="e">
        <f>(AVERAGE(P3548:P3553)/_xlfn.STDEV.P(P3548:P3553))/(IF(A3551=A3552,(_xlfn.SINGLE(_xll.ciqfunctions.udf.CIQ(A3543,"IQ_total_assets",IQ_FY)) - _xlfn.SINGLE(_xll.ciqfunctions.udf.CIQ(A3543,"iq_gw_intan", IQ_FY)))/I3553, (_xlfn.SINGLE(_xll.ciqfunctions.udf.CIQ(A3543, "IQ_total_assets",IQ_LTM))-_xlfn.SINGLE(_xll.ciqfunctions.udf.CIQ(A3543,"iq_gw_intan",IQ_LTM)))/I3553))</f>
        <v>#DIV/0!</v>
      </c>
      <c r="Y3549" s="18"/>
      <c r="Z3549" s="38" t="s">
        <v>29</v>
      </c>
      <c r="AA3549" s="4" t="e">
        <f>(AVERAGE(P3548:P3553)/_xlfn.STDEV.P(P3548:P3553))/(IF(A3551=A3552,(_xlfn.SINGLE(_xll.ciqfunctions.udf.CIQ(A3543,"IQ_total_assets",IQ_FY)) - _xlfn.SINGLE(_xll.ciqfunctions.udf.CIQ(A3543,"iq_gw_intan", IQ_FY)))/I3553, (_xlfn.SINGLE(_xll.ciqfunctions.udf.CIQ(A3543, "IQ_total_assets",IQ_LTM))-_xlfn.SINGLE(_xll.ciqfunctions.udf.CIQ(A3543,"iq_gw_intan",IQ_LTM)))/I3553))</f>
        <v>#DIV/0!</v>
      </c>
    </row>
    <row r="3550" spans="1:27">
      <c r="A3550" s="18"/>
      <c r="B3550" s="13">
        <v>8</v>
      </c>
      <c r="C3550" s="14" t="s">
        <v>30</v>
      </c>
      <c r="D3550" s="15" cm="1">
        <f t="array" ref="D3550">_xlfn.SINGLE(IF(A3551=A3552,_xll.ciqfunctions.udf.CIQ(A3543,"IQ_TOTAL_REV",IQ_FY-3)/I3550, _xll.ciqfunctions.udf.CIQ(A3543, "IQ_TOTAL_REV",IQ_FY-2)/I3550))</f>
        <v>3.2305710401129168</v>
      </c>
      <c r="E3550" s="16">
        <f t="shared" si="947"/>
        <v>0.5761428097458432</v>
      </c>
      <c r="F3550" s="15">
        <f>IF(A3551=A3552,_xll.ciqfunctions.udf.CIQ(A3543,"IQ_DILUT_EPS_EXCL",IQ_FY-3), _xll.ciqfunctions.udf.CIQ(A3543, "IQ_DILUT_EPS_EXCL",IQ_FY-2))</f>
        <v>-1.31779</v>
      </c>
      <c r="G3550" s="15">
        <f>IF(A3551=A3552,_xll.ciqfunctions.udf.CIQ(A3543,"IQ_EBITDA_MARGIN",IQ_FY-3), _xll.ciqfunctions.udf.CIQ(A3543, "IQ_EBITDA_MARGIN",IQ_FY-2))</f>
        <v>-39.234999999999999</v>
      </c>
      <c r="H3550" s="15">
        <f>IF(A3551=A3552,_xll.ciqfunctions.udf.CIQ(A3543,"IQ_TOTAL_DIV_PAID_CF",IQ_FY-3)/-I3550, _xll.ciqfunctions.udf.CIQ(A3543, "IQ_TOTAL_DIV_PAID_CF",IQ_FY-2)/-I3550)</f>
        <v>0</v>
      </c>
      <c r="I3550" s="17">
        <f>IF(A3551=A3552,_xll.ciqfunctions.udf.CIQ(A3543,"IQ_TOTAL_OUTSTANDING_FILING_DATE",IQ_FY-3), _xll.ciqfunctions.udf.CIQ(A3543, "IQ_TOTAL_OUTSTANDING_FILING_DATE",IQ_FY-2))</f>
        <v>65.577879999999993</v>
      </c>
      <c r="J3550" s="17">
        <f>IF(A3551=A3552,_xll.ciqfunctions.udf.CIQ(A3543,"IQ_CASH_OPER",IQ_FY-3), _xll.ciqfunctions.udf.CIQ(A3543, "IQ_CASH_OPER",IQ_FY-2))</f>
        <v>-39.622999999999998</v>
      </c>
      <c r="K3550" s="17">
        <f>IF(A3551=A3552,_xll.ciqfunctions.udf.CIQ(A3543,"IQ_CAPEX",IQ_FY-3), _xll.ciqfunctions.udf.CIQ(A3543, "IQ_CAPEX",IQ_FY-2))</f>
        <v>-4.3040000000000003</v>
      </c>
      <c r="L3550" s="15">
        <f t="shared" si="944"/>
        <v>-0.66984477082821225</v>
      </c>
      <c r="M3550" s="17">
        <f>IF(A3551=A3552,_xll.ciqfunctions.udf.CIQ(A3543,"IQ_TOTAL_DEBT_ISSUED",IQ_FY-3), _xll.ciqfunctions.udf.CIQ(A3543, "IQ_TOTAL_DEBT_ISSUED",IQ_FY-2))</f>
        <v>0</v>
      </c>
      <c r="N3550" s="17">
        <f>IF(A3551=A3552,_xll.ciqfunctions.udf.CIQ(A3543,"IQ_TOTAL_DEBT_REPAID",IQ_FY-3), _xll.ciqfunctions.udf.CIQ(A3543, "IQ_TOTAL_DEBT_REPAID",IQ_FY-2))</f>
        <v>0</v>
      </c>
      <c r="O3550" s="15">
        <f t="shared" si="945"/>
        <v>0</v>
      </c>
      <c r="P3550" s="15">
        <f t="shared" si="946"/>
        <v>-0.66984477082821225</v>
      </c>
      <c r="Q3550" s="18"/>
      <c r="R3550" s="39" t="s">
        <v>31</v>
      </c>
      <c r="S3550" s="5" t="e">
        <f>IF(NOT(D3543&gt;0),FALSE,SLOPE(G3543:G3553,B3543:B3553))</f>
        <v>#DIV/0!</v>
      </c>
      <c r="U3550" s="18"/>
      <c r="V3550" s="39" t="s">
        <v>31</v>
      </c>
      <c r="W3550" s="5" t="e">
        <f>IF(NOT(D3543&gt;0),FALSE,SLOPE(G3543:G3553,B3543:B3553))</f>
        <v>#DIV/0!</v>
      </c>
      <c r="Y3550" s="18"/>
      <c r="Z3550" s="39" t="s">
        <v>31</v>
      </c>
      <c r="AA3550" s="5" t="e">
        <f>IF(NOT(L3543&gt;0),FALSE,SLOPE(O3543:O3553,J3543:J3553))</f>
        <v>#DIV/0!</v>
      </c>
    </row>
    <row r="3551" spans="1:27">
      <c r="A3551" s="19">
        <f>_xll.ciqfunctions.udf.CIQ(A3543,"IQ_TOTAL_REV",IQ_FY)</f>
        <v>475.88900000000001</v>
      </c>
      <c r="B3551" s="13">
        <v>9</v>
      </c>
      <c r="C3551" s="14" t="s">
        <v>32</v>
      </c>
      <c r="D3551" s="15" cm="1">
        <f t="array" ref="D3551">_xlfn.SINGLE(IF(A3551=A3552,_xll.ciqfunctions.udf.CIQ(A3543,"IQ_TOTAL_REV",IQ_FY-2)/I3551, _xll.ciqfunctions.udf.CIQ(A3543, "IQ_TOTAL_REV",IQ_FY-1)/I3551))</f>
        <v>1.7482564933594442</v>
      </c>
      <c r="E3551" s="16">
        <f t="shared" si="947"/>
        <v>-0.45883979282550058</v>
      </c>
      <c r="F3551" s="15">
        <f>IF(A3551=A3552,_xll.ciqfunctions.udf.CIQ(A3543,"IQ_DILUT_EPS_EXCL",IQ_FY-2), _xll.ciqfunctions.udf.CIQ(A3543, "IQ_DILUT_EPS_EXCL",IQ_FY-1))</f>
        <v>-3.4840100000000001</v>
      </c>
      <c r="G3551" s="15">
        <f>IF(A3551=A3552,_xll.ciqfunctions.udf.CIQ(A3543,"IQ_EBITDA_MARGIN",IQ_FY-2), _xll.ciqfunctions.udf.CIQ(A3543, "IQ_EBITDA_MARGIN",IQ_FY-1))</f>
        <v>-89.415099999999995</v>
      </c>
      <c r="H3551" s="15">
        <f>IF(A3551=A3552,_xll.ciqfunctions.udf.CIQ(A3543,"IQ_TOTAL_DIV_PAID_CF",IQ_FY-2)/-I3551, _xll.ciqfunctions.udf.CIQ(A3543, "IQ_TOTAL_DIV_PAID_CF",IQ_FY-1)/-I3551)</f>
        <v>0</v>
      </c>
      <c r="I3551" s="17">
        <f>IF(A3551=A3552,_xll.ciqfunctions.udf.CIQ(A3543,"IQ_TOTAL_OUTSTANDING_FILING_DATE",IQ_FY-2), _xll.ciqfunctions.udf.CIQ(A3543, "IQ_TOTAL_OUTSTANDING_FILING_DATE",IQ_FY-1))</f>
        <v>183.47936999999999</v>
      </c>
      <c r="J3551" s="17">
        <f>IF(A3551=A3552,_xll.ciqfunctions.udf.CIQ(A3543,"IQ_CASH_OPER",IQ_FY-2), _xll.ciqfunctions.udf.CIQ(A3543, "IQ_CASH_OPER",IQ_FY-1))</f>
        <v>-56.215000000000003</v>
      </c>
      <c r="K3551" s="17">
        <f>IF(A3551=A3552,_xll.ciqfunctions.udf.CIQ(A3543,"IQ_CAPEX",IQ_FY-2), _xll.ciqfunctions.udf.CIQ(A3543, "IQ_CAPEX",IQ_FY-1))</f>
        <v>-0.214</v>
      </c>
      <c r="L3551" s="15">
        <f t="shared" si="944"/>
        <v>-0.30754956265655375</v>
      </c>
      <c r="M3551" s="17">
        <f>IF(A3551=A3552,_xll.ciqfunctions.udf.CIQ(A3543,"IQ_TOTAL_DEBT_ISSUED",IQ_FY-2), _xll.ciqfunctions.udf.CIQ(A3543, "IQ_TOTAL_DEBT_ISSUED",IQ_FY-1))</f>
        <v>0</v>
      </c>
      <c r="N3551" s="17">
        <f>IF(A3551=A3552,_xll.ciqfunctions.udf.CIQ(A3543,"IQ_TOTAL_DEBT_REPAID",IQ_FY-2), _xll.ciqfunctions.udf.CIQ(A3543, "IQ_TOTAL_DEBT_REPAID",IQ_FY-1))</f>
        <v>0</v>
      </c>
      <c r="O3551" s="15">
        <f t="shared" si="945"/>
        <v>0</v>
      </c>
      <c r="P3551" s="15">
        <f t="shared" si="946"/>
        <v>-0.30754956265655375</v>
      </c>
      <c r="Q3551" s="25" t="s">
        <v>33</v>
      </c>
      <c r="R3551" s="38" t="s">
        <v>52</v>
      </c>
      <c r="S3551" s="4" t="e">
        <f>(AVERAGE(O3548:O3553)/AVERAGE(P3548:P3553))</f>
        <v>#DIV/0!</v>
      </c>
      <c r="U3551" s="25" t="s">
        <v>54</v>
      </c>
      <c r="V3551" s="38" t="s">
        <v>52</v>
      </c>
      <c r="W3551" s="4" t="e">
        <f>(AVERAGE(O3548:O3553)/AVERAGE(P3548:P3553))</f>
        <v>#DIV/0!</v>
      </c>
      <c r="Y3551" s="25" t="s">
        <v>60</v>
      </c>
      <c r="Z3551" s="38" t="s">
        <v>52</v>
      </c>
      <c r="AA3551" s="4" t="e">
        <f>(AVERAGE(O3548:O3553)/AVERAGE(P3548:P3553))</f>
        <v>#DIV/0!</v>
      </c>
    </row>
    <row r="3552" spans="1:27">
      <c r="A3552" s="19">
        <f>_xll.ciqfunctions.udf.CIQ(A3543,"IQ_TOTAL_REV",IQ_LTM)</f>
        <v>542.35799999999995</v>
      </c>
      <c r="B3552" s="13">
        <v>10</v>
      </c>
      <c r="C3552" s="14" t="s">
        <v>34</v>
      </c>
      <c r="D3552" s="15" cm="1">
        <f t="array" ref="D3552">_xlfn.SINGLE(IF(A3551=A3552,_xll.ciqfunctions.udf.CIQ(A3543,"IQ_TOTAL_REV",IQ_FY-1)/I3552, _xll.ciqfunctions.udf.CIQ(A3543, "IQ_TOTAL_REV",IQ_FY)/I3552))</f>
        <v>2.4871972235150359</v>
      </c>
      <c r="E3552" s="16">
        <f t="shared" si="947"/>
        <v>0.42267295042939923</v>
      </c>
      <c r="F3552" s="15">
        <f>IF(A3551=A3552,_xll.ciqfunctions.udf.CIQ(A3543,"IQ_DILUT_EPS_EXCL",IQ_FY-1), _xll.ciqfunctions.udf.CIQ(A3543, "IQ_DILUT_EPS_EXCL",IQ_FY))</f>
        <v>-1.4744900000000001</v>
      </c>
      <c r="G3552" s="15">
        <f>IF(A3551=A3552,_xll.ciqfunctions.udf.CIQ(A3543,"IQ_EBITDA_MARGIN",IQ_FY-1), _xll.ciqfunctions.udf.CIQ(A3543, "IQ_EBITDA_MARGIN",IQ_FY))</f>
        <v>-61.505699999999997</v>
      </c>
      <c r="H3552" s="15">
        <f>IF(A3551=A3552,_xll.ciqfunctions.udf.CIQ(A3543,"IQ_TOTAL_DIV_PAID_CF",IQ_FY-1)/-I3552, _xll.ciqfunctions.udf.CIQ(A3543, "IQ_TOTAL_DIV_PAID_CF",IQ_FY)/-I3552)</f>
        <v>0</v>
      </c>
      <c r="I3552" s="17">
        <f>IF(A3551=A3552,_xll.ciqfunctions.udf.CIQ(A3543,"IQ_TOTAL_OUTSTANDING_FILING_DATE",IQ_FY-1), _xll.ciqfunctions.udf.CIQ(A3543, "IQ_TOTAL_OUTSTANDING_FILING_DATE",IQ_FY))</f>
        <v>191.33545000000001</v>
      </c>
      <c r="J3552" s="17">
        <f>IF(A3551=A3552,_xll.ciqfunctions.udf.CIQ(A3543,"IQ_CASH_OPER",IQ_FY-1), _xll.ciqfunctions.udf.CIQ(A3543, "IQ_CASH_OPER",IQ_FY))</f>
        <v>-84.462000000000003</v>
      </c>
      <c r="K3552" s="17">
        <f>IF(A3551=A3552,_xll.ciqfunctions.udf.CIQ(A3543,"IQ_CAPEX",IQ_FY-1), _xll.ciqfunctions.udf.CIQ(A3543, "IQ_CAPEX",IQ_FY))</f>
        <v>-0.252</v>
      </c>
      <c r="L3552" s="15">
        <f t="shared" si="944"/>
        <v>-0.44275119952941283</v>
      </c>
      <c r="M3552" s="17">
        <f>IF(A3551=A3552,_xll.ciqfunctions.udf.CIQ(A3543,"IQ_TOTAL_DEBT_ISSUED",IQ_FY-1), _xll.ciqfunctions.udf.CIQ(A3543, "IQ_TOTAL_DEBT_ISSUED",IQ_FY))</f>
        <v>0</v>
      </c>
      <c r="N3552" s="17">
        <f>IF(A3551=A3552,_xll.ciqfunctions.udf.CIQ(A3543,"IQ_TOTAL_DEBT_REPAID",IQ_FY-1), _xll.ciqfunctions.udf.CIQ(A3543, "IQ_TOTAL_DEBT_REPAID",IQ_FY))</f>
        <v>0</v>
      </c>
      <c r="O3552" s="15">
        <f t="shared" si="945"/>
        <v>0</v>
      </c>
      <c r="P3552" s="15">
        <f t="shared" si="946"/>
        <v>-0.44275119952941283</v>
      </c>
      <c r="Q3552" s="25" t="s">
        <v>44</v>
      </c>
      <c r="R3552" s="38" t="s">
        <v>35</v>
      </c>
      <c r="S3552" s="1" t="str">
        <f>_xll.ciqfunctions.udf.CIQ(A3543,"IQ_TEV_EBITDA")</f>
        <v>NM</v>
      </c>
      <c r="U3552" s="25" t="s">
        <v>55</v>
      </c>
      <c r="V3552" s="38" t="s">
        <v>53</v>
      </c>
      <c r="W3552" s="1" t="e">
        <f>V3542/(AVERAGE(D3548:D3553)/_xlfn.STDEV.P(E3548:E3553))</f>
        <v>#DIV/0!</v>
      </c>
      <c r="Y3552" s="25" t="s">
        <v>57</v>
      </c>
      <c r="Z3552" s="38" t="s">
        <v>53</v>
      </c>
      <c r="AA3552" s="1" t="e">
        <f>Z3542/(AVERAGE(D3548:D3553)/_xlfn.STDEV.P(E3548:E3553))</f>
        <v>#DIV/0!</v>
      </c>
    </row>
    <row r="3553" spans="1:27">
      <c r="B3553" s="13">
        <v>11</v>
      </c>
      <c r="C3553" s="20" t="s">
        <v>36</v>
      </c>
      <c r="D3553" s="21" cm="1">
        <f t="array" ref="D3553">_xlfn.SINGLE(IF(A3551=A3552,_xll.ciqfunctions.udf.CIQ(A3543,"IQ_TOTAL_REV",IQ_FY)/I3553, _xll.ciqfunctions.udf.CIQ(A3543, "IQ_TOTAL_REV",IQ_LTM)/I3553))</f>
        <v>2.7972784663950385</v>
      </c>
      <c r="E3553" s="22">
        <f t="shared" si="947"/>
        <v>0.12467095087931135</v>
      </c>
      <c r="F3553" s="21">
        <f>IF(A3551=A3552,_xll.ciqfunctions.udf.CIQ(A3543,"IQ_DILUT_EPS_EXCL",IQ_FY), _xll.ciqfunctions.udf.CIQ(A3543, "IQ_DILUT_EPS_EXCL",IQ_LTM))</f>
        <v>-1.26895</v>
      </c>
      <c r="G3553" s="21">
        <f>IF(A3551=A3552,_xll.ciqfunctions.udf.CIQ(A3543,"IQ_EBITDA_MARGIN",IQ_FY), _xll.ciqfunctions.udf.CIQ(A3543, "IQ_EBITDA_MARGIN",IQ_LTM))</f>
        <v>-51.3157</v>
      </c>
      <c r="H3553" s="21">
        <f>IF(A3551=A3552,_xll.ciqfunctions.udf.CIQ(A3543,"IQ_TOTAL_DIV_PAID_CF",IQ_FY)/-I3553, _xll.ciqfunctions.udf.CIQ(A3543, "IQ_TOTAL_DIV_PAID_CF",IQ_LTM)/-I3553)</f>
        <v>0</v>
      </c>
      <c r="I3553" s="23">
        <f>IF(A3551=A3552,_xll.ciqfunctions.udf.CIQ(A3543,"IQ_TOTAL_OUTSTANDING_FILING_DATE",IQ_FY),_xll.ciqfunctions.udf.CIQ(A3543,"IQ_sharesoutstanding"))</f>
        <v>193.88774000000001</v>
      </c>
      <c r="J3553" s="23">
        <f>IF(A3551=A3552,_xll.ciqfunctions.udf.CIQ(A3543,"IQ_CASH_OPER",IQ_FY), _xll.ciqfunctions.udf.CIQ(A3543, "IQ_CASH_OPER",IQ_LTM))</f>
        <v>-43.387</v>
      </c>
      <c r="K3553" s="23">
        <f>IF(A3551=A3552,_xll.ciqfunctions.udf.CIQ(A3543,"IQ_CAPEX",IQ_FY), _xll.ciqfunctions.udf.CIQ(A3543, "IQ_CAPEX",IQ_LTM))</f>
        <v>-0.59699999999999998</v>
      </c>
      <c r="L3553" s="21">
        <f t="shared" si="944"/>
        <v>-0.22685292014853545</v>
      </c>
      <c r="M3553" s="23">
        <f>IF(A3551=A3552,_xll.ciqfunctions.udf.CIQ(A3543,"IQ_TOTAL_DEBT_ISSUED",IQ_FY), _xll.ciqfunctions.udf.CIQ(A3543, "IQ_TOTAL_DEBT_ISSUED",IQ_LTM))</f>
        <v>0</v>
      </c>
      <c r="N3553" s="23">
        <f>IF(A3551=A3552,_xll.ciqfunctions.udf.CIQ(A3543,"IQ_TOTAL_DEBT_REPAID",IQ_FY), _xll.ciqfunctions.udf.CIQ(A3543, "IQ_TOTAL_DEBT_REPAID",IQ_LTM))</f>
        <v>0</v>
      </c>
      <c r="O3553" s="21">
        <f t="shared" si="945"/>
        <v>0</v>
      </c>
      <c r="P3553" s="21">
        <f t="shared" si="946"/>
        <v>-0.22685292014853545</v>
      </c>
      <c r="Q3553" s="25" t="s">
        <v>45</v>
      </c>
      <c r="S3553" s="45"/>
      <c r="U3553" s="25"/>
      <c r="W3553" s="45"/>
      <c r="Y3553" s="25"/>
      <c r="AA3553" s="45"/>
    </row>
    <row r="3554" spans="1:27">
      <c r="B3554" s="24"/>
      <c r="C3554" s="25" t="s">
        <v>37</v>
      </c>
      <c r="E3554" s="26" t="e">
        <f>((D3553/D3548)^(1/5))-1</f>
        <v>#DIV/0!</v>
      </c>
      <c r="F3554" s="27" t="e">
        <f>((F3553/F3548)^(1/5))-1</f>
        <v>#DIV/0!</v>
      </c>
      <c r="G3554" s="28"/>
      <c r="H3554" s="27" t="e">
        <f>((H3553/H3548)^(1/5))-1</f>
        <v>#DIV/0!</v>
      </c>
      <c r="I3554" s="27" t="e">
        <f>((I3553/I3548)^(1/5))-1</f>
        <v>#DIV/0!</v>
      </c>
      <c r="J3554" s="27"/>
      <c r="K3554" s="27"/>
      <c r="L3554" s="26" t="e">
        <f>((L3553/L3548)^(1/5))-1</f>
        <v>#DIV/0!</v>
      </c>
      <c r="M3554" s="26"/>
      <c r="N3554" s="26"/>
      <c r="O3554" s="26"/>
      <c r="P3554" s="26" t="e">
        <f>((P3553/P3548)^(1/5))-1</f>
        <v>#DIV/0!</v>
      </c>
      <c r="Q3554" s="18"/>
      <c r="R3554" s="36"/>
      <c r="S3554" s="45"/>
      <c r="U3554" s="18"/>
      <c r="V3554" s="36"/>
      <c r="W3554" s="45"/>
      <c r="Y3554" s="18"/>
      <c r="Z3554" s="36"/>
      <c r="AA3554" s="45"/>
    </row>
    <row r="3555" spans="1:27">
      <c r="A3555" s="29"/>
      <c r="B3555" s="30"/>
      <c r="C3555" s="31" t="s">
        <v>38</v>
      </c>
      <c r="D3555" s="29"/>
      <c r="E3555" s="32" t="e">
        <f>((D3553/D3543)^(1/10))-1</f>
        <v>#DIV/0!</v>
      </c>
      <c r="F3555" s="33" t="e">
        <f>((F3553/F3543)^(1/10))-1</f>
        <v>#DIV/0!</v>
      </c>
      <c r="G3555" s="34"/>
      <c r="H3555" s="33" t="e">
        <f>((H3553/H3543)^(1/10))-1</f>
        <v>#DIV/0!</v>
      </c>
      <c r="I3555" s="33" t="e">
        <f>((I3553/I3543)^(1/10))-1</f>
        <v>#DIV/0!</v>
      </c>
      <c r="J3555" s="33"/>
      <c r="K3555" s="33"/>
      <c r="L3555" s="32" t="e">
        <f>((L3553/L3543)^(1/10))-1</f>
        <v>#DIV/0!</v>
      </c>
      <c r="M3555" s="32"/>
      <c r="N3555" s="32"/>
      <c r="O3555" s="32"/>
      <c r="P3555" s="32" t="e">
        <f>((P3553/P3543)^(1/10))-1</f>
        <v>#DIV/0!</v>
      </c>
      <c r="Q3555" s="40"/>
      <c r="R3555" s="41"/>
      <c r="S3555" s="46"/>
      <c r="U3555" s="40"/>
      <c r="V3555" s="41"/>
      <c r="W3555" s="46"/>
      <c r="Y3555" s="40"/>
      <c r="Z3555" s="41"/>
      <c r="AA3555" s="46"/>
    </row>
    <row r="3556" spans="1:27">
      <c r="B3556" s="24"/>
      <c r="C3556" s="25"/>
      <c r="E3556" s="26"/>
      <c r="F3556" s="27"/>
      <c r="G3556" s="28"/>
      <c r="H3556" s="27"/>
      <c r="I3556" s="27"/>
      <c r="J3556" s="27"/>
      <c r="K3556" s="27"/>
      <c r="L3556" s="26"/>
      <c r="M3556" s="17"/>
      <c r="N3556" s="17"/>
      <c r="O3556" s="17"/>
      <c r="P3556" s="35"/>
      <c r="Q3556" s="18"/>
      <c r="R3556" s="36"/>
    </row>
    <row r="3557" spans="1:27">
      <c r="A3557" s="9" t="s">
        <v>0</v>
      </c>
      <c r="B3557" s="10"/>
      <c r="C3557" s="9" t="s">
        <v>1</v>
      </c>
      <c r="D3557" s="9" t="s">
        <v>2</v>
      </c>
      <c r="E3557" s="9" t="s">
        <v>3</v>
      </c>
      <c r="F3557" s="11" t="s">
        <v>4</v>
      </c>
      <c r="G3557" s="11" t="s">
        <v>5</v>
      </c>
      <c r="H3557" s="9" t="s">
        <v>6</v>
      </c>
      <c r="I3557" s="11" t="s">
        <v>7</v>
      </c>
      <c r="J3557" s="11" t="s">
        <v>8</v>
      </c>
      <c r="K3557" s="11" t="s">
        <v>9</v>
      </c>
      <c r="L3557" s="11" t="s">
        <v>10</v>
      </c>
      <c r="M3557" s="11" t="s">
        <v>11</v>
      </c>
      <c r="N3557" s="11" t="s">
        <v>12</v>
      </c>
      <c r="O3557" s="11" t="s">
        <v>13</v>
      </c>
      <c r="P3557" s="11" t="s">
        <v>14</v>
      </c>
      <c r="Q3557" s="37" t="s">
        <v>15</v>
      </c>
      <c r="R3557" s="42">
        <f>_xll.ciqfunctions.udf.CIQ(A3558,("IQ_LASTSALEPRICE"))</f>
        <v>53.23</v>
      </c>
      <c r="S3557" s="44"/>
      <c r="U3557" s="37" t="s">
        <v>15</v>
      </c>
      <c r="V3557" s="42">
        <f>_xll.ciqfunctions.udf.CIQ(A3558,("IQ_LASTSALEPRICE"))</f>
        <v>53.23</v>
      </c>
      <c r="W3557" s="44"/>
      <c r="Y3557" s="37" t="s">
        <v>15</v>
      </c>
      <c r="Z3557" s="42">
        <f>_xll.ciqfunctions.udf.CIQ(A3558,("IQ_LASTSALEPRICE"))</f>
        <v>53.23</v>
      </c>
      <c r="AA3557" s="44"/>
    </row>
    <row r="3558" spans="1:27">
      <c r="A3558" s="12" t="str">
        <f>Analysis!B239</f>
        <v>NasdaqGS:BRZE</v>
      </c>
      <c r="B3558" s="13">
        <v>1</v>
      </c>
      <c r="C3558" s="14" t="s">
        <v>16</v>
      </c>
      <c r="D3558" s="15" t="e">
        <f>IF(A3566=A3567,_xll.ciqfunctions.udf.CIQ(A3558,"IQ_TOTAL_REV",IQ_FY-10)/I3558,_xll.ciqfunctions.udf.CIQ(A3558, "IQ_TOTAL_REV",IQ_FY-9)/I3558)</f>
        <v>#DIV/0!</v>
      </c>
      <c r="E3558" s="16"/>
      <c r="F3558" s="15">
        <f>IF(A3566=A3567,_xll.ciqfunctions.udf.CIQ(A3558,"IQ_DILUT_EPS_EXCL",IQ_FY-10), _xll.ciqfunctions.udf.CIQ(A3558, "IQ_DILUT_EPS_EXCL",IQ_FY-9))</f>
        <v>0</v>
      </c>
      <c r="G3558" s="15">
        <f>IF(A3566=A3567,_xll.ciqfunctions.udf.CIQ(A3558,"IQ_EBITDA_MARGIN",IQ_FY-10), _xll.ciqfunctions.udf.CIQ(A3558, "IQ_EBITDA_MARGIN",IQ_FY-9))</f>
        <v>0</v>
      </c>
      <c r="H3558" s="15" t="e">
        <f>IF(A3566=A3567,_xll.ciqfunctions.udf.CIQ(A3558,"IQ_TOTAL_DIV_PAID_CF",IQ_FY-10)/-I3558, _xll.ciqfunctions.udf.CIQ(A3558, "IQ_TOTAL_DIV_PAID_CF",IQ_FY-9)/-I3558)</f>
        <v>#DIV/0!</v>
      </c>
      <c r="I3558" s="17">
        <f>IF(A3566=A3567,_xll.ciqfunctions.udf.CIQ(A3558,"IQ_TOTAL_OUTSTANDING_FILING_DATE",IQ_FY-10), _xll.ciqfunctions.udf.CIQ(A3558, "IQ_TOTAL_OUTSTANDING_FILING_DATE",IQ_FY-9))</f>
        <v>0</v>
      </c>
      <c r="J3558" s="17">
        <f>IF(A3566=A3567,_xll.ciqfunctions.udf.CIQ(A3558,"IQ_CASH_OPER",IQ_FY-10), _xll.ciqfunctions.udf.CIQ(A3558, "IQ_CASH_OPER",IQ_FY-9))</f>
        <v>0</v>
      </c>
      <c r="K3558" s="17">
        <f>IF(A3566=A3567,_xll.ciqfunctions.udf.CIQ(A3558,"IQ_CAPEX",IQ_FY-10), _xll.ciqfunctions.udf.CIQ(A3558, "IQ_CAPEX",IQ_FY-9))</f>
        <v>0</v>
      </c>
      <c r="L3558" s="15" t="e">
        <f t="shared" ref="L3558:L3568" si="948">(J3558+K3558)/I3558</f>
        <v>#DIV/0!</v>
      </c>
      <c r="M3558" s="17">
        <f>IF(A3566=A3567,_xll.ciqfunctions.udf.CIQ(A3558,"IQ_TOTAL_DEBT_ISSUED",IQ_FY-10), _xll.ciqfunctions.udf.CIQ(A3558, "IQ_TOTAL_DEBT_ISSUED",IQ_FY-9))</f>
        <v>0</v>
      </c>
      <c r="N3558" s="17">
        <f>IF(A3566=A3567,_xll.ciqfunctions.udf.CIQ(A3558,"IQ_TOTAL_DEBT_REPAID",IQ_FY-10), _xll.ciqfunctions.udf.CIQ(A3558, "IQ_TOTAL_DEBT_REPAID",IQ_FY-9))</f>
        <v>0</v>
      </c>
      <c r="O3558" s="15" t="e">
        <f t="shared" ref="O3558:O3568" si="949">(M3558+N3558)/I3558</f>
        <v>#DIV/0!</v>
      </c>
      <c r="P3558" s="15" t="e">
        <f t="shared" ref="P3558:P3568" si="950">L3558+O3558</f>
        <v>#DIV/0!</v>
      </c>
      <c r="W3558" s="43"/>
      <c r="AA3558" s="43"/>
    </row>
    <row r="3559" spans="1:27">
      <c r="A3559" s="18" t="str">
        <f>_xll.ciqfunctions.udf.CIQ(A3558,"IQ_COMPANY_NAME")</f>
        <v>Braze, Inc.</v>
      </c>
      <c r="B3559" s="13">
        <v>2</v>
      </c>
      <c r="C3559" s="14" t="s">
        <v>17</v>
      </c>
      <c r="D3559" s="15" t="e">
        <f>IF(A3566=A3567,_xll.ciqfunctions.udf.CIQ(A3558,"IQ_TOTAL_REV",IQ_FY-9)/I3559, _xll.ciqfunctions.udf.CIQ(A3558, "IQ_TOTAL_REV",IQ_FY-8)/I3559)</f>
        <v>#DIV/0!</v>
      </c>
      <c r="E3559" s="16" t="e">
        <f t="shared" ref="E3559:E3568" si="951">(D3559-D3558)/D3558</f>
        <v>#DIV/0!</v>
      </c>
      <c r="F3559" s="15">
        <f>IF(A3566=A3567,_xll.ciqfunctions.udf.CIQ(A3558,"IQ_DILUT_EPS_EXCL",IQ_FY-9), _xll.ciqfunctions.udf.CIQ(A3558, "IQ_DILUT_EPS_EXCL",IQ_FY-8))</f>
        <v>0</v>
      </c>
      <c r="G3559" s="15">
        <f>IF(A3566=A3567,_xll.ciqfunctions.udf.CIQ(A3558,"IQ_EBITDA_MARGIN",IQ_FY-9), _xll.ciqfunctions.udf.CIQ(A3558, "IQ_EBITDA_MARGIN",IQ_FY-8))</f>
        <v>0</v>
      </c>
      <c r="H3559" s="15" t="e">
        <f>IF(A3566=A3567,_xll.ciqfunctions.udf.CIQ(A3558,"IQ_TOTAL_DIV_PAID_CF",IQ_FY-9)/-I3559, _xll.ciqfunctions.udf.CIQ(A3558, "IQ_TOTAL_DIV_PAID_CF",IQ_FY-8)/-I3559)</f>
        <v>#DIV/0!</v>
      </c>
      <c r="I3559" s="17">
        <f>IF(A3566=A3567,_xll.ciqfunctions.udf.CIQ(A3558,"IQ_TOTAL_OUTSTANDING_FILING_DATE",IQ_FY-9), _xll.ciqfunctions.udf.CIQ(A3558, "IQ_TOTAL_OUTSTANDING_FILING_DATE",IQ_FY-8))</f>
        <v>0</v>
      </c>
      <c r="J3559" s="17">
        <f>IF(A3566=A3567,_xll.ciqfunctions.udf.CIQ(A3558,"IQ_CASH_OPER",IQ_FY-9), _xll.ciqfunctions.udf.CIQ(A3558, "IQ_CASH_OPER",IQ_FY-8))</f>
        <v>0</v>
      </c>
      <c r="K3559" s="17">
        <f>IF(A3566=A3567,_xll.ciqfunctions.udf.CIQ(A3558,"IQ_CAPEX",IQ_FY-9), _xll.ciqfunctions.udf.CIQ(A3558, "IQ_CAPEX",IQ_FY-8))</f>
        <v>0</v>
      </c>
      <c r="L3559" s="15" t="e">
        <f t="shared" si="948"/>
        <v>#DIV/0!</v>
      </c>
      <c r="M3559" s="17">
        <f>IF(A3566=A3567,_xll.ciqfunctions.udf.CIQ(A3558,"IQ_TOTAL_DEBT_ISSUED",IQ_FY-9), _xll.ciqfunctions.udf.CIQ(A3558, "IQ_TOTAL_DEBT_ISSUED",IQ_FY-8))</f>
        <v>0</v>
      </c>
      <c r="N3559" s="17">
        <f>IF(A3566=A3567,_xll.ciqfunctions.udf.CIQ(A3558,"IQ_TOTAL_DEBT_REPAID",IQ_FY-9), _xll.ciqfunctions.udf.CIQ(A3558, "IQ_TOTAL_DEBT_REPAID",IQ_FY-8))</f>
        <v>0</v>
      </c>
      <c r="O3559" s="15" t="e">
        <f t="shared" si="949"/>
        <v>#DIV/0!</v>
      </c>
      <c r="P3559" s="15" t="e">
        <f t="shared" si="950"/>
        <v>#DIV/0!</v>
      </c>
      <c r="Q3559" s="25" t="s">
        <v>18</v>
      </c>
      <c r="R3559" s="39" t="s">
        <v>19</v>
      </c>
      <c r="S3559" s="1" t="e">
        <f>R3557/((AVERAGE(P3563:P3568))*(1+E3569)^3)</f>
        <v>#DIV/0!</v>
      </c>
      <c r="U3559" s="25" t="s">
        <v>48</v>
      </c>
      <c r="V3559" s="39" t="s">
        <v>19</v>
      </c>
      <c r="W3559" s="1" t="e">
        <f>V3557/((AVERAGE(P3563:P3568))*(1+E3569)^3)</f>
        <v>#DIV/0!</v>
      </c>
      <c r="Y3559" s="25" t="s">
        <v>39</v>
      </c>
      <c r="Z3559" s="39" t="s">
        <v>19</v>
      </c>
      <c r="AA3559" s="1" t="e">
        <f>Z3557/((AVERAGE(P3563:P3568))*(1+E3569)^3)</f>
        <v>#DIV/0!</v>
      </c>
    </row>
    <row r="3560" spans="1:27">
      <c r="B3560" s="13">
        <v>3</v>
      </c>
      <c r="C3560" s="14" t="s">
        <v>20</v>
      </c>
      <c r="D3560" s="15" t="e" cm="1">
        <f t="array" ref="D3560">_xlfn.SINGLE(IF(A3566=A3567,_xll.ciqfunctions.udf.CIQ(A3558,"IQ_TOTAL_REV",IQ_FY-8)/I3560, _xll.ciqfunctions.udf.CIQ(A3558, "IQ_TOTAL_REV",IQ_FY-7)/I3560))</f>
        <v>#DIV/0!</v>
      </c>
      <c r="E3560" s="16" t="e">
        <f t="shared" si="951"/>
        <v>#DIV/0!</v>
      </c>
      <c r="F3560" s="15">
        <f>IF(A3566=A3567,_xll.ciqfunctions.udf.CIQ(A3558,"IQ_DILUT_EPS_EXCL",IQ_FY-8), _xll.ciqfunctions.udf.CIQ(A3558, "IQ_DILUT_EPS_EXCL",IQ_FY-7))</f>
        <v>0</v>
      </c>
      <c r="G3560" s="15">
        <f>IF(A3566=A3567,_xll.ciqfunctions.udf.CIQ(A3558,"IQ_EBITDA_MARGIN",IQ_FY-8), _xll.ciqfunctions.udf.CIQ(A3558, "IQ_EBITDA_MARGIN",IQ_FY-7))</f>
        <v>0</v>
      </c>
      <c r="H3560" s="15" t="e">
        <f>IF(A3566=A3567,_xll.ciqfunctions.udf.CIQ(A3558,"IQ_TOTAL_DIV_PAID_CF",IQ_FY-8)/-I3560, _xll.ciqfunctions.udf.CIQ(A3558, "IQ_TOTAL_DIV_PAID_CF",IQ_FY-7)/-I3560)</f>
        <v>#DIV/0!</v>
      </c>
      <c r="I3560" s="17">
        <f>IF(A3566=A3567,_xll.ciqfunctions.udf.CIQ(A3558,"IQ_TOTAL_OUTSTANDING_FILING_DATE",IQ_FY-8), _xll.ciqfunctions.udf.CIQ(A3558, "IQ_TOTAL_OUTSTANDING_FILING_DATE",IQ_FY-7))</f>
        <v>0</v>
      </c>
      <c r="J3560" s="17">
        <f>IF(A3566=A3567,_xll.ciqfunctions.udf.CIQ(A3558,"IQ_CASH_OPER",IQ_FY-8), _xll.ciqfunctions.udf.CIQ(A3558, "IQ_CASH_OPER",IQ_FY-7))</f>
        <v>0</v>
      </c>
      <c r="K3560" s="17">
        <f>IF(A3566=A3567,_xll.ciqfunctions.udf.CIQ(A3558,"IQ_CAPEX",IQ_FY-8), _xll.ciqfunctions.udf.CIQ(A3558, "IQ_CAPEX",IQ_FY-7))</f>
        <v>0</v>
      </c>
      <c r="L3560" s="15" t="e">
        <f t="shared" si="948"/>
        <v>#DIV/0!</v>
      </c>
      <c r="M3560" s="17">
        <f>IF(A3566=A3567,_xll.ciqfunctions.udf.CIQ(A3558,"IQ_TOTAL_DEBT_ISSUED",IQ_FY-8), _xll.ciqfunctions.udf.CIQ(A3558, "IQ_TOTAL_DEBT_ISSUED",IQ_FY-7))</f>
        <v>0</v>
      </c>
      <c r="N3560" s="17">
        <f>IF(A3566=A3567,_xll.ciqfunctions.udf.CIQ(A3558,"IQ_TOTAL_DEBT_REPAID",IQ_FY-8), _xll.ciqfunctions.udf.CIQ(A3558, "IQ_TOTAL_DEBT_REPAID",IQ_FY-7))</f>
        <v>0</v>
      </c>
      <c r="O3560" s="15" t="e">
        <f t="shared" si="949"/>
        <v>#DIV/0!</v>
      </c>
      <c r="P3560" s="15" t="e">
        <f t="shared" si="950"/>
        <v>#DIV/0!</v>
      </c>
      <c r="Q3560" s="25" t="s">
        <v>21</v>
      </c>
      <c r="R3560" s="38" t="s">
        <v>49</v>
      </c>
      <c r="S3560" s="2">
        <f>(R3557*I3568)/1000</f>
        <v>5.2626834901000006</v>
      </c>
      <c r="U3560" s="25" t="s">
        <v>59</v>
      </c>
      <c r="V3560" s="38" t="s">
        <v>49</v>
      </c>
      <c r="W3560" s="2">
        <f>(V3557*I3568)/1000</f>
        <v>5.2626834901000006</v>
      </c>
      <c r="Y3560" s="25" t="s">
        <v>46</v>
      </c>
      <c r="Z3560" s="38" t="s">
        <v>49</v>
      </c>
      <c r="AA3560" s="2">
        <f>(Z3557*I3568)/1000</f>
        <v>5.2626834901000006</v>
      </c>
    </row>
    <row r="3561" spans="1:27">
      <c r="A3561" s="18"/>
      <c r="B3561" s="13">
        <v>4</v>
      </c>
      <c r="C3561" s="14" t="s">
        <v>22</v>
      </c>
      <c r="D3561" s="15" t="e" cm="1">
        <f t="array" ref="D3561">_xlfn.SINGLE(IF(A3566=A3567,_xll.ciqfunctions.udf.CIQ(A3558,"IQ_TOTAL_REV",IQ_FY-7)/I3561, _xll.ciqfunctions.udf.CIQ(A3558, "IQ_TOTAL_REV",IQ_FY-6)/I3561))</f>
        <v>#DIV/0!</v>
      </c>
      <c r="E3561" s="16" t="e">
        <f t="shared" si="951"/>
        <v>#DIV/0!</v>
      </c>
      <c r="F3561" s="15">
        <f>IF(A3566=A3567,_xll.ciqfunctions.udf.CIQ(A3558,"IQ_DILUT_EPS_EXCL",IQ_FY-7), _xll.ciqfunctions.udf.CIQ(A3558, "IQ_DILUT_EPS_EXCL",IQ_FY-6))</f>
        <v>0</v>
      </c>
      <c r="G3561" s="15">
        <f>IF(A3566=A3567,_xll.ciqfunctions.udf.CIQ(A3558,"IQ_EBITDA_MARGIN",IQ_FY-7), _xll.ciqfunctions.udf.CIQ(A3558, "IQ_EBITDA_MARGIN",IQ_FY-6))</f>
        <v>0</v>
      </c>
      <c r="H3561" s="15" t="e">
        <f>IF(A3566=A3567,_xll.ciqfunctions.udf.CIQ(A3558,"IQ_TOTAL_DIV_PAID_CF",IQ_FY-7)/-I3561, _xll.ciqfunctions.udf.CIQ(A3558, "IQ_TOTAL_DIV_PAID_CF",IQ_FY-6)/-I3561)</f>
        <v>#DIV/0!</v>
      </c>
      <c r="I3561" s="17">
        <f>IF(A3566=A3567,_xll.ciqfunctions.udf.CIQ(A3558,"IQ_TOTAL_OUTSTANDING_FILING_DATE",IQ_FY-7), _xll.ciqfunctions.udf.CIQ(A3558, "IQ_TOTAL_OUTSTANDING_FILING_DATE",IQ_FY-6))</f>
        <v>0</v>
      </c>
      <c r="J3561" s="17">
        <f>IF(A3566=A3567,_xll.ciqfunctions.udf.CIQ(A3558,"IQ_CASH_OPER",IQ_FY-7), _xll.ciqfunctions.udf.CIQ(A3558, "IQ_CASH_OPER",IQ_FY-6))</f>
        <v>0</v>
      </c>
      <c r="K3561" s="17">
        <f>IF(A3566=A3567,_xll.ciqfunctions.udf.CIQ(A3558,"IQ_CAPEX",IQ_FY-7), _xll.ciqfunctions.udf.CIQ(A3558, "IQ_CAPEX",IQ_FY-6))</f>
        <v>0</v>
      </c>
      <c r="L3561" s="15" t="e">
        <f t="shared" si="948"/>
        <v>#DIV/0!</v>
      </c>
      <c r="M3561" s="17">
        <f>IF(A3566=A3567,_xll.ciqfunctions.udf.CIQ(A3558,"IQ_TOTAL_DEBT_ISSUED",IQ_FY-7), _xll.ciqfunctions.udf.CIQ(A3558, "IQ_TOTAL_DEBT_ISSUED",IQ_FY-6))</f>
        <v>0</v>
      </c>
      <c r="N3561" s="17">
        <f>IF(A3566=A3567,_xll.ciqfunctions.udf.CIQ(A3558,"IQ_TOTAL_DEBT_REPAID",IQ_FY-7), _xll.ciqfunctions.udf.CIQ(A3558, "IQ_TOTAL_DEBT_REPAID",IQ_FY-6))</f>
        <v>0</v>
      </c>
      <c r="O3561" s="15" t="e">
        <f t="shared" si="949"/>
        <v>#DIV/0!</v>
      </c>
      <c r="P3561" s="15" t="e">
        <f t="shared" si="950"/>
        <v>#DIV/0!</v>
      </c>
      <c r="Q3561" s="25" t="s">
        <v>23</v>
      </c>
      <c r="R3561" s="38" t="s">
        <v>24</v>
      </c>
      <c r="S3561" s="1" t="e">
        <f>R3557/(AVERAGE(H3563:H3568)*(1+H3569)/(0.5-H3569))</f>
        <v>#DIV/0!</v>
      </c>
      <c r="U3561" s="25" t="s">
        <v>40</v>
      </c>
      <c r="V3561" s="38" t="s">
        <v>24</v>
      </c>
      <c r="W3561" s="1" t="e">
        <f>V3557/(AVERAGE(H3563:H3568)*(1+H3569)/(0.5-H3569))</f>
        <v>#DIV/0!</v>
      </c>
      <c r="Y3561" s="25" t="s">
        <v>47</v>
      </c>
      <c r="Z3561" s="38" t="s">
        <v>24</v>
      </c>
      <c r="AA3561" s="1" t="e">
        <f>Z3557/(AVERAGE(H3563:H3568)*(1+H3569)/(0.5-H3569))</f>
        <v>#DIV/0!</v>
      </c>
    </row>
    <row r="3562" spans="1:27">
      <c r="B3562" s="13">
        <v>5</v>
      </c>
      <c r="C3562" s="14" t="s">
        <v>25</v>
      </c>
      <c r="D3562" s="15" t="e" cm="1">
        <f t="array" ref="D3562">_xlfn.SINGLE(IF(A3566=A3567,_xll.ciqfunctions.udf.CIQ(A3558,"IQ_TOTAL_REV",IQ_FY-6)/I3562, _xll.ciqfunctions.udf.CIQ(A3558, "IQ_TOTAL_REV",IQ_FY-5)/I3562))</f>
        <v>#DIV/0!</v>
      </c>
      <c r="E3562" s="16" t="e">
        <f t="shared" si="951"/>
        <v>#DIV/0!</v>
      </c>
      <c r="F3562" s="15">
        <f>IF(A3566=A3567,_xll.ciqfunctions.udf.CIQ(A3558,"IQ_DILUT_EPS_EXCL",IQ_FY-6), _xll.ciqfunctions.udf.CIQ(A3558, "IQ_DILUT_EPS_EXCL",IQ_FY-5))</f>
        <v>0</v>
      </c>
      <c r="G3562" s="15">
        <f>IF(A3566=A3567,_xll.ciqfunctions.udf.CIQ(A3558,"IQ_EBITDA_MARGIN",IQ_FY-6), _xll.ciqfunctions.udf.CIQ(A3558, "IQ_EBITDA_MARGIN",IQ_FY-5))</f>
        <v>0</v>
      </c>
      <c r="H3562" s="15" t="e">
        <f>IF(A3566=A3567,_xll.ciqfunctions.udf.CIQ(A3558,"IQ_TOTAL_DIV_PAID_CF",IQ_FY-6)/-I3562, _xll.ciqfunctions.udf.CIQ(A3558, "IQ_TOTAL_DIV_PAID_CF",IQ_FY-5)/-I3562)</f>
        <v>#DIV/0!</v>
      </c>
      <c r="I3562" s="17">
        <f>IF(A3566=A3567,_xll.ciqfunctions.udf.CIQ(A3558,"IQ_TOTAL_OUTSTANDING_FILING_DATE",IQ_FY-6), _xll.ciqfunctions.udf.CIQ(A3558, "IQ_TOTAL_OUTSTANDING_FILING_DATE",IQ_FY-5))</f>
        <v>0</v>
      </c>
      <c r="J3562" s="17">
        <f>IF(A3566=A3567,_xll.ciqfunctions.udf.CIQ(A3558,"IQ_CASH_OPER",IQ_FY-6), _xll.ciqfunctions.udf.CIQ(A3558, "IQ_CASH_OPER",IQ_FY-5))</f>
        <v>0</v>
      </c>
      <c r="K3562" s="17">
        <f>IF(A3566=A3567,_xll.ciqfunctions.udf.CIQ(A3558,"IQ_CAPEX",IQ_FY-6), _xll.ciqfunctions.udf.CIQ(A3558, "IQ_CAPEX",IQ_FY-5))</f>
        <v>0</v>
      </c>
      <c r="L3562" s="15" t="e">
        <f t="shared" si="948"/>
        <v>#DIV/0!</v>
      </c>
      <c r="M3562" s="17">
        <f>IF(A3566=A3567,_xll.ciqfunctions.udf.CIQ(A3558,"IQ_TOTAL_DEBT_ISSUED",IQ_FY-6), _xll.ciqfunctions.udf.CIQ(A3558, "IQ_TOTAL_DEBT_ISSUED",IQ_FY-5))</f>
        <v>0</v>
      </c>
      <c r="N3562" s="17">
        <f>IF(A3566=A3567,_xll.ciqfunctions.udf.CIQ(A3558,"IQ_TOTAL_DEBT_REPAID",IQ_FY-6), _xll.ciqfunctions.udf.CIQ(A3558, "IQ_TOTAL_DEBT_REPAID",IQ_FY-5))</f>
        <v>0</v>
      </c>
      <c r="O3562" s="15" t="e">
        <f t="shared" si="949"/>
        <v>#DIV/0!</v>
      </c>
      <c r="P3562" s="15" t="e">
        <f t="shared" si="950"/>
        <v>#DIV/0!</v>
      </c>
      <c r="Q3562" s="18"/>
      <c r="R3562" s="38" t="s">
        <v>50</v>
      </c>
      <c r="S3562" s="3" t="e">
        <f>I3569</f>
        <v>#DIV/0!</v>
      </c>
      <c r="U3562" s="18"/>
      <c r="V3562" s="38" t="s">
        <v>50</v>
      </c>
      <c r="W3562" s="3" t="e">
        <f>I3569</f>
        <v>#DIV/0!</v>
      </c>
      <c r="Y3562" s="18"/>
      <c r="Z3562" s="38" t="s">
        <v>50</v>
      </c>
      <c r="AA3562" s="3" t="e">
        <f>I3569</f>
        <v>#DIV/0!</v>
      </c>
    </row>
    <row r="3563" spans="1:27">
      <c r="B3563" s="13">
        <v>6</v>
      </c>
      <c r="C3563" s="14" t="s">
        <v>26</v>
      </c>
      <c r="D3563" s="15" t="e" cm="1">
        <f t="array" ref="D3563">_xlfn.SINGLE(IF(A3566=A3567,_xll.ciqfunctions.udf.CIQ(A3558,"IQ_TOTAL_REV",IQ_FY-5)/I3563, _xll.ciqfunctions.udf.CIQ(A3558, "IQ_TOTAL_REV",IQ_FY-4)/I3563))</f>
        <v>#DIV/0!</v>
      </c>
      <c r="E3563" s="16" t="e">
        <f t="shared" si="951"/>
        <v>#DIV/0!</v>
      </c>
      <c r="F3563" s="15">
        <f>IF(A3566=A3567,_xll.ciqfunctions.udf.CIQ(A3558,"IQ_DILUT_EPS_EXCL",IQ_FY-5), _xll.ciqfunctions.udf.CIQ(A3558, "IQ_DILUT_EPS_EXCL",IQ_FY-4))</f>
        <v>0</v>
      </c>
      <c r="G3563" s="15">
        <f>IF(A3566=A3567,_xll.ciqfunctions.udf.CIQ(A3558,"IQ_EBITDA_MARGIN",IQ_FY-5), _xll.ciqfunctions.udf.CIQ(A3558, "IQ_EBITDA_MARGIN",IQ_FY-4))</f>
        <v>0</v>
      </c>
      <c r="H3563" s="15" t="e">
        <f>IF(A3566=A3567,_xll.ciqfunctions.udf.CIQ(A3558,"IQ_TOTAL_DIV_PAID_CF",IQ_FY-5)/-I3563, _xll.ciqfunctions.udf.CIQ(A3558, "IQ_TOTAL_DIV_PAID_CF",IQ_FY-4)/-I3563)</f>
        <v>#DIV/0!</v>
      </c>
      <c r="I3563" s="17">
        <f>IF(A3566=A3567,_xll.ciqfunctions.udf.CIQ(A3558,"IQ_TOTAL_OUTSTANDING_FILING_DATE",IQ_FY-5), _xll.ciqfunctions.udf.CIQ(A3558, "IQ_TOTAL_OUTSTANDING_FILING_DATE",IQ_FY-4))</f>
        <v>0</v>
      </c>
      <c r="J3563" s="17">
        <f>IF(A3566=A3567,_xll.ciqfunctions.udf.CIQ(A3558,"IQ_CASH_OPER",IQ_FY-5), _xll.ciqfunctions.udf.CIQ(A3558, "IQ_CASH_OPER",IQ_FY-4))</f>
        <v>0</v>
      </c>
      <c r="K3563" s="17">
        <f>IF(A3566=A3567,_xll.ciqfunctions.udf.CIQ(A3558,"IQ_CAPEX",IQ_FY-5), _xll.ciqfunctions.udf.CIQ(A3558, "IQ_CAPEX",IQ_FY-4))</f>
        <v>0</v>
      </c>
      <c r="L3563" s="15" t="e">
        <f t="shared" si="948"/>
        <v>#DIV/0!</v>
      </c>
      <c r="M3563" s="17">
        <f>IF(A3566=A3567,_xll.ciqfunctions.udf.CIQ(A3558,"IQ_TOTAL_DEBT_ISSUED",IQ_FY-5), _xll.ciqfunctions.udf.CIQ(A3558, "IQ_TOTAL_DEBT_ISSUED",IQ_FY-4))</f>
        <v>0</v>
      </c>
      <c r="N3563" s="17">
        <f>IF(A3566=A3567,_xll.ciqfunctions.udf.CIQ(A3558,"IQ_TOTAL_DEBT_REPAID",IQ_FY-5), _xll.ciqfunctions.udf.CIQ(A3558, "IQ_TOTAL_DEBT_REPAID",IQ_FY-4))</f>
        <v>0</v>
      </c>
      <c r="O3563" s="15" t="e">
        <f t="shared" si="949"/>
        <v>#DIV/0!</v>
      </c>
      <c r="P3563" s="15" t="e">
        <f t="shared" si="950"/>
        <v>#DIV/0!</v>
      </c>
      <c r="Q3563" s="25" t="s">
        <v>27</v>
      </c>
      <c r="R3563" s="38" t="s">
        <v>51</v>
      </c>
      <c r="S3563" s="4" t="e">
        <f>AVERAGE(F3563:F3568)/AVERAGE(D3563:D3568)</f>
        <v>#DIV/0!</v>
      </c>
      <c r="U3563" s="25" t="s">
        <v>58</v>
      </c>
      <c r="V3563" s="38" t="s">
        <v>51</v>
      </c>
      <c r="W3563" s="4" t="e">
        <f>AVERAGE(F3563:F3568)/AVERAGE(D3563:D3568)</f>
        <v>#DIV/0!</v>
      </c>
      <c r="Y3563" s="25" t="s">
        <v>56</v>
      </c>
      <c r="Z3563" s="38" t="s">
        <v>51</v>
      </c>
      <c r="AA3563" s="4" t="e">
        <f>AVERAGE(F3563:F3568)/AVERAGE(D3563:D3568)</f>
        <v>#DIV/0!</v>
      </c>
    </row>
    <row r="3564" spans="1:27">
      <c r="A3564" s="18"/>
      <c r="B3564" s="13">
        <v>7</v>
      </c>
      <c r="C3564" s="14" t="s">
        <v>28</v>
      </c>
      <c r="D3564" s="15" cm="1">
        <f t="array" ref="D3564">_xlfn.SINGLE(IF(A3566=A3567,_xll.ciqfunctions.udf.CIQ(A3558,"IQ_TOTAL_REV",IQ_FY-4)/I3564, _xll.ciqfunctions.udf.CIQ(A3558, "IQ_TOTAL_REV",IQ_FY-3)/I3564))</f>
        <v>5.952436839829514</v>
      </c>
      <c r="E3564" s="16" t="e">
        <f t="shared" si="951"/>
        <v>#DIV/0!</v>
      </c>
      <c r="F3564" s="15">
        <f>IF(A3566=A3567,_xll.ciqfunctions.udf.CIQ(A3558,"IQ_DILUT_EPS_EXCL",IQ_FY-4), _xll.ciqfunctions.udf.CIQ(A3558, "IQ_DILUT_EPS_EXCL",IQ_FY-3))</f>
        <v>-1.9649099999999999</v>
      </c>
      <c r="G3564" s="15">
        <f>IF(A3566=A3567,_xll.ciqfunctions.udf.CIQ(A3558,"IQ_EBITDA_MARGIN",IQ_FY-4), _xll.ciqfunctions.udf.CIQ(A3558, "IQ_EBITDA_MARGIN",IQ_FY-3))</f>
        <v>-34.232700000000001</v>
      </c>
      <c r="H3564" s="15">
        <f>IF(A3566=A3567,_xll.ciqfunctions.udf.CIQ(A3558,"IQ_TOTAL_DIV_PAID_CF",IQ_FY-4)/-I3564, _xll.ciqfunctions.udf.CIQ(A3558, "IQ_TOTAL_DIV_PAID_CF",IQ_FY-3)/-I3564)</f>
        <v>0</v>
      </c>
      <c r="I3564" s="17">
        <f>IF(A3566=A3567,_xll.ciqfunctions.udf.CIQ(A3558,"IQ_TOTAL_OUTSTANDING_FILING_DATE",IQ_FY-4), _xll.ciqfunctions.udf.CIQ(A3558, "IQ_TOTAL_OUTSTANDING_FILING_DATE",IQ_FY-3))</f>
        <v>16.189</v>
      </c>
      <c r="J3564" s="17">
        <f>IF(A3566=A3567,_xll.ciqfunctions.udf.CIQ(A3558,"IQ_CASH_OPER",IQ_FY-4), _xll.ciqfunctions.udf.CIQ(A3558, "IQ_CASH_OPER",IQ_FY-3))</f>
        <v>-7.3650000000000002</v>
      </c>
      <c r="K3564" s="17">
        <f>IF(A3566=A3567,_xll.ciqfunctions.udf.CIQ(A3558,"IQ_CAPEX",IQ_FY-4), _xll.ciqfunctions.udf.CIQ(A3558, "IQ_CAPEX",IQ_FY-3))</f>
        <v>-1.724</v>
      </c>
      <c r="L3564" s="15">
        <f t="shared" si="948"/>
        <v>-0.56143060102538767</v>
      </c>
      <c r="M3564" s="17">
        <f>IF(A3566=A3567,_xll.ciqfunctions.udf.CIQ(A3558,"IQ_TOTAL_DEBT_ISSUED",IQ_FY-4), _xll.ciqfunctions.udf.CIQ(A3558, "IQ_TOTAL_DEBT_ISSUED",IQ_FY-3))</f>
        <v>0</v>
      </c>
      <c r="N3564" s="17">
        <f>IF(A3566=A3567,_xll.ciqfunctions.udf.CIQ(A3558,"IQ_TOTAL_DEBT_REPAID",IQ_FY-4), _xll.ciqfunctions.udf.CIQ(A3558, "IQ_TOTAL_DEBT_REPAID",IQ_FY-3))</f>
        <v>0</v>
      </c>
      <c r="O3564" s="15">
        <f t="shared" si="949"/>
        <v>0</v>
      </c>
      <c r="P3564" s="15">
        <f t="shared" si="950"/>
        <v>-0.56143060102538767</v>
      </c>
      <c r="Q3564" s="18"/>
      <c r="R3564" s="38" t="s">
        <v>29</v>
      </c>
      <c r="S3564" s="4" t="e">
        <f>(AVERAGE(P3563:P3568)/_xlfn.STDEV.P(P3563:P3568))/(IF(A3566=A3567,(_xlfn.SINGLE(_xll.ciqfunctions.udf.CIQ(A3558,"IQ_total_assets",IQ_FY)) - _xlfn.SINGLE(_xll.ciqfunctions.udf.CIQ(A3558,"iq_gw_intan", IQ_FY)))/I3568, (_xlfn.SINGLE(_xll.ciqfunctions.udf.CIQ(A3558, "IQ_total_assets",IQ_LTM))-_xlfn.SINGLE(_xll.ciqfunctions.udf.CIQ(A3558,"iq_gw_intan",IQ_LTM)))/I3568))</f>
        <v>#DIV/0!</v>
      </c>
      <c r="U3564" s="18"/>
      <c r="V3564" s="38" t="s">
        <v>29</v>
      </c>
      <c r="W3564" s="4" t="e">
        <f>(AVERAGE(P3563:P3568)/_xlfn.STDEV.P(P3563:P3568))/(IF(A3566=A3567,(_xlfn.SINGLE(_xll.ciqfunctions.udf.CIQ(A3558,"IQ_total_assets",IQ_FY)) - _xlfn.SINGLE(_xll.ciqfunctions.udf.CIQ(A3558,"iq_gw_intan", IQ_FY)))/I3568, (_xlfn.SINGLE(_xll.ciqfunctions.udf.CIQ(A3558, "IQ_total_assets",IQ_LTM))-_xlfn.SINGLE(_xll.ciqfunctions.udf.CIQ(A3558,"iq_gw_intan",IQ_LTM)))/I3568))</f>
        <v>#DIV/0!</v>
      </c>
      <c r="Y3564" s="18"/>
      <c r="Z3564" s="38" t="s">
        <v>29</v>
      </c>
      <c r="AA3564" s="4" t="e">
        <f>(AVERAGE(P3563:P3568)/_xlfn.STDEV.P(P3563:P3568))/(IF(A3566=A3567,(_xlfn.SINGLE(_xll.ciqfunctions.udf.CIQ(A3558,"IQ_total_assets",IQ_FY)) - _xlfn.SINGLE(_xll.ciqfunctions.udf.CIQ(A3558,"iq_gw_intan", IQ_FY)))/I3568, (_xlfn.SINGLE(_xll.ciqfunctions.udf.CIQ(A3558, "IQ_total_assets",IQ_LTM))-_xlfn.SINGLE(_xll.ciqfunctions.udf.CIQ(A3558,"iq_gw_intan",IQ_LTM)))/I3568))</f>
        <v>#DIV/0!</v>
      </c>
    </row>
    <row r="3565" spans="1:27">
      <c r="A3565" s="18"/>
      <c r="B3565" s="13">
        <v>8</v>
      </c>
      <c r="C3565" s="14" t="s">
        <v>30</v>
      </c>
      <c r="D3565" s="15" cm="1">
        <f t="array" ref="D3565">_xlfn.SINGLE(IF(A3566=A3567,_xll.ciqfunctions.udf.CIQ(A3558,"IQ_TOTAL_REV",IQ_FY-3)/I3565, _xll.ciqfunctions.udf.CIQ(A3558, "IQ_TOTAL_REV",IQ_FY-2)/I3565))</f>
        <v>7.2706650297814992</v>
      </c>
      <c r="E3565" s="16">
        <f t="shared" si="951"/>
        <v>0.22146025660135205</v>
      </c>
      <c r="F3565" s="15">
        <f>IF(A3566=A3567,_xll.ciqfunctions.udf.CIQ(A3558,"IQ_DILUT_EPS_EXCL",IQ_FY-3), _xll.ciqfunctions.udf.CIQ(A3558, "IQ_DILUT_EPS_EXCL",IQ_FY-2))</f>
        <v>-1.76675</v>
      </c>
      <c r="G3565" s="15">
        <f>IF(A3566=A3567,_xll.ciqfunctions.udf.CIQ(A3558,"IQ_EBITDA_MARGIN",IQ_FY-3), _xll.ciqfunctions.udf.CIQ(A3558, "IQ_EBITDA_MARGIN",IQ_FY-2))</f>
        <v>-20.682300000000001</v>
      </c>
      <c r="H3565" s="15">
        <f>IF(A3566=A3567,_xll.ciqfunctions.udf.CIQ(A3558,"IQ_TOTAL_DIV_PAID_CF",IQ_FY-3)/-I3565, _xll.ciqfunctions.udf.CIQ(A3558, "IQ_TOTAL_DIV_PAID_CF",IQ_FY-2)/-I3565)</f>
        <v>0</v>
      </c>
      <c r="I3565" s="17">
        <f>IF(A3566=A3567,_xll.ciqfunctions.udf.CIQ(A3558,"IQ_TOTAL_OUTSTANDING_FILING_DATE",IQ_FY-3), _xll.ciqfunctions.udf.CIQ(A3558, "IQ_TOTAL_OUTSTANDING_FILING_DATE",IQ_FY-2))</f>
        <v>20.657119999999999</v>
      </c>
      <c r="J3565" s="17">
        <f>IF(A3566=A3567,_xll.ciqfunctions.udf.CIQ(A3558,"IQ_CASH_OPER",IQ_FY-3), _xll.ciqfunctions.udf.CIQ(A3558, "IQ_CASH_OPER",IQ_FY-2))</f>
        <v>-6.08</v>
      </c>
      <c r="K3565" s="17">
        <f>IF(A3566=A3567,_xll.ciqfunctions.udf.CIQ(A3558,"IQ_CAPEX",IQ_FY-3), _xll.ciqfunctions.udf.CIQ(A3558, "IQ_CAPEX",IQ_FY-2))</f>
        <v>-2.4660000000000002</v>
      </c>
      <c r="L3565" s="15">
        <f t="shared" si="948"/>
        <v>-0.41370723508407753</v>
      </c>
      <c r="M3565" s="17">
        <f>IF(A3566=A3567,_xll.ciqfunctions.udf.CIQ(A3558,"IQ_TOTAL_DEBT_ISSUED",IQ_FY-3), _xll.ciqfunctions.udf.CIQ(A3558, "IQ_TOTAL_DEBT_ISSUED",IQ_FY-2))</f>
        <v>0</v>
      </c>
      <c r="N3565" s="17">
        <f>IF(A3566=A3567,_xll.ciqfunctions.udf.CIQ(A3558,"IQ_TOTAL_DEBT_REPAID",IQ_FY-3), _xll.ciqfunctions.udf.CIQ(A3558, "IQ_TOTAL_DEBT_REPAID",IQ_FY-2))</f>
        <v>0</v>
      </c>
      <c r="O3565" s="15">
        <f t="shared" si="949"/>
        <v>0</v>
      </c>
      <c r="P3565" s="15">
        <f t="shared" si="950"/>
        <v>-0.41370723508407753</v>
      </c>
      <c r="Q3565" s="18"/>
      <c r="R3565" s="39" t="s">
        <v>31</v>
      </c>
      <c r="S3565" s="5" t="e">
        <f>IF(NOT(D3558&gt;0),FALSE,SLOPE(G3558:G3568,B3558:B3568))</f>
        <v>#DIV/0!</v>
      </c>
      <c r="U3565" s="18"/>
      <c r="V3565" s="39" t="s">
        <v>31</v>
      </c>
      <c r="W3565" s="5" t="e">
        <f>IF(NOT(D3558&gt;0),FALSE,SLOPE(G3558:G3568,B3558:B3568))</f>
        <v>#DIV/0!</v>
      </c>
      <c r="Y3565" s="18"/>
      <c r="Z3565" s="39" t="s">
        <v>31</v>
      </c>
      <c r="AA3565" s="5" t="e">
        <f>IF(NOT(L3558&gt;0),FALSE,SLOPE(O3558:O3568,J3558:J3568))</f>
        <v>#DIV/0!</v>
      </c>
    </row>
    <row r="3566" spans="1:27">
      <c r="A3566" s="19">
        <f>_xll.ciqfunctions.udf.CIQ(A3558,"IQ_TOTAL_REV",IQ_FY)</f>
        <v>355.42599999999999</v>
      </c>
      <c r="B3566" s="13">
        <v>9</v>
      </c>
      <c r="C3566" s="14" t="s">
        <v>32</v>
      </c>
      <c r="D3566" s="15" cm="1">
        <f t="array" ref="D3566">_xlfn.SINGLE(IF(A3566=A3567,_xll.ciqfunctions.udf.CIQ(A3558,"IQ_TOTAL_REV",IQ_FY-2)/I3566, _xll.ciqfunctions.udf.CIQ(A3558, "IQ_TOTAL_REV",IQ_FY-1)/I3566))</f>
        <v>2.5531316527187498</v>
      </c>
      <c r="E3566" s="16">
        <f t="shared" si="951"/>
        <v>-0.64884482474975502</v>
      </c>
      <c r="F3566" s="15">
        <f>IF(A3566=A3567,_xll.ciqfunctions.udf.CIQ(A3558,"IQ_DILUT_EPS_EXCL",IQ_FY-2), _xll.ciqfunctions.udf.CIQ(A3558, "IQ_DILUT_EPS_EXCL",IQ_FY-1))</f>
        <v>-2.1984400000000002</v>
      </c>
      <c r="G3566" s="15">
        <f>IF(A3566=A3567,_xll.ciqfunctions.udf.CIQ(A3558,"IQ_EBITDA_MARGIN",IQ_FY-2), _xll.ciqfunctions.udf.CIQ(A3558, "IQ_EBITDA_MARGIN",IQ_FY-1))</f>
        <v>-32.196100000000001</v>
      </c>
      <c r="H3566" s="15">
        <f>IF(A3566=A3567,_xll.ciqfunctions.udf.CIQ(A3558,"IQ_TOTAL_DIV_PAID_CF",IQ_FY-2)/-I3566, _xll.ciqfunctions.udf.CIQ(A3558, "IQ_TOTAL_DIV_PAID_CF",IQ_FY-1)/-I3566)</f>
        <v>0</v>
      </c>
      <c r="I3566" s="17">
        <f>IF(A3566=A3567,_xll.ciqfunctions.udf.CIQ(A3558,"IQ_TOTAL_OUTSTANDING_FILING_DATE",IQ_FY-2), _xll.ciqfunctions.udf.CIQ(A3558, "IQ_TOTAL_OUTSTANDING_FILING_DATE",IQ_FY-1))</f>
        <v>93.232560000000007</v>
      </c>
      <c r="J3566" s="17">
        <f>IF(A3566=A3567,_xll.ciqfunctions.udf.CIQ(A3558,"IQ_CASH_OPER",IQ_FY-2), _xll.ciqfunctions.udf.CIQ(A3558, "IQ_CASH_OPER",IQ_FY-1))</f>
        <v>-35.398000000000003</v>
      </c>
      <c r="K3566" s="17">
        <f>IF(A3566=A3567,_xll.ciqfunctions.udf.CIQ(A3558,"IQ_CAPEX",IQ_FY-2), _xll.ciqfunctions.udf.CIQ(A3558, "IQ_CAPEX",IQ_FY-1))</f>
        <v>-2.31</v>
      </c>
      <c r="L3566" s="15">
        <f t="shared" si="948"/>
        <v>-0.40445097721225293</v>
      </c>
      <c r="M3566" s="17">
        <f>IF(A3566=A3567,_xll.ciqfunctions.udf.CIQ(A3558,"IQ_TOTAL_DEBT_ISSUED",IQ_FY-2), _xll.ciqfunctions.udf.CIQ(A3558, "IQ_TOTAL_DEBT_ISSUED",IQ_FY-1))</f>
        <v>0</v>
      </c>
      <c r="N3566" s="17">
        <f>IF(A3566=A3567,_xll.ciqfunctions.udf.CIQ(A3558,"IQ_TOTAL_DEBT_REPAID",IQ_FY-2), _xll.ciqfunctions.udf.CIQ(A3558, "IQ_TOTAL_DEBT_REPAID",IQ_FY-1))</f>
        <v>0</v>
      </c>
      <c r="O3566" s="15">
        <f t="shared" si="949"/>
        <v>0</v>
      </c>
      <c r="P3566" s="15">
        <f t="shared" si="950"/>
        <v>-0.40445097721225293</v>
      </c>
      <c r="Q3566" s="25" t="s">
        <v>33</v>
      </c>
      <c r="R3566" s="38" t="s">
        <v>52</v>
      </c>
      <c r="S3566" s="4" t="e">
        <f>(AVERAGE(O3563:O3568)/AVERAGE(P3563:P3568))</f>
        <v>#DIV/0!</v>
      </c>
      <c r="U3566" s="25" t="s">
        <v>54</v>
      </c>
      <c r="V3566" s="38" t="s">
        <v>52</v>
      </c>
      <c r="W3566" s="4" t="e">
        <f>(AVERAGE(O3563:O3568)/AVERAGE(P3563:P3568))</f>
        <v>#DIV/0!</v>
      </c>
      <c r="Y3566" s="25" t="s">
        <v>60</v>
      </c>
      <c r="Z3566" s="38" t="s">
        <v>52</v>
      </c>
      <c r="AA3566" s="4" t="e">
        <f>(AVERAGE(O3563:O3568)/AVERAGE(P3563:P3568))</f>
        <v>#DIV/0!</v>
      </c>
    </row>
    <row r="3567" spans="1:27">
      <c r="A3567" s="19">
        <f>_xll.ciqfunctions.udf.CIQ(A3558,"IQ_TOTAL_REV",IQ_LTM)</f>
        <v>408.68700000000001</v>
      </c>
      <c r="B3567" s="13">
        <v>10</v>
      </c>
      <c r="C3567" s="14" t="s">
        <v>34</v>
      </c>
      <c r="D3567" s="15" cm="1">
        <f t="array" ref="D3567">_xlfn.SINGLE(IF(A3566=A3567,_xll.ciqfunctions.udf.CIQ(A3558,"IQ_TOTAL_REV",IQ_FY-1)/I3567, _xll.ciqfunctions.udf.CIQ(A3558, "IQ_TOTAL_REV",IQ_FY)/I3567))</f>
        <v>3.6934272299981616</v>
      </c>
      <c r="E3567" s="16">
        <f t="shared" si="951"/>
        <v>0.44662623490846892</v>
      </c>
      <c r="F3567" s="15">
        <f>IF(A3566=A3567,_xll.ciqfunctions.udf.CIQ(A3558,"IQ_DILUT_EPS_EXCL",IQ_FY-1), _xll.ciqfunctions.udf.CIQ(A3558, "IQ_DILUT_EPS_EXCL",IQ_FY))</f>
        <v>-1.4694700000000001</v>
      </c>
      <c r="G3567" s="15">
        <f>IF(A3566=A3567,_xll.ciqfunctions.udf.CIQ(A3558,"IQ_EBITDA_MARGIN",IQ_FY-1), _xll.ciqfunctions.udf.CIQ(A3558, "IQ_EBITDA_MARGIN",IQ_FY))</f>
        <v>-41.196100000000001</v>
      </c>
      <c r="H3567" s="15">
        <f>IF(A3566=A3567,_xll.ciqfunctions.udf.CIQ(A3558,"IQ_TOTAL_DIV_PAID_CF",IQ_FY-1)/-I3567, _xll.ciqfunctions.udf.CIQ(A3558, "IQ_TOTAL_DIV_PAID_CF",IQ_FY)/-I3567)</f>
        <v>0</v>
      </c>
      <c r="I3567" s="17">
        <f>IF(A3566=A3567,_xll.ciqfunctions.udf.CIQ(A3558,"IQ_TOTAL_OUTSTANDING_FILING_DATE",IQ_FY-1), _xll.ciqfunctions.udf.CIQ(A3558, "IQ_TOTAL_OUTSTANDING_FILING_DATE",IQ_FY))</f>
        <v>96.232029999999995</v>
      </c>
      <c r="J3567" s="17">
        <f>IF(A3566=A3567,_xll.ciqfunctions.udf.CIQ(A3558,"IQ_CASH_OPER",IQ_FY-1), _xll.ciqfunctions.udf.CIQ(A3558, "IQ_CASH_OPER",IQ_FY))</f>
        <v>-22.308</v>
      </c>
      <c r="K3567" s="17">
        <f>IF(A3566=A3567,_xll.ciqfunctions.udf.CIQ(A3558,"IQ_CAPEX",IQ_FY-1), _xll.ciqfunctions.udf.CIQ(A3558, "IQ_CAPEX",IQ_FY))</f>
        <v>-15.446999999999999</v>
      </c>
      <c r="L3567" s="15">
        <f t="shared" si="948"/>
        <v>-0.39233298933837307</v>
      </c>
      <c r="M3567" s="17">
        <f>IF(A3566=A3567,_xll.ciqfunctions.udf.CIQ(A3558,"IQ_TOTAL_DEBT_ISSUED",IQ_FY-1), _xll.ciqfunctions.udf.CIQ(A3558, "IQ_TOTAL_DEBT_ISSUED",IQ_FY))</f>
        <v>0</v>
      </c>
      <c r="N3567" s="17">
        <f>IF(A3566=A3567,_xll.ciqfunctions.udf.CIQ(A3558,"IQ_TOTAL_DEBT_REPAID",IQ_FY-1), _xll.ciqfunctions.udf.CIQ(A3558, "IQ_TOTAL_DEBT_REPAID",IQ_FY))</f>
        <v>0</v>
      </c>
      <c r="O3567" s="15">
        <f t="shared" si="949"/>
        <v>0</v>
      </c>
      <c r="P3567" s="15">
        <f t="shared" si="950"/>
        <v>-0.39233298933837307</v>
      </c>
      <c r="Q3567" s="25" t="s">
        <v>44</v>
      </c>
      <c r="R3567" s="38" t="s">
        <v>35</v>
      </c>
      <c r="S3567" s="1" t="str">
        <f>_xll.ciqfunctions.udf.CIQ(A3558,"IQ_TEV_EBITDA")</f>
        <v>NM</v>
      </c>
      <c r="U3567" s="25" t="s">
        <v>55</v>
      </c>
      <c r="V3567" s="38" t="s">
        <v>53</v>
      </c>
      <c r="W3567" s="1" t="e">
        <f>V3557/(AVERAGE(D3563:D3568)/_xlfn.STDEV.P(E3563:E3568))</f>
        <v>#DIV/0!</v>
      </c>
      <c r="Y3567" s="25" t="s">
        <v>57</v>
      </c>
      <c r="Z3567" s="38" t="s">
        <v>53</v>
      </c>
      <c r="AA3567" s="1" t="e">
        <f>Z3557/(AVERAGE(D3563:D3568)/_xlfn.STDEV.P(E3563:E3568))</f>
        <v>#DIV/0!</v>
      </c>
    </row>
    <row r="3568" spans="1:27">
      <c r="B3568" s="13">
        <v>11</v>
      </c>
      <c r="C3568" s="20" t="s">
        <v>36</v>
      </c>
      <c r="D3568" s="21" cm="1">
        <f t="array" ref="D3568">_xlfn.SINGLE(IF(A3566=A3567,_xll.ciqfunctions.udf.CIQ(A3558,"IQ_TOTAL_REV",IQ_FY)/I3568, _xll.ciqfunctions.udf.CIQ(A3558, "IQ_TOTAL_REV",IQ_LTM)/I3568))</f>
        <v>4.1337103116544496</v>
      </c>
      <c r="E3568" s="22">
        <f t="shared" si="951"/>
        <v>0.11920719002672947</v>
      </c>
      <c r="F3568" s="21">
        <f>IF(A3566=A3567,_xll.ciqfunctions.udf.CIQ(A3558,"IQ_DILUT_EPS_EXCL",IQ_FY), _xll.ciqfunctions.udf.CIQ(A3558, "IQ_DILUT_EPS_EXCL",IQ_LTM))</f>
        <v>-1.423</v>
      </c>
      <c r="G3568" s="21">
        <f>IF(A3566=A3567,_xll.ciqfunctions.udf.CIQ(A3558,"IQ_EBITDA_MARGIN",IQ_FY), _xll.ciqfunctions.udf.CIQ(A3558, "IQ_EBITDA_MARGIN",IQ_LTM))</f>
        <v>-36.112400000000001</v>
      </c>
      <c r="H3568" s="21">
        <f>IF(A3566=A3567,_xll.ciqfunctions.udf.CIQ(A3558,"IQ_TOTAL_DIV_PAID_CF",IQ_FY)/-I3568, _xll.ciqfunctions.udf.CIQ(A3558, "IQ_TOTAL_DIV_PAID_CF",IQ_LTM)/-I3568)</f>
        <v>0</v>
      </c>
      <c r="I3568" s="23">
        <f>IF(A3566=A3567,_xll.ciqfunctions.udf.CIQ(A3558,"IQ_TOTAL_OUTSTANDING_FILING_DATE",IQ_FY),_xll.ciqfunctions.udf.CIQ(A3558,"IQ_sharesoutstanding"))</f>
        <v>98.866870000000006</v>
      </c>
      <c r="J3568" s="23">
        <f>IF(A3566=A3567,_xll.ciqfunctions.udf.CIQ(A3558,"IQ_CASH_OPER",IQ_FY), _xll.ciqfunctions.udf.CIQ(A3558, "IQ_CASH_OPER",IQ_LTM))</f>
        <v>-18.876000000000001</v>
      </c>
      <c r="K3568" s="23">
        <f>IF(A3566=A3567,_xll.ciqfunctions.udf.CIQ(A3558,"IQ_CAPEX",IQ_FY), _xll.ciqfunctions.udf.CIQ(A3558, "IQ_CAPEX",IQ_LTM))</f>
        <v>-6.03</v>
      </c>
      <c r="L3568" s="21">
        <f t="shared" si="948"/>
        <v>-0.25191451898902029</v>
      </c>
      <c r="M3568" s="23">
        <f>IF(A3566=A3567,_xll.ciqfunctions.udf.CIQ(A3558,"IQ_TOTAL_DEBT_ISSUED",IQ_FY), _xll.ciqfunctions.udf.CIQ(A3558, "IQ_TOTAL_DEBT_ISSUED",IQ_LTM))</f>
        <v>0</v>
      </c>
      <c r="N3568" s="23">
        <f>IF(A3566=A3567,_xll.ciqfunctions.udf.CIQ(A3558,"IQ_TOTAL_DEBT_REPAID",IQ_FY), _xll.ciqfunctions.udf.CIQ(A3558, "IQ_TOTAL_DEBT_REPAID",IQ_LTM))</f>
        <v>0</v>
      </c>
      <c r="O3568" s="21">
        <f t="shared" si="949"/>
        <v>0</v>
      </c>
      <c r="P3568" s="21">
        <f t="shared" si="950"/>
        <v>-0.25191451898902029</v>
      </c>
      <c r="Q3568" s="25" t="s">
        <v>45</v>
      </c>
      <c r="S3568" s="45"/>
      <c r="U3568" s="25"/>
      <c r="W3568" s="45"/>
      <c r="Y3568" s="25"/>
      <c r="AA3568" s="45"/>
    </row>
    <row r="3569" spans="1:27">
      <c r="B3569" s="24"/>
      <c r="C3569" s="25" t="s">
        <v>37</v>
      </c>
      <c r="E3569" s="26" t="e">
        <f>((D3568/D3563)^(1/5))-1</f>
        <v>#DIV/0!</v>
      </c>
      <c r="F3569" s="27" t="e">
        <f>((F3568/F3563)^(1/5))-1</f>
        <v>#DIV/0!</v>
      </c>
      <c r="G3569" s="28"/>
      <c r="H3569" s="27" t="e">
        <f>((H3568/H3563)^(1/5))-1</f>
        <v>#DIV/0!</v>
      </c>
      <c r="I3569" s="27" t="e">
        <f>((I3568/I3563)^(1/5))-1</f>
        <v>#DIV/0!</v>
      </c>
      <c r="J3569" s="27"/>
      <c r="K3569" s="27"/>
      <c r="L3569" s="26" t="e">
        <f>((L3568/L3563)^(1/5))-1</f>
        <v>#DIV/0!</v>
      </c>
      <c r="M3569" s="26"/>
      <c r="N3569" s="26"/>
      <c r="O3569" s="26"/>
      <c r="P3569" s="26" t="e">
        <f>((P3568/P3563)^(1/5))-1</f>
        <v>#DIV/0!</v>
      </c>
      <c r="Q3569" s="18"/>
      <c r="R3569" s="36"/>
      <c r="S3569" s="45"/>
      <c r="U3569" s="18"/>
      <c r="V3569" s="36"/>
      <c r="W3569" s="45"/>
      <c r="Y3569" s="18"/>
      <c r="Z3569" s="36"/>
      <c r="AA3569" s="45"/>
    </row>
    <row r="3570" spans="1:27">
      <c r="A3570" s="29"/>
      <c r="B3570" s="30"/>
      <c r="C3570" s="31" t="s">
        <v>38</v>
      </c>
      <c r="D3570" s="29"/>
      <c r="E3570" s="32" t="e">
        <f>((D3568/D3558)^(1/10))-1</f>
        <v>#DIV/0!</v>
      </c>
      <c r="F3570" s="33" t="e">
        <f>((F3568/F3558)^(1/10))-1</f>
        <v>#DIV/0!</v>
      </c>
      <c r="G3570" s="34"/>
      <c r="H3570" s="33" t="e">
        <f>((H3568/H3558)^(1/10))-1</f>
        <v>#DIV/0!</v>
      </c>
      <c r="I3570" s="33" t="e">
        <f>((I3568/I3558)^(1/10))-1</f>
        <v>#DIV/0!</v>
      </c>
      <c r="J3570" s="33"/>
      <c r="K3570" s="33"/>
      <c r="L3570" s="32" t="e">
        <f>((L3568/L3558)^(1/10))-1</f>
        <v>#DIV/0!</v>
      </c>
      <c r="M3570" s="32"/>
      <c r="N3570" s="32"/>
      <c r="O3570" s="32"/>
      <c r="P3570" s="32" t="e">
        <f>((P3568/P3558)^(1/10))-1</f>
        <v>#DIV/0!</v>
      </c>
      <c r="Q3570" s="40"/>
      <c r="R3570" s="41"/>
      <c r="S3570" s="46"/>
      <c r="U3570" s="40"/>
      <c r="V3570" s="41"/>
      <c r="W3570" s="46"/>
      <c r="Y3570" s="40"/>
      <c r="Z3570" s="41"/>
      <c r="AA3570" s="46"/>
    </row>
    <row r="3571" spans="1:27">
      <c r="B3571" s="24"/>
      <c r="C3571" s="25"/>
      <c r="E3571" s="26"/>
      <c r="F3571" s="27"/>
      <c r="G3571" s="28"/>
      <c r="H3571" s="27"/>
      <c r="I3571" s="27"/>
      <c r="J3571" s="27"/>
      <c r="K3571" s="27"/>
      <c r="L3571" s="26"/>
      <c r="M3571" s="17"/>
      <c r="N3571" s="17"/>
      <c r="O3571" s="17"/>
      <c r="P3571" s="35"/>
      <c r="Q3571" s="18"/>
      <c r="R3571" s="36"/>
    </row>
    <row r="3572" spans="1:27">
      <c r="A3572" s="9" t="s">
        <v>0</v>
      </c>
      <c r="B3572" s="10"/>
      <c r="C3572" s="9" t="s">
        <v>1</v>
      </c>
      <c r="D3572" s="9" t="s">
        <v>2</v>
      </c>
      <c r="E3572" s="9" t="s">
        <v>3</v>
      </c>
      <c r="F3572" s="11" t="s">
        <v>4</v>
      </c>
      <c r="G3572" s="11" t="s">
        <v>5</v>
      </c>
      <c r="H3572" s="9" t="s">
        <v>6</v>
      </c>
      <c r="I3572" s="11" t="s">
        <v>7</v>
      </c>
      <c r="J3572" s="11" t="s">
        <v>8</v>
      </c>
      <c r="K3572" s="11" t="s">
        <v>9</v>
      </c>
      <c r="L3572" s="11" t="s">
        <v>10</v>
      </c>
      <c r="M3572" s="11" t="s">
        <v>11</v>
      </c>
      <c r="N3572" s="11" t="s">
        <v>12</v>
      </c>
      <c r="O3572" s="11" t="s">
        <v>13</v>
      </c>
      <c r="P3572" s="11" t="s">
        <v>14</v>
      </c>
      <c r="Q3572" s="37" t="s">
        <v>15</v>
      </c>
      <c r="R3572" s="42">
        <f>_xll.ciqfunctions.udf.CIQ(A3573,("IQ_LASTSALEPRICE"))</f>
        <v>20.93</v>
      </c>
      <c r="S3572" s="44"/>
      <c r="U3572" s="37" t="s">
        <v>15</v>
      </c>
      <c r="V3572" s="42">
        <f>_xll.ciqfunctions.udf.CIQ(A3573,("IQ_LASTSALEPRICE"))</f>
        <v>20.93</v>
      </c>
      <c r="W3572" s="44"/>
      <c r="Y3572" s="37" t="s">
        <v>15</v>
      </c>
      <c r="Z3572" s="42">
        <f>_xll.ciqfunctions.udf.CIQ(A3573,("IQ_LASTSALEPRICE"))</f>
        <v>20.93</v>
      </c>
      <c r="AA3572" s="44"/>
    </row>
    <row r="3573" spans="1:27">
      <c r="A3573" s="12" t="str">
        <f>Analysis!B240</f>
        <v>NYSE:CWAN</v>
      </c>
      <c r="B3573" s="13">
        <v>1</v>
      </c>
      <c r="C3573" s="14" t="s">
        <v>16</v>
      </c>
      <c r="D3573" s="15" t="e">
        <f>IF(A3581=A3582,_xll.ciqfunctions.udf.CIQ(A3573,"IQ_TOTAL_REV",IQ_FY-10)/I3573,_xll.ciqfunctions.udf.CIQ(A3573, "IQ_TOTAL_REV",IQ_FY-9)/I3573)</f>
        <v>#DIV/0!</v>
      </c>
      <c r="E3573" s="16"/>
      <c r="F3573" s="15">
        <f>IF(A3581=A3582,_xll.ciqfunctions.udf.CIQ(A3573,"IQ_DILUT_EPS_EXCL",IQ_FY-10), _xll.ciqfunctions.udf.CIQ(A3573, "IQ_DILUT_EPS_EXCL",IQ_FY-9))</f>
        <v>0</v>
      </c>
      <c r="G3573" s="15">
        <f>IF(A3581=A3582,_xll.ciqfunctions.udf.CIQ(A3573,"IQ_EBITDA_MARGIN",IQ_FY-10), _xll.ciqfunctions.udf.CIQ(A3573, "IQ_EBITDA_MARGIN",IQ_FY-9))</f>
        <v>0</v>
      </c>
      <c r="H3573" s="15" t="e">
        <f>IF(A3581=A3582,_xll.ciqfunctions.udf.CIQ(A3573,"IQ_TOTAL_DIV_PAID_CF",IQ_FY-10)/-I3573, _xll.ciqfunctions.udf.CIQ(A3573, "IQ_TOTAL_DIV_PAID_CF",IQ_FY-9)/-I3573)</f>
        <v>#DIV/0!</v>
      </c>
      <c r="I3573" s="17">
        <f>IF(A3581=A3582,_xll.ciqfunctions.udf.CIQ(A3573,"IQ_TOTAL_OUTSTANDING_FILING_DATE",IQ_FY-10), _xll.ciqfunctions.udf.CIQ(A3573, "IQ_TOTAL_OUTSTANDING_FILING_DATE",IQ_FY-9))</f>
        <v>0</v>
      </c>
      <c r="J3573" s="17">
        <f>IF(A3581=A3582,_xll.ciqfunctions.udf.CIQ(A3573,"IQ_CASH_OPER",IQ_FY-10), _xll.ciqfunctions.udf.CIQ(A3573, "IQ_CASH_OPER",IQ_FY-9))</f>
        <v>0</v>
      </c>
      <c r="K3573" s="17">
        <f>IF(A3581=A3582,_xll.ciqfunctions.udf.CIQ(A3573,"IQ_CAPEX",IQ_FY-10), _xll.ciqfunctions.udf.CIQ(A3573, "IQ_CAPEX",IQ_FY-9))</f>
        <v>0</v>
      </c>
      <c r="L3573" s="15" t="e">
        <f t="shared" ref="L3573:L3583" si="952">(J3573+K3573)/I3573</f>
        <v>#DIV/0!</v>
      </c>
      <c r="M3573" s="17">
        <f>IF(A3581=A3582,_xll.ciqfunctions.udf.CIQ(A3573,"IQ_TOTAL_DEBT_ISSUED",IQ_FY-10), _xll.ciqfunctions.udf.CIQ(A3573, "IQ_TOTAL_DEBT_ISSUED",IQ_FY-9))</f>
        <v>0</v>
      </c>
      <c r="N3573" s="17">
        <f>IF(A3581=A3582,_xll.ciqfunctions.udf.CIQ(A3573,"IQ_TOTAL_DEBT_REPAID",IQ_FY-10), _xll.ciqfunctions.udf.CIQ(A3573, "IQ_TOTAL_DEBT_REPAID",IQ_FY-9))</f>
        <v>0</v>
      </c>
      <c r="O3573" s="15" t="e">
        <f t="shared" ref="O3573:O3583" si="953">(M3573+N3573)/I3573</f>
        <v>#DIV/0!</v>
      </c>
      <c r="P3573" s="15" t="e">
        <f t="shared" ref="P3573:P3583" si="954">L3573+O3573</f>
        <v>#DIV/0!</v>
      </c>
      <c r="W3573" s="43"/>
      <c r="AA3573" s="43"/>
    </row>
    <row r="3574" spans="1:27">
      <c r="A3574" s="18" t="str">
        <f>_xll.ciqfunctions.udf.CIQ(A3573,"IQ_COMPANY_NAME")</f>
        <v>Clearwater Analytics Holdings, Inc.</v>
      </c>
      <c r="B3574" s="13">
        <v>2</v>
      </c>
      <c r="C3574" s="14" t="s">
        <v>17</v>
      </c>
      <c r="D3574" s="15" t="e">
        <f>IF(A3581=A3582,_xll.ciqfunctions.udf.CIQ(A3573,"IQ_TOTAL_REV",IQ_FY-9)/I3574, _xll.ciqfunctions.udf.CIQ(A3573, "IQ_TOTAL_REV",IQ_FY-8)/I3574)</f>
        <v>#DIV/0!</v>
      </c>
      <c r="E3574" s="16" t="e">
        <f t="shared" ref="E3574:E3583" si="955">(D3574-D3573)/D3573</f>
        <v>#DIV/0!</v>
      </c>
      <c r="F3574" s="15">
        <f>IF(A3581=A3582,_xll.ciqfunctions.udf.CIQ(A3573,"IQ_DILUT_EPS_EXCL",IQ_FY-9), _xll.ciqfunctions.udf.CIQ(A3573, "IQ_DILUT_EPS_EXCL",IQ_FY-8))</f>
        <v>0</v>
      </c>
      <c r="G3574" s="15">
        <f>IF(A3581=A3582,_xll.ciqfunctions.udf.CIQ(A3573,"IQ_EBITDA_MARGIN",IQ_FY-9), _xll.ciqfunctions.udf.CIQ(A3573, "IQ_EBITDA_MARGIN",IQ_FY-8))</f>
        <v>0</v>
      </c>
      <c r="H3574" s="15" t="e">
        <f>IF(A3581=A3582,_xll.ciqfunctions.udf.CIQ(A3573,"IQ_TOTAL_DIV_PAID_CF",IQ_FY-9)/-I3574, _xll.ciqfunctions.udf.CIQ(A3573, "IQ_TOTAL_DIV_PAID_CF",IQ_FY-8)/-I3574)</f>
        <v>#DIV/0!</v>
      </c>
      <c r="I3574" s="17">
        <f>IF(A3581=A3582,_xll.ciqfunctions.udf.CIQ(A3573,"IQ_TOTAL_OUTSTANDING_FILING_DATE",IQ_FY-9), _xll.ciqfunctions.udf.CIQ(A3573, "IQ_TOTAL_OUTSTANDING_FILING_DATE",IQ_FY-8))</f>
        <v>0</v>
      </c>
      <c r="J3574" s="17">
        <f>IF(A3581=A3582,_xll.ciqfunctions.udf.CIQ(A3573,"IQ_CASH_OPER",IQ_FY-9), _xll.ciqfunctions.udf.CIQ(A3573, "IQ_CASH_OPER",IQ_FY-8))</f>
        <v>0</v>
      </c>
      <c r="K3574" s="17">
        <f>IF(A3581=A3582,_xll.ciqfunctions.udf.CIQ(A3573,"IQ_CAPEX",IQ_FY-9), _xll.ciqfunctions.udf.CIQ(A3573, "IQ_CAPEX",IQ_FY-8))</f>
        <v>0</v>
      </c>
      <c r="L3574" s="15" t="e">
        <f t="shared" si="952"/>
        <v>#DIV/0!</v>
      </c>
      <c r="M3574" s="17">
        <f>IF(A3581=A3582,_xll.ciqfunctions.udf.CIQ(A3573,"IQ_TOTAL_DEBT_ISSUED",IQ_FY-9), _xll.ciqfunctions.udf.CIQ(A3573, "IQ_TOTAL_DEBT_ISSUED",IQ_FY-8))</f>
        <v>0</v>
      </c>
      <c r="N3574" s="17">
        <f>IF(A3581=A3582,_xll.ciqfunctions.udf.CIQ(A3573,"IQ_TOTAL_DEBT_REPAID",IQ_FY-9), _xll.ciqfunctions.udf.CIQ(A3573, "IQ_TOTAL_DEBT_REPAID",IQ_FY-8))</f>
        <v>0</v>
      </c>
      <c r="O3574" s="15" t="e">
        <f t="shared" si="953"/>
        <v>#DIV/0!</v>
      </c>
      <c r="P3574" s="15" t="e">
        <f t="shared" si="954"/>
        <v>#DIV/0!</v>
      </c>
      <c r="Q3574" s="25" t="s">
        <v>18</v>
      </c>
      <c r="R3574" s="39" t="s">
        <v>19</v>
      </c>
      <c r="S3574" s="1" t="e">
        <f>R3572/((AVERAGE(P3578:P3583))*(1+E3584)^3)</f>
        <v>#DIV/0!</v>
      </c>
      <c r="U3574" s="25" t="s">
        <v>48</v>
      </c>
      <c r="V3574" s="39" t="s">
        <v>19</v>
      </c>
      <c r="W3574" s="1" t="e">
        <f>V3572/((AVERAGE(P3578:P3583))*(1+E3584)^3)</f>
        <v>#DIV/0!</v>
      </c>
      <c r="Y3574" s="25" t="s">
        <v>39</v>
      </c>
      <c r="Z3574" s="39" t="s">
        <v>19</v>
      </c>
      <c r="AA3574" s="1" t="e">
        <f>Z3572/((AVERAGE(P3578:P3583))*(1+E3584)^3)</f>
        <v>#DIV/0!</v>
      </c>
    </row>
    <row r="3575" spans="1:27">
      <c r="B3575" s="13">
        <v>3</v>
      </c>
      <c r="C3575" s="14" t="s">
        <v>20</v>
      </c>
      <c r="D3575" s="15" t="e" cm="1">
        <f t="array" ref="D3575">_xlfn.SINGLE(IF(A3581=A3582,_xll.ciqfunctions.udf.CIQ(A3573,"IQ_TOTAL_REV",IQ_FY-8)/I3575, _xll.ciqfunctions.udf.CIQ(A3573, "IQ_TOTAL_REV",IQ_FY-7)/I3575))</f>
        <v>#DIV/0!</v>
      </c>
      <c r="E3575" s="16" t="e">
        <f t="shared" si="955"/>
        <v>#DIV/0!</v>
      </c>
      <c r="F3575" s="15">
        <f>IF(A3581=A3582,_xll.ciqfunctions.udf.CIQ(A3573,"IQ_DILUT_EPS_EXCL",IQ_FY-8), _xll.ciqfunctions.udf.CIQ(A3573, "IQ_DILUT_EPS_EXCL",IQ_FY-7))</f>
        <v>0</v>
      </c>
      <c r="G3575" s="15">
        <f>IF(A3581=A3582,_xll.ciqfunctions.udf.CIQ(A3573,"IQ_EBITDA_MARGIN",IQ_FY-8), _xll.ciqfunctions.udf.CIQ(A3573, "IQ_EBITDA_MARGIN",IQ_FY-7))</f>
        <v>0</v>
      </c>
      <c r="H3575" s="15" t="e">
        <f>IF(A3581=A3582,_xll.ciqfunctions.udf.CIQ(A3573,"IQ_TOTAL_DIV_PAID_CF",IQ_FY-8)/-I3575, _xll.ciqfunctions.udf.CIQ(A3573, "IQ_TOTAL_DIV_PAID_CF",IQ_FY-7)/-I3575)</f>
        <v>#DIV/0!</v>
      </c>
      <c r="I3575" s="17">
        <f>IF(A3581=A3582,_xll.ciqfunctions.udf.CIQ(A3573,"IQ_TOTAL_OUTSTANDING_FILING_DATE",IQ_FY-8), _xll.ciqfunctions.udf.CIQ(A3573, "IQ_TOTAL_OUTSTANDING_FILING_DATE",IQ_FY-7))</f>
        <v>0</v>
      </c>
      <c r="J3575" s="17">
        <f>IF(A3581=A3582,_xll.ciqfunctions.udf.CIQ(A3573,"IQ_CASH_OPER",IQ_FY-8), _xll.ciqfunctions.udf.CIQ(A3573, "IQ_CASH_OPER",IQ_FY-7))</f>
        <v>0</v>
      </c>
      <c r="K3575" s="17">
        <f>IF(A3581=A3582,_xll.ciqfunctions.udf.CIQ(A3573,"IQ_CAPEX",IQ_FY-8), _xll.ciqfunctions.udf.CIQ(A3573, "IQ_CAPEX",IQ_FY-7))</f>
        <v>0</v>
      </c>
      <c r="L3575" s="15" t="e">
        <f t="shared" si="952"/>
        <v>#DIV/0!</v>
      </c>
      <c r="M3575" s="17">
        <f>IF(A3581=A3582,_xll.ciqfunctions.udf.CIQ(A3573,"IQ_TOTAL_DEBT_ISSUED",IQ_FY-8), _xll.ciqfunctions.udf.CIQ(A3573, "IQ_TOTAL_DEBT_ISSUED",IQ_FY-7))</f>
        <v>0</v>
      </c>
      <c r="N3575" s="17">
        <f>IF(A3581=A3582,_xll.ciqfunctions.udf.CIQ(A3573,"IQ_TOTAL_DEBT_REPAID",IQ_FY-8), _xll.ciqfunctions.udf.CIQ(A3573, "IQ_TOTAL_DEBT_REPAID",IQ_FY-7))</f>
        <v>0</v>
      </c>
      <c r="O3575" s="15" t="e">
        <f t="shared" si="953"/>
        <v>#DIV/0!</v>
      </c>
      <c r="P3575" s="15" t="e">
        <f t="shared" si="954"/>
        <v>#DIV/0!</v>
      </c>
      <c r="Q3575" s="25" t="s">
        <v>21</v>
      </c>
      <c r="R3575" s="38" t="s">
        <v>49</v>
      </c>
      <c r="S3575" s="2">
        <f>(R3572*I3583)/1000</f>
        <v>4.2512804606999994</v>
      </c>
      <c r="U3575" s="25" t="s">
        <v>59</v>
      </c>
      <c r="V3575" s="38" t="s">
        <v>49</v>
      </c>
      <c r="W3575" s="2">
        <f>(V3572*I3583)/1000</f>
        <v>4.2512804606999994</v>
      </c>
      <c r="Y3575" s="25" t="s">
        <v>46</v>
      </c>
      <c r="Z3575" s="38" t="s">
        <v>49</v>
      </c>
      <c r="AA3575" s="2">
        <f>(Z3572*I3583)/1000</f>
        <v>4.2512804606999994</v>
      </c>
    </row>
    <row r="3576" spans="1:27">
      <c r="A3576" s="18"/>
      <c r="B3576" s="13">
        <v>4</v>
      </c>
      <c r="C3576" s="14" t="s">
        <v>22</v>
      </c>
      <c r="D3576" s="15" t="e" cm="1">
        <f t="array" ref="D3576">_xlfn.SINGLE(IF(A3581=A3582,_xll.ciqfunctions.udf.CIQ(A3573,"IQ_TOTAL_REV",IQ_FY-7)/I3576, _xll.ciqfunctions.udf.CIQ(A3573, "IQ_TOTAL_REV",IQ_FY-6)/I3576))</f>
        <v>#DIV/0!</v>
      </c>
      <c r="E3576" s="16" t="e">
        <f t="shared" si="955"/>
        <v>#DIV/0!</v>
      </c>
      <c r="F3576" s="15">
        <f>IF(A3581=A3582,_xll.ciqfunctions.udf.CIQ(A3573,"IQ_DILUT_EPS_EXCL",IQ_FY-7), _xll.ciqfunctions.udf.CIQ(A3573, "IQ_DILUT_EPS_EXCL",IQ_FY-6))</f>
        <v>0</v>
      </c>
      <c r="G3576" s="15">
        <f>IF(A3581=A3582,_xll.ciqfunctions.udf.CIQ(A3573,"IQ_EBITDA_MARGIN",IQ_FY-7), _xll.ciqfunctions.udf.CIQ(A3573, "IQ_EBITDA_MARGIN",IQ_FY-6))</f>
        <v>0</v>
      </c>
      <c r="H3576" s="15" t="e">
        <f>IF(A3581=A3582,_xll.ciqfunctions.udf.CIQ(A3573,"IQ_TOTAL_DIV_PAID_CF",IQ_FY-7)/-I3576, _xll.ciqfunctions.udf.CIQ(A3573, "IQ_TOTAL_DIV_PAID_CF",IQ_FY-6)/-I3576)</f>
        <v>#DIV/0!</v>
      </c>
      <c r="I3576" s="17">
        <f>IF(A3581=A3582,_xll.ciqfunctions.udf.CIQ(A3573,"IQ_TOTAL_OUTSTANDING_FILING_DATE",IQ_FY-7), _xll.ciqfunctions.udf.CIQ(A3573, "IQ_TOTAL_OUTSTANDING_FILING_DATE",IQ_FY-6))</f>
        <v>0</v>
      </c>
      <c r="J3576" s="17">
        <f>IF(A3581=A3582,_xll.ciqfunctions.udf.CIQ(A3573,"IQ_CASH_OPER",IQ_FY-7), _xll.ciqfunctions.udf.CIQ(A3573, "IQ_CASH_OPER",IQ_FY-6))</f>
        <v>0</v>
      </c>
      <c r="K3576" s="17">
        <f>IF(A3581=A3582,_xll.ciqfunctions.udf.CIQ(A3573,"IQ_CAPEX",IQ_FY-7), _xll.ciqfunctions.udf.CIQ(A3573, "IQ_CAPEX",IQ_FY-6))</f>
        <v>0</v>
      </c>
      <c r="L3576" s="15" t="e">
        <f t="shared" si="952"/>
        <v>#DIV/0!</v>
      </c>
      <c r="M3576" s="17">
        <f>IF(A3581=A3582,_xll.ciqfunctions.udf.CIQ(A3573,"IQ_TOTAL_DEBT_ISSUED",IQ_FY-7), _xll.ciqfunctions.udf.CIQ(A3573, "IQ_TOTAL_DEBT_ISSUED",IQ_FY-6))</f>
        <v>0</v>
      </c>
      <c r="N3576" s="17">
        <f>IF(A3581=A3582,_xll.ciqfunctions.udf.CIQ(A3573,"IQ_TOTAL_DEBT_REPAID",IQ_FY-7), _xll.ciqfunctions.udf.CIQ(A3573, "IQ_TOTAL_DEBT_REPAID",IQ_FY-6))</f>
        <v>0</v>
      </c>
      <c r="O3576" s="15" t="e">
        <f t="shared" si="953"/>
        <v>#DIV/0!</v>
      </c>
      <c r="P3576" s="15" t="e">
        <f t="shared" si="954"/>
        <v>#DIV/0!</v>
      </c>
      <c r="Q3576" s="25" t="s">
        <v>23</v>
      </c>
      <c r="R3576" s="38" t="s">
        <v>24</v>
      </c>
      <c r="S3576" s="1" t="e">
        <f>R3572/(AVERAGE(H3578:H3583)*(1+H3584)/(0.5-H3584))</f>
        <v>#DIV/0!</v>
      </c>
      <c r="U3576" s="25" t="s">
        <v>40</v>
      </c>
      <c r="V3576" s="38" t="s">
        <v>24</v>
      </c>
      <c r="W3576" s="1" t="e">
        <f>V3572/(AVERAGE(H3578:H3583)*(1+H3584)/(0.5-H3584))</f>
        <v>#DIV/0!</v>
      </c>
      <c r="Y3576" s="25" t="s">
        <v>47</v>
      </c>
      <c r="Z3576" s="38" t="s">
        <v>24</v>
      </c>
      <c r="AA3576" s="1" t="e">
        <f>Z3572/(AVERAGE(H3578:H3583)*(1+H3584)/(0.5-H3584))</f>
        <v>#DIV/0!</v>
      </c>
    </row>
    <row r="3577" spans="1:27">
      <c r="B3577" s="13">
        <v>5</v>
      </c>
      <c r="C3577" s="14" t="s">
        <v>25</v>
      </c>
      <c r="D3577" s="15" t="e" cm="1">
        <f t="array" ref="D3577">_xlfn.SINGLE(IF(A3581=A3582,_xll.ciqfunctions.udf.CIQ(A3573,"IQ_TOTAL_REV",IQ_FY-6)/I3577, _xll.ciqfunctions.udf.CIQ(A3573, "IQ_TOTAL_REV",IQ_FY-5)/I3577))</f>
        <v>#DIV/0!</v>
      </c>
      <c r="E3577" s="16" t="e">
        <f t="shared" si="955"/>
        <v>#DIV/0!</v>
      </c>
      <c r="F3577" s="15">
        <f>IF(A3581=A3582,_xll.ciqfunctions.udf.CIQ(A3573,"IQ_DILUT_EPS_EXCL",IQ_FY-6), _xll.ciqfunctions.udf.CIQ(A3573, "IQ_DILUT_EPS_EXCL",IQ_FY-5))</f>
        <v>0</v>
      </c>
      <c r="G3577" s="15">
        <f>IF(A3581=A3582,_xll.ciqfunctions.udf.CIQ(A3573,"IQ_EBITDA_MARGIN",IQ_FY-6), _xll.ciqfunctions.udf.CIQ(A3573, "IQ_EBITDA_MARGIN",IQ_FY-5))</f>
        <v>0</v>
      </c>
      <c r="H3577" s="15" t="e">
        <f>IF(A3581=A3582,_xll.ciqfunctions.udf.CIQ(A3573,"IQ_TOTAL_DIV_PAID_CF",IQ_FY-6)/-I3577, _xll.ciqfunctions.udf.CIQ(A3573, "IQ_TOTAL_DIV_PAID_CF",IQ_FY-5)/-I3577)</f>
        <v>#DIV/0!</v>
      </c>
      <c r="I3577" s="17">
        <f>IF(A3581=A3582,_xll.ciqfunctions.udf.CIQ(A3573,"IQ_TOTAL_OUTSTANDING_FILING_DATE",IQ_FY-6), _xll.ciqfunctions.udf.CIQ(A3573, "IQ_TOTAL_OUTSTANDING_FILING_DATE",IQ_FY-5))</f>
        <v>0</v>
      </c>
      <c r="J3577" s="17">
        <f>IF(A3581=A3582,_xll.ciqfunctions.udf.CIQ(A3573,"IQ_CASH_OPER",IQ_FY-6), _xll.ciqfunctions.udf.CIQ(A3573, "IQ_CASH_OPER",IQ_FY-5))</f>
        <v>0</v>
      </c>
      <c r="K3577" s="17">
        <f>IF(A3581=A3582,_xll.ciqfunctions.udf.CIQ(A3573,"IQ_CAPEX",IQ_FY-6), _xll.ciqfunctions.udf.CIQ(A3573, "IQ_CAPEX",IQ_FY-5))</f>
        <v>0</v>
      </c>
      <c r="L3577" s="15" t="e">
        <f t="shared" si="952"/>
        <v>#DIV/0!</v>
      </c>
      <c r="M3577" s="17">
        <f>IF(A3581=A3582,_xll.ciqfunctions.udf.CIQ(A3573,"IQ_TOTAL_DEBT_ISSUED",IQ_FY-6), _xll.ciqfunctions.udf.CIQ(A3573, "IQ_TOTAL_DEBT_ISSUED",IQ_FY-5))</f>
        <v>0</v>
      </c>
      <c r="N3577" s="17">
        <f>IF(A3581=A3582,_xll.ciqfunctions.udf.CIQ(A3573,"IQ_TOTAL_DEBT_REPAID",IQ_FY-6), _xll.ciqfunctions.udf.CIQ(A3573, "IQ_TOTAL_DEBT_REPAID",IQ_FY-5))</f>
        <v>0</v>
      </c>
      <c r="O3577" s="15" t="e">
        <f t="shared" si="953"/>
        <v>#DIV/0!</v>
      </c>
      <c r="P3577" s="15" t="e">
        <f t="shared" si="954"/>
        <v>#DIV/0!</v>
      </c>
      <c r="Q3577" s="18"/>
      <c r="R3577" s="38" t="s">
        <v>50</v>
      </c>
      <c r="S3577" s="3" t="e">
        <f>I3584</f>
        <v>#DIV/0!</v>
      </c>
      <c r="U3577" s="18"/>
      <c r="V3577" s="38" t="s">
        <v>50</v>
      </c>
      <c r="W3577" s="3" t="e">
        <f>I3584</f>
        <v>#DIV/0!</v>
      </c>
      <c r="Y3577" s="18"/>
      <c r="Z3577" s="38" t="s">
        <v>50</v>
      </c>
      <c r="AA3577" s="3" t="e">
        <f>I3584</f>
        <v>#DIV/0!</v>
      </c>
    </row>
    <row r="3578" spans="1:27">
      <c r="B3578" s="13">
        <v>6</v>
      </c>
      <c r="C3578" s="14" t="s">
        <v>26</v>
      </c>
      <c r="D3578" s="15" t="e" cm="1">
        <f t="array" ref="D3578">_xlfn.SINGLE(IF(A3581=A3582,_xll.ciqfunctions.udf.CIQ(A3573,"IQ_TOTAL_REV",IQ_FY-5)/I3578, _xll.ciqfunctions.udf.CIQ(A3573, "IQ_TOTAL_REV",IQ_FY-4)/I3578))</f>
        <v>#DIV/0!</v>
      </c>
      <c r="E3578" s="16" t="e">
        <f t="shared" si="955"/>
        <v>#DIV/0!</v>
      </c>
      <c r="F3578" s="15">
        <f>IF(A3581=A3582,_xll.ciqfunctions.udf.CIQ(A3573,"IQ_DILUT_EPS_EXCL",IQ_FY-5), _xll.ciqfunctions.udf.CIQ(A3573, "IQ_DILUT_EPS_EXCL",IQ_FY-4))</f>
        <v>0</v>
      </c>
      <c r="G3578" s="15">
        <f>IF(A3581=A3582,_xll.ciqfunctions.udf.CIQ(A3573,"IQ_EBITDA_MARGIN",IQ_FY-5), _xll.ciqfunctions.udf.CIQ(A3573, "IQ_EBITDA_MARGIN",IQ_FY-4))</f>
        <v>0</v>
      </c>
      <c r="H3578" s="15" t="e">
        <f>IF(A3581=A3582,_xll.ciqfunctions.udf.CIQ(A3573,"IQ_TOTAL_DIV_PAID_CF",IQ_FY-5)/-I3578, _xll.ciqfunctions.udf.CIQ(A3573, "IQ_TOTAL_DIV_PAID_CF",IQ_FY-4)/-I3578)</f>
        <v>#DIV/0!</v>
      </c>
      <c r="I3578" s="17">
        <f>IF(A3581=A3582,_xll.ciqfunctions.udf.CIQ(A3573,"IQ_TOTAL_OUTSTANDING_FILING_DATE",IQ_FY-5), _xll.ciqfunctions.udf.CIQ(A3573, "IQ_TOTAL_OUTSTANDING_FILING_DATE",IQ_FY-4))</f>
        <v>0</v>
      </c>
      <c r="J3578" s="17">
        <f>IF(A3581=A3582,_xll.ciqfunctions.udf.CIQ(A3573,"IQ_CASH_OPER",IQ_FY-5), _xll.ciqfunctions.udf.CIQ(A3573, "IQ_CASH_OPER",IQ_FY-4))</f>
        <v>0</v>
      </c>
      <c r="K3578" s="17">
        <f>IF(A3581=A3582,_xll.ciqfunctions.udf.CIQ(A3573,"IQ_CAPEX",IQ_FY-5), _xll.ciqfunctions.udf.CIQ(A3573, "IQ_CAPEX",IQ_FY-4))</f>
        <v>0</v>
      </c>
      <c r="L3578" s="15" t="e">
        <f t="shared" si="952"/>
        <v>#DIV/0!</v>
      </c>
      <c r="M3578" s="17">
        <f>IF(A3581=A3582,_xll.ciqfunctions.udf.CIQ(A3573,"IQ_TOTAL_DEBT_ISSUED",IQ_FY-5), _xll.ciqfunctions.udf.CIQ(A3573, "IQ_TOTAL_DEBT_ISSUED",IQ_FY-4))</f>
        <v>0</v>
      </c>
      <c r="N3578" s="17">
        <f>IF(A3581=A3582,_xll.ciqfunctions.udf.CIQ(A3573,"IQ_TOTAL_DEBT_REPAID",IQ_FY-5), _xll.ciqfunctions.udf.CIQ(A3573, "IQ_TOTAL_DEBT_REPAID",IQ_FY-4))</f>
        <v>0</v>
      </c>
      <c r="O3578" s="15" t="e">
        <f t="shared" si="953"/>
        <v>#DIV/0!</v>
      </c>
      <c r="P3578" s="15" t="e">
        <f t="shared" si="954"/>
        <v>#DIV/0!</v>
      </c>
      <c r="Q3578" s="25" t="s">
        <v>27</v>
      </c>
      <c r="R3578" s="38" t="s">
        <v>51</v>
      </c>
      <c r="S3578" s="4" t="e">
        <f>AVERAGE(F3578:F3583)/AVERAGE(D3578:D3583)</f>
        <v>#DIV/0!</v>
      </c>
      <c r="U3578" s="25" t="s">
        <v>58</v>
      </c>
      <c r="V3578" s="38" t="s">
        <v>51</v>
      </c>
      <c r="W3578" s="4" t="e">
        <f>AVERAGE(F3578:F3583)/AVERAGE(D3578:D3583)</f>
        <v>#DIV/0!</v>
      </c>
      <c r="Y3578" s="25" t="s">
        <v>56</v>
      </c>
      <c r="Z3578" s="38" t="s">
        <v>51</v>
      </c>
      <c r="AA3578" s="4" t="e">
        <f>AVERAGE(F3578:F3583)/AVERAGE(D3578:D3583)</f>
        <v>#DIV/0!</v>
      </c>
    </row>
    <row r="3579" spans="1:27">
      <c r="A3579" s="18"/>
      <c r="B3579" s="13">
        <v>7</v>
      </c>
      <c r="C3579" s="14" t="s">
        <v>28</v>
      </c>
      <c r="D3579" s="15" t="e" cm="1">
        <f t="array" ref="D3579">_xlfn.SINGLE(IF(A3581=A3582,_xll.ciqfunctions.udf.CIQ(A3573,"IQ_TOTAL_REV",IQ_FY-4)/I3579, _xll.ciqfunctions.udf.CIQ(A3573, "IQ_TOTAL_REV",IQ_FY-3)/I3579))</f>
        <v>#DIV/0!</v>
      </c>
      <c r="E3579" s="16" t="e">
        <f t="shared" si="955"/>
        <v>#DIV/0!</v>
      </c>
      <c r="F3579" s="15">
        <f>IF(A3581=A3582,_xll.ciqfunctions.udf.CIQ(A3573,"IQ_DILUT_EPS_EXCL",IQ_FY-4), _xll.ciqfunctions.udf.CIQ(A3573, "IQ_DILUT_EPS_EXCL",IQ_FY-3))</f>
        <v>0</v>
      </c>
      <c r="G3579" s="15">
        <f>IF(A3581=A3582,_xll.ciqfunctions.udf.CIQ(A3573,"IQ_EBITDA_MARGIN",IQ_FY-4), _xll.ciqfunctions.udf.CIQ(A3573, "IQ_EBITDA_MARGIN",IQ_FY-3))</f>
        <v>16.497499999999999</v>
      </c>
      <c r="H3579" s="15" t="e">
        <f>IF(A3581=A3582,_xll.ciqfunctions.udf.CIQ(A3573,"IQ_TOTAL_DIV_PAID_CF",IQ_FY-4)/-I3579, _xll.ciqfunctions.udf.CIQ(A3573, "IQ_TOTAL_DIV_PAID_CF",IQ_FY-3)/-I3579)</f>
        <v>#DIV/0!</v>
      </c>
      <c r="I3579" s="17">
        <f>IF(A3581=A3582,_xll.ciqfunctions.udf.CIQ(A3573,"IQ_TOTAL_OUTSTANDING_FILING_DATE",IQ_FY-4), _xll.ciqfunctions.udf.CIQ(A3573, "IQ_TOTAL_OUTSTANDING_FILING_DATE",IQ_FY-3))</f>
        <v>0</v>
      </c>
      <c r="J3579" s="17">
        <f>IF(A3581=A3582,_xll.ciqfunctions.udf.CIQ(A3573,"IQ_CASH_OPER",IQ_FY-4), _xll.ciqfunctions.udf.CIQ(A3573, "IQ_CASH_OPER",IQ_FY-3))</f>
        <v>-230.029</v>
      </c>
      <c r="K3579" s="17">
        <f>IF(A3581=A3582,_xll.ciqfunctions.udf.CIQ(A3573,"IQ_CAPEX",IQ_FY-4), _xll.ciqfunctions.udf.CIQ(A3573, "IQ_CAPEX",IQ_FY-3))</f>
        <v>-3.3719999999999999</v>
      </c>
      <c r="L3579" s="15" t="e">
        <f t="shared" si="952"/>
        <v>#DIV/0!</v>
      </c>
      <c r="M3579" s="17">
        <f>IF(A3581=A3582,_xll.ciqfunctions.udf.CIQ(A3573,"IQ_TOTAL_DEBT_ISSUED",IQ_FY-4), _xll.ciqfunctions.udf.CIQ(A3573, "IQ_TOTAL_DEBT_ISSUED",IQ_FY-3))</f>
        <v>105</v>
      </c>
      <c r="N3579" s="17">
        <f>IF(A3581=A3582,_xll.ciqfunctions.udf.CIQ(A3573,"IQ_TOTAL_DEBT_REPAID",IQ_FY-4), _xll.ciqfunctions.udf.CIQ(A3573, "IQ_TOTAL_DEBT_REPAID",IQ_FY-3))</f>
        <v>-0.46300000000000002</v>
      </c>
      <c r="O3579" s="15" t="e">
        <f t="shared" si="953"/>
        <v>#DIV/0!</v>
      </c>
      <c r="P3579" s="15" t="e">
        <f t="shared" si="954"/>
        <v>#DIV/0!</v>
      </c>
      <c r="Q3579" s="18"/>
      <c r="R3579" s="38" t="s">
        <v>29</v>
      </c>
      <c r="S3579" s="4" t="e">
        <f>(AVERAGE(P3578:P3583)/_xlfn.STDEV.P(P3578:P3583))/(IF(A3581=A3582,(_xlfn.SINGLE(_xll.ciqfunctions.udf.CIQ(A3573,"IQ_total_assets",IQ_FY)) - _xlfn.SINGLE(_xll.ciqfunctions.udf.CIQ(A3573,"iq_gw_intan", IQ_FY)))/I3583, (_xlfn.SINGLE(_xll.ciqfunctions.udf.CIQ(A3573, "IQ_total_assets",IQ_LTM))-_xlfn.SINGLE(_xll.ciqfunctions.udf.CIQ(A3573,"iq_gw_intan",IQ_LTM)))/I3583))</f>
        <v>#DIV/0!</v>
      </c>
      <c r="U3579" s="18"/>
      <c r="V3579" s="38" t="s">
        <v>29</v>
      </c>
      <c r="W3579" s="4" t="e">
        <f>(AVERAGE(P3578:P3583)/_xlfn.STDEV.P(P3578:P3583))/(IF(A3581=A3582,(_xlfn.SINGLE(_xll.ciqfunctions.udf.CIQ(A3573,"IQ_total_assets",IQ_FY)) - _xlfn.SINGLE(_xll.ciqfunctions.udf.CIQ(A3573,"iq_gw_intan", IQ_FY)))/I3583, (_xlfn.SINGLE(_xll.ciqfunctions.udf.CIQ(A3573, "IQ_total_assets",IQ_LTM))-_xlfn.SINGLE(_xll.ciqfunctions.udf.CIQ(A3573,"iq_gw_intan",IQ_LTM)))/I3583))</f>
        <v>#DIV/0!</v>
      </c>
      <c r="Y3579" s="18"/>
      <c r="Z3579" s="38" t="s">
        <v>29</v>
      </c>
      <c r="AA3579" s="4" t="e">
        <f>(AVERAGE(P3578:P3583)/_xlfn.STDEV.P(P3578:P3583))/(IF(A3581=A3582,(_xlfn.SINGLE(_xll.ciqfunctions.udf.CIQ(A3573,"IQ_total_assets",IQ_FY)) - _xlfn.SINGLE(_xll.ciqfunctions.udf.CIQ(A3573,"iq_gw_intan", IQ_FY)))/I3583, (_xlfn.SINGLE(_xll.ciqfunctions.udf.CIQ(A3573, "IQ_total_assets",IQ_LTM))-_xlfn.SINGLE(_xll.ciqfunctions.udf.CIQ(A3573,"iq_gw_intan",IQ_LTM)))/I3583))</f>
        <v>#DIV/0!</v>
      </c>
    </row>
    <row r="3580" spans="1:27">
      <c r="A3580" s="18"/>
      <c r="B3580" s="13">
        <v>8</v>
      </c>
      <c r="C3580" s="14" t="s">
        <v>30</v>
      </c>
      <c r="D3580" s="15" cm="1">
        <f t="array" ref="D3580">_xlfn.SINGLE(IF(A3581=A3582,_xll.ciqfunctions.udf.CIQ(A3573,"IQ_TOTAL_REV",IQ_FY-3)/I3580, _xll.ciqfunctions.udf.CIQ(A3573, "IQ_TOTAL_REV",IQ_FY-2)/I3580))</f>
        <v>0.25264449874939593</v>
      </c>
      <c r="E3580" s="16" t="e">
        <f t="shared" si="955"/>
        <v>#DIV/0!</v>
      </c>
      <c r="F3580" s="15">
        <f>IF(A3581=A3582,_xll.ciqfunctions.udf.CIQ(A3573,"IQ_DILUT_EPS_EXCL",IQ_FY-3), _xll.ciqfunctions.udf.CIQ(A3573, "IQ_DILUT_EPS_EXCL",IQ_FY-2))</f>
        <v>-5.4989999999999997E-2</v>
      </c>
      <c r="G3580" s="15">
        <f>IF(A3581=A3582,_xll.ciqfunctions.udf.CIQ(A3573,"IQ_EBITDA_MARGIN",IQ_FY-3), _xll.ciqfunctions.udf.CIQ(A3573, "IQ_EBITDA_MARGIN",IQ_FY-2))</f>
        <v>-8.9296000000000006</v>
      </c>
      <c r="H3580" s="15">
        <f>IF(A3581=A3582,_xll.ciqfunctions.udf.CIQ(A3573,"IQ_TOTAL_DIV_PAID_CF",IQ_FY-3)/-I3580, _xll.ciqfunctions.udf.CIQ(A3573, "IQ_TOTAL_DIV_PAID_CF",IQ_FY-2)/-I3580)</f>
        <v>0.20296146862460207</v>
      </c>
      <c r="I3580" s="17">
        <f>IF(A3581=A3582,_xll.ciqfunctions.udf.CIQ(A3573,"IQ_TOTAL_OUTSTANDING_FILING_DATE",IQ_FY-3), _xll.ciqfunctions.udf.CIQ(A3573, "IQ_TOTAL_OUTSTANDING_FILING_DATE",IQ_FY-2))</f>
        <v>804.37927999999999</v>
      </c>
      <c r="J3580" s="17">
        <f>IF(A3581=A3582,_xll.ciqfunctions.udf.CIQ(A3573,"IQ_CASH_OPER",IQ_FY-3), _xll.ciqfunctions.udf.CIQ(A3573, "IQ_CASH_OPER",IQ_FY-2))</f>
        <v>-6.4859999999999998</v>
      </c>
      <c r="K3580" s="17">
        <f>IF(A3581=A3582,_xll.ciqfunctions.udf.CIQ(A3573,"IQ_CAPEX",IQ_FY-3), _xll.ciqfunctions.udf.CIQ(A3573, "IQ_CAPEX",IQ_FY-2))</f>
        <v>-3.806</v>
      </c>
      <c r="L3580" s="15">
        <f t="shared" si="952"/>
        <v>-1.2794959114312342E-2</v>
      </c>
      <c r="M3580" s="17">
        <f>IF(A3581=A3582,_xll.ciqfunctions.udf.CIQ(A3573,"IQ_TOTAL_DEBT_ISSUED",IQ_FY-3), _xll.ciqfunctions.udf.CIQ(A3573, "IQ_TOTAL_DEBT_ISSUED",IQ_FY-2))</f>
        <v>202.68799999999999</v>
      </c>
      <c r="N3580" s="17">
        <f>IF(A3581=A3582,_xll.ciqfunctions.udf.CIQ(A3573,"IQ_TOTAL_DEBT_REPAID",IQ_FY-3), _xll.ciqfunctions.udf.CIQ(A3573, "IQ_TOTAL_DEBT_REPAID",IQ_FY-2))</f>
        <v>-21.556999999999999</v>
      </c>
      <c r="O3580" s="15">
        <f t="shared" si="953"/>
        <v>0.22518108621594529</v>
      </c>
      <c r="P3580" s="15">
        <f t="shared" si="954"/>
        <v>0.21238612710163296</v>
      </c>
      <c r="Q3580" s="18"/>
      <c r="R3580" s="39" t="s">
        <v>31</v>
      </c>
      <c r="S3580" s="5" t="e">
        <f>IF(NOT(D3573&gt;0),FALSE,SLOPE(G3573:G3583,B3573:B3583))</f>
        <v>#DIV/0!</v>
      </c>
      <c r="U3580" s="18"/>
      <c r="V3580" s="39" t="s">
        <v>31</v>
      </c>
      <c r="W3580" s="5" t="e">
        <f>IF(NOT(D3573&gt;0),FALSE,SLOPE(G3573:G3583,B3573:B3583))</f>
        <v>#DIV/0!</v>
      </c>
      <c r="Y3580" s="18"/>
      <c r="Z3580" s="39" t="s">
        <v>31</v>
      </c>
      <c r="AA3580" s="5" t="e">
        <f>IF(NOT(L3573&gt;0),FALSE,SLOPE(O3573:O3583,J3573:J3583))</f>
        <v>#DIV/0!</v>
      </c>
    </row>
    <row r="3581" spans="1:27">
      <c r="A3581" s="19">
        <f>_xll.ciqfunctions.udf.CIQ(A3573,"IQ_TOTAL_REV",IQ_FY)</f>
        <v>303.42599999999999</v>
      </c>
      <c r="B3581" s="13">
        <v>9</v>
      </c>
      <c r="C3581" s="14" t="s">
        <v>32</v>
      </c>
      <c r="D3581" s="15" cm="1">
        <f t="array" ref="D3581">_xlfn.SINGLE(IF(A3581=A3582,_xll.ciqfunctions.udf.CIQ(A3573,"IQ_TOTAL_REV",IQ_FY-2)/I3581, _xll.ciqfunctions.udf.CIQ(A3573, "IQ_TOTAL_REV",IQ_FY-1)/I3581))</f>
        <v>1.4125090635092146</v>
      </c>
      <c r="E3581" s="16">
        <f t="shared" si="955"/>
        <v>4.5908957863765556</v>
      </c>
      <c r="F3581" s="15">
        <f>IF(A3581=A3582,_xll.ciqfunctions.udf.CIQ(A3573,"IQ_DILUT_EPS_EXCL",IQ_FY-2), _xll.ciqfunctions.udf.CIQ(A3573, "IQ_DILUT_EPS_EXCL",IQ_FY-1))</f>
        <v>-4.6219999999999997E-2</v>
      </c>
      <c r="G3581" s="15">
        <f>IF(A3581=A3582,_xll.ciqfunctions.udf.CIQ(A3573,"IQ_EBITDA_MARGIN",IQ_FY-2), _xll.ciqfunctions.udf.CIQ(A3573, "IQ_EBITDA_MARGIN",IQ_FY-1))</f>
        <v>12.679</v>
      </c>
      <c r="H3581" s="15">
        <f>IF(A3581=A3582,_xll.ciqfunctions.udf.CIQ(A3573,"IQ_TOTAL_DIV_PAID_CF",IQ_FY-2)/-I3581, _xll.ciqfunctions.udf.CIQ(A3573, "IQ_TOTAL_DIV_PAID_CF",IQ_FY-1)/-I3581)</f>
        <v>0</v>
      </c>
      <c r="I3581" s="17">
        <f>IF(A3581=A3582,_xll.ciqfunctions.udf.CIQ(A3573,"IQ_TOTAL_OUTSTANDING_FILING_DATE",IQ_FY-2), _xll.ciqfunctions.udf.CIQ(A3573, "IQ_TOTAL_OUTSTANDING_FILING_DATE",IQ_FY-1))</f>
        <v>178.42151000000001</v>
      </c>
      <c r="J3581" s="17">
        <f>IF(A3581=A3582,_xll.ciqfunctions.udf.CIQ(A3573,"IQ_CASH_OPER",IQ_FY-2), _xll.ciqfunctions.udf.CIQ(A3573, "IQ_CASH_OPER",IQ_FY-1))</f>
        <v>3.3580000000000001</v>
      </c>
      <c r="K3581" s="17">
        <f>IF(A3581=A3582,_xll.ciqfunctions.udf.CIQ(A3573,"IQ_CAPEX",IQ_FY-2), _xll.ciqfunctions.udf.CIQ(A3573, "IQ_CAPEX",IQ_FY-1))</f>
        <v>-5.0250000000000004</v>
      </c>
      <c r="L3581" s="15">
        <f t="shared" si="952"/>
        <v>-9.3430438964449986E-3</v>
      </c>
      <c r="M3581" s="17">
        <f>IF(A3581=A3582,_xll.ciqfunctions.udf.CIQ(A3573,"IQ_TOTAL_DEBT_ISSUED",IQ_FY-2), _xll.ciqfunctions.udf.CIQ(A3573, "IQ_TOTAL_DEBT_ISSUED",IQ_FY-1))</f>
        <v>55</v>
      </c>
      <c r="N3581" s="17">
        <f>IF(A3581=A3582,_xll.ciqfunctions.udf.CIQ(A3573,"IQ_TOTAL_DEBT_REPAID",IQ_FY-2), _xll.ciqfunctions.udf.CIQ(A3573, "IQ_TOTAL_DEBT_REPAID",IQ_FY-1))</f>
        <v>-434.91899999999998</v>
      </c>
      <c r="O3581" s="15">
        <f t="shared" si="953"/>
        <v>-2.1293340696421632</v>
      </c>
      <c r="P3581" s="15">
        <f t="shared" si="954"/>
        <v>-2.1386771135386082</v>
      </c>
      <c r="Q3581" s="25" t="s">
        <v>33</v>
      </c>
      <c r="R3581" s="38" t="s">
        <v>52</v>
      </c>
      <c r="S3581" s="4" t="e">
        <f>(AVERAGE(O3578:O3583)/AVERAGE(P3578:P3583))</f>
        <v>#DIV/0!</v>
      </c>
      <c r="U3581" s="25" t="s">
        <v>54</v>
      </c>
      <c r="V3581" s="38" t="s">
        <v>52</v>
      </c>
      <c r="W3581" s="4" t="e">
        <f>(AVERAGE(O3578:O3583)/AVERAGE(P3578:P3583))</f>
        <v>#DIV/0!</v>
      </c>
      <c r="Y3581" s="25" t="s">
        <v>60</v>
      </c>
      <c r="Z3581" s="38" t="s">
        <v>52</v>
      </c>
      <c r="AA3581" s="4" t="e">
        <f>(AVERAGE(O3578:O3583)/AVERAGE(P3578:P3583))</f>
        <v>#DIV/0!</v>
      </c>
    </row>
    <row r="3582" spans="1:27">
      <c r="A3582" s="19">
        <f>_xll.ciqfunctions.udf.CIQ(A3573,"IQ_TOTAL_REV",IQ_LTM)</f>
        <v>351.83600000000001</v>
      </c>
      <c r="B3582" s="13">
        <v>10</v>
      </c>
      <c r="C3582" s="14" t="s">
        <v>34</v>
      </c>
      <c r="D3582" s="15" cm="1">
        <f t="array" ref="D3582">_xlfn.SINGLE(IF(A3581=A3582,_xll.ciqfunctions.udf.CIQ(A3573,"IQ_TOTAL_REV",IQ_FY-1)/I3582, _xll.ciqfunctions.udf.CIQ(A3573, "IQ_TOTAL_REV",IQ_FY)/I3582))</f>
        <v>1.5779120396176953</v>
      </c>
      <c r="E3582" s="16">
        <f t="shared" si="955"/>
        <v>0.11709870073155941</v>
      </c>
      <c r="F3582" s="15">
        <f>IF(A3581=A3582,_xll.ciqfunctions.udf.CIQ(A3573,"IQ_DILUT_EPS_EXCL",IQ_FY-1), _xll.ciqfunctions.udf.CIQ(A3573, "IQ_DILUT_EPS_EXCL",IQ_FY))</f>
        <v>-4.2930000000000003E-2</v>
      </c>
      <c r="G3582" s="15">
        <f>IF(A3581=A3582,_xll.ciqfunctions.udf.CIQ(A3573,"IQ_EBITDA_MARGIN",IQ_FY-1), _xll.ciqfunctions.udf.CIQ(A3573, "IQ_EBITDA_MARGIN",IQ_FY))</f>
        <v>4.5404</v>
      </c>
      <c r="H3582" s="15">
        <f>IF(A3581=A3582,_xll.ciqfunctions.udf.CIQ(A3573,"IQ_TOTAL_DIV_PAID_CF",IQ_FY-1)/-I3582, _xll.ciqfunctions.udf.CIQ(A3573, "IQ_TOTAL_DIV_PAID_CF",IQ_FY)/-I3582)</f>
        <v>0</v>
      </c>
      <c r="I3582" s="17">
        <f>IF(A3581=A3582,_xll.ciqfunctions.udf.CIQ(A3573,"IQ_TOTAL_OUTSTANDING_FILING_DATE",IQ_FY-1), _xll.ciqfunctions.udf.CIQ(A3573, "IQ_TOTAL_OUTSTANDING_FILING_DATE",IQ_FY))</f>
        <v>192.29589000000001</v>
      </c>
      <c r="J3582" s="17">
        <f>IF(A3581=A3582,_xll.ciqfunctions.udf.CIQ(A3573,"IQ_CASH_OPER",IQ_FY-1), _xll.ciqfunctions.udf.CIQ(A3573, "IQ_CASH_OPER",IQ_FY))</f>
        <v>58.005000000000003</v>
      </c>
      <c r="K3582" s="17">
        <f>IF(A3581=A3582,_xll.ciqfunctions.udf.CIQ(A3573,"IQ_CAPEX",IQ_FY-1), _xll.ciqfunctions.udf.CIQ(A3573, "IQ_CAPEX",IQ_FY))</f>
        <v>-7.758</v>
      </c>
      <c r="L3582" s="15">
        <f t="shared" si="952"/>
        <v>0.2613004365303907</v>
      </c>
      <c r="M3582" s="17">
        <f>IF(A3581=A3582,_xll.ciqfunctions.udf.CIQ(A3573,"IQ_TOTAL_DEBT_ISSUED",IQ_FY-1), _xll.ciqfunctions.udf.CIQ(A3573, "IQ_TOTAL_DEBT_ISSUED",IQ_FY))</f>
        <v>0</v>
      </c>
      <c r="N3582" s="17">
        <f>IF(A3581=A3582,_xll.ciqfunctions.udf.CIQ(A3573,"IQ_TOTAL_DEBT_REPAID",IQ_FY-1), _xll.ciqfunctions.udf.CIQ(A3573, "IQ_TOTAL_DEBT_REPAID",IQ_FY))</f>
        <v>-2.75</v>
      </c>
      <c r="O3582" s="15">
        <f t="shared" si="953"/>
        <v>-1.4300877673464574E-2</v>
      </c>
      <c r="P3582" s="15">
        <f t="shared" si="954"/>
        <v>0.24699955885692612</v>
      </c>
      <c r="Q3582" s="25" t="s">
        <v>44</v>
      </c>
      <c r="R3582" s="38" t="s">
        <v>35</v>
      </c>
      <c r="S3582" s="1" t="str">
        <f>_xll.ciqfunctions.udf.CIQ(A3573,"IQ_TEV_EBITDA")</f>
        <v>NM</v>
      </c>
      <c r="U3582" s="25" t="s">
        <v>55</v>
      </c>
      <c r="V3582" s="38" t="s">
        <v>53</v>
      </c>
      <c r="W3582" s="1" t="e">
        <f>V3572/(AVERAGE(D3578:D3583)/_xlfn.STDEV.P(E3578:E3583))</f>
        <v>#DIV/0!</v>
      </c>
      <c r="Y3582" s="25" t="s">
        <v>57</v>
      </c>
      <c r="Z3582" s="38" t="s">
        <v>53</v>
      </c>
      <c r="AA3582" s="1" t="e">
        <f>Z3572/(AVERAGE(D3578:D3583)/_xlfn.STDEV.P(E3578:E3583))</f>
        <v>#DIV/0!</v>
      </c>
    </row>
    <row r="3583" spans="1:27">
      <c r="B3583" s="13">
        <v>11</v>
      </c>
      <c r="C3583" s="20" t="s">
        <v>36</v>
      </c>
      <c r="D3583" s="21" cm="1">
        <f t="array" ref="D3583">_xlfn.SINGLE(IF(A3581=A3582,_xll.ciqfunctions.udf.CIQ(A3573,"IQ_TOTAL_REV",IQ_FY)/I3583, _xll.ciqfunctions.udf.CIQ(A3573, "IQ_TOTAL_REV",IQ_LTM)/I3583))</f>
        <v>1.7321669431302313</v>
      </c>
      <c r="E3583" s="22">
        <f t="shared" si="955"/>
        <v>9.7758873523716622E-2</v>
      </c>
      <c r="F3583" s="21">
        <f>IF(A3581=A3582,_xll.ciqfunctions.udf.CIQ(A3573,"IQ_DILUT_EPS_EXCL",IQ_FY), _xll.ciqfunctions.udf.CIQ(A3573, "IQ_DILUT_EPS_EXCL",IQ_LTM))</f>
        <v>-0.10285</v>
      </c>
      <c r="G3583" s="21">
        <f>IF(A3581=A3582,_xll.ciqfunctions.udf.CIQ(A3573,"IQ_EBITDA_MARGIN",IQ_FY), _xll.ciqfunctions.udf.CIQ(A3573, "IQ_EBITDA_MARGIN",IQ_LTM))</f>
        <v>-0.84209999999999996</v>
      </c>
      <c r="H3583" s="21">
        <f>IF(A3581=A3582,_xll.ciqfunctions.udf.CIQ(A3573,"IQ_TOTAL_DIV_PAID_CF",IQ_FY)/-I3583, _xll.ciqfunctions.udf.CIQ(A3573, "IQ_TOTAL_DIV_PAID_CF",IQ_LTM)/-I3583)</f>
        <v>0</v>
      </c>
      <c r="I3583" s="23">
        <f>IF(A3581=A3582,_xll.ciqfunctions.udf.CIQ(A3573,"IQ_TOTAL_OUTSTANDING_FILING_DATE",IQ_FY),_xll.ciqfunctions.udf.CIQ(A3573,"IQ_sharesoutstanding"))</f>
        <v>203.11899</v>
      </c>
      <c r="J3583" s="23">
        <f>IF(A3581=A3582,_xll.ciqfunctions.udf.CIQ(A3573,"IQ_CASH_OPER",IQ_FY), _xll.ciqfunctions.udf.CIQ(A3573, "IQ_CASH_OPER",IQ_LTM))</f>
        <v>78.662999999999997</v>
      </c>
      <c r="K3583" s="23">
        <f>IF(A3581=A3582,_xll.ciqfunctions.udf.CIQ(A3573,"IQ_CAPEX",IQ_FY), _xll.ciqfunctions.udf.CIQ(A3573, "IQ_CAPEX",IQ_LTM))</f>
        <v>-5.94</v>
      </c>
      <c r="L3583" s="21">
        <f t="shared" si="952"/>
        <v>0.35803151640326686</v>
      </c>
      <c r="M3583" s="23">
        <f>IF(A3581=A3582,_xll.ciqfunctions.udf.CIQ(A3573,"IQ_TOTAL_DEBT_ISSUED",IQ_FY), _xll.ciqfunctions.udf.CIQ(A3573, "IQ_TOTAL_DEBT_ISSUED",IQ_LTM))</f>
        <v>0</v>
      </c>
      <c r="N3583" s="23">
        <f>IF(A3581=A3582,_xll.ciqfunctions.udf.CIQ(A3573,"IQ_TOTAL_DEBT_REPAID",IQ_FY), _xll.ciqfunctions.udf.CIQ(A3573, "IQ_TOTAL_DEBT_REPAID",IQ_LTM))</f>
        <v>-2.7490000000000001</v>
      </c>
      <c r="O3583" s="21">
        <f t="shared" si="953"/>
        <v>-1.3533938899558333E-2</v>
      </c>
      <c r="P3583" s="21">
        <f t="shared" si="954"/>
        <v>0.34449757750370852</v>
      </c>
      <c r="Q3583" s="25" t="s">
        <v>45</v>
      </c>
      <c r="S3583" s="45"/>
      <c r="U3583" s="25"/>
      <c r="W3583" s="45"/>
      <c r="Y3583" s="25"/>
      <c r="AA3583" s="45"/>
    </row>
    <row r="3584" spans="1:27">
      <c r="B3584" s="24"/>
      <c r="C3584" s="25" t="s">
        <v>37</v>
      </c>
      <c r="E3584" s="26" t="e">
        <f>((D3583/D3578)^(1/5))-1</f>
        <v>#DIV/0!</v>
      </c>
      <c r="F3584" s="27" t="e">
        <f>((F3583/F3578)^(1/5))-1</f>
        <v>#DIV/0!</v>
      </c>
      <c r="G3584" s="28"/>
      <c r="H3584" s="27" t="e">
        <f>((H3583/H3578)^(1/5))-1</f>
        <v>#DIV/0!</v>
      </c>
      <c r="I3584" s="27" t="e">
        <f>((I3583/I3578)^(1/5))-1</f>
        <v>#DIV/0!</v>
      </c>
      <c r="J3584" s="27"/>
      <c r="K3584" s="27"/>
      <c r="L3584" s="26" t="e">
        <f>((L3583/L3578)^(1/5))-1</f>
        <v>#DIV/0!</v>
      </c>
      <c r="M3584" s="26"/>
      <c r="N3584" s="26"/>
      <c r="O3584" s="26"/>
      <c r="P3584" s="26" t="e">
        <f>((P3583/P3578)^(1/5))-1</f>
        <v>#DIV/0!</v>
      </c>
      <c r="Q3584" s="18"/>
      <c r="R3584" s="36"/>
      <c r="S3584" s="45"/>
      <c r="U3584" s="18"/>
      <c r="V3584" s="36"/>
      <c r="W3584" s="45"/>
      <c r="Y3584" s="18"/>
      <c r="Z3584" s="36"/>
      <c r="AA3584" s="45"/>
    </row>
    <row r="3585" spans="1:27">
      <c r="A3585" s="29"/>
      <c r="B3585" s="30"/>
      <c r="C3585" s="31" t="s">
        <v>38</v>
      </c>
      <c r="D3585" s="29"/>
      <c r="E3585" s="32" t="e">
        <f>((D3583/D3573)^(1/10))-1</f>
        <v>#DIV/0!</v>
      </c>
      <c r="F3585" s="33" t="e">
        <f>((F3583/F3573)^(1/10))-1</f>
        <v>#DIV/0!</v>
      </c>
      <c r="G3585" s="34"/>
      <c r="H3585" s="33" t="e">
        <f>((H3583/H3573)^(1/10))-1</f>
        <v>#DIV/0!</v>
      </c>
      <c r="I3585" s="33" t="e">
        <f>((I3583/I3573)^(1/10))-1</f>
        <v>#DIV/0!</v>
      </c>
      <c r="J3585" s="33"/>
      <c r="K3585" s="33"/>
      <c r="L3585" s="32" t="e">
        <f>((L3583/L3573)^(1/10))-1</f>
        <v>#DIV/0!</v>
      </c>
      <c r="M3585" s="32"/>
      <c r="N3585" s="32"/>
      <c r="O3585" s="32"/>
      <c r="P3585" s="32" t="e">
        <f>((P3583/P3573)^(1/10))-1</f>
        <v>#DIV/0!</v>
      </c>
      <c r="Q3585" s="40"/>
      <c r="R3585" s="41"/>
      <c r="S3585" s="46"/>
      <c r="U3585" s="40"/>
      <c r="V3585" s="41"/>
      <c r="W3585" s="46"/>
      <c r="Y3585" s="40"/>
      <c r="Z3585" s="41"/>
      <c r="AA3585" s="46"/>
    </row>
    <row r="3586" spans="1:27">
      <c r="B3586" s="24"/>
      <c r="C3586" s="25"/>
      <c r="E3586" s="26"/>
      <c r="F3586" s="27"/>
      <c r="G3586" s="28"/>
      <c r="H3586" s="27"/>
      <c r="I3586" s="27"/>
      <c r="J3586" s="27"/>
      <c r="K3586" s="27"/>
      <c r="L3586" s="26"/>
      <c r="M3586" s="17"/>
      <c r="N3586" s="17"/>
      <c r="O3586" s="17"/>
      <c r="P3586" s="35"/>
      <c r="Q3586" s="18"/>
      <c r="R3586" s="36"/>
    </row>
    <row r="3587" spans="1:27">
      <c r="A3587" s="9" t="s">
        <v>0</v>
      </c>
      <c r="B3587" s="10"/>
      <c r="C3587" s="9" t="s">
        <v>1</v>
      </c>
      <c r="D3587" s="9" t="s">
        <v>2</v>
      </c>
      <c r="E3587" s="9" t="s">
        <v>3</v>
      </c>
      <c r="F3587" s="11" t="s">
        <v>4</v>
      </c>
      <c r="G3587" s="11" t="s">
        <v>5</v>
      </c>
      <c r="H3587" s="9" t="s">
        <v>6</v>
      </c>
      <c r="I3587" s="11" t="s">
        <v>7</v>
      </c>
      <c r="J3587" s="11" t="s">
        <v>8</v>
      </c>
      <c r="K3587" s="11" t="s">
        <v>9</v>
      </c>
      <c r="L3587" s="11" t="s">
        <v>10</v>
      </c>
      <c r="M3587" s="11" t="s">
        <v>11</v>
      </c>
      <c r="N3587" s="11" t="s">
        <v>12</v>
      </c>
      <c r="O3587" s="11" t="s">
        <v>13</v>
      </c>
      <c r="P3587" s="11" t="s">
        <v>14</v>
      </c>
      <c r="Q3587" s="37" t="s">
        <v>15</v>
      </c>
      <c r="R3587" s="42">
        <f>_xll.ciqfunctions.udf.CIQ(A3588,("IQ_LASTSALEPRICE"))</f>
        <v>15.595000000000001</v>
      </c>
      <c r="S3587" s="44"/>
      <c r="U3587" s="37" t="s">
        <v>15</v>
      </c>
      <c r="V3587" s="42">
        <f>_xll.ciqfunctions.udf.CIQ(A3588,("IQ_LASTSALEPRICE"))</f>
        <v>15.595000000000001</v>
      </c>
      <c r="W3587" s="44"/>
      <c r="Y3587" s="37" t="s">
        <v>15</v>
      </c>
      <c r="Z3587" s="42">
        <f>_xll.ciqfunctions.udf.CIQ(A3588,("IQ_LASTSALEPRICE"))</f>
        <v>15.595000000000001</v>
      </c>
      <c r="AA3587" s="44"/>
    </row>
    <row r="3588" spans="1:27">
      <c r="A3588" s="12" t="str">
        <f>Analysis!B241</f>
        <v>NYSE:CXM</v>
      </c>
      <c r="B3588" s="13">
        <v>1</v>
      </c>
      <c r="C3588" s="14" t="s">
        <v>16</v>
      </c>
      <c r="D3588" s="15" t="e">
        <f>IF(A3596=A3597,_xll.ciqfunctions.udf.CIQ(A3588,"IQ_TOTAL_REV",IQ_FY-10)/I3588,_xll.ciqfunctions.udf.CIQ(A3588, "IQ_TOTAL_REV",IQ_FY-9)/I3588)</f>
        <v>#DIV/0!</v>
      </c>
      <c r="E3588" s="16"/>
      <c r="F3588" s="15">
        <f>IF(A3596=A3597,_xll.ciqfunctions.udf.CIQ(A3588,"IQ_DILUT_EPS_EXCL",IQ_FY-10), _xll.ciqfunctions.udf.CIQ(A3588, "IQ_DILUT_EPS_EXCL",IQ_FY-9))</f>
        <v>0</v>
      </c>
      <c r="G3588" s="15">
        <f>IF(A3596=A3597,_xll.ciqfunctions.udf.CIQ(A3588,"IQ_EBITDA_MARGIN",IQ_FY-10), _xll.ciqfunctions.udf.CIQ(A3588, "IQ_EBITDA_MARGIN",IQ_FY-9))</f>
        <v>0</v>
      </c>
      <c r="H3588" s="15" t="e">
        <f>IF(A3596=A3597,_xll.ciqfunctions.udf.CIQ(A3588,"IQ_TOTAL_DIV_PAID_CF",IQ_FY-10)/-I3588, _xll.ciqfunctions.udf.CIQ(A3588, "IQ_TOTAL_DIV_PAID_CF",IQ_FY-9)/-I3588)</f>
        <v>#DIV/0!</v>
      </c>
      <c r="I3588" s="17">
        <f>IF(A3596=A3597,_xll.ciqfunctions.udf.CIQ(A3588,"IQ_TOTAL_OUTSTANDING_FILING_DATE",IQ_FY-10), _xll.ciqfunctions.udf.CIQ(A3588, "IQ_TOTAL_OUTSTANDING_FILING_DATE",IQ_FY-9))</f>
        <v>0</v>
      </c>
      <c r="J3588" s="17">
        <f>IF(A3596=A3597,_xll.ciqfunctions.udf.CIQ(A3588,"IQ_CASH_OPER",IQ_FY-10), _xll.ciqfunctions.udf.CIQ(A3588, "IQ_CASH_OPER",IQ_FY-9))</f>
        <v>0</v>
      </c>
      <c r="K3588" s="17">
        <f>IF(A3596=A3597,_xll.ciqfunctions.udf.CIQ(A3588,"IQ_CAPEX",IQ_FY-10), _xll.ciqfunctions.udf.CIQ(A3588, "IQ_CAPEX",IQ_FY-9))</f>
        <v>0</v>
      </c>
      <c r="L3588" s="15" t="e">
        <f t="shared" ref="L3588:L3598" si="956">(J3588+K3588)/I3588</f>
        <v>#DIV/0!</v>
      </c>
      <c r="M3588" s="17">
        <f>IF(A3596=A3597,_xll.ciqfunctions.udf.CIQ(A3588,"IQ_TOTAL_DEBT_ISSUED",IQ_FY-10), _xll.ciqfunctions.udf.CIQ(A3588, "IQ_TOTAL_DEBT_ISSUED",IQ_FY-9))</f>
        <v>0</v>
      </c>
      <c r="N3588" s="17">
        <f>IF(A3596=A3597,_xll.ciqfunctions.udf.CIQ(A3588,"IQ_TOTAL_DEBT_REPAID",IQ_FY-10), _xll.ciqfunctions.udf.CIQ(A3588, "IQ_TOTAL_DEBT_REPAID",IQ_FY-9))</f>
        <v>0</v>
      </c>
      <c r="O3588" s="15" t="e">
        <f t="shared" ref="O3588:O3598" si="957">(M3588+N3588)/I3588</f>
        <v>#DIV/0!</v>
      </c>
      <c r="P3588" s="15" t="e">
        <f t="shared" ref="P3588:P3598" si="958">L3588+O3588</f>
        <v>#DIV/0!</v>
      </c>
      <c r="W3588" s="43"/>
      <c r="AA3588" s="43"/>
    </row>
    <row r="3589" spans="1:27">
      <c r="A3589" s="18" t="str">
        <f>_xll.ciqfunctions.udf.CIQ(A3588,"IQ_COMPANY_NAME")</f>
        <v>Sprinklr, Inc.</v>
      </c>
      <c r="B3589" s="13">
        <v>2</v>
      </c>
      <c r="C3589" s="14" t="s">
        <v>17</v>
      </c>
      <c r="D3589" s="15" t="e">
        <f>IF(A3596=A3597,_xll.ciqfunctions.udf.CIQ(A3588,"IQ_TOTAL_REV",IQ_FY-9)/I3589, _xll.ciqfunctions.udf.CIQ(A3588, "IQ_TOTAL_REV",IQ_FY-8)/I3589)</f>
        <v>#DIV/0!</v>
      </c>
      <c r="E3589" s="16" t="e">
        <f t="shared" ref="E3589:E3598" si="959">(D3589-D3588)/D3588</f>
        <v>#DIV/0!</v>
      </c>
      <c r="F3589" s="15">
        <f>IF(A3596=A3597,_xll.ciqfunctions.udf.CIQ(A3588,"IQ_DILUT_EPS_EXCL",IQ_FY-9), _xll.ciqfunctions.udf.CIQ(A3588, "IQ_DILUT_EPS_EXCL",IQ_FY-8))</f>
        <v>0</v>
      </c>
      <c r="G3589" s="15">
        <f>IF(A3596=A3597,_xll.ciqfunctions.udf.CIQ(A3588,"IQ_EBITDA_MARGIN",IQ_FY-9), _xll.ciqfunctions.udf.CIQ(A3588, "IQ_EBITDA_MARGIN",IQ_FY-8))</f>
        <v>0</v>
      </c>
      <c r="H3589" s="15" t="e">
        <f>IF(A3596=A3597,_xll.ciqfunctions.udf.CIQ(A3588,"IQ_TOTAL_DIV_PAID_CF",IQ_FY-9)/-I3589, _xll.ciqfunctions.udf.CIQ(A3588, "IQ_TOTAL_DIV_PAID_CF",IQ_FY-8)/-I3589)</f>
        <v>#DIV/0!</v>
      </c>
      <c r="I3589" s="17">
        <f>IF(A3596=A3597,_xll.ciqfunctions.udf.CIQ(A3588,"IQ_TOTAL_OUTSTANDING_FILING_DATE",IQ_FY-9), _xll.ciqfunctions.udf.CIQ(A3588, "IQ_TOTAL_OUTSTANDING_FILING_DATE",IQ_FY-8))</f>
        <v>0</v>
      </c>
      <c r="J3589" s="17">
        <f>IF(A3596=A3597,_xll.ciqfunctions.udf.CIQ(A3588,"IQ_CASH_OPER",IQ_FY-9), _xll.ciqfunctions.udf.CIQ(A3588, "IQ_CASH_OPER",IQ_FY-8))</f>
        <v>0</v>
      </c>
      <c r="K3589" s="17">
        <f>IF(A3596=A3597,_xll.ciqfunctions.udf.CIQ(A3588,"IQ_CAPEX",IQ_FY-9), _xll.ciqfunctions.udf.CIQ(A3588, "IQ_CAPEX",IQ_FY-8))</f>
        <v>0</v>
      </c>
      <c r="L3589" s="15" t="e">
        <f t="shared" si="956"/>
        <v>#DIV/0!</v>
      </c>
      <c r="M3589" s="17">
        <f>IF(A3596=A3597,_xll.ciqfunctions.udf.CIQ(A3588,"IQ_TOTAL_DEBT_ISSUED",IQ_FY-9), _xll.ciqfunctions.udf.CIQ(A3588, "IQ_TOTAL_DEBT_ISSUED",IQ_FY-8))</f>
        <v>0</v>
      </c>
      <c r="N3589" s="17">
        <f>IF(A3596=A3597,_xll.ciqfunctions.udf.CIQ(A3588,"IQ_TOTAL_DEBT_REPAID",IQ_FY-9), _xll.ciqfunctions.udf.CIQ(A3588, "IQ_TOTAL_DEBT_REPAID",IQ_FY-8))</f>
        <v>0</v>
      </c>
      <c r="O3589" s="15" t="e">
        <f t="shared" si="957"/>
        <v>#DIV/0!</v>
      </c>
      <c r="P3589" s="15" t="e">
        <f t="shared" si="958"/>
        <v>#DIV/0!</v>
      </c>
      <c r="Q3589" s="25" t="s">
        <v>18</v>
      </c>
      <c r="R3589" s="39" t="s">
        <v>19</v>
      </c>
      <c r="S3589" s="1" t="e">
        <f>R3587/((AVERAGE(P3593:P3598))*(1+E3599)^3)</f>
        <v>#DIV/0!</v>
      </c>
      <c r="U3589" s="25" t="s">
        <v>48</v>
      </c>
      <c r="V3589" s="39" t="s">
        <v>19</v>
      </c>
      <c r="W3589" s="1" t="e">
        <f>V3587/((AVERAGE(P3593:P3598))*(1+E3599)^3)</f>
        <v>#DIV/0!</v>
      </c>
      <c r="Y3589" s="25" t="s">
        <v>39</v>
      </c>
      <c r="Z3589" s="39" t="s">
        <v>19</v>
      </c>
      <c r="AA3589" s="1" t="e">
        <f>Z3587/((AVERAGE(P3593:P3598))*(1+E3599)^3)</f>
        <v>#DIV/0!</v>
      </c>
    </row>
    <row r="3590" spans="1:27">
      <c r="B3590" s="13">
        <v>3</v>
      </c>
      <c r="C3590" s="14" t="s">
        <v>20</v>
      </c>
      <c r="D3590" s="15" t="e" cm="1">
        <f t="array" ref="D3590">_xlfn.SINGLE(IF(A3596=A3597,_xll.ciqfunctions.udf.CIQ(A3588,"IQ_TOTAL_REV",IQ_FY-8)/I3590, _xll.ciqfunctions.udf.CIQ(A3588, "IQ_TOTAL_REV",IQ_FY-7)/I3590))</f>
        <v>#DIV/0!</v>
      </c>
      <c r="E3590" s="16" t="e">
        <f t="shared" si="959"/>
        <v>#DIV/0!</v>
      </c>
      <c r="F3590" s="15">
        <f>IF(A3596=A3597,_xll.ciqfunctions.udf.CIQ(A3588,"IQ_DILUT_EPS_EXCL",IQ_FY-8), _xll.ciqfunctions.udf.CIQ(A3588, "IQ_DILUT_EPS_EXCL",IQ_FY-7))</f>
        <v>0</v>
      </c>
      <c r="G3590" s="15">
        <f>IF(A3596=A3597,_xll.ciqfunctions.udf.CIQ(A3588,"IQ_EBITDA_MARGIN",IQ_FY-8), _xll.ciqfunctions.udf.CIQ(A3588, "IQ_EBITDA_MARGIN",IQ_FY-7))</f>
        <v>0</v>
      </c>
      <c r="H3590" s="15" t="e">
        <f>IF(A3596=A3597,_xll.ciqfunctions.udf.CIQ(A3588,"IQ_TOTAL_DIV_PAID_CF",IQ_FY-8)/-I3590, _xll.ciqfunctions.udf.CIQ(A3588, "IQ_TOTAL_DIV_PAID_CF",IQ_FY-7)/-I3590)</f>
        <v>#DIV/0!</v>
      </c>
      <c r="I3590" s="17">
        <f>IF(A3596=A3597,_xll.ciqfunctions.udf.CIQ(A3588,"IQ_TOTAL_OUTSTANDING_FILING_DATE",IQ_FY-8), _xll.ciqfunctions.udf.CIQ(A3588, "IQ_TOTAL_OUTSTANDING_FILING_DATE",IQ_FY-7))</f>
        <v>0</v>
      </c>
      <c r="J3590" s="17">
        <f>IF(A3596=A3597,_xll.ciqfunctions.udf.CIQ(A3588,"IQ_CASH_OPER",IQ_FY-8), _xll.ciqfunctions.udf.CIQ(A3588, "IQ_CASH_OPER",IQ_FY-7))</f>
        <v>0</v>
      </c>
      <c r="K3590" s="17">
        <f>IF(A3596=A3597,_xll.ciqfunctions.udf.CIQ(A3588,"IQ_CAPEX",IQ_FY-8), _xll.ciqfunctions.udf.CIQ(A3588, "IQ_CAPEX",IQ_FY-7))</f>
        <v>0</v>
      </c>
      <c r="L3590" s="15" t="e">
        <f t="shared" si="956"/>
        <v>#DIV/0!</v>
      </c>
      <c r="M3590" s="17">
        <f>IF(A3596=A3597,_xll.ciqfunctions.udf.CIQ(A3588,"IQ_TOTAL_DEBT_ISSUED",IQ_FY-8), _xll.ciqfunctions.udf.CIQ(A3588, "IQ_TOTAL_DEBT_ISSUED",IQ_FY-7))</f>
        <v>0</v>
      </c>
      <c r="N3590" s="17">
        <f>IF(A3596=A3597,_xll.ciqfunctions.udf.CIQ(A3588,"IQ_TOTAL_DEBT_REPAID",IQ_FY-8), _xll.ciqfunctions.udf.CIQ(A3588, "IQ_TOTAL_DEBT_REPAID",IQ_FY-7))</f>
        <v>0</v>
      </c>
      <c r="O3590" s="15" t="e">
        <f t="shared" si="957"/>
        <v>#DIV/0!</v>
      </c>
      <c r="P3590" s="15" t="e">
        <f t="shared" si="958"/>
        <v>#DIV/0!</v>
      </c>
      <c r="Q3590" s="25" t="s">
        <v>21</v>
      </c>
      <c r="R3590" s="38" t="s">
        <v>49</v>
      </c>
      <c r="S3590" s="2">
        <f>(R3587*I3598)/1000</f>
        <v>4.2180410943000002</v>
      </c>
      <c r="U3590" s="25" t="s">
        <v>59</v>
      </c>
      <c r="V3590" s="38" t="s">
        <v>49</v>
      </c>
      <c r="W3590" s="2">
        <f>(V3587*I3598)/1000</f>
        <v>4.2180410943000002</v>
      </c>
      <c r="Y3590" s="25" t="s">
        <v>46</v>
      </c>
      <c r="Z3590" s="38" t="s">
        <v>49</v>
      </c>
      <c r="AA3590" s="2">
        <f>(Z3587*I3598)/1000</f>
        <v>4.2180410943000002</v>
      </c>
    </row>
    <row r="3591" spans="1:27">
      <c r="A3591" s="18"/>
      <c r="B3591" s="13">
        <v>4</v>
      </c>
      <c r="C3591" s="14" t="s">
        <v>22</v>
      </c>
      <c r="D3591" s="15" t="e" cm="1">
        <f t="array" ref="D3591">_xlfn.SINGLE(IF(A3596=A3597,_xll.ciqfunctions.udf.CIQ(A3588,"IQ_TOTAL_REV",IQ_FY-7)/I3591, _xll.ciqfunctions.udf.CIQ(A3588, "IQ_TOTAL_REV",IQ_FY-6)/I3591))</f>
        <v>#DIV/0!</v>
      </c>
      <c r="E3591" s="16" t="e">
        <f t="shared" si="959"/>
        <v>#DIV/0!</v>
      </c>
      <c r="F3591" s="15">
        <f>IF(A3596=A3597,_xll.ciqfunctions.udf.CIQ(A3588,"IQ_DILUT_EPS_EXCL",IQ_FY-7), _xll.ciqfunctions.udf.CIQ(A3588, "IQ_DILUT_EPS_EXCL",IQ_FY-6))</f>
        <v>0</v>
      </c>
      <c r="G3591" s="15">
        <f>IF(A3596=A3597,_xll.ciqfunctions.udf.CIQ(A3588,"IQ_EBITDA_MARGIN",IQ_FY-7), _xll.ciqfunctions.udf.CIQ(A3588, "IQ_EBITDA_MARGIN",IQ_FY-6))</f>
        <v>0</v>
      </c>
      <c r="H3591" s="15" t="e">
        <f>IF(A3596=A3597,_xll.ciqfunctions.udf.CIQ(A3588,"IQ_TOTAL_DIV_PAID_CF",IQ_FY-7)/-I3591, _xll.ciqfunctions.udf.CIQ(A3588, "IQ_TOTAL_DIV_PAID_CF",IQ_FY-6)/-I3591)</f>
        <v>#DIV/0!</v>
      </c>
      <c r="I3591" s="17">
        <f>IF(A3596=A3597,_xll.ciqfunctions.udf.CIQ(A3588,"IQ_TOTAL_OUTSTANDING_FILING_DATE",IQ_FY-7), _xll.ciqfunctions.udf.CIQ(A3588, "IQ_TOTAL_OUTSTANDING_FILING_DATE",IQ_FY-6))</f>
        <v>0</v>
      </c>
      <c r="J3591" s="17">
        <f>IF(A3596=A3597,_xll.ciqfunctions.udf.CIQ(A3588,"IQ_CASH_OPER",IQ_FY-7), _xll.ciqfunctions.udf.CIQ(A3588, "IQ_CASH_OPER",IQ_FY-6))</f>
        <v>0</v>
      </c>
      <c r="K3591" s="17">
        <f>IF(A3596=A3597,_xll.ciqfunctions.udf.CIQ(A3588,"IQ_CAPEX",IQ_FY-7), _xll.ciqfunctions.udf.CIQ(A3588, "IQ_CAPEX",IQ_FY-6))</f>
        <v>0</v>
      </c>
      <c r="L3591" s="15" t="e">
        <f t="shared" si="956"/>
        <v>#DIV/0!</v>
      </c>
      <c r="M3591" s="17">
        <f>IF(A3596=A3597,_xll.ciqfunctions.udf.CIQ(A3588,"IQ_TOTAL_DEBT_ISSUED",IQ_FY-7), _xll.ciqfunctions.udf.CIQ(A3588, "IQ_TOTAL_DEBT_ISSUED",IQ_FY-6))</f>
        <v>0</v>
      </c>
      <c r="N3591" s="17">
        <f>IF(A3596=A3597,_xll.ciqfunctions.udf.CIQ(A3588,"IQ_TOTAL_DEBT_REPAID",IQ_FY-7), _xll.ciqfunctions.udf.CIQ(A3588, "IQ_TOTAL_DEBT_REPAID",IQ_FY-6))</f>
        <v>0</v>
      </c>
      <c r="O3591" s="15" t="e">
        <f t="shared" si="957"/>
        <v>#DIV/0!</v>
      </c>
      <c r="P3591" s="15" t="e">
        <f t="shared" si="958"/>
        <v>#DIV/0!</v>
      </c>
      <c r="Q3591" s="25" t="s">
        <v>23</v>
      </c>
      <c r="R3591" s="38" t="s">
        <v>24</v>
      </c>
      <c r="S3591" s="1" t="e">
        <f>R3587/(AVERAGE(H3593:H3598)*(1+H3599)/(0.5-H3599))</f>
        <v>#DIV/0!</v>
      </c>
      <c r="U3591" s="25" t="s">
        <v>40</v>
      </c>
      <c r="V3591" s="38" t="s">
        <v>24</v>
      </c>
      <c r="W3591" s="1" t="e">
        <f>V3587/(AVERAGE(H3593:H3598)*(1+H3599)/(0.5-H3599))</f>
        <v>#DIV/0!</v>
      </c>
      <c r="Y3591" s="25" t="s">
        <v>47</v>
      </c>
      <c r="Z3591" s="38" t="s">
        <v>24</v>
      </c>
      <c r="AA3591" s="1" t="e">
        <f>Z3587/(AVERAGE(H3593:H3598)*(1+H3599)/(0.5-H3599))</f>
        <v>#DIV/0!</v>
      </c>
    </row>
    <row r="3592" spans="1:27">
      <c r="B3592" s="13">
        <v>5</v>
      </c>
      <c r="C3592" s="14" t="s">
        <v>25</v>
      </c>
      <c r="D3592" s="15" t="e" cm="1">
        <f t="array" ref="D3592">_xlfn.SINGLE(IF(A3596=A3597,_xll.ciqfunctions.udf.CIQ(A3588,"IQ_TOTAL_REV",IQ_FY-6)/I3592, _xll.ciqfunctions.udf.CIQ(A3588, "IQ_TOTAL_REV",IQ_FY-5)/I3592))</f>
        <v>#DIV/0!</v>
      </c>
      <c r="E3592" s="16" t="e">
        <f t="shared" si="959"/>
        <v>#DIV/0!</v>
      </c>
      <c r="F3592" s="15">
        <f>IF(A3596=A3597,_xll.ciqfunctions.udf.CIQ(A3588,"IQ_DILUT_EPS_EXCL",IQ_FY-6), _xll.ciqfunctions.udf.CIQ(A3588, "IQ_DILUT_EPS_EXCL",IQ_FY-5))</f>
        <v>0</v>
      </c>
      <c r="G3592" s="15">
        <f>IF(A3596=A3597,_xll.ciqfunctions.udf.CIQ(A3588,"IQ_EBITDA_MARGIN",IQ_FY-6), _xll.ciqfunctions.udf.CIQ(A3588, "IQ_EBITDA_MARGIN",IQ_FY-5))</f>
        <v>0</v>
      </c>
      <c r="H3592" s="15" t="e">
        <f>IF(A3596=A3597,_xll.ciqfunctions.udf.CIQ(A3588,"IQ_TOTAL_DIV_PAID_CF",IQ_FY-6)/-I3592, _xll.ciqfunctions.udf.CIQ(A3588, "IQ_TOTAL_DIV_PAID_CF",IQ_FY-5)/-I3592)</f>
        <v>#DIV/0!</v>
      </c>
      <c r="I3592" s="17">
        <f>IF(A3596=A3597,_xll.ciqfunctions.udf.CIQ(A3588,"IQ_TOTAL_OUTSTANDING_FILING_DATE",IQ_FY-6), _xll.ciqfunctions.udf.CIQ(A3588, "IQ_TOTAL_OUTSTANDING_FILING_DATE",IQ_FY-5))</f>
        <v>0</v>
      </c>
      <c r="J3592" s="17">
        <f>IF(A3596=A3597,_xll.ciqfunctions.udf.CIQ(A3588,"IQ_CASH_OPER",IQ_FY-6), _xll.ciqfunctions.udf.CIQ(A3588, "IQ_CASH_OPER",IQ_FY-5))</f>
        <v>0</v>
      </c>
      <c r="K3592" s="17">
        <f>IF(A3596=A3597,_xll.ciqfunctions.udf.CIQ(A3588,"IQ_CAPEX",IQ_FY-6), _xll.ciqfunctions.udf.CIQ(A3588, "IQ_CAPEX",IQ_FY-5))</f>
        <v>0</v>
      </c>
      <c r="L3592" s="15" t="e">
        <f t="shared" si="956"/>
        <v>#DIV/0!</v>
      </c>
      <c r="M3592" s="17">
        <f>IF(A3596=A3597,_xll.ciqfunctions.udf.CIQ(A3588,"IQ_TOTAL_DEBT_ISSUED",IQ_FY-6), _xll.ciqfunctions.udf.CIQ(A3588, "IQ_TOTAL_DEBT_ISSUED",IQ_FY-5))</f>
        <v>0</v>
      </c>
      <c r="N3592" s="17">
        <f>IF(A3596=A3597,_xll.ciqfunctions.udf.CIQ(A3588,"IQ_TOTAL_DEBT_REPAID",IQ_FY-6), _xll.ciqfunctions.udf.CIQ(A3588, "IQ_TOTAL_DEBT_REPAID",IQ_FY-5))</f>
        <v>0</v>
      </c>
      <c r="O3592" s="15" t="e">
        <f t="shared" si="957"/>
        <v>#DIV/0!</v>
      </c>
      <c r="P3592" s="15" t="e">
        <f t="shared" si="958"/>
        <v>#DIV/0!</v>
      </c>
      <c r="Q3592" s="18"/>
      <c r="R3592" s="38" t="s">
        <v>50</v>
      </c>
      <c r="S3592" s="3" t="e">
        <f>I3599</f>
        <v>#DIV/0!</v>
      </c>
      <c r="U3592" s="18"/>
      <c r="V3592" s="38" t="s">
        <v>50</v>
      </c>
      <c r="W3592" s="3" t="e">
        <f>I3599</f>
        <v>#DIV/0!</v>
      </c>
      <c r="Y3592" s="18"/>
      <c r="Z3592" s="38" t="s">
        <v>50</v>
      </c>
      <c r="AA3592" s="3" t="e">
        <f>I3599</f>
        <v>#DIV/0!</v>
      </c>
    </row>
    <row r="3593" spans="1:27">
      <c r="B3593" s="13">
        <v>6</v>
      </c>
      <c r="C3593" s="14" t="s">
        <v>26</v>
      </c>
      <c r="D3593" s="15" t="e" cm="1">
        <f t="array" ref="D3593">_xlfn.SINGLE(IF(A3596=A3597,_xll.ciqfunctions.udf.CIQ(A3588,"IQ_TOTAL_REV",IQ_FY-5)/I3593, _xll.ciqfunctions.udf.CIQ(A3588, "IQ_TOTAL_REV",IQ_FY-4)/I3593))</f>
        <v>#DIV/0!</v>
      </c>
      <c r="E3593" s="16" t="e">
        <f t="shared" si="959"/>
        <v>#DIV/0!</v>
      </c>
      <c r="F3593" s="15">
        <f>IF(A3596=A3597,_xll.ciqfunctions.udf.CIQ(A3588,"IQ_DILUT_EPS_EXCL",IQ_FY-5), _xll.ciqfunctions.udf.CIQ(A3588, "IQ_DILUT_EPS_EXCL",IQ_FY-4))</f>
        <v>0</v>
      </c>
      <c r="G3593" s="15">
        <f>IF(A3596=A3597,_xll.ciqfunctions.udf.CIQ(A3588,"IQ_EBITDA_MARGIN",IQ_FY-5), _xll.ciqfunctions.udf.CIQ(A3588, "IQ_EBITDA_MARGIN",IQ_FY-4))</f>
        <v>0</v>
      </c>
      <c r="H3593" s="15" t="e">
        <f>IF(A3596=A3597,_xll.ciqfunctions.udf.CIQ(A3588,"IQ_TOTAL_DIV_PAID_CF",IQ_FY-5)/-I3593, _xll.ciqfunctions.udf.CIQ(A3588, "IQ_TOTAL_DIV_PAID_CF",IQ_FY-4)/-I3593)</f>
        <v>#DIV/0!</v>
      </c>
      <c r="I3593" s="17">
        <f>IF(A3596=A3597,_xll.ciqfunctions.udf.CIQ(A3588,"IQ_TOTAL_OUTSTANDING_FILING_DATE",IQ_FY-5), _xll.ciqfunctions.udf.CIQ(A3588, "IQ_TOTAL_OUTSTANDING_FILING_DATE",IQ_FY-4))</f>
        <v>0</v>
      </c>
      <c r="J3593" s="17">
        <f>IF(A3596=A3597,_xll.ciqfunctions.udf.CIQ(A3588,"IQ_CASH_OPER",IQ_FY-5), _xll.ciqfunctions.udf.CIQ(A3588, "IQ_CASH_OPER",IQ_FY-4))</f>
        <v>0</v>
      </c>
      <c r="K3593" s="17">
        <f>IF(A3596=A3597,_xll.ciqfunctions.udf.CIQ(A3588,"IQ_CAPEX",IQ_FY-5), _xll.ciqfunctions.udf.CIQ(A3588, "IQ_CAPEX",IQ_FY-4))</f>
        <v>0</v>
      </c>
      <c r="L3593" s="15" t="e">
        <f t="shared" si="956"/>
        <v>#DIV/0!</v>
      </c>
      <c r="M3593" s="17">
        <f>IF(A3596=A3597,_xll.ciqfunctions.udf.CIQ(A3588,"IQ_TOTAL_DEBT_ISSUED",IQ_FY-5), _xll.ciqfunctions.udf.CIQ(A3588, "IQ_TOTAL_DEBT_ISSUED",IQ_FY-4))</f>
        <v>0</v>
      </c>
      <c r="N3593" s="17">
        <f>IF(A3596=A3597,_xll.ciqfunctions.udf.CIQ(A3588,"IQ_TOTAL_DEBT_REPAID",IQ_FY-5), _xll.ciqfunctions.udf.CIQ(A3588, "IQ_TOTAL_DEBT_REPAID",IQ_FY-4))</f>
        <v>0</v>
      </c>
      <c r="O3593" s="15" t="e">
        <f t="shared" si="957"/>
        <v>#DIV/0!</v>
      </c>
      <c r="P3593" s="15" t="e">
        <f t="shared" si="958"/>
        <v>#DIV/0!</v>
      </c>
      <c r="Q3593" s="25" t="s">
        <v>27</v>
      </c>
      <c r="R3593" s="38" t="s">
        <v>51</v>
      </c>
      <c r="S3593" s="4" t="e">
        <f>AVERAGE(F3593:F3598)/AVERAGE(D3593:D3598)</f>
        <v>#DIV/0!</v>
      </c>
      <c r="U3593" s="25" t="s">
        <v>58</v>
      </c>
      <c r="V3593" s="38" t="s">
        <v>51</v>
      </c>
      <c r="W3593" s="4" t="e">
        <f>AVERAGE(F3593:F3598)/AVERAGE(D3593:D3598)</f>
        <v>#DIV/0!</v>
      </c>
      <c r="Y3593" s="25" t="s">
        <v>56</v>
      </c>
      <c r="Z3593" s="38" t="s">
        <v>51</v>
      </c>
      <c r="AA3593" s="4" t="e">
        <f>AVERAGE(F3593:F3598)/AVERAGE(D3593:D3598)</f>
        <v>#DIV/0!</v>
      </c>
    </row>
    <row r="3594" spans="1:27">
      <c r="A3594" s="18"/>
      <c r="B3594" s="13">
        <v>7</v>
      </c>
      <c r="C3594" s="14" t="s">
        <v>28</v>
      </c>
      <c r="D3594" s="15" cm="1">
        <f t="array" ref="D3594">_xlfn.SINGLE(IF(A3596=A3597,_xll.ciqfunctions.udf.CIQ(A3588,"IQ_TOTAL_REV",IQ_FY-4)/I3594, _xll.ciqfunctions.udf.CIQ(A3588, "IQ_TOTAL_REV",IQ_FY-3)/I3594))</f>
        <v>3.7871512523575097</v>
      </c>
      <c r="E3594" s="16" t="e">
        <f t="shared" si="959"/>
        <v>#DIV/0!</v>
      </c>
      <c r="F3594" s="15">
        <f>IF(A3596=A3597,_xll.ciqfunctions.udf.CIQ(A3588,"IQ_DILUT_EPS_EXCL",IQ_FY-4), _xll.ciqfunctions.udf.CIQ(A3588, "IQ_DILUT_EPS_EXCL",IQ_FY-3))</f>
        <v>-0.47133999999999998</v>
      </c>
      <c r="G3594" s="15">
        <f>IF(A3596=A3597,_xll.ciqfunctions.udf.CIQ(A3588,"IQ_EBITDA_MARGIN",IQ_FY-4), _xll.ciqfunctions.udf.CIQ(A3588, "IQ_EBITDA_MARGIN",IQ_FY-3))</f>
        <v>-10.303800000000001</v>
      </c>
      <c r="H3594" s="15">
        <f>IF(A3596=A3597,_xll.ciqfunctions.udf.CIQ(A3588,"IQ_TOTAL_DIV_PAID_CF",IQ_FY-4)/-I3594, _xll.ciqfunctions.udf.CIQ(A3588, "IQ_TOTAL_DIV_PAID_CF",IQ_FY-3)/-I3594)</f>
        <v>0</v>
      </c>
      <c r="I3594" s="17">
        <f>IF(A3596=A3597,_xll.ciqfunctions.udf.CIQ(A3588,"IQ_TOTAL_OUTSTANDING_FILING_DATE",IQ_FY-4), _xll.ciqfunctions.udf.CIQ(A3588, "IQ_TOTAL_OUTSTANDING_FILING_DATE",IQ_FY-3))</f>
        <v>85.625309999999999</v>
      </c>
      <c r="J3594" s="17">
        <f>IF(A3596=A3597,_xll.ciqfunctions.udf.CIQ(A3588,"IQ_CASH_OPER",IQ_FY-4), _xll.ciqfunctions.udf.CIQ(A3588, "IQ_CASH_OPER",IQ_FY-3))</f>
        <v>18.966000000000001</v>
      </c>
      <c r="K3594" s="17">
        <f>IF(A3596=A3597,_xll.ciqfunctions.udf.CIQ(A3588,"IQ_CAPEX",IQ_FY-4), _xll.ciqfunctions.udf.CIQ(A3588, "IQ_CAPEX",IQ_FY-3))</f>
        <v>-2.633</v>
      </c>
      <c r="L3594" s="15">
        <f t="shared" si="956"/>
        <v>0.19074967436614246</v>
      </c>
      <c r="M3594" s="17">
        <f>IF(A3596=A3597,_xll.ciqfunctions.udf.CIQ(A3588,"IQ_TOTAL_DEBT_ISSUED",IQ_FY-4), _xll.ciqfunctions.udf.CIQ(A3588, "IQ_TOTAL_DEBT_ISSUED",IQ_FY-3))</f>
        <v>31.5</v>
      </c>
      <c r="N3594" s="17">
        <f>IF(A3596=A3597,_xll.ciqfunctions.udf.CIQ(A3588,"IQ_TOTAL_DEBT_REPAID",IQ_FY-4), _xll.ciqfunctions.udf.CIQ(A3588, "IQ_TOTAL_DEBT_REPAID",IQ_FY-3))</f>
        <v>-41</v>
      </c>
      <c r="O3594" s="15">
        <f t="shared" si="957"/>
        <v>-0.11094850342731606</v>
      </c>
      <c r="P3594" s="15">
        <f t="shared" si="958"/>
        <v>7.9801170938826396E-2</v>
      </c>
      <c r="Q3594" s="18"/>
      <c r="R3594" s="38" t="s">
        <v>29</v>
      </c>
      <c r="S3594" s="4" t="e">
        <f>(AVERAGE(P3593:P3598)/_xlfn.STDEV.P(P3593:P3598))/(IF(A3596=A3597,(_xlfn.SINGLE(_xll.ciqfunctions.udf.CIQ(A3588,"IQ_total_assets",IQ_FY)) - _xlfn.SINGLE(_xll.ciqfunctions.udf.CIQ(A3588,"iq_gw_intan", IQ_FY)))/I3598, (_xlfn.SINGLE(_xll.ciqfunctions.udf.CIQ(A3588, "IQ_total_assets",IQ_LTM))-_xlfn.SINGLE(_xll.ciqfunctions.udf.CIQ(A3588,"iq_gw_intan",IQ_LTM)))/I3598))</f>
        <v>#DIV/0!</v>
      </c>
      <c r="U3594" s="18"/>
      <c r="V3594" s="38" t="s">
        <v>29</v>
      </c>
      <c r="W3594" s="4" t="e">
        <f>(AVERAGE(P3593:P3598)/_xlfn.STDEV.P(P3593:P3598))/(IF(A3596=A3597,(_xlfn.SINGLE(_xll.ciqfunctions.udf.CIQ(A3588,"IQ_total_assets",IQ_FY)) - _xlfn.SINGLE(_xll.ciqfunctions.udf.CIQ(A3588,"iq_gw_intan", IQ_FY)))/I3598, (_xlfn.SINGLE(_xll.ciqfunctions.udf.CIQ(A3588, "IQ_total_assets",IQ_LTM))-_xlfn.SINGLE(_xll.ciqfunctions.udf.CIQ(A3588,"iq_gw_intan",IQ_LTM)))/I3598))</f>
        <v>#DIV/0!</v>
      </c>
      <c r="Y3594" s="18"/>
      <c r="Z3594" s="38" t="s">
        <v>29</v>
      </c>
      <c r="AA3594" s="4" t="e">
        <f>(AVERAGE(P3593:P3598)/_xlfn.STDEV.P(P3593:P3598))/(IF(A3596=A3597,(_xlfn.SINGLE(_xll.ciqfunctions.udf.CIQ(A3588,"IQ_total_assets",IQ_FY)) - _xlfn.SINGLE(_xll.ciqfunctions.udf.CIQ(A3588,"iq_gw_intan", IQ_FY)))/I3598, (_xlfn.SINGLE(_xll.ciqfunctions.udf.CIQ(A3588, "IQ_total_assets",IQ_LTM))-_xlfn.SINGLE(_xll.ciqfunctions.udf.CIQ(A3588,"iq_gw_intan",IQ_LTM)))/I3598))</f>
        <v>#DIV/0!</v>
      </c>
    </row>
    <row r="3595" spans="1:27">
      <c r="A3595" s="18"/>
      <c r="B3595" s="13">
        <v>8</v>
      </c>
      <c r="C3595" s="14" t="s">
        <v>30</v>
      </c>
      <c r="D3595" s="15" cm="1">
        <f t="array" ref="D3595">_xlfn.SINGLE(IF(A3596=A3597,_xll.ciqfunctions.udf.CIQ(A3588,"IQ_TOTAL_REV",IQ_FY-3)/I3595, _xll.ciqfunctions.udf.CIQ(A3588, "IQ_TOTAL_REV",IQ_FY-2)/I3595))</f>
        <v>4.0534795727383415</v>
      </c>
      <c r="E3595" s="16">
        <f t="shared" si="959"/>
        <v>7.0324183702734827E-2</v>
      </c>
      <c r="F3595" s="15">
        <f>IF(A3596=A3597,_xll.ciqfunctions.udf.CIQ(A3588,"IQ_DILUT_EPS_EXCL",IQ_FY-3), _xll.ciqfunctions.udf.CIQ(A3588, "IQ_DILUT_EPS_EXCL",IQ_FY-2))</f>
        <v>-0.42675999999999997</v>
      </c>
      <c r="G3595" s="15">
        <f>IF(A3596=A3597,_xll.ciqfunctions.udf.CIQ(A3588,"IQ_EBITDA_MARGIN",IQ_FY-3), _xll.ciqfunctions.udf.CIQ(A3588, "IQ_EBITDA_MARGIN",IQ_FY-2))</f>
        <v>-5.7925000000000004</v>
      </c>
      <c r="H3595" s="15">
        <f>IF(A3596=A3597,_xll.ciqfunctions.udf.CIQ(A3588,"IQ_TOTAL_DIV_PAID_CF",IQ_FY-3)/-I3595, _xll.ciqfunctions.udf.CIQ(A3588, "IQ_TOTAL_DIV_PAID_CF",IQ_FY-2)/-I3595)</f>
        <v>0</v>
      </c>
      <c r="I3595" s="17">
        <f>IF(A3596=A3597,_xll.ciqfunctions.udf.CIQ(A3588,"IQ_TOTAL_OUTSTANDING_FILING_DATE",IQ_FY-3), _xll.ciqfunctions.udf.CIQ(A3588, "IQ_TOTAL_OUTSTANDING_FILING_DATE",IQ_FY-2))</f>
        <v>95.45626</v>
      </c>
      <c r="J3595" s="17">
        <f>IF(A3596=A3597,_xll.ciqfunctions.udf.CIQ(A3588,"IQ_CASH_OPER",IQ_FY-3), _xll.ciqfunctions.udf.CIQ(A3588, "IQ_CASH_OPER",IQ_FY-2))</f>
        <v>7.3109999999999999</v>
      </c>
      <c r="K3595" s="17">
        <f>IF(A3596=A3597,_xll.ciqfunctions.udf.CIQ(A3588,"IQ_CAPEX",IQ_FY-3), _xll.ciqfunctions.udf.CIQ(A3588, "IQ_CAPEX",IQ_FY-2))</f>
        <v>-2.7010000000000001</v>
      </c>
      <c r="L3595" s="15">
        <f t="shared" si="956"/>
        <v>4.8294370636352182E-2</v>
      </c>
      <c r="M3595" s="17">
        <f>IF(A3596=A3597,_xll.ciqfunctions.udf.CIQ(A3588,"IQ_TOTAL_DEBT_ISSUED",IQ_FY-3), _xll.ciqfunctions.udf.CIQ(A3588, "IQ_TOTAL_DEBT_ISSUED",IQ_FY-2))</f>
        <v>123.398</v>
      </c>
      <c r="N3595" s="17">
        <f>IF(A3596=A3597,_xll.ciqfunctions.udf.CIQ(A3588,"IQ_TOTAL_DEBT_REPAID",IQ_FY-3), _xll.ciqfunctions.udf.CIQ(A3588, "IQ_TOTAL_DEBT_REPAID",IQ_FY-2))</f>
        <v>-49.972999999999999</v>
      </c>
      <c r="O3595" s="15">
        <f t="shared" si="957"/>
        <v>0.76920046940871134</v>
      </c>
      <c r="P3595" s="15">
        <f t="shared" si="958"/>
        <v>0.81749484004506356</v>
      </c>
      <c r="Q3595" s="18"/>
      <c r="R3595" s="39" t="s">
        <v>31</v>
      </c>
      <c r="S3595" s="5" t="e">
        <f>IF(NOT(D3588&gt;0),FALSE,SLOPE(G3588:G3598,B3588:B3598))</f>
        <v>#DIV/0!</v>
      </c>
      <c r="U3595" s="18"/>
      <c r="V3595" s="39" t="s">
        <v>31</v>
      </c>
      <c r="W3595" s="5" t="e">
        <f>IF(NOT(D3588&gt;0),FALSE,SLOPE(G3588:G3598,B3588:B3598))</f>
        <v>#DIV/0!</v>
      </c>
      <c r="Y3595" s="18"/>
      <c r="Z3595" s="39" t="s">
        <v>31</v>
      </c>
      <c r="AA3595" s="5" t="e">
        <f>IF(NOT(L3588&gt;0),FALSE,SLOPE(O3588:O3598,J3588:J3598))</f>
        <v>#DIV/0!</v>
      </c>
    </row>
    <row r="3596" spans="1:27">
      <c r="A3596" s="19">
        <f>_xll.ciqfunctions.udf.CIQ(A3588,"IQ_TOTAL_REV",IQ_FY)</f>
        <v>618.19000000000005</v>
      </c>
      <c r="B3596" s="13">
        <v>9</v>
      </c>
      <c r="C3596" s="14" t="s">
        <v>32</v>
      </c>
      <c r="D3596" s="15" cm="1">
        <f t="array" ref="D3596">_xlfn.SINGLE(IF(A3596=A3597,_xll.ciqfunctions.udf.CIQ(A3588,"IQ_TOTAL_REV",IQ_FY-2)/I3596, _xll.ciqfunctions.udf.CIQ(A3588, "IQ_TOTAL_REV",IQ_FY-1)/I3596))</f>
        <v>1.9177006629078133</v>
      </c>
      <c r="E3596" s="16">
        <f t="shared" si="959"/>
        <v>-0.5269001290137737</v>
      </c>
      <c r="F3596" s="15">
        <f>IF(A3596=A3597,_xll.ciqfunctions.udf.CIQ(A3588,"IQ_DILUT_EPS_EXCL",IQ_FY-2), _xll.ciqfunctions.udf.CIQ(A3588, "IQ_DILUT_EPS_EXCL",IQ_FY-1))</f>
        <v>-0.57157999999999998</v>
      </c>
      <c r="G3596" s="15">
        <f>IF(A3596=A3597,_xll.ciqfunctions.udf.CIQ(A3588,"IQ_EBITDA_MARGIN",IQ_FY-2), _xll.ciqfunctions.udf.CIQ(A3588, "IQ_EBITDA_MARGIN",IQ_FY-1))</f>
        <v>-16.823899999999998</v>
      </c>
      <c r="H3596" s="15">
        <f>IF(A3596=A3597,_xll.ciqfunctions.udf.CIQ(A3588,"IQ_TOTAL_DIV_PAID_CF",IQ_FY-2)/-I3596, _xll.ciqfunctions.udf.CIQ(A3588, "IQ_TOTAL_DIV_PAID_CF",IQ_FY-1)/-I3596)</f>
        <v>0</v>
      </c>
      <c r="I3596" s="17">
        <f>IF(A3596=A3597,_xll.ciqfunctions.udf.CIQ(A3588,"IQ_TOTAL_OUTSTANDING_FILING_DATE",IQ_FY-2), _xll.ciqfunctions.udf.CIQ(A3588, "IQ_TOTAL_OUTSTANDING_FILING_DATE",IQ_FY-1))</f>
        <v>256.7627</v>
      </c>
      <c r="J3596" s="17">
        <f>IF(A3596=A3597,_xll.ciqfunctions.udf.CIQ(A3588,"IQ_CASH_OPER",IQ_FY-2), _xll.ciqfunctions.udf.CIQ(A3588, "IQ_CASH_OPER",IQ_FY-1))</f>
        <v>-32.921999999999997</v>
      </c>
      <c r="K3596" s="17">
        <f>IF(A3596=A3597,_xll.ciqfunctions.udf.CIQ(A3588,"IQ_CAPEX",IQ_FY-2), _xll.ciqfunctions.udf.CIQ(A3588, "IQ_CAPEX",IQ_FY-1))</f>
        <v>-6.1479999999999997</v>
      </c>
      <c r="L3596" s="15">
        <f t="shared" si="956"/>
        <v>-0.15216384622844359</v>
      </c>
      <c r="M3596" s="17">
        <f>IF(A3596=A3597,_xll.ciqfunctions.udf.CIQ(A3588,"IQ_TOTAL_DEBT_ISSUED",IQ_FY-2), _xll.ciqfunctions.udf.CIQ(A3588, "IQ_TOTAL_DEBT_ISSUED",IQ_FY-1))</f>
        <v>0</v>
      </c>
      <c r="N3596" s="17">
        <f>IF(A3596=A3597,_xll.ciqfunctions.udf.CIQ(A3588,"IQ_TOTAL_DEBT_REPAID",IQ_FY-2), _xll.ciqfunctions.udf.CIQ(A3588, "IQ_TOTAL_DEBT_REPAID",IQ_FY-1))</f>
        <v>0</v>
      </c>
      <c r="O3596" s="15">
        <f t="shared" si="957"/>
        <v>0</v>
      </c>
      <c r="P3596" s="15">
        <f t="shared" si="958"/>
        <v>-0.15216384622844359</v>
      </c>
      <c r="Q3596" s="25" t="s">
        <v>33</v>
      </c>
      <c r="R3596" s="38" t="s">
        <v>52</v>
      </c>
      <c r="S3596" s="4" t="e">
        <f>(AVERAGE(O3593:O3598)/AVERAGE(P3593:P3598))</f>
        <v>#DIV/0!</v>
      </c>
      <c r="U3596" s="25" t="s">
        <v>54</v>
      </c>
      <c r="V3596" s="38" t="s">
        <v>52</v>
      </c>
      <c r="W3596" s="4" t="e">
        <f>(AVERAGE(O3593:O3598)/AVERAGE(P3593:P3598))</f>
        <v>#DIV/0!</v>
      </c>
      <c r="Y3596" s="25" t="s">
        <v>60</v>
      </c>
      <c r="Z3596" s="38" t="s">
        <v>52</v>
      </c>
      <c r="AA3596" s="4" t="e">
        <f>(AVERAGE(O3593:O3598)/AVERAGE(P3593:P3598))</f>
        <v>#DIV/0!</v>
      </c>
    </row>
    <row r="3597" spans="1:27">
      <c r="A3597" s="19">
        <f>_xll.ciqfunctions.udf.CIQ(A3588,"IQ_TOTAL_REV",IQ_LTM)</f>
        <v>674.41</v>
      </c>
      <c r="B3597" s="13">
        <v>10</v>
      </c>
      <c r="C3597" s="14" t="s">
        <v>34</v>
      </c>
      <c r="D3597" s="15" cm="1">
        <f t="array" ref="D3597">_xlfn.SINGLE(IF(A3596=A3597,_xll.ciqfunctions.udf.CIQ(A3588,"IQ_TOTAL_REV",IQ_FY-1)/I3597, _xll.ciqfunctions.udf.CIQ(A3588, "IQ_TOTAL_REV",IQ_FY)/I3597))</f>
        <v>2.3248867849823274</v>
      </c>
      <c r="E3597" s="16">
        <f t="shared" si="959"/>
        <v>0.21233038604528456</v>
      </c>
      <c r="F3597" s="15">
        <f>IF(A3596=A3597,_xll.ciqfunctions.udf.CIQ(A3588,"IQ_DILUT_EPS_EXCL",IQ_FY-1), _xll.ciqfunctions.udf.CIQ(A3588, "IQ_DILUT_EPS_EXCL",IQ_FY))</f>
        <v>-0.21478</v>
      </c>
      <c r="G3597" s="15">
        <f>IF(A3596=A3597,_xll.ciqfunctions.udf.CIQ(A3588,"IQ_EBITDA_MARGIN",IQ_FY-1), _xll.ciqfunctions.udf.CIQ(A3588, "IQ_EBITDA_MARGIN",IQ_FY))</f>
        <v>-7.2146999999999997</v>
      </c>
      <c r="H3597" s="15">
        <f>IF(A3596=A3597,_xll.ciqfunctions.udf.CIQ(A3588,"IQ_TOTAL_DIV_PAID_CF",IQ_FY-1)/-I3597, _xll.ciqfunctions.udf.CIQ(A3588, "IQ_TOTAL_DIV_PAID_CF",IQ_FY)/-I3597)</f>
        <v>0</v>
      </c>
      <c r="I3597" s="17">
        <f>IF(A3596=A3597,_xll.ciqfunctions.udf.CIQ(A3588,"IQ_TOTAL_OUTSTANDING_FILING_DATE",IQ_FY-1), _xll.ciqfunctions.udf.CIQ(A3588, "IQ_TOTAL_OUTSTANDING_FILING_DATE",IQ_FY))</f>
        <v>265.90111999999999</v>
      </c>
      <c r="J3597" s="17">
        <f>IF(A3596=A3597,_xll.ciqfunctions.udf.CIQ(A3588,"IQ_CASH_OPER",IQ_FY-1), _xll.ciqfunctions.udf.CIQ(A3588, "IQ_CASH_OPER",IQ_FY))</f>
        <v>26.66</v>
      </c>
      <c r="K3597" s="17">
        <f>IF(A3596=A3597,_xll.ciqfunctions.udf.CIQ(A3588,"IQ_CAPEX",IQ_FY-1), _xll.ciqfunctions.udf.CIQ(A3588, "IQ_CAPEX",IQ_FY))</f>
        <v>-6.0910000000000002</v>
      </c>
      <c r="L3597" s="15">
        <f t="shared" si="956"/>
        <v>7.7355823096946719E-2</v>
      </c>
      <c r="M3597" s="17">
        <f>IF(A3596=A3597,_xll.ciqfunctions.udf.CIQ(A3588,"IQ_TOTAL_DEBT_ISSUED",IQ_FY-1), _xll.ciqfunctions.udf.CIQ(A3588, "IQ_TOTAL_DEBT_ISSUED",IQ_FY))</f>
        <v>0</v>
      </c>
      <c r="N3597" s="17">
        <f>IF(A3596=A3597,_xll.ciqfunctions.udf.CIQ(A3588,"IQ_TOTAL_DEBT_REPAID",IQ_FY-1), _xll.ciqfunctions.udf.CIQ(A3588, "IQ_TOTAL_DEBT_REPAID",IQ_FY))</f>
        <v>0</v>
      </c>
      <c r="O3597" s="15">
        <f t="shared" si="957"/>
        <v>0</v>
      </c>
      <c r="P3597" s="15">
        <f t="shared" si="958"/>
        <v>7.7355823096946719E-2</v>
      </c>
      <c r="Q3597" s="25" t="s">
        <v>44</v>
      </c>
      <c r="R3597" s="38" t="s">
        <v>35</v>
      </c>
      <c r="S3597" s="1">
        <f>_xll.ciqfunctions.udf.CIQ(A3588,"IQ_TEV_EBITDA")</f>
        <v>281.07540999999998</v>
      </c>
      <c r="U3597" s="25" t="s">
        <v>55</v>
      </c>
      <c r="V3597" s="38" t="s">
        <v>53</v>
      </c>
      <c r="W3597" s="1" t="e">
        <f>V3587/(AVERAGE(D3593:D3598)/_xlfn.STDEV.P(E3593:E3598))</f>
        <v>#DIV/0!</v>
      </c>
      <c r="Y3597" s="25" t="s">
        <v>57</v>
      </c>
      <c r="Z3597" s="38" t="s">
        <v>53</v>
      </c>
      <c r="AA3597" s="1" t="e">
        <f>Z3587/(AVERAGE(D3593:D3598)/_xlfn.STDEV.P(E3593:E3598))</f>
        <v>#DIV/0!</v>
      </c>
    </row>
    <row r="3598" spans="1:27">
      <c r="B3598" s="13">
        <v>11</v>
      </c>
      <c r="C3598" s="20" t="s">
        <v>36</v>
      </c>
      <c r="D3598" s="21" cm="1">
        <f t="array" ref="D3598">_xlfn.SINGLE(IF(A3596=A3597,_xll.ciqfunctions.udf.CIQ(A3588,"IQ_TOTAL_REV",IQ_FY)/I3598, _xll.ciqfunctions.udf.CIQ(A3588, "IQ_TOTAL_REV",IQ_LTM)/I3598))</f>
        <v>2.4934379999788514</v>
      </c>
      <c r="E3598" s="22">
        <f t="shared" si="959"/>
        <v>7.2498676531384421E-2</v>
      </c>
      <c r="F3598" s="21">
        <f>IF(A3596=A3597,_xll.ciqfunctions.udf.CIQ(A3588,"IQ_DILUT_EPS_EXCL",IQ_FY), _xll.ciqfunctions.udf.CIQ(A3588, "IQ_DILUT_EPS_EXCL",IQ_LTM))</f>
        <v>2.5610000000000001E-2</v>
      </c>
      <c r="G3598" s="21">
        <f>IF(A3596=A3597,_xll.ciqfunctions.udf.CIQ(A3588,"IQ_EBITDA_MARGIN",IQ_FY), _xll.ciqfunctions.udf.CIQ(A3588, "IQ_EBITDA_MARGIN",IQ_LTM))</f>
        <v>0.37440000000000001</v>
      </c>
      <c r="H3598" s="21">
        <f>IF(A3596=A3597,_xll.ciqfunctions.udf.CIQ(A3588,"IQ_TOTAL_DIV_PAID_CF",IQ_FY)/-I3598, _xll.ciqfunctions.udf.CIQ(A3588, "IQ_TOTAL_DIV_PAID_CF",IQ_LTM)/-I3598)</f>
        <v>0</v>
      </c>
      <c r="I3598" s="23">
        <f>IF(A3596=A3597,_xll.ciqfunctions.udf.CIQ(A3588,"IQ_TOTAL_OUTSTANDING_FILING_DATE",IQ_FY),_xll.ciqfunctions.udf.CIQ(A3588,"IQ_sharesoutstanding"))</f>
        <v>270.47394000000003</v>
      </c>
      <c r="J3598" s="23">
        <f>IF(A3596=A3597,_xll.ciqfunctions.udf.CIQ(A3588,"IQ_CASH_OPER",IQ_FY), _xll.ciqfunctions.udf.CIQ(A3588, "IQ_CASH_OPER",IQ_LTM))</f>
        <v>56.820999999999998</v>
      </c>
      <c r="K3598" s="23">
        <f>IF(A3596=A3597,_xll.ciqfunctions.udf.CIQ(A3588,"IQ_CAPEX",IQ_FY), _xll.ciqfunctions.udf.CIQ(A3588, "IQ_CAPEX",IQ_LTM))</f>
        <v>-8.1519999999999992</v>
      </c>
      <c r="L3598" s="21">
        <f t="shared" si="956"/>
        <v>0.17993970139969859</v>
      </c>
      <c r="M3598" s="23">
        <f>IF(A3596=A3597,_xll.ciqfunctions.udf.CIQ(A3588,"IQ_TOTAL_DEBT_ISSUED",IQ_FY), _xll.ciqfunctions.udf.CIQ(A3588, "IQ_TOTAL_DEBT_ISSUED",IQ_LTM))</f>
        <v>0</v>
      </c>
      <c r="N3598" s="23">
        <f>IF(A3596=A3597,_xll.ciqfunctions.udf.CIQ(A3588,"IQ_TOTAL_DEBT_REPAID",IQ_FY), _xll.ciqfunctions.udf.CIQ(A3588, "IQ_TOTAL_DEBT_REPAID",IQ_LTM))</f>
        <v>0</v>
      </c>
      <c r="O3598" s="21">
        <f t="shared" si="957"/>
        <v>0</v>
      </c>
      <c r="P3598" s="21">
        <f t="shared" si="958"/>
        <v>0.17993970139969859</v>
      </c>
      <c r="Q3598" s="25" t="s">
        <v>45</v>
      </c>
      <c r="S3598" s="45"/>
      <c r="U3598" s="25"/>
      <c r="W3598" s="45"/>
      <c r="Y3598" s="25"/>
      <c r="AA3598" s="45"/>
    </row>
    <row r="3599" spans="1:27">
      <c r="B3599" s="24"/>
      <c r="C3599" s="25" t="s">
        <v>37</v>
      </c>
      <c r="E3599" s="26" t="e">
        <f>((D3598/D3593)^(1/5))-1</f>
        <v>#DIV/0!</v>
      </c>
      <c r="F3599" s="27" t="e">
        <f>((F3598/F3593)^(1/5))-1</f>
        <v>#DIV/0!</v>
      </c>
      <c r="G3599" s="28"/>
      <c r="H3599" s="27" t="e">
        <f>((H3598/H3593)^(1/5))-1</f>
        <v>#DIV/0!</v>
      </c>
      <c r="I3599" s="27" t="e">
        <f>((I3598/I3593)^(1/5))-1</f>
        <v>#DIV/0!</v>
      </c>
      <c r="J3599" s="27"/>
      <c r="K3599" s="27"/>
      <c r="L3599" s="26" t="e">
        <f>((L3598/L3593)^(1/5))-1</f>
        <v>#DIV/0!</v>
      </c>
      <c r="M3599" s="26"/>
      <c r="N3599" s="26"/>
      <c r="O3599" s="26"/>
      <c r="P3599" s="26" t="e">
        <f>((P3598/P3593)^(1/5))-1</f>
        <v>#DIV/0!</v>
      </c>
      <c r="Q3599" s="18"/>
      <c r="R3599" s="36"/>
      <c r="S3599" s="45"/>
      <c r="U3599" s="18"/>
      <c r="V3599" s="36"/>
      <c r="W3599" s="45"/>
      <c r="Y3599" s="18"/>
      <c r="Z3599" s="36"/>
      <c r="AA3599" s="45"/>
    </row>
    <row r="3600" spans="1:27">
      <c r="A3600" s="29"/>
      <c r="B3600" s="30"/>
      <c r="C3600" s="31" t="s">
        <v>38</v>
      </c>
      <c r="D3600" s="29"/>
      <c r="E3600" s="32" t="e">
        <f>((D3598/D3588)^(1/10))-1</f>
        <v>#DIV/0!</v>
      </c>
      <c r="F3600" s="33" t="e">
        <f>((F3598/F3588)^(1/10))-1</f>
        <v>#DIV/0!</v>
      </c>
      <c r="G3600" s="34"/>
      <c r="H3600" s="33" t="e">
        <f>((H3598/H3588)^(1/10))-1</f>
        <v>#DIV/0!</v>
      </c>
      <c r="I3600" s="33" t="e">
        <f>((I3598/I3588)^(1/10))-1</f>
        <v>#DIV/0!</v>
      </c>
      <c r="J3600" s="33"/>
      <c r="K3600" s="33"/>
      <c r="L3600" s="32" t="e">
        <f>((L3598/L3588)^(1/10))-1</f>
        <v>#DIV/0!</v>
      </c>
      <c r="M3600" s="32"/>
      <c r="N3600" s="32"/>
      <c r="O3600" s="32"/>
      <c r="P3600" s="32" t="e">
        <f>((P3598/P3588)^(1/10))-1</f>
        <v>#DIV/0!</v>
      </c>
      <c r="Q3600" s="40"/>
      <c r="R3600" s="41"/>
      <c r="S3600" s="46"/>
      <c r="U3600" s="40"/>
      <c r="V3600" s="41"/>
      <c r="W3600" s="46"/>
      <c r="Y3600" s="40"/>
      <c r="Z3600" s="41"/>
      <c r="AA3600" s="46"/>
    </row>
    <row r="3601" spans="1:27">
      <c r="B3601" s="24"/>
      <c r="C3601" s="25"/>
      <c r="E3601" s="26"/>
      <c r="F3601" s="27"/>
      <c r="G3601" s="28"/>
      <c r="H3601" s="27"/>
      <c r="I3601" s="27"/>
      <c r="J3601" s="27"/>
      <c r="K3601" s="27"/>
      <c r="L3601" s="26"/>
      <c r="M3601" s="17"/>
      <c r="N3601" s="17"/>
      <c r="O3601" s="17"/>
      <c r="P3601" s="35"/>
      <c r="Q3601" s="18"/>
      <c r="R3601" s="36"/>
    </row>
    <row r="3602" spans="1:27">
      <c r="A3602" s="9" t="s">
        <v>0</v>
      </c>
      <c r="B3602" s="10"/>
      <c r="C3602" s="9" t="s">
        <v>1</v>
      </c>
      <c r="D3602" s="9" t="s">
        <v>2</v>
      </c>
      <c r="E3602" s="9" t="s">
        <v>3</v>
      </c>
      <c r="F3602" s="11" t="s">
        <v>4</v>
      </c>
      <c r="G3602" s="11" t="s">
        <v>5</v>
      </c>
      <c r="H3602" s="9" t="s">
        <v>6</v>
      </c>
      <c r="I3602" s="11" t="s">
        <v>7</v>
      </c>
      <c r="J3602" s="11" t="s">
        <v>8</v>
      </c>
      <c r="K3602" s="11" t="s">
        <v>9</v>
      </c>
      <c r="L3602" s="11" t="s">
        <v>10</v>
      </c>
      <c r="M3602" s="11" t="s">
        <v>11</v>
      </c>
      <c r="N3602" s="11" t="s">
        <v>12</v>
      </c>
      <c r="O3602" s="11" t="s">
        <v>13</v>
      </c>
      <c r="P3602" s="11" t="s">
        <v>14</v>
      </c>
      <c r="Q3602" s="37" t="s">
        <v>15</v>
      </c>
      <c r="R3602" s="42">
        <f>_xll.ciqfunctions.udf.CIQ(A3603,("IQ_LASTSALEPRICE"))</f>
        <v>2.145</v>
      </c>
      <c r="S3602" s="44"/>
      <c r="U3602" s="37" t="s">
        <v>15</v>
      </c>
      <c r="V3602" s="42">
        <f>_xll.ciqfunctions.udf.CIQ(A3603,("IQ_LASTSALEPRICE"))</f>
        <v>2.145</v>
      </c>
      <c r="W3602" s="44"/>
      <c r="Y3602" s="37" t="s">
        <v>15</v>
      </c>
      <c r="Z3602" s="42">
        <f>_xll.ciqfunctions.udf.CIQ(A3603,("IQ_LASTSALEPRICE"))</f>
        <v>2.145</v>
      </c>
      <c r="AA3602" s="44"/>
    </row>
    <row r="3603" spans="1:27">
      <c r="A3603" s="12" t="str">
        <f>Analysis!B242</f>
        <v>NasdaqGS:AUR</v>
      </c>
      <c r="B3603" s="13">
        <v>1</v>
      </c>
      <c r="C3603" s="14" t="s">
        <v>16</v>
      </c>
      <c r="D3603" s="15" t="e">
        <f>IF(A3611=A3612,_xll.ciqfunctions.udf.CIQ(A3603,"IQ_TOTAL_REV",IQ_FY-10)/I3603,_xll.ciqfunctions.udf.CIQ(A3603, "IQ_TOTAL_REV",IQ_FY-9)/I3603)</f>
        <v>#DIV/0!</v>
      </c>
      <c r="E3603" s="16"/>
      <c r="F3603" s="15">
        <f>IF(A3611=A3612,_xll.ciqfunctions.udf.CIQ(A3603,"IQ_DILUT_EPS_EXCL",IQ_FY-10), _xll.ciqfunctions.udf.CIQ(A3603, "IQ_DILUT_EPS_EXCL",IQ_FY-9))</f>
        <v>0</v>
      </c>
      <c r="G3603" s="15">
        <f>IF(A3611=A3612,_xll.ciqfunctions.udf.CIQ(A3603,"IQ_EBITDA_MARGIN",IQ_FY-10), _xll.ciqfunctions.udf.CIQ(A3603, "IQ_EBITDA_MARGIN",IQ_FY-9))</f>
        <v>0</v>
      </c>
      <c r="H3603" s="15" t="e">
        <f>IF(A3611=A3612,_xll.ciqfunctions.udf.CIQ(A3603,"IQ_TOTAL_DIV_PAID_CF",IQ_FY-10)/-I3603, _xll.ciqfunctions.udf.CIQ(A3603, "IQ_TOTAL_DIV_PAID_CF",IQ_FY-9)/-I3603)</f>
        <v>#DIV/0!</v>
      </c>
      <c r="I3603" s="17">
        <f>IF(A3611=A3612,_xll.ciqfunctions.udf.CIQ(A3603,"IQ_TOTAL_OUTSTANDING_FILING_DATE",IQ_FY-10), _xll.ciqfunctions.udf.CIQ(A3603, "IQ_TOTAL_OUTSTANDING_FILING_DATE",IQ_FY-9))</f>
        <v>0</v>
      </c>
      <c r="J3603" s="17">
        <f>IF(A3611=A3612,_xll.ciqfunctions.udf.CIQ(A3603,"IQ_CASH_OPER",IQ_FY-10), _xll.ciqfunctions.udf.CIQ(A3603, "IQ_CASH_OPER",IQ_FY-9))</f>
        <v>0</v>
      </c>
      <c r="K3603" s="17">
        <f>IF(A3611=A3612,_xll.ciqfunctions.udf.CIQ(A3603,"IQ_CAPEX",IQ_FY-10), _xll.ciqfunctions.udf.CIQ(A3603, "IQ_CAPEX",IQ_FY-9))</f>
        <v>0</v>
      </c>
      <c r="L3603" s="15" t="e">
        <f t="shared" ref="L3603:L3613" si="960">(J3603+K3603)/I3603</f>
        <v>#DIV/0!</v>
      </c>
      <c r="M3603" s="17">
        <f>IF(A3611=A3612,_xll.ciqfunctions.udf.CIQ(A3603,"IQ_TOTAL_DEBT_ISSUED",IQ_FY-10), _xll.ciqfunctions.udf.CIQ(A3603, "IQ_TOTAL_DEBT_ISSUED",IQ_FY-9))</f>
        <v>0</v>
      </c>
      <c r="N3603" s="17">
        <f>IF(A3611=A3612,_xll.ciqfunctions.udf.CIQ(A3603,"IQ_TOTAL_DEBT_REPAID",IQ_FY-10), _xll.ciqfunctions.udf.CIQ(A3603, "IQ_TOTAL_DEBT_REPAID",IQ_FY-9))</f>
        <v>0</v>
      </c>
      <c r="O3603" s="15" t="e">
        <f t="shared" ref="O3603:O3613" si="961">(M3603+N3603)/I3603</f>
        <v>#DIV/0!</v>
      </c>
      <c r="P3603" s="15" t="e">
        <f t="shared" ref="P3603:P3613" si="962">L3603+O3603</f>
        <v>#DIV/0!</v>
      </c>
      <c r="W3603" s="43"/>
      <c r="AA3603" s="43"/>
    </row>
    <row r="3604" spans="1:27">
      <c r="A3604" s="18" t="str">
        <f>_xll.ciqfunctions.udf.CIQ(A3603,"IQ_COMPANY_NAME")</f>
        <v>Aurora Innovation, Inc.</v>
      </c>
      <c r="B3604" s="13">
        <v>2</v>
      </c>
      <c r="C3604" s="14" t="s">
        <v>17</v>
      </c>
      <c r="D3604" s="15" t="e">
        <f>IF(A3611=A3612,_xll.ciqfunctions.udf.CIQ(A3603,"IQ_TOTAL_REV",IQ_FY-9)/I3604, _xll.ciqfunctions.udf.CIQ(A3603, "IQ_TOTAL_REV",IQ_FY-8)/I3604)</f>
        <v>#DIV/0!</v>
      </c>
      <c r="E3604" s="16" t="e">
        <f t="shared" ref="E3604:E3613" si="963">(D3604-D3603)/D3603</f>
        <v>#DIV/0!</v>
      </c>
      <c r="F3604" s="15">
        <f>IF(A3611=A3612,_xll.ciqfunctions.udf.CIQ(A3603,"IQ_DILUT_EPS_EXCL",IQ_FY-9), _xll.ciqfunctions.udf.CIQ(A3603, "IQ_DILUT_EPS_EXCL",IQ_FY-8))</f>
        <v>0</v>
      </c>
      <c r="G3604" s="15">
        <f>IF(A3611=A3612,_xll.ciqfunctions.udf.CIQ(A3603,"IQ_EBITDA_MARGIN",IQ_FY-9), _xll.ciqfunctions.udf.CIQ(A3603, "IQ_EBITDA_MARGIN",IQ_FY-8))</f>
        <v>0</v>
      </c>
      <c r="H3604" s="15" t="e">
        <f>IF(A3611=A3612,_xll.ciqfunctions.udf.CIQ(A3603,"IQ_TOTAL_DIV_PAID_CF",IQ_FY-9)/-I3604, _xll.ciqfunctions.udf.CIQ(A3603, "IQ_TOTAL_DIV_PAID_CF",IQ_FY-8)/-I3604)</f>
        <v>#DIV/0!</v>
      </c>
      <c r="I3604" s="17">
        <f>IF(A3611=A3612,_xll.ciqfunctions.udf.CIQ(A3603,"IQ_TOTAL_OUTSTANDING_FILING_DATE",IQ_FY-9), _xll.ciqfunctions.udf.CIQ(A3603, "IQ_TOTAL_OUTSTANDING_FILING_DATE",IQ_FY-8))</f>
        <v>0</v>
      </c>
      <c r="J3604" s="17">
        <f>IF(A3611=A3612,_xll.ciqfunctions.udf.CIQ(A3603,"IQ_CASH_OPER",IQ_FY-9), _xll.ciqfunctions.udf.CIQ(A3603, "IQ_CASH_OPER",IQ_FY-8))</f>
        <v>0</v>
      </c>
      <c r="K3604" s="17">
        <f>IF(A3611=A3612,_xll.ciqfunctions.udf.CIQ(A3603,"IQ_CAPEX",IQ_FY-9), _xll.ciqfunctions.udf.CIQ(A3603, "IQ_CAPEX",IQ_FY-8))</f>
        <v>0</v>
      </c>
      <c r="L3604" s="15" t="e">
        <f t="shared" si="960"/>
        <v>#DIV/0!</v>
      </c>
      <c r="M3604" s="17">
        <f>IF(A3611=A3612,_xll.ciqfunctions.udf.CIQ(A3603,"IQ_TOTAL_DEBT_ISSUED",IQ_FY-9), _xll.ciqfunctions.udf.CIQ(A3603, "IQ_TOTAL_DEBT_ISSUED",IQ_FY-8))</f>
        <v>0</v>
      </c>
      <c r="N3604" s="17">
        <f>IF(A3611=A3612,_xll.ciqfunctions.udf.CIQ(A3603,"IQ_TOTAL_DEBT_REPAID",IQ_FY-9), _xll.ciqfunctions.udf.CIQ(A3603, "IQ_TOTAL_DEBT_REPAID",IQ_FY-8))</f>
        <v>0</v>
      </c>
      <c r="O3604" s="15" t="e">
        <f t="shared" si="961"/>
        <v>#DIV/0!</v>
      </c>
      <c r="P3604" s="15" t="e">
        <f t="shared" si="962"/>
        <v>#DIV/0!</v>
      </c>
      <c r="Q3604" s="25" t="s">
        <v>18</v>
      </c>
      <c r="R3604" s="39" t="s">
        <v>19</v>
      </c>
      <c r="S3604" s="1" t="e">
        <f>R3602/((AVERAGE(P3608:P3613))*(1+E3614)^3)</f>
        <v>#DIV/0!</v>
      </c>
      <c r="U3604" s="25" t="s">
        <v>48</v>
      </c>
      <c r="V3604" s="39" t="s">
        <v>19</v>
      </c>
      <c r="W3604" s="1" t="e">
        <f>V3602/((AVERAGE(P3608:P3613))*(1+E3614)^3)</f>
        <v>#DIV/0!</v>
      </c>
      <c r="Y3604" s="25" t="s">
        <v>39</v>
      </c>
      <c r="Z3604" s="39" t="s">
        <v>19</v>
      </c>
      <c r="AA3604" s="1" t="e">
        <f>Z3602/((AVERAGE(P3608:P3613))*(1+E3614)^3)</f>
        <v>#DIV/0!</v>
      </c>
    </row>
    <row r="3605" spans="1:27">
      <c r="B3605" s="13">
        <v>3</v>
      </c>
      <c r="C3605" s="14" t="s">
        <v>20</v>
      </c>
      <c r="D3605" s="15" t="e" cm="1">
        <f t="array" ref="D3605">_xlfn.SINGLE(IF(A3611=A3612,_xll.ciqfunctions.udf.CIQ(A3603,"IQ_TOTAL_REV",IQ_FY-8)/I3605, _xll.ciqfunctions.udf.CIQ(A3603, "IQ_TOTAL_REV",IQ_FY-7)/I3605))</f>
        <v>#DIV/0!</v>
      </c>
      <c r="E3605" s="16" t="e">
        <f t="shared" si="963"/>
        <v>#DIV/0!</v>
      </c>
      <c r="F3605" s="15">
        <f>IF(A3611=A3612,_xll.ciqfunctions.udf.CIQ(A3603,"IQ_DILUT_EPS_EXCL",IQ_FY-8), _xll.ciqfunctions.udf.CIQ(A3603, "IQ_DILUT_EPS_EXCL",IQ_FY-7))</f>
        <v>0</v>
      </c>
      <c r="G3605" s="15">
        <f>IF(A3611=A3612,_xll.ciqfunctions.udf.CIQ(A3603,"IQ_EBITDA_MARGIN",IQ_FY-8), _xll.ciqfunctions.udf.CIQ(A3603, "IQ_EBITDA_MARGIN",IQ_FY-7))</f>
        <v>0</v>
      </c>
      <c r="H3605" s="15" t="e">
        <f>IF(A3611=A3612,_xll.ciqfunctions.udf.CIQ(A3603,"IQ_TOTAL_DIV_PAID_CF",IQ_FY-8)/-I3605, _xll.ciqfunctions.udf.CIQ(A3603, "IQ_TOTAL_DIV_PAID_CF",IQ_FY-7)/-I3605)</f>
        <v>#DIV/0!</v>
      </c>
      <c r="I3605" s="17">
        <f>IF(A3611=A3612,_xll.ciqfunctions.udf.CIQ(A3603,"IQ_TOTAL_OUTSTANDING_FILING_DATE",IQ_FY-8), _xll.ciqfunctions.udf.CIQ(A3603, "IQ_TOTAL_OUTSTANDING_FILING_DATE",IQ_FY-7))</f>
        <v>0</v>
      </c>
      <c r="J3605" s="17">
        <f>IF(A3611=A3612,_xll.ciqfunctions.udf.CIQ(A3603,"IQ_CASH_OPER",IQ_FY-8), _xll.ciqfunctions.udf.CIQ(A3603, "IQ_CASH_OPER",IQ_FY-7))</f>
        <v>0</v>
      </c>
      <c r="K3605" s="17">
        <f>IF(A3611=A3612,_xll.ciqfunctions.udf.CIQ(A3603,"IQ_CAPEX",IQ_FY-8), _xll.ciqfunctions.udf.CIQ(A3603, "IQ_CAPEX",IQ_FY-7))</f>
        <v>0</v>
      </c>
      <c r="L3605" s="15" t="e">
        <f t="shared" si="960"/>
        <v>#DIV/0!</v>
      </c>
      <c r="M3605" s="17">
        <f>IF(A3611=A3612,_xll.ciqfunctions.udf.CIQ(A3603,"IQ_TOTAL_DEBT_ISSUED",IQ_FY-8), _xll.ciqfunctions.udf.CIQ(A3603, "IQ_TOTAL_DEBT_ISSUED",IQ_FY-7))</f>
        <v>0</v>
      </c>
      <c r="N3605" s="17">
        <f>IF(A3611=A3612,_xll.ciqfunctions.udf.CIQ(A3603,"IQ_TOTAL_DEBT_REPAID",IQ_FY-8), _xll.ciqfunctions.udf.CIQ(A3603, "IQ_TOTAL_DEBT_REPAID",IQ_FY-7))</f>
        <v>0</v>
      </c>
      <c r="O3605" s="15" t="e">
        <f t="shared" si="961"/>
        <v>#DIV/0!</v>
      </c>
      <c r="P3605" s="15" t="e">
        <f t="shared" si="962"/>
        <v>#DIV/0!</v>
      </c>
      <c r="Q3605" s="25" t="s">
        <v>21</v>
      </c>
      <c r="R3605" s="38" t="s">
        <v>49</v>
      </c>
      <c r="S3605" s="2">
        <f>(R3602*I3613)/1000</f>
        <v>3.2599469545500002</v>
      </c>
      <c r="U3605" s="25" t="s">
        <v>59</v>
      </c>
      <c r="V3605" s="38" t="s">
        <v>49</v>
      </c>
      <c r="W3605" s="2">
        <f>(V3602*I3613)/1000</f>
        <v>3.2599469545500002</v>
      </c>
      <c r="Y3605" s="25" t="s">
        <v>46</v>
      </c>
      <c r="Z3605" s="38" t="s">
        <v>49</v>
      </c>
      <c r="AA3605" s="2">
        <f>(Z3602*I3613)/1000</f>
        <v>3.2599469545500002</v>
      </c>
    </row>
    <row r="3606" spans="1:27">
      <c r="A3606" s="18"/>
      <c r="B3606" s="13">
        <v>4</v>
      </c>
      <c r="C3606" s="14" t="s">
        <v>22</v>
      </c>
      <c r="D3606" s="15" t="e" cm="1">
        <f t="array" ref="D3606">_xlfn.SINGLE(IF(A3611=A3612,_xll.ciqfunctions.udf.CIQ(A3603,"IQ_TOTAL_REV",IQ_FY-7)/I3606, _xll.ciqfunctions.udf.CIQ(A3603, "IQ_TOTAL_REV",IQ_FY-6)/I3606))</f>
        <v>#DIV/0!</v>
      </c>
      <c r="E3606" s="16" t="e">
        <f t="shared" si="963"/>
        <v>#DIV/0!</v>
      </c>
      <c r="F3606" s="15">
        <f>IF(A3611=A3612,_xll.ciqfunctions.udf.CIQ(A3603,"IQ_DILUT_EPS_EXCL",IQ_FY-7), _xll.ciqfunctions.udf.CIQ(A3603, "IQ_DILUT_EPS_EXCL",IQ_FY-6))</f>
        <v>0</v>
      </c>
      <c r="G3606" s="15">
        <f>IF(A3611=A3612,_xll.ciqfunctions.udf.CIQ(A3603,"IQ_EBITDA_MARGIN",IQ_FY-7), _xll.ciqfunctions.udf.CIQ(A3603, "IQ_EBITDA_MARGIN",IQ_FY-6))</f>
        <v>0</v>
      </c>
      <c r="H3606" s="15" t="e">
        <f>IF(A3611=A3612,_xll.ciqfunctions.udf.CIQ(A3603,"IQ_TOTAL_DIV_PAID_CF",IQ_FY-7)/-I3606, _xll.ciqfunctions.udf.CIQ(A3603, "IQ_TOTAL_DIV_PAID_CF",IQ_FY-6)/-I3606)</f>
        <v>#DIV/0!</v>
      </c>
      <c r="I3606" s="17">
        <f>IF(A3611=A3612,_xll.ciqfunctions.udf.CIQ(A3603,"IQ_TOTAL_OUTSTANDING_FILING_DATE",IQ_FY-7), _xll.ciqfunctions.udf.CIQ(A3603, "IQ_TOTAL_OUTSTANDING_FILING_DATE",IQ_FY-6))</f>
        <v>0</v>
      </c>
      <c r="J3606" s="17">
        <f>IF(A3611=A3612,_xll.ciqfunctions.udf.CIQ(A3603,"IQ_CASH_OPER",IQ_FY-7), _xll.ciqfunctions.udf.CIQ(A3603, "IQ_CASH_OPER",IQ_FY-6))</f>
        <v>0</v>
      </c>
      <c r="K3606" s="17">
        <f>IF(A3611=A3612,_xll.ciqfunctions.udf.CIQ(A3603,"IQ_CAPEX",IQ_FY-7), _xll.ciqfunctions.udf.CIQ(A3603, "IQ_CAPEX",IQ_FY-6))</f>
        <v>0</v>
      </c>
      <c r="L3606" s="15" t="e">
        <f t="shared" si="960"/>
        <v>#DIV/0!</v>
      </c>
      <c r="M3606" s="17">
        <f>IF(A3611=A3612,_xll.ciqfunctions.udf.CIQ(A3603,"IQ_TOTAL_DEBT_ISSUED",IQ_FY-7), _xll.ciqfunctions.udf.CIQ(A3603, "IQ_TOTAL_DEBT_ISSUED",IQ_FY-6))</f>
        <v>0</v>
      </c>
      <c r="N3606" s="17">
        <f>IF(A3611=A3612,_xll.ciqfunctions.udf.CIQ(A3603,"IQ_TOTAL_DEBT_REPAID",IQ_FY-7), _xll.ciqfunctions.udf.CIQ(A3603, "IQ_TOTAL_DEBT_REPAID",IQ_FY-6))</f>
        <v>0</v>
      </c>
      <c r="O3606" s="15" t="e">
        <f t="shared" si="961"/>
        <v>#DIV/0!</v>
      </c>
      <c r="P3606" s="15" t="e">
        <f t="shared" si="962"/>
        <v>#DIV/0!</v>
      </c>
      <c r="Q3606" s="25" t="s">
        <v>23</v>
      </c>
      <c r="R3606" s="38" t="s">
        <v>24</v>
      </c>
      <c r="S3606" s="1" t="e">
        <f>R3602/(AVERAGE(H3608:H3613)*(1+H3614)/(0.5-H3614))</f>
        <v>#DIV/0!</v>
      </c>
      <c r="U3606" s="25" t="s">
        <v>40</v>
      </c>
      <c r="V3606" s="38" t="s">
        <v>24</v>
      </c>
      <c r="W3606" s="1" t="e">
        <f>V3602/(AVERAGE(H3608:H3613)*(1+H3614)/(0.5-H3614))</f>
        <v>#DIV/0!</v>
      </c>
      <c r="Y3606" s="25" t="s">
        <v>47</v>
      </c>
      <c r="Z3606" s="38" t="s">
        <v>24</v>
      </c>
      <c r="AA3606" s="1" t="e">
        <f>Z3602/(AVERAGE(H3608:H3613)*(1+H3614)/(0.5-H3614))</f>
        <v>#DIV/0!</v>
      </c>
    </row>
    <row r="3607" spans="1:27">
      <c r="B3607" s="13">
        <v>5</v>
      </c>
      <c r="C3607" s="14" t="s">
        <v>25</v>
      </c>
      <c r="D3607" s="15" t="e" cm="1">
        <f t="array" ref="D3607">_xlfn.SINGLE(IF(A3611=A3612,_xll.ciqfunctions.udf.CIQ(A3603,"IQ_TOTAL_REV",IQ_FY-6)/I3607, _xll.ciqfunctions.udf.CIQ(A3603, "IQ_TOTAL_REV",IQ_FY-5)/I3607))</f>
        <v>#DIV/0!</v>
      </c>
      <c r="E3607" s="16" t="e">
        <f t="shared" si="963"/>
        <v>#DIV/0!</v>
      </c>
      <c r="F3607" s="15">
        <f>IF(A3611=A3612,_xll.ciqfunctions.udf.CIQ(A3603,"IQ_DILUT_EPS_EXCL",IQ_FY-6), _xll.ciqfunctions.udf.CIQ(A3603, "IQ_DILUT_EPS_EXCL",IQ_FY-5))</f>
        <v>0</v>
      </c>
      <c r="G3607" s="15">
        <f>IF(A3611=A3612,_xll.ciqfunctions.udf.CIQ(A3603,"IQ_EBITDA_MARGIN",IQ_FY-6), _xll.ciqfunctions.udf.CIQ(A3603, "IQ_EBITDA_MARGIN",IQ_FY-5))</f>
        <v>0</v>
      </c>
      <c r="H3607" s="15" t="e">
        <f>IF(A3611=A3612,_xll.ciqfunctions.udf.CIQ(A3603,"IQ_TOTAL_DIV_PAID_CF",IQ_FY-6)/-I3607, _xll.ciqfunctions.udf.CIQ(A3603, "IQ_TOTAL_DIV_PAID_CF",IQ_FY-5)/-I3607)</f>
        <v>#DIV/0!</v>
      </c>
      <c r="I3607" s="17">
        <f>IF(A3611=A3612,_xll.ciqfunctions.udf.CIQ(A3603,"IQ_TOTAL_OUTSTANDING_FILING_DATE",IQ_FY-6), _xll.ciqfunctions.udf.CIQ(A3603, "IQ_TOTAL_OUTSTANDING_FILING_DATE",IQ_FY-5))</f>
        <v>0</v>
      </c>
      <c r="J3607" s="17">
        <f>IF(A3611=A3612,_xll.ciqfunctions.udf.CIQ(A3603,"IQ_CASH_OPER",IQ_FY-6), _xll.ciqfunctions.udf.CIQ(A3603, "IQ_CASH_OPER",IQ_FY-5))</f>
        <v>0</v>
      </c>
      <c r="K3607" s="17">
        <f>IF(A3611=A3612,_xll.ciqfunctions.udf.CIQ(A3603,"IQ_CAPEX",IQ_FY-6), _xll.ciqfunctions.udf.CIQ(A3603, "IQ_CAPEX",IQ_FY-5))</f>
        <v>0</v>
      </c>
      <c r="L3607" s="15" t="e">
        <f t="shared" si="960"/>
        <v>#DIV/0!</v>
      </c>
      <c r="M3607" s="17">
        <f>IF(A3611=A3612,_xll.ciqfunctions.udf.CIQ(A3603,"IQ_TOTAL_DEBT_ISSUED",IQ_FY-6), _xll.ciqfunctions.udf.CIQ(A3603, "IQ_TOTAL_DEBT_ISSUED",IQ_FY-5))</f>
        <v>0</v>
      </c>
      <c r="N3607" s="17">
        <f>IF(A3611=A3612,_xll.ciqfunctions.udf.CIQ(A3603,"IQ_TOTAL_DEBT_REPAID",IQ_FY-6), _xll.ciqfunctions.udf.CIQ(A3603, "IQ_TOTAL_DEBT_REPAID",IQ_FY-5))</f>
        <v>0</v>
      </c>
      <c r="O3607" s="15" t="e">
        <f t="shared" si="961"/>
        <v>#DIV/0!</v>
      </c>
      <c r="P3607" s="15" t="e">
        <f t="shared" si="962"/>
        <v>#DIV/0!</v>
      </c>
      <c r="Q3607" s="18"/>
      <c r="R3607" s="38" t="s">
        <v>50</v>
      </c>
      <c r="S3607" s="3" t="e">
        <f>I3614</f>
        <v>#DIV/0!</v>
      </c>
      <c r="U3607" s="18"/>
      <c r="V3607" s="38" t="s">
        <v>50</v>
      </c>
      <c r="W3607" s="3" t="e">
        <f>I3614</f>
        <v>#DIV/0!</v>
      </c>
      <c r="Y3607" s="18"/>
      <c r="Z3607" s="38" t="s">
        <v>50</v>
      </c>
      <c r="AA3607" s="3" t="e">
        <f>I3614</f>
        <v>#DIV/0!</v>
      </c>
    </row>
    <row r="3608" spans="1:27">
      <c r="B3608" s="13">
        <v>6</v>
      </c>
      <c r="C3608" s="14" t="s">
        <v>26</v>
      </c>
      <c r="D3608" s="15" t="e" cm="1">
        <f t="array" ref="D3608">_xlfn.SINGLE(IF(A3611=A3612,_xll.ciqfunctions.udf.CIQ(A3603,"IQ_TOTAL_REV",IQ_FY-5)/I3608, _xll.ciqfunctions.udf.CIQ(A3603, "IQ_TOTAL_REV",IQ_FY-4)/I3608))</f>
        <v>#DIV/0!</v>
      </c>
      <c r="E3608" s="16" t="e">
        <f t="shared" si="963"/>
        <v>#DIV/0!</v>
      </c>
      <c r="F3608" s="15">
        <f>IF(A3611=A3612,_xll.ciqfunctions.udf.CIQ(A3603,"IQ_DILUT_EPS_EXCL",IQ_FY-5), _xll.ciqfunctions.udf.CIQ(A3603, "IQ_DILUT_EPS_EXCL",IQ_FY-4))</f>
        <v>0</v>
      </c>
      <c r="G3608" s="15">
        <f>IF(A3611=A3612,_xll.ciqfunctions.udf.CIQ(A3603,"IQ_EBITDA_MARGIN",IQ_FY-5), _xll.ciqfunctions.udf.CIQ(A3603, "IQ_EBITDA_MARGIN",IQ_FY-4))</f>
        <v>0</v>
      </c>
      <c r="H3608" s="15" t="e">
        <f>IF(A3611=A3612,_xll.ciqfunctions.udf.CIQ(A3603,"IQ_TOTAL_DIV_PAID_CF",IQ_FY-5)/-I3608, _xll.ciqfunctions.udf.CIQ(A3603, "IQ_TOTAL_DIV_PAID_CF",IQ_FY-4)/-I3608)</f>
        <v>#DIV/0!</v>
      </c>
      <c r="I3608" s="17">
        <f>IF(A3611=A3612,_xll.ciqfunctions.udf.CIQ(A3603,"IQ_TOTAL_OUTSTANDING_FILING_DATE",IQ_FY-5), _xll.ciqfunctions.udf.CIQ(A3603, "IQ_TOTAL_OUTSTANDING_FILING_DATE",IQ_FY-4))</f>
        <v>0</v>
      </c>
      <c r="J3608" s="17">
        <f>IF(A3611=A3612,_xll.ciqfunctions.udf.CIQ(A3603,"IQ_CASH_OPER",IQ_FY-5), _xll.ciqfunctions.udf.CIQ(A3603, "IQ_CASH_OPER",IQ_FY-4))</f>
        <v>0</v>
      </c>
      <c r="K3608" s="17">
        <f>IF(A3611=A3612,_xll.ciqfunctions.udf.CIQ(A3603,"IQ_CAPEX",IQ_FY-5), _xll.ciqfunctions.udf.CIQ(A3603, "IQ_CAPEX",IQ_FY-4))</f>
        <v>0</v>
      </c>
      <c r="L3608" s="15" t="e">
        <f t="shared" si="960"/>
        <v>#DIV/0!</v>
      </c>
      <c r="M3608" s="17">
        <f>IF(A3611=A3612,_xll.ciqfunctions.udf.CIQ(A3603,"IQ_TOTAL_DEBT_ISSUED",IQ_FY-5), _xll.ciqfunctions.udf.CIQ(A3603, "IQ_TOTAL_DEBT_ISSUED",IQ_FY-4))</f>
        <v>0</v>
      </c>
      <c r="N3608" s="17">
        <f>IF(A3611=A3612,_xll.ciqfunctions.udf.CIQ(A3603,"IQ_TOTAL_DEBT_REPAID",IQ_FY-5), _xll.ciqfunctions.udf.CIQ(A3603, "IQ_TOTAL_DEBT_REPAID",IQ_FY-4))</f>
        <v>0</v>
      </c>
      <c r="O3608" s="15" t="e">
        <f t="shared" si="961"/>
        <v>#DIV/0!</v>
      </c>
      <c r="P3608" s="15" t="e">
        <f t="shared" si="962"/>
        <v>#DIV/0!</v>
      </c>
      <c r="Q3608" s="25" t="s">
        <v>27</v>
      </c>
      <c r="R3608" s="38" t="s">
        <v>51</v>
      </c>
      <c r="S3608" s="4" t="e">
        <f>AVERAGE(F3608:F3613)/AVERAGE(D3608:D3613)</f>
        <v>#DIV/0!</v>
      </c>
      <c r="U3608" s="25" t="s">
        <v>58</v>
      </c>
      <c r="V3608" s="38" t="s">
        <v>51</v>
      </c>
      <c r="W3608" s="4" t="e">
        <f>AVERAGE(F3608:F3613)/AVERAGE(D3608:D3613)</f>
        <v>#DIV/0!</v>
      </c>
      <c r="Y3608" s="25" t="s">
        <v>56</v>
      </c>
      <c r="Z3608" s="38" t="s">
        <v>51</v>
      </c>
      <c r="AA3608" s="4" t="e">
        <f>AVERAGE(F3608:F3613)/AVERAGE(D3608:D3613)</f>
        <v>#DIV/0!</v>
      </c>
    </row>
    <row r="3609" spans="1:27">
      <c r="A3609" s="18"/>
      <c r="B3609" s="13">
        <v>7</v>
      </c>
      <c r="C3609" s="14" t="s">
        <v>28</v>
      </c>
      <c r="D3609" s="15" cm="1">
        <f t="array" ref="D3609">_xlfn.SINGLE(IF(A3611=A3612,_xll.ciqfunctions.udf.CIQ(A3603,"IQ_TOTAL_REV",IQ_FY-4)/I3609, _xll.ciqfunctions.udf.CIQ(A3603, "IQ_TOTAL_REV",IQ_FY-3)/I3609))</f>
        <v>0.16725991128679712</v>
      </c>
      <c r="E3609" s="16" t="e">
        <f t="shared" si="963"/>
        <v>#DIV/0!</v>
      </c>
      <c r="F3609" s="15">
        <f>IF(A3611=A3612,_xll.ciqfunctions.udf.CIQ(A3603,"IQ_DILUT_EPS_EXCL",IQ_FY-4), _xll.ciqfunctions.udf.CIQ(A3603, "IQ_DILUT_EPS_EXCL",IQ_FY-3))</f>
        <v>-0.80278000000000005</v>
      </c>
      <c r="G3609" s="15" t="str">
        <f>IF(A3611=A3612,_xll.ciqfunctions.udf.CIQ(A3603,"IQ_EBITDA_MARGIN",IQ_FY-4), _xll.ciqfunctions.udf.CIQ(A3603, "IQ_EBITDA_MARGIN",IQ_FY-3))</f>
        <v>NM</v>
      </c>
      <c r="H3609" s="15">
        <f>IF(A3611=A3612,_xll.ciqfunctions.udf.CIQ(A3603,"IQ_TOTAL_DIV_PAID_CF",IQ_FY-4)/-I3609, _xll.ciqfunctions.udf.CIQ(A3603, "IQ_TOTAL_DIV_PAID_CF",IQ_FY-3)/-I3609)</f>
        <v>0</v>
      </c>
      <c r="I3609" s="17">
        <f>IF(A3611=A3612,_xll.ciqfunctions.udf.CIQ(A3603,"IQ_TOTAL_OUTSTANDING_FILING_DATE",IQ_FY-4), _xll.ciqfunctions.udf.CIQ(A3603, "IQ_TOTAL_OUTSTANDING_FILING_DATE",IQ_FY-3))</f>
        <v>117.18886999999999</v>
      </c>
      <c r="J3609" s="17">
        <f>IF(A3611=A3612,_xll.ciqfunctions.udf.CIQ(A3603,"IQ_CASH_OPER",IQ_FY-4), _xll.ciqfunctions.udf.CIQ(A3603, "IQ_CASH_OPER",IQ_FY-3))</f>
        <v>-94.725999999999999</v>
      </c>
      <c r="K3609" s="17">
        <f>IF(A3611=A3612,_xll.ciqfunctions.udf.CIQ(A3603,"IQ_CAPEX",IQ_FY-4), _xll.ciqfunctions.udf.CIQ(A3603, "IQ_CAPEX",IQ_FY-3))</f>
        <v>-3.8260000000000001</v>
      </c>
      <c r="L3609" s="15">
        <f t="shared" si="960"/>
        <v>-0.84096723519904237</v>
      </c>
      <c r="M3609" s="17">
        <f>IF(A3611=A3612,_xll.ciqfunctions.udf.CIQ(A3603,"IQ_TOTAL_DEBT_ISSUED",IQ_FY-4), _xll.ciqfunctions.udf.CIQ(A3603, "IQ_TOTAL_DEBT_ISSUED",IQ_FY-3))</f>
        <v>0</v>
      </c>
      <c r="N3609" s="17">
        <f>IF(A3611=A3612,_xll.ciqfunctions.udf.CIQ(A3603,"IQ_TOTAL_DEBT_REPAID",IQ_FY-4), _xll.ciqfunctions.udf.CIQ(A3603, "IQ_TOTAL_DEBT_REPAID",IQ_FY-3))</f>
        <v>0</v>
      </c>
      <c r="O3609" s="15">
        <f t="shared" si="961"/>
        <v>0</v>
      </c>
      <c r="P3609" s="15">
        <f t="shared" si="962"/>
        <v>-0.84096723519904237</v>
      </c>
      <c r="Q3609" s="18"/>
      <c r="R3609" s="38" t="s">
        <v>29</v>
      </c>
      <c r="S3609" s="4" t="e">
        <f>(AVERAGE(P3608:P3613)/_xlfn.STDEV.P(P3608:P3613))/(IF(A3611=A3612,(_xlfn.SINGLE(_xll.ciqfunctions.udf.CIQ(A3603,"IQ_total_assets",IQ_FY)) - _xlfn.SINGLE(_xll.ciqfunctions.udf.CIQ(A3603,"iq_gw_intan", IQ_FY)))/I3613, (_xlfn.SINGLE(_xll.ciqfunctions.udf.CIQ(A3603, "IQ_total_assets",IQ_LTM))-_xlfn.SINGLE(_xll.ciqfunctions.udf.CIQ(A3603,"iq_gw_intan",IQ_LTM)))/I3613))</f>
        <v>#DIV/0!</v>
      </c>
      <c r="U3609" s="18"/>
      <c r="V3609" s="38" t="s">
        <v>29</v>
      </c>
      <c r="W3609" s="4" t="e">
        <f>(AVERAGE(P3608:P3613)/_xlfn.STDEV.P(P3608:P3613))/(IF(A3611=A3612,(_xlfn.SINGLE(_xll.ciqfunctions.udf.CIQ(A3603,"IQ_total_assets",IQ_FY)) - _xlfn.SINGLE(_xll.ciqfunctions.udf.CIQ(A3603,"iq_gw_intan", IQ_FY)))/I3613, (_xlfn.SINGLE(_xll.ciqfunctions.udf.CIQ(A3603, "IQ_total_assets",IQ_LTM))-_xlfn.SINGLE(_xll.ciqfunctions.udf.CIQ(A3603,"iq_gw_intan",IQ_LTM)))/I3613))</f>
        <v>#DIV/0!</v>
      </c>
      <c r="Y3609" s="18"/>
      <c r="Z3609" s="38" t="s">
        <v>29</v>
      </c>
      <c r="AA3609" s="4" t="e">
        <f>(AVERAGE(P3608:P3613)/_xlfn.STDEV.P(P3608:P3613))/(IF(A3611=A3612,(_xlfn.SINGLE(_xll.ciqfunctions.udf.CIQ(A3603,"IQ_total_assets",IQ_FY)) - _xlfn.SINGLE(_xll.ciqfunctions.udf.CIQ(A3603,"iq_gw_intan", IQ_FY)))/I3613, (_xlfn.SINGLE(_xll.ciqfunctions.udf.CIQ(A3603, "IQ_total_assets",IQ_LTM))-_xlfn.SINGLE(_xll.ciqfunctions.udf.CIQ(A3603,"iq_gw_intan",IQ_LTM)))/I3613))</f>
        <v>#DIV/0!</v>
      </c>
    </row>
    <row r="3610" spans="1:27">
      <c r="A3610" s="18"/>
      <c r="B3610" s="13">
        <v>8</v>
      </c>
      <c r="C3610" s="14" t="s">
        <v>30</v>
      </c>
      <c r="D3610" s="15" cm="1">
        <f t="array" ref="D3610">_xlfn.SINGLE(IF(A3611=A3612,_xll.ciqfunctions.udf.CIQ(A3603,"IQ_TOTAL_REV",IQ_FY-3)/I3610, _xll.ciqfunctions.udf.CIQ(A3603, "IQ_TOTAL_REV",IQ_FY-2)/I3610))</f>
        <v>0</v>
      </c>
      <c r="E3610" s="16">
        <f t="shared" si="963"/>
        <v>-1</v>
      </c>
      <c r="F3610" s="15">
        <f>IF(A3611=A3612,_xll.ciqfunctions.udf.CIQ(A3603,"IQ_DILUT_EPS_EXCL",IQ_FY-3), _xll.ciqfunctions.udf.CIQ(A3603, "IQ_DILUT_EPS_EXCL",IQ_FY-2))</f>
        <v>-0.78966999999999998</v>
      </c>
      <c r="G3610" s="15">
        <f>IF(A3611=A3612,_xll.ciqfunctions.udf.CIQ(A3603,"IQ_EBITDA_MARGIN",IQ_FY-3), _xll.ciqfunctions.udf.CIQ(A3603, "IQ_EBITDA_MARGIN",IQ_FY-2))</f>
        <v>0</v>
      </c>
      <c r="H3610" s="15">
        <f>IF(A3611=A3612,_xll.ciqfunctions.udf.CIQ(A3603,"IQ_TOTAL_DIV_PAID_CF",IQ_FY-3)/-I3610, _xll.ciqfunctions.udf.CIQ(A3603, "IQ_TOTAL_DIV_PAID_CF",IQ_FY-2)/-I3610)</f>
        <v>0</v>
      </c>
      <c r="I3610" s="17">
        <f>IF(A3611=A3612,_xll.ciqfunctions.udf.CIQ(A3603,"IQ_TOTAL_OUTSTANDING_FILING_DATE",IQ_FY-3), _xll.ciqfunctions.udf.CIQ(A3603, "IQ_TOTAL_OUTSTANDING_FILING_DATE",IQ_FY-2))</f>
        <v>128.43441000000001</v>
      </c>
      <c r="J3610" s="17">
        <f>IF(A3611=A3612,_xll.ciqfunctions.udf.CIQ(A3603,"IQ_CASH_OPER",IQ_FY-3), _xll.ciqfunctions.udf.CIQ(A3603, "IQ_CASH_OPER",IQ_FY-2))</f>
        <v>-192</v>
      </c>
      <c r="K3610" s="17">
        <f>IF(A3611=A3612,_xll.ciqfunctions.udf.CIQ(A3603,"IQ_CAPEX",IQ_FY-3), _xll.ciqfunctions.udf.CIQ(A3603, "IQ_CAPEX",IQ_FY-2))</f>
        <v>-7</v>
      </c>
      <c r="L3610" s="15">
        <f t="shared" si="960"/>
        <v>-1.5494290042676255</v>
      </c>
      <c r="M3610" s="17">
        <f>IF(A3611=A3612,_xll.ciqfunctions.udf.CIQ(A3603,"IQ_TOTAL_DEBT_ISSUED",IQ_FY-3), _xll.ciqfunctions.udf.CIQ(A3603, "IQ_TOTAL_DEBT_ISSUED",IQ_FY-2))</f>
        <v>0</v>
      </c>
      <c r="N3610" s="17">
        <f>IF(A3611=A3612,_xll.ciqfunctions.udf.CIQ(A3603,"IQ_TOTAL_DEBT_REPAID",IQ_FY-3), _xll.ciqfunctions.udf.CIQ(A3603, "IQ_TOTAL_DEBT_REPAID",IQ_FY-2))</f>
        <v>0</v>
      </c>
      <c r="O3610" s="15">
        <f t="shared" si="961"/>
        <v>0</v>
      </c>
      <c r="P3610" s="15">
        <f t="shared" si="962"/>
        <v>-1.5494290042676255</v>
      </c>
      <c r="Q3610" s="18"/>
      <c r="R3610" s="39" t="s">
        <v>31</v>
      </c>
      <c r="S3610" s="5" t="e">
        <f>IF(NOT(D3603&gt;0),FALSE,SLOPE(G3603:G3613,B3603:B3613))</f>
        <v>#DIV/0!</v>
      </c>
      <c r="U3610" s="18"/>
      <c r="V3610" s="39" t="s">
        <v>31</v>
      </c>
      <c r="W3610" s="5" t="e">
        <f>IF(NOT(D3603&gt;0),FALSE,SLOPE(G3603:G3613,B3603:B3613))</f>
        <v>#DIV/0!</v>
      </c>
      <c r="Y3610" s="18"/>
      <c r="Z3610" s="39" t="s">
        <v>31</v>
      </c>
      <c r="AA3610" s="5" t="e">
        <f>IF(NOT(L3603&gt;0),FALSE,SLOPE(O3603:O3613,J3603:J3613))</f>
        <v>#DIV/0!</v>
      </c>
    </row>
    <row r="3611" spans="1:27">
      <c r="A3611" s="19">
        <f>_xll.ciqfunctions.udf.CIQ(A3603,"IQ_TOTAL_REV",IQ_FY)</f>
        <v>68</v>
      </c>
      <c r="B3611" s="13">
        <v>9</v>
      </c>
      <c r="C3611" s="14" t="s">
        <v>32</v>
      </c>
      <c r="D3611" s="15" cm="1">
        <f t="array" ref="D3611">_xlfn.SINGLE(IF(A3611=A3612,_xll.ciqfunctions.udf.CIQ(A3603,"IQ_TOTAL_REV",IQ_FY-2)/I3611, _xll.ciqfunctions.udf.CIQ(A3603, "IQ_TOTAL_REV",IQ_FY-1)/I3611))</f>
        <v>7.2953726918986619E-2</v>
      </c>
      <c r="E3611" s="16" t="e">
        <f t="shared" si="963"/>
        <v>#DIV/0!</v>
      </c>
      <c r="F3611" s="15">
        <f>IF(A3611=A3612,_xll.ciqfunctions.udf.CIQ(A3603,"IQ_DILUT_EPS_EXCL",IQ_FY-2), _xll.ciqfunctions.udf.CIQ(A3603, "IQ_DILUT_EPS_EXCL",IQ_FY-1))</f>
        <v>-1.2157800000000001</v>
      </c>
      <c r="G3611" s="15" t="str">
        <f>IF(A3611=A3612,_xll.ciqfunctions.udf.CIQ(A3603,"IQ_EBITDA_MARGIN",IQ_FY-2), _xll.ciqfunctions.udf.CIQ(A3603, "IQ_EBITDA_MARGIN",IQ_FY-1))</f>
        <v>NM</v>
      </c>
      <c r="H3611" s="15">
        <f>IF(A3611=A3612,_xll.ciqfunctions.udf.CIQ(A3603,"IQ_TOTAL_DIV_PAID_CF",IQ_FY-2)/-I3611, _xll.ciqfunctions.udf.CIQ(A3603, "IQ_TOTAL_DIV_PAID_CF",IQ_FY-1)/-I3611)</f>
        <v>0</v>
      </c>
      <c r="I3611" s="17">
        <f>IF(A3611=A3612,_xll.ciqfunctions.udf.CIQ(A3603,"IQ_TOTAL_OUTSTANDING_FILING_DATE",IQ_FY-2), _xll.ciqfunctions.udf.CIQ(A3603, "IQ_TOTAL_OUTSTANDING_FILING_DATE",IQ_FY-1))</f>
        <v>1124.0001500000001</v>
      </c>
      <c r="J3611" s="17">
        <f>IF(A3611=A3612,_xll.ciqfunctions.udf.CIQ(A3603,"IQ_CASH_OPER",IQ_FY-2), _xll.ciqfunctions.udf.CIQ(A3603, "IQ_CASH_OPER",IQ_FY-1))</f>
        <v>-564</v>
      </c>
      <c r="K3611" s="17">
        <f>IF(A3611=A3612,_xll.ciqfunctions.udf.CIQ(A3603,"IQ_CAPEX",IQ_FY-2), _xll.ciqfunctions.udf.CIQ(A3603, "IQ_CAPEX",IQ_FY-1))</f>
        <v>-48</v>
      </c>
      <c r="L3611" s="15">
        <f t="shared" si="960"/>
        <v>-0.54448391310268063</v>
      </c>
      <c r="M3611" s="17">
        <f>IF(A3611=A3612,_xll.ciqfunctions.udf.CIQ(A3603,"IQ_TOTAL_DEBT_ISSUED",IQ_FY-2), _xll.ciqfunctions.udf.CIQ(A3603, "IQ_TOTAL_DEBT_ISSUED",IQ_FY-1))</f>
        <v>0</v>
      </c>
      <c r="N3611" s="17">
        <f>IF(A3611=A3612,_xll.ciqfunctions.udf.CIQ(A3603,"IQ_TOTAL_DEBT_REPAID",IQ_FY-2), _xll.ciqfunctions.udf.CIQ(A3603, "IQ_TOTAL_DEBT_REPAID",IQ_FY-1))</f>
        <v>0</v>
      </c>
      <c r="O3611" s="15">
        <f t="shared" si="961"/>
        <v>0</v>
      </c>
      <c r="P3611" s="15">
        <f t="shared" si="962"/>
        <v>-0.54448391310268063</v>
      </c>
      <c r="Q3611" s="25" t="s">
        <v>33</v>
      </c>
      <c r="R3611" s="38" t="s">
        <v>52</v>
      </c>
      <c r="S3611" s="4" t="e">
        <f>(AVERAGE(O3608:O3613)/AVERAGE(P3608:P3613))</f>
        <v>#DIV/0!</v>
      </c>
      <c r="U3611" s="25" t="s">
        <v>54</v>
      </c>
      <c r="V3611" s="38" t="s">
        <v>52</v>
      </c>
      <c r="W3611" s="4" t="e">
        <f>(AVERAGE(O3608:O3613)/AVERAGE(P3608:P3613))</f>
        <v>#DIV/0!</v>
      </c>
      <c r="Y3611" s="25" t="s">
        <v>60</v>
      </c>
      <c r="Z3611" s="38" t="s">
        <v>52</v>
      </c>
      <c r="AA3611" s="4" t="e">
        <f>(AVERAGE(O3608:O3613)/AVERAGE(P3608:P3613))</f>
        <v>#DIV/0!</v>
      </c>
    </row>
    <row r="3612" spans="1:27">
      <c r="A3612" s="19">
        <f>_xll.ciqfunctions.udf.CIQ(A3603,"IQ_TOTAL_REV",IQ_LTM)</f>
        <v>2</v>
      </c>
      <c r="B3612" s="13">
        <v>10</v>
      </c>
      <c r="C3612" s="14" t="s">
        <v>34</v>
      </c>
      <c r="D3612" s="15" cm="1">
        <f t="array" ref="D3612">_xlfn.SINGLE(IF(A3611=A3612,_xll.ciqfunctions.udf.CIQ(A3603,"IQ_TOTAL_REV",IQ_FY-1)/I3612, _xll.ciqfunctions.udf.CIQ(A3603, "IQ_TOTAL_REV",IQ_FY)/I3612))</f>
        <v>5.7998989487017871E-2</v>
      </c>
      <c r="E3612" s="16">
        <f t="shared" si="963"/>
        <v>-0.20498935508223767</v>
      </c>
      <c r="F3612" s="15">
        <f>IF(A3611=A3612,_xll.ciqfunctions.udf.CIQ(A3603,"IQ_DILUT_EPS_EXCL",IQ_FY-1), _xll.ciqfunctions.udf.CIQ(A3603, "IQ_DILUT_EPS_EXCL",IQ_FY))</f>
        <v>-1.5074399999999999</v>
      </c>
      <c r="G3612" s="15" t="str">
        <f>IF(A3611=A3612,_xll.ciqfunctions.udf.CIQ(A3603,"IQ_EBITDA_MARGIN",IQ_FY-1), _xll.ciqfunctions.udf.CIQ(A3603, "IQ_EBITDA_MARGIN",IQ_FY))</f>
        <v>NM</v>
      </c>
      <c r="H3612" s="15">
        <f>IF(A3611=A3612,_xll.ciqfunctions.udf.CIQ(A3603,"IQ_TOTAL_DIV_PAID_CF",IQ_FY-1)/-I3612, _xll.ciqfunctions.udf.CIQ(A3603, "IQ_TOTAL_DIV_PAID_CF",IQ_FY)/-I3612)</f>
        <v>0</v>
      </c>
      <c r="I3612" s="17">
        <f>IF(A3611=A3612,_xll.ciqfunctions.udf.CIQ(A3603,"IQ_TOTAL_OUTSTANDING_FILING_DATE",IQ_FY-1), _xll.ciqfunctions.udf.CIQ(A3603, "IQ_TOTAL_OUTSTANDING_FILING_DATE",IQ_FY))</f>
        <v>1172.4342200000001</v>
      </c>
      <c r="J3612" s="17">
        <f>IF(A3611=A3612,_xll.ciqfunctions.udf.CIQ(A3603,"IQ_CASH_OPER",IQ_FY-1), _xll.ciqfunctions.udf.CIQ(A3603, "IQ_CASH_OPER",IQ_FY))</f>
        <v>-508</v>
      </c>
      <c r="K3612" s="17">
        <f>IF(A3611=A3612,_xll.ciqfunctions.udf.CIQ(A3603,"IQ_CAPEX",IQ_FY-1), _xll.ciqfunctions.udf.CIQ(A3603, "IQ_CAPEX",IQ_FY))</f>
        <v>-15</v>
      </c>
      <c r="L3612" s="15">
        <f t="shared" si="960"/>
        <v>-0.44608046326044626</v>
      </c>
      <c r="M3612" s="17">
        <f>IF(A3611=A3612,_xll.ciqfunctions.udf.CIQ(A3603,"IQ_TOTAL_DEBT_ISSUED",IQ_FY-1), _xll.ciqfunctions.udf.CIQ(A3603, "IQ_TOTAL_DEBT_ISSUED",IQ_FY))</f>
        <v>0</v>
      </c>
      <c r="N3612" s="17">
        <f>IF(A3611=A3612,_xll.ciqfunctions.udf.CIQ(A3603,"IQ_TOTAL_DEBT_REPAID",IQ_FY-1), _xll.ciqfunctions.udf.CIQ(A3603, "IQ_TOTAL_DEBT_REPAID",IQ_FY))</f>
        <v>0</v>
      </c>
      <c r="O3612" s="15">
        <f t="shared" si="961"/>
        <v>0</v>
      </c>
      <c r="P3612" s="15">
        <f t="shared" si="962"/>
        <v>-0.44608046326044626</v>
      </c>
      <c r="Q3612" s="25" t="s">
        <v>44</v>
      </c>
      <c r="R3612" s="38" t="s">
        <v>35</v>
      </c>
      <c r="S3612" s="1" t="str">
        <f>_xll.ciqfunctions.udf.CIQ(A3603,"IQ_TEV_EBITDA")</f>
        <v>NM</v>
      </c>
      <c r="U3612" s="25" t="s">
        <v>55</v>
      </c>
      <c r="V3612" s="38" t="s">
        <v>53</v>
      </c>
      <c r="W3612" s="1" t="e">
        <f>V3602/(AVERAGE(D3608:D3613)/_xlfn.STDEV.P(E3608:E3613))</f>
        <v>#DIV/0!</v>
      </c>
      <c r="Y3612" s="25" t="s">
        <v>57</v>
      </c>
      <c r="Z3612" s="38" t="s">
        <v>53</v>
      </c>
      <c r="AA3612" s="1" t="e">
        <f>Z3602/(AVERAGE(D3608:D3613)/_xlfn.STDEV.P(E3608:E3613))</f>
        <v>#DIV/0!</v>
      </c>
    </row>
    <row r="3613" spans="1:27">
      <c r="B3613" s="13">
        <v>11</v>
      </c>
      <c r="C3613" s="20" t="s">
        <v>36</v>
      </c>
      <c r="D3613" s="21" cm="1">
        <f t="array" ref="D3613">_xlfn.SINGLE(IF(A3611=A3612,_xll.ciqfunctions.udf.CIQ(A3603,"IQ_TOTAL_REV",IQ_FY)/I3613, _xll.ciqfunctions.udf.CIQ(A3603, "IQ_TOTAL_REV",IQ_LTM)/I3613))</f>
        <v>1.315972333234541E-3</v>
      </c>
      <c r="E3613" s="22">
        <f t="shared" si="963"/>
        <v>-0.97731042652856737</v>
      </c>
      <c r="F3613" s="21">
        <f>IF(A3611=A3612,_xll.ciqfunctions.udf.CIQ(A3603,"IQ_DILUT_EPS_EXCL",IQ_FY), _xll.ciqfunctions.udf.CIQ(A3603, "IQ_DILUT_EPS_EXCL",IQ_LTM))</f>
        <v>-0.72653999999999996</v>
      </c>
      <c r="G3613" s="21" t="str">
        <f>IF(A3611=A3612,_xll.ciqfunctions.udf.CIQ(A3603,"IQ_EBITDA_MARGIN",IQ_FY), _xll.ciqfunctions.udf.CIQ(A3603, "IQ_EBITDA_MARGIN",IQ_LTM))</f>
        <v>NM</v>
      </c>
      <c r="H3613" s="21">
        <f>IF(A3611=A3612,_xll.ciqfunctions.udf.CIQ(A3603,"IQ_TOTAL_DIV_PAID_CF",IQ_FY)/-I3613, _xll.ciqfunctions.udf.CIQ(A3603, "IQ_TOTAL_DIV_PAID_CF",IQ_LTM)/-I3613)</f>
        <v>0</v>
      </c>
      <c r="I3613" s="23">
        <f>IF(A3611=A3612,_xll.ciqfunctions.udf.CIQ(A3603,"IQ_TOTAL_OUTSTANDING_FILING_DATE",IQ_FY),_xll.ciqfunctions.udf.CIQ(A3603,"IQ_sharesoutstanding"))</f>
        <v>1519.7887900000001</v>
      </c>
      <c r="J3613" s="23">
        <f>IF(A3611=A3612,_xll.ciqfunctions.udf.CIQ(A3603,"IQ_CASH_OPER",IQ_FY), _xll.ciqfunctions.udf.CIQ(A3603, "IQ_CASH_OPER",IQ_LTM))</f>
        <v>-606</v>
      </c>
      <c r="K3613" s="23">
        <f>IF(A3611=A3612,_xll.ciqfunctions.udf.CIQ(A3603,"IQ_CAPEX",IQ_FY), _xll.ciqfunctions.udf.CIQ(A3603, "IQ_CAPEX",IQ_LTM))</f>
        <v>-14</v>
      </c>
      <c r="L3613" s="21">
        <f t="shared" si="960"/>
        <v>-0.40795142330270773</v>
      </c>
      <c r="M3613" s="23">
        <f>IF(A3611=A3612,_xll.ciqfunctions.udf.CIQ(A3603,"IQ_TOTAL_DEBT_ISSUED",IQ_FY), _xll.ciqfunctions.udf.CIQ(A3603, "IQ_TOTAL_DEBT_ISSUED",IQ_LTM))</f>
        <v>0</v>
      </c>
      <c r="N3613" s="23">
        <f>IF(A3611=A3612,_xll.ciqfunctions.udf.CIQ(A3603,"IQ_TOTAL_DEBT_REPAID",IQ_FY), _xll.ciqfunctions.udf.CIQ(A3603, "IQ_TOTAL_DEBT_REPAID",IQ_LTM))</f>
        <v>0</v>
      </c>
      <c r="O3613" s="21">
        <f t="shared" si="961"/>
        <v>0</v>
      </c>
      <c r="P3613" s="21">
        <f t="shared" si="962"/>
        <v>-0.40795142330270773</v>
      </c>
      <c r="Q3613" s="25" t="s">
        <v>45</v>
      </c>
      <c r="S3613" s="45"/>
      <c r="U3613" s="25"/>
      <c r="W3613" s="45"/>
      <c r="Y3613" s="25"/>
      <c r="AA3613" s="45"/>
    </row>
    <row r="3614" spans="1:27">
      <c r="B3614" s="24"/>
      <c r="C3614" s="25" t="s">
        <v>37</v>
      </c>
      <c r="E3614" s="26" t="e">
        <f>((D3613/D3608)^(1/5))-1</f>
        <v>#DIV/0!</v>
      </c>
      <c r="F3614" s="27" t="e">
        <f>((F3613/F3608)^(1/5))-1</f>
        <v>#DIV/0!</v>
      </c>
      <c r="G3614" s="28"/>
      <c r="H3614" s="27" t="e">
        <f>((H3613/H3608)^(1/5))-1</f>
        <v>#DIV/0!</v>
      </c>
      <c r="I3614" s="27" t="e">
        <f>((I3613/I3608)^(1/5))-1</f>
        <v>#DIV/0!</v>
      </c>
      <c r="J3614" s="27"/>
      <c r="K3614" s="27"/>
      <c r="L3614" s="26" t="e">
        <f>((L3613/L3608)^(1/5))-1</f>
        <v>#DIV/0!</v>
      </c>
      <c r="M3614" s="26"/>
      <c r="N3614" s="26"/>
      <c r="O3614" s="26"/>
      <c r="P3614" s="26" t="e">
        <f>((P3613/P3608)^(1/5))-1</f>
        <v>#DIV/0!</v>
      </c>
      <c r="Q3614" s="18"/>
      <c r="R3614" s="36"/>
      <c r="S3614" s="45"/>
      <c r="U3614" s="18"/>
      <c r="V3614" s="36"/>
      <c r="W3614" s="45"/>
      <c r="Y3614" s="18"/>
      <c r="Z3614" s="36"/>
      <c r="AA3614" s="45"/>
    </row>
    <row r="3615" spans="1:27">
      <c r="A3615" s="29"/>
      <c r="B3615" s="30"/>
      <c r="C3615" s="31" t="s">
        <v>38</v>
      </c>
      <c r="D3615" s="29"/>
      <c r="E3615" s="32" t="e">
        <f>((D3613/D3603)^(1/10))-1</f>
        <v>#DIV/0!</v>
      </c>
      <c r="F3615" s="33" t="e">
        <f>((F3613/F3603)^(1/10))-1</f>
        <v>#DIV/0!</v>
      </c>
      <c r="G3615" s="34"/>
      <c r="H3615" s="33" t="e">
        <f>((H3613/H3603)^(1/10))-1</f>
        <v>#DIV/0!</v>
      </c>
      <c r="I3615" s="33" t="e">
        <f>((I3613/I3603)^(1/10))-1</f>
        <v>#DIV/0!</v>
      </c>
      <c r="J3615" s="33"/>
      <c r="K3615" s="33"/>
      <c r="L3615" s="32" t="e">
        <f>((L3613/L3603)^(1/10))-1</f>
        <v>#DIV/0!</v>
      </c>
      <c r="M3615" s="32"/>
      <c r="N3615" s="32"/>
      <c r="O3615" s="32"/>
      <c r="P3615" s="32" t="e">
        <f>((P3613/P3603)^(1/10))-1</f>
        <v>#DIV/0!</v>
      </c>
      <c r="Q3615" s="40"/>
      <c r="R3615" s="41"/>
      <c r="S3615" s="46"/>
      <c r="U3615" s="40"/>
      <c r="V3615" s="41"/>
      <c r="W3615" s="46"/>
      <c r="Y3615" s="40"/>
      <c r="Z3615" s="41"/>
      <c r="AA3615" s="46"/>
    </row>
    <row r="3616" spans="1:27">
      <c r="B3616" s="24"/>
      <c r="C3616" s="25"/>
      <c r="E3616" s="26"/>
      <c r="F3616" s="27"/>
      <c r="G3616" s="28"/>
      <c r="H3616" s="27"/>
      <c r="I3616" s="27"/>
      <c r="J3616" s="27"/>
      <c r="K3616" s="27"/>
      <c r="L3616" s="26"/>
      <c r="M3616" s="17"/>
      <c r="N3616" s="17"/>
      <c r="O3616" s="17"/>
      <c r="P3616" s="35"/>
      <c r="Q3616" s="18"/>
      <c r="R3616" s="36"/>
    </row>
    <row r="3617" spans="1:27">
      <c r="A3617" s="9" t="s">
        <v>0</v>
      </c>
      <c r="B3617" s="10"/>
      <c r="C3617" s="9" t="s">
        <v>1</v>
      </c>
      <c r="D3617" s="9" t="s">
        <v>2</v>
      </c>
      <c r="E3617" s="9" t="s">
        <v>3</v>
      </c>
      <c r="F3617" s="11" t="s">
        <v>4</v>
      </c>
      <c r="G3617" s="11" t="s">
        <v>5</v>
      </c>
      <c r="H3617" s="9" t="s">
        <v>6</v>
      </c>
      <c r="I3617" s="11" t="s">
        <v>7</v>
      </c>
      <c r="J3617" s="11" t="s">
        <v>8</v>
      </c>
      <c r="K3617" s="11" t="s">
        <v>9</v>
      </c>
      <c r="L3617" s="11" t="s">
        <v>10</v>
      </c>
      <c r="M3617" s="11" t="s">
        <v>11</v>
      </c>
      <c r="N3617" s="11" t="s">
        <v>12</v>
      </c>
      <c r="O3617" s="11" t="s">
        <v>13</v>
      </c>
      <c r="P3617" s="11" t="s">
        <v>14</v>
      </c>
      <c r="Q3617" s="37" t="s">
        <v>15</v>
      </c>
      <c r="R3617" s="42">
        <f>_xll.ciqfunctions.udf.CIQ(A3618,("IQ_LASTSALEPRICE"))</f>
        <v>22.684999999999999</v>
      </c>
      <c r="S3617" s="44"/>
      <c r="U3617" s="37" t="s">
        <v>15</v>
      </c>
      <c r="V3617" s="42">
        <f>_xll.ciqfunctions.udf.CIQ(A3618,("IQ_LASTSALEPRICE"))</f>
        <v>22.684999999999999</v>
      </c>
      <c r="W3617" s="44"/>
      <c r="Y3617" s="37" t="s">
        <v>15</v>
      </c>
      <c r="Z3617" s="42">
        <f>_xll.ciqfunctions.udf.CIQ(A3618,("IQ_LASTSALEPRICE"))</f>
        <v>22.684999999999999</v>
      </c>
      <c r="AA3617" s="44"/>
    </row>
    <row r="3618" spans="1:27">
      <c r="A3618" s="12" t="str">
        <f>Analysis!B243</f>
        <v>NYSE:PWSC</v>
      </c>
      <c r="B3618" s="13">
        <v>1</v>
      </c>
      <c r="C3618" s="14" t="s">
        <v>16</v>
      </c>
      <c r="D3618" s="15" t="e">
        <f>IF(A3626=A3627,_xll.ciqfunctions.udf.CIQ(A3618,"IQ_TOTAL_REV",IQ_FY-10)/I3618,_xll.ciqfunctions.udf.CIQ(A3618, "IQ_TOTAL_REV",IQ_FY-9)/I3618)</f>
        <v>#DIV/0!</v>
      </c>
      <c r="E3618" s="16"/>
      <c r="F3618" s="15">
        <f>IF(A3626=A3627,_xll.ciqfunctions.udf.CIQ(A3618,"IQ_DILUT_EPS_EXCL",IQ_FY-10), _xll.ciqfunctions.udf.CIQ(A3618, "IQ_DILUT_EPS_EXCL",IQ_FY-9))</f>
        <v>0</v>
      </c>
      <c r="G3618" s="15">
        <f>IF(A3626=A3627,_xll.ciqfunctions.udf.CIQ(A3618,"IQ_EBITDA_MARGIN",IQ_FY-10), _xll.ciqfunctions.udf.CIQ(A3618, "IQ_EBITDA_MARGIN",IQ_FY-9))</f>
        <v>0</v>
      </c>
      <c r="H3618" s="15" t="e">
        <f>IF(A3626=A3627,_xll.ciqfunctions.udf.CIQ(A3618,"IQ_TOTAL_DIV_PAID_CF",IQ_FY-10)/-I3618, _xll.ciqfunctions.udf.CIQ(A3618, "IQ_TOTAL_DIV_PAID_CF",IQ_FY-9)/-I3618)</f>
        <v>#DIV/0!</v>
      </c>
      <c r="I3618" s="17">
        <f>IF(A3626=A3627,_xll.ciqfunctions.udf.CIQ(A3618,"IQ_TOTAL_OUTSTANDING_FILING_DATE",IQ_FY-10), _xll.ciqfunctions.udf.CIQ(A3618, "IQ_TOTAL_OUTSTANDING_FILING_DATE",IQ_FY-9))</f>
        <v>0</v>
      </c>
      <c r="J3618" s="17">
        <f>IF(A3626=A3627,_xll.ciqfunctions.udf.CIQ(A3618,"IQ_CASH_OPER",IQ_FY-10), _xll.ciqfunctions.udf.CIQ(A3618, "IQ_CASH_OPER",IQ_FY-9))</f>
        <v>0</v>
      </c>
      <c r="K3618" s="17">
        <f>IF(A3626=A3627,_xll.ciqfunctions.udf.CIQ(A3618,"IQ_CAPEX",IQ_FY-10), _xll.ciqfunctions.udf.CIQ(A3618, "IQ_CAPEX",IQ_FY-9))</f>
        <v>0</v>
      </c>
      <c r="L3618" s="15" t="e">
        <f t="shared" ref="L3618:L3628" si="964">(J3618+K3618)/I3618</f>
        <v>#DIV/0!</v>
      </c>
      <c r="M3618" s="17">
        <f>IF(A3626=A3627,_xll.ciqfunctions.udf.CIQ(A3618,"IQ_TOTAL_DEBT_ISSUED",IQ_FY-10), _xll.ciqfunctions.udf.CIQ(A3618, "IQ_TOTAL_DEBT_ISSUED",IQ_FY-9))</f>
        <v>0</v>
      </c>
      <c r="N3618" s="17">
        <f>IF(A3626=A3627,_xll.ciqfunctions.udf.CIQ(A3618,"IQ_TOTAL_DEBT_REPAID",IQ_FY-10), _xll.ciqfunctions.udf.CIQ(A3618, "IQ_TOTAL_DEBT_REPAID",IQ_FY-9))</f>
        <v>0</v>
      </c>
      <c r="O3618" s="15" t="e">
        <f t="shared" ref="O3618:O3628" si="965">(M3618+N3618)/I3618</f>
        <v>#DIV/0!</v>
      </c>
      <c r="P3618" s="15" t="e">
        <f t="shared" ref="P3618:P3628" si="966">L3618+O3618</f>
        <v>#DIV/0!</v>
      </c>
      <c r="W3618" s="43"/>
      <c r="AA3618" s="43"/>
    </row>
    <row r="3619" spans="1:27">
      <c r="A3619" s="18" t="str">
        <f>_xll.ciqfunctions.udf.CIQ(A3618,"IQ_COMPANY_NAME")</f>
        <v>PowerSchool Holdings, Inc.</v>
      </c>
      <c r="B3619" s="13">
        <v>2</v>
      </c>
      <c r="C3619" s="14" t="s">
        <v>17</v>
      </c>
      <c r="D3619" s="15" t="e">
        <f>IF(A3626=A3627,_xll.ciqfunctions.udf.CIQ(A3618,"IQ_TOTAL_REV",IQ_FY-9)/I3619, _xll.ciqfunctions.udf.CIQ(A3618, "IQ_TOTAL_REV",IQ_FY-8)/I3619)</f>
        <v>#DIV/0!</v>
      </c>
      <c r="E3619" s="16" t="e">
        <f t="shared" ref="E3619:E3628" si="967">(D3619-D3618)/D3618</f>
        <v>#DIV/0!</v>
      </c>
      <c r="F3619" s="15">
        <f>IF(A3626=A3627,_xll.ciqfunctions.udf.CIQ(A3618,"IQ_DILUT_EPS_EXCL",IQ_FY-9), _xll.ciqfunctions.udf.CIQ(A3618, "IQ_DILUT_EPS_EXCL",IQ_FY-8))</f>
        <v>0</v>
      </c>
      <c r="G3619" s="15">
        <f>IF(A3626=A3627,_xll.ciqfunctions.udf.CIQ(A3618,"IQ_EBITDA_MARGIN",IQ_FY-9), _xll.ciqfunctions.udf.CIQ(A3618, "IQ_EBITDA_MARGIN",IQ_FY-8))</f>
        <v>0</v>
      </c>
      <c r="H3619" s="15" t="e">
        <f>IF(A3626=A3627,_xll.ciqfunctions.udf.CIQ(A3618,"IQ_TOTAL_DIV_PAID_CF",IQ_FY-9)/-I3619, _xll.ciqfunctions.udf.CIQ(A3618, "IQ_TOTAL_DIV_PAID_CF",IQ_FY-8)/-I3619)</f>
        <v>#DIV/0!</v>
      </c>
      <c r="I3619" s="17">
        <f>IF(A3626=A3627,_xll.ciqfunctions.udf.CIQ(A3618,"IQ_TOTAL_OUTSTANDING_FILING_DATE",IQ_FY-9), _xll.ciqfunctions.udf.CIQ(A3618, "IQ_TOTAL_OUTSTANDING_FILING_DATE",IQ_FY-8))</f>
        <v>0</v>
      </c>
      <c r="J3619" s="17">
        <f>IF(A3626=A3627,_xll.ciqfunctions.udf.CIQ(A3618,"IQ_CASH_OPER",IQ_FY-9), _xll.ciqfunctions.udf.CIQ(A3618, "IQ_CASH_OPER",IQ_FY-8))</f>
        <v>0</v>
      </c>
      <c r="K3619" s="17">
        <f>IF(A3626=A3627,_xll.ciqfunctions.udf.CIQ(A3618,"IQ_CAPEX",IQ_FY-9), _xll.ciqfunctions.udf.CIQ(A3618, "IQ_CAPEX",IQ_FY-8))</f>
        <v>0</v>
      </c>
      <c r="L3619" s="15" t="e">
        <f t="shared" si="964"/>
        <v>#DIV/0!</v>
      </c>
      <c r="M3619" s="17">
        <f>IF(A3626=A3627,_xll.ciqfunctions.udf.CIQ(A3618,"IQ_TOTAL_DEBT_ISSUED",IQ_FY-9), _xll.ciqfunctions.udf.CIQ(A3618, "IQ_TOTAL_DEBT_ISSUED",IQ_FY-8))</f>
        <v>0</v>
      </c>
      <c r="N3619" s="17">
        <f>IF(A3626=A3627,_xll.ciqfunctions.udf.CIQ(A3618,"IQ_TOTAL_DEBT_REPAID",IQ_FY-9), _xll.ciqfunctions.udf.CIQ(A3618, "IQ_TOTAL_DEBT_REPAID",IQ_FY-8))</f>
        <v>0</v>
      </c>
      <c r="O3619" s="15" t="e">
        <f t="shared" si="965"/>
        <v>#DIV/0!</v>
      </c>
      <c r="P3619" s="15" t="e">
        <f t="shared" si="966"/>
        <v>#DIV/0!</v>
      </c>
      <c r="Q3619" s="25" t="s">
        <v>18</v>
      </c>
      <c r="R3619" s="39" t="s">
        <v>19</v>
      </c>
      <c r="S3619" s="1" t="e">
        <f>R3617/((AVERAGE(P3623:P3628))*(1+E3629)^3)</f>
        <v>#DIV/0!</v>
      </c>
      <c r="U3619" s="25" t="s">
        <v>48</v>
      </c>
      <c r="V3619" s="39" t="s">
        <v>19</v>
      </c>
      <c r="W3619" s="1" t="e">
        <f>V3617/((AVERAGE(P3623:P3628))*(1+E3629)^3)</f>
        <v>#DIV/0!</v>
      </c>
      <c r="Y3619" s="25" t="s">
        <v>39</v>
      </c>
      <c r="Z3619" s="39" t="s">
        <v>19</v>
      </c>
      <c r="AA3619" s="1" t="e">
        <f>Z3617/((AVERAGE(P3623:P3628))*(1+E3629)^3)</f>
        <v>#DIV/0!</v>
      </c>
    </row>
    <row r="3620" spans="1:27">
      <c r="B3620" s="13">
        <v>3</v>
      </c>
      <c r="C3620" s="14" t="s">
        <v>20</v>
      </c>
      <c r="D3620" s="15" t="e" cm="1">
        <f t="array" ref="D3620">_xlfn.SINGLE(IF(A3626=A3627,_xll.ciqfunctions.udf.CIQ(A3618,"IQ_TOTAL_REV",IQ_FY-8)/I3620, _xll.ciqfunctions.udf.CIQ(A3618, "IQ_TOTAL_REV",IQ_FY-7)/I3620))</f>
        <v>#DIV/0!</v>
      </c>
      <c r="E3620" s="16" t="e">
        <f t="shared" si="967"/>
        <v>#DIV/0!</v>
      </c>
      <c r="F3620" s="15">
        <f>IF(A3626=A3627,_xll.ciqfunctions.udf.CIQ(A3618,"IQ_DILUT_EPS_EXCL",IQ_FY-8), _xll.ciqfunctions.udf.CIQ(A3618, "IQ_DILUT_EPS_EXCL",IQ_FY-7))</f>
        <v>0</v>
      </c>
      <c r="G3620" s="15">
        <f>IF(A3626=A3627,_xll.ciqfunctions.udf.CIQ(A3618,"IQ_EBITDA_MARGIN",IQ_FY-8), _xll.ciqfunctions.udf.CIQ(A3618, "IQ_EBITDA_MARGIN",IQ_FY-7))</f>
        <v>0</v>
      </c>
      <c r="H3620" s="15" t="e">
        <f>IF(A3626=A3627,_xll.ciqfunctions.udf.CIQ(A3618,"IQ_TOTAL_DIV_PAID_CF",IQ_FY-8)/-I3620, _xll.ciqfunctions.udf.CIQ(A3618, "IQ_TOTAL_DIV_PAID_CF",IQ_FY-7)/-I3620)</f>
        <v>#DIV/0!</v>
      </c>
      <c r="I3620" s="17">
        <f>IF(A3626=A3627,_xll.ciqfunctions.udf.CIQ(A3618,"IQ_TOTAL_OUTSTANDING_FILING_DATE",IQ_FY-8), _xll.ciqfunctions.udf.CIQ(A3618, "IQ_TOTAL_OUTSTANDING_FILING_DATE",IQ_FY-7))</f>
        <v>0</v>
      </c>
      <c r="J3620" s="17">
        <f>IF(A3626=A3627,_xll.ciqfunctions.udf.CIQ(A3618,"IQ_CASH_OPER",IQ_FY-8), _xll.ciqfunctions.udf.CIQ(A3618, "IQ_CASH_OPER",IQ_FY-7))</f>
        <v>0</v>
      </c>
      <c r="K3620" s="17">
        <f>IF(A3626=A3627,_xll.ciqfunctions.udf.CIQ(A3618,"IQ_CAPEX",IQ_FY-8), _xll.ciqfunctions.udf.CIQ(A3618, "IQ_CAPEX",IQ_FY-7))</f>
        <v>0</v>
      </c>
      <c r="L3620" s="15" t="e">
        <f t="shared" si="964"/>
        <v>#DIV/0!</v>
      </c>
      <c r="M3620" s="17">
        <f>IF(A3626=A3627,_xll.ciqfunctions.udf.CIQ(A3618,"IQ_TOTAL_DEBT_ISSUED",IQ_FY-8), _xll.ciqfunctions.udf.CIQ(A3618, "IQ_TOTAL_DEBT_ISSUED",IQ_FY-7))</f>
        <v>0</v>
      </c>
      <c r="N3620" s="17">
        <f>IF(A3626=A3627,_xll.ciqfunctions.udf.CIQ(A3618,"IQ_TOTAL_DEBT_REPAID",IQ_FY-8), _xll.ciqfunctions.udf.CIQ(A3618, "IQ_TOTAL_DEBT_REPAID",IQ_FY-7))</f>
        <v>0</v>
      </c>
      <c r="O3620" s="15" t="e">
        <f t="shared" si="965"/>
        <v>#DIV/0!</v>
      </c>
      <c r="P3620" s="15" t="e">
        <f t="shared" si="966"/>
        <v>#DIV/0!</v>
      </c>
      <c r="Q3620" s="25" t="s">
        <v>21</v>
      </c>
      <c r="R3620" s="38" t="s">
        <v>49</v>
      </c>
      <c r="S3620" s="2">
        <f>(R3617*I3628)/1000</f>
        <v>3.7268392524999996</v>
      </c>
      <c r="U3620" s="25" t="s">
        <v>59</v>
      </c>
      <c r="V3620" s="38" t="s">
        <v>49</v>
      </c>
      <c r="W3620" s="2">
        <f>(V3617*I3628)/1000</f>
        <v>3.7268392524999996</v>
      </c>
      <c r="Y3620" s="25" t="s">
        <v>46</v>
      </c>
      <c r="Z3620" s="38" t="s">
        <v>49</v>
      </c>
      <c r="AA3620" s="2">
        <f>(Z3617*I3628)/1000</f>
        <v>3.7268392524999996</v>
      </c>
    </row>
    <row r="3621" spans="1:27">
      <c r="A3621" s="18"/>
      <c r="B3621" s="13">
        <v>4</v>
      </c>
      <c r="C3621" s="14" t="s">
        <v>22</v>
      </c>
      <c r="D3621" s="15" t="e" cm="1">
        <f t="array" ref="D3621">_xlfn.SINGLE(IF(A3626=A3627,_xll.ciqfunctions.udf.CIQ(A3618,"IQ_TOTAL_REV",IQ_FY-7)/I3621, _xll.ciqfunctions.udf.CIQ(A3618, "IQ_TOTAL_REV",IQ_FY-6)/I3621))</f>
        <v>#DIV/0!</v>
      </c>
      <c r="E3621" s="16" t="e">
        <f t="shared" si="967"/>
        <v>#DIV/0!</v>
      </c>
      <c r="F3621" s="15">
        <f>IF(A3626=A3627,_xll.ciqfunctions.udf.CIQ(A3618,"IQ_DILUT_EPS_EXCL",IQ_FY-7), _xll.ciqfunctions.udf.CIQ(A3618, "IQ_DILUT_EPS_EXCL",IQ_FY-6))</f>
        <v>0</v>
      </c>
      <c r="G3621" s="15">
        <f>IF(A3626=A3627,_xll.ciqfunctions.udf.CIQ(A3618,"IQ_EBITDA_MARGIN",IQ_FY-7), _xll.ciqfunctions.udf.CIQ(A3618, "IQ_EBITDA_MARGIN",IQ_FY-6))</f>
        <v>0</v>
      </c>
      <c r="H3621" s="15" t="e">
        <f>IF(A3626=A3627,_xll.ciqfunctions.udf.CIQ(A3618,"IQ_TOTAL_DIV_PAID_CF",IQ_FY-7)/-I3621, _xll.ciqfunctions.udf.CIQ(A3618, "IQ_TOTAL_DIV_PAID_CF",IQ_FY-6)/-I3621)</f>
        <v>#DIV/0!</v>
      </c>
      <c r="I3621" s="17">
        <f>IF(A3626=A3627,_xll.ciqfunctions.udf.CIQ(A3618,"IQ_TOTAL_OUTSTANDING_FILING_DATE",IQ_FY-7), _xll.ciqfunctions.udf.CIQ(A3618, "IQ_TOTAL_OUTSTANDING_FILING_DATE",IQ_FY-6))</f>
        <v>0</v>
      </c>
      <c r="J3621" s="17">
        <f>IF(A3626=A3627,_xll.ciqfunctions.udf.CIQ(A3618,"IQ_CASH_OPER",IQ_FY-7), _xll.ciqfunctions.udf.CIQ(A3618, "IQ_CASH_OPER",IQ_FY-6))</f>
        <v>0</v>
      </c>
      <c r="K3621" s="17">
        <f>IF(A3626=A3627,_xll.ciqfunctions.udf.CIQ(A3618,"IQ_CAPEX",IQ_FY-7), _xll.ciqfunctions.udf.CIQ(A3618, "IQ_CAPEX",IQ_FY-6))</f>
        <v>0</v>
      </c>
      <c r="L3621" s="15" t="e">
        <f t="shared" si="964"/>
        <v>#DIV/0!</v>
      </c>
      <c r="M3621" s="17">
        <f>IF(A3626=A3627,_xll.ciqfunctions.udf.CIQ(A3618,"IQ_TOTAL_DEBT_ISSUED",IQ_FY-7), _xll.ciqfunctions.udf.CIQ(A3618, "IQ_TOTAL_DEBT_ISSUED",IQ_FY-6))</f>
        <v>0</v>
      </c>
      <c r="N3621" s="17">
        <f>IF(A3626=A3627,_xll.ciqfunctions.udf.CIQ(A3618,"IQ_TOTAL_DEBT_REPAID",IQ_FY-7), _xll.ciqfunctions.udf.CIQ(A3618, "IQ_TOTAL_DEBT_REPAID",IQ_FY-6))</f>
        <v>0</v>
      </c>
      <c r="O3621" s="15" t="e">
        <f t="shared" si="965"/>
        <v>#DIV/0!</v>
      </c>
      <c r="P3621" s="15" t="e">
        <f t="shared" si="966"/>
        <v>#DIV/0!</v>
      </c>
      <c r="Q3621" s="25" t="s">
        <v>23</v>
      </c>
      <c r="R3621" s="38" t="s">
        <v>24</v>
      </c>
      <c r="S3621" s="1" t="e">
        <f>R3617/(AVERAGE(H3623:H3628)*(1+H3629)/(0.5-H3629))</f>
        <v>#DIV/0!</v>
      </c>
      <c r="U3621" s="25" t="s">
        <v>40</v>
      </c>
      <c r="V3621" s="38" t="s">
        <v>24</v>
      </c>
      <c r="W3621" s="1" t="e">
        <f>V3617/(AVERAGE(H3623:H3628)*(1+H3629)/(0.5-H3629))</f>
        <v>#DIV/0!</v>
      </c>
      <c r="Y3621" s="25" t="s">
        <v>47</v>
      </c>
      <c r="Z3621" s="38" t="s">
        <v>24</v>
      </c>
      <c r="AA3621" s="1" t="e">
        <f>Z3617/(AVERAGE(H3623:H3628)*(1+H3629)/(0.5-H3629))</f>
        <v>#DIV/0!</v>
      </c>
    </row>
    <row r="3622" spans="1:27">
      <c r="B3622" s="13">
        <v>5</v>
      </c>
      <c r="C3622" s="14" t="s">
        <v>25</v>
      </c>
      <c r="D3622" s="15" t="e" cm="1">
        <f t="array" ref="D3622">_xlfn.SINGLE(IF(A3626=A3627,_xll.ciqfunctions.udf.CIQ(A3618,"IQ_TOTAL_REV",IQ_FY-6)/I3622, _xll.ciqfunctions.udf.CIQ(A3618, "IQ_TOTAL_REV",IQ_FY-5)/I3622))</f>
        <v>#DIV/0!</v>
      </c>
      <c r="E3622" s="16" t="e">
        <f t="shared" si="967"/>
        <v>#DIV/0!</v>
      </c>
      <c r="F3622" s="15">
        <f>IF(A3626=A3627,_xll.ciqfunctions.udf.CIQ(A3618,"IQ_DILUT_EPS_EXCL",IQ_FY-6), _xll.ciqfunctions.udf.CIQ(A3618, "IQ_DILUT_EPS_EXCL",IQ_FY-5))</f>
        <v>0</v>
      </c>
      <c r="G3622" s="15">
        <f>IF(A3626=A3627,_xll.ciqfunctions.udf.CIQ(A3618,"IQ_EBITDA_MARGIN",IQ_FY-6), _xll.ciqfunctions.udf.CIQ(A3618, "IQ_EBITDA_MARGIN",IQ_FY-5))</f>
        <v>0</v>
      </c>
      <c r="H3622" s="15" t="e">
        <f>IF(A3626=A3627,_xll.ciqfunctions.udf.CIQ(A3618,"IQ_TOTAL_DIV_PAID_CF",IQ_FY-6)/-I3622, _xll.ciqfunctions.udf.CIQ(A3618, "IQ_TOTAL_DIV_PAID_CF",IQ_FY-5)/-I3622)</f>
        <v>#DIV/0!</v>
      </c>
      <c r="I3622" s="17">
        <f>IF(A3626=A3627,_xll.ciqfunctions.udf.CIQ(A3618,"IQ_TOTAL_OUTSTANDING_FILING_DATE",IQ_FY-6), _xll.ciqfunctions.udf.CIQ(A3618, "IQ_TOTAL_OUTSTANDING_FILING_DATE",IQ_FY-5))</f>
        <v>0</v>
      </c>
      <c r="J3622" s="17">
        <f>IF(A3626=A3627,_xll.ciqfunctions.udf.CIQ(A3618,"IQ_CASH_OPER",IQ_FY-6), _xll.ciqfunctions.udf.CIQ(A3618, "IQ_CASH_OPER",IQ_FY-5))</f>
        <v>0</v>
      </c>
      <c r="K3622" s="17">
        <f>IF(A3626=A3627,_xll.ciqfunctions.udf.CIQ(A3618,"IQ_CAPEX",IQ_FY-6), _xll.ciqfunctions.udf.CIQ(A3618, "IQ_CAPEX",IQ_FY-5))</f>
        <v>0</v>
      </c>
      <c r="L3622" s="15" t="e">
        <f t="shared" si="964"/>
        <v>#DIV/0!</v>
      </c>
      <c r="M3622" s="17">
        <f>IF(A3626=A3627,_xll.ciqfunctions.udf.CIQ(A3618,"IQ_TOTAL_DEBT_ISSUED",IQ_FY-6), _xll.ciqfunctions.udf.CIQ(A3618, "IQ_TOTAL_DEBT_ISSUED",IQ_FY-5))</f>
        <v>0</v>
      </c>
      <c r="N3622" s="17">
        <f>IF(A3626=A3627,_xll.ciqfunctions.udf.CIQ(A3618,"IQ_TOTAL_DEBT_REPAID",IQ_FY-6), _xll.ciqfunctions.udf.CIQ(A3618, "IQ_TOTAL_DEBT_REPAID",IQ_FY-5))</f>
        <v>0</v>
      </c>
      <c r="O3622" s="15" t="e">
        <f t="shared" si="965"/>
        <v>#DIV/0!</v>
      </c>
      <c r="P3622" s="15" t="e">
        <f t="shared" si="966"/>
        <v>#DIV/0!</v>
      </c>
      <c r="Q3622" s="18"/>
      <c r="R3622" s="38" t="s">
        <v>50</v>
      </c>
      <c r="S3622" s="3" t="e">
        <f>I3629</f>
        <v>#DIV/0!</v>
      </c>
      <c r="U3622" s="18"/>
      <c r="V3622" s="38" t="s">
        <v>50</v>
      </c>
      <c r="W3622" s="3" t="e">
        <f>I3629</f>
        <v>#DIV/0!</v>
      </c>
      <c r="Y3622" s="18"/>
      <c r="Z3622" s="38" t="s">
        <v>50</v>
      </c>
      <c r="AA3622" s="3" t="e">
        <f>I3629</f>
        <v>#DIV/0!</v>
      </c>
    </row>
    <row r="3623" spans="1:27">
      <c r="B3623" s="13">
        <v>6</v>
      </c>
      <c r="C3623" s="14" t="s">
        <v>26</v>
      </c>
      <c r="D3623" s="15" t="e" cm="1">
        <f t="array" ref="D3623">_xlfn.SINGLE(IF(A3626=A3627,_xll.ciqfunctions.udf.CIQ(A3618,"IQ_TOTAL_REV",IQ_FY-5)/I3623, _xll.ciqfunctions.udf.CIQ(A3618, "IQ_TOTAL_REV",IQ_FY-4)/I3623))</f>
        <v>#DIV/0!</v>
      </c>
      <c r="E3623" s="16" t="e">
        <f t="shared" si="967"/>
        <v>#DIV/0!</v>
      </c>
      <c r="F3623" s="15">
        <f>IF(A3626=A3627,_xll.ciqfunctions.udf.CIQ(A3618,"IQ_DILUT_EPS_EXCL",IQ_FY-5), _xll.ciqfunctions.udf.CIQ(A3618, "IQ_DILUT_EPS_EXCL",IQ_FY-4))</f>
        <v>0</v>
      </c>
      <c r="G3623" s="15">
        <f>IF(A3626=A3627,_xll.ciqfunctions.udf.CIQ(A3618,"IQ_EBITDA_MARGIN",IQ_FY-5), _xll.ciqfunctions.udf.CIQ(A3618, "IQ_EBITDA_MARGIN",IQ_FY-4))</f>
        <v>0</v>
      </c>
      <c r="H3623" s="15" t="e">
        <f>IF(A3626=A3627,_xll.ciqfunctions.udf.CIQ(A3618,"IQ_TOTAL_DIV_PAID_CF",IQ_FY-5)/-I3623, _xll.ciqfunctions.udf.CIQ(A3618, "IQ_TOTAL_DIV_PAID_CF",IQ_FY-4)/-I3623)</f>
        <v>#DIV/0!</v>
      </c>
      <c r="I3623" s="17">
        <f>IF(A3626=A3627,_xll.ciqfunctions.udf.CIQ(A3618,"IQ_TOTAL_OUTSTANDING_FILING_DATE",IQ_FY-5), _xll.ciqfunctions.udf.CIQ(A3618, "IQ_TOTAL_OUTSTANDING_FILING_DATE",IQ_FY-4))</f>
        <v>0</v>
      </c>
      <c r="J3623" s="17">
        <f>IF(A3626=A3627,_xll.ciqfunctions.udf.CIQ(A3618,"IQ_CASH_OPER",IQ_FY-5), _xll.ciqfunctions.udf.CIQ(A3618, "IQ_CASH_OPER",IQ_FY-4))</f>
        <v>0</v>
      </c>
      <c r="K3623" s="17">
        <f>IF(A3626=A3627,_xll.ciqfunctions.udf.CIQ(A3618,"IQ_CAPEX",IQ_FY-5), _xll.ciqfunctions.udf.CIQ(A3618, "IQ_CAPEX",IQ_FY-4))</f>
        <v>0</v>
      </c>
      <c r="L3623" s="15" t="e">
        <f t="shared" si="964"/>
        <v>#DIV/0!</v>
      </c>
      <c r="M3623" s="17">
        <f>IF(A3626=A3627,_xll.ciqfunctions.udf.CIQ(A3618,"IQ_TOTAL_DEBT_ISSUED",IQ_FY-5), _xll.ciqfunctions.udf.CIQ(A3618, "IQ_TOTAL_DEBT_ISSUED",IQ_FY-4))</f>
        <v>0</v>
      </c>
      <c r="N3623" s="17">
        <f>IF(A3626=A3627,_xll.ciqfunctions.udf.CIQ(A3618,"IQ_TOTAL_DEBT_REPAID",IQ_FY-5), _xll.ciqfunctions.udf.CIQ(A3618, "IQ_TOTAL_DEBT_REPAID",IQ_FY-4))</f>
        <v>0</v>
      </c>
      <c r="O3623" s="15" t="e">
        <f t="shared" si="965"/>
        <v>#DIV/0!</v>
      </c>
      <c r="P3623" s="15" t="e">
        <f t="shared" si="966"/>
        <v>#DIV/0!</v>
      </c>
      <c r="Q3623" s="25" t="s">
        <v>27</v>
      </c>
      <c r="R3623" s="38" t="s">
        <v>51</v>
      </c>
      <c r="S3623" s="4" t="e">
        <f>AVERAGE(F3623:F3628)/AVERAGE(D3623:D3628)</f>
        <v>#DIV/0!</v>
      </c>
      <c r="U3623" s="25" t="s">
        <v>58</v>
      </c>
      <c r="V3623" s="38" t="s">
        <v>51</v>
      </c>
      <c r="W3623" s="4" t="e">
        <f>AVERAGE(F3623:F3628)/AVERAGE(D3623:D3628)</f>
        <v>#DIV/0!</v>
      </c>
      <c r="Y3623" s="25" t="s">
        <v>56</v>
      </c>
      <c r="Z3623" s="38" t="s">
        <v>51</v>
      </c>
      <c r="AA3623" s="4" t="e">
        <f>AVERAGE(F3623:F3628)/AVERAGE(D3623:D3628)</f>
        <v>#DIV/0!</v>
      </c>
    </row>
    <row r="3624" spans="1:27">
      <c r="A3624" s="18"/>
      <c r="B3624" s="13">
        <v>7</v>
      </c>
      <c r="C3624" s="14" t="s">
        <v>28</v>
      </c>
      <c r="D3624" s="15" t="e" cm="1">
        <f t="array" ref="D3624">_xlfn.SINGLE(IF(A3626=A3627,_xll.ciqfunctions.udf.CIQ(A3618,"IQ_TOTAL_REV",IQ_FY-4)/I3624, _xll.ciqfunctions.udf.CIQ(A3618, "IQ_TOTAL_REV",IQ_FY-3)/I3624))</f>
        <v>#DIV/0!</v>
      </c>
      <c r="E3624" s="16" t="e">
        <f t="shared" si="967"/>
        <v>#DIV/0!</v>
      </c>
      <c r="F3624" s="15">
        <f>IF(A3626=A3627,_xll.ciqfunctions.udf.CIQ(A3618,"IQ_DILUT_EPS_EXCL",IQ_FY-4), _xll.ciqfunctions.udf.CIQ(A3618, "IQ_DILUT_EPS_EXCL",IQ_FY-3))</f>
        <v>0</v>
      </c>
      <c r="G3624" s="15">
        <f>IF(A3626=A3627,_xll.ciqfunctions.udf.CIQ(A3618,"IQ_EBITDA_MARGIN",IQ_FY-4), _xll.ciqfunctions.udf.CIQ(A3618, "IQ_EBITDA_MARGIN",IQ_FY-3))</f>
        <v>14.349299999999999</v>
      </c>
      <c r="H3624" s="15" t="e">
        <f>IF(A3626=A3627,_xll.ciqfunctions.udf.CIQ(A3618,"IQ_TOTAL_DIV_PAID_CF",IQ_FY-4)/-I3624, _xll.ciqfunctions.udf.CIQ(A3618, "IQ_TOTAL_DIV_PAID_CF",IQ_FY-3)/-I3624)</f>
        <v>#DIV/0!</v>
      </c>
      <c r="I3624" s="17">
        <f>IF(A3626=A3627,_xll.ciqfunctions.udf.CIQ(A3618,"IQ_TOTAL_OUTSTANDING_FILING_DATE",IQ_FY-4), _xll.ciqfunctions.udf.CIQ(A3618, "IQ_TOTAL_OUTSTANDING_FILING_DATE",IQ_FY-3))</f>
        <v>0</v>
      </c>
      <c r="J3624" s="17">
        <f>IF(A3626=A3627,_xll.ciqfunctions.udf.CIQ(A3618,"IQ_CASH_OPER",IQ_FY-4), _xll.ciqfunctions.udf.CIQ(A3618, "IQ_CASH_OPER",IQ_FY-3))</f>
        <v>54.320999999999998</v>
      </c>
      <c r="K3624" s="17">
        <f>IF(A3626=A3627,_xll.ciqfunctions.udf.CIQ(A3618,"IQ_CAPEX",IQ_FY-4), _xll.ciqfunctions.udf.CIQ(A3618, "IQ_CAPEX",IQ_FY-3))</f>
        <v>-4.4690000000000003</v>
      </c>
      <c r="L3624" s="15" t="e">
        <f t="shared" si="964"/>
        <v>#DIV/0!</v>
      </c>
      <c r="M3624" s="17">
        <f>IF(A3626=A3627,_xll.ciqfunctions.udf.CIQ(A3618,"IQ_TOTAL_DEBT_ISSUED",IQ_FY-4), _xll.ciqfunctions.udf.CIQ(A3618, "IQ_TOTAL_DEBT_ISSUED",IQ_FY-3))</f>
        <v>118.05800000000001</v>
      </c>
      <c r="N3624" s="17">
        <f>IF(A3626=A3627,_xll.ciqfunctions.udf.CIQ(A3618,"IQ_TOTAL_DEBT_REPAID",IQ_FY-4), _xll.ciqfunctions.udf.CIQ(A3618, "IQ_TOTAL_DEBT_REPAID",IQ_FY-3))</f>
        <v>-57.819000000000003</v>
      </c>
      <c r="O3624" s="15" t="e">
        <f t="shared" si="965"/>
        <v>#DIV/0!</v>
      </c>
      <c r="P3624" s="15" t="e">
        <f t="shared" si="966"/>
        <v>#DIV/0!</v>
      </c>
      <c r="Q3624" s="18"/>
      <c r="R3624" s="38" t="s">
        <v>29</v>
      </c>
      <c r="S3624" s="4" t="e">
        <f>(AVERAGE(P3623:P3628)/_xlfn.STDEV.P(P3623:P3628))/(IF(A3626=A3627,(_xlfn.SINGLE(_xll.ciqfunctions.udf.CIQ(A3618,"IQ_total_assets",IQ_FY)) - _xlfn.SINGLE(_xll.ciqfunctions.udf.CIQ(A3618,"iq_gw_intan", IQ_FY)))/I3628, (_xlfn.SINGLE(_xll.ciqfunctions.udf.CIQ(A3618, "IQ_total_assets",IQ_LTM))-_xlfn.SINGLE(_xll.ciqfunctions.udf.CIQ(A3618,"iq_gw_intan",IQ_LTM)))/I3628))</f>
        <v>#DIV/0!</v>
      </c>
      <c r="U3624" s="18"/>
      <c r="V3624" s="38" t="s">
        <v>29</v>
      </c>
      <c r="W3624" s="4" t="e">
        <f>(AVERAGE(P3623:P3628)/_xlfn.STDEV.P(P3623:P3628))/(IF(A3626=A3627,(_xlfn.SINGLE(_xll.ciqfunctions.udf.CIQ(A3618,"IQ_total_assets",IQ_FY)) - _xlfn.SINGLE(_xll.ciqfunctions.udf.CIQ(A3618,"iq_gw_intan", IQ_FY)))/I3628, (_xlfn.SINGLE(_xll.ciqfunctions.udf.CIQ(A3618, "IQ_total_assets",IQ_LTM))-_xlfn.SINGLE(_xll.ciqfunctions.udf.CIQ(A3618,"iq_gw_intan",IQ_LTM)))/I3628))</f>
        <v>#DIV/0!</v>
      </c>
      <c r="Y3624" s="18"/>
      <c r="Z3624" s="38" t="s">
        <v>29</v>
      </c>
      <c r="AA3624" s="4" t="e">
        <f>(AVERAGE(P3623:P3628)/_xlfn.STDEV.P(P3623:P3628))/(IF(A3626=A3627,(_xlfn.SINGLE(_xll.ciqfunctions.udf.CIQ(A3618,"IQ_total_assets",IQ_FY)) - _xlfn.SINGLE(_xll.ciqfunctions.udf.CIQ(A3618,"iq_gw_intan", IQ_FY)))/I3628, (_xlfn.SINGLE(_xll.ciqfunctions.udf.CIQ(A3618, "IQ_total_assets",IQ_LTM))-_xlfn.SINGLE(_xll.ciqfunctions.udf.CIQ(A3618,"iq_gw_intan",IQ_LTM)))/I3628))</f>
        <v>#DIV/0!</v>
      </c>
    </row>
    <row r="3625" spans="1:27">
      <c r="A3625" s="18"/>
      <c r="B3625" s="13">
        <v>8</v>
      </c>
      <c r="C3625" s="14" t="s">
        <v>30</v>
      </c>
      <c r="D3625" s="15" t="e" cm="1">
        <f t="array" ref="D3625">_xlfn.SINGLE(IF(A3626=A3627,_xll.ciqfunctions.udf.CIQ(A3618,"IQ_TOTAL_REV",IQ_FY-3)/I3625, _xll.ciqfunctions.udf.CIQ(A3618, "IQ_TOTAL_REV",IQ_FY-2)/I3625))</f>
        <v>#DIV/0!</v>
      </c>
      <c r="E3625" s="16" t="e">
        <f t="shared" si="967"/>
        <v>#DIV/0!</v>
      </c>
      <c r="F3625" s="15">
        <f>IF(A3626=A3627,_xll.ciqfunctions.udf.CIQ(A3618,"IQ_DILUT_EPS_EXCL",IQ_FY-3), _xll.ciqfunctions.udf.CIQ(A3618, "IQ_DILUT_EPS_EXCL",IQ_FY-2))</f>
        <v>0</v>
      </c>
      <c r="G3625" s="15">
        <f>IF(A3626=A3627,_xll.ciqfunctions.udf.CIQ(A3618,"IQ_EBITDA_MARGIN",IQ_FY-3), _xll.ciqfunctions.udf.CIQ(A3618, "IQ_EBITDA_MARGIN",IQ_FY-2))</f>
        <v>25.997699999999998</v>
      </c>
      <c r="H3625" s="15" t="e">
        <f>IF(A3626=A3627,_xll.ciqfunctions.udf.CIQ(A3618,"IQ_TOTAL_DIV_PAID_CF",IQ_FY-3)/-I3625, _xll.ciqfunctions.udf.CIQ(A3618, "IQ_TOTAL_DIV_PAID_CF",IQ_FY-2)/-I3625)</f>
        <v>#DIV/0!</v>
      </c>
      <c r="I3625" s="17">
        <f>IF(A3626=A3627,_xll.ciqfunctions.udf.CIQ(A3618,"IQ_TOTAL_OUTSTANDING_FILING_DATE",IQ_FY-3), _xll.ciqfunctions.udf.CIQ(A3618, "IQ_TOTAL_OUTSTANDING_FILING_DATE",IQ_FY-2))</f>
        <v>0</v>
      </c>
      <c r="J3625" s="17">
        <f>IF(A3626=A3627,_xll.ciqfunctions.udf.CIQ(A3618,"IQ_CASH_OPER",IQ_FY-3), _xll.ciqfunctions.udf.CIQ(A3618, "IQ_CASH_OPER",IQ_FY-2))</f>
        <v>89.453999999999994</v>
      </c>
      <c r="K3625" s="17">
        <f>IF(A3626=A3627,_xll.ciqfunctions.udf.CIQ(A3618,"IQ_CAPEX",IQ_FY-3), _xll.ciqfunctions.udf.CIQ(A3618, "IQ_CAPEX",IQ_FY-2))</f>
        <v>-2.7709999999999999</v>
      </c>
      <c r="L3625" s="15" t="e">
        <f t="shared" si="964"/>
        <v>#DIV/0!</v>
      </c>
      <c r="M3625" s="17">
        <f>IF(A3626=A3627,_xll.ciqfunctions.udf.CIQ(A3618,"IQ_TOTAL_DEBT_ISSUED",IQ_FY-3), _xll.ciqfunctions.udf.CIQ(A3618, "IQ_TOTAL_DEBT_ISSUED",IQ_FY-2))</f>
        <v>101</v>
      </c>
      <c r="N3625" s="17">
        <f>IF(A3626=A3627,_xll.ciqfunctions.udf.CIQ(A3618,"IQ_TOTAL_DEBT_REPAID",IQ_FY-3), _xll.ciqfunctions.udf.CIQ(A3618, "IQ_TOTAL_DEBT_REPAID",IQ_FY-2))</f>
        <v>-69.308999999999997</v>
      </c>
      <c r="O3625" s="15" t="e">
        <f t="shared" si="965"/>
        <v>#DIV/0!</v>
      </c>
      <c r="P3625" s="15" t="e">
        <f t="shared" si="966"/>
        <v>#DIV/0!</v>
      </c>
      <c r="Q3625" s="18"/>
      <c r="R3625" s="39" t="s">
        <v>31</v>
      </c>
      <c r="S3625" s="5" t="e">
        <f>IF(NOT(D3618&gt;0),FALSE,SLOPE(G3618:G3628,B3618:B3628))</f>
        <v>#DIV/0!</v>
      </c>
      <c r="U3625" s="18"/>
      <c r="V3625" s="39" t="s">
        <v>31</v>
      </c>
      <c r="W3625" s="5" t="e">
        <f>IF(NOT(D3618&gt;0),FALSE,SLOPE(G3618:G3628,B3618:B3628))</f>
        <v>#DIV/0!</v>
      </c>
      <c r="Y3625" s="18"/>
      <c r="Z3625" s="39" t="s">
        <v>31</v>
      </c>
      <c r="AA3625" s="5" t="e">
        <f>IF(NOT(L3618&gt;0),FALSE,SLOPE(O3618:O3628,J3618:J3628))</f>
        <v>#DIV/0!</v>
      </c>
    </row>
    <row r="3626" spans="1:27">
      <c r="A3626" s="19">
        <f>_xll.ciqfunctions.udf.CIQ(A3618,"IQ_TOTAL_REV",IQ_FY)</f>
        <v>630.68299999999999</v>
      </c>
      <c r="B3626" s="13">
        <v>9</v>
      </c>
      <c r="C3626" s="14" t="s">
        <v>32</v>
      </c>
      <c r="D3626" s="15" cm="1">
        <f t="array" ref="D3626">_xlfn.SINGLE(IF(A3626=A3627,_xll.ciqfunctions.udf.CIQ(A3618,"IQ_TOTAL_REV",IQ_FY-2)/I3626, _xll.ciqfunctions.udf.CIQ(A3618, "IQ_TOTAL_REV",IQ_FY-1)/I3626))</f>
        <v>3.5248435789847643</v>
      </c>
      <c r="E3626" s="16" t="e">
        <f t="shared" si="967"/>
        <v>#DIV/0!</v>
      </c>
      <c r="F3626" s="15">
        <f>IF(A3626=A3627,_xll.ciqfunctions.udf.CIQ(A3618,"IQ_DILUT_EPS_EXCL",IQ_FY-2), _xll.ciqfunctions.udf.CIQ(A3618, "IQ_DILUT_EPS_EXCL",IQ_FY-1))</f>
        <v>-0.21429999999999999</v>
      </c>
      <c r="G3626" s="15">
        <f>IF(A3626=A3627,_xll.ciqfunctions.udf.CIQ(A3618,"IQ_EBITDA_MARGIN",IQ_FY-2), _xll.ciqfunctions.udf.CIQ(A3618, "IQ_EBITDA_MARGIN",IQ_FY-1))</f>
        <v>20.494499999999999</v>
      </c>
      <c r="H3626" s="15">
        <f>IF(A3626=A3627,_xll.ciqfunctions.udf.CIQ(A3618,"IQ_TOTAL_DIV_PAID_CF",IQ_FY-2)/-I3626, _xll.ciqfunctions.udf.CIQ(A3618, "IQ_TOTAL_DIV_PAID_CF",IQ_FY-1)/-I3626)</f>
        <v>0</v>
      </c>
      <c r="I3626" s="17">
        <f>IF(A3626=A3627,_xll.ciqfunctions.udf.CIQ(A3618,"IQ_TOTAL_OUTSTANDING_FILING_DATE",IQ_FY-2), _xll.ciqfunctions.udf.CIQ(A3618, "IQ_TOTAL_OUTSTANDING_FILING_DATE",IQ_FY-1))</f>
        <v>158.47454999999999</v>
      </c>
      <c r="J3626" s="17">
        <f>IF(A3626=A3627,_xll.ciqfunctions.udf.CIQ(A3618,"IQ_CASH_OPER",IQ_FY-2), _xll.ciqfunctions.udf.CIQ(A3618, "IQ_CASH_OPER",IQ_FY-1))</f>
        <v>143.10300000000001</v>
      </c>
      <c r="K3626" s="17">
        <f>IF(A3626=A3627,_xll.ciqfunctions.udf.CIQ(A3618,"IQ_CAPEX",IQ_FY-2), _xll.ciqfunctions.udf.CIQ(A3618, "IQ_CAPEX",IQ_FY-1))</f>
        <v>-3.988</v>
      </c>
      <c r="L3626" s="15">
        <f t="shared" si="964"/>
        <v>0.8778381134384039</v>
      </c>
      <c r="M3626" s="17">
        <f>IF(A3626=A3627,_xll.ciqfunctions.udf.CIQ(A3618,"IQ_TOTAL_DEBT_ISSUED",IQ_FY-2), _xll.ciqfunctions.udf.CIQ(A3618, "IQ_TOTAL_DEBT_ISSUED",IQ_FY-1))</f>
        <v>370.2</v>
      </c>
      <c r="N3626" s="17">
        <f>IF(A3626=A3627,_xll.ciqfunctions.udf.CIQ(A3618,"IQ_TOTAL_DEBT_REPAID",IQ_FY-2), _xll.ciqfunctions.udf.CIQ(A3618, "IQ_TOTAL_DEBT_REPAID",IQ_FY-1))</f>
        <v>-856.55200000000002</v>
      </c>
      <c r="O3626" s="15">
        <f t="shared" si="965"/>
        <v>-3.0689596531430445</v>
      </c>
      <c r="P3626" s="15">
        <f t="shared" si="966"/>
        <v>-2.1911215397046409</v>
      </c>
      <c r="Q3626" s="25" t="s">
        <v>33</v>
      </c>
      <c r="R3626" s="38" t="s">
        <v>52</v>
      </c>
      <c r="S3626" s="4" t="e">
        <f>(AVERAGE(O3623:O3628)/AVERAGE(P3623:P3628))</f>
        <v>#DIV/0!</v>
      </c>
      <c r="U3626" s="25" t="s">
        <v>54</v>
      </c>
      <c r="V3626" s="38" t="s">
        <v>52</v>
      </c>
      <c r="W3626" s="4" t="e">
        <f>(AVERAGE(O3623:O3628)/AVERAGE(P3623:P3628))</f>
        <v>#DIV/0!</v>
      </c>
      <c r="Y3626" s="25" t="s">
        <v>60</v>
      </c>
      <c r="Z3626" s="38" t="s">
        <v>52</v>
      </c>
      <c r="AA3626" s="4" t="e">
        <f>(AVERAGE(O3623:O3628)/AVERAGE(P3623:P3628))</f>
        <v>#DIV/0!</v>
      </c>
    </row>
    <row r="3627" spans="1:27">
      <c r="A3627" s="19">
        <f>_xll.ciqfunctions.udf.CIQ(A3618,"IQ_TOTAL_REV",IQ_LTM)</f>
        <v>676.58100000000002</v>
      </c>
      <c r="B3627" s="13">
        <v>10</v>
      </c>
      <c r="C3627" s="14" t="s">
        <v>34</v>
      </c>
      <c r="D3627" s="15" cm="1">
        <f t="array" ref="D3627">_xlfn.SINGLE(IF(A3626=A3627,_xll.ciqfunctions.udf.CIQ(A3618,"IQ_TOTAL_REV",IQ_FY-1)/I3627, _xll.ciqfunctions.udf.CIQ(A3618, "IQ_TOTAL_REV",IQ_FY)/I3627))</f>
        <v>3.9494113546476624</v>
      </c>
      <c r="E3627" s="16">
        <f t="shared" si="967"/>
        <v>0.12045010399729093</v>
      </c>
      <c r="F3627" s="15">
        <f>IF(A3626=A3627,_xll.ciqfunctions.udf.CIQ(A3618,"IQ_DILUT_EPS_EXCL",IQ_FY-1), _xll.ciqfunctions.udf.CIQ(A3618, "IQ_DILUT_EPS_EXCL",IQ_FY))</f>
        <v>-0.13497999999999999</v>
      </c>
      <c r="G3627" s="15">
        <f>IF(A3626=A3627,_xll.ciqfunctions.udf.CIQ(A3618,"IQ_EBITDA_MARGIN",IQ_FY-1), _xll.ciqfunctions.udf.CIQ(A3618, "IQ_EBITDA_MARGIN",IQ_FY))</f>
        <v>17.7103</v>
      </c>
      <c r="H3627" s="15">
        <f>IF(A3626=A3627,_xll.ciqfunctions.udf.CIQ(A3618,"IQ_TOTAL_DIV_PAID_CF",IQ_FY-1)/-I3627, _xll.ciqfunctions.udf.CIQ(A3618, "IQ_TOTAL_DIV_PAID_CF",IQ_FY)/-I3627)</f>
        <v>0</v>
      </c>
      <c r="I3627" s="17">
        <f>IF(A3626=A3627,_xll.ciqfunctions.udf.CIQ(A3618,"IQ_TOTAL_OUTSTANDING_FILING_DATE",IQ_FY-1), _xll.ciqfunctions.udf.CIQ(A3618, "IQ_TOTAL_OUTSTANDING_FILING_DATE",IQ_FY))</f>
        <v>159.69038</v>
      </c>
      <c r="J3627" s="17">
        <f>IF(A3626=A3627,_xll.ciqfunctions.udf.CIQ(A3618,"IQ_CASH_OPER",IQ_FY-1), _xll.ciqfunctions.udf.CIQ(A3618, "IQ_CASH_OPER",IQ_FY))</f>
        <v>149.00899999999999</v>
      </c>
      <c r="K3627" s="17">
        <f>IF(A3626=A3627,_xll.ciqfunctions.udf.CIQ(A3618,"IQ_CAPEX",IQ_FY-1), _xll.ciqfunctions.udf.CIQ(A3618, "IQ_CAPEX",IQ_FY))</f>
        <v>-3.6509999999999998</v>
      </c>
      <c r="L3627" s="15">
        <f t="shared" si="964"/>
        <v>0.91024894549064239</v>
      </c>
      <c r="M3627" s="17">
        <f>IF(A3626=A3627,_xll.ciqfunctions.udf.CIQ(A3618,"IQ_TOTAL_DEBT_ISSUED",IQ_FY-1), _xll.ciqfunctions.udf.CIQ(A3618, "IQ_TOTAL_DEBT_ISSUED",IQ_FY))</f>
        <v>70</v>
      </c>
      <c r="N3627" s="17">
        <f>IF(A3626=A3627,_xll.ciqfunctions.udf.CIQ(A3618,"IQ_TOTAL_DEBT_REPAID",IQ_FY-1), _xll.ciqfunctions.udf.CIQ(A3618, "IQ_TOTAL_DEBT_REPAID",IQ_FY))</f>
        <v>-77.75</v>
      </c>
      <c r="O3627" s="15">
        <f t="shared" si="965"/>
        <v>-4.8531414353200235E-2</v>
      </c>
      <c r="P3627" s="15">
        <f t="shared" si="966"/>
        <v>0.86171753113744221</v>
      </c>
      <c r="Q3627" s="25" t="s">
        <v>44</v>
      </c>
      <c r="R3627" s="38" t="s">
        <v>35</v>
      </c>
      <c r="S3627" s="1">
        <f>_xll.ciqfunctions.udf.CIQ(A3618,"IQ_TEV_EBITDA")</f>
        <v>31.295649999999998</v>
      </c>
      <c r="U3627" s="25" t="s">
        <v>55</v>
      </c>
      <c r="V3627" s="38" t="s">
        <v>53</v>
      </c>
      <c r="W3627" s="1" t="e">
        <f>V3617/(AVERAGE(D3623:D3628)/_xlfn.STDEV.P(E3623:E3628))</f>
        <v>#DIV/0!</v>
      </c>
      <c r="Y3627" s="25" t="s">
        <v>57</v>
      </c>
      <c r="Z3627" s="38" t="s">
        <v>53</v>
      </c>
      <c r="AA3627" s="1" t="e">
        <f>Z3617/(AVERAGE(D3623:D3628)/_xlfn.STDEV.P(E3623:E3628))</f>
        <v>#DIV/0!</v>
      </c>
    </row>
    <row r="3628" spans="1:27">
      <c r="B3628" s="13">
        <v>11</v>
      </c>
      <c r="C3628" s="20" t="s">
        <v>36</v>
      </c>
      <c r="D3628" s="21" cm="1">
        <f t="array" ref="D3628">_xlfn.SINGLE(IF(A3626=A3627,_xll.ciqfunctions.udf.CIQ(A3618,"IQ_TOTAL_REV",IQ_FY)/I3628, _xll.ciqfunctions.udf.CIQ(A3618, "IQ_TOTAL_REV",IQ_LTM)/I3628))</f>
        <v>4.1182994342200976</v>
      </c>
      <c r="E3628" s="22">
        <f t="shared" si="967"/>
        <v>4.2762848537842978E-2</v>
      </c>
      <c r="F3628" s="21">
        <f>IF(A3626=A3627,_xll.ciqfunctions.udf.CIQ(A3618,"IQ_DILUT_EPS_EXCL",IQ_FY), _xll.ciqfunctions.udf.CIQ(A3618, "IQ_DILUT_EPS_EXCL",IQ_LTM))</f>
        <v>-0.14868999999999999</v>
      </c>
      <c r="G3628" s="21">
        <f>IF(A3626=A3627,_xll.ciqfunctions.udf.CIQ(A3618,"IQ_EBITDA_MARGIN",IQ_FY), _xll.ciqfunctions.udf.CIQ(A3618, "IQ_EBITDA_MARGIN",IQ_LTM))</f>
        <v>22.341699999999999</v>
      </c>
      <c r="H3628" s="21">
        <f>IF(A3626=A3627,_xll.ciqfunctions.udf.CIQ(A3618,"IQ_TOTAL_DIV_PAID_CF",IQ_FY)/-I3628, _xll.ciqfunctions.udf.CIQ(A3618, "IQ_TOTAL_DIV_PAID_CF",IQ_LTM)/-I3628)</f>
        <v>0</v>
      </c>
      <c r="I3628" s="23">
        <f>IF(A3626=A3627,_xll.ciqfunctions.udf.CIQ(A3618,"IQ_TOTAL_OUTSTANDING_FILING_DATE",IQ_FY),_xll.ciqfunctions.udf.CIQ(A3618,"IQ_sharesoutstanding"))</f>
        <v>164.28649999999999</v>
      </c>
      <c r="J3628" s="23">
        <f>IF(A3626=A3627,_xll.ciqfunctions.udf.CIQ(A3618,"IQ_CASH_OPER",IQ_FY), _xll.ciqfunctions.udf.CIQ(A3618, "IQ_CASH_OPER",IQ_LTM))</f>
        <v>169.87799999999999</v>
      </c>
      <c r="K3628" s="23">
        <f>IF(A3626=A3627,_xll.ciqfunctions.udf.CIQ(A3618,"IQ_CAPEX",IQ_FY), _xll.ciqfunctions.udf.CIQ(A3618, "IQ_CAPEX",IQ_LTM))</f>
        <v>-2.1379999999999999</v>
      </c>
      <c r="L3628" s="21">
        <f t="shared" si="964"/>
        <v>1.021021203811634</v>
      </c>
      <c r="M3628" s="23">
        <f>IF(A3626=A3627,_xll.ciqfunctions.udf.CIQ(A3618,"IQ_TOTAL_DEBT_ISSUED",IQ_FY), _xll.ciqfunctions.udf.CIQ(A3618, "IQ_TOTAL_DEBT_ISSUED",IQ_LTM))</f>
        <v>119.256</v>
      </c>
      <c r="N3628" s="23">
        <f>IF(A3626=A3627,_xll.ciqfunctions.udf.CIQ(A3618,"IQ_TOTAL_DEBT_REPAID",IQ_FY), _xll.ciqfunctions.udf.CIQ(A3618, "IQ_TOTAL_DEBT_REPAID",IQ_LTM))</f>
        <v>-18.010999999999999</v>
      </c>
      <c r="O3628" s="21">
        <f t="shared" si="965"/>
        <v>0.61627096566059913</v>
      </c>
      <c r="P3628" s="21">
        <f t="shared" si="966"/>
        <v>1.6372921694722331</v>
      </c>
      <c r="Q3628" s="25" t="s">
        <v>45</v>
      </c>
      <c r="S3628" s="45"/>
      <c r="U3628" s="25"/>
      <c r="W3628" s="45"/>
      <c r="Y3628" s="25"/>
      <c r="AA3628" s="45"/>
    </row>
    <row r="3629" spans="1:27">
      <c r="B3629" s="24"/>
      <c r="C3629" s="25" t="s">
        <v>37</v>
      </c>
      <c r="E3629" s="26" t="e">
        <f>((D3628/D3623)^(1/5))-1</f>
        <v>#DIV/0!</v>
      </c>
      <c r="F3629" s="27" t="e">
        <f>((F3628/F3623)^(1/5))-1</f>
        <v>#DIV/0!</v>
      </c>
      <c r="G3629" s="28"/>
      <c r="H3629" s="27" t="e">
        <f>((H3628/H3623)^(1/5))-1</f>
        <v>#DIV/0!</v>
      </c>
      <c r="I3629" s="27" t="e">
        <f>((I3628/I3623)^(1/5))-1</f>
        <v>#DIV/0!</v>
      </c>
      <c r="J3629" s="27"/>
      <c r="K3629" s="27"/>
      <c r="L3629" s="26" t="e">
        <f>((L3628/L3623)^(1/5))-1</f>
        <v>#DIV/0!</v>
      </c>
      <c r="M3629" s="26"/>
      <c r="N3629" s="26"/>
      <c r="O3629" s="26"/>
      <c r="P3629" s="26" t="e">
        <f>((P3628/P3623)^(1/5))-1</f>
        <v>#DIV/0!</v>
      </c>
      <c r="Q3629" s="18"/>
      <c r="R3629" s="36"/>
      <c r="S3629" s="45"/>
      <c r="U3629" s="18"/>
      <c r="V3629" s="36"/>
      <c r="W3629" s="45"/>
      <c r="Y3629" s="18"/>
      <c r="Z3629" s="36"/>
      <c r="AA3629" s="45"/>
    </row>
    <row r="3630" spans="1:27">
      <c r="A3630" s="29"/>
      <c r="B3630" s="30"/>
      <c r="C3630" s="31" t="s">
        <v>38</v>
      </c>
      <c r="D3630" s="29"/>
      <c r="E3630" s="32" t="e">
        <f>((D3628/D3618)^(1/10))-1</f>
        <v>#DIV/0!</v>
      </c>
      <c r="F3630" s="33" t="e">
        <f>((F3628/F3618)^(1/10))-1</f>
        <v>#DIV/0!</v>
      </c>
      <c r="G3630" s="34"/>
      <c r="H3630" s="33" t="e">
        <f>((H3628/H3618)^(1/10))-1</f>
        <v>#DIV/0!</v>
      </c>
      <c r="I3630" s="33" t="e">
        <f>((I3628/I3618)^(1/10))-1</f>
        <v>#DIV/0!</v>
      </c>
      <c r="J3630" s="33"/>
      <c r="K3630" s="33"/>
      <c r="L3630" s="32" t="e">
        <f>((L3628/L3618)^(1/10))-1</f>
        <v>#DIV/0!</v>
      </c>
      <c r="M3630" s="32"/>
      <c r="N3630" s="32"/>
      <c r="O3630" s="32"/>
      <c r="P3630" s="32" t="e">
        <f>((P3628/P3618)^(1/10))-1</f>
        <v>#DIV/0!</v>
      </c>
      <c r="Q3630" s="40"/>
      <c r="R3630" s="41"/>
      <c r="S3630" s="46"/>
      <c r="U3630" s="40"/>
      <c r="V3630" s="41"/>
      <c r="W3630" s="46"/>
      <c r="Y3630" s="40"/>
      <c r="Z3630" s="41"/>
      <c r="AA3630" s="46"/>
    </row>
    <row r="3631" spans="1:27">
      <c r="B3631" s="24"/>
      <c r="C3631" s="25"/>
      <c r="E3631" s="26"/>
      <c r="F3631" s="27"/>
      <c r="G3631" s="28"/>
      <c r="H3631" s="27"/>
      <c r="I3631" s="27"/>
      <c r="J3631" s="27"/>
      <c r="K3631" s="27"/>
      <c r="L3631" s="26"/>
      <c r="M3631" s="17"/>
      <c r="N3631" s="17"/>
      <c r="O3631" s="17"/>
      <c r="P3631" s="35"/>
      <c r="Q3631" s="18"/>
      <c r="R3631" s="36"/>
    </row>
    <row r="3632" spans="1:27">
      <c r="A3632" s="9" t="s">
        <v>0</v>
      </c>
      <c r="B3632" s="10"/>
      <c r="C3632" s="9" t="s">
        <v>1</v>
      </c>
      <c r="D3632" s="9" t="s">
        <v>2</v>
      </c>
      <c r="E3632" s="9" t="s">
        <v>3</v>
      </c>
      <c r="F3632" s="11" t="s">
        <v>4</v>
      </c>
      <c r="G3632" s="11" t="s">
        <v>5</v>
      </c>
      <c r="H3632" s="9" t="s">
        <v>6</v>
      </c>
      <c r="I3632" s="11" t="s">
        <v>7</v>
      </c>
      <c r="J3632" s="11" t="s">
        <v>8</v>
      </c>
      <c r="K3632" s="11" t="s">
        <v>9</v>
      </c>
      <c r="L3632" s="11" t="s">
        <v>10</v>
      </c>
      <c r="M3632" s="11" t="s">
        <v>11</v>
      </c>
      <c r="N3632" s="11" t="s">
        <v>12</v>
      </c>
      <c r="O3632" s="11" t="s">
        <v>13</v>
      </c>
      <c r="P3632" s="11" t="s">
        <v>14</v>
      </c>
      <c r="Q3632" s="37" t="s">
        <v>15</v>
      </c>
      <c r="R3632" s="42">
        <f>_xll.ciqfunctions.udf.CIQ(A3633,("IQ_LASTSALEPRICE"))</f>
        <v>22.855</v>
      </c>
      <c r="S3632" s="44"/>
      <c r="U3632" s="37" t="s">
        <v>15</v>
      </c>
      <c r="V3632" s="42">
        <f>_xll.ciqfunctions.udf.CIQ(A3633,("IQ_LASTSALEPRICE"))</f>
        <v>22.855</v>
      </c>
      <c r="W3632" s="44"/>
      <c r="Y3632" s="37" t="s">
        <v>15</v>
      </c>
      <c r="Z3632" s="42">
        <f>_xll.ciqfunctions.udf.CIQ(A3633,("IQ_LASTSALEPRICE"))</f>
        <v>22.855</v>
      </c>
      <c r="AA3632" s="44"/>
    </row>
    <row r="3633" spans="1:27">
      <c r="A3633" s="12" t="str">
        <f>Analysis!B244</f>
        <v>NYSE:ESMT</v>
      </c>
      <c r="B3633" s="13">
        <v>1</v>
      </c>
      <c r="C3633" s="14" t="s">
        <v>16</v>
      </c>
      <c r="D3633" s="15" t="e">
        <f>IF(A3641=A3642,_xll.ciqfunctions.udf.CIQ(A3633,"IQ_TOTAL_REV",IQ_FY-10)/I3633,_xll.ciqfunctions.udf.CIQ(A3633, "IQ_TOTAL_REV",IQ_FY-9)/I3633)</f>
        <v>#DIV/0!</v>
      </c>
      <c r="E3633" s="16"/>
      <c r="F3633" s="15">
        <f>IF(A3641=A3642,_xll.ciqfunctions.udf.CIQ(A3633,"IQ_DILUT_EPS_EXCL",IQ_FY-10), _xll.ciqfunctions.udf.CIQ(A3633, "IQ_DILUT_EPS_EXCL",IQ_FY-9))</f>
        <v>0</v>
      </c>
      <c r="G3633" s="15">
        <f>IF(A3641=A3642,_xll.ciqfunctions.udf.CIQ(A3633,"IQ_EBITDA_MARGIN",IQ_FY-10), _xll.ciqfunctions.udf.CIQ(A3633, "IQ_EBITDA_MARGIN",IQ_FY-9))</f>
        <v>0</v>
      </c>
      <c r="H3633" s="15" t="e">
        <f>IF(A3641=A3642,_xll.ciqfunctions.udf.CIQ(A3633,"IQ_TOTAL_DIV_PAID_CF",IQ_FY-10)/-I3633, _xll.ciqfunctions.udf.CIQ(A3633, "IQ_TOTAL_DIV_PAID_CF",IQ_FY-9)/-I3633)</f>
        <v>#DIV/0!</v>
      </c>
      <c r="I3633" s="17">
        <f>IF(A3641=A3642,_xll.ciqfunctions.udf.CIQ(A3633,"IQ_TOTAL_OUTSTANDING_FILING_DATE",IQ_FY-10), _xll.ciqfunctions.udf.CIQ(A3633, "IQ_TOTAL_OUTSTANDING_FILING_DATE",IQ_FY-9))</f>
        <v>0</v>
      </c>
      <c r="J3633" s="17">
        <f>IF(A3641=A3642,_xll.ciqfunctions.udf.CIQ(A3633,"IQ_CASH_OPER",IQ_FY-10), _xll.ciqfunctions.udf.CIQ(A3633, "IQ_CASH_OPER",IQ_FY-9))</f>
        <v>0</v>
      </c>
      <c r="K3633" s="17">
        <f>IF(A3641=A3642,_xll.ciqfunctions.udf.CIQ(A3633,"IQ_CAPEX",IQ_FY-10), _xll.ciqfunctions.udf.CIQ(A3633, "IQ_CAPEX",IQ_FY-9))</f>
        <v>0</v>
      </c>
      <c r="L3633" s="15" t="e">
        <f t="shared" ref="L3633:L3643" si="968">(J3633+K3633)/I3633</f>
        <v>#DIV/0!</v>
      </c>
      <c r="M3633" s="17">
        <f>IF(A3641=A3642,_xll.ciqfunctions.udf.CIQ(A3633,"IQ_TOTAL_DEBT_ISSUED",IQ_FY-10), _xll.ciqfunctions.udf.CIQ(A3633, "IQ_TOTAL_DEBT_ISSUED",IQ_FY-9))</f>
        <v>0</v>
      </c>
      <c r="N3633" s="17">
        <f>IF(A3641=A3642,_xll.ciqfunctions.udf.CIQ(A3633,"IQ_TOTAL_DEBT_REPAID",IQ_FY-10), _xll.ciqfunctions.udf.CIQ(A3633, "IQ_TOTAL_DEBT_REPAID",IQ_FY-9))</f>
        <v>0</v>
      </c>
      <c r="O3633" s="15" t="e">
        <f t="shared" ref="O3633:O3643" si="969">(M3633+N3633)/I3633</f>
        <v>#DIV/0!</v>
      </c>
      <c r="P3633" s="15" t="e">
        <f t="shared" ref="P3633:P3643" si="970">L3633+O3633</f>
        <v>#DIV/0!</v>
      </c>
      <c r="W3633" s="43"/>
      <c r="AA3633" s="43"/>
    </row>
    <row r="3634" spans="1:27">
      <c r="A3634" s="18" t="str">
        <f>_xll.ciqfunctions.udf.CIQ(A3633,"IQ_COMPANY_NAME")</f>
        <v>EngageSmart, Inc.</v>
      </c>
      <c r="B3634" s="13">
        <v>2</v>
      </c>
      <c r="C3634" s="14" t="s">
        <v>17</v>
      </c>
      <c r="D3634" s="15" t="e">
        <f>IF(A3641=A3642,_xll.ciqfunctions.udf.CIQ(A3633,"IQ_TOTAL_REV",IQ_FY-9)/I3634, _xll.ciqfunctions.udf.CIQ(A3633, "IQ_TOTAL_REV",IQ_FY-8)/I3634)</f>
        <v>#DIV/0!</v>
      </c>
      <c r="E3634" s="16" t="e">
        <f t="shared" ref="E3634:E3643" si="971">(D3634-D3633)/D3633</f>
        <v>#DIV/0!</v>
      </c>
      <c r="F3634" s="15">
        <f>IF(A3641=A3642,_xll.ciqfunctions.udf.CIQ(A3633,"IQ_DILUT_EPS_EXCL",IQ_FY-9), _xll.ciqfunctions.udf.CIQ(A3633, "IQ_DILUT_EPS_EXCL",IQ_FY-8))</f>
        <v>0</v>
      </c>
      <c r="G3634" s="15">
        <f>IF(A3641=A3642,_xll.ciqfunctions.udf.CIQ(A3633,"IQ_EBITDA_MARGIN",IQ_FY-9), _xll.ciqfunctions.udf.CIQ(A3633, "IQ_EBITDA_MARGIN",IQ_FY-8))</f>
        <v>0</v>
      </c>
      <c r="H3634" s="15" t="e">
        <f>IF(A3641=A3642,_xll.ciqfunctions.udf.CIQ(A3633,"IQ_TOTAL_DIV_PAID_CF",IQ_FY-9)/-I3634, _xll.ciqfunctions.udf.CIQ(A3633, "IQ_TOTAL_DIV_PAID_CF",IQ_FY-8)/-I3634)</f>
        <v>#DIV/0!</v>
      </c>
      <c r="I3634" s="17">
        <f>IF(A3641=A3642,_xll.ciqfunctions.udf.CIQ(A3633,"IQ_TOTAL_OUTSTANDING_FILING_DATE",IQ_FY-9), _xll.ciqfunctions.udf.CIQ(A3633, "IQ_TOTAL_OUTSTANDING_FILING_DATE",IQ_FY-8))</f>
        <v>0</v>
      </c>
      <c r="J3634" s="17">
        <f>IF(A3641=A3642,_xll.ciqfunctions.udf.CIQ(A3633,"IQ_CASH_OPER",IQ_FY-9), _xll.ciqfunctions.udf.CIQ(A3633, "IQ_CASH_OPER",IQ_FY-8))</f>
        <v>0</v>
      </c>
      <c r="K3634" s="17">
        <f>IF(A3641=A3642,_xll.ciqfunctions.udf.CIQ(A3633,"IQ_CAPEX",IQ_FY-9), _xll.ciqfunctions.udf.CIQ(A3633, "IQ_CAPEX",IQ_FY-8))</f>
        <v>0</v>
      </c>
      <c r="L3634" s="15" t="e">
        <f t="shared" si="968"/>
        <v>#DIV/0!</v>
      </c>
      <c r="M3634" s="17">
        <f>IF(A3641=A3642,_xll.ciqfunctions.udf.CIQ(A3633,"IQ_TOTAL_DEBT_ISSUED",IQ_FY-9), _xll.ciqfunctions.udf.CIQ(A3633, "IQ_TOTAL_DEBT_ISSUED",IQ_FY-8))</f>
        <v>0</v>
      </c>
      <c r="N3634" s="17">
        <f>IF(A3641=A3642,_xll.ciqfunctions.udf.CIQ(A3633,"IQ_TOTAL_DEBT_REPAID",IQ_FY-9), _xll.ciqfunctions.udf.CIQ(A3633, "IQ_TOTAL_DEBT_REPAID",IQ_FY-8))</f>
        <v>0</v>
      </c>
      <c r="O3634" s="15" t="e">
        <f t="shared" si="969"/>
        <v>#DIV/0!</v>
      </c>
      <c r="P3634" s="15" t="e">
        <f t="shared" si="970"/>
        <v>#DIV/0!</v>
      </c>
      <c r="Q3634" s="25" t="s">
        <v>18</v>
      </c>
      <c r="R3634" s="39" t="s">
        <v>19</v>
      </c>
      <c r="S3634" s="1" t="e">
        <f>R3632/((AVERAGE(P3638:P3643))*(1+E3644)^3)</f>
        <v>#DIV/0!</v>
      </c>
      <c r="U3634" s="25" t="s">
        <v>48</v>
      </c>
      <c r="V3634" s="39" t="s">
        <v>19</v>
      </c>
      <c r="W3634" s="1" t="e">
        <f>V3632/((AVERAGE(P3638:P3643))*(1+E3644)^3)</f>
        <v>#DIV/0!</v>
      </c>
      <c r="Y3634" s="25" t="s">
        <v>39</v>
      </c>
      <c r="Z3634" s="39" t="s">
        <v>19</v>
      </c>
      <c r="AA3634" s="1" t="e">
        <f>Z3632/((AVERAGE(P3638:P3643))*(1+E3644)^3)</f>
        <v>#DIV/0!</v>
      </c>
    </row>
    <row r="3635" spans="1:27">
      <c r="B3635" s="13">
        <v>3</v>
      </c>
      <c r="C3635" s="14" t="s">
        <v>20</v>
      </c>
      <c r="D3635" s="15" t="e" cm="1">
        <f t="array" ref="D3635">_xlfn.SINGLE(IF(A3641=A3642,_xll.ciqfunctions.udf.CIQ(A3633,"IQ_TOTAL_REV",IQ_FY-8)/I3635, _xll.ciqfunctions.udf.CIQ(A3633, "IQ_TOTAL_REV",IQ_FY-7)/I3635))</f>
        <v>#DIV/0!</v>
      </c>
      <c r="E3635" s="16" t="e">
        <f t="shared" si="971"/>
        <v>#DIV/0!</v>
      </c>
      <c r="F3635" s="15">
        <f>IF(A3641=A3642,_xll.ciqfunctions.udf.CIQ(A3633,"IQ_DILUT_EPS_EXCL",IQ_FY-8), _xll.ciqfunctions.udf.CIQ(A3633, "IQ_DILUT_EPS_EXCL",IQ_FY-7))</f>
        <v>0</v>
      </c>
      <c r="G3635" s="15">
        <f>IF(A3641=A3642,_xll.ciqfunctions.udf.CIQ(A3633,"IQ_EBITDA_MARGIN",IQ_FY-8), _xll.ciqfunctions.udf.CIQ(A3633, "IQ_EBITDA_MARGIN",IQ_FY-7))</f>
        <v>0</v>
      </c>
      <c r="H3635" s="15" t="e">
        <f>IF(A3641=A3642,_xll.ciqfunctions.udf.CIQ(A3633,"IQ_TOTAL_DIV_PAID_CF",IQ_FY-8)/-I3635, _xll.ciqfunctions.udf.CIQ(A3633, "IQ_TOTAL_DIV_PAID_CF",IQ_FY-7)/-I3635)</f>
        <v>#DIV/0!</v>
      </c>
      <c r="I3635" s="17">
        <f>IF(A3641=A3642,_xll.ciqfunctions.udf.CIQ(A3633,"IQ_TOTAL_OUTSTANDING_FILING_DATE",IQ_FY-8), _xll.ciqfunctions.udf.CIQ(A3633, "IQ_TOTAL_OUTSTANDING_FILING_DATE",IQ_FY-7))</f>
        <v>0</v>
      </c>
      <c r="J3635" s="17">
        <f>IF(A3641=A3642,_xll.ciqfunctions.udf.CIQ(A3633,"IQ_CASH_OPER",IQ_FY-8), _xll.ciqfunctions.udf.CIQ(A3633, "IQ_CASH_OPER",IQ_FY-7))</f>
        <v>0</v>
      </c>
      <c r="K3635" s="17">
        <f>IF(A3641=A3642,_xll.ciqfunctions.udf.CIQ(A3633,"IQ_CAPEX",IQ_FY-8), _xll.ciqfunctions.udf.CIQ(A3633, "IQ_CAPEX",IQ_FY-7))</f>
        <v>0</v>
      </c>
      <c r="L3635" s="15" t="e">
        <f t="shared" si="968"/>
        <v>#DIV/0!</v>
      </c>
      <c r="M3635" s="17">
        <f>IF(A3641=A3642,_xll.ciqfunctions.udf.CIQ(A3633,"IQ_TOTAL_DEBT_ISSUED",IQ_FY-8), _xll.ciqfunctions.udf.CIQ(A3633, "IQ_TOTAL_DEBT_ISSUED",IQ_FY-7))</f>
        <v>0</v>
      </c>
      <c r="N3635" s="17">
        <f>IF(A3641=A3642,_xll.ciqfunctions.udf.CIQ(A3633,"IQ_TOTAL_DEBT_REPAID",IQ_FY-8), _xll.ciqfunctions.udf.CIQ(A3633, "IQ_TOTAL_DEBT_REPAID",IQ_FY-7))</f>
        <v>0</v>
      </c>
      <c r="O3635" s="15" t="e">
        <f t="shared" si="969"/>
        <v>#DIV/0!</v>
      </c>
      <c r="P3635" s="15" t="e">
        <f t="shared" si="970"/>
        <v>#DIV/0!</v>
      </c>
      <c r="Q3635" s="25" t="s">
        <v>21</v>
      </c>
      <c r="R3635" s="38" t="s">
        <v>49</v>
      </c>
      <c r="S3635" s="2">
        <f>(R3632*I3643)/1000</f>
        <v>3.8425951515000003</v>
      </c>
      <c r="U3635" s="25" t="s">
        <v>59</v>
      </c>
      <c r="V3635" s="38" t="s">
        <v>49</v>
      </c>
      <c r="W3635" s="2">
        <f>(V3632*I3643)/1000</f>
        <v>3.8425951515000003</v>
      </c>
      <c r="Y3635" s="25" t="s">
        <v>46</v>
      </c>
      <c r="Z3635" s="38" t="s">
        <v>49</v>
      </c>
      <c r="AA3635" s="2">
        <f>(Z3632*I3643)/1000</f>
        <v>3.8425951515000003</v>
      </c>
    </row>
    <row r="3636" spans="1:27">
      <c r="A3636" s="18"/>
      <c r="B3636" s="13">
        <v>4</v>
      </c>
      <c r="C3636" s="14" t="s">
        <v>22</v>
      </c>
      <c r="D3636" s="15" t="e" cm="1">
        <f t="array" ref="D3636">_xlfn.SINGLE(IF(A3641=A3642,_xll.ciqfunctions.udf.CIQ(A3633,"IQ_TOTAL_REV",IQ_FY-7)/I3636, _xll.ciqfunctions.udf.CIQ(A3633, "IQ_TOTAL_REV",IQ_FY-6)/I3636))</f>
        <v>#DIV/0!</v>
      </c>
      <c r="E3636" s="16" t="e">
        <f t="shared" si="971"/>
        <v>#DIV/0!</v>
      </c>
      <c r="F3636" s="15">
        <f>IF(A3641=A3642,_xll.ciqfunctions.udf.CIQ(A3633,"IQ_DILUT_EPS_EXCL",IQ_FY-7), _xll.ciqfunctions.udf.CIQ(A3633, "IQ_DILUT_EPS_EXCL",IQ_FY-6))</f>
        <v>0</v>
      </c>
      <c r="G3636" s="15">
        <f>IF(A3641=A3642,_xll.ciqfunctions.udf.CIQ(A3633,"IQ_EBITDA_MARGIN",IQ_FY-7), _xll.ciqfunctions.udf.CIQ(A3633, "IQ_EBITDA_MARGIN",IQ_FY-6))</f>
        <v>0</v>
      </c>
      <c r="H3636" s="15" t="e">
        <f>IF(A3641=A3642,_xll.ciqfunctions.udf.CIQ(A3633,"IQ_TOTAL_DIV_PAID_CF",IQ_FY-7)/-I3636, _xll.ciqfunctions.udf.CIQ(A3633, "IQ_TOTAL_DIV_PAID_CF",IQ_FY-6)/-I3636)</f>
        <v>#DIV/0!</v>
      </c>
      <c r="I3636" s="17">
        <f>IF(A3641=A3642,_xll.ciqfunctions.udf.CIQ(A3633,"IQ_TOTAL_OUTSTANDING_FILING_DATE",IQ_FY-7), _xll.ciqfunctions.udf.CIQ(A3633, "IQ_TOTAL_OUTSTANDING_FILING_DATE",IQ_FY-6))</f>
        <v>0</v>
      </c>
      <c r="J3636" s="17">
        <f>IF(A3641=A3642,_xll.ciqfunctions.udf.CIQ(A3633,"IQ_CASH_OPER",IQ_FY-7), _xll.ciqfunctions.udf.CIQ(A3633, "IQ_CASH_OPER",IQ_FY-6))</f>
        <v>0</v>
      </c>
      <c r="K3636" s="17">
        <f>IF(A3641=A3642,_xll.ciqfunctions.udf.CIQ(A3633,"IQ_CAPEX",IQ_FY-7), _xll.ciqfunctions.udf.CIQ(A3633, "IQ_CAPEX",IQ_FY-6))</f>
        <v>0</v>
      </c>
      <c r="L3636" s="15" t="e">
        <f t="shared" si="968"/>
        <v>#DIV/0!</v>
      </c>
      <c r="M3636" s="17">
        <f>IF(A3641=A3642,_xll.ciqfunctions.udf.CIQ(A3633,"IQ_TOTAL_DEBT_ISSUED",IQ_FY-7), _xll.ciqfunctions.udf.CIQ(A3633, "IQ_TOTAL_DEBT_ISSUED",IQ_FY-6))</f>
        <v>0</v>
      </c>
      <c r="N3636" s="17">
        <f>IF(A3641=A3642,_xll.ciqfunctions.udf.CIQ(A3633,"IQ_TOTAL_DEBT_REPAID",IQ_FY-7), _xll.ciqfunctions.udf.CIQ(A3633, "IQ_TOTAL_DEBT_REPAID",IQ_FY-6))</f>
        <v>0</v>
      </c>
      <c r="O3636" s="15" t="e">
        <f t="shared" si="969"/>
        <v>#DIV/0!</v>
      </c>
      <c r="P3636" s="15" t="e">
        <f t="shared" si="970"/>
        <v>#DIV/0!</v>
      </c>
      <c r="Q3636" s="25" t="s">
        <v>23</v>
      </c>
      <c r="R3636" s="38" t="s">
        <v>24</v>
      </c>
      <c r="S3636" s="1" t="e">
        <f>R3632/(AVERAGE(H3638:H3643)*(1+H3644)/(0.5-H3644))</f>
        <v>#DIV/0!</v>
      </c>
      <c r="U3636" s="25" t="s">
        <v>40</v>
      </c>
      <c r="V3636" s="38" t="s">
        <v>24</v>
      </c>
      <c r="W3636" s="1" t="e">
        <f>V3632/(AVERAGE(H3638:H3643)*(1+H3644)/(0.5-H3644))</f>
        <v>#DIV/0!</v>
      </c>
      <c r="Y3636" s="25" t="s">
        <v>47</v>
      </c>
      <c r="Z3636" s="38" t="s">
        <v>24</v>
      </c>
      <c r="AA3636" s="1" t="e">
        <f>Z3632/(AVERAGE(H3638:H3643)*(1+H3644)/(0.5-H3644))</f>
        <v>#DIV/0!</v>
      </c>
    </row>
    <row r="3637" spans="1:27">
      <c r="B3637" s="13">
        <v>5</v>
      </c>
      <c r="C3637" s="14" t="s">
        <v>25</v>
      </c>
      <c r="D3637" s="15" t="e" cm="1">
        <f t="array" ref="D3637">_xlfn.SINGLE(IF(A3641=A3642,_xll.ciqfunctions.udf.CIQ(A3633,"IQ_TOTAL_REV",IQ_FY-6)/I3637, _xll.ciqfunctions.udf.CIQ(A3633, "IQ_TOTAL_REV",IQ_FY-5)/I3637))</f>
        <v>#DIV/0!</v>
      </c>
      <c r="E3637" s="16" t="e">
        <f t="shared" si="971"/>
        <v>#DIV/0!</v>
      </c>
      <c r="F3637" s="15">
        <f>IF(A3641=A3642,_xll.ciqfunctions.udf.CIQ(A3633,"IQ_DILUT_EPS_EXCL",IQ_FY-6), _xll.ciqfunctions.udf.CIQ(A3633, "IQ_DILUT_EPS_EXCL",IQ_FY-5))</f>
        <v>0</v>
      </c>
      <c r="G3637" s="15">
        <f>IF(A3641=A3642,_xll.ciqfunctions.udf.CIQ(A3633,"IQ_EBITDA_MARGIN",IQ_FY-6), _xll.ciqfunctions.udf.CIQ(A3633, "IQ_EBITDA_MARGIN",IQ_FY-5))</f>
        <v>0</v>
      </c>
      <c r="H3637" s="15" t="e">
        <f>IF(A3641=A3642,_xll.ciqfunctions.udf.CIQ(A3633,"IQ_TOTAL_DIV_PAID_CF",IQ_FY-6)/-I3637, _xll.ciqfunctions.udf.CIQ(A3633, "IQ_TOTAL_DIV_PAID_CF",IQ_FY-5)/-I3637)</f>
        <v>#DIV/0!</v>
      </c>
      <c r="I3637" s="17">
        <f>IF(A3641=A3642,_xll.ciqfunctions.udf.CIQ(A3633,"IQ_TOTAL_OUTSTANDING_FILING_DATE",IQ_FY-6), _xll.ciqfunctions.udf.CIQ(A3633, "IQ_TOTAL_OUTSTANDING_FILING_DATE",IQ_FY-5))</f>
        <v>0</v>
      </c>
      <c r="J3637" s="17">
        <f>IF(A3641=A3642,_xll.ciqfunctions.udf.CIQ(A3633,"IQ_CASH_OPER",IQ_FY-6), _xll.ciqfunctions.udf.CIQ(A3633, "IQ_CASH_OPER",IQ_FY-5))</f>
        <v>0</v>
      </c>
      <c r="K3637" s="17">
        <f>IF(A3641=A3642,_xll.ciqfunctions.udf.CIQ(A3633,"IQ_CAPEX",IQ_FY-6), _xll.ciqfunctions.udf.CIQ(A3633, "IQ_CAPEX",IQ_FY-5))</f>
        <v>0</v>
      </c>
      <c r="L3637" s="15" t="e">
        <f t="shared" si="968"/>
        <v>#DIV/0!</v>
      </c>
      <c r="M3637" s="17">
        <f>IF(A3641=A3642,_xll.ciqfunctions.udf.CIQ(A3633,"IQ_TOTAL_DEBT_ISSUED",IQ_FY-6), _xll.ciqfunctions.udf.CIQ(A3633, "IQ_TOTAL_DEBT_ISSUED",IQ_FY-5))</f>
        <v>0</v>
      </c>
      <c r="N3637" s="17">
        <f>IF(A3641=A3642,_xll.ciqfunctions.udf.CIQ(A3633,"IQ_TOTAL_DEBT_REPAID",IQ_FY-6), _xll.ciqfunctions.udf.CIQ(A3633, "IQ_TOTAL_DEBT_REPAID",IQ_FY-5))</f>
        <v>0</v>
      </c>
      <c r="O3637" s="15" t="e">
        <f t="shared" si="969"/>
        <v>#DIV/0!</v>
      </c>
      <c r="P3637" s="15" t="e">
        <f t="shared" si="970"/>
        <v>#DIV/0!</v>
      </c>
      <c r="Q3637" s="18"/>
      <c r="R3637" s="38" t="s">
        <v>50</v>
      </c>
      <c r="S3637" s="3" t="e">
        <f>I3644</f>
        <v>#DIV/0!</v>
      </c>
      <c r="U3637" s="18"/>
      <c r="V3637" s="38" t="s">
        <v>50</v>
      </c>
      <c r="W3637" s="3" t="e">
        <f>I3644</f>
        <v>#DIV/0!</v>
      </c>
      <c r="Y3637" s="18"/>
      <c r="Z3637" s="38" t="s">
        <v>50</v>
      </c>
      <c r="AA3637" s="3" t="e">
        <f>I3644</f>
        <v>#DIV/0!</v>
      </c>
    </row>
    <row r="3638" spans="1:27">
      <c r="B3638" s="13">
        <v>6</v>
      </c>
      <c r="C3638" s="14" t="s">
        <v>26</v>
      </c>
      <c r="D3638" s="15" t="e" cm="1">
        <f t="array" ref="D3638">_xlfn.SINGLE(IF(A3641=A3642,_xll.ciqfunctions.udf.CIQ(A3633,"IQ_TOTAL_REV",IQ_FY-5)/I3638, _xll.ciqfunctions.udf.CIQ(A3633, "IQ_TOTAL_REV",IQ_FY-4)/I3638))</f>
        <v>#DIV/0!</v>
      </c>
      <c r="E3638" s="16" t="e">
        <f t="shared" si="971"/>
        <v>#DIV/0!</v>
      </c>
      <c r="F3638" s="15">
        <f>IF(A3641=A3642,_xll.ciqfunctions.udf.CIQ(A3633,"IQ_DILUT_EPS_EXCL",IQ_FY-5), _xll.ciqfunctions.udf.CIQ(A3633, "IQ_DILUT_EPS_EXCL",IQ_FY-4))</f>
        <v>0</v>
      </c>
      <c r="G3638" s="15">
        <f>IF(A3641=A3642,_xll.ciqfunctions.udf.CIQ(A3633,"IQ_EBITDA_MARGIN",IQ_FY-5), _xll.ciqfunctions.udf.CIQ(A3633, "IQ_EBITDA_MARGIN",IQ_FY-4))</f>
        <v>0</v>
      </c>
      <c r="H3638" s="15" t="e">
        <f>IF(A3641=A3642,_xll.ciqfunctions.udf.CIQ(A3633,"IQ_TOTAL_DIV_PAID_CF",IQ_FY-5)/-I3638, _xll.ciqfunctions.udf.CIQ(A3633, "IQ_TOTAL_DIV_PAID_CF",IQ_FY-4)/-I3638)</f>
        <v>#DIV/0!</v>
      </c>
      <c r="I3638" s="17">
        <f>IF(A3641=A3642,_xll.ciqfunctions.udf.CIQ(A3633,"IQ_TOTAL_OUTSTANDING_FILING_DATE",IQ_FY-5), _xll.ciqfunctions.udf.CIQ(A3633, "IQ_TOTAL_OUTSTANDING_FILING_DATE",IQ_FY-4))</f>
        <v>0</v>
      </c>
      <c r="J3638" s="17">
        <f>IF(A3641=A3642,_xll.ciqfunctions.udf.CIQ(A3633,"IQ_CASH_OPER",IQ_FY-5), _xll.ciqfunctions.udf.CIQ(A3633, "IQ_CASH_OPER",IQ_FY-4))</f>
        <v>0</v>
      </c>
      <c r="K3638" s="17">
        <f>IF(A3641=A3642,_xll.ciqfunctions.udf.CIQ(A3633,"IQ_CAPEX",IQ_FY-5), _xll.ciqfunctions.udf.CIQ(A3633, "IQ_CAPEX",IQ_FY-4))</f>
        <v>0</v>
      </c>
      <c r="L3638" s="15" t="e">
        <f t="shared" si="968"/>
        <v>#DIV/0!</v>
      </c>
      <c r="M3638" s="17">
        <f>IF(A3641=A3642,_xll.ciqfunctions.udf.CIQ(A3633,"IQ_TOTAL_DEBT_ISSUED",IQ_FY-5), _xll.ciqfunctions.udf.CIQ(A3633, "IQ_TOTAL_DEBT_ISSUED",IQ_FY-4))</f>
        <v>0</v>
      </c>
      <c r="N3638" s="17">
        <f>IF(A3641=A3642,_xll.ciqfunctions.udf.CIQ(A3633,"IQ_TOTAL_DEBT_REPAID",IQ_FY-5), _xll.ciqfunctions.udf.CIQ(A3633, "IQ_TOTAL_DEBT_REPAID",IQ_FY-4))</f>
        <v>0</v>
      </c>
      <c r="O3638" s="15" t="e">
        <f t="shared" si="969"/>
        <v>#DIV/0!</v>
      </c>
      <c r="P3638" s="15" t="e">
        <f t="shared" si="970"/>
        <v>#DIV/0!</v>
      </c>
      <c r="Q3638" s="25" t="s">
        <v>27</v>
      </c>
      <c r="R3638" s="38" t="s">
        <v>51</v>
      </c>
      <c r="S3638" s="4" t="e">
        <f>AVERAGE(F3638:F3643)/AVERAGE(D3638:D3643)</f>
        <v>#DIV/0!</v>
      </c>
      <c r="U3638" s="25" t="s">
        <v>58</v>
      </c>
      <c r="V3638" s="38" t="s">
        <v>51</v>
      </c>
      <c r="W3638" s="4" t="e">
        <f>AVERAGE(F3638:F3643)/AVERAGE(D3638:D3643)</f>
        <v>#DIV/0!</v>
      </c>
      <c r="Y3638" s="25" t="s">
        <v>56</v>
      </c>
      <c r="Z3638" s="38" t="s">
        <v>51</v>
      </c>
      <c r="AA3638" s="4" t="e">
        <f>AVERAGE(F3638:F3643)/AVERAGE(D3638:D3643)</f>
        <v>#DIV/0!</v>
      </c>
    </row>
    <row r="3639" spans="1:27">
      <c r="A3639" s="18"/>
      <c r="B3639" s="13">
        <v>7</v>
      </c>
      <c r="C3639" s="14" t="s">
        <v>28</v>
      </c>
      <c r="D3639" s="15" cm="1">
        <f t="array" ref="D3639">_xlfn.SINGLE(IF(A3641=A3642,_xll.ciqfunctions.udf.CIQ(A3633,"IQ_TOTAL_REV",IQ_FY-4)/I3639, _xll.ciqfunctions.udf.CIQ(A3633, "IQ_TOTAL_REV",IQ_FY-3)/I3639))</f>
        <v>0.62481254373032158</v>
      </c>
      <c r="E3639" s="16" t="e">
        <f t="shared" si="971"/>
        <v>#DIV/0!</v>
      </c>
      <c r="F3639" s="15">
        <f>IF(A3641=A3642,_xll.ciqfunctions.udf.CIQ(A3633,"IQ_DILUT_EPS_EXCL",IQ_FY-4), _xll.ciqfunctions.udf.CIQ(A3633, "IQ_DILUT_EPS_EXCL",IQ_FY-3))</f>
        <v>-0.40584999999999999</v>
      </c>
      <c r="G3639" s="15">
        <f>IF(A3641=A3642,_xll.ciqfunctions.udf.CIQ(A3633,"IQ_EBITDA_MARGIN",IQ_FY-4), _xll.ciqfunctions.udf.CIQ(A3633, "IQ_EBITDA_MARGIN",IQ_FY-3))</f>
        <v>-44.9983</v>
      </c>
      <c r="H3639" s="15">
        <f>IF(A3641=A3642,_xll.ciqfunctions.udf.CIQ(A3633,"IQ_TOTAL_DIV_PAID_CF",IQ_FY-4)/-I3639, _xll.ciqfunctions.udf.CIQ(A3633, "IQ_TOTAL_DIV_PAID_CF",IQ_FY-3)/-I3639)</f>
        <v>0</v>
      </c>
      <c r="I3639" s="17">
        <f>IF(A3641=A3642,_xll.ciqfunctions.udf.CIQ(A3633,"IQ_TOTAL_OUTSTANDING_FILING_DATE",IQ_FY-4), _xll.ciqfunctions.udf.CIQ(A3633, "IQ_TOTAL_OUTSTANDING_FILING_DATE",IQ_FY-3))</f>
        <v>131.93077</v>
      </c>
      <c r="J3639" s="17">
        <f>IF(A3641=A3642,_xll.ciqfunctions.udf.CIQ(A3633,"IQ_CASH_OPER",IQ_FY-4), _xll.ciqfunctions.udf.CIQ(A3633, "IQ_CASH_OPER",IQ_FY-3))</f>
        <v>-1.427</v>
      </c>
      <c r="K3639" s="17">
        <f>IF(A3641=A3642,_xll.ciqfunctions.udf.CIQ(A3633,"IQ_CAPEX",IQ_FY-4), _xll.ciqfunctions.udf.CIQ(A3633, "IQ_CAPEX",IQ_FY-3))</f>
        <v>-1.395</v>
      </c>
      <c r="L3639" s="15">
        <f t="shared" si="968"/>
        <v>-2.13900062889044E-2</v>
      </c>
      <c r="M3639" s="17">
        <f>IF(A3641=A3642,_xll.ciqfunctions.udf.CIQ(A3633,"IQ_TOTAL_DEBT_ISSUED",IQ_FY-4), _xll.ciqfunctions.udf.CIQ(A3633, "IQ_TOTAL_DEBT_ISSUED",IQ_FY-3))</f>
        <v>72.637</v>
      </c>
      <c r="N3639" s="17">
        <f>IF(A3641=A3642,_xll.ciqfunctions.udf.CIQ(A3633,"IQ_TOTAL_DEBT_REPAID",IQ_FY-4), _xll.ciqfunctions.udf.CIQ(A3633, "IQ_TOTAL_DEBT_REPAID",IQ_FY-3))</f>
        <v>0</v>
      </c>
      <c r="O3639" s="15">
        <f t="shared" si="969"/>
        <v>0.55056905981826687</v>
      </c>
      <c r="P3639" s="15">
        <f t="shared" si="970"/>
        <v>0.52917905352936245</v>
      </c>
      <c r="Q3639" s="18"/>
      <c r="R3639" s="38" t="s">
        <v>29</v>
      </c>
      <c r="S3639" s="4" t="e">
        <f>(AVERAGE(P3638:P3643)/_xlfn.STDEV.P(P3638:P3643))/(IF(A3641=A3642,(_xlfn.SINGLE(_xll.ciqfunctions.udf.CIQ(A3633,"IQ_total_assets",IQ_FY)) - _xlfn.SINGLE(_xll.ciqfunctions.udf.CIQ(A3633,"iq_gw_intan", IQ_FY)))/I3643, (_xlfn.SINGLE(_xll.ciqfunctions.udf.CIQ(A3633, "IQ_total_assets",IQ_LTM))-_xlfn.SINGLE(_xll.ciqfunctions.udf.CIQ(A3633,"iq_gw_intan",IQ_LTM)))/I3643))</f>
        <v>#DIV/0!</v>
      </c>
      <c r="U3639" s="18"/>
      <c r="V3639" s="38" t="s">
        <v>29</v>
      </c>
      <c r="W3639" s="4" t="e">
        <f>(AVERAGE(P3638:P3643)/_xlfn.STDEV.P(P3638:P3643))/(IF(A3641=A3642,(_xlfn.SINGLE(_xll.ciqfunctions.udf.CIQ(A3633,"IQ_total_assets",IQ_FY)) - _xlfn.SINGLE(_xll.ciqfunctions.udf.CIQ(A3633,"iq_gw_intan", IQ_FY)))/I3643, (_xlfn.SINGLE(_xll.ciqfunctions.udf.CIQ(A3633, "IQ_total_assets",IQ_LTM))-_xlfn.SINGLE(_xll.ciqfunctions.udf.CIQ(A3633,"iq_gw_intan",IQ_LTM)))/I3643))</f>
        <v>#DIV/0!</v>
      </c>
      <c r="Y3639" s="18"/>
      <c r="Z3639" s="38" t="s">
        <v>29</v>
      </c>
      <c r="AA3639" s="4" t="e">
        <f>(AVERAGE(P3638:P3643)/_xlfn.STDEV.P(P3638:P3643))/(IF(A3641=A3642,(_xlfn.SINGLE(_xll.ciqfunctions.udf.CIQ(A3633,"IQ_total_assets",IQ_FY)) - _xlfn.SINGLE(_xll.ciqfunctions.udf.CIQ(A3633,"iq_gw_intan", IQ_FY)))/I3643, (_xlfn.SINGLE(_xll.ciqfunctions.udf.CIQ(A3633, "IQ_total_assets",IQ_LTM))-_xlfn.SINGLE(_xll.ciqfunctions.udf.CIQ(A3633,"iq_gw_intan",IQ_LTM)))/I3643))</f>
        <v>#DIV/0!</v>
      </c>
    </row>
    <row r="3640" spans="1:27">
      <c r="A3640" s="18"/>
      <c r="B3640" s="13">
        <v>8</v>
      </c>
      <c r="C3640" s="14" t="s">
        <v>30</v>
      </c>
      <c r="D3640" s="15" cm="1">
        <f t="array" ref="D3640">_xlfn.SINGLE(IF(A3641=A3642,_xll.ciqfunctions.udf.CIQ(A3633,"IQ_TOTAL_REV",IQ_FY-3)/I3640, _xll.ciqfunctions.udf.CIQ(A3633, "IQ_TOTAL_REV",IQ_FY-2)/I3640))</f>
        <v>0.99372319685994392</v>
      </c>
      <c r="E3640" s="16">
        <f t="shared" si="971"/>
        <v>0.59043413393577726</v>
      </c>
      <c r="F3640" s="15">
        <f>IF(A3641=A3642,_xll.ciqfunctions.udf.CIQ(A3633,"IQ_DILUT_EPS_EXCL",IQ_FY-3), _xll.ciqfunctions.udf.CIQ(A3633, "IQ_DILUT_EPS_EXCL",IQ_FY-2))</f>
        <v>-0.05</v>
      </c>
      <c r="G3640" s="15">
        <f>IF(A3641=A3642,_xll.ciqfunctions.udf.CIQ(A3633,"IQ_EBITDA_MARGIN",IQ_FY-3), _xll.ciqfunctions.udf.CIQ(A3633, "IQ_EBITDA_MARGIN",IQ_FY-2))</f>
        <v>13.748900000000001</v>
      </c>
      <c r="H3640" s="15">
        <f>IF(A3641=A3642,_xll.ciqfunctions.udf.CIQ(A3633,"IQ_TOTAL_DIV_PAID_CF",IQ_FY-3)/-I3640, _xll.ciqfunctions.udf.CIQ(A3633, "IQ_TOTAL_DIV_PAID_CF",IQ_FY-2)/-I3640)</f>
        <v>0</v>
      </c>
      <c r="I3640" s="17">
        <f>IF(A3641=A3642,_xll.ciqfunctions.udf.CIQ(A3633,"IQ_TOTAL_OUTSTANDING_FILING_DATE",IQ_FY-3), _xll.ciqfunctions.udf.CIQ(A3633, "IQ_TOTAL_OUTSTANDING_FILING_DATE",IQ_FY-2))</f>
        <v>147.48272</v>
      </c>
      <c r="J3640" s="17">
        <f>IF(A3641=A3642,_xll.ciqfunctions.udf.CIQ(A3633,"IQ_CASH_OPER",IQ_FY-3), _xll.ciqfunctions.udf.CIQ(A3633, "IQ_CASH_OPER",IQ_FY-2))</f>
        <v>19.645</v>
      </c>
      <c r="K3640" s="17">
        <f>IF(A3641=A3642,_xll.ciqfunctions.udf.CIQ(A3633,"IQ_CAPEX",IQ_FY-3), _xll.ciqfunctions.udf.CIQ(A3633, "IQ_CAPEX",IQ_FY-2))</f>
        <v>-5.3920000000000003</v>
      </c>
      <c r="L3640" s="15">
        <f t="shared" si="968"/>
        <v>9.6641830310696744E-2</v>
      </c>
      <c r="M3640" s="17">
        <f>IF(A3641=A3642,_xll.ciqfunctions.udf.CIQ(A3633,"IQ_TOTAL_DEBT_ISSUED",IQ_FY-3), _xll.ciqfunctions.udf.CIQ(A3633, "IQ_TOTAL_DEBT_ISSUED",IQ_FY-2))</f>
        <v>31.25</v>
      </c>
      <c r="N3640" s="17">
        <f>IF(A3641=A3642,_xll.ciqfunctions.udf.CIQ(A3633,"IQ_TOTAL_DEBT_REPAID",IQ_FY-3), _xll.ciqfunctions.udf.CIQ(A3633, "IQ_TOTAL_DEBT_REPAID",IQ_FY-2))</f>
        <v>0</v>
      </c>
      <c r="O3640" s="15">
        <f t="shared" si="969"/>
        <v>0.21188923014167355</v>
      </c>
      <c r="P3640" s="15">
        <f t="shared" si="970"/>
        <v>0.30853106045237028</v>
      </c>
      <c r="Q3640" s="18"/>
      <c r="R3640" s="39" t="s">
        <v>31</v>
      </c>
      <c r="S3640" s="5" t="e">
        <f>IF(NOT(D3633&gt;0),FALSE,SLOPE(G3633:G3643,B3633:B3643))</f>
        <v>#DIV/0!</v>
      </c>
      <c r="U3640" s="18"/>
      <c r="V3640" s="39" t="s">
        <v>31</v>
      </c>
      <c r="W3640" s="5" t="e">
        <f>IF(NOT(D3633&gt;0),FALSE,SLOPE(G3633:G3643,B3633:B3643))</f>
        <v>#DIV/0!</v>
      </c>
      <c r="Y3640" s="18"/>
      <c r="Z3640" s="39" t="s">
        <v>31</v>
      </c>
      <c r="AA3640" s="5" t="e">
        <f>IF(NOT(L3633&gt;0),FALSE,SLOPE(O3633:O3643,J3633:J3643))</f>
        <v>#DIV/0!</v>
      </c>
    </row>
    <row r="3641" spans="1:27">
      <c r="A3641" s="19">
        <f>_xll.ciqfunctions.udf.CIQ(A3633,"IQ_TOTAL_REV",IQ_FY)</f>
        <v>303.92</v>
      </c>
      <c r="B3641" s="13">
        <v>9</v>
      </c>
      <c r="C3641" s="14" t="s">
        <v>32</v>
      </c>
      <c r="D3641" s="15" cm="1">
        <f t="array" ref="D3641">_xlfn.SINGLE(IF(A3641=A3642,_xll.ciqfunctions.udf.CIQ(A3633,"IQ_TOTAL_REV",IQ_FY-2)/I3641, _xll.ciqfunctions.udf.CIQ(A3633, "IQ_TOTAL_REV",IQ_FY-1)/I3641))</f>
        <v>1.3334631365694249</v>
      </c>
      <c r="E3641" s="16">
        <f t="shared" si="971"/>
        <v>0.34188589013824161</v>
      </c>
      <c r="F3641" s="15">
        <f>IF(A3641=A3642,_xll.ciqfunctions.udf.CIQ(A3633,"IQ_DILUT_EPS_EXCL",IQ_FY-2), _xll.ciqfunctions.udf.CIQ(A3633, "IQ_DILUT_EPS_EXCL",IQ_FY-1))</f>
        <v>-0.06</v>
      </c>
      <c r="G3641" s="15">
        <f>IF(A3641=A3642,_xll.ciqfunctions.udf.CIQ(A3633,"IQ_EBITDA_MARGIN",IQ_FY-2), _xll.ciqfunctions.udf.CIQ(A3633, "IQ_EBITDA_MARGIN",IQ_FY-1))</f>
        <v>8.3303999999999991</v>
      </c>
      <c r="H3641" s="15">
        <f>IF(A3641=A3642,_xll.ciqfunctions.udf.CIQ(A3633,"IQ_TOTAL_DIV_PAID_CF",IQ_FY-2)/-I3641, _xll.ciqfunctions.udf.CIQ(A3633, "IQ_TOTAL_DIV_PAID_CF",IQ_FY-1)/-I3641)</f>
        <v>0</v>
      </c>
      <c r="I3641" s="17">
        <f>IF(A3641=A3642,_xll.ciqfunctions.udf.CIQ(A3633,"IQ_TOTAL_OUTSTANDING_FILING_DATE",IQ_FY-2), _xll.ciqfunctions.udf.CIQ(A3633, "IQ_TOTAL_OUTSTANDING_FILING_DATE",IQ_FY-1))</f>
        <v>162.19421</v>
      </c>
      <c r="J3641" s="17">
        <f>IF(A3641=A3642,_xll.ciqfunctions.udf.CIQ(A3633,"IQ_CASH_OPER",IQ_FY-2), _xll.ciqfunctions.udf.CIQ(A3633, "IQ_CASH_OPER",IQ_FY-1))</f>
        <v>24.420999999999999</v>
      </c>
      <c r="K3641" s="17">
        <f>IF(A3641=A3642,_xll.ciqfunctions.udf.CIQ(A3633,"IQ_CAPEX",IQ_FY-2), _xll.ciqfunctions.udf.CIQ(A3633, "IQ_CAPEX",IQ_FY-1))</f>
        <v>-4.5209999999999999</v>
      </c>
      <c r="L3641" s="15">
        <f t="shared" si="968"/>
        <v>0.12269241916835379</v>
      </c>
      <c r="M3641" s="17">
        <f>IF(A3641=A3642,_xll.ciqfunctions.udf.CIQ(A3633,"IQ_TOTAL_DEBT_ISSUED",IQ_FY-2), _xll.ciqfunctions.udf.CIQ(A3633, "IQ_TOTAL_DEBT_ISSUED",IQ_FY-1))</f>
        <v>0</v>
      </c>
      <c r="N3641" s="17">
        <f>IF(A3641=A3642,_xll.ciqfunctions.udf.CIQ(A3633,"IQ_TOTAL_DEBT_REPAID",IQ_FY-2), _xll.ciqfunctions.udf.CIQ(A3633, "IQ_TOTAL_DEBT_REPAID",IQ_FY-1))</f>
        <v>-120.074</v>
      </c>
      <c r="O3641" s="15">
        <f t="shared" si="969"/>
        <v>-0.74031002709652827</v>
      </c>
      <c r="P3641" s="15">
        <f t="shared" si="970"/>
        <v>-0.61761760792817444</v>
      </c>
      <c r="Q3641" s="25" t="s">
        <v>33</v>
      </c>
      <c r="R3641" s="38" t="s">
        <v>52</v>
      </c>
      <c r="S3641" s="4" t="e">
        <f>(AVERAGE(O3638:O3643)/AVERAGE(P3638:P3643))</f>
        <v>#DIV/0!</v>
      </c>
      <c r="U3641" s="25" t="s">
        <v>54</v>
      </c>
      <c r="V3641" s="38" t="s">
        <v>52</v>
      </c>
      <c r="W3641" s="4" t="e">
        <f>(AVERAGE(O3638:O3643)/AVERAGE(P3638:P3643))</f>
        <v>#DIV/0!</v>
      </c>
      <c r="Y3641" s="25" t="s">
        <v>60</v>
      </c>
      <c r="Z3641" s="38" t="s">
        <v>52</v>
      </c>
      <c r="AA3641" s="4" t="e">
        <f>(AVERAGE(O3638:O3643)/AVERAGE(P3638:P3643))</f>
        <v>#DIV/0!</v>
      </c>
    </row>
    <row r="3642" spans="1:27">
      <c r="A3642" s="19">
        <f>_xll.ciqfunctions.udf.CIQ(A3633,"IQ_TOTAL_REV",IQ_LTM)</f>
        <v>364.47300000000001</v>
      </c>
      <c r="B3642" s="13">
        <v>10</v>
      </c>
      <c r="C3642" s="14" t="s">
        <v>34</v>
      </c>
      <c r="D3642" s="15" cm="1">
        <f t="array" ref="D3642">_xlfn.SINGLE(IF(A3641=A3642,_xll.ciqfunctions.udf.CIQ(A3633,"IQ_TOTAL_REV",IQ_FY-1)/I3642, _xll.ciqfunctions.udf.CIQ(A3633, "IQ_TOTAL_REV",IQ_FY)/I3642))</f>
        <v>1.8287569380933404</v>
      </c>
      <c r="E3642" s="16">
        <f t="shared" si="971"/>
        <v>0.37143419112293447</v>
      </c>
      <c r="F3642" s="15">
        <f>IF(A3641=A3642,_xll.ciqfunctions.udf.CIQ(A3633,"IQ_DILUT_EPS_EXCL",IQ_FY-1), _xll.ciqfunctions.udf.CIQ(A3633, "IQ_DILUT_EPS_EXCL",IQ_FY))</f>
        <v>0.12</v>
      </c>
      <c r="G3642" s="15">
        <f>IF(A3641=A3642,_xll.ciqfunctions.udf.CIQ(A3633,"IQ_EBITDA_MARGIN",IQ_FY-1), _xll.ciqfunctions.udf.CIQ(A3633, "IQ_EBITDA_MARGIN",IQ_FY))</f>
        <v>11.591799999999999</v>
      </c>
      <c r="H3642" s="15">
        <f>IF(A3641=A3642,_xll.ciqfunctions.udf.CIQ(A3633,"IQ_TOTAL_DIV_PAID_CF",IQ_FY-1)/-I3642, _xll.ciqfunctions.udf.CIQ(A3633, "IQ_TOTAL_DIV_PAID_CF",IQ_FY)/-I3642)</f>
        <v>0</v>
      </c>
      <c r="I3642" s="17">
        <f>IF(A3641=A3642,_xll.ciqfunctions.udf.CIQ(A3633,"IQ_TOTAL_OUTSTANDING_FILING_DATE",IQ_FY-1), _xll.ciqfunctions.udf.CIQ(A3633, "IQ_TOTAL_OUTSTANDING_FILING_DATE",IQ_FY))</f>
        <v>166.18939</v>
      </c>
      <c r="J3642" s="17">
        <f>IF(A3641=A3642,_xll.ciqfunctions.udf.CIQ(A3633,"IQ_CASH_OPER",IQ_FY-1), _xll.ciqfunctions.udf.CIQ(A3633, "IQ_CASH_OPER",IQ_FY))</f>
        <v>52.317999999999998</v>
      </c>
      <c r="K3642" s="17">
        <f>IF(A3641=A3642,_xll.ciqfunctions.udf.CIQ(A3633,"IQ_CAPEX",IQ_FY-1), _xll.ciqfunctions.udf.CIQ(A3633, "IQ_CAPEX",IQ_FY))</f>
        <v>-6.548</v>
      </c>
      <c r="L3642" s="15">
        <f t="shared" si="968"/>
        <v>0.27540867681143782</v>
      </c>
      <c r="M3642" s="17">
        <f>IF(A3641=A3642,_xll.ciqfunctions.udf.CIQ(A3633,"IQ_TOTAL_DEBT_ISSUED",IQ_FY-1), _xll.ciqfunctions.udf.CIQ(A3633, "IQ_TOTAL_DEBT_ISSUED",IQ_FY))</f>
        <v>0</v>
      </c>
      <c r="N3642" s="17">
        <f>IF(A3641=A3642,_xll.ciqfunctions.udf.CIQ(A3633,"IQ_TOTAL_DEBT_REPAID",IQ_FY-1), _xll.ciqfunctions.udf.CIQ(A3633, "IQ_TOTAL_DEBT_REPAID",IQ_FY))</f>
        <v>0</v>
      </c>
      <c r="O3642" s="15">
        <f t="shared" si="969"/>
        <v>0</v>
      </c>
      <c r="P3642" s="15">
        <f t="shared" si="970"/>
        <v>0.27540867681143782</v>
      </c>
      <c r="Q3642" s="25" t="s">
        <v>44</v>
      </c>
      <c r="R3642" s="38" t="s">
        <v>35</v>
      </c>
      <c r="S3642" s="1">
        <f>_xll.ciqfunctions.udf.CIQ(A3633,"IQ_TEV_EBITDA")</f>
        <v>73.097610000000003</v>
      </c>
      <c r="U3642" s="25" t="s">
        <v>55</v>
      </c>
      <c r="V3642" s="38" t="s">
        <v>53</v>
      </c>
      <c r="W3642" s="1" t="e">
        <f>V3632/(AVERAGE(D3638:D3643)/_xlfn.STDEV.P(E3638:E3643))</f>
        <v>#DIV/0!</v>
      </c>
      <c r="Y3642" s="25" t="s">
        <v>57</v>
      </c>
      <c r="Z3642" s="38" t="s">
        <v>53</v>
      </c>
      <c r="AA3642" s="1" t="e">
        <f>Z3632/(AVERAGE(D3638:D3643)/_xlfn.STDEV.P(E3638:E3643))</f>
        <v>#DIV/0!</v>
      </c>
    </row>
    <row r="3643" spans="1:27">
      <c r="B3643" s="13">
        <v>11</v>
      </c>
      <c r="C3643" s="20" t="s">
        <v>36</v>
      </c>
      <c r="D3643" s="21" cm="1">
        <f t="array" ref="D3643">_xlfn.SINGLE(IF(A3641=A3642,_xll.ciqfunctions.udf.CIQ(A3633,"IQ_TOTAL_REV",IQ_FY)/I3643, _xll.ciqfunctions.udf.CIQ(A3633, "IQ_TOTAL_REV",IQ_LTM)/I3643))</f>
        <v>2.1678137005269158</v>
      </c>
      <c r="E3643" s="22">
        <f t="shared" si="971"/>
        <v>0.1854028577395723</v>
      </c>
      <c r="F3643" s="21">
        <f>IF(A3641=A3642,_xll.ciqfunctions.udf.CIQ(A3633,"IQ_DILUT_EPS_EXCL",IQ_FY), _xll.ciqfunctions.udf.CIQ(A3633, "IQ_DILUT_EPS_EXCL",IQ_LTM))</f>
        <v>0.14929999999999999</v>
      </c>
      <c r="G3643" s="21">
        <f>IF(A3641=A3642,_xll.ciqfunctions.udf.CIQ(A3633,"IQ_EBITDA_MARGIN",IQ_FY), _xll.ciqfunctions.udf.CIQ(A3633, "IQ_EBITDA_MARGIN",IQ_LTM))</f>
        <v>11.7539</v>
      </c>
      <c r="H3643" s="21">
        <f>IF(A3641=A3642,_xll.ciqfunctions.udf.CIQ(A3633,"IQ_TOTAL_DIV_PAID_CF",IQ_FY)/-I3643, _xll.ciqfunctions.udf.CIQ(A3633, "IQ_TOTAL_DIV_PAID_CF",IQ_LTM)/-I3643)</f>
        <v>0</v>
      </c>
      <c r="I3643" s="23">
        <f>IF(A3641=A3642,_xll.ciqfunctions.udf.CIQ(A3633,"IQ_TOTAL_OUTSTANDING_FILING_DATE",IQ_FY),_xll.ciqfunctions.udf.CIQ(A3633,"IQ_sharesoutstanding"))</f>
        <v>168.1293</v>
      </c>
      <c r="J3643" s="23">
        <f>IF(A3641=A3642,_xll.ciqfunctions.udf.CIQ(A3633,"IQ_CASH_OPER",IQ_FY), _xll.ciqfunctions.udf.CIQ(A3633, "IQ_CASH_OPER",IQ_LTM))</f>
        <v>60.631</v>
      </c>
      <c r="K3643" s="23">
        <f>IF(A3641=A3642,_xll.ciqfunctions.udf.CIQ(A3633,"IQ_CAPEX",IQ_FY), _xll.ciqfunctions.udf.CIQ(A3633, "IQ_CAPEX",IQ_LTM))</f>
        <v>-8.8580000000000005</v>
      </c>
      <c r="L3643" s="21">
        <f t="shared" si="968"/>
        <v>0.30793561859830498</v>
      </c>
      <c r="M3643" s="23">
        <f>IF(A3641=A3642,_xll.ciqfunctions.udf.CIQ(A3633,"IQ_TOTAL_DEBT_ISSUED",IQ_FY), _xll.ciqfunctions.udf.CIQ(A3633, "IQ_TOTAL_DEBT_ISSUED",IQ_LTM))</f>
        <v>0</v>
      </c>
      <c r="N3643" s="23">
        <f>IF(A3641=A3642,_xll.ciqfunctions.udf.CIQ(A3633,"IQ_TOTAL_DEBT_REPAID",IQ_FY), _xll.ciqfunctions.udf.CIQ(A3633, "IQ_TOTAL_DEBT_REPAID",IQ_LTM))</f>
        <v>0</v>
      </c>
      <c r="O3643" s="21">
        <f t="shared" si="969"/>
        <v>0</v>
      </c>
      <c r="P3643" s="21">
        <f t="shared" si="970"/>
        <v>0.30793561859830498</v>
      </c>
      <c r="Q3643" s="25" t="s">
        <v>45</v>
      </c>
      <c r="S3643" s="45"/>
      <c r="U3643" s="25"/>
      <c r="W3643" s="45"/>
      <c r="Y3643" s="25"/>
      <c r="AA3643" s="45"/>
    </row>
    <row r="3644" spans="1:27">
      <c r="B3644" s="24"/>
      <c r="C3644" s="25" t="s">
        <v>37</v>
      </c>
      <c r="E3644" s="26" t="e">
        <f>((D3643/D3638)^(1/5))-1</f>
        <v>#DIV/0!</v>
      </c>
      <c r="F3644" s="27" t="e">
        <f>((F3643/F3638)^(1/5))-1</f>
        <v>#DIV/0!</v>
      </c>
      <c r="G3644" s="28"/>
      <c r="H3644" s="27" t="e">
        <f>((H3643/H3638)^(1/5))-1</f>
        <v>#DIV/0!</v>
      </c>
      <c r="I3644" s="27" t="e">
        <f>((I3643/I3638)^(1/5))-1</f>
        <v>#DIV/0!</v>
      </c>
      <c r="J3644" s="27"/>
      <c r="K3644" s="27"/>
      <c r="L3644" s="26" t="e">
        <f>((L3643/L3638)^(1/5))-1</f>
        <v>#DIV/0!</v>
      </c>
      <c r="M3644" s="26"/>
      <c r="N3644" s="26"/>
      <c r="O3644" s="26"/>
      <c r="P3644" s="26" t="e">
        <f>((P3643/P3638)^(1/5))-1</f>
        <v>#DIV/0!</v>
      </c>
      <c r="Q3644" s="18"/>
      <c r="R3644" s="36"/>
      <c r="S3644" s="45"/>
      <c r="U3644" s="18"/>
      <c r="V3644" s="36"/>
      <c r="W3644" s="45"/>
      <c r="Y3644" s="18"/>
      <c r="Z3644" s="36"/>
      <c r="AA3644" s="45"/>
    </row>
    <row r="3645" spans="1:27">
      <c r="A3645" s="29"/>
      <c r="B3645" s="30"/>
      <c r="C3645" s="31" t="s">
        <v>38</v>
      </c>
      <c r="D3645" s="29"/>
      <c r="E3645" s="32" t="e">
        <f>((D3643/D3633)^(1/10))-1</f>
        <v>#DIV/0!</v>
      </c>
      <c r="F3645" s="33" t="e">
        <f>((F3643/F3633)^(1/10))-1</f>
        <v>#DIV/0!</v>
      </c>
      <c r="G3645" s="34"/>
      <c r="H3645" s="33" t="e">
        <f>((H3643/H3633)^(1/10))-1</f>
        <v>#DIV/0!</v>
      </c>
      <c r="I3645" s="33" t="e">
        <f>((I3643/I3633)^(1/10))-1</f>
        <v>#DIV/0!</v>
      </c>
      <c r="J3645" s="33"/>
      <c r="K3645" s="33"/>
      <c r="L3645" s="32" t="e">
        <f>((L3643/L3633)^(1/10))-1</f>
        <v>#DIV/0!</v>
      </c>
      <c r="M3645" s="32"/>
      <c r="N3645" s="32"/>
      <c r="O3645" s="32"/>
      <c r="P3645" s="32" t="e">
        <f>((P3643/P3633)^(1/10))-1</f>
        <v>#DIV/0!</v>
      </c>
      <c r="Q3645" s="40"/>
      <c r="R3645" s="41"/>
      <c r="S3645" s="46"/>
      <c r="U3645" s="40"/>
      <c r="V3645" s="41"/>
      <c r="W3645" s="46"/>
      <c r="Y3645" s="40"/>
      <c r="Z3645" s="41"/>
      <c r="AA3645" s="46"/>
    </row>
    <row r="3646" spans="1:27">
      <c r="B3646" s="24"/>
      <c r="C3646" s="25"/>
      <c r="E3646" s="26"/>
      <c r="F3646" s="27"/>
      <c r="G3646" s="28"/>
      <c r="H3646" s="27"/>
      <c r="I3646" s="27"/>
      <c r="J3646" s="27"/>
      <c r="K3646" s="27"/>
      <c r="L3646" s="26"/>
      <c r="M3646" s="17"/>
      <c r="N3646" s="17"/>
      <c r="O3646" s="17"/>
      <c r="P3646" s="35"/>
      <c r="Q3646" s="18"/>
      <c r="R3646" s="36"/>
    </row>
    <row r="3647" spans="1:27">
      <c r="A3647" s="9" t="s">
        <v>0</v>
      </c>
      <c r="B3647" s="10"/>
      <c r="C3647" s="9" t="s">
        <v>1</v>
      </c>
      <c r="D3647" s="9" t="s">
        <v>2</v>
      </c>
      <c r="E3647" s="9" t="s">
        <v>3</v>
      </c>
      <c r="F3647" s="11" t="s">
        <v>4</v>
      </c>
      <c r="G3647" s="11" t="s">
        <v>5</v>
      </c>
      <c r="H3647" s="9" t="s">
        <v>6</v>
      </c>
      <c r="I3647" s="11" t="s">
        <v>7</v>
      </c>
      <c r="J3647" s="11" t="s">
        <v>8</v>
      </c>
      <c r="K3647" s="11" t="s">
        <v>9</v>
      </c>
      <c r="L3647" s="11" t="s">
        <v>10</v>
      </c>
      <c r="M3647" s="11" t="s">
        <v>11</v>
      </c>
      <c r="N3647" s="11" t="s">
        <v>12</v>
      </c>
      <c r="O3647" s="11" t="s">
        <v>13</v>
      </c>
      <c r="P3647" s="11" t="s">
        <v>14</v>
      </c>
      <c r="Q3647" s="37" t="s">
        <v>15</v>
      </c>
      <c r="R3647" s="42">
        <f>_xll.ciqfunctions.udf.CIQ(A3648,("IQ_LASTSALEPRICE"))</f>
        <v>29.3201</v>
      </c>
      <c r="S3647" s="44"/>
      <c r="U3647" s="37" t="s">
        <v>15</v>
      </c>
      <c r="V3647" s="42">
        <f>_xll.ciqfunctions.udf.CIQ(A3648,("IQ_LASTSALEPRICE"))</f>
        <v>29.3201</v>
      </c>
      <c r="W3647" s="44"/>
      <c r="Y3647" s="37" t="s">
        <v>15</v>
      </c>
      <c r="Z3647" s="42">
        <f>_xll.ciqfunctions.udf.CIQ(A3648,("IQ_LASTSALEPRICE"))</f>
        <v>29.3201</v>
      </c>
      <c r="AA3647" s="44"/>
    </row>
    <row r="3648" spans="1:27">
      <c r="A3648" s="12" t="str">
        <f>Analysis!B245</f>
        <v>NYSE:AI</v>
      </c>
      <c r="B3648" s="13">
        <v>1</v>
      </c>
      <c r="C3648" s="14" t="s">
        <v>16</v>
      </c>
      <c r="D3648" s="15" t="e">
        <f>IF(A3656=A3657,_xll.ciqfunctions.udf.CIQ(A3648,"IQ_TOTAL_REV",IQ_FY-10)/I3648,_xll.ciqfunctions.udf.CIQ(A3648, "IQ_TOTAL_REV",IQ_FY-9)/I3648)</f>
        <v>#DIV/0!</v>
      </c>
      <c r="E3648" s="16"/>
      <c r="F3648" s="15">
        <f>IF(A3656=A3657,_xll.ciqfunctions.udf.CIQ(A3648,"IQ_DILUT_EPS_EXCL",IQ_FY-10), _xll.ciqfunctions.udf.CIQ(A3648, "IQ_DILUT_EPS_EXCL",IQ_FY-9))</f>
        <v>0</v>
      </c>
      <c r="G3648" s="15">
        <f>IF(A3656=A3657,_xll.ciqfunctions.udf.CIQ(A3648,"IQ_EBITDA_MARGIN",IQ_FY-10), _xll.ciqfunctions.udf.CIQ(A3648, "IQ_EBITDA_MARGIN",IQ_FY-9))</f>
        <v>0</v>
      </c>
      <c r="H3648" s="15" t="e">
        <f>IF(A3656=A3657,_xll.ciqfunctions.udf.CIQ(A3648,"IQ_TOTAL_DIV_PAID_CF",IQ_FY-10)/-I3648, _xll.ciqfunctions.udf.CIQ(A3648, "IQ_TOTAL_DIV_PAID_CF",IQ_FY-9)/-I3648)</f>
        <v>#DIV/0!</v>
      </c>
      <c r="I3648" s="17">
        <f>IF(A3656=A3657,_xll.ciqfunctions.udf.CIQ(A3648,"IQ_TOTAL_OUTSTANDING_FILING_DATE",IQ_FY-10), _xll.ciqfunctions.udf.CIQ(A3648, "IQ_TOTAL_OUTSTANDING_FILING_DATE",IQ_FY-9))</f>
        <v>0</v>
      </c>
      <c r="J3648" s="17">
        <f>IF(A3656=A3657,_xll.ciqfunctions.udf.CIQ(A3648,"IQ_CASH_OPER",IQ_FY-10), _xll.ciqfunctions.udf.CIQ(A3648, "IQ_CASH_OPER",IQ_FY-9))</f>
        <v>0</v>
      </c>
      <c r="K3648" s="17">
        <f>IF(A3656=A3657,_xll.ciqfunctions.udf.CIQ(A3648,"IQ_CAPEX",IQ_FY-10), _xll.ciqfunctions.udf.CIQ(A3648, "IQ_CAPEX",IQ_FY-9))</f>
        <v>0</v>
      </c>
      <c r="L3648" s="15" t="e">
        <f t="shared" ref="L3648:L3658" si="972">(J3648+K3648)/I3648</f>
        <v>#DIV/0!</v>
      </c>
      <c r="M3648" s="17">
        <f>IF(A3656=A3657,_xll.ciqfunctions.udf.CIQ(A3648,"IQ_TOTAL_DEBT_ISSUED",IQ_FY-10), _xll.ciqfunctions.udf.CIQ(A3648, "IQ_TOTAL_DEBT_ISSUED",IQ_FY-9))</f>
        <v>0</v>
      </c>
      <c r="N3648" s="17">
        <f>IF(A3656=A3657,_xll.ciqfunctions.udf.CIQ(A3648,"IQ_TOTAL_DEBT_REPAID",IQ_FY-10), _xll.ciqfunctions.udf.CIQ(A3648, "IQ_TOTAL_DEBT_REPAID",IQ_FY-9))</f>
        <v>0</v>
      </c>
      <c r="O3648" s="15" t="e">
        <f t="shared" ref="O3648:O3658" si="973">(M3648+N3648)/I3648</f>
        <v>#DIV/0!</v>
      </c>
      <c r="P3648" s="15" t="e">
        <f t="shared" ref="P3648:P3658" si="974">L3648+O3648</f>
        <v>#DIV/0!</v>
      </c>
      <c r="W3648" s="43"/>
      <c r="AA3648" s="43"/>
    </row>
    <row r="3649" spans="1:27">
      <c r="A3649" s="18" t="str">
        <f>_xll.ciqfunctions.udf.CIQ(A3648,"IQ_COMPANY_NAME")</f>
        <v>C3.ai, Inc.</v>
      </c>
      <c r="B3649" s="13">
        <v>2</v>
      </c>
      <c r="C3649" s="14" t="s">
        <v>17</v>
      </c>
      <c r="D3649" s="15" t="e">
        <f>IF(A3656=A3657,_xll.ciqfunctions.udf.CIQ(A3648,"IQ_TOTAL_REV",IQ_FY-9)/I3649, _xll.ciqfunctions.udf.CIQ(A3648, "IQ_TOTAL_REV",IQ_FY-8)/I3649)</f>
        <v>#DIV/0!</v>
      </c>
      <c r="E3649" s="16" t="e">
        <f t="shared" ref="E3649:E3658" si="975">(D3649-D3648)/D3648</f>
        <v>#DIV/0!</v>
      </c>
      <c r="F3649" s="15">
        <f>IF(A3656=A3657,_xll.ciqfunctions.udf.CIQ(A3648,"IQ_DILUT_EPS_EXCL",IQ_FY-9), _xll.ciqfunctions.udf.CIQ(A3648, "IQ_DILUT_EPS_EXCL",IQ_FY-8))</f>
        <v>0</v>
      </c>
      <c r="G3649" s="15">
        <f>IF(A3656=A3657,_xll.ciqfunctions.udf.CIQ(A3648,"IQ_EBITDA_MARGIN",IQ_FY-9), _xll.ciqfunctions.udf.CIQ(A3648, "IQ_EBITDA_MARGIN",IQ_FY-8))</f>
        <v>0</v>
      </c>
      <c r="H3649" s="15" t="e">
        <f>IF(A3656=A3657,_xll.ciqfunctions.udf.CIQ(A3648,"IQ_TOTAL_DIV_PAID_CF",IQ_FY-9)/-I3649, _xll.ciqfunctions.udf.CIQ(A3648, "IQ_TOTAL_DIV_PAID_CF",IQ_FY-8)/-I3649)</f>
        <v>#DIV/0!</v>
      </c>
      <c r="I3649" s="17">
        <f>IF(A3656=A3657,_xll.ciqfunctions.udf.CIQ(A3648,"IQ_TOTAL_OUTSTANDING_FILING_DATE",IQ_FY-9), _xll.ciqfunctions.udf.CIQ(A3648, "IQ_TOTAL_OUTSTANDING_FILING_DATE",IQ_FY-8))</f>
        <v>0</v>
      </c>
      <c r="J3649" s="17">
        <f>IF(A3656=A3657,_xll.ciqfunctions.udf.CIQ(A3648,"IQ_CASH_OPER",IQ_FY-9), _xll.ciqfunctions.udf.CIQ(A3648, "IQ_CASH_OPER",IQ_FY-8))</f>
        <v>0</v>
      </c>
      <c r="K3649" s="17">
        <f>IF(A3656=A3657,_xll.ciqfunctions.udf.CIQ(A3648,"IQ_CAPEX",IQ_FY-9), _xll.ciqfunctions.udf.CIQ(A3648, "IQ_CAPEX",IQ_FY-8))</f>
        <v>0</v>
      </c>
      <c r="L3649" s="15" t="e">
        <f t="shared" si="972"/>
        <v>#DIV/0!</v>
      </c>
      <c r="M3649" s="17">
        <f>IF(A3656=A3657,_xll.ciqfunctions.udf.CIQ(A3648,"IQ_TOTAL_DEBT_ISSUED",IQ_FY-9), _xll.ciqfunctions.udf.CIQ(A3648, "IQ_TOTAL_DEBT_ISSUED",IQ_FY-8))</f>
        <v>0</v>
      </c>
      <c r="N3649" s="17">
        <f>IF(A3656=A3657,_xll.ciqfunctions.udf.CIQ(A3648,"IQ_TOTAL_DEBT_REPAID",IQ_FY-9), _xll.ciqfunctions.udf.CIQ(A3648, "IQ_TOTAL_DEBT_REPAID",IQ_FY-8))</f>
        <v>0</v>
      </c>
      <c r="O3649" s="15" t="e">
        <f t="shared" si="973"/>
        <v>#DIV/0!</v>
      </c>
      <c r="P3649" s="15" t="e">
        <f t="shared" si="974"/>
        <v>#DIV/0!</v>
      </c>
      <c r="Q3649" s="25" t="s">
        <v>18</v>
      </c>
      <c r="R3649" s="39" t="s">
        <v>19</v>
      </c>
      <c r="S3649" s="1" t="e">
        <f>R3647/((AVERAGE(P3653:P3658))*(1+E3659)^3)</f>
        <v>#DIV/0!</v>
      </c>
      <c r="U3649" s="25" t="s">
        <v>48</v>
      </c>
      <c r="V3649" s="39" t="s">
        <v>19</v>
      </c>
      <c r="W3649" s="1" t="e">
        <f>V3647/((AVERAGE(P3653:P3658))*(1+E3659)^3)</f>
        <v>#DIV/0!</v>
      </c>
      <c r="Y3649" s="25" t="s">
        <v>39</v>
      </c>
      <c r="Z3649" s="39" t="s">
        <v>19</v>
      </c>
      <c r="AA3649" s="1" t="e">
        <f>Z3647/((AVERAGE(P3653:P3658))*(1+E3659)^3)</f>
        <v>#DIV/0!</v>
      </c>
    </row>
    <row r="3650" spans="1:27">
      <c r="B3650" s="13">
        <v>3</v>
      </c>
      <c r="C3650" s="14" t="s">
        <v>20</v>
      </c>
      <c r="D3650" s="15" t="e" cm="1">
        <f t="array" ref="D3650">_xlfn.SINGLE(IF(A3656=A3657,_xll.ciqfunctions.udf.CIQ(A3648,"IQ_TOTAL_REV",IQ_FY-8)/I3650, _xll.ciqfunctions.udf.CIQ(A3648, "IQ_TOTAL_REV",IQ_FY-7)/I3650))</f>
        <v>#DIV/0!</v>
      </c>
      <c r="E3650" s="16" t="e">
        <f t="shared" si="975"/>
        <v>#DIV/0!</v>
      </c>
      <c r="F3650" s="15">
        <f>IF(A3656=A3657,_xll.ciqfunctions.udf.CIQ(A3648,"IQ_DILUT_EPS_EXCL",IQ_FY-8), _xll.ciqfunctions.udf.CIQ(A3648, "IQ_DILUT_EPS_EXCL",IQ_FY-7))</f>
        <v>0</v>
      </c>
      <c r="G3650" s="15">
        <f>IF(A3656=A3657,_xll.ciqfunctions.udf.CIQ(A3648,"IQ_EBITDA_MARGIN",IQ_FY-8), _xll.ciqfunctions.udf.CIQ(A3648, "IQ_EBITDA_MARGIN",IQ_FY-7))</f>
        <v>0</v>
      </c>
      <c r="H3650" s="15" t="e">
        <f>IF(A3656=A3657,_xll.ciqfunctions.udf.CIQ(A3648,"IQ_TOTAL_DIV_PAID_CF",IQ_FY-8)/-I3650, _xll.ciqfunctions.udf.CIQ(A3648, "IQ_TOTAL_DIV_PAID_CF",IQ_FY-7)/-I3650)</f>
        <v>#DIV/0!</v>
      </c>
      <c r="I3650" s="17">
        <f>IF(A3656=A3657,_xll.ciqfunctions.udf.CIQ(A3648,"IQ_TOTAL_OUTSTANDING_FILING_DATE",IQ_FY-8), _xll.ciqfunctions.udf.CIQ(A3648, "IQ_TOTAL_OUTSTANDING_FILING_DATE",IQ_FY-7))</f>
        <v>0</v>
      </c>
      <c r="J3650" s="17">
        <f>IF(A3656=A3657,_xll.ciqfunctions.udf.CIQ(A3648,"IQ_CASH_OPER",IQ_FY-8), _xll.ciqfunctions.udf.CIQ(A3648, "IQ_CASH_OPER",IQ_FY-7))</f>
        <v>0</v>
      </c>
      <c r="K3650" s="17">
        <f>IF(A3656=A3657,_xll.ciqfunctions.udf.CIQ(A3648,"IQ_CAPEX",IQ_FY-8), _xll.ciqfunctions.udf.CIQ(A3648, "IQ_CAPEX",IQ_FY-7))</f>
        <v>0</v>
      </c>
      <c r="L3650" s="15" t="e">
        <f t="shared" si="972"/>
        <v>#DIV/0!</v>
      </c>
      <c r="M3650" s="17">
        <f>IF(A3656=A3657,_xll.ciqfunctions.udf.CIQ(A3648,"IQ_TOTAL_DEBT_ISSUED",IQ_FY-8), _xll.ciqfunctions.udf.CIQ(A3648, "IQ_TOTAL_DEBT_ISSUED",IQ_FY-7))</f>
        <v>0</v>
      </c>
      <c r="N3650" s="17">
        <f>IF(A3656=A3657,_xll.ciqfunctions.udf.CIQ(A3648,"IQ_TOTAL_DEBT_REPAID",IQ_FY-8), _xll.ciqfunctions.udf.CIQ(A3648, "IQ_TOTAL_DEBT_REPAID",IQ_FY-7))</f>
        <v>0</v>
      </c>
      <c r="O3650" s="15" t="e">
        <f t="shared" si="973"/>
        <v>#DIV/0!</v>
      </c>
      <c r="P3650" s="15" t="e">
        <f t="shared" si="974"/>
        <v>#DIV/0!</v>
      </c>
      <c r="Q3650" s="25" t="s">
        <v>21</v>
      </c>
      <c r="R3650" s="38" t="s">
        <v>49</v>
      </c>
      <c r="S3650" s="2">
        <f>(R3647*I3658)/1000</f>
        <v>3.465687423376</v>
      </c>
      <c r="U3650" s="25" t="s">
        <v>59</v>
      </c>
      <c r="V3650" s="38" t="s">
        <v>49</v>
      </c>
      <c r="W3650" s="2">
        <f>(V3647*I3658)/1000</f>
        <v>3.465687423376</v>
      </c>
      <c r="Y3650" s="25" t="s">
        <v>46</v>
      </c>
      <c r="Z3650" s="38" t="s">
        <v>49</v>
      </c>
      <c r="AA3650" s="2">
        <f>(Z3647*I3658)/1000</f>
        <v>3.465687423376</v>
      </c>
    </row>
    <row r="3651" spans="1:27">
      <c r="A3651" s="18"/>
      <c r="B3651" s="13">
        <v>4</v>
      </c>
      <c r="C3651" s="14" t="s">
        <v>22</v>
      </c>
      <c r="D3651" s="15" t="e" cm="1">
        <f t="array" ref="D3651">_xlfn.SINGLE(IF(A3656=A3657,_xll.ciqfunctions.udf.CIQ(A3648,"IQ_TOTAL_REV",IQ_FY-7)/I3651, _xll.ciqfunctions.udf.CIQ(A3648, "IQ_TOTAL_REV",IQ_FY-6)/I3651))</f>
        <v>#DIV/0!</v>
      </c>
      <c r="E3651" s="16" t="e">
        <f t="shared" si="975"/>
        <v>#DIV/0!</v>
      </c>
      <c r="F3651" s="15">
        <f>IF(A3656=A3657,_xll.ciqfunctions.udf.CIQ(A3648,"IQ_DILUT_EPS_EXCL",IQ_FY-7), _xll.ciqfunctions.udf.CIQ(A3648, "IQ_DILUT_EPS_EXCL",IQ_FY-6))</f>
        <v>0</v>
      </c>
      <c r="G3651" s="15">
        <f>IF(A3656=A3657,_xll.ciqfunctions.udf.CIQ(A3648,"IQ_EBITDA_MARGIN",IQ_FY-7), _xll.ciqfunctions.udf.CIQ(A3648, "IQ_EBITDA_MARGIN",IQ_FY-6))</f>
        <v>0</v>
      </c>
      <c r="H3651" s="15" t="e">
        <f>IF(A3656=A3657,_xll.ciqfunctions.udf.CIQ(A3648,"IQ_TOTAL_DIV_PAID_CF",IQ_FY-7)/-I3651, _xll.ciqfunctions.udf.CIQ(A3648, "IQ_TOTAL_DIV_PAID_CF",IQ_FY-6)/-I3651)</f>
        <v>#DIV/0!</v>
      </c>
      <c r="I3651" s="17">
        <f>IF(A3656=A3657,_xll.ciqfunctions.udf.CIQ(A3648,"IQ_TOTAL_OUTSTANDING_FILING_DATE",IQ_FY-7), _xll.ciqfunctions.udf.CIQ(A3648, "IQ_TOTAL_OUTSTANDING_FILING_DATE",IQ_FY-6))</f>
        <v>0</v>
      </c>
      <c r="J3651" s="17">
        <f>IF(A3656=A3657,_xll.ciqfunctions.udf.CIQ(A3648,"IQ_CASH_OPER",IQ_FY-7), _xll.ciqfunctions.udf.CIQ(A3648, "IQ_CASH_OPER",IQ_FY-6))</f>
        <v>0</v>
      </c>
      <c r="K3651" s="17">
        <f>IF(A3656=A3657,_xll.ciqfunctions.udf.CIQ(A3648,"IQ_CAPEX",IQ_FY-7), _xll.ciqfunctions.udf.CIQ(A3648, "IQ_CAPEX",IQ_FY-6))</f>
        <v>0</v>
      </c>
      <c r="L3651" s="15" t="e">
        <f t="shared" si="972"/>
        <v>#DIV/0!</v>
      </c>
      <c r="M3651" s="17">
        <f>IF(A3656=A3657,_xll.ciqfunctions.udf.CIQ(A3648,"IQ_TOTAL_DEBT_ISSUED",IQ_FY-7), _xll.ciqfunctions.udf.CIQ(A3648, "IQ_TOTAL_DEBT_ISSUED",IQ_FY-6))</f>
        <v>0</v>
      </c>
      <c r="N3651" s="17">
        <f>IF(A3656=A3657,_xll.ciqfunctions.udf.CIQ(A3648,"IQ_TOTAL_DEBT_REPAID",IQ_FY-7), _xll.ciqfunctions.udf.CIQ(A3648, "IQ_TOTAL_DEBT_REPAID",IQ_FY-6))</f>
        <v>0</v>
      </c>
      <c r="O3651" s="15" t="e">
        <f t="shared" si="973"/>
        <v>#DIV/0!</v>
      </c>
      <c r="P3651" s="15" t="e">
        <f t="shared" si="974"/>
        <v>#DIV/0!</v>
      </c>
      <c r="Q3651" s="25" t="s">
        <v>23</v>
      </c>
      <c r="R3651" s="38" t="s">
        <v>24</v>
      </c>
      <c r="S3651" s="1" t="e">
        <f>R3647/(AVERAGE(H3653:H3658)*(1+H3659)/(0.5-H3659))</f>
        <v>#DIV/0!</v>
      </c>
      <c r="U3651" s="25" t="s">
        <v>40</v>
      </c>
      <c r="V3651" s="38" t="s">
        <v>24</v>
      </c>
      <c r="W3651" s="1" t="e">
        <f>V3647/(AVERAGE(H3653:H3658)*(1+H3659)/(0.5-H3659))</f>
        <v>#DIV/0!</v>
      </c>
      <c r="Y3651" s="25" t="s">
        <v>47</v>
      </c>
      <c r="Z3651" s="38" t="s">
        <v>24</v>
      </c>
      <c r="AA3651" s="1" t="e">
        <f>Z3647/(AVERAGE(H3653:H3658)*(1+H3659)/(0.5-H3659))</f>
        <v>#DIV/0!</v>
      </c>
    </row>
    <row r="3652" spans="1:27">
      <c r="B3652" s="13">
        <v>5</v>
      </c>
      <c r="C3652" s="14" t="s">
        <v>25</v>
      </c>
      <c r="D3652" s="15" t="e" cm="1">
        <f t="array" ref="D3652">_xlfn.SINGLE(IF(A3656=A3657,_xll.ciqfunctions.udf.CIQ(A3648,"IQ_TOTAL_REV",IQ_FY-6)/I3652, _xll.ciqfunctions.udf.CIQ(A3648, "IQ_TOTAL_REV",IQ_FY-5)/I3652))</f>
        <v>#DIV/0!</v>
      </c>
      <c r="E3652" s="16" t="e">
        <f t="shared" si="975"/>
        <v>#DIV/0!</v>
      </c>
      <c r="F3652" s="15">
        <f>IF(A3656=A3657,_xll.ciqfunctions.udf.CIQ(A3648,"IQ_DILUT_EPS_EXCL",IQ_FY-6), _xll.ciqfunctions.udf.CIQ(A3648, "IQ_DILUT_EPS_EXCL",IQ_FY-5))</f>
        <v>0</v>
      </c>
      <c r="G3652" s="15">
        <f>IF(A3656=A3657,_xll.ciqfunctions.udf.CIQ(A3648,"IQ_EBITDA_MARGIN",IQ_FY-6), _xll.ciqfunctions.udf.CIQ(A3648, "IQ_EBITDA_MARGIN",IQ_FY-5))</f>
        <v>0</v>
      </c>
      <c r="H3652" s="15" t="e">
        <f>IF(A3656=A3657,_xll.ciqfunctions.udf.CIQ(A3648,"IQ_TOTAL_DIV_PAID_CF",IQ_FY-6)/-I3652, _xll.ciqfunctions.udf.CIQ(A3648, "IQ_TOTAL_DIV_PAID_CF",IQ_FY-5)/-I3652)</f>
        <v>#DIV/0!</v>
      </c>
      <c r="I3652" s="17">
        <f>IF(A3656=A3657,_xll.ciqfunctions.udf.CIQ(A3648,"IQ_TOTAL_OUTSTANDING_FILING_DATE",IQ_FY-6), _xll.ciqfunctions.udf.CIQ(A3648, "IQ_TOTAL_OUTSTANDING_FILING_DATE",IQ_FY-5))</f>
        <v>0</v>
      </c>
      <c r="J3652" s="17">
        <f>IF(A3656=A3657,_xll.ciqfunctions.udf.CIQ(A3648,"IQ_CASH_OPER",IQ_FY-6), _xll.ciqfunctions.udf.CIQ(A3648, "IQ_CASH_OPER",IQ_FY-5))</f>
        <v>0</v>
      </c>
      <c r="K3652" s="17">
        <f>IF(A3656=A3657,_xll.ciqfunctions.udf.CIQ(A3648,"IQ_CAPEX",IQ_FY-6), _xll.ciqfunctions.udf.CIQ(A3648, "IQ_CAPEX",IQ_FY-5))</f>
        <v>0</v>
      </c>
      <c r="L3652" s="15" t="e">
        <f t="shared" si="972"/>
        <v>#DIV/0!</v>
      </c>
      <c r="M3652" s="17">
        <f>IF(A3656=A3657,_xll.ciqfunctions.udf.CIQ(A3648,"IQ_TOTAL_DEBT_ISSUED",IQ_FY-6), _xll.ciqfunctions.udf.CIQ(A3648, "IQ_TOTAL_DEBT_ISSUED",IQ_FY-5))</f>
        <v>0</v>
      </c>
      <c r="N3652" s="17">
        <f>IF(A3656=A3657,_xll.ciqfunctions.udf.CIQ(A3648,"IQ_TOTAL_DEBT_REPAID",IQ_FY-6), _xll.ciqfunctions.udf.CIQ(A3648, "IQ_TOTAL_DEBT_REPAID",IQ_FY-5))</f>
        <v>0</v>
      </c>
      <c r="O3652" s="15" t="e">
        <f t="shared" si="973"/>
        <v>#DIV/0!</v>
      </c>
      <c r="P3652" s="15" t="e">
        <f t="shared" si="974"/>
        <v>#DIV/0!</v>
      </c>
      <c r="Q3652" s="18"/>
      <c r="R3652" s="38" t="s">
        <v>50</v>
      </c>
      <c r="S3652" s="3" t="e">
        <f>I3659</f>
        <v>#DIV/0!</v>
      </c>
      <c r="U3652" s="18"/>
      <c r="V3652" s="38" t="s">
        <v>50</v>
      </c>
      <c r="W3652" s="3" t="e">
        <f>I3659</f>
        <v>#DIV/0!</v>
      </c>
      <c r="Y3652" s="18"/>
      <c r="Z3652" s="38" t="s">
        <v>50</v>
      </c>
      <c r="AA3652" s="3" t="e">
        <f>I3659</f>
        <v>#DIV/0!</v>
      </c>
    </row>
    <row r="3653" spans="1:27">
      <c r="B3653" s="13">
        <v>6</v>
      </c>
      <c r="C3653" s="14" t="s">
        <v>26</v>
      </c>
      <c r="D3653" s="15" t="e" cm="1">
        <f t="array" ref="D3653">_xlfn.SINGLE(IF(A3656=A3657,_xll.ciqfunctions.udf.CIQ(A3648,"IQ_TOTAL_REV",IQ_FY-5)/I3653, _xll.ciqfunctions.udf.CIQ(A3648, "IQ_TOTAL_REV",IQ_FY-4)/I3653))</f>
        <v>#DIV/0!</v>
      </c>
      <c r="E3653" s="16" t="e">
        <f t="shared" si="975"/>
        <v>#DIV/0!</v>
      </c>
      <c r="F3653" s="15">
        <f>IF(A3656=A3657,_xll.ciqfunctions.udf.CIQ(A3648,"IQ_DILUT_EPS_EXCL",IQ_FY-5), _xll.ciqfunctions.udf.CIQ(A3648, "IQ_DILUT_EPS_EXCL",IQ_FY-4))</f>
        <v>0</v>
      </c>
      <c r="G3653" s="15">
        <f>IF(A3656=A3657,_xll.ciqfunctions.udf.CIQ(A3648,"IQ_EBITDA_MARGIN",IQ_FY-5), _xll.ciqfunctions.udf.CIQ(A3648, "IQ_EBITDA_MARGIN",IQ_FY-4))</f>
        <v>-38.744599999999998</v>
      </c>
      <c r="H3653" s="15" t="e">
        <f>IF(A3656=A3657,_xll.ciqfunctions.udf.CIQ(A3648,"IQ_TOTAL_DIV_PAID_CF",IQ_FY-5)/-I3653, _xll.ciqfunctions.udf.CIQ(A3648, "IQ_TOTAL_DIV_PAID_CF",IQ_FY-4)/-I3653)</f>
        <v>#DIV/0!</v>
      </c>
      <c r="I3653" s="17">
        <f>IF(A3656=A3657,_xll.ciqfunctions.udf.CIQ(A3648,"IQ_TOTAL_OUTSTANDING_FILING_DATE",IQ_FY-5), _xll.ciqfunctions.udf.CIQ(A3648, "IQ_TOTAL_OUTSTANDING_FILING_DATE",IQ_FY-4))</f>
        <v>0</v>
      </c>
      <c r="J3653" s="17">
        <f>IF(A3656=A3657,_xll.ciqfunctions.udf.CIQ(A3648,"IQ_CASH_OPER",IQ_FY-5), _xll.ciqfunctions.udf.CIQ(A3648, "IQ_CASH_OPER",IQ_FY-4))</f>
        <v>-34.875999999999998</v>
      </c>
      <c r="K3653" s="17">
        <f>IF(A3656=A3657,_xll.ciqfunctions.udf.CIQ(A3648,"IQ_CAPEX",IQ_FY-5), _xll.ciqfunctions.udf.CIQ(A3648, "IQ_CAPEX",IQ_FY-4))</f>
        <v>-6.8109999999999999</v>
      </c>
      <c r="L3653" s="15" t="e">
        <f t="shared" si="972"/>
        <v>#DIV/0!</v>
      </c>
      <c r="M3653" s="17">
        <f>IF(A3656=A3657,_xll.ciqfunctions.udf.CIQ(A3648,"IQ_TOTAL_DEBT_ISSUED",IQ_FY-5), _xll.ciqfunctions.udf.CIQ(A3648, "IQ_TOTAL_DEBT_ISSUED",IQ_FY-4))</f>
        <v>0</v>
      </c>
      <c r="N3653" s="17">
        <f>IF(A3656=A3657,_xll.ciqfunctions.udf.CIQ(A3648,"IQ_TOTAL_DEBT_REPAID",IQ_FY-5), _xll.ciqfunctions.udf.CIQ(A3648, "IQ_TOTAL_DEBT_REPAID",IQ_FY-4))</f>
        <v>0</v>
      </c>
      <c r="O3653" s="15" t="e">
        <f t="shared" si="973"/>
        <v>#DIV/0!</v>
      </c>
      <c r="P3653" s="15" t="e">
        <f t="shared" si="974"/>
        <v>#DIV/0!</v>
      </c>
      <c r="Q3653" s="25" t="s">
        <v>27</v>
      </c>
      <c r="R3653" s="38" t="s">
        <v>51</v>
      </c>
      <c r="S3653" s="4" t="e">
        <f>AVERAGE(F3653:F3658)/AVERAGE(D3653:D3658)</f>
        <v>#DIV/0!</v>
      </c>
      <c r="U3653" s="25" t="s">
        <v>58</v>
      </c>
      <c r="V3653" s="38" t="s">
        <v>51</v>
      </c>
      <c r="W3653" s="4" t="e">
        <f>AVERAGE(F3653:F3658)/AVERAGE(D3653:D3658)</f>
        <v>#DIV/0!</v>
      </c>
      <c r="Y3653" s="25" t="s">
        <v>56</v>
      </c>
      <c r="Z3653" s="38" t="s">
        <v>51</v>
      </c>
      <c r="AA3653" s="4" t="e">
        <f>AVERAGE(F3653:F3658)/AVERAGE(D3653:D3658)</f>
        <v>#DIV/0!</v>
      </c>
    </row>
    <row r="3654" spans="1:27">
      <c r="A3654" s="18"/>
      <c r="B3654" s="13">
        <v>7</v>
      </c>
      <c r="C3654" s="14" t="s">
        <v>28</v>
      </c>
      <c r="D3654" s="15" cm="1">
        <f t="array" ref="D3654">_xlfn.SINGLE(IF(A3656=A3657,_xll.ciqfunctions.udf.CIQ(A3648,"IQ_TOTAL_REV",IQ_FY-4)/I3654, _xll.ciqfunctions.udf.CIQ(A3648, "IQ_TOTAL_REV",IQ_FY-3)/I3654))</f>
        <v>2.8645532877745525</v>
      </c>
      <c r="E3654" s="16" t="e">
        <f t="shared" si="975"/>
        <v>#DIV/0!</v>
      </c>
      <c r="F3654" s="15">
        <f>IF(A3656=A3657,_xll.ciqfunctions.udf.CIQ(A3648,"IQ_DILUT_EPS_EXCL",IQ_FY-4), _xll.ciqfunctions.udf.CIQ(A3648, "IQ_DILUT_EPS_EXCL",IQ_FY-3))</f>
        <v>-1.9379299999999999</v>
      </c>
      <c r="G3654" s="15">
        <f>IF(A3656=A3657,_xll.ciqfunctions.udf.CIQ(A3648,"IQ_EBITDA_MARGIN",IQ_FY-4), _xll.ciqfunctions.udf.CIQ(A3648, "IQ_EBITDA_MARGIN",IQ_FY-3))</f>
        <v>-44.805500000000002</v>
      </c>
      <c r="H3654" s="15">
        <f>IF(A3656=A3657,_xll.ciqfunctions.udf.CIQ(A3648,"IQ_TOTAL_DIV_PAID_CF",IQ_FY-4)/-I3654, _xll.ciqfunctions.udf.CIQ(A3648, "IQ_TOTAL_DIV_PAID_CF",IQ_FY-3)/-I3654)</f>
        <v>0</v>
      </c>
      <c r="I3654" s="17">
        <f>IF(A3656=A3657,_xll.ciqfunctions.udf.CIQ(A3648,"IQ_TOTAL_OUTSTANDING_FILING_DATE",IQ_FY-4), _xll.ciqfunctions.udf.CIQ(A3648, "IQ_TOTAL_OUTSTANDING_FILING_DATE",IQ_FY-3))</f>
        <v>54.691249999999997</v>
      </c>
      <c r="J3654" s="17">
        <f>IF(A3656=A3657,_xll.ciqfunctions.udf.CIQ(A3648,"IQ_CASH_OPER",IQ_FY-4), _xll.ciqfunctions.udf.CIQ(A3648, "IQ_CASH_OPER",IQ_FY-3))</f>
        <v>-61.280999999999999</v>
      </c>
      <c r="K3654" s="17">
        <f>IF(A3656=A3657,_xll.ciqfunctions.udf.CIQ(A3648,"IQ_CAPEX",IQ_FY-4), _xll.ciqfunctions.udf.CIQ(A3648, "IQ_CAPEX",IQ_FY-3))</f>
        <v>-2.298</v>
      </c>
      <c r="L3654" s="15">
        <f t="shared" si="972"/>
        <v>-1.162507713756771</v>
      </c>
      <c r="M3654" s="17">
        <f>IF(A3656=A3657,_xll.ciqfunctions.udf.CIQ(A3648,"IQ_TOTAL_DEBT_ISSUED",IQ_FY-4), _xll.ciqfunctions.udf.CIQ(A3648, "IQ_TOTAL_DEBT_ISSUED",IQ_FY-3))</f>
        <v>0</v>
      </c>
      <c r="N3654" s="17">
        <f>IF(A3656=A3657,_xll.ciqfunctions.udf.CIQ(A3648,"IQ_TOTAL_DEBT_REPAID",IQ_FY-4), _xll.ciqfunctions.udf.CIQ(A3648, "IQ_TOTAL_DEBT_REPAID",IQ_FY-3))</f>
        <v>0</v>
      </c>
      <c r="O3654" s="15">
        <f t="shared" si="973"/>
        <v>0</v>
      </c>
      <c r="P3654" s="15">
        <f t="shared" si="974"/>
        <v>-1.162507713756771</v>
      </c>
      <c r="Q3654" s="18"/>
      <c r="R3654" s="38" t="s">
        <v>29</v>
      </c>
      <c r="S3654" s="4" t="e">
        <f>(AVERAGE(P3653:P3658)/_xlfn.STDEV.P(P3653:P3658))/(IF(A3656=A3657,(_xlfn.SINGLE(_xll.ciqfunctions.udf.CIQ(A3648,"IQ_total_assets",IQ_FY)) - _xlfn.SINGLE(_xll.ciqfunctions.udf.CIQ(A3648,"iq_gw_intan", IQ_FY)))/I3658, (_xlfn.SINGLE(_xll.ciqfunctions.udf.CIQ(A3648, "IQ_total_assets",IQ_LTM))-_xlfn.SINGLE(_xll.ciqfunctions.udf.CIQ(A3648,"iq_gw_intan",IQ_LTM)))/I3658))</f>
        <v>#DIV/0!</v>
      </c>
      <c r="U3654" s="18"/>
      <c r="V3654" s="38" t="s">
        <v>29</v>
      </c>
      <c r="W3654" s="4" t="e">
        <f>(AVERAGE(P3653:P3658)/_xlfn.STDEV.P(P3653:P3658))/(IF(A3656=A3657,(_xlfn.SINGLE(_xll.ciqfunctions.udf.CIQ(A3648,"IQ_total_assets",IQ_FY)) - _xlfn.SINGLE(_xll.ciqfunctions.udf.CIQ(A3648,"iq_gw_intan", IQ_FY)))/I3658, (_xlfn.SINGLE(_xll.ciqfunctions.udf.CIQ(A3648, "IQ_total_assets",IQ_LTM))-_xlfn.SINGLE(_xll.ciqfunctions.udf.CIQ(A3648,"iq_gw_intan",IQ_LTM)))/I3658))</f>
        <v>#DIV/0!</v>
      </c>
      <c r="Y3654" s="18"/>
      <c r="Z3654" s="38" t="s">
        <v>29</v>
      </c>
      <c r="AA3654" s="4" t="e">
        <f>(AVERAGE(P3653:P3658)/_xlfn.STDEV.P(P3653:P3658))/(IF(A3656=A3657,(_xlfn.SINGLE(_xll.ciqfunctions.udf.CIQ(A3648,"IQ_total_assets",IQ_FY)) - _xlfn.SINGLE(_xll.ciqfunctions.udf.CIQ(A3648,"iq_gw_intan", IQ_FY)))/I3658, (_xlfn.SINGLE(_xll.ciqfunctions.udf.CIQ(A3648, "IQ_total_assets",IQ_LTM))-_xlfn.SINGLE(_xll.ciqfunctions.udf.CIQ(A3648,"iq_gw_intan",IQ_LTM)))/I3658))</f>
        <v>#DIV/0!</v>
      </c>
    </row>
    <row r="3655" spans="1:27">
      <c r="A3655" s="18"/>
      <c r="B3655" s="13">
        <v>8</v>
      </c>
      <c r="C3655" s="14" t="s">
        <v>30</v>
      </c>
      <c r="D3655" s="15" cm="1">
        <f t="array" ref="D3655">_xlfn.SINGLE(IF(A3656=A3657,_xll.ciqfunctions.udf.CIQ(A3648,"IQ_TOTAL_REV",IQ_FY-3)/I3655, _xll.ciqfunctions.udf.CIQ(A3648, "IQ_TOTAL_REV",IQ_FY-2)/I3655))</f>
        <v>1.7715659683199525</v>
      </c>
      <c r="E3655" s="16">
        <f t="shared" si="975"/>
        <v>-0.38155593897285561</v>
      </c>
      <c r="F3655" s="15">
        <f>IF(A3656=A3657,_xll.ciqfunctions.udf.CIQ(A3648,"IQ_DILUT_EPS_EXCL",IQ_FY-3), _xll.ciqfunctions.udf.CIQ(A3648, "IQ_DILUT_EPS_EXCL",IQ_FY-2))</f>
        <v>-0.83321000000000001</v>
      </c>
      <c r="G3655" s="15">
        <f>IF(A3656=A3657,_xll.ciqfunctions.udf.CIQ(A3648,"IQ_EBITDA_MARGIN",IQ_FY-3), _xll.ciqfunctions.udf.CIQ(A3648, "IQ_EBITDA_MARGIN",IQ_FY-2))</f>
        <v>-30.543500000000002</v>
      </c>
      <c r="H3655" s="15">
        <f>IF(A3656=A3657,_xll.ciqfunctions.udf.CIQ(A3648,"IQ_TOTAL_DIV_PAID_CF",IQ_FY-3)/-I3655, _xll.ciqfunctions.udf.CIQ(A3648, "IQ_TOTAL_DIV_PAID_CF",IQ_FY-2)/-I3655)</f>
        <v>0</v>
      </c>
      <c r="I3655" s="17">
        <f>IF(A3656=A3657,_xll.ciqfunctions.udf.CIQ(A3648,"IQ_TOTAL_OUTSTANDING_FILING_DATE",IQ_FY-3), _xll.ciqfunctions.udf.CIQ(A3648, "IQ_TOTAL_OUTSTANDING_FILING_DATE",IQ_FY-2))</f>
        <v>103.42093</v>
      </c>
      <c r="J3655" s="17">
        <f>IF(A3656=A3657,_xll.ciqfunctions.udf.CIQ(A3648,"IQ_CASH_OPER",IQ_FY-3), _xll.ciqfunctions.udf.CIQ(A3648, "IQ_CASH_OPER",IQ_FY-2))</f>
        <v>-37.552999999999997</v>
      </c>
      <c r="K3655" s="17">
        <f>IF(A3656=A3657,_xll.ciqfunctions.udf.CIQ(A3648,"IQ_CAPEX",IQ_FY-3), _xll.ciqfunctions.udf.CIQ(A3648, "IQ_CAPEX",IQ_FY-2))</f>
        <v>-1.6279999999999999</v>
      </c>
      <c r="L3655" s="15">
        <f t="shared" si="972"/>
        <v>-0.37884981308909133</v>
      </c>
      <c r="M3655" s="17">
        <f>IF(A3656=A3657,_xll.ciqfunctions.udf.CIQ(A3648,"IQ_TOTAL_DEBT_ISSUED",IQ_FY-3), _xll.ciqfunctions.udf.CIQ(A3648, "IQ_TOTAL_DEBT_ISSUED",IQ_FY-2))</f>
        <v>0</v>
      </c>
      <c r="N3655" s="17">
        <f>IF(A3656=A3657,_xll.ciqfunctions.udf.CIQ(A3648,"IQ_TOTAL_DEBT_REPAID",IQ_FY-3), _xll.ciqfunctions.udf.CIQ(A3648, "IQ_TOTAL_DEBT_REPAID",IQ_FY-2))</f>
        <v>0</v>
      </c>
      <c r="O3655" s="15">
        <f t="shared" si="973"/>
        <v>0</v>
      </c>
      <c r="P3655" s="15">
        <f t="shared" si="974"/>
        <v>-0.37884981308909133</v>
      </c>
      <c r="Q3655" s="18"/>
      <c r="R3655" s="39" t="s">
        <v>31</v>
      </c>
      <c r="S3655" s="5" t="e">
        <f>IF(NOT(D3648&gt;0),FALSE,SLOPE(G3648:G3658,B3648:B3658))</f>
        <v>#DIV/0!</v>
      </c>
      <c r="U3655" s="18"/>
      <c r="V3655" s="39" t="s">
        <v>31</v>
      </c>
      <c r="W3655" s="5" t="e">
        <f>IF(NOT(D3648&gt;0),FALSE,SLOPE(G3648:G3658,B3648:B3658))</f>
        <v>#DIV/0!</v>
      </c>
      <c r="Y3655" s="18"/>
      <c r="Z3655" s="39" t="s">
        <v>31</v>
      </c>
      <c r="AA3655" s="5" t="e">
        <f>IF(NOT(L3648&gt;0),FALSE,SLOPE(O3648:O3658,J3648:J3658))</f>
        <v>#DIV/0!</v>
      </c>
    </row>
    <row r="3656" spans="1:27">
      <c r="A3656" s="19">
        <f>_xll.ciqfunctions.udf.CIQ(A3648,"IQ_TOTAL_REV",IQ_FY)</f>
        <v>266.79500000000002</v>
      </c>
      <c r="B3656" s="13">
        <v>9</v>
      </c>
      <c r="C3656" s="14" t="s">
        <v>32</v>
      </c>
      <c r="D3656" s="15" cm="1">
        <f t="array" ref="D3656">_xlfn.SINGLE(IF(A3656=A3657,_xll.ciqfunctions.udf.CIQ(A3648,"IQ_TOTAL_REV",IQ_FY-2)/I3656, _xll.ciqfunctions.udf.CIQ(A3648, "IQ_TOTAL_REV",IQ_FY-1)/I3656))</f>
        <v>2.3589240963985851</v>
      </c>
      <c r="E3656" s="16">
        <f t="shared" si="975"/>
        <v>0.33154742108511376</v>
      </c>
      <c r="F3656" s="15">
        <f>IF(A3656=A3657,_xll.ciqfunctions.udf.CIQ(A3648,"IQ_DILUT_EPS_EXCL",IQ_FY-2), _xll.ciqfunctions.udf.CIQ(A3648, "IQ_DILUT_EPS_EXCL",IQ_FY-1))</f>
        <v>-1.8396300000000001</v>
      </c>
      <c r="G3656" s="15">
        <f>IF(A3656=A3657,_xll.ciqfunctions.udf.CIQ(A3648,"IQ_EBITDA_MARGIN",IQ_FY-2), _xll.ciqfunctions.udf.CIQ(A3648, "IQ_EBITDA_MARGIN",IQ_FY-1))</f>
        <v>-75.816000000000003</v>
      </c>
      <c r="H3656" s="15">
        <f>IF(A3656=A3657,_xll.ciqfunctions.udf.CIQ(A3648,"IQ_TOTAL_DIV_PAID_CF",IQ_FY-2)/-I3656, _xll.ciqfunctions.udf.CIQ(A3648, "IQ_TOTAL_DIV_PAID_CF",IQ_FY-1)/-I3656)</f>
        <v>0</v>
      </c>
      <c r="I3656" s="17">
        <f>IF(A3656=A3657,_xll.ciqfunctions.udf.CIQ(A3648,"IQ_TOTAL_OUTSTANDING_FILING_DATE",IQ_FY-2), _xll.ciqfunctions.udf.CIQ(A3648, "IQ_TOTAL_OUTSTANDING_FILING_DATE",IQ_FY-1))</f>
        <v>107.15012</v>
      </c>
      <c r="J3656" s="17">
        <f>IF(A3656=A3657,_xll.ciqfunctions.udf.CIQ(A3648,"IQ_CASH_OPER",IQ_FY-2), _xll.ciqfunctions.udf.CIQ(A3648, "IQ_CASH_OPER",IQ_FY-1))</f>
        <v>-86.462000000000003</v>
      </c>
      <c r="K3656" s="17">
        <f>IF(A3656=A3657,_xll.ciqfunctions.udf.CIQ(A3648,"IQ_CAPEX",IQ_FY-2), _xll.ciqfunctions.udf.CIQ(A3648, "IQ_CAPEX",IQ_FY-1))</f>
        <v>-3.7909999999999999</v>
      </c>
      <c r="L3656" s="15">
        <f t="shared" si="972"/>
        <v>-0.84230423633683282</v>
      </c>
      <c r="M3656" s="17">
        <f>IF(A3656=A3657,_xll.ciqfunctions.udf.CIQ(A3648,"IQ_TOTAL_DEBT_ISSUED",IQ_FY-2), _xll.ciqfunctions.udf.CIQ(A3648, "IQ_TOTAL_DEBT_ISSUED",IQ_FY-1))</f>
        <v>0</v>
      </c>
      <c r="N3656" s="17">
        <f>IF(A3656=A3657,_xll.ciqfunctions.udf.CIQ(A3648,"IQ_TOTAL_DEBT_REPAID",IQ_FY-2), _xll.ciqfunctions.udf.CIQ(A3648, "IQ_TOTAL_DEBT_REPAID",IQ_FY-1))</f>
        <v>0</v>
      </c>
      <c r="O3656" s="15">
        <f t="shared" si="973"/>
        <v>0</v>
      </c>
      <c r="P3656" s="15">
        <f t="shared" si="974"/>
        <v>-0.84230423633683282</v>
      </c>
      <c r="Q3656" s="25" t="s">
        <v>33</v>
      </c>
      <c r="R3656" s="38" t="s">
        <v>52</v>
      </c>
      <c r="S3656" s="4" t="e">
        <f>(AVERAGE(O3653:O3658)/AVERAGE(P3653:P3658))</f>
        <v>#DIV/0!</v>
      </c>
      <c r="U3656" s="25" t="s">
        <v>54</v>
      </c>
      <c r="V3656" s="38" t="s">
        <v>52</v>
      </c>
      <c r="W3656" s="4" t="e">
        <f>(AVERAGE(O3653:O3658)/AVERAGE(P3653:P3658))</f>
        <v>#DIV/0!</v>
      </c>
      <c r="Y3656" s="25" t="s">
        <v>60</v>
      </c>
      <c r="Z3656" s="38" t="s">
        <v>52</v>
      </c>
      <c r="AA3656" s="4" t="e">
        <f>(AVERAGE(O3653:O3658)/AVERAGE(P3653:P3658))</f>
        <v>#DIV/0!</v>
      </c>
    </row>
    <row r="3657" spans="1:27">
      <c r="A3657" s="19">
        <f>_xll.ciqfunctions.udf.CIQ(A3648,"IQ_TOTAL_REV",IQ_LTM)</f>
        <v>273.84899999999999</v>
      </c>
      <c r="B3657" s="13">
        <v>10</v>
      </c>
      <c r="C3657" s="14" t="s">
        <v>34</v>
      </c>
      <c r="D3657" s="15" cm="1">
        <f t="array" ref="D3657">_xlfn.SINGLE(IF(A3656=A3657,_xll.ciqfunctions.udf.CIQ(A3648,"IQ_TOTAL_REV",IQ_FY-1)/I3657, _xll.ciqfunctions.udf.CIQ(A3648, "IQ_TOTAL_REV",IQ_FY)/I3657))</f>
        <v>2.3076513222276831</v>
      </c>
      <c r="E3657" s="16">
        <f t="shared" si="975"/>
        <v>-2.1735660867249255E-2</v>
      </c>
      <c r="F3657" s="15">
        <f>IF(A3656=A3657,_xll.ciqfunctions.udf.CIQ(A3648,"IQ_DILUT_EPS_EXCL",IQ_FY-1), _xll.ciqfunctions.udf.CIQ(A3648, "IQ_DILUT_EPS_EXCL",IQ_FY))</f>
        <v>-2.4473099999999999</v>
      </c>
      <c r="G3657" s="15">
        <f>IF(A3656=A3657,_xll.ciqfunctions.udf.CIQ(A3648,"IQ_EBITDA_MARGIN",IQ_FY-1), _xll.ciqfunctions.udf.CIQ(A3648, "IQ_EBITDA_MARGIN",IQ_FY))</f>
        <v>-107.0128</v>
      </c>
      <c r="H3657" s="15">
        <f>IF(A3656=A3657,_xll.ciqfunctions.udf.CIQ(A3648,"IQ_TOTAL_DIV_PAID_CF",IQ_FY-1)/-I3657, _xll.ciqfunctions.udf.CIQ(A3648, "IQ_TOTAL_DIV_PAID_CF",IQ_FY)/-I3657)</f>
        <v>0</v>
      </c>
      <c r="I3657" s="17">
        <f>IF(A3656=A3657,_xll.ciqfunctions.udf.CIQ(A3648,"IQ_TOTAL_OUTSTANDING_FILING_DATE",IQ_FY-1), _xll.ciqfunctions.udf.CIQ(A3648, "IQ_TOTAL_OUTSTANDING_FILING_DATE",IQ_FY))</f>
        <v>115.61322</v>
      </c>
      <c r="J3657" s="17">
        <f>IF(A3656=A3657,_xll.ciqfunctions.udf.CIQ(A3648,"IQ_CASH_OPER",IQ_FY-1), _xll.ciqfunctions.udf.CIQ(A3648, "IQ_CASH_OPER",IQ_FY))</f>
        <v>-115.691</v>
      </c>
      <c r="K3657" s="17">
        <f>IF(A3656=A3657,_xll.ciqfunctions.udf.CIQ(A3648,"IQ_CAPEX",IQ_FY-1), _xll.ciqfunctions.udf.CIQ(A3648, "IQ_CAPEX",IQ_FY))</f>
        <v>-70.518000000000001</v>
      </c>
      <c r="L3657" s="15">
        <f t="shared" si="972"/>
        <v>-1.6106203079544017</v>
      </c>
      <c r="M3657" s="17">
        <f>IF(A3656=A3657,_xll.ciqfunctions.udf.CIQ(A3648,"IQ_TOTAL_DEBT_ISSUED",IQ_FY-1), _xll.ciqfunctions.udf.CIQ(A3648, "IQ_TOTAL_DEBT_ISSUED",IQ_FY))</f>
        <v>0</v>
      </c>
      <c r="N3657" s="17">
        <f>IF(A3656=A3657,_xll.ciqfunctions.udf.CIQ(A3648,"IQ_TOTAL_DEBT_REPAID",IQ_FY-1), _xll.ciqfunctions.udf.CIQ(A3648, "IQ_TOTAL_DEBT_REPAID",IQ_FY))</f>
        <v>0</v>
      </c>
      <c r="O3657" s="15">
        <f t="shared" si="973"/>
        <v>0</v>
      </c>
      <c r="P3657" s="15">
        <f t="shared" si="974"/>
        <v>-1.6106203079544017</v>
      </c>
      <c r="Q3657" s="25" t="s">
        <v>44</v>
      </c>
      <c r="R3657" s="38" t="s">
        <v>35</v>
      </c>
      <c r="S3657" s="1" t="str">
        <f>_xll.ciqfunctions.udf.CIQ(A3648,"IQ_TEV_EBITDA")</f>
        <v>NM</v>
      </c>
      <c r="U3657" s="25" t="s">
        <v>55</v>
      </c>
      <c r="V3657" s="38" t="s">
        <v>53</v>
      </c>
      <c r="W3657" s="1" t="e">
        <f>V3647/(AVERAGE(D3653:D3658)/_xlfn.STDEV.P(E3653:E3658))</f>
        <v>#DIV/0!</v>
      </c>
      <c r="Y3657" s="25" t="s">
        <v>57</v>
      </c>
      <c r="Z3657" s="38" t="s">
        <v>53</v>
      </c>
      <c r="AA3657" s="1" t="e">
        <f>Z3647/(AVERAGE(D3653:D3658)/_xlfn.STDEV.P(E3653:E3658))</f>
        <v>#DIV/0!</v>
      </c>
    </row>
    <row r="3658" spans="1:27">
      <c r="B3658" s="13">
        <v>11</v>
      </c>
      <c r="C3658" s="20" t="s">
        <v>36</v>
      </c>
      <c r="D3658" s="21" cm="1">
        <f t="array" ref="D3658">_xlfn.SINGLE(IF(A3656=A3657,_xll.ciqfunctions.udf.CIQ(A3648,"IQ_TOTAL_REV",IQ_FY)/I3658, _xll.ciqfunctions.udf.CIQ(A3648, "IQ_TOTAL_REV",IQ_LTM)/I3658))</f>
        <v>2.3167929140818209</v>
      </c>
      <c r="E3658" s="22">
        <f t="shared" si="975"/>
        <v>3.9614268265246244E-3</v>
      </c>
      <c r="F3658" s="21">
        <f>IF(A3656=A3657,_xll.ciqfunctions.udf.CIQ(A3648,"IQ_DILUT_EPS_EXCL",IQ_FY), _xll.ciqfunctions.udf.CIQ(A3648, "IQ_DILUT_EPS_EXCL",IQ_LTM))</f>
        <v>-2.3319999999999999</v>
      </c>
      <c r="G3658" s="21">
        <f>IF(A3656=A3657,_xll.ciqfunctions.udf.CIQ(A3648,"IQ_EBITDA_MARGIN",IQ_FY), _xll.ciqfunctions.udf.CIQ(A3648, "IQ_EBITDA_MARGIN",IQ_LTM))</f>
        <v>-103.9967</v>
      </c>
      <c r="H3658" s="21">
        <f>IF(A3656=A3657,_xll.ciqfunctions.udf.CIQ(A3648,"IQ_TOTAL_DIV_PAID_CF",IQ_FY)/-I3658, _xll.ciqfunctions.udf.CIQ(A3648, "IQ_TOTAL_DIV_PAID_CF",IQ_LTM)/-I3658)</f>
        <v>0</v>
      </c>
      <c r="I3658" s="23">
        <f>IF(A3656=A3657,_xll.ciqfunctions.udf.CIQ(A3648,"IQ_TOTAL_OUTSTANDING_FILING_DATE",IQ_FY),_xll.ciqfunctions.udf.CIQ(A3648,"IQ_sharesoutstanding"))</f>
        <v>118.20175999999999</v>
      </c>
      <c r="J3658" s="23">
        <f>IF(A3656=A3657,_xll.ciqfunctions.udf.CIQ(A3648,"IQ_CASH_OPER",IQ_FY), _xll.ciqfunctions.udf.CIQ(A3648, "IQ_CASH_OPER",IQ_LTM))</f>
        <v>-73.497</v>
      </c>
      <c r="K3658" s="23">
        <f>IF(A3656=A3657,_xll.ciqfunctions.udf.CIQ(A3648,"IQ_CAPEX",IQ_FY), _xll.ciqfunctions.udf.CIQ(A3648, "IQ_CAPEX",IQ_LTM))</f>
        <v>-66.319999999999993</v>
      </c>
      <c r="L3658" s="21">
        <f t="shared" si="972"/>
        <v>-1.1828673278638153</v>
      </c>
      <c r="M3658" s="23">
        <f>IF(A3656=A3657,_xll.ciqfunctions.udf.CIQ(A3648,"IQ_TOTAL_DEBT_ISSUED",IQ_FY), _xll.ciqfunctions.udf.CIQ(A3648, "IQ_TOTAL_DEBT_ISSUED",IQ_LTM))</f>
        <v>0</v>
      </c>
      <c r="N3658" s="23">
        <f>IF(A3656=A3657,_xll.ciqfunctions.udf.CIQ(A3648,"IQ_TOTAL_DEBT_REPAID",IQ_FY), _xll.ciqfunctions.udf.CIQ(A3648, "IQ_TOTAL_DEBT_REPAID",IQ_LTM))</f>
        <v>0</v>
      </c>
      <c r="O3658" s="21">
        <f t="shared" si="973"/>
        <v>0</v>
      </c>
      <c r="P3658" s="21">
        <f t="shared" si="974"/>
        <v>-1.1828673278638153</v>
      </c>
      <c r="Q3658" s="25" t="s">
        <v>45</v>
      </c>
      <c r="S3658" s="45"/>
      <c r="U3658" s="25"/>
      <c r="W3658" s="45"/>
      <c r="Y3658" s="25"/>
      <c r="AA3658" s="45"/>
    </row>
    <row r="3659" spans="1:27">
      <c r="B3659" s="24"/>
      <c r="C3659" s="25" t="s">
        <v>37</v>
      </c>
      <c r="E3659" s="26" t="e">
        <f>((D3658/D3653)^(1/5))-1</f>
        <v>#DIV/0!</v>
      </c>
      <c r="F3659" s="27" t="e">
        <f>((F3658/F3653)^(1/5))-1</f>
        <v>#DIV/0!</v>
      </c>
      <c r="G3659" s="28"/>
      <c r="H3659" s="27" t="e">
        <f>((H3658/H3653)^(1/5))-1</f>
        <v>#DIV/0!</v>
      </c>
      <c r="I3659" s="27" t="e">
        <f>((I3658/I3653)^(1/5))-1</f>
        <v>#DIV/0!</v>
      </c>
      <c r="J3659" s="27"/>
      <c r="K3659" s="27"/>
      <c r="L3659" s="26" t="e">
        <f>((L3658/L3653)^(1/5))-1</f>
        <v>#DIV/0!</v>
      </c>
      <c r="M3659" s="26"/>
      <c r="N3659" s="26"/>
      <c r="O3659" s="26"/>
      <c r="P3659" s="26" t="e">
        <f>((P3658/P3653)^(1/5))-1</f>
        <v>#DIV/0!</v>
      </c>
      <c r="Q3659" s="18"/>
      <c r="R3659" s="36"/>
      <c r="S3659" s="45"/>
      <c r="U3659" s="18"/>
      <c r="V3659" s="36"/>
      <c r="W3659" s="45"/>
      <c r="Y3659" s="18"/>
      <c r="Z3659" s="36"/>
      <c r="AA3659" s="45"/>
    </row>
    <row r="3660" spans="1:27">
      <c r="A3660" s="29"/>
      <c r="B3660" s="30"/>
      <c r="C3660" s="31" t="s">
        <v>38</v>
      </c>
      <c r="D3660" s="29"/>
      <c r="E3660" s="32" t="e">
        <f>((D3658/D3648)^(1/10))-1</f>
        <v>#DIV/0!</v>
      </c>
      <c r="F3660" s="33" t="e">
        <f>((F3658/F3648)^(1/10))-1</f>
        <v>#DIV/0!</v>
      </c>
      <c r="G3660" s="34"/>
      <c r="H3660" s="33" t="e">
        <f>((H3658/H3648)^(1/10))-1</f>
        <v>#DIV/0!</v>
      </c>
      <c r="I3660" s="33" t="e">
        <f>((I3658/I3648)^(1/10))-1</f>
        <v>#DIV/0!</v>
      </c>
      <c r="J3660" s="33"/>
      <c r="K3660" s="33"/>
      <c r="L3660" s="32" t="e">
        <f>((L3658/L3648)^(1/10))-1</f>
        <v>#DIV/0!</v>
      </c>
      <c r="M3660" s="32"/>
      <c r="N3660" s="32"/>
      <c r="O3660" s="32"/>
      <c r="P3660" s="32" t="e">
        <f>((P3658/P3648)^(1/10))-1</f>
        <v>#DIV/0!</v>
      </c>
      <c r="Q3660" s="40"/>
      <c r="R3660" s="41"/>
      <c r="S3660" s="46"/>
      <c r="U3660" s="40"/>
      <c r="V3660" s="41"/>
      <c r="W3660" s="46"/>
      <c r="Y3660" s="40"/>
      <c r="Z3660" s="41"/>
      <c r="AA3660" s="46"/>
    </row>
    <row r="3661" spans="1:27">
      <c r="B3661" s="24"/>
      <c r="C3661" s="25"/>
      <c r="E3661" s="26"/>
      <c r="F3661" s="27"/>
      <c r="G3661" s="28"/>
      <c r="H3661" s="27"/>
      <c r="I3661" s="27"/>
      <c r="J3661" s="27"/>
      <c r="K3661" s="27"/>
      <c r="L3661" s="26"/>
      <c r="M3661" s="17"/>
      <c r="N3661" s="17"/>
      <c r="O3661" s="17"/>
      <c r="P3661" s="35"/>
      <c r="Q3661" s="18"/>
      <c r="R3661" s="36"/>
    </row>
    <row r="3662" spans="1:27">
      <c r="A3662" s="9" t="s">
        <v>0</v>
      </c>
      <c r="B3662" s="10"/>
      <c r="C3662" s="9" t="s">
        <v>1</v>
      </c>
      <c r="D3662" s="9" t="s">
        <v>2</v>
      </c>
      <c r="E3662" s="9" t="s">
        <v>3</v>
      </c>
      <c r="F3662" s="11" t="s">
        <v>4</v>
      </c>
      <c r="G3662" s="11" t="s">
        <v>5</v>
      </c>
      <c r="H3662" s="9" t="s">
        <v>6</v>
      </c>
      <c r="I3662" s="11" t="s">
        <v>7</v>
      </c>
      <c r="J3662" s="11" t="s">
        <v>8</v>
      </c>
      <c r="K3662" s="11" t="s">
        <v>9</v>
      </c>
      <c r="L3662" s="11" t="s">
        <v>10</v>
      </c>
      <c r="M3662" s="11" t="s">
        <v>11</v>
      </c>
      <c r="N3662" s="11" t="s">
        <v>12</v>
      </c>
      <c r="O3662" s="11" t="s">
        <v>13</v>
      </c>
      <c r="P3662" s="11" t="s">
        <v>14</v>
      </c>
      <c r="Q3662" s="37" t="s">
        <v>15</v>
      </c>
      <c r="R3662" s="42">
        <f>_xll.ciqfunctions.udf.CIQ(A3663,("IQ_LASTSALEPRICE"))</f>
        <v>11.79</v>
      </c>
      <c r="S3662" s="44"/>
      <c r="U3662" s="37" t="s">
        <v>15</v>
      </c>
      <c r="V3662" s="42">
        <f>_xll.ciqfunctions.udf.CIQ(A3663,("IQ_LASTSALEPRICE"))</f>
        <v>11.79</v>
      </c>
      <c r="W3662" s="44"/>
      <c r="Y3662" s="37" t="s">
        <v>15</v>
      </c>
      <c r="Z3662" s="42">
        <f>_xll.ciqfunctions.udf.CIQ(A3663,("IQ_LASTSALEPRICE"))</f>
        <v>11.79</v>
      </c>
      <c r="AA3662" s="44"/>
    </row>
    <row r="3663" spans="1:27">
      <c r="A3663" s="12" t="str">
        <f>Analysis!B246</f>
        <v>NYSE:NABL</v>
      </c>
      <c r="B3663" s="13">
        <v>1</v>
      </c>
      <c r="C3663" s="14" t="s">
        <v>16</v>
      </c>
      <c r="D3663" s="15" t="e">
        <f>IF(A3671=A3672,_xll.ciqfunctions.udf.CIQ(A3663,"IQ_TOTAL_REV",IQ_FY-10)/I3663,_xll.ciqfunctions.udf.CIQ(A3663, "IQ_TOTAL_REV",IQ_FY-9)/I3663)</f>
        <v>#DIV/0!</v>
      </c>
      <c r="E3663" s="16"/>
      <c r="F3663" s="15">
        <f>IF(A3671=A3672,_xll.ciqfunctions.udf.CIQ(A3663,"IQ_DILUT_EPS_EXCL",IQ_FY-10), _xll.ciqfunctions.udf.CIQ(A3663, "IQ_DILUT_EPS_EXCL",IQ_FY-9))</f>
        <v>0</v>
      </c>
      <c r="G3663" s="15">
        <f>IF(A3671=A3672,_xll.ciqfunctions.udf.CIQ(A3663,"IQ_EBITDA_MARGIN",IQ_FY-10), _xll.ciqfunctions.udf.CIQ(A3663, "IQ_EBITDA_MARGIN",IQ_FY-9))</f>
        <v>0</v>
      </c>
      <c r="H3663" s="15" t="e">
        <f>IF(A3671=A3672,_xll.ciqfunctions.udf.CIQ(A3663,"IQ_TOTAL_DIV_PAID_CF",IQ_FY-10)/-I3663, _xll.ciqfunctions.udf.CIQ(A3663, "IQ_TOTAL_DIV_PAID_CF",IQ_FY-9)/-I3663)</f>
        <v>#DIV/0!</v>
      </c>
      <c r="I3663" s="17">
        <f>IF(A3671=A3672,_xll.ciqfunctions.udf.CIQ(A3663,"IQ_TOTAL_OUTSTANDING_FILING_DATE",IQ_FY-10), _xll.ciqfunctions.udf.CIQ(A3663, "IQ_TOTAL_OUTSTANDING_FILING_DATE",IQ_FY-9))</f>
        <v>0</v>
      </c>
      <c r="J3663" s="17">
        <f>IF(A3671=A3672,_xll.ciqfunctions.udf.CIQ(A3663,"IQ_CASH_OPER",IQ_FY-10), _xll.ciqfunctions.udf.CIQ(A3663, "IQ_CASH_OPER",IQ_FY-9))</f>
        <v>0</v>
      </c>
      <c r="K3663" s="17">
        <f>IF(A3671=A3672,_xll.ciqfunctions.udf.CIQ(A3663,"IQ_CAPEX",IQ_FY-10), _xll.ciqfunctions.udf.CIQ(A3663, "IQ_CAPEX",IQ_FY-9))</f>
        <v>0</v>
      </c>
      <c r="L3663" s="15" t="e">
        <f t="shared" ref="L3663:L3673" si="976">(J3663+K3663)/I3663</f>
        <v>#DIV/0!</v>
      </c>
      <c r="M3663" s="17">
        <f>IF(A3671=A3672,_xll.ciqfunctions.udf.CIQ(A3663,"IQ_TOTAL_DEBT_ISSUED",IQ_FY-10), _xll.ciqfunctions.udf.CIQ(A3663, "IQ_TOTAL_DEBT_ISSUED",IQ_FY-9))</f>
        <v>0</v>
      </c>
      <c r="N3663" s="17">
        <f>IF(A3671=A3672,_xll.ciqfunctions.udf.CIQ(A3663,"IQ_TOTAL_DEBT_REPAID",IQ_FY-10), _xll.ciqfunctions.udf.CIQ(A3663, "IQ_TOTAL_DEBT_REPAID",IQ_FY-9))</f>
        <v>0</v>
      </c>
      <c r="O3663" s="15" t="e">
        <f t="shared" ref="O3663:O3673" si="977">(M3663+N3663)/I3663</f>
        <v>#DIV/0!</v>
      </c>
      <c r="P3663" s="15" t="e">
        <f t="shared" ref="P3663:P3673" si="978">L3663+O3663</f>
        <v>#DIV/0!</v>
      </c>
      <c r="W3663" s="43"/>
      <c r="AA3663" s="43"/>
    </row>
    <row r="3664" spans="1:27">
      <c r="A3664" s="18" t="str">
        <f>_xll.ciqfunctions.udf.CIQ(A3663,"IQ_COMPANY_NAME")</f>
        <v>N-able, Inc.</v>
      </c>
      <c r="B3664" s="13">
        <v>2</v>
      </c>
      <c r="C3664" s="14" t="s">
        <v>17</v>
      </c>
      <c r="D3664" s="15" t="e">
        <f>IF(A3671=A3672,_xll.ciqfunctions.udf.CIQ(A3663,"IQ_TOTAL_REV",IQ_FY-9)/I3664, _xll.ciqfunctions.udf.CIQ(A3663, "IQ_TOTAL_REV",IQ_FY-8)/I3664)</f>
        <v>#DIV/0!</v>
      </c>
      <c r="E3664" s="16" t="e">
        <f t="shared" ref="E3664:E3673" si="979">(D3664-D3663)/D3663</f>
        <v>#DIV/0!</v>
      </c>
      <c r="F3664" s="15">
        <f>IF(A3671=A3672,_xll.ciqfunctions.udf.CIQ(A3663,"IQ_DILUT_EPS_EXCL",IQ_FY-9), _xll.ciqfunctions.udf.CIQ(A3663, "IQ_DILUT_EPS_EXCL",IQ_FY-8))</f>
        <v>0</v>
      </c>
      <c r="G3664" s="15">
        <f>IF(A3671=A3672,_xll.ciqfunctions.udf.CIQ(A3663,"IQ_EBITDA_MARGIN",IQ_FY-9), _xll.ciqfunctions.udf.CIQ(A3663, "IQ_EBITDA_MARGIN",IQ_FY-8))</f>
        <v>0</v>
      </c>
      <c r="H3664" s="15" t="e">
        <f>IF(A3671=A3672,_xll.ciqfunctions.udf.CIQ(A3663,"IQ_TOTAL_DIV_PAID_CF",IQ_FY-9)/-I3664, _xll.ciqfunctions.udf.CIQ(A3663, "IQ_TOTAL_DIV_PAID_CF",IQ_FY-8)/-I3664)</f>
        <v>#DIV/0!</v>
      </c>
      <c r="I3664" s="17">
        <f>IF(A3671=A3672,_xll.ciqfunctions.udf.CIQ(A3663,"IQ_TOTAL_OUTSTANDING_FILING_DATE",IQ_FY-9), _xll.ciqfunctions.udf.CIQ(A3663, "IQ_TOTAL_OUTSTANDING_FILING_DATE",IQ_FY-8))</f>
        <v>0</v>
      </c>
      <c r="J3664" s="17">
        <f>IF(A3671=A3672,_xll.ciqfunctions.udf.CIQ(A3663,"IQ_CASH_OPER",IQ_FY-9), _xll.ciqfunctions.udf.CIQ(A3663, "IQ_CASH_OPER",IQ_FY-8))</f>
        <v>0</v>
      </c>
      <c r="K3664" s="17">
        <f>IF(A3671=A3672,_xll.ciqfunctions.udf.CIQ(A3663,"IQ_CAPEX",IQ_FY-9), _xll.ciqfunctions.udf.CIQ(A3663, "IQ_CAPEX",IQ_FY-8))</f>
        <v>0</v>
      </c>
      <c r="L3664" s="15" t="e">
        <f t="shared" si="976"/>
        <v>#DIV/0!</v>
      </c>
      <c r="M3664" s="17">
        <f>IF(A3671=A3672,_xll.ciqfunctions.udf.CIQ(A3663,"IQ_TOTAL_DEBT_ISSUED",IQ_FY-9), _xll.ciqfunctions.udf.CIQ(A3663, "IQ_TOTAL_DEBT_ISSUED",IQ_FY-8))</f>
        <v>0</v>
      </c>
      <c r="N3664" s="17">
        <f>IF(A3671=A3672,_xll.ciqfunctions.udf.CIQ(A3663,"IQ_TOTAL_DEBT_REPAID",IQ_FY-9), _xll.ciqfunctions.udf.CIQ(A3663, "IQ_TOTAL_DEBT_REPAID",IQ_FY-8))</f>
        <v>0</v>
      </c>
      <c r="O3664" s="15" t="e">
        <f t="shared" si="977"/>
        <v>#DIV/0!</v>
      </c>
      <c r="P3664" s="15" t="e">
        <f t="shared" si="978"/>
        <v>#DIV/0!</v>
      </c>
      <c r="Q3664" s="25" t="s">
        <v>18</v>
      </c>
      <c r="R3664" s="39" t="s">
        <v>19</v>
      </c>
      <c r="S3664" s="1" t="e">
        <f>R3662/((AVERAGE(P3668:P3673))*(1+E3674)^3)</f>
        <v>#DIV/0!</v>
      </c>
      <c r="U3664" s="25" t="s">
        <v>48</v>
      </c>
      <c r="V3664" s="39" t="s">
        <v>19</v>
      </c>
      <c r="W3664" s="1" t="e">
        <f>V3662/((AVERAGE(P3668:P3673))*(1+E3674)^3)</f>
        <v>#DIV/0!</v>
      </c>
      <c r="Y3664" s="25" t="s">
        <v>39</v>
      </c>
      <c r="Z3664" s="39" t="s">
        <v>19</v>
      </c>
      <c r="AA3664" s="1" t="e">
        <f>Z3662/((AVERAGE(P3668:P3673))*(1+E3674)^3)</f>
        <v>#DIV/0!</v>
      </c>
    </row>
    <row r="3665" spans="1:27">
      <c r="B3665" s="13">
        <v>3</v>
      </c>
      <c r="C3665" s="14" t="s">
        <v>20</v>
      </c>
      <c r="D3665" s="15" t="e" cm="1">
        <f t="array" ref="D3665">_xlfn.SINGLE(IF(A3671=A3672,_xll.ciqfunctions.udf.CIQ(A3663,"IQ_TOTAL_REV",IQ_FY-8)/I3665, _xll.ciqfunctions.udf.CIQ(A3663, "IQ_TOTAL_REV",IQ_FY-7)/I3665))</f>
        <v>#DIV/0!</v>
      </c>
      <c r="E3665" s="16" t="e">
        <f t="shared" si="979"/>
        <v>#DIV/0!</v>
      </c>
      <c r="F3665" s="15">
        <f>IF(A3671=A3672,_xll.ciqfunctions.udf.CIQ(A3663,"IQ_DILUT_EPS_EXCL",IQ_FY-8), _xll.ciqfunctions.udf.CIQ(A3663, "IQ_DILUT_EPS_EXCL",IQ_FY-7))</f>
        <v>0</v>
      </c>
      <c r="G3665" s="15">
        <f>IF(A3671=A3672,_xll.ciqfunctions.udf.CIQ(A3663,"IQ_EBITDA_MARGIN",IQ_FY-8), _xll.ciqfunctions.udf.CIQ(A3663, "IQ_EBITDA_MARGIN",IQ_FY-7))</f>
        <v>0</v>
      </c>
      <c r="H3665" s="15" t="e">
        <f>IF(A3671=A3672,_xll.ciqfunctions.udf.CIQ(A3663,"IQ_TOTAL_DIV_PAID_CF",IQ_FY-8)/-I3665, _xll.ciqfunctions.udf.CIQ(A3663, "IQ_TOTAL_DIV_PAID_CF",IQ_FY-7)/-I3665)</f>
        <v>#DIV/0!</v>
      </c>
      <c r="I3665" s="17">
        <f>IF(A3671=A3672,_xll.ciqfunctions.udf.CIQ(A3663,"IQ_TOTAL_OUTSTANDING_FILING_DATE",IQ_FY-8), _xll.ciqfunctions.udf.CIQ(A3663, "IQ_TOTAL_OUTSTANDING_FILING_DATE",IQ_FY-7))</f>
        <v>0</v>
      </c>
      <c r="J3665" s="17">
        <f>IF(A3671=A3672,_xll.ciqfunctions.udf.CIQ(A3663,"IQ_CASH_OPER",IQ_FY-8), _xll.ciqfunctions.udf.CIQ(A3663, "IQ_CASH_OPER",IQ_FY-7))</f>
        <v>0</v>
      </c>
      <c r="K3665" s="17">
        <f>IF(A3671=A3672,_xll.ciqfunctions.udf.CIQ(A3663,"IQ_CAPEX",IQ_FY-8), _xll.ciqfunctions.udf.CIQ(A3663, "IQ_CAPEX",IQ_FY-7))</f>
        <v>0</v>
      </c>
      <c r="L3665" s="15" t="e">
        <f t="shared" si="976"/>
        <v>#DIV/0!</v>
      </c>
      <c r="M3665" s="17">
        <f>IF(A3671=A3672,_xll.ciqfunctions.udf.CIQ(A3663,"IQ_TOTAL_DEBT_ISSUED",IQ_FY-8), _xll.ciqfunctions.udf.CIQ(A3663, "IQ_TOTAL_DEBT_ISSUED",IQ_FY-7))</f>
        <v>0</v>
      </c>
      <c r="N3665" s="17">
        <f>IF(A3671=A3672,_xll.ciqfunctions.udf.CIQ(A3663,"IQ_TOTAL_DEBT_REPAID",IQ_FY-8), _xll.ciqfunctions.udf.CIQ(A3663, "IQ_TOTAL_DEBT_REPAID",IQ_FY-7))</f>
        <v>0</v>
      </c>
      <c r="O3665" s="15" t="e">
        <f t="shared" si="977"/>
        <v>#DIV/0!</v>
      </c>
      <c r="P3665" s="15" t="e">
        <f t="shared" si="978"/>
        <v>#DIV/0!</v>
      </c>
      <c r="Q3665" s="25" t="s">
        <v>21</v>
      </c>
      <c r="R3665" s="38" t="s">
        <v>49</v>
      </c>
      <c r="S3665" s="2">
        <f>(R3662*I3673)/1000</f>
        <v>2.1567134564999995</v>
      </c>
      <c r="U3665" s="25" t="s">
        <v>59</v>
      </c>
      <c r="V3665" s="38" t="s">
        <v>49</v>
      </c>
      <c r="W3665" s="2">
        <f>(V3662*I3673)/1000</f>
        <v>2.1567134564999995</v>
      </c>
      <c r="Y3665" s="25" t="s">
        <v>46</v>
      </c>
      <c r="Z3665" s="38" t="s">
        <v>49</v>
      </c>
      <c r="AA3665" s="2">
        <f>(Z3662*I3673)/1000</f>
        <v>2.1567134564999995</v>
      </c>
    </row>
    <row r="3666" spans="1:27">
      <c r="A3666" s="18"/>
      <c r="B3666" s="13">
        <v>4</v>
      </c>
      <c r="C3666" s="14" t="s">
        <v>22</v>
      </c>
      <c r="D3666" s="15" t="e" cm="1">
        <f t="array" ref="D3666">_xlfn.SINGLE(IF(A3671=A3672,_xll.ciqfunctions.udf.CIQ(A3663,"IQ_TOTAL_REV",IQ_FY-7)/I3666, _xll.ciqfunctions.udf.CIQ(A3663, "IQ_TOTAL_REV",IQ_FY-6)/I3666))</f>
        <v>#DIV/0!</v>
      </c>
      <c r="E3666" s="16" t="e">
        <f t="shared" si="979"/>
        <v>#DIV/0!</v>
      </c>
      <c r="F3666" s="15">
        <f>IF(A3671=A3672,_xll.ciqfunctions.udf.CIQ(A3663,"IQ_DILUT_EPS_EXCL",IQ_FY-7), _xll.ciqfunctions.udf.CIQ(A3663, "IQ_DILUT_EPS_EXCL",IQ_FY-6))</f>
        <v>0</v>
      </c>
      <c r="G3666" s="15">
        <f>IF(A3671=A3672,_xll.ciqfunctions.udf.CIQ(A3663,"IQ_EBITDA_MARGIN",IQ_FY-7), _xll.ciqfunctions.udf.CIQ(A3663, "IQ_EBITDA_MARGIN",IQ_FY-6))</f>
        <v>0</v>
      </c>
      <c r="H3666" s="15" t="e">
        <f>IF(A3671=A3672,_xll.ciqfunctions.udf.CIQ(A3663,"IQ_TOTAL_DIV_PAID_CF",IQ_FY-7)/-I3666, _xll.ciqfunctions.udf.CIQ(A3663, "IQ_TOTAL_DIV_PAID_CF",IQ_FY-6)/-I3666)</f>
        <v>#DIV/0!</v>
      </c>
      <c r="I3666" s="17">
        <f>IF(A3671=A3672,_xll.ciqfunctions.udf.CIQ(A3663,"IQ_TOTAL_OUTSTANDING_FILING_DATE",IQ_FY-7), _xll.ciqfunctions.udf.CIQ(A3663, "IQ_TOTAL_OUTSTANDING_FILING_DATE",IQ_FY-6))</f>
        <v>0</v>
      </c>
      <c r="J3666" s="17">
        <f>IF(A3671=A3672,_xll.ciqfunctions.udf.CIQ(A3663,"IQ_CASH_OPER",IQ_FY-7), _xll.ciqfunctions.udf.CIQ(A3663, "IQ_CASH_OPER",IQ_FY-6))</f>
        <v>0</v>
      </c>
      <c r="K3666" s="17">
        <f>IF(A3671=A3672,_xll.ciqfunctions.udf.CIQ(A3663,"IQ_CAPEX",IQ_FY-7), _xll.ciqfunctions.udf.CIQ(A3663, "IQ_CAPEX",IQ_FY-6))</f>
        <v>0</v>
      </c>
      <c r="L3666" s="15" t="e">
        <f t="shared" si="976"/>
        <v>#DIV/0!</v>
      </c>
      <c r="M3666" s="17">
        <f>IF(A3671=A3672,_xll.ciqfunctions.udf.CIQ(A3663,"IQ_TOTAL_DEBT_ISSUED",IQ_FY-7), _xll.ciqfunctions.udf.CIQ(A3663, "IQ_TOTAL_DEBT_ISSUED",IQ_FY-6))</f>
        <v>0</v>
      </c>
      <c r="N3666" s="17">
        <f>IF(A3671=A3672,_xll.ciqfunctions.udf.CIQ(A3663,"IQ_TOTAL_DEBT_REPAID",IQ_FY-7), _xll.ciqfunctions.udf.CIQ(A3663, "IQ_TOTAL_DEBT_REPAID",IQ_FY-6))</f>
        <v>0</v>
      </c>
      <c r="O3666" s="15" t="e">
        <f t="shared" si="977"/>
        <v>#DIV/0!</v>
      </c>
      <c r="P3666" s="15" t="e">
        <f t="shared" si="978"/>
        <v>#DIV/0!</v>
      </c>
      <c r="Q3666" s="25" t="s">
        <v>23</v>
      </c>
      <c r="R3666" s="38" t="s">
        <v>24</v>
      </c>
      <c r="S3666" s="1" t="e">
        <f>R3662/(AVERAGE(H3668:H3673)*(1+H3674)/(0.5-H3674))</f>
        <v>#DIV/0!</v>
      </c>
      <c r="U3666" s="25" t="s">
        <v>40</v>
      </c>
      <c r="V3666" s="38" t="s">
        <v>24</v>
      </c>
      <c r="W3666" s="1" t="e">
        <f>V3662/(AVERAGE(H3668:H3673)*(1+H3674)/(0.5-H3674))</f>
        <v>#DIV/0!</v>
      </c>
      <c r="Y3666" s="25" t="s">
        <v>47</v>
      </c>
      <c r="Z3666" s="38" t="s">
        <v>24</v>
      </c>
      <c r="AA3666" s="1" t="e">
        <f>Z3662/(AVERAGE(H3668:H3673)*(1+H3674)/(0.5-H3674))</f>
        <v>#DIV/0!</v>
      </c>
    </row>
    <row r="3667" spans="1:27">
      <c r="B3667" s="13">
        <v>5</v>
      </c>
      <c r="C3667" s="14" t="s">
        <v>25</v>
      </c>
      <c r="D3667" s="15" t="e" cm="1">
        <f t="array" ref="D3667">_xlfn.SINGLE(IF(A3671=A3672,_xll.ciqfunctions.udf.CIQ(A3663,"IQ_TOTAL_REV",IQ_FY-6)/I3667, _xll.ciqfunctions.udf.CIQ(A3663, "IQ_TOTAL_REV",IQ_FY-5)/I3667))</f>
        <v>#DIV/0!</v>
      </c>
      <c r="E3667" s="16" t="e">
        <f t="shared" si="979"/>
        <v>#DIV/0!</v>
      </c>
      <c r="F3667" s="15">
        <f>IF(A3671=A3672,_xll.ciqfunctions.udf.CIQ(A3663,"IQ_DILUT_EPS_EXCL",IQ_FY-6), _xll.ciqfunctions.udf.CIQ(A3663, "IQ_DILUT_EPS_EXCL",IQ_FY-5))</f>
        <v>0</v>
      </c>
      <c r="G3667" s="15">
        <f>IF(A3671=A3672,_xll.ciqfunctions.udf.CIQ(A3663,"IQ_EBITDA_MARGIN",IQ_FY-6), _xll.ciqfunctions.udf.CIQ(A3663, "IQ_EBITDA_MARGIN",IQ_FY-5))</f>
        <v>0</v>
      </c>
      <c r="H3667" s="15" t="e">
        <f>IF(A3671=A3672,_xll.ciqfunctions.udf.CIQ(A3663,"IQ_TOTAL_DIV_PAID_CF",IQ_FY-6)/-I3667, _xll.ciqfunctions.udf.CIQ(A3663, "IQ_TOTAL_DIV_PAID_CF",IQ_FY-5)/-I3667)</f>
        <v>#DIV/0!</v>
      </c>
      <c r="I3667" s="17">
        <f>IF(A3671=A3672,_xll.ciqfunctions.udf.CIQ(A3663,"IQ_TOTAL_OUTSTANDING_FILING_DATE",IQ_FY-6), _xll.ciqfunctions.udf.CIQ(A3663, "IQ_TOTAL_OUTSTANDING_FILING_DATE",IQ_FY-5))</f>
        <v>0</v>
      </c>
      <c r="J3667" s="17">
        <f>IF(A3671=A3672,_xll.ciqfunctions.udf.CIQ(A3663,"IQ_CASH_OPER",IQ_FY-6), _xll.ciqfunctions.udf.CIQ(A3663, "IQ_CASH_OPER",IQ_FY-5))</f>
        <v>0</v>
      </c>
      <c r="K3667" s="17">
        <f>IF(A3671=A3672,_xll.ciqfunctions.udf.CIQ(A3663,"IQ_CAPEX",IQ_FY-6), _xll.ciqfunctions.udf.CIQ(A3663, "IQ_CAPEX",IQ_FY-5))</f>
        <v>0</v>
      </c>
      <c r="L3667" s="15" t="e">
        <f t="shared" si="976"/>
        <v>#DIV/0!</v>
      </c>
      <c r="M3667" s="17">
        <f>IF(A3671=A3672,_xll.ciqfunctions.udf.CIQ(A3663,"IQ_TOTAL_DEBT_ISSUED",IQ_FY-6), _xll.ciqfunctions.udf.CIQ(A3663, "IQ_TOTAL_DEBT_ISSUED",IQ_FY-5))</f>
        <v>0</v>
      </c>
      <c r="N3667" s="17">
        <f>IF(A3671=A3672,_xll.ciqfunctions.udf.CIQ(A3663,"IQ_TOTAL_DEBT_REPAID",IQ_FY-6), _xll.ciqfunctions.udf.CIQ(A3663, "IQ_TOTAL_DEBT_REPAID",IQ_FY-5))</f>
        <v>0</v>
      </c>
      <c r="O3667" s="15" t="e">
        <f t="shared" si="977"/>
        <v>#DIV/0!</v>
      </c>
      <c r="P3667" s="15" t="e">
        <f t="shared" si="978"/>
        <v>#DIV/0!</v>
      </c>
      <c r="Q3667" s="18"/>
      <c r="R3667" s="38" t="s">
        <v>50</v>
      </c>
      <c r="S3667" s="3" t="e">
        <f>I3674</f>
        <v>#DIV/0!</v>
      </c>
      <c r="U3667" s="18"/>
      <c r="V3667" s="38" t="s">
        <v>50</v>
      </c>
      <c r="W3667" s="3" t="e">
        <f>I3674</f>
        <v>#DIV/0!</v>
      </c>
      <c r="Y3667" s="18"/>
      <c r="Z3667" s="38" t="s">
        <v>50</v>
      </c>
      <c r="AA3667" s="3" t="e">
        <f>I3674</f>
        <v>#DIV/0!</v>
      </c>
    </row>
    <row r="3668" spans="1:27">
      <c r="B3668" s="13">
        <v>6</v>
      </c>
      <c r="C3668" s="14" t="s">
        <v>26</v>
      </c>
      <c r="D3668" s="15" t="e" cm="1">
        <f t="array" ref="D3668">_xlfn.SINGLE(IF(A3671=A3672,_xll.ciqfunctions.udf.CIQ(A3663,"IQ_TOTAL_REV",IQ_FY-5)/I3668, _xll.ciqfunctions.udf.CIQ(A3663, "IQ_TOTAL_REV",IQ_FY-4)/I3668))</f>
        <v>#DIV/0!</v>
      </c>
      <c r="E3668" s="16" t="e">
        <f t="shared" si="979"/>
        <v>#DIV/0!</v>
      </c>
      <c r="F3668" s="15">
        <f>IF(A3671=A3672,_xll.ciqfunctions.udf.CIQ(A3663,"IQ_DILUT_EPS_EXCL",IQ_FY-5), _xll.ciqfunctions.udf.CIQ(A3663, "IQ_DILUT_EPS_EXCL",IQ_FY-4))</f>
        <v>0</v>
      </c>
      <c r="G3668" s="15">
        <f>IF(A3671=A3672,_xll.ciqfunctions.udf.CIQ(A3663,"IQ_EBITDA_MARGIN",IQ_FY-5), _xll.ciqfunctions.udf.CIQ(A3663, "IQ_EBITDA_MARGIN",IQ_FY-4))</f>
        <v>23.158200000000001</v>
      </c>
      <c r="H3668" s="15" t="e">
        <f>IF(A3671=A3672,_xll.ciqfunctions.udf.CIQ(A3663,"IQ_TOTAL_DIV_PAID_CF",IQ_FY-5)/-I3668, _xll.ciqfunctions.udf.CIQ(A3663, "IQ_TOTAL_DIV_PAID_CF",IQ_FY-4)/-I3668)</f>
        <v>#DIV/0!</v>
      </c>
      <c r="I3668" s="17">
        <f>IF(A3671=A3672,_xll.ciqfunctions.udf.CIQ(A3663,"IQ_TOTAL_OUTSTANDING_FILING_DATE",IQ_FY-5), _xll.ciqfunctions.udf.CIQ(A3663, "IQ_TOTAL_OUTSTANDING_FILING_DATE",IQ_FY-4))</f>
        <v>0</v>
      </c>
      <c r="J3668" s="17">
        <f>IF(A3671=A3672,_xll.ciqfunctions.udf.CIQ(A3663,"IQ_CASH_OPER",IQ_FY-5), _xll.ciqfunctions.udf.CIQ(A3663, "IQ_CASH_OPER",IQ_FY-4))</f>
        <v>52.326000000000001</v>
      </c>
      <c r="K3668" s="17">
        <f>IF(A3671=A3672,_xll.ciqfunctions.udf.CIQ(A3663,"IQ_CAPEX",IQ_FY-5), _xll.ciqfunctions.udf.CIQ(A3663, "IQ_CAPEX",IQ_FY-4))</f>
        <v>-9.4730000000000008</v>
      </c>
      <c r="L3668" s="15" t="e">
        <f t="shared" si="976"/>
        <v>#DIV/0!</v>
      </c>
      <c r="M3668" s="17">
        <f>IF(A3671=A3672,_xll.ciqfunctions.udf.CIQ(A3663,"IQ_TOTAL_DEBT_ISSUED",IQ_FY-5), _xll.ciqfunctions.udf.CIQ(A3663, "IQ_TOTAL_DEBT_ISSUED",IQ_FY-4))</f>
        <v>0</v>
      </c>
      <c r="N3668" s="17">
        <f>IF(A3671=A3672,_xll.ciqfunctions.udf.CIQ(A3663,"IQ_TOTAL_DEBT_REPAID",IQ_FY-5), _xll.ciqfunctions.udf.CIQ(A3663, "IQ_TOTAL_DEBT_REPAID",IQ_FY-4))</f>
        <v>0</v>
      </c>
      <c r="O3668" s="15" t="e">
        <f t="shared" si="977"/>
        <v>#DIV/0!</v>
      </c>
      <c r="P3668" s="15" t="e">
        <f t="shared" si="978"/>
        <v>#DIV/0!</v>
      </c>
      <c r="Q3668" s="25" t="s">
        <v>27</v>
      </c>
      <c r="R3668" s="38" t="s">
        <v>51</v>
      </c>
      <c r="S3668" s="4" t="e">
        <f>AVERAGE(F3668:F3673)/AVERAGE(D3668:D3673)</f>
        <v>#DIV/0!</v>
      </c>
      <c r="U3668" s="25" t="s">
        <v>58</v>
      </c>
      <c r="V3668" s="38" t="s">
        <v>51</v>
      </c>
      <c r="W3668" s="4" t="e">
        <f>AVERAGE(F3668:F3673)/AVERAGE(D3668:D3673)</f>
        <v>#DIV/0!</v>
      </c>
      <c r="Y3668" s="25" t="s">
        <v>56</v>
      </c>
      <c r="Z3668" s="38" t="s">
        <v>51</v>
      </c>
      <c r="AA3668" s="4" t="e">
        <f>AVERAGE(F3668:F3673)/AVERAGE(D3668:D3673)</f>
        <v>#DIV/0!</v>
      </c>
    </row>
    <row r="3669" spans="1:27">
      <c r="A3669" s="18"/>
      <c r="B3669" s="13">
        <v>7</v>
      </c>
      <c r="C3669" s="14" t="s">
        <v>28</v>
      </c>
      <c r="D3669" s="15" cm="1">
        <f t="array" ref="D3669">_xlfn.SINGLE(IF(A3671=A3672,_xll.ciqfunctions.udf.CIQ(A3663,"IQ_TOTAL_REV",IQ_FY-4)/I3669, _xll.ciqfunctions.udf.CIQ(A3663, "IQ_TOTAL_REV",IQ_FY-3)/I3669))</f>
        <v>1.6665275353520022</v>
      </c>
      <c r="E3669" s="16" t="e">
        <f t="shared" si="979"/>
        <v>#DIV/0!</v>
      </c>
      <c r="F3669" s="15">
        <f>IF(A3671=A3672,_xll.ciqfunctions.udf.CIQ(A3663,"IQ_DILUT_EPS_EXCL",IQ_FY-4), _xll.ciqfunctions.udf.CIQ(A3663, "IQ_DILUT_EPS_EXCL",IQ_FY-3))</f>
        <v>-0.02</v>
      </c>
      <c r="G3669" s="15">
        <f>IF(A3671=A3672,_xll.ciqfunctions.udf.CIQ(A3663,"IQ_EBITDA_MARGIN",IQ_FY-4), _xll.ciqfunctions.udf.CIQ(A3663, "IQ_EBITDA_MARGIN",IQ_FY-3))</f>
        <v>25.305199999999999</v>
      </c>
      <c r="H3669" s="15">
        <f>IF(A3671=A3672,_xll.ciqfunctions.udf.CIQ(A3663,"IQ_TOTAL_DIV_PAID_CF",IQ_FY-4)/-I3669, _xll.ciqfunctions.udf.CIQ(A3663, "IQ_TOTAL_DIV_PAID_CF",IQ_FY-3)/-I3669)</f>
        <v>0</v>
      </c>
      <c r="I3669" s="17">
        <f>IF(A3671=A3672,_xll.ciqfunctions.udf.CIQ(A3663,"IQ_TOTAL_OUTSTANDING_FILING_DATE",IQ_FY-4), _xll.ciqfunctions.udf.CIQ(A3663, "IQ_TOTAL_OUTSTANDING_FILING_DATE",IQ_FY-3))</f>
        <v>158.124</v>
      </c>
      <c r="J3669" s="17">
        <f>IF(A3671=A3672,_xll.ciqfunctions.udf.CIQ(A3663,"IQ_CASH_OPER",IQ_FY-4), _xll.ciqfunctions.udf.CIQ(A3663, "IQ_CASH_OPER",IQ_FY-3))</f>
        <v>25.54</v>
      </c>
      <c r="K3669" s="17">
        <f>IF(A3671=A3672,_xll.ciqfunctions.udf.CIQ(A3663,"IQ_CAPEX",IQ_FY-4), _xll.ciqfunctions.udf.CIQ(A3663, "IQ_CAPEX",IQ_FY-3))</f>
        <v>-5.7930000000000001</v>
      </c>
      <c r="L3669" s="15">
        <f t="shared" si="976"/>
        <v>0.12488300321266854</v>
      </c>
      <c r="M3669" s="17">
        <f>IF(A3671=A3672,_xll.ciqfunctions.udf.CIQ(A3663,"IQ_TOTAL_DEBT_ISSUED",IQ_FY-4), _xll.ciqfunctions.udf.CIQ(A3663, "IQ_TOTAL_DEBT_ISSUED",IQ_FY-3))</f>
        <v>0</v>
      </c>
      <c r="N3669" s="17">
        <f>IF(A3671=A3672,_xll.ciqfunctions.udf.CIQ(A3663,"IQ_TOTAL_DEBT_REPAID",IQ_FY-4), _xll.ciqfunctions.udf.CIQ(A3663, "IQ_TOTAL_DEBT_REPAID",IQ_FY-3))</f>
        <v>-55.6</v>
      </c>
      <c r="O3669" s="15">
        <f t="shared" si="977"/>
        <v>-0.35162277706104073</v>
      </c>
      <c r="P3669" s="15">
        <f t="shared" si="978"/>
        <v>-0.22673977384837218</v>
      </c>
      <c r="Q3669" s="18"/>
      <c r="R3669" s="38" t="s">
        <v>29</v>
      </c>
      <c r="S3669" s="4" t="e">
        <f>(AVERAGE(P3668:P3673)/_xlfn.STDEV.P(P3668:P3673))/(IF(A3671=A3672,(_xlfn.SINGLE(_xll.ciqfunctions.udf.CIQ(A3663,"IQ_total_assets",IQ_FY)) - _xlfn.SINGLE(_xll.ciqfunctions.udf.CIQ(A3663,"iq_gw_intan", IQ_FY)))/I3673, (_xlfn.SINGLE(_xll.ciqfunctions.udf.CIQ(A3663, "IQ_total_assets",IQ_LTM))-_xlfn.SINGLE(_xll.ciqfunctions.udf.CIQ(A3663,"iq_gw_intan",IQ_LTM)))/I3673))</f>
        <v>#DIV/0!</v>
      </c>
      <c r="U3669" s="18"/>
      <c r="V3669" s="38" t="s">
        <v>29</v>
      </c>
      <c r="W3669" s="4" t="e">
        <f>(AVERAGE(P3668:P3673)/_xlfn.STDEV.P(P3668:P3673))/(IF(A3671=A3672,(_xlfn.SINGLE(_xll.ciqfunctions.udf.CIQ(A3663,"IQ_total_assets",IQ_FY)) - _xlfn.SINGLE(_xll.ciqfunctions.udf.CIQ(A3663,"iq_gw_intan", IQ_FY)))/I3673, (_xlfn.SINGLE(_xll.ciqfunctions.udf.CIQ(A3663, "IQ_total_assets",IQ_LTM))-_xlfn.SINGLE(_xll.ciqfunctions.udf.CIQ(A3663,"iq_gw_intan",IQ_LTM)))/I3673))</f>
        <v>#DIV/0!</v>
      </c>
      <c r="Y3669" s="18"/>
      <c r="Z3669" s="38" t="s">
        <v>29</v>
      </c>
      <c r="AA3669" s="4" t="e">
        <f>(AVERAGE(P3668:P3673)/_xlfn.STDEV.P(P3668:P3673))/(IF(A3671=A3672,(_xlfn.SINGLE(_xll.ciqfunctions.udf.CIQ(A3663,"IQ_total_assets",IQ_FY)) - _xlfn.SINGLE(_xll.ciqfunctions.udf.CIQ(A3663,"iq_gw_intan", IQ_FY)))/I3673, (_xlfn.SINGLE(_xll.ciqfunctions.udf.CIQ(A3663, "IQ_total_assets",IQ_LTM))-_xlfn.SINGLE(_xll.ciqfunctions.udf.CIQ(A3663,"iq_gw_intan",IQ_LTM)))/I3673))</f>
        <v>#DIV/0!</v>
      </c>
    </row>
    <row r="3670" spans="1:27">
      <c r="A3670" s="18"/>
      <c r="B3670" s="13">
        <v>8</v>
      </c>
      <c r="C3670" s="14" t="s">
        <v>30</v>
      </c>
      <c r="D3670" s="15" cm="1">
        <f t="array" ref="D3670">_xlfn.SINGLE(IF(A3671=A3672,_xll.ciqfunctions.udf.CIQ(A3663,"IQ_TOTAL_REV",IQ_FY-3)/I3670, _xll.ciqfunctions.udf.CIQ(A3663, "IQ_TOTAL_REV",IQ_FY-2)/I3670))</f>
        <v>1.9154018365333536</v>
      </c>
      <c r="E3670" s="16">
        <f t="shared" si="979"/>
        <v>0.14933704718463262</v>
      </c>
      <c r="F3670" s="15">
        <f>IF(A3671=A3672,_xll.ciqfunctions.udf.CIQ(A3663,"IQ_DILUT_EPS_EXCL",IQ_FY-3), _xll.ciqfunctions.udf.CIQ(A3663, "IQ_DILUT_EPS_EXCL",IQ_FY-2))</f>
        <v>-0.05</v>
      </c>
      <c r="G3670" s="15">
        <f>IF(A3671=A3672,_xll.ciqfunctions.udf.CIQ(A3663,"IQ_EBITDA_MARGIN",IQ_FY-3), _xll.ciqfunctions.udf.CIQ(A3663, "IQ_EBITDA_MARGIN",IQ_FY-2))</f>
        <v>21.343399999999999</v>
      </c>
      <c r="H3670" s="15">
        <f>IF(A3671=A3672,_xll.ciqfunctions.udf.CIQ(A3663,"IQ_TOTAL_DIV_PAID_CF",IQ_FY-3)/-I3670, _xll.ciqfunctions.udf.CIQ(A3663, "IQ_TOTAL_DIV_PAID_CF",IQ_FY-2)/-I3670)</f>
        <v>0</v>
      </c>
      <c r="I3670" s="17">
        <f>IF(A3671=A3672,_xll.ciqfunctions.udf.CIQ(A3663,"IQ_TOTAL_OUTSTANDING_FILING_DATE",IQ_FY-3), _xll.ciqfunctions.udf.CIQ(A3663, "IQ_TOTAL_OUTSTANDING_FILING_DATE",IQ_FY-2))</f>
        <v>158.124</v>
      </c>
      <c r="J3670" s="17">
        <f>IF(A3671=A3672,_xll.ciqfunctions.udf.CIQ(A3663,"IQ_CASH_OPER",IQ_FY-3), _xll.ciqfunctions.udf.CIQ(A3663, "IQ_CASH_OPER",IQ_FY-2))</f>
        <v>85.665000000000006</v>
      </c>
      <c r="K3670" s="17">
        <f>IF(A3671=A3672,_xll.ciqfunctions.udf.CIQ(A3663,"IQ_CAPEX",IQ_FY-3), _xll.ciqfunctions.udf.CIQ(A3663, "IQ_CAPEX",IQ_FY-2))</f>
        <v>-11.919</v>
      </c>
      <c r="L3670" s="15">
        <f t="shared" si="976"/>
        <v>0.466380815056538</v>
      </c>
      <c r="M3670" s="17">
        <f>IF(A3671=A3672,_xll.ciqfunctions.udf.CIQ(A3663,"IQ_TOTAL_DEBT_ISSUED",IQ_FY-3), _xll.ciqfunctions.udf.CIQ(A3663, "IQ_TOTAL_DEBT_ISSUED",IQ_FY-2))</f>
        <v>0</v>
      </c>
      <c r="N3670" s="17">
        <f>IF(A3671=A3672,_xll.ciqfunctions.udf.CIQ(A3663,"IQ_TOTAL_DEBT_REPAID",IQ_FY-3), _xll.ciqfunctions.udf.CIQ(A3663, "IQ_TOTAL_DEBT_REPAID",IQ_FY-2))</f>
        <v>-21.75</v>
      </c>
      <c r="O3670" s="15">
        <f t="shared" si="977"/>
        <v>-0.1375502769977992</v>
      </c>
      <c r="P3670" s="15">
        <f t="shared" si="978"/>
        <v>0.3288305380587388</v>
      </c>
      <c r="Q3670" s="18"/>
      <c r="R3670" s="39" t="s">
        <v>31</v>
      </c>
      <c r="S3670" s="5" t="e">
        <f>IF(NOT(D3663&gt;0),FALSE,SLOPE(G3663:G3673,B3663:B3673))</f>
        <v>#DIV/0!</v>
      </c>
      <c r="U3670" s="18"/>
      <c r="V3670" s="39" t="s">
        <v>31</v>
      </c>
      <c r="W3670" s="5" t="e">
        <f>IF(NOT(D3663&gt;0),FALSE,SLOPE(G3663:G3673,B3663:B3673))</f>
        <v>#DIV/0!</v>
      </c>
      <c r="Y3670" s="18"/>
      <c r="Z3670" s="39" t="s">
        <v>31</v>
      </c>
      <c r="AA3670" s="5" t="e">
        <f>IF(NOT(L3663&gt;0),FALSE,SLOPE(O3663:O3673,J3663:J3673))</f>
        <v>#DIV/0!</v>
      </c>
    </row>
    <row r="3671" spans="1:27">
      <c r="A3671" s="19">
        <f>_xll.ciqfunctions.udf.CIQ(A3663,"IQ_TOTAL_REV",IQ_FY)</f>
        <v>371.76900000000001</v>
      </c>
      <c r="B3671" s="13">
        <v>9</v>
      </c>
      <c r="C3671" s="14" t="s">
        <v>32</v>
      </c>
      <c r="D3671" s="15" cm="1">
        <f t="array" ref="D3671">_xlfn.SINGLE(IF(A3671=A3672,_xll.ciqfunctions.udf.CIQ(A3663,"IQ_TOTAL_REV",IQ_FY-2)/I3671, _xll.ciqfunctions.udf.CIQ(A3663, "IQ_TOTAL_REV",IQ_FY-1)/I3671))</f>
        <v>1.9264380851742793</v>
      </c>
      <c r="E3671" s="16">
        <f t="shared" si="979"/>
        <v>5.7618450762791122E-3</v>
      </c>
      <c r="F3671" s="15">
        <f>IF(A3671=A3672,_xll.ciqfunctions.udf.CIQ(A3663,"IQ_DILUT_EPS_EXCL",IQ_FY-2), _xll.ciqfunctions.udf.CIQ(A3663, "IQ_DILUT_EPS_EXCL",IQ_FY-1))</f>
        <v>6.7000000000000002E-4</v>
      </c>
      <c r="G3671" s="15">
        <f>IF(A3671=A3672,_xll.ciqfunctions.udf.CIQ(A3663,"IQ_EBITDA_MARGIN",IQ_FY-2), _xll.ciqfunctions.udf.CIQ(A3663, "IQ_EBITDA_MARGIN",IQ_FY-1))</f>
        <v>17.168399999999998</v>
      </c>
      <c r="H3671" s="15">
        <f>IF(A3671=A3672,_xll.ciqfunctions.udf.CIQ(A3663,"IQ_TOTAL_DIV_PAID_CF",IQ_FY-2)/-I3671, _xll.ciqfunctions.udf.CIQ(A3663, "IQ_TOTAL_DIV_PAID_CF",IQ_FY-1)/-I3671)</f>
        <v>0</v>
      </c>
      <c r="I3671" s="17">
        <f>IF(A3671=A3672,_xll.ciqfunctions.udf.CIQ(A3663,"IQ_TOTAL_OUTSTANDING_FILING_DATE",IQ_FY-2), _xll.ciqfunctions.udf.CIQ(A3663, "IQ_TOTAL_OUTSTANDING_FILING_DATE",IQ_FY-1))</f>
        <v>179.84279000000001</v>
      </c>
      <c r="J3671" s="17">
        <f>IF(A3671=A3672,_xll.ciqfunctions.udf.CIQ(A3663,"IQ_CASH_OPER",IQ_FY-2), _xll.ciqfunctions.udf.CIQ(A3663, "IQ_CASH_OPER",IQ_FY-1))</f>
        <v>45.341000000000001</v>
      </c>
      <c r="K3671" s="17">
        <f>IF(A3671=A3672,_xll.ciqfunctions.udf.CIQ(A3663,"IQ_CAPEX",IQ_FY-2), _xll.ciqfunctions.udf.CIQ(A3663, "IQ_CAPEX",IQ_FY-1))</f>
        <v>-30.664000000000001</v>
      </c>
      <c r="L3671" s="15">
        <f t="shared" si="976"/>
        <v>8.1610166301356868E-2</v>
      </c>
      <c r="M3671" s="17">
        <f>IF(A3671=A3672,_xll.ciqfunctions.udf.CIQ(A3663,"IQ_TOTAL_DEBT_ISSUED",IQ_FY-2), _xll.ciqfunctions.udf.CIQ(A3663, "IQ_TOTAL_DEBT_ISSUED",IQ_FY-1))</f>
        <v>350</v>
      </c>
      <c r="N3671" s="17">
        <f>IF(A3671=A3672,_xll.ciqfunctions.udf.CIQ(A3663,"IQ_TOTAL_DEBT_REPAID",IQ_FY-2), _xll.ciqfunctions.udf.CIQ(A3663, "IQ_TOTAL_DEBT_REPAID",IQ_FY-1))</f>
        <v>-373.52499999999998</v>
      </c>
      <c r="O3671" s="15">
        <f t="shared" si="977"/>
        <v>-0.13080869130199757</v>
      </c>
      <c r="P3671" s="15">
        <f t="shared" si="978"/>
        <v>-4.9198525000640703E-2</v>
      </c>
      <c r="Q3671" s="25" t="s">
        <v>33</v>
      </c>
      <c r="R3671" s="38" t="s">
        <v>52</v>
      </c>
      <c r="S3671" s="4" t="e">
        <f>(AVERAGE(O3668:O3673)/AVERAGE(P3668:P3673))</f>
        <v>#DIV/0!</v>
      </c>
      <c r="U3671" s="25" t="s">
        <v>54</v>
      </c>
      <c r="V3671" s="38" t="s">
        <v>52</v>
      </c>
      <c r="W3671" s="4" t="e">
        <f>(AVERAGE(O3668:O3673)/AVERAGE(P3668:P3673))</f>
        <v>#DIV/0!</v>
      </c>
      <c r="Y3671" s="25" t="s">
        <v>60</v>
      </c>
      <c r="Z3671" s="38" t="s">
        <v>52</v>
      </c>
      <c r="AA3671" s="4" t="e">
        <f>(AVERAGE(O3668:O3673)/AVERAGE(P3668:P3673))</f>
        <v>#DIV/0!</v>
      </c>
    </row>
    <row r="3672" spans="1:27">
      <c r="A3672" s="19">
        <f>_xll.ciqfunctions.udf.CIQ(A3663,"IQ_TOTAL_REV",IQ_LTM)</f>
        <v>409.22</v>
      </c>
      <c r="B3672" s="13">
        <v>10</v>
      </c>
      <c r="C3672" s="14" t="s">
        <v>34</v>
      </c>
      <c r="D3672" s="15" cm="1">
        <f t="array" ref="D3672">_xlfn.SINGLE(IF(A3671=A3672,_xll.ciqfunctions.udf.CIQ(A3663,"IQ_TOTAL_REV",IQ_FY-1)/I3672, _xll.ciqfunctions.udf.CIQ(A3663, "IQ_TOTAL_REV",IQ_FY)/I3672))</f>
        <v>2.0422972057198758</v>
      </c>
      <c r="E3672" s="16">
        <f t="shared" si="979"/>
        <v>6.0141626890186359E-2</v>
      </c>
      <c r="F3672" s="15">
        <f>IF(A3671=A3672,_xll.ciqfunctions.udf.CIQ(A3663,"IQ_DILUT_EPS_EXCL",IQ_FY-1), _xll.ciqfunctions.udf.CIQ(A3663, "IQ_DILUT_EPS_EXCL",IQ_FY))</f>
        <v>0.09</v>
      </c>
      <c r="G3672" s="15">
        <f>IF(A3671=A3672,_xll.ciqfunctions.udf.CIQ(A3663,"IQ_EBITDA_MARGIN",IQ_FY-1), _xll.ciqfunctions.udf.CIQ(A3663, "IQ_EBITDA_MARGIN",IQ_FY))</f>
        <v>18.750800000000002</v>
      </c>
      <c r="H3672" s="15">
        <f>IF(A3671=A3672,_xll.ciqfunctions.udf.CIQ(A3663,"IQ_TOTAL_DIV_PAID_CF",IQ_FY-1)/-I3672, _xll.ciqfunctions.udf.CIQ(A3663, "IQ_TOTAL_DIV_PAID_CF",IQ_FY)/-I3672)</f>
        <v>0</v>
      </c>
      <c r="I3672" s="17">
        <f>IF(A3671=A3672,_xll.ciqfunctions.udf.CIQ(A3663,"IQ_TOTAL_OUTSTANDING_FILING_DATE",IQ_FY-1), _xll.ciqfunctions.udf.CIQ(A3663, "IQ_TOTAL_OUTSTANDING_FILING_DATE",IQ_FY))</f>
        <v>182.03471999999999</v>
      </c>
      <c r="J3672" s="17">
        <f>IF(A3671=A3672,_xll.ciqfunctions.udf.CIQ(A3663,"IQ_CASH_OPER",IQ_FY-1), _xll.ciqfunctions.udf.CIQ(A3663, "IQ_CASH_OPER",IQ_FY))</f>
        <v>71.412999999999997</v>
      </c>
      <c r="K3672" s="17">
        <f>IF(A3671=A3672,_xll.ciqfunctions.udf.CIQ(A3663,"IQ_CAPEX",IQ_FY-1), _xll.ciqfunctions.udf.CIQ(A3663, "IQ_CAPEX",IQ_FY))</f>
        <v>-12.834</v>
      </c>
      <c r="L3672" s="15">
        <f t="shared" si="976"/>
        <v>0.32180124758617473</v>
      </c>
      <c r="M3672" s="17">
        <f>IF(A3671=A3672,_xll.ciqfunctions.udf.CIQ(A3663,"IQ_TOTAL_DEBT_ISSUED",IQ_FY-1), _xll.ciqfunctions.udf.CIQ(A3663, "IQ_TOTAL_DEBT_ISSUED",IQ_FY))</f>
        <v>0</v>
      </c>
      <c r="N3672" s="17">
        <f>IF(A3671=A3672,_xll.ciqfunctions.udf.CIQ(A3663,"IQ_TOTAL_DEBT_REPAID",IQ_FY-1), _xll.ciqfunctions.udf.CIQ(A3663, "IQ_TOTAL_DEBT_REPAID",IQ_FY))</f>
        <v>-3.5</v>
      </c>
      <c r="O3672" s="15">
        <f t="shared" si="977"/>
        <v>-1.922710129144594E-2</v>
      </c>
      <c r="P3672" s="15">
        <f t="shared" si="978"/>
        <v>0.30257414629472879</v>
      </c>
      <c r="Q3672" s="25" t="s">
        <v>44</v>
      </c>
      <c r="R3672" s="38" t="s">
        <v>35</v>
      </c>
      <c r="S3672" s="1">
        <f>_xll.ciqfunctions.udf.CIQ(A3663,"IQ_TEV_EBITDA")</f>
        <v>26.39648</v>
      </c>
      <c r="U3672" s="25" t="s">
        <v>55</v>
      </c>
      <c r="V3672" s="38" t="s">
        <v>53</v>
      </c>
      <c r="W3672" s="1" t="e">
        <f>V3662/(AVERAGE(D3668:D3673)/_xlfn.STDEV.P(E3668:E3673))</f>
        <v>#DIV/0!</v>
      </c>
      <c r="Y3672" s="25" t="s">
        <v>57</v>
      </c>
      <c r="Z3672" s="38" t="s">
        <v>53</v>
      </c>
      <c r="AA3672" s="1" t="e">
        <f>Z3662/(AVERAGE(D3668:D3673)/_xlfn.STDEV.P(E3668:E3673))</f>
        <v>#DIV/0!</v>
      </c>
    </row>
    <row r="3673" spans="1:27">
      <c r="B3673" s="13">
        <v>11</v>
      </c>
      <c r="C3673" s="20" t="s">
        <v>36</v>
      </c>
      <c r="D3673" s="21" cm="1">
        <f t="array" ref="D3673">_xlfn.SINGLE(IF(A3671=A3672,_xll.ciqfunctions.udf.CIQ(A3663,"IQ_TOTAL_REV",IQ_FY)/I3673, _xll.ciqfunctions.udf.CIQ(A3663, "IQ_TOTAL_REV",IQ_LTM)/I3673))</f>
        <v>2.2370629651607596</v>
      </c>
      <c r="E3673" s="22">
        <f t="shared" si="979"/>
        <v>9.5366021603223078E-2</v>
      </c>
      <c r="F3673" s="21">
        <f>IF(A3671=A3672,_xll.ciqfunctions.udf.CIQ(A3663,"IQ_DILUT_EPS_EXCL",IQ_FY), _xll.ciqfunctions.udf.CIQ(A3663, "IQ_DILUT_EPS_EXCL",IQ_LTM))</f>
        <v>0.11584</v>
      </c>
      <c r="G3673" s="21">
        <f>IF(A3671=A3672,_xll.ciqfunctions.udf.CIQ(A3663,"IQ_EBITDA_MARGIN",IQ_FY), _xll.ciqfunctions.udf.CIQ(A3663, "IQ_EBITDA_MARGIN",IQ_LTM))</f>
        <v>20.051300000000001</v>
      </c>
      <c r="H3673" s="21">
        <f>IF(A3671=A3672,_xll.ciqfunctions.udf.CIQ(A3663,"IQ_TOTAL_DIV_PAID_CF",IQ_FY)/-I3673, _xll.ciqfunctions.udf.CIQ(A3663, "IQ_TOTAL_DIV_PAID_CF",IQ_LTM)/-I3673)</f>
        <v>0</v>
      </c>
      <c r="I3673" s="23">
        <f>IF(A3671=A3672,_xll.ciqfunctions.udf.CIQ(A3663,"IQ_TOTAL_OUTSTANDING_FILING_DATE",IQ_FY),_xll.ciqfunctions.udf.CIQ(A3663,"IQ_sharesoutstanding"))</f>
        <v>182.92734999999999</v>
      </c>
      <c r="J3673" s="23">
        <f>IF(A3671=A3672,_xll.ciqfunctions.udf.CIQ(A3663,"IQ_CASH_OPER",IQ_FY), _xll.ciqfunctions.udf.CIQ(A3663, "IQ_CASH_OPER",IQ_LTM))</f>
        <v>77.266999999999996</v>
      </c>
      <c r="K3673" s="23">
        <f>IF(A3671=A3672,_xll.ciqfunctions.udf.CIQ(A3663,"IQ_CAPEX",IQ_FY), _xll.ciqfunctions.udf.CIQ(A3663, "IQ_CAPEX",IQ_LTM))</f>
        <v>-13.631</v>
      </c>
      <c r="L3673" s="21">
        <f t="shared" si="976"/>
        <v>0.34787580971352833</v>
      </c>
      <c r="M3673" s="23">
        <f>IF(A3671=A3672,_xll.ciqfunctions.udf.CIQ(A3663,"IQ_TOTAL_DEBT_ISSUED",IQ_FY), _xll.ciqfunctions.udf.CIQ(A3663, "IQ_TOTAL_DEBT_ISSUED",IQ_LTM))</f>
        <v>0</v>
      </c>
      <c r="N3673" s="23">
        <f>IF(A3671=A3672,_xll.ciqfunctions.udf.CIQ(A3663,"IQ_TOTAL_DEBT_REPAID",IQ_FY), _xll.ciqfunctions.udf.CIQ(A3663, "IQ_TOTAL_DEBT_REPAID",IQ_LTM))</f>
        <v>-3.5</v>
      </c>
      <c r="O3673" s="21">
        <f t="shared" si="977"/>
        <v>-1.9133278867266158E-2</v>
      </c>
      <c r="P3673" s="21">
        <f t="shared" si="978"/>
        <v>0.32874253084626215</v>
      </c>
      <c r="Q3673" s="25" t="s">
        <v>45</v>
      </c>
      <c r="S3673" s="45"/>
      <c r="U3673" s="25"/>
      <c r="W3673" s="45"/>
      <c r="Y3673" s="25"/>
      <c r="AA3673" s="45"/>
    </row>
    <row r="3674" spans="1:27">
      <c r="B3674" s="24"/>
      <c r="C3674" s="25" t="s">
        <v>37</v>
      </c>
      <c r="E3674" s="26" t="e">
        <f>((D3673/D3668)^(1/5))-1</f>
        <v>#DIV/0!</v>
      </c>
      <c r="F3674" s="27" t="e">
        <f>((F3673/F3668)^(1/5))-1</f>
        <v>#DIV/0!</v>
      </c>
      <c r="G3674" s="28"/>
      <c r="H3674" s="27" t="e">
        <f>((H3673/H3668)^(1/5))-1</f>
        <v>#DIV/0!</v>
      </c>
      <c r="I3674" s="27" t="e">
        <f>((I3673/I3668)^(1/5))-1</f>
        <v>#DIV/0!</v>
      </c>
      <c r="J3674" s="27"/>
      <c r="K3674" s="27"/>
      <c r="L3674" s="26" t="e">
        <f>((L3673/L3668)^(1/5))-1</f>
        <v>#DIV/0!</v>
      </c>
      <c r="M3674" s="26"/>
      <c r="N3674" s="26"/>
      <c r="O3674" s="26"/>
      <c r="P3674" s="26" t="e">
        <f>((P3673/P3668)^(1/5))-1</f>
        <v>#DIV/0!</v>
      </c>
      <c r="Q3674" s="18"/>
      <c r="R3674" s="36"/>
      <c r="S3674" s="45"/>
      <c r="U3674" s="18"/>
      <c r="V3674" s="36"/>
      <c r="W3674" s="45"/>
      <c r="Y3674" s="18"/>
      <c r="Z3674" s="36"/>
      <c r="AA3674" s="45"/>
    </row>
    <row r="3675" spans="1:27">
      <c r="A3675" s="29"/>
      <c r="B3675" s="30"/>
      <c r="C3675" s="31" t="s">
        <v>38</v>
      </c>
      <c r="D3675" s="29"/>
      <c r="E3675" s="32" t="e">
        <f>((D3673/D3663)^(1/10))-1</f>
        <v>#DIV/0!</v>
      </c>
      <c r="F3675" s="33" t="e">
        <f>((F3673/F3663)^(1/10))-1</f>
        <v>#DIV/0!</v>
      </c>
      <c r="G3675" s="34"/>
      <c r="H3675" s="33" t="e">
        <f>((H3673/H3663)^(1/10))-1</f>
        <v>#DIV/0!</v>
      </c>
      <c r="I3675" s="33" t="e">
        <f>((I3673/I3663)^(1/10))-1</f>
        <v>#DIV/0!</v>
      </c>
      <c r="J3675" s="33"/>
      <c r="K3675" s="33"/>
      <c r="L3675" s="32" t="e">
        <f>((L3673/L3663)^(1/10))-1</f>
        <v>#DIV/0!</v>
      </c>
      <c r="M3675" s="32"/>
      <c r="N3675" s="32"/>
      <c r="O3675" s="32"/>
      <c r="P3675" s="32" t="e">
        <f>((P3673/P3663)^(1/10))-1</f>
        <v>#DIV/0!</v>
      </c>
      <c r="Q3675" s="40"/>
      <c r="R3675" s="41"/>
      <c r="S3675" s="46"/>
      <c r="U3675" s="40"/>
      <c r="V3675" s="41"/>
      <c r="W3675" s="46"/>
      <c r="Y3675" s="40"/>
      <c r="Z3675" s="41"/>
      <c r="AA3675" s="46"/>
    </row>
    <row r="3676" spans="1:27">
      <c r="B3676" s="24"/>
      <c r="C3676" s="25"/>
      <c r="E3676" s="26"/>
      <c r="F3676" s="27"/>
      <c r="G3676" s="28"/>
      <c r="H3676" s="27"/>
      <c r="I3676" s="27"/>
      <c r="J3676" s="27"/>
      <c r="K3676" s="27"/>
      <c r="L3676" s="26"/>
      <c r="M3676" s="17"/>
      <c r="N3676" s="17"/>
      <c r="O3676" s="17"/>
      <c r="P3676" s="35"/>
      <c r="Q3676" s="18"/>
      <c r="R3676" s="36"/>
    </row>
    <row r="3677" spans="1:27">
      <c r="A3677" s="9" t="s">
        <v>0</v>
      </c>
      <c r="B3677" s="10"/>
      <c r="C3677" s="9" t="s">
        <v>1</v>
      </c>
      <c r="D3677" s="9" t="s">
        <v>2</v>
      </c>
      <c r="E3677" s="9" t="s">
        <v>3</v>
      </c>
      <c r="F3677" s="11" t="s">
        <v>4</v>
      </c>
      <c r="G3677" s="11" t="s">
        <v>5</v>
      </c>
      <c r="H3677" s="9" t="s">
        <v>6</v>
      </c>
      <c r="I3677" s="11" t="s">
        <v>7</v>
      </c>
      <c r="J3677" s="11" t="s">
        <v>8</v>
      </c>
      <c r="K3677" s="11" t="s">
        <v>9</v>
      </c>
      <c r="L3677" s="11" t="s">
        <v>10</v>
      </c>
      <c r="M3677" s="11" t="s">
        <v>11</v>
      </c>
      <c r="N3677" s="11" t="s">
        <v>12</v>
      </c>
      <c r="O3677" s="11" t="s">
        <v>13</v>
      </c>
      <c r="P3677" s="11" t="s">
        <v>14</v>
      </c>
      <c r="Q3677" s="37" t="s">
        <v>15</v>
      </c>
      <c r="R3677" s="42">
        <f>_xll.ciqfunctions.udf.CIQ(A3678,("IQ_LASTSALEPRICE"))</f>
        <v>38.174999999999997</v>
      </c>
      <c r="S3677" s="44"/>
      <c r="U3677" s="37" t="s">
        <v>15</v>
      </c>
      <c r="V3677" s="42">
        <f>_xll.ciqfunctions.udf.CIQ(A3678,("IQ_LASTSALEPRICE"))</f>
        <v>38.174999999999997</v>
      </c>
      <c r="W3677" s="44"/>
      <c r="Y3677" s="37" t="s">
        <v>15</v>
      </c>
      <c r="Z3677" s="42">
        <f>_xll.ciqfunctions.udf.CIQ(A3678,("IQ_LASTSALEPRICE"))</f>
        <v>38.174999999999997</v>
      </c>
      <c r="AA3677" s="44"/>
    </row>
    <row r="3678" spans="1:27">
      <c r="A3678" s="12" t="str">
        <f>Analysis!B247</f>
        <v>NasdaqGS:INTA</v>
      </c>
      <c r="B3678" s="13">
        <v>1</v>
      </c>
      <c r="C3678" s="14" t="s">
        <v>16</v>
      </c>
      <c r="D3678" s="15" t="e">
        <f>IF(A3686=A3687,_xll.ciqfunctions.udf.CIQ(A3678,"IQ_TOTAL_REV",IQ_FY-10)/I3678,_xll.ciqfunctions.udf.CIQ(A3678, "IQ_TOTAL_REV",IQ_FY-9)/I3678)</f>
        <v>#DIV/0!</v>
      </c>
      <c r="E3678" s="16"/>
      <c r="F3678" s="15">
        <f>IF(A3686=A3687,_xll.ciqfunctions.udf.CIQ(A3678,"IQ_DILUT_EPS_EXCL",IQ_FY-10), _xll.ciqfunctions.udf.CIQ(A3678, "IQ_DILUT_EPS_EXCL",IQ_FY-9))</f>
        <v>0</v>
      </c>
      <c r="G3678" s="15">
        <f>IF(A3686=A3687,_xll.ciqfunctions.udf.CIQ(A3678,"IQ_EBITDA_MARGIN",IQ_FY-10), _xll.ciqfunctions.udf.CIQ(A3678, "IQ_EBITDA_MARGIN",IQ_FY-9))</f>
        <v>0</v>
      </c>
      <c r="H3678" s="15" t="e">
        <f>IF(A3686=A3687,_xll.ciqfunctions.udf.CIQ(A3678,"IQ_TOTAL_DIV_PAID_CF",IQ_FY-10)/-I3678, _xll.ciqfunctions.udf.CIQ(A3678, "IQ_TOTAL_DIV_PAID_CF",IQ_FY-9)/-I3678)</f>
        <v>#DIV/0!</v>
      </c>
      <c r="I3678" s="17">
        <f>IF(A3686=A3687,_xll.ciqfunctions.udf.CIQ(A3678,"IQ_TOTAL_OUTSTANDING_FILING_DATE",IQ_FY-10), _xll.ciqfunctions.udf.CIQ(A3678, "IQ_TOTAL_OUTSTANDING_FILING_DATE",IQ_FY-9))</f>
        <v>0</v>
      </c>
      <c r="J3678" s="17">
        <f>IF(A3686=A3687,_xll.ciqfunctions.udf.CIQ(A3678,"IQ_CASH_OPER",IQ_FY-10), _xll.ciqfunctions.udf.CIQ(A3678, "IQ_CASH_OPER",IQ_FY-9))</f>
        <v>0</v>
      </c>
      <c r="K3678" s="17">
        <f>IF(A3686=A3687,_xll.ciqfunctions.udf.CIQ(A3678,"IQ_CAPEX",IQ_FY-10), _xll.ciqfunctions.udf.CIQ(A3678, "IQ_CAPEX",IQ_FY-9))</f>
        <v>0</v>
      </c>
      <c r="L3678" s="15" t="e">
        <f t="shared" ref="L3678:L3688" si="980">(J3678+K3678)/I3678</f>
        <v>#DIV/0!</v>
      </c>
      <c r="M3678" s="17">
        <f>IF(A3686=A3687,_xll.ciqfunctions.udf.CIQ(A3678,"IQ_TOTAL_DEBT_ISSUED",IQ_FY-10), _xll.ciqfunctions.udf.CIQ(A3678, "IQ_TOTAL_DEBT_ISSUED",IQ_FY-9))</f>
        <v>0</v>
      </c>
      <c r="N3678" s="17">
        <f>IF(A3686=A3687,_xll.ciqfunctions.udf.CIQ(A3678,"IQ_TOTAL_DEBT_REPAID",IQ_FY-10), _xll.ciqfunctions.udf.CIQ(A3678, "IQ_TOTAL_DEBT_REPAID",IQ_FY-9))</f>
        <v>0</v>
      </c>
      <c r="O3678" s="15" t="e">
        <f t="shared" ref="O3678:O3688" si="981">(M3678+N3678)/I3678</f>
        <v>#DIV/0!</v>
      </c>
      <c r="P3678" s="15" t="e">
        <f t="shared" ref="P3678:P3688" si="982">L3678+O3678</f>
        <v>#DIV/0!</v>
      </c>
      <c r="W3678" s="43"/>
      <c r="AA3678" s="43"/>
    </row>
    <row r="3679" spans="1:27">
      <c r="A3679" s="18" t="str">
        <f>_xll.ciqfunctions.udf.CIQ(A3678,"IQ_COMPANY_NAME")</f>
        <v>Intapp, Inc.</v>
      </c>
      <c r="B3679" s="13">
        <v>2</v>
      </c>
      <c r="C3679" s="14" t="s">
        <v>17</v>
      </c>
      <c r="D3679" s="15" t="e">
        <f>IF(A3686=A3687,_xll.ciqfunctions.udf.CIQ(A3678,"IQ_TOTAL_REV",IQ_FY-9)/I3679, _xll.ciqfunctions.udf.CIQ(A3678, "IQ_TOTAL_REV",IQ_FY-8)/I3679)</f>
        <v>#DIV/0!</v>
      </c>
      <c r="E3679" s="16" t="e">
        <f t="shared" ref="E3679:E3688" si="983">(D3679-D3678)/D3678</f>
        <v>#DIV/0!</v>
      </c>
      <c r="F3679" s="15">
        <f>IF(A3686=A3687,_xll.ciqfunctions.udf.CIQ(A3678,"IQ_DILUT_EPS_EXCL",IQ_FY-9), _xll.ciqfunctions.udf.CIQ(A3678, "IQ_DILUT_EPS_EXCL",IQ_FY-8))</f>
        <v>0</v>
      </c>
      <c r="G3679" s="15">
        <f>IF(A3686=A3687,_xll.ciqfunctions.udf.CIQ(A3678,"IQ_EBITDA_MARGIN",IQ_FY-9), _xll.ciqfunctions.udf.CIQ(A3678, "IQ_EBITDA_MARGIN",IQ_FY-8))</f>
        <v>0</v>
      </c>
      <c r="H3679" s="15" t="e">
        <f>IF(A3686=A3687,_xll.ciqfunctions.udf.CIQ(A3678,"IQ_TOTAL_DIV_PAID_CF",IQ_FY-9)/-I3679, _xll.ciqfunctions.udf.CIQ(A3678, "IQ_TOTAL_DIV_PAID_CF",IQ_FY-8)/-I3679)</f>
        <v>#DIV/0!</v>
      </c>
      <c r="I3679" s="17">
        <f>IF(A3686=A3687,_xll.ciqfunctions.udf.CIQ(A3678,"IQ_TOTAL_OUTSTANDING_FILING_DATE",IQ_FY-9), _xll.ciqfunctions.udf.CIQ(A3678, "IQ_TOTAL_OUTSTANDING_FILING_DATE",IQ_FY-8))</f>
        <v>0</v>
      </c>
      <c r="J3679" s="17">
        <f>IF(A3686=A3687,_xll.ciqfunctions.udf.CIQ(A3678,"IQ_CASH_OPER",IQ_FY-9), _xll.ciqfunctions.udf.CIQ(A3678, "IQ_CASH_OPER",IQ_FY-8))</f>
        <v>0</v>
      </c>
      <c r="K3679" s="17">
        <f>IF(A3686=A3687,_xll.ciqfunctions.udf.CIQ(A3678,"IQ_CAPEX",IQ_FY-9), _xll.ciqfunctions.udf.CIQ(A3678, "IQ_CAPEX",IQ_FY-8))</f>
        <v>0</v>
      </c>
      <c r="L3679" s="15" t="e">
        <f t="shared" si="980"/>
        <v>#DIV/0!</v>
      </c>
      <c r="M3679" s="17">
        <f>IF(A3686=A3687,_xll.ciqfunctions.udf.CIQ(A3678,"IQ_TOTAL_DEBT_ISSUED",IQ_FY-9), _xll.ciqfunctions.udf.CIQ(A3678, "IQ_TOTAL_DEBT_ISSUED",IQ_FY-8))</f>
        <v>0</v>
      </c>
      <c r="N3679" s="17">
        <f>IF(A3686=A3687,_xll.ciqfunctions.udf.CIQ(A3678,"IQ_TOTAL_DEBT_REPAID",IQ_FY-9), _xll.ciqfunctions.udf.CIQ(A3678, "IQ_TOTAL_DEBT_REPAID",IQ_FY-8))</f>
        <v>0</v>
      </c>
      <c r="O3679" s="15" t="e">
        <f t="shared" si="981"/>
        <v>#DIV/0!</v>
      </c>
      <c r="P3679" s="15" t="e">
        <f t="shared" si="982"/>
        <v>#DIV/0!</v>
      </c>
      <c r="Q3679" s="25" t="s">
        <v>18</v>
      </c>
      <c r="R3679" s="39" t="s">
        <v>19</v>
      </c>
      <c r="S3679" s="1">
        <f>R3677/((AVERAGE(P3683:P3688))*(1+E3689)^3)</f>
        <v>49.739072137225065</v>
      </c>
      <c r="U3679" s="25" t="s">
        <v>48</v>
      </c>
      <c r="V3679" s="39" t="s">
        <v>19</v>
      </c>
      <c r="W3679" s="1">
        <f>V3677/((AVERAGE(P3683:P3688))*(1+E3689)^3)</f>
        <v>49.739072137225065</v>
      </c>
      <c r="Y3679" s="25" t="s">
        <v>39</v>
      </c>
      <c r="Z3679" s="39" t="s">
        <v>19</v>
      </c>
      <c r="AA3679" s="1">
        <f>Z3677/((AVERAGE(P3683:P3688))*(1+E3689)^3)</f>
        <v>49.739072137225065</v>
      </c>
    </row>
    <row r="3680" spans="1:27">
      <c r="B3680" s="13">
        <v>3</v>
      </c>
      <c r="C3680" s="14" t="s">
        <v>20</v>
      </c>
      <c r="D3680" s="15" t="e" cm="1">
        <f t="array" ref="D3680">_xlfn.SINGLE(IF(A3686=A3687,_xll.ciqfunctions.udf.CIQ(A3678,"IQ_TOTAL_REV",IQ_FY-8)/I3680, _xll.ciqfunctions.udf.CIQ(A3678, "IQ_TOTAL_REV",IQ_FY-7)/I3680))</f>
        <v>#DIV/0!</v>
      </c>
      <c r="E3680" s="16" t="e">
        <f t="shared" si="983"/>
        <v>#DIV/0!</v>
      </c>
      <c r="F3680" s="15">
        <f>IF(A3686=A3687,_xll.ciqfunctions.udf.CIQ(A3678,"IQ_DILUT_EPS_EXCL",IQ_FY-8), _xll.ciqfunctions.udf.CIQ(A3678, "IQ_DILUT_EPS_EXCL",IQ_FY-7))</f>
        <v>0</v>
      </c>
      <c r="G3680" s="15">
        <f>IF(A3686=A3687,_xll.ciqfunctions.udf.CIQ(A3678,"IQ_EBITDA_MARGIN",IQ_FY-8), _xll.ciqfunctions.udf.CIQ(A3678, "IQ_EBITDA_MARGIN",IQ_FY-7))</f>
        <v>0</v>
      </c>
      <c r="H3680" s="15" t="e">
        <f>IF(A3686=A3687,_xll.ciqfunctions.udf.CIQ(A3678,"IQ_TOTAL_DIV_PAID_CF",IQ_FY-8)/-I3680, _xll.ciqfunctions.udf.CIQ(A3678, "IQ_TOTAL_DIV_PAID_CF",IQ_FY-7)/-I3680)</f>
        <v>#DIV/0!</v>
      </c>
      <c r="I3680" s="17">
        <f>IF(A3686=A3687,_xll.ciqfunctions.udf.CIQ(A3678,"IQ_TOTAL_OUTSTANDING_FILING_DATE",IQ_FY-8), _xll.ciqfunctions.udf.CIQ(A3678, "IQ_TOTAL_OUTSTANDING_FILING_DATE",IQ_FY-7))</f>
        <v>0</v>
      </c>
      <c r="J3680" s="17">
        <f>IF(A3686=A3687,_xll.ciqfunctions.udf.CIQ(A3678,"IQ_CASH_OPER",IQ_FY-8), _xll.ciqfunctions.udf.CIQ(A3678, "IQ_CASH_OPER",IQ_FY-7))</f>
        <v>0</v>
      </c>
      <c r="K3680" s="17">
        <f>IF(A3686=A3687,_xll.ciqfunctions.udf.CIQ(A3678,"IQ_CAPEX",IQ_FY-8), _xll.ciqfunctions.udf.CIQ(A3678, "IQ_CAPEX",IQ_FY-7))</f>
        <v>0</v>
      </c>
      <c r="L3680" s="15" t="e">
        <f t="shared" si="980"/>
        <v>#DIV/0!</v>
      </c>
      <c r="M3680" s="17">
        <f>IF(A3686=A3687,_xll.ciqfunctions.udf.CIQ(A3678,"IQ_TOTAL_DEBT_ISSUED",IQ_FY-8), _xll.ciqfunctions.udf.CIQ(A3678, "IQ_TOTAL_DEBT_ISSUED",IQ_FY-7))</f>
        <v>0</v>
      </c>
      <c r="N3680" s="17">
        <f>IF(A3686=A3687,_xll.ciqfunctions.udf.CIQ(A3678,"IQ_TOTAL_DEBT_REPAID",IQ_FY-8), _xll.ciqfunctions.udf.CIQ(A3678, "IQ_TOTAL_DEBT_REPAID",IQ_FY-7))</f>
        <v>0</v>
      </c>
      <c r="O3680" s="15" t="e">
        <f t="shared" si="981"/>
        <v>#DIV/0!</v>
      </c>
      <c r="P3680" s="15" t="e">
        <f t="shared" si="982"/>
        <v>#DIV/0!</v>
      </c>
      <c r="Q3680" s="25" t="s">
        <v>21</v>
      </c>
      <c r="R3680" s="38" t="s">
        <v>49</v>
      </c>
      <c r="S3680" s="2">
        <f>(R3677*I3688)/1000</f>
        <v>2.6591120737500002</v>
      </c>
      <c r="U3680" s="25" t="s">
        <v>59</v>
      </c>
      <c r="V3680" s="38" t="s">
        <v>49</v>
      </c>
      <c r="W3680" s="2">
        <f>(V3677*I3688)/1000</f>
        <v>2.6591120737500002</v>
      </c>
      <c r="Y3680" s="25" t="s">
        <v>46</v>
      </c>
      <c r="Z3680" s="38" t="s">
        <v>49</v>
      </c>
      <c r="AA3680" s="2">
        <f>(Z3677*I3688)/1000</f>
        <v>2.6591120737500002</v>
      </c>
    </row>
    <row r="3681" spans="1:27">
      <c r="A3681" s="18"/>
      <c r="B3681" s="13">
        <v>4</v>
      </c>
      <c r="C3681" s="14" t="s">
        <v>22</v>
      </c>
      <c r="D3681" s="15" t="e" cm="1">
        <f t="array" ref="D3681">_xlfn.SINGLE(IF(A3686=A3687,_xll.ciqfunctions.udf.CIQ(A3678,"IQ_TOTAL_REV",IQ_FY-7)/I3681, _xll.ciqfunctions.udf.CIQ(A3678, "IQ_TOTAL_REV",IQ_FY-6)/I3681))</f>
        <v>#DIV/0!</v>
      </c>
      <c r="E3681" s="16" t="e">
        <f t="shared" si="983"/>
        <v>#DIV/0!</v>
      </c>
      <c r="F3681" s="15">
        <f>IF(A3686=A3687,_xll.ciqfunctions.udf.CIQ(A3678,"IQ_DILUT_EPS_EXCL",IQ_FY-7), _xll.ciqfunctions.udf.CIQ(A3678, "IQ_DILUT_EPS_EXCL",IQ_FY-6))</f>
        <v>0</v>
      </c>
      <c r="G3681" s="15">
        <f>IF(A3686=A3687,_xll.ciqfunctions.udf.CIQ(A3678,"IQ_EBITDA_MARGIN",IQ_FY-7), _xll.ciqfunctions.udf.CIQ(A3678, "IQ_EBITDA_MARGIN",IQ_FY-6))</f>
        <v>0</v>
      </c>
      <c r="H3681" s="15" t="e">
        <f>IF(A3686=A3687,_xll.ciqfunctions.udf.CIQ(A3678,"IQ_TOTAL_DIV_PAID_CF",IQ_FY-7)/-I3681, _xll.ciqfunctions.udf.CIQ(A3678, "IQ_TOTAL_DIV_PAID_CF",IQ_FY-6)/-I3681)</f>
        <v>#DIV/0!</v>
      </c>
      <c r="I3681" s="17">
        <f>IF(A3686=A3687,_xll.ciqfunctions.udf.CIQ(A3678,"IQ_TOTAL_OUTSTANDING_FILING_DATE",IQ_FY-7), _xll.ciqfunctions.udf.CIQ(A3678, "IQ_TOTAL_OUTSTANDING_FILING_DATE",IQ_FY-6))</f>
        <v>0</v>
      </c>
      <c r="J3681" s="17">
        <f>IF(A3686=A3687,_xll.ciqfunctions.udf.CIQ(A3678,"IQ_CASH_OPER",IQ_FY-7), _xll.ciqfunctions.udf.CIQ(A3678, "IQ_CASH_OPER",IQ_FY-6))</f>
        <v>0</v>
      </c>
      <c r="K3681" s="17">
        <f>IF(A3686=A3687,_xll.ciqfunctions.udf.CIQ(A3678,"IQ_CAPEX",IQ_FY-7), _xll.ciqfunctions.udf.CIQ(A3678, "IQ_CAPEX",IQ_FY-6))</f>
        <v>0</v>
      </c>
      <c r="L3681" s="15" t="e">
        <f t="shared" si="980"/>
        <v>#DIV/0!</v>
      </c>
      <c r="M3681" s="17">
        <f>IF(A3686=A3687,_xll.ciqfunctions.udf.CIQ(A3678,"IQ_TOTAL_DEBT_ISSUED",IQ_FY-7), _xll.ciqfunctions.udf.CIQ(A3678, "IQ_TOTAL_DEBT_ISSUED",IQ_FY-6))</f>
        <v>0</v>
      </c>
      <c r="N3681" s="17">
        <f>IF(A3686=A3687,_xll.ciqfunctions.udf.CIQ(A3678,"IQ_TOTAL_DEBT_REPAID",IQ_FY-7), _xll.ciqfunctions.udf.CIQ(A3678, "IQ_TOTAL_DEBT_REPAID",IQ_FY-6))</f>
        <v>0</v>
      </c>
      <c r="O3681" s="15" t="e">
        <f t="shared" si="981"/>
        <v>#DIV/0!</v>
      </c>
      <c r="P3681" s="15" t="e">
        <f t="shared" si="982"/>
        <v>#DIV/0!</v>
      </c>
      <c r="Q3681" s="25" t="s">
        <v>23</v>
      </c>
      <c r="R3681" s="38" t="s">
        <v>24</v>
      </c>
      <c r="S3681" s="1" t="e">
        <f>R3677/(AVERAGE(H3683:H3688)*(1+H3689)/(0.5-H3689))</f>
        <v>#DIV/0!</v>
      </c>
      <c r="U3681" s="25" t="s">
        <v>40</v>
      </c>
      <c r="V3681" s="38" t="s">
        <v>24</v>
      </c>
      <c r="W3681" s="1" t="e">
        <f>V3677/(AVERAGE(H3683:H3688)*(1+H3689)/(0.5-H3689))</f>
        <v>#DIV/0!</v>
      </c>
      <c r="Y3681" s="25" t="s">
        <v>47</v>
      </c>
      <c r="Z3681" s="38" t="s">
        <v>24</v>
      </c>
      <c r="AA3681" s="1" t="e">
        <f>Z3677/(AVERAGE(H3683:H3688)*(1+H3689)/(0.5-H3689))</f>
        <v>#DIV/0!</v>
      </c>
    </row>
    <row r="3682" spans="1:27">
      <c r="B3682" s="13">
        <v>5</v>
      </c>
      <c r="C3682" s="14" t="s">
        <v>25</v>
      </c>
      <c r="D3682" s="15" t="e" cm="1">
        <f t="array" ref="D3682">_xlfn.SINGLE(IF(A3686=A3687,_xll.ciqfunctions.udf.CIQ(A3678,"IQ_TOTAL_REV",IQ_FY-6)/I3682, _xll.ciqfunctions.udf.CIQ(A3678, "IQ_TOTAL_REV",IQ_FY-5)/I3682))</f>
        <v>#DIV/0!</v>
      </c>
      <c r="E3682" s="16" t="e">
        <f t="shared" si="983"/>
        <v>#DIV/0!</v>
      </c>
      <c r="F3682" s="15">
        <f>IF(A3686=A3687,_xll.ciqfunctions.udf.CIQ(A3678,"IQ_DILUT_EPS_EXCL",IQ_FY-6), _xll.ciqfunctions.udf.CIQ(A3678, "IQ_DILUT_EPS_EXCL",IQ_FY-5))</f>
        <v>0</v>
      </c>
      <c r="G3682" s="15">
        <f>IF(A3686=A3687,_xll.ciqfunctions.udf.CIQ(A3678,"IQ_EBITDA_MARGIN",IQ_FY-6), _xll.ciqfunctions.udf.CIQ(A3678, "IQ_EBITDA_MARGIN",IQ_FY-5))</f>
        <v>0</v>
      </c>
      <c r="H3682" s="15" t="e">
        <f>IF(A3686=A3687,_xll.ciqfunctions.udf.CIQ(A3678,"IQ_TOTAL_DIV_PAID_CF",IQ_FY-6)/-I3682, _xll.ciqfunctions.udf.CIQ(A3678, "IQ_TOTAL_DIV_PAID_CF",IQ_FY-5)/-I3682)</f>
        <v>#DIV/0!</v>
      </c>
      <c r="I3682" s="17">
        <f>IF(A3686=A3687,_xll.ciqfunctions.udf.CIQ(A3678,"IQ_TOTAL_OUTSTANDING_FILING_DATE",IQ_FY-6), _xll.ciqfunctions.udf.CIQ(A3678, "IQ_TOTAL_OUTSTANDING_FILING_DATE",IQ_FY-5))</f>
        <v>0</v>
      </c>
      <c r="J3682" s="17">
        <f>IF(A3686=A3687,_xll.ciqfunctions.udf.CIQ(A3678,"IQ_CASH_OPER",IQ_FY-6), _xll.ciqfunctions.udf.CIQ(A3678, "IQ_CASH_OPER",IQ_FY-5))</f>
        <v>0</v>
      </c>
      <c r="K3682" s="17">
        <f>IF(A3686=A3687,_xll.ciqfunctions.udf.CIQ(A3678,"IQ_CAPEX",IQ_FY-6), _xll.ciqfunctions.udf.CIQ(A3678, "IQ_CAPEX",IQ_FY-5))</f>
        <v>0</v>
      </c>
      <c r="L3682" s="15" t="e">
        <f t="shared" si="980"/>
        <v>#DIV/0!</v>
      </c>
      <c r="M3682" s="17">
        <f>IF(A3686=A3687,_xll.ciqfunctions.udf.CIQ(A3678,"IQ_TOTAL_DEBT_ISSUED",IQ_FY-6), _xll.ciqfunctions.udf.CIQ(A3678, "IQ_TOTAL_DEBT_ISSUED",IQ_FY-5))</f>
        <v>0</v>
      </c>
      <c r="N3682" s="17">
        <f>IF(A3686=A3687,_xll.ciqfunctions.udf.CIQ(A3678,"IQ_TOTAL_DEBT_REPAID",IQ_FY-6), _xll.ciqfunctions.udf.CIQ(A3678, "IQ_TOTAL_DEBT_REPAID",IQ_FY-5))</f>
        <v>0</v>
      </c>
      <c r="O3682" s="15" t="e">
        <f t="shared" si="981"/>
        <v>#DIV/0!</v>
      </c>
      <c r="P3682" s="15" t="e">
        <f t="shared" si="982"/>
        <v>#DIV/0!</v>
      </c>
      <c r="Q3682" s="18"/>
      <c r="R3682" s="38" t="s">
        <v>50</v>
      </c>
      <c r="S3682" s="3">
        <f>I3689</f>
        <v>0.24444317566454088</v>
      </c>
      <c r="U3682" s="18"/>
      <c r="V3682" s="38" t="s">
        <v>50</v>
      </c>
      <c r="W3682" s="3">
        <f>I3689</f>
        <v>0.24444317566454088</v>
      </c>
      <c r="Y3682" s="18"/>
      <c r="Z3682" s="38" t="s">
        <v>50</v>
      </c>
      <c r="AA3682" s="3">
        <f>I3689</f>
        <v>0.24444317566454088</v>
      </c>
    </row>
    <row r="3683" spans="1:27">
      <c r="B3683" s="13">
        <v>6</v>
      </c>
      <c r="C3683" s="14" t="s">
        <v>26</v>
      </c>
      <c r="D3683" s="15" cm="1">
        <f t="array" ref="D3683">_xlfn.SINGLE(IF(A3686=A3687,_xll.ciqfunctions.udf.CIQ(A3678,"IQ_TOTAL_REV",IQ_FY-5)/I3683, _xll.ciqfunctions.udf.CIQ(A3678, "IQ_TOTAL_REV",IQ_FY-4)/I3683))</f>
        <v>6.136638244997644</v>
      </c>
      <c r="E3683" s="16" t="e">
        <f t="shared" si="983"/>
        <v>#DIV/0!</v>
      </c>
      <c r="F3683" s="15">
        <f>IF(A3686=A3687,_xll.ciqfunctions.udf.CIQ(A3678,"IQ_DILUT_EPS_EXCL",IQ_FY-5), _xll.ciqfunctions.udf.CIQ(A3678, "IQ_DILUT_EPS_EXCL",IQ_FY-4))</f>
        <v>-1.2504</v>
      </c>
      <c r="G3683" s="15">
        <f>IF(A3686=A3687,_xll.ciqfunctions.udf.CIQ(A3678,"IQ_EBITDA_MARGIN",IQ_FY-5), _xll.ciqfunctions.udf.CIQ(A3678, "IQ_EBITDA_MARGIN",IQ_FY-4))</f>
        <v>5.8272000000000004</v>
      </c>
      <c r="H3683" s="15">
        <f>IF(A3686=A3687,_xll.ciqfunctions.udf.CIQ(A3678,"IQ_TOTAL_DIV_PAID_CF",IQ_FY-5)/-I3683, _xll.ciqfunctions.udf.CIQ(A3678, "IQ_TOTAL_DIV_PAID_CF",IQ_FY-4)/-I3683)</f>
        <v>0</v>
      </c>
      <c r="I3683" s="17">
        <f>IF(A3686=A3687,_xll.ciqfunctions.udf.CIQ(A3678,"IQ_TOTAL_OUTSTANDING_FILING_DATE",IQ_FY-5), _xll.ciqfunctions.udf.CIQ(A3678, "IQ_TOTAL_OUTSTANDING_FILING_DATE",IQ_FY-4))</f>
        <v>23.338999999999999</v>
      </c>
      <c r="J3683" s="17">
        <f>IF(A3686=A3687,_xll.ciqfunctions.udf.CIQ(A3678,"IQ_CASH_OPER",IQ_FY-5), _xll.ciqfunctions.udf.CIQ(A3678, "IQ_CASH_OPER",IQ_FY-4))</f>
        <v>-5.0640000000000001</v>
      </c>
      <c r="K3683" s="17">
        <f>IF(A3686=A3687,_xll.ciqfunctions.udf.CIQ(A3678,"IQ_CAPEX",IQ_FY-5), _xll.ciqfunctions.udf.CIQ(A3678, "IQ_CAPEX",IQ_FY-4))</f>
        <v>-2.3730000000000002</v>
      </c>
      <c r="L3683" s="15">
        <f t="shared" si="980"/>
        <v>-0.31865118471228421</v>
      </c>
      <c r="M3683" s="17">
        <f>IF(A3686=A3687,_xll.ciqfunctions.udf.CIQ(A3678,"IQ_TOTAL_DEBT_ISSUED",IQ_FY-5), _xll.ciqfunctions.udf.CIQ(A3678, "IQ_TOTAL_DEBT_ISSUED",IQ_FY-4))</f>
        <v>281</v>
      </c>
      <c r="N3683" s="17">
        <f>IF(A3686=A3687,_xll.ciqfunctions.udf.CIQ(A3678,"IQ_TOTAL_DEBT_REPAID",IQ_FY-5), _xll.ciqfunctions.udf.CIQ(A3678, "IQ_TOTAL_DEBT_REPAID",IQ_FY-4))</f>
        <v>-78</v>
      </c>
      <c r="O3683" s="15">
        <f t="shared" si="981"/>
        <v>8.6978876558550073</v>
      </c>
      <c r="P3683" s="15">
        <f t="shared" si="982"/>
        <v>8.3792364711427236</v>
      </c>
      <c r="Q3683" s="25" t="s">
        <v>27</v>
      </c>
      <c r="R3683" s="38" t="s">
        <v>51</v>
      </c>
      <c r="S3683" s="4">
        <f>AVERAGE(F3683:F3688)/AVERAGE(D3683:D3688)</f>
        <v>-0.30091380988061883</v>
      </c>
      <c r="U3683" s="25" t="s">
        <v>58</v>
      </c>
      <c r="V3683" s="38" t="s">
        <v>51</v>
      </c>
      <c r="W3683" s="4">
        <f>AVERAGE(F3683:F3688)/AVERAGE(D3683:D3688)</f>
        <v>-0.30091380988061883</v>
      </c>
      <c r="Y3683" s="25" t="s">
        <v>56</v>
      </c>
      <c r="Z3683" s="38" t="s">
        <v>51</v>
      </c>
      <c r="AA3683" s="4">
        <f>AVERAGE(F3683:F3688)/AVERAGE(D3683:D3688)</f>
        <v>-0.30091380988061883</v>
      </c>
    </row>
    <row r="3684" spans="1:27">
      <c r="A3684" s="18"/>
      <c r="B3684" s="13">
        <v>7</v>
      </c>
      <c r="C3684" s="14" t="s">
        <v>28</v>
      </c>
      <c r="D3684" s="15" cm="1">
        <f t="array" ref="D3684">_xlfn.SINGLE(IF(A3686=A3687,_xll.ciqfunctions.udf.CIQ(A3678,"IQ_TOTAL_REV",IQ_FY-4)/I3684, _xll.ciqfunctions.udf.CIQ(A3678, "IQ_TOTAL_REV",IQ_FY-3)/I3684))</f>
        <v>7.6794058089962958</v>
      </c>
      <c r="E3684" s="16">
        <f t="shared" si="983"/>
        <v>0.2514027228599075</v>
      </c>
      <c r="F3684" s="15">
        <f>IF(A3686=A3687,_xll.ciqfunctions.udf.CIQ(A3678,"IQ_DILUT_EPS_EXCL",IQ_FY-4), _xll.ciqfunctions.udf.CIQ(A3678, "IQ_DILUT_EPS_EXCL",IQ_FY-3))</f>
        <v>-2.4871599999999998</v>
      </c>
      <c r="G3684" s="15">
        <f>IF(A3686=A3687,_xll.ciqfunctions.udf.CIQ(A3678,"IQ_EBITDA_MARGIN",IQ_FY-4), _xll.ciqfunctions.udf.CIQ(A3678, "IQ_EBITDA_MARGIN",IQ_FY-3))</f>
        <v>-0.20549999999999999</v>
      </c>
      <c r="H3684" s="15">
        <f>IF(A3686=A3687,_xll.ciqfunctions.udf.CIQ(A3678,"IQ_TOTAL_DIV_PAID_CF",IQ_FY-4)/-I3684, _xll.ciqfunctions.udf.CIQ(A3678, "IQ_TOTAL_DIV_PAID_CF",IQ_FY-3)/-I3684)</f>
        <v>0</v>
      </c>
      <c r="I3684" s="17">
        <f>IF(A3686=A3687,_xll.ciqfunctions.udf.CIQ(A3678,"IQ_TOTAL_OUTSTANDING_FILING_DATE",IQ_FY-4), _xll.ciqfunctions.udf.CIQ(A3678, "IQ_TOTAL_OUTSTANDING_FILING_DATE",IQ_FY-3))</f>
        <v>24.331569999999999</v>
      </c>
      <c r="J3684" s="17">
        <f>IF(A3686=A3687,_xll.ciqfunctions.udf.CIQ(A3678,"IQ_CASH_OPER",IQ_FY-4), _xll.ciqfunctions.udf.CIQ(A3678, "IQ_CASH_OPER",IQ_FY-3))</f>
        <v>-1.41</v>
      </c>
      <c r="K3684" s="17">
        <f>IF(A3686=A3687,_xll.ciqfunctions.udf.CIQ(A3678,"IQ_CAPEX",IQ_FY-4), _xll.ciqfunctions.udf.CIQ(A3678, "IQ_CAPEX",IQ_FY-3))</f>
        <v>-2.6379999999999999</v>
      </c>
      <c r="L3684" s="15">
        <f t="shared" si="980"/>
        <v>-0.16636822038199756</v>
      </c>
      <c r="M3684" s="17">
        <f>IF(A3686=A3687,_xll.ciqfunctions.udf.CIQ(A3678,"IQ_TOTAL_DEBT_ISSUED",IQ_FY-4), _xll.ciqfunctions.udf.CIQ(A3678, "IQ_TOTAL_DEBT_ISSUED",IQ_FY-3))</f>
        <v>15</v>
      </c>
      <c r="N3684" s="17">
        <f>IF(A3686=A3687,_xll.ciqfunctions.udf.CIQ(A3678,"IQ_TOTAL_DEBT_REPAID",IQ_FY-4), _xll.ciqfunctions.udf.CIQ(A3678, "IQ_TOTAL_DEBT_REPAID",IQ_FY-3))</f>
        <v>-5</v>
      </c>
      <c r="O3684" s="15">
        <f t="shared" si="981"/>
        <v>0.41098868671442085</v>
      </c>
      <c r="P3684" s="15">
        <f t="shared" si="982"/>
        <v>0.24462046633242329</v>
      </c>
      <c r="Q3684" s="18"/>
      <c r="R3684" s="38" t="s">
        <v>29</v>
      </c>
      <c r="S3684" s="4">
        <f>(AVERAGE(P3683:P3688)/_xlfn.STDEV.P(P3683:P3688))/(IF(A3686=A3687,(_xlfn.SINGLE(_xll.ciqfunctions.udf.CIQ(A3678,"IQ_total_assets",IQ_FY)) - _xlfn.SINGLE(_xll.ciqfunctions.udf.CIQ(A3678,"iq_gw_intan", IQ_FY)))/I3688, (_xlfn.SINGLE(_xll.ciqfunctions.udf.CIQ(A3678, "IQ_total_assets",IQ_LTM))-_xlfn.SINGLE(_xll.ciqfunctions.udf.CIQ(A3678,"iq_gw_intan",IQ_LTM)))/I3688))</f>
        <v>5.3893184757673698E-2</v>
      </c>
      <c r="U3684" s="18"/>
      <c r="V3684" s="38" t="s">
        <v>29</v>
      </c>
      <c r="W3684" s="4">
        <f>(AVERAGE(P3683:P3688)/_xlfn.STDEV.P(P3683:P3688))/(IF(A3686=A3687,(_xlfn.SINGLE(_xll.ciqfunctions.udf.CIQ(A3678,"IQ_total_assets",IQ_FY)) - _xlfn.SINGLE(_xll.ciqfunctions.udf.CIQ(A3678,"iq_gw_intan", IQ_FY)))/I3688, (_xlfn.SINGLE(_xll.ciqfunctions.udf.CIQ(A3678, "IQ_total_assets",IQ_LTM))-_xlfn.SINGLE(_xll.ciqfunctions.udf.CIQ(A3678,"iq_gw_intan",IQ_LTM)))/I3688))</f>
        <v>5.3893184757673698E-2</v>
      </c>
      <c r="Y3684" s="18"/>
      <c r="Z3684" s="38" t="s">
        <v>29</v>
      </c>
      <c r="AA3684" s="4">
        <f>(AVERAGE(P3683:P3688)/_xlfn.STDEV.P(P3683:P3688))/(IF(A3686=A3687,(_xlfn.SINGLE(_xll.ciqfunctions.udf.CIQ(A3678,"IQ_total_assets",IQ_FY)) - _xlfn.SINGLE(_xll.ciqfunctions.udf.CIQ(A3678,"iq_gw_intan", IQ_FY)))/I3688, (_xlfn.SINGLE(_xll.ciqfunctions.udf.CIQ(A3678, "IQ_total_assets",IQ_LTM))-_xlfn.SINGLE(_xll.ciqfunctions.udf.CIQ(A3678,"iq_gw_intan",IQ_LTM)))/I3688))</f>
        <v>5.3893184757673698E-2</v>
      </c>
    </row>
    <row r="3685" spans="1:27">
      <c r="A3685" s="18"/>
      <c r="B3685" s="13">
        <v>8</v>
      </c>
      <c r="C3685" s="14" t="s">
        <v>30</v>
      </c>
      <c r="D3685" s="15" cm="1">
        <f t="array" ref="D3685">_xlfn.SINGLE(IF(A3686=A3687,_xll.ciqfunctions.udf.CIQ(A3678,"IQ_TOTAL_REV",IQ_FY-3)/I3685, _xll.ciqfunctions.udf.CIQ(A3678, "IQ_TOTAL_REV",IQ_FY-2)/I3685))</f>
        <v>3.5372195565311904</v>
      </c>
      <c r="E3685" s="16">
        <f t="shared" si="983"/>
        <v>-0.5393889000647164</v>
      </c>
      <c r="F3685" s="15">
        <f>IF(A3686=A3687,_xll.ciqfunctions.udf.CIQ(A3678,"IQ_DILUT_EPS_EXCL",IQ_FY-3), _xll.ciqfunctions.udf.CIQ(A3678, "IQ_DILUT_EPS_EXCL",IQ_FY-2))</f>
        <v>-2.2307000000000001</v>
      </c>
      <c r="G3685" s="15">
        <f>IF(A3686=A3687,_xll.ciqfunctions.udf.CIQ(A3678,"IQ_EBITDA_MARGIN",IQ_FY-3), _xll.ciqfunctions.udf.CIQ(A3678, "IQ_EBITDA_MARGIN",IQ_FY-2))</f>
        <v>-3.7448999999999999</v>
      </c>
      <c r="H3685" s="15">
        <f>IF(A3686=A3687,_xll.ciqfunctions.udf.CIQ(A3678,"IQ_TOTAL_DIV_PAID_CF",IQ_FY-3)/-I3685, _xll.ciqfunctions.udf.CIQ(A3678, "IQ_TOTAL_DIV_PAID_CF",IQ_FY-2)/-I3685)</f>
        <v>0</v>
      </c>
      <c r="I3685" s="17">
        <f>IF(A3686=A3687,_xll.ciqfunctions.udf.CIQ(A3678,"IQ_TOTAL_OUTSTANDING_FILING_DATE",IQ_FY-3), _xll.ciqfunctions.udf.CIQ(A3678, "IQ_TOTAL_OUTSTANDING_FILING_DATE",IQ_FY-2))</f>
        <v>60.678449999999998</v>
      </c>
      <c r="J3685" s="17">
        <f>IF(A3686=A3687,_xll.ciqfunctions.udf.CIQ(A3678,"IQ_CASH_OPER",IQ_FY-3), _xll.ciqfunctions.udf.CIQ(A3678, "IQ_CASH_OPER",IQ_FY-2))</f>
        <v>-9.7490000000000006</v>
      </c>
      <c r="K3685" s="17">
        <f>IF(A3686=A3687,_xll.ciqfunctions.udf.CIQ(A3678,"IQ_CAPEX",IQ_FY-3), _xll.ciqfunctions.udf.CIQ(A3678, "IQ_CAPEX",IQ_FY-2))</f>
        <v>-2.4729999999999999</v>
      </c>
      <c r="L3685" s="15">
        <f t="shared" si="980"/>
        <v>-0.20142241603073252</v>
      </c>
      <c r="M3685" s="17">
        <f>IF(A3686=A3687,_xll.ciqfunctions.udf.CIQ(A3678,"IQ_TOTAL_DEBT_ISSUED",IQ_FY-3), _xll.ciqfunctions.udf.CIQ(A3678, "IQ_TOTAL_DEBT_ISSUED",IQ_FY-2))</f>
        <v>0</v>
      </c>
      <c r="N3685" s="17">
        <f>IF(A3686=A3687,_xll.ciqfunctions.udf.CIQ(A3678,"IQ_TOTAL_DEBT_REPAID",IQ_FY-3), _xll.ciqfunctions.udf.CIQ(A3678, "IQ_TOTAL_DEBT_REPAID",IQ_FY-2))</f>
        <v>-5</v>
      </c>
      <c r="O3685" s="15">
        <f t="shared" si="981"/>
        <v>-8.2401577495799586E-2</v>
      </c>
      <c r="P3685" s="15">
        <f t="shared" si="982"/>
        <v>-0.28382399352653209</v>
      </c>
      <c r="Q3685" s="18"/>
      <c r="R3685" s="39" t="s">
        <v>31</v>
      </c>
      <c r="S3685" s="5" t="e">
        <f>IF(NOT(D3678&gt;0),FALSE,SLOPE(G3678:G3688,B3678:B3688))</f>
        <v>#DIV/0!</v>
      </c>
      <c r="U3685" s="18"/>
      <c r="V3685" s="39" t="s">
        <v>31</v>
      </c>
      <c r="W3685" s="5" t="e">
        <f>IF(NOT(D3678&gt;0),FALSE,SLOPE(G3678:G3688,B3678:B3688))</f>
        <v>#DIV/0!</v>
      </c>
      <c r="Y3685" s="18"/>
      <c r="Z3685" s="39" t="s">
        <v>31</v>
      </c>
      <c r="AA3685" s="5" t="e">
        <f>IF(NOT(L3678&gt;0),FALSE,SLOPE(O3678:O3688,J3678:J3688))</f>
        <v>#DIV/0!</v>
      </c>
    </row>
    <row r="3686" spans="1:27">
      <c r="A3686" s="19">
        <f>_xll.ciqfunctions.udf.CIQ(A3678,"IQ_TOTAL_REV",IQ_FY)</f>
        <v>350.87299999999999</v>
      </c>
      <c r="B3686" s="13">
        <v>9</v>
      </c>
      <c r="C3686" s="14" t="s">
        <v>32</v>
      </c>
      <c r="D3686" s="15" cm="1">
        <f t="array" ref="D3686">_xlfn.SINGLE(IF(A3686=A3687,_xll.ciqfunctions.udf.CIQ(A3678,"IQ_TOTAL_REV",IQ_FY-2)/I3686, _xll.ciqfunctions.udf.CIQ(A3678, "IQ_TOTAL_REV",IQ_FY-1)/I3686))</f>
        <v>4.3210914769813433</v>
      </c>
      <c r="E3686" s="16">
        <f t="shared" si="983"/>
        <v>0.22160680385326853</v>
      </c>
      <c r="F3686" s="15">
        <f>IF(A3686=A3687,_xll.ciqfunctions.udf.CIQ(A3678,"IQ_DILUT_EPS_EXCL",IQ_FY-2), _xll.ciqfunctions.udf.CIQ(A3678, "IQ_DILUT_EPS_EXCL",IQ_FY-1))</f>
        <v>-1.6269400000000001</v>
      </c>
      <c r="G3686" s="15">
        <f>IF(A3686=A3687,_xll.ciqfunctions.udf.CIQ(A3678,"IQ_EBITDA_MARGIN",IQ_FY-2), _xll.ciqfunctions.udf.CIQ(A3678, "IQ_EBITDA_MARGIN",IQ_FY-1))</f>
        <v>-29.6889</v>
      </c>
      <c r="H3686" s="15">
        <f>IF(A3686=A3687,_xll.ciqfunctions.udf.CIQ(A3678,"IQ_TOTAL_DIV_PAID_CF",IQ_FY-2)/-I3686, _xll.ciqfunctions.udf.CIQ(A3678, "IQ_TOTAL_DIV_PAID_CF",IQ_FY-1)/-I3686)</f>
        <v>0</v>
      </c>
      <c r="I3686" s="17">
        <f>IF(A3686=A3687,_xll.ciqfunctions.udf.CIQ(A3678,"IQ_TOTAL_OUTSTANDING_FILING_DATE",IQ_FY-2), _xll.ciqfunctions.udf.CIQ(A3678, "IQ_TOTAL_OUTSTANDING_FILING_DATE",IQ_FY-1))</f>
        <v>62.96349</v>
      </c>
      <c r="J3686" s="17">
        <f>IF(A3686=A3687,_xll.ciqfunctions.udf.CIQ(A3678,"IQ_CASH_OPER",IQ_FY-2), _xll.ciqfunctions.udf.CIQ(A3678, "IQ_CASH_OPER",IQ_FY-1))</f>
        <v>14.236000000000001</v>
      </c>
      <c r="K3686" s="17">
        <f>IF(A3686=A3687,_xll.ciqfunctions.udf.CIQ(A3678,"IQ_CAPEX",IQ_FY-2), _xll.ciqfunctions.udf.CIQ(A3678, "IQ_CAPEX",IQ_FY-1))</f>
        <v>-0.55400000000000005</v>
      </c>
      <c r="L3686" s="15">
        <f t="shared" si="980"/>
        <v>0.21730053400788299</v>
      </c>
      <c r="M3686" s="17">
        <f>IF(A3686=A3687,_xll.ciqfunctions.udf.CIQ(A3678,"IQ_TOTAL_DEBT_ISSUED",IQ_FY-2), _xll.ciqfunctions.udf.CIQ(A3678, "IQ_TOTAL_DEBT_ISSUED",IQ_FY-1))</f>
        <v>0</v>
      </c>
      <c r="N3686" s="17">
        <f>IF(A3686=A3687,_xll.ciqfunctions.udf.CIQ(A3678,"IQ_TOTAL_DEBT_REPAID",IQ_FY-2), _xll.ciqfunctions.udf.CIQ(A3678, "IQ_TOTAL_DEBT_REPAID",IQ_FY-1))</f>
        <v>-278</v>
      </c>
      <c r="O3686" s="15">
        <f t="shared" si="981"/>
        <v>-4.4152571593474246</v>
      </c>
      <c r="P3686" s="15">
        <f t="shared" si="982"/>
        <v>-4.1979566253395415</v>
      </c>
      <c r="Q3686" s="25" t="s">
        <v>33</v>
      </c>
      <c r="R3686" s="38" t="s">
        <v>52</v>
      </c>
      <c r="S3686" s="4">
        <f>(AVERAGE(O3683:O3688)/AVERAGE(P3683:P3688))</f>
        <v>0.92259808154816025</v>
      </c>
      <c r="U3686" s="25" t="s">
        <v>54</v>
      </c>
      <c r="V3686" s="38" t="s">
        <v>52</v>
      </c>
      <c r="W3686" s="4">
        <f>(AVERAGE(O3683:O3688)/AVERAGE(P3683:P3688))</f>
        <v>0.92259808154816025</v>
      </c>
      <c r="Y3686" s="25" t="s">
        <v>60</v>
      </c>
      <c r="Z3686" s="38" t="s">
        <v>52</v>
      </c>
      <c r="AA3686" s="4">
        <f>(AVERAGE(O3683:O3688)/AVERAGE(P3683:P3688))</f>
        <v>0.92259808154816025</v>
      </c>
    </row>
    <row r="3687" spans="1:27">
      <c r="A3687" s="19">
        <f>_xll.ciqfunctions.udf.CIQ(A3678,"IQ_TOTAL_REV",IQ_LTM)</f>
        <v>372.91</v>
      </c>
      <c r="B3687" s="13">
        <v>10</v>
      </c>
      <c r="C3687" s="14" t="s">
        <v>34</v>
      </c>
      <c r="D3687" s="15" cm="1">
        <f t="array" ref="D3687">_xlfn.SINGLE(IF(A3686=A3687,_xll.ciqfunctions.udf.CIQ(A3678,"IQ_TOTAL_REV",IQ_FY-1)/I3687, _xll.ciqfunctions.udf.CIQ(A3678, "IQ_TOTAL_REV",IQ_FY)/I3687))</f>
        <v>5.0674415870674823</v>
      </c>
      <c r="E3687" s="16">
        <f t="shared" si="983"/>
        <v>0.17272258966559281</v>
      </c>
      <c r="F3687" s="15">
        <f>IF(A3686=A3687,_xll.ciqfunctions.udf.CIQ(A3678,"IQ_DILUT_EPS_EXCL",IQ_FY-1), _xll.ciqfunctions.udf.CIQ(A3678, "IQ_DILUT_EPS_EXCL",IQ_FY))</f>
        <v>-1.07979</v>
      </c>
      <c r="G3687" s="15">
        <f>IF(A3686=A3687,_xll.ciqfunctions.udf.CIQ(A3678,"IQ_EBITDA_MARGIN",IQ_FY-1), _xll.ciqfunctions.udf.CIQ(A3678, "IQ_EBITDA_MARGIN",IQ_FY))</f>
        <v>-14.528</v>
      </c>
      <c r="H3687" s="15">
        <f>IF(A3686=A3687,_xll.ciqfunctions.udf.CIQ(A3678,"IQ_TOTAL_DIV_PAID_CF",IQ_FY-1)/-I3687, _xll.ciqfunctions.udf.CIQ(A3678, "IQ_TOTAL_DIV_PAID_CF",IQ_FY)/-I3687)</f>
        <v>0</v>
      </c>
      <c r="I3687" s="17">
        <f>IF(A3686=A3687,_xll.ciqfunctions.udf.CIQ(A3678,"IQ_TOTAL_OUTSTANDING_FILING_DATE",IQ_FY-1), _xll.ciqfunctions.udf.CIQ(A3678, "IQ_TOTAL_OUTSTANDING_FILING_DATE",IQ_FY))</f>
        <v>69.240660000000005</v>
      </c>
      <c r="J3687" s="17">
        <f>IF(A3686=A3687,_xll.ciqfunctions.udf.CIQ(A3678,"IQ_CASH_OPER",IQ_FY-1), _xll.ciqfunctions.udf.CIQ(A3678, "IQ_CASH_OPER",IQ_FY))</f>
        <v>27.486999999999998</v>
      </c>
      <c r="K3687" s="17">
        <f>IF(A3686=A3687,_xll.ciqfunctions.udf.CIQ(A3678,"IQ_CAPEX",IQ_FY-1), _xll.ciqfunctions.udf.CIQ(A3678, "IQ_CAPEX",IQ_FY))</f>
        <v>-2.2120000000000002</v>
      </c>
      <c r="L3687" s="15">
        <f t="shared" si="980"/>
        <v>0.36503118254505368</v>
      </c>
      <c r="M3687" s="17">
        <f>IF(A3686=A3687,_xll.ciqfunctions.udf.CIQ(A3678,"IQ_TOTAL_DEBT_ISSUED",IQ_FY-1), _xll.ciqfunctions.udf.CIQ(A3678, "IQ_TOTAL_DEBT_ISSUED",IQ_FY))</f>
        <v>0</v>
      </c>
      <c r="N3687" s="17">
        <f>IF(A3686=A3687,_xll.ciqfunctions.udf.CIQ(A3678,"IQ_TOTAL_DEBT_REPAID",IQ_FY-1), _xll.ciqfunctions.udf.CIQ(A3678, "IQ_TOTAL_DEBT_REPAID",IQ_FY))</f>
        <v>0</v>
      </c>
      <c r="O3687" s="15">
        <f t="shared" si="981"/>
        <v>0</v>
      </c>
      <c r="P3687" s="15">
        <f t="shared" si="982"/>
        <v>0.36503118254505368</v>
      </c>
      <c r="Q3687" s="25" t="s">
        <v>44</v>
      </c>
      <c r="R3687" s="38" t="s">
        <v>35</v>
      </c>
      <c r="S3687" s="1" t="str">
        <f>_xll.ciqfunctions.udf.CIQ(A3678,"IQ_TEV_EBITDA")</f>
        <v>NM</v>
      </c>
      <c r="U3687" s="25" t="s">
        <v>55</v>
      </c>
      <c r="V3687" s="38" t="s">
        <v>53</v>
      </c>
      <c r="W3687" s="1" t="e">
        <f>V3677/(AVERAGE(D3683:D3688)/_xlfn.STDEV.P(E3683:E3688))</f>
        <v>#DIV/0!</v>
      </c>
      <c r="Y3687" s="25" t="s">
        <v>57</v>
      </c>
      <c r="Z3687" s="38" t="s">
        <v>53</v>
      </c>
      <c r="AA3687" s="1" t="e">
        <f>Z3677/(AVERAGE(D3683:D3688)/_xlfn.STDEV.P(E3683:E3688))</f>
        <v>#DIV/0!</v>
      </c>
    </row>
    <row r="3688" spans="1:27">
      <c r="B3688" s="13">
        <v>11</v>
      </c>
      <c r="C3688" s="20" t="s">
        <v>36</v>
      </c>
      <c r="D3688" s="21" cm="1">
        <f t="array" ref="D3688">_xlfn.SINGLE(IF(A3686=A3687,_xll.ciqfunctions.udf.CIQ(A3678,"IQ_TOTAL_REV",IQ_FY)/I3688, _xll.ciqfunctions.udf.CIQ(A3678, "IQ_TOTAL_REV",IQ_LTM)/I3688))</f>
        <v>5.3536063374433018</v>
      </c>
      <c r="E3688" s="22">
        <f t="shared" si="983"/>
        <v>5.6471247957970545E-2</v>
      </c>
      <c r="F3688" s="21">
        <f>IF(A3686=A3687,_xll.ciqfunctions.udf.CIQ(A3678,"IQ_DILUT_EPS_EXCL",IQ_FY), _xll.ciqfunctions.udf.CIQ(A3678, "IQ_DILUT_EPS_EXCL",IQ_LTM))</f>
        <v>-0.98295999999999994</v>
      </c>
      <c r="G3688" s="21">
        <f>IF(A3686=A3687,_xll.ciqfunctions.udf.CIQ(A3678,"IQ_EBITDA_MARGIN",IQ_FY), _xll.ciqfunctions.udf.CIQ(A3678, "IQ_EBITDA_MARGIN",IQ_LTM))</f>
        <v>-13.268800000000001</v>
      </c>
      <c r="H3688" s="21">
        <f>IF(A3686=A3687,_xll.ciqfunctions.udf.CIQ(A3678,"IQ_TOTAL_DIV_PAID_CF",IQ_FY)/-I3688, _xll.ciqfunctions.udf.CIQ(A3678, "IQ_TOTAL_DIV_PAID_CF",IQ_LTM)/-I3688)</f>
        <v>0</v>
      </c>
      <c r="I3688" s="23">
        <f>IF(A3686=A3687,_xll.ciqfunctions.udf.CIQ(A3678,"IQ_TOTAL_OUTSTANDING_FILING_DATE",IQ_FY),_xll.ciqfunctions.udf.CIQ(A3678,"IQ_sharesoutstanding"))</f>
        <v>69.655850000000001</v>
      </c>
      <c r="J3688" s="23">
        <f>IF(A3686=A3687,_xll.ciqfunctions.udf.CIQ(A3678,"IQ_CASH_OPER",IQ_FY), _xll.ciqfunctions.udf.CIQ(A3678, "IQ_CASH_OPER",IQ_LTM))</f>
        <v>35.884</v>
      </c>
      <c r="K3688" s="23">
        <f>IF(A3686=A3687,_xll.ciqfunctions.udf.CIQ(A3678,"IQ_CAPEX",IQ_FY), _xll.ciqfunctions.udf.CIQ(A3678, "IQ_CAPEX",IQ_LTM))</f>
        <v>-1.6850000000000001</v>
      </c>
      <c r="L3688" s="21">
        <f t="shared" si="980"/>
        <v>0.4909709665448056</v>
      </c>
      <c r="M3688" s="23">
        <f>IF(A3686=A3687,_xll.ciqfunctions.udf.CIQ(A3678,"IQ_TOTAL_DEBT_ISSUED",IQ_FY), _xll.ciqfunctions.udf.CIQ(A3678, "IQ_TOTAL_DEBT_ISSUED",IQ_LTM))</f>
        <v>0</v>
      </c>
      <c r="N3688" s="23">
        <f>IF(A3686=A3687,_xll.ciqfunctions.udf.CIQ(A3678,"IQ_TOTAL_DEBT_REPAID",IQ_FY), _xll.ciqfunctions.udf.CIQ(A3678, "IQ_TOTAL_DEBT_REPAID",IQ_LTM))</f>
        <v>0</v>
      </c>
      <c r="O3688" s="21">
        <f t="shared" si="981"/>
        <v>0</v>
      </c>
      <c r="P3688" s="21">
        <f t="shared" si="982"/>
        <v>0.4909709665448056</v>
      </c>
      <c r="Q3688" s="25" t="s">
        <v>45</v>
      </c>
      <c r="S3688" s="45"/>
      <c r="U3688" s="25"/>
      <c r="W3688" s="45"/>
      <c r="Y3688" s="25"/>
      <c r="AA3688" s="45"/>
    </row>
    <row r="3689" spans="1:27">
      <c r="B3689" s="24"/>
      <c r="C3689" s="25" t="s">
        <v>37</v>
      </c>
      <c r="E3689" s="26">
        <f>((D3688/D3683)^(1/5))-1</f>
        <v>-2.6932019087874237E-2</v>
      </c>
      <c r="F3689" s="27">
        <f>((F3688/F3683)^(1/5))-1</f>
        <v>-4.6990179266916177E-2</v>
      </c>
      <c r="G3689" s="28"/>
      <c r="H3689" s="27" t="e">
        <f>((H3688/H3683)^(1/5))-1</f>
        <v>#DIV/0!</v>
      </c>
      <c r="I3689" s="27">
        <f>((I3688/I3683)^(1/5))-1</f>
        <v>0.24444317566454088</v>
      </c>
      <c r="J3689" s="27"/>
      <c r="K3689" s="27"/>
      <c r="L3689" s="26">
        <f>((L3688/L3683)^(1/5))-1</f>
        <v>-2.0903051280108205</v>
      </c>
      <c r="M3689" s="26"/>
      <c r="N3689" s="26"/>
      <c r="O3689" s="26"/>
      <c r="P3689" s="26">
        <f>((P3688/P3683)^(1/5))-1</f>
        <v>-0.43301669280710786</v>
      </c>
      <c r="Q3689" s="18"/>
      <c r="R3689" s="36"/>
      <c r="S3689" s="45"/>
      <c r="U3689" s="18"/>
      <c r="V3689" s="36"/>
      <c r="W3689" s="45"/>
      <c r="Y3689" s="18"/>
      <c r="Z3689" s="36"/>
      <c r="AA3689" s="45"/>
    </row>
    <row r="3690" spans="1:27">
      <c r="A3690" s="29"/>
      <c r="B3690" s="30"/>
      <c r="C3690" s="31" t="s">
        <v>38</v>
      </c>
      <c r="D3690" s="29"/>
      <c r="E3690" s="32" t="e">
        <f>((D3688/D3678)^(1/10))-1</f>
        <v>#DIV/0!</v>
      </c>
      <c r="F3690" s="33" t="e">
        <f>((F3688/F3678)^(1/10))-1</f>
        <v>#DIV/0!</v>
      </c>
      <c r="G3690" s="34"/>
      <c r="H3690" s="33" t="e">
        <f>((H3688/H3678)^(1/10))-1</f>
        <v>#DIV/0!</v>
      </c>
      <c r="I3690" s="33" t="e">
        <f>((I3688/I3678)^(1/10))-1</f>
        <v>#DIV/0!</v>
      </c>
      <c r="J3690" s="33"/>
      <c r="K3690" s="33"/>
      <c r="L3690" s="32" t="e">
        <f>((L3688/L3678)^(1/10))-1</f>
        <v>#DIV/0!</v>
      </c>
      <c r="M3690" s="32"/>
      <c r="N3690" s="32"/>
      <c r="O3690" s="32"/>
      <c r="P3690" s="32" t="e">
        <f>((P3688/P3678)^(1/10))-1</f>
        <v>#DIV/0!</v>
      </c>
      <c r="Q3690" s="40"/>
      <c r="R3690" s="41"/>
      <c r="S3690" s="46"/>
      <c r="U3690" s="40"/>
      <c r="V3690" s="41"/>
      <c r="W3690" s="46"/>
      <c r="Y3690" s="40"/>
      <c r="Z3690" s="41"/>
      <c r="AA3690" s="46"/>
    </row>
    <row r="3691" spans="1:27">
      <c r="B3691" s="24"/>
      <c r="C3691" s="25"/>
      <c r="E3691" s="26"/>
      <c r="F3691" s="27"/>
      <c r="G3691" s="28"/>
      <c r="H3691" s="27"/>
      <c r="I3691" s="27"/>
      <c r="J3691" s="27"/>
      <c r="K3691" s="27"/>
      <c r="L3691" s="26"/>
      <c r="M3691" s="17"/>
      <c r="N3691" s="17"/>
      <c r="O3691" s="17"/>
      <c r="P3691" s="35"/>
      <c r="Q3691" s="18"/>
      <c r="R3691" s="36"/>
    </row>
    <row r="3692" spans="1:27">
      <c r="A3692" s="9" t="s">
        <v>0</v>
      </c>
      <c r="B3692" s="10"/>
      <c r="C3692" s="9" t="s">
        <v>1</v>
      </c>
      <c r="D3692" s="9" t="s">
        <v>2</v>
      </c>
      <c r="E3692" s="9" t="s">
        <v>3</v>
      </c>
      <c r="F3692" s="11" t="s">
        <v>4</v>
      </c>
      <c r="G3692" s="11" t="s">
        <v>5</v>
      </c>
      <c r="H3692" s="9" t="s">
        <v>6</v>
      </c>
      <c r="I3692" s="11" t="s">
        <v>7</v>
      </c>
      <c r="J3692" s="11" t="s">
        <v>8</v>
      </c>
      <c r="K3692" s="11" t="s">
        <v>9</v>
      </c>
      <c r="L3692" s="11" t="s">
        <v>10</v>
      </c>
      <c r="M3692" s="11" t="s">
        <v>11</v>
      </c>
      <c r="N3692" s="11" t="s">
        <v>12</v>
      </c>
      <c r="O3692" s="11" t="s">
        <v>13</v>
      </c>
      <c r="P3692" s="11" t="s">
        <v>14</v>
      </c>
      <c r="Q3692" s="37" t="s">
        <v>15</v>
      </c>
      <c r="R3692" s="42">
        <f>_xll.ciqfunctions.udf.CIQ(A3693,("IQ_LASTSALEPRICE"))</f>
        <v>9.1850000000000005</v>
      </c>
      <c r="S3692" s="44"/>
      <c r="U3692" s="37" t="s">
        <v>15</v>
      </c>
      <c r="V3692" s="42">
        <f>_xll.ciqfunctions.udf.CIQ(A3693,("IQ_LASTSALEPRICE"))</f>
        <v>9.1850000000000005</v>
      </c>
      <c r="W3692" s="44"/>
      <c r="Y3692" s="37" t="s">
        <v>15</v>
      </c>
      <c r="Z3692" s="42">
        <f>_xll.ciqfunctions.udf.CIQ(A3693,("IQ_LASTSALEPRICE"))</f>
        <v>9.1850000000000005</v>
      </c>
      <c r="AA3692" s="44"/>
    </row>
    <row r="3693" spans="1:27">
      <c r="A3693" s="12" t="str">
        <f>Analysis!B248</f>
        <v>NasdaqGS:EVCM</v>
      </c>
      <c r="B3693" s="13">
        <v>1</v>
      </c>
      <c r="C3693" s="14" t="s">
        <v>16</v>
      </c>
      <c r="D3693" s="15" t="e">
        <f>IF(A3701=A3702,_xll.ciqfunctions.udf.CIQ(A3693,"IQ_TOTAL_REV",IQ_FY-10)/I3693,_xll.ciqfunctions.udf.CIQ(A3693, "IQ_TOTAL_REV",IQ_FY-9)/I3693)</f>
        <v>#DIV/0!</v>
      </c>
      <c r="E3693" s="16"/>
      <c r="F3693" s="15">
        <f>IF(A3701=A3702,_xll.ciqfunctions.udf.CIQ(A3693,"IQ_DILUT_EPS_EXCL",IQ_FY-10), _xll.ciqfunctions.udf.CIQ(A3693, "IQ_DILUT_EPS_EXCL",IQ_FY-9))</f>
        <v>0</v>
      </c>
      <c r="G3693" s="15">
        <f>IF(A3701=A3702,_xll.ciqfunctions.udf.CIQ(A3693,"IQ_EBITDA_MARGIN",IQ_FY-10), _xll.ciqfunctions.udf.CIQ(A3693, "IQ_EBITDA_MARGIN",IQ_FY-9))</f>
        <v>0</v>
      </c>
      <c r="H3693" s="15" t="e">
        <f>IF(A3701=A3702,_xll.ciqfunctions.udf.CIQ(A3693,"IQ_TOTAL_DIV_PAID_CF",IQ_FY-10)/-I3693, _xll.ciqfunctions.udf.CIQ(A3693, "IQ_TOTAL_DIV_PAID_CF",IQ_FY-9)/-I3693)</f>
        <v>#DIV/0!</v>
      </c>
      <c r="I3693" s="17">
        <f>IF(A3701=A3702,_xll.ciqfunctions.udf.CIQ(A3693,"IQ_TOTAL_OUTSTANDING_FILING_DATE",IQ_FY-10), _xll.ciqfunctions.udf.CIQ(A3693, "IQ_TOTAL_OUTSTANDING_FILING_DATE",IQ_FY-9))</f>
        <v>0</v>
      </c>
      <c r="J3693" s="17">
        <f>IF(A3701=A3702,_xll.ciqfunctions.udf.CIQ(A3693,"IQ_CASH_OPER",IQ_FY-10), _xll.ciqfunctions.udf.CIQ(A3693, "IQ_CASH_OPER",IQ_FY-9))</f>
        <v>0</v>
      </c>
      <c r="K3693" s="17">
        <f>IF(A3701=A3702,_xll.ciqfunctions.udf.CIQ(A3693,"IQ_CAPEX",IQ_FY-10), _xll.ciqfunctions.udf.CIQ(A3693, "IQ_CAPEX",IQ_FY-9))</f>
        <v>0</v>
      </c>
      <c r="L3693" s="15" t="e">
        <f t="shared" ref="L3693:L3703" si="984">(J3693+K3693)/I3693</f>
        <v>#DIV/0!</v>
      </c>
      <c r="M3693" s="17">
        <f>IF(A3701=A3702,_xll.ciqfunctions.udf.CIQ(A3693,"IQ_TOTAL_DEBT_ISSUED",IQ_FY-10), _xll.ciqfunctions.udf.CIQ(A3693, "IQ_TOTAL_DEBT_ISSUED",IQ_FY-9))</f>
        <v>0</v>
      </c>
      <c r="N3693" s="17">
        <f>IF(A3701=A3702,_xll.ciqfunctions.udf.CIQ(A3693,"IQ_TOTAL_DEBT_REPAID",IQ_FY-10), _xll.ciqfunctions.udf.CIQ(A3693, "IQ_TOTAL_DEBT_REPAID",IQ_FY-9))</f>
        <v>0</v>
      </c>
      <c r="O3693" s="15" t="e">
        <f t="shared" ref="O3693:O3703" si="985">(M3693+N3693)/I3693</f>
        <v>#DIV/0!</v>
      </c>
      <c r="P3693" s="15" t="e">
        <f t="shared" ref="P3693:P3703" si="986">L3693+O3693</f>
        <v>#DIV/0!</v>
      </c>
      <c r="W3693" s="43"/>
      <c r="AA3693" s="43"/>
    </row>
    <row r="3694" spans="1:27">
      <c r="A3694" s="18" t="str">
        <f>_xll.ciqfunctions.udf.CIQ(A3693,"IQ_COMPANY_NAME")</f>
        <v>EverCommerce Inc.</v>
      </c>
      <c r="B3694" s="13">
        <v>2</v>
      </c>
      <c r="C3694" s="14" t="s">
        <v>17</v>
      </c>
      <c r="D3694" s="15" t="e">
        <f>IF(A3701=A3702,_xll.ciqfunctions.udf.CIQ(A3693,"IQ_TOTAL_REV",IQ_FY-9)/I3694, _xll.ciqfunctions.udf.CIQ(A3693, "IQ_TOTAL_REV",IQ_FY-8)/I3694)</f>
        <v>#DIV/0!</v>
      </c>
      <c r="E3694" s="16" t="e">
        <f t="shared" ref="E3694:E3703" si="987">(D3694-D3693)/D3693</f>
        <v>#DIV/0!</v>
      </c>
      <c r="F3694" s="15">
        <f>IF(A3701=A3702,_xll.ciqfunctions.udf.CIQ(A3693,"IQ_DILUT_EPS_EXCL",IQ_FY-9), _xll.ciqfunctions.udf.CIQ(A3693, "IQ_DILUT_EPS_EXCL",IQ_FY-8))</f>
        <v>0</v>
      </c>
      <c r="G3694" s="15">
        <f>IF(A3701=A3702,_xll.ciqfunctions.udf.CIQ(A3693,"IQ_EBITDA_MARGIN",IQ_FY-9), _xll.ciqfunctions.udf.CIQ(A3693, "IQ_EBITDA_MARGIN",IQ_FY-8))</f>
        <v>0</v>
      </c>
      <c r="H3694" s="15" t="e">
        <f>IF(A3701=A3702,_xll.ciqfunctions.udf.CIQ(A3693,"IQ_TOTAL_DIV_PAID_CF",IQ_FY-9)/-I3694, _xll.ciqfunctions.udf.CIQ(A3693, "IQ_TOTAL_DIV_PAID_CF",IQ_FY-8)/-I3694)</f>
        <v>#DIV/0!</v>
      </c>
      <c r="I3694" s="17">
        <f>IF(A3701=A3702,_xll.ciqfunctions.udf.CIQ(A3693,"IQ_TOTAL_OUTSTANDING_FILING_DATE",IQ_FY-9), _xll.ciqfunctions.udf.CIQ(A3693, "IQ_TOTAL_OUTSTANDING_FILING_DATE",IQ_FY-8))</f>
        <v>0</v>
      </c>
      <c r="J3694" s="17">
        <f>IF(A3701=A3702,_xll.ciqfunctions.udf.CIQ(A3693,"IQ_CASH_OPER",IQ_FY-9), _xll.ciqfunctions.udf.CIQ(A3693, "IQ_CASH_OPER",IQ_FY-8))</f>
        <v>0</v>
      </c>
      <c r="K3694" s="17">
        <f>IF(A3701=A3702,_xll.ciqfunctions.udf.CIQ(A3693,"IQ_CAPEX",IQ_FY-9), _xll.ciqfunctions.udf.CIQ(A3693, "IQ_CAPEX",IQ_FY-8))</f>
        <v>0</v>
      </c>
      <c r="L3694" s="15" t="e">
        <f t="shared" si="984"/>
        <v>#DIV/0!</v>
      </c>
      <c r="M3694" s="17">
        <f>IF(A3701=A3702,_xll.ciqfunctions.udf.CIQ(A3693,"IQ_TOTAL_DEBT_ISSUED",IQ_FY-9), _xll.ciqfunctions.udf.CIQ(A3693, "IQ_TOTAL_DEBT_ISSUED",IQ_FY-8))</f>
        <v>0</v>
      </c>
      <c r="N3694" s="17">
        <f>IF(A3701=A3702,_xll.ciqfunctions.udf.CIQ(A3693,"IQ_TOTAL_DEBT_REPAID",IQ_FY-9), _xll.ciqfunctions.udf.CIQ(A3693, "IQ_TOTAL_DEBT_REPAID",IQ_FY-8))</f>
        <v>0</v>
      </c>
      <c r="O3694" s="15" t="e">
        <f t="shared" si="985"/>
        <v>#DIV/0!</v>
      </c>
      <c r="P3694" s="15" t="e">
        <f t="shared" si="986"/>
        <v>#DIV/0!</v>
      </c>
      <c r="Q3694" s="25" t="s">
        <v>18</v>
      </c>
      <c r="R3694" s="39" t="s">
        <v>19</v>
      </c>
      <c r="S3694" s="1" t="e">
        <f>R3692/((AVERAGE(P3698:P3703))*(1+E3704)^3)</f>
        <v>#DIV/0!</v>
      </c>
      <c r="U3694" s="25" t="s">
        <v>48</v>
      </c>
      <c r="V3694" s="39" t="s">
        <v>19</v>
      </c>
      <c r="W3694" s="1" t="e">
        <f>V3692/((AVERAGE(P3698:P3703))*(1+E3704)^3)</f>
        <v>#DIV/0!</v>
      </c>
      <c r="Y3694" s="25" t="s">
        <v>39</v>
      </c>
      <c r="Z3694" s="39" t="s">
        <v>19</v>
      </c>
      <c r="AA3694" s="1" t="e">
        <f>Z3692/((AVERAGE(P3698:P3703))*(1+E3704)^3)</f>
        <v>#DIV/0!</v>
      </c>
    </row>
    <row r="3695" spans="1:27">
      <c r="B3695" s="13">
        <v>3</v>
      </c>
      <c r="C3695" s="14" t="s">
        <v>20</v>
      </c>
      <c r="D3695" s="15" t="e" cm="1">
        <f t="array" ref="D3695">_xlfn.SINGLE(IF(A3701=A3702,_xll.ciqfunctions.udf.CIQ(A3693,"IQ_TOTAL_REV",IQ_FY-8)/I3695, _xll.ciqfunctions.udf.CIQ(A3693, "IQ_TOTAL_REV",IQ_FY-7)/I3695))</f>
        <v>#DIV/0!</v>
      </c>
      <c r="E3695" s="16" t="e">
        <f t="shared" si="987"/>
        <v>#DIV/0!</v>
      </c>
      <c r="F3695" s="15">
        <f>IF(A3701=A3702,_xll.ciqfunctions.udf.CIQ(A3693,"IQ_DILUT_EPS_EXCL",IQ_FY-8), _xll.ciqfunctions.udf.CIQ(A3693, "IQ_DILUT_EPS_EXCL",IQ_FY-7))</f>
        <v>0</v>
      </c>
      <c r="G3695" s="15">
        <f>IF(A3701=A3702,_xll.ciqfunctions.udf.CIQ(A3693,"IQ_EBITDA_MARGIN",IQ_FY-8), _xll.ciqfunctions.udf.CIQ(A3693, "IQ_EBITDA_MARGIN",IQ_FY-7))</f>
        <v>0</v>
      </c>
      <c r="H3695" s="15" t="e">
        <f>IF(A3701=A3702,_xll.ciqfunctions.udf.CIQ(A3693,"IQ_TOTAL_DIV_PAID_CF",IQ_FY-8)/-I3695, _xll.ciqfunctions.udf.CIQ(A3693, "IQ_TOTAL_DIV_PAID_CF",IQ_FY-7)/-I3695)</f>
        <v>#DIV/0!</v>
      </c>
      <c r="I3695" s="17">
        <f>IF(A3701=A3702,_xll.ciqfunctions.udf.CIQ(A3693,"IQ_TOTAL_OUTSTANDING_FILING_DATE",IQ_FY-8), _xll.ciqfunctions.udf.CIQ(A3693, "IQ_TOTAL_OUTSTANDING_FILING_DATE",IQ_FY-7))</f>
        <v>0</v>
      </c>
      <c r="J3695" s="17">
        <f>IF(A3701=A3702,_xll.ciqfunctions.udf.CIQ(A3693,"IQ_CASH_OPER",IQ_FY-8), _xll.ciqfunctions.udf.CIQ(A3693, "IQ_CASH_OPER",IQ_FY-7))</f>
        <v>0</v>
      </c>
      <c r="K3695" s="17">
        <f>IF(A3701=A3702,_xll.ciqfunctions.udf.CIQ(A3693,"IQ_CAPEX",IQ_FY-8), _xll.ciqfunctions.udf.CIQ(A3693, "IQ_CAPEX",IQ_FY-7))</f>
        <v>0</v>
      </c>
      <c r="L3695" s="15" t="e">
        <f t="shared" si="984"/>
        <v>#DIV/0!</v>
      </c>
      <c r="M3695" s="17">
        <f>IF(A3701=A3702,_xll.ciqfunctions.udf.CIQ(A3693,"IQ_TOTAL_DEBT_ISSUED",IQ_FY-8), _xll.ciqfunctions.udf.CIQ(A3693, "IQ_TOTAL_DEBT_ISSUED",IQ_FY-7))</f>
        <v>0</v>
      </c>
      <c r="N3695" s="17">
        <f>IF(A3701=A3702,_xll.ciqfunctions.udf.CIQ(A3693,"IQ_TOTAL_DEBT_REPAID",IQ_FY-8), _xll.ciqfunctions.udf.CIQ(A3693, "IQ_TOTAL_DEBT_REPAID",IQ_FY-7))</f>
        <v>0</v>
      </c>
      <c r="O3695" s="15" t="e">
        <f t="shared" si="985"/>
        <v>#DIV/0!</v>
      </c>
      <c r="P3695" s="15" t="e">
        <f t="shared" si="986"/>
        <v>#DIV/0!</v>
      </c>
      <c r="Q3695" s="25" t="s">
        <v>21</v>
      </c>
      <c r="R3695" s="38" t="s">
        <v>49</v>
      </c>
      <c r="S3695" s="2">
        <f>(R3692*I3703)/1000</f>
        <v>1.7328294247</v>
      </c>
      <c r="U3695" s="25" t="s">
        <v>59</v>
      </c>
      <c r="V3695" s="38" t="s">
        <v>49</v>
      </c>
      <c r="W3695" s="2">
        <f>(V3692*I3703)/1000</f>
        <v>1.7328294247</v>
      </c>
      <c r="Y3695" s="25" t="s">
        <v>46</v>
      </c>
      <c r="Z3695" s="38" t="s">
        <v>49</v>
      </c>
      <c r="AA3695" s="2">
        <f>(Z3692*I3703)/1000</f>
        <v>1.7328294247</v>
      </c>
    </row>
    <row r="3696" spans="1:27">
      <c r="A3696" s="18"/>
      <c r="B3696" s="13">
        <v>4</v>
      </c>
      <c r="C3696" s="14" t="s">
        <v>22</v>
      </c>
      <c r="D3696" s="15" t="e" cm="1">
        <f t="array" ref="D3696">_xlfn.SINGLE(IF(A3701=A3702,_xll.ciqfunctions.udf.CIQ(A3693,"IQ_TOTAL_REV",IQ_FY-7)/I3696, _xll.ciqfunctions.udf.CIQ(A3693, "IQ_TOTAL_REV",IQ_FY-6)/I3696))</f>
        <v>#DIV/0!</v>
      </c>
      <c r="E3696" s="16" t="e">
        <f t="shared" si="987"/>
        <v>#DIV/0!</v>
      </c>
      <c r="F3696" s="15">
        <f>IF(A3701=A3702,_xll.ciqfunctions.udf.CIQ(A3693,"IQ_DILUT_EPS_EXCL",IQ_FY-7), _xll.ciqfunctions.udf.CIQ(A3693, "IQ_DILUT_EPS_EXCL",IQ_FY-6))</f>
        <v>0</v>
      </c>
      <c r="G3696" s="15">
        <f>IF(A3701=A3702,_xll.ciqfunctions.udf.CIQ(A3693,"IQ_EBITDA_MARGIN",IQ_FY-7), _xll.ciqfunctions.udf.CIQ(A3693, "IQ_EBITDA_MARGIN",IQ_FY-6))</f>
        <v>0</v>
      </c>
      <c r="H3696" s="15" t="e">
        <f>IF(A3701=A3702,_xll.ciqfunctions.udf.CIQ(A3693,"IQ_TOTAL_DIV_PAID_CF",IQ_FY-7)/-I3696, _xll.ciqfunctions.udf.CIQ(A3693, "IQ_TOTAL_DIV_PAID_CF",IQ_FY-6)/-I3696)</f>
        <v>#DIV/0!</v>
      </c>
      <c r="I3696" s="17">
        <f>IF(A3701=A3702,_xll.ciqfunctions.udf.CIQ(A3693,"IQ_TOTAL_OUTSTANDING_FILING_DATE",IQ_FY-7), _xll.ciqfunctions.udf.CIQ(A3693, "IQ_TOTAL_OUTSTANDING_FILING_DATE",IQ_FY-6))</f>
        <v>0</v>
      </c>
      <c r="J3696" s="17">
        <f>IF(A3701=A3702,_xll.ciqfunctions.udf.CIQ(A3693,"IQ_CASH_OPER",IQ_FY-7), _xll.ciqfunctions.udf.CIQ(A3693, "IQ_CASH_OPER",IQ_FY-6))</f>
        <v>0</v>
      </c>
      <c r="K3696" s="17">
        <f>IF(A3701=A3702,_xll.ciqfunctions.udf.CIQ(A3693,"IQ_CAPEX",IQ_FY-7), _xll.ciqfunctions.udf.CIQ(A3693, "IQ_CAPEX",IQ_FY-6))</f>
        <v>0</v>
      </c>
      <c r="L3696" s="15" t="e">
        <f t="shared" si="984"/>
        <v>#DIV/0!</v>
      </c>
      <c r="M3696" s="17">
        <f>IF(A3701=A3702,_xll.ciqfunctions.udf.CIQ(A3693,"IQ_TOTAL_DEBT_ISSUED",IQ_FY-7), _xll.ciqfunctions.udf.CIQ(A3693, "IQ_TOTAL_DEBT_ISSUED",IQ_FY-6))</f>
        <v>0</v>
      </c>
      <c r="N3696" s="17">
        <f>IF(A3701=A3702,_xll.ciqfunctions.udf.CIQ(A3693,"IQ_TOTAL_DEBT_REPAID",IQ_FY-7), _xll.ciqfunctions.udf.CIQ(A3693, "IQ_TOTAL_DEBT_REPAID",IQ_FY-6))</f>
        <v>0</v>
      </c>
      <c r="O3696" s="15" t="e">
        <f t="shared" si="985"/>
        <v>#DIV/0!</v>
      </c>
      <c r="P3696" s="15" t="e">
        <f t="shared" si="986"/>
        <v>#DIV/0!</v>
      </c>
      <c r="Q3696" s="25" t="s">
        <v>23</v>
      </c>
      <c r="R3696" s="38" t="s">
        <v>24</v>
      </c>
      <c r="S3696" s="1" t="e">
        <f>R3692/(AVERAGE(H3698:H3703)*(1+H3704)/(0.5-H3704))</f>
        <v>#DIV/0!</v>
      </c>
      <c r="U3696" s="25" t="s">
        <v>40</v>
      </c>
      <c r="V3696" s="38" t="s">
        <v>24</v>
      </c>
      <c r="W3696" s="1" t="e">
        <f>V3692/(AVERAGE(H3698:H3703)*(1+H3704)/(0.5-H3704))</f>
        <v>#DIV/0!</v>
      </c>
      <c r="Y3696" s="25" t="s">
        <v>47</v>
      </c>
      <c r="Z3696" s="38" t="s">
        <v>24</v>
      </c>
      <c r="AA3696" s="1" t="e">
        <f>Z3692/(AVERAGE(H3698:H3703)*(1+H3704)/(0.5-H3704))</f>
        <v>#DIV/0!</v>
      </c>
    </row>
    <row r="3697" spans="1:27">
      <c r="B3697" s="13">
        <v>5</v>
      </c>
      <c r="C3697" s="14" t="s">
        <v>25</v>
      </c>
      <c r="D3697" s="15" t="e" cm="1">
        <f t="array" ref="D3697">_xlfn.SINGLE(IF(A3701=A3702,_xll.ciqfunctions.udf.CIQ(A3693,"IQ_TOTAL_REV",IQ_FY-6)/I3697, _xll.ciqfunctions.udf.CIQ(A3693, "IQ_TOTAL_REV",IQ_FY-5)/I3697))</f>
        <v>#DIV/0!</v>
      </c>
      <c r="E3697" s="16" t="e">
        <f t="shared" si="987"/>
        <v>#DIV/0!</v>
      </c>
      <c r="F3697" s="15">
        <f>IF(A3701=A3702,_xll.ciqfunctions.udf.CIQ(A3693,"IQ_DILUT_EPS_EXCL",IQ_FY-6), _xll.ciqfunctions.udf.CIQ(A3693, "IQ_DILUT_EPS_EXCL",IQ_FY-5))</f>
        <v>0</v>
      </c>
      <c r="G3697" s="15">
        <f>IF(A3701=A3702,_xll.ciqfunctions.udf.CIQ(A3693,"IQ_EBITDA_MARGIN",IQ_FY-6), _xll.ciqfunctions.udf.CIQ(A3693, "IQ_EBITDA_MARGIN",IQ_FY-5))</f>
        <v>0</v>
      </c>
      <c r="H3697" s="15" t="e">
        <f>IF(A3701=A3702,_xll.ciqfunctions.udf.CIQ(A3693,"IQ_TOTAL_DIV_PAID_CF",IQ_FY-6)/-I3697, _xll.ciqfunctions.udf.CIQ(A3693, "IQ_TOTAL_DIV_PAID_CF",IQ_FY-5)/-I3697)</f>
        <v>#DIV/0!</v>
      </c>
      <c r="I3697" s="17">
        <f>IF(A3701=A3702,_xll.ciqfunctions.udf.CIQ(A3693,"IQ_TOTAL_OUTSTANDING_FILING_DATE",IQ_FY-6), _xll.ciqfunctions.udf.CIQ(A3693, "IQ_TOTAL_OUTSTANDING_FILING_DATE",IQ_FY-5))</f>
        <v>0</v>
      </c>
      <c r="J3697" s="17">
        <f>IF(A3701=A3702,_xll.ciqfunctions.udf.CIQ(A3693,"IQ_CASH_OPER",IQ_FY-6), _xll.ciqfunctions.udf.CIQ(A3693, "IQ_CASH_OPER",IQ_FY-5))</f>
        <v>0</v>
      </c>
      <c r="K3697" s="17">
        <f>IF(A3701=A3702,_xll.ciqfunctions.udf.CIQ(A3693,"IQ_CAPEX",IQ_FY-6), _xll.ciqfunctions.udf.CIQ(A3693, "IQ_CAPEX",IQ_FY-5))</f>
        <v>0</v>
      </c>
      <c r="L3697" s="15" t="e">
        <f t="shared" si="984"/>
        <v>#DIV/0!</v>
      </c>
      <c r="M3697" s="17">
        <f>IF(A3701=A3702,_xll.ciqfunctions.udf.CIQ(A3693,"IQ_TOTAL_DEBT_ISSUED",IQ_FY-6), _xll.ciqfunctions.udf.CIQ(A3693, "IQ_TOTAL_DEBT_ISSUED",IQ_FY-5))</f>
        <v>0</v>
      </c>
      <c r="N3697" s="17">
        <f>IF(A3701=A3702,_xll.ciqfunctions.udf.CIQ(A3693,"IQ_TOTAL_DEBT_REPAID",IQ_FY-6), _xll.ciqfunctions.udf.CIQ(A3693, "IQ_TOTAL_DEBT_REPAID",IQ_FY-5))</f>
        <v>0</v>
      </c>
      <c r="O3697" s="15" t="e">
        <f t="shared" si="985"/>
        <v>#DIV/0!</v>
      </c>
      <c r="P3697" s="15" t="e">
        <f t="shared" si="986"/>
        <v>#DIV/0!</v>
      </c>
      <c r="Q3697" s="18"/>
      <c r="R3697" s="38" t="s">
        <v>50</v>
      </c>
      <c r="S3697" s="3" t="e">
        <f>I3704</f>
        <v>#DIV/0!</v>
      </c>
      <c r="U3697" s="18"/>
      <c r="V3697" s="38" t="s">
        <v>50</v>
      </c>
      <c r="W3697" s="3" t="e">
        <f>I3704</f>
        <v>#DIV/0!</v>
      </c>
      <c r="Y3697" s="18"/>
      <c r="Z3697" s="38" t="s">
        <v>50</v>
      </c>
      <c r="AA3697" s="3" t="e">
        <f>I3704</f>
        <v>#DIV/0!</v>
      </c>
    </row>
    <row r="3698" spans="1:27">
      <c r="B3698" s="13">
        <v>6</v>
      </c>
      <c r="C3698" s="14" t="s">
        <v>26</v>
      </c>
      <c r="D3698" s="15" t="e" cm="1">
        <f t="array" ref="D3698">_xlfn.SINGLE(IF(A3701=A3702,_xll.ciqfunctions.udf.CIQ(A3693,"IQ_TOTAL_REV",IQ_FY-5)/I3698, _xll.ciqfunctions.udf.CIQ(A3693, "IQ_TOTAL_REV",IQ_FY-4)/I3698))</f>
        <v>#DIV/0!</v>
      </c>
      <c r="E3698" s="16" t="e">
        <f t="shared" si="987"/>
        <v>#DIV/0!</v>
      </c>
      <c r="F3698" s="15">
        <f>IF(A3701=A3702,_xll.ciqfunctions.udf.CIQ(A3693,"IQ_DILUT_EPS_EXCL",IQ_FY-5), _xll.ciqfunctions.udf.CIQ(A3693, "IQ_DILUT_EPS_EXCL",IQ_FY-4))</f>
        <v>0</v>
      </c>
      <c r="G3698" s="15">
        <f>IF(A3701=A3702,_xll.ciqfunctions.udf.CIQ(A3693,"IQ_EBITDA_MARGIN",IQ_FY-5), _xll.ciqfunctions.udf.CIQ(A3693, "IQ_EBITDA_MARGIN",IQ_FY-4))</f>
        <v>0</v>
      </c>
      <c r="H3698" s="15" t="e">
        <f>IF(A3701=A3702,_xll.ciqfunctions.udf.CIQ(A3693,"IQ_TOTAL_DIV_PAID_CF",IQ_FY-5)/-I3698, _xll.ciqfunctions.udf.CIQ(A3693, "IQ_TOTAL_DIV_PAID_CF",IQ_FY-4)/-I3698)</f>
        <v>#DIV/0!</v>
      </c>
      <c r="I3698" s="17">
        <f>IF(A3701=A3702,_xll.ciqfunctions.udf.CIQ(A3693,"IQ_TOTAL_OUTSTANDING_FILING_DATE",IQ_FY-5), _xll.ciqfunctions.udf.CIQ(A3693, "IQ_TOTAL_OUTSTANDING_FILING_DATE",IQ_FY-4))</f>
        <v>0</v>
      </c>
      <c r="J3698" s="17">
        <f>IF(A3701=A3702,_xll.ciqfunctions.udf.CIQ(A3693,"IQ_CASH_OPER",IQ_FY-5), _xll.ciqfunctions.udf.CIQ(A3693, "IQ_CASH_OPER",IQ_FY-4))</f>
        <v>0</v>
      </c>
      <c r="K3698" s="17">
        <f>IF(A3701=A3702,_xll.ciqfunctions.udf.CIQ(A3693,"IQ_CAPEX",IQ_FY-5), _xll.ciqfunctions.udf.CIQ(A3693, "IQ_CAPEX",IQ_FY-4))</f>
        <v>0</v>
      </c>
      <c r="L3698" s="15" t="e">
        <f t="shared" si="984"/>
        <v>#DIV/0!</v>
      </c>
      <c r="M3698" s="17">
        <f>IF(A3701=A3702,_xll.ciqfunctions.udf.CIQ(A3693,"IQ_TOTAL_DEBT_ISSUED",IQ_FY-5), _xll.ciqfunctions.udf.CIQ(A3693, "IQ_TOTAL_DEBT_ISSUED",IQ_FY-4))</f>
        <v>0</v>
      </c>
      <c r="N3698" s="17">
        <f>IF(A3701=A3702,_xll.ciqfunctions.udf.CIQ(A3693,"IQ_TOTAL_DEBT_REPAID",IQ_FY-5), _xll.ciqfunctions.udf.CIQ(A3693, "IQ_TOTAL_DEBT_REPAID",IQ_FY-4))</f>
        <v>0</v>
      </c>
      <c r="O3698" s="15" t="e">
        <f t="shared" si="985"/>
        <v>#DIV/0!</v>
      </c>
      <c r="P3698" s="15" t="e">
        <f t="shared" si="986"/>
        <v>#DIV/0!</v>
      </c>
      <c r="Q3698" s="25" t="s">
        <v>27</v>
      </c>
      <c r="R3698" s="38" t="s">
        <v>51</v>
      </c>
      <c r="S3698" s="4" t="e">
        <f>AVERAGE(F3698:F3703)/AVERAGE(D3698:D3703)</f>
        <v>#DIV/0!</v>
      </c>
      <c r="U3698" s="25" t="s">
        <v>58</v>
      </c>
      <c r="V3698" s="38" t="s">
        <v>51</v>
      </c>
      <c r="W3698" s="4" t="e">
        <f>AVERAGE(F3698:F3703)/AVERAGE(D3698:D3703)</f>
        <v>#DIV/0!</v>
      </c>
      <c r="Y3698" s="25" t="s">
        <v>56</v>
      </c>
      <c r="Z3698" s="38" t="s">
        <v>51</v>
      </c>
      <c r="AA3698" s="4" t="e">
        <f>AVERAGE(F3698:F3703)/AVERAGE(D3698:D3703)</f>
        <v>#DIV/0!</v>
      </c>
    </row>
    <row r="3699" spans="1:27">
      <c r="A3699" s="18"/>
      <c r="B3699" s="13">
        <v>7</v>
      </c>
      <c r="C3699" s="14" t="s">
        <v>28</v>
      </c>
      <c r="D3699" s="15" cm="1">
        <f t="array" ref="D3699">_xlfn.SINGLE(IF(A3701=A3702,_xll.ciqfunctions.udf.CIQ(A3693,"IQ_TOTAL_REV",IQ_FY-4)/I3699, _xll.ciqfunctions.udf.CIQ(A3693, "IQ_TOTAL_REV",IQ_FY-3)/I3699))</f>
        <v>8.9342950639663528</v>
      </c>
      <c r="E3699" s="16" t="e">
        <f t="shared" si="987"/>
        <v>#DIV/0!</v>
      </c>
      <c r="F3699" s="15">
        <f>IF(A3701=A3702,_xll.ciqfunctions.udf.CIQ(A3693,"IQ_DILUT_EPS_EXCL",IQ_FY-4), _xll.ciqfunctions.udf.CIQ(A3693, "IQ_DILUT_EPS_EXCL",IQ_FY-3))</f>
        <v>-14.134510000000001</v>
      </c>
      <c r="G3699" s="15">
        <f>IF(A3701=A3702,_xll.ciqfunctions.udf.CIQ(A3693,"IQ_EBITDA_MARGIN",IQ_FY-4), _xll.ciqfunctions.udf.CIQ(A3693, "IQ_EBITDA_MARGIN",IQ_FY-3))</f>
        <v>-1.0348999999999999</v>
      </c>
      <c r="H3699" s="15">
        <f>IF(A3701=A3702,_xll.ciqfunctions.udf.CIQ(A3693,"IQ_TOTAL_DIV_PAID_CF",IQ_FY-4)/-I3699, _xll.ciqfunctions.udf.CIQ(A3693, "IQ_TOTAL_DIV_PAID_CF",IQ_FY-3)/-I3699)</f>
        <v>0</v>
      </c>
      <c r="I3699" s="17">
        <f>IF(A3701=A3702,_xll.ciqfunctions.udf.CIQ(A3693,"IQ_TOTAL_OUTSTANDING_FILING_DATE",IQ_FY-4), _xll.ciqfunctions.udf.CIQ(A3693, "IQ_TOTAL_OUTSTANDING_FILING_DATE",IQ_FY-3))</f>
        <v>27.102530000000002</v>
      </c>
      <c r="J3699" s="17">
        <f>IF(A3701=A3702,_xll.ciqfunctions.udf.CIQ(A3693,"IQ_CASH_OPER",IQ_FY-4), _xll.ciqfunctions.udf.CIQ(A3693, "IQ_CASH_OPER",IQ_FY-3))</f>
        <v>-0.61299999999999999</v>
      </c>
      <c r="K3699" s="17">
        <f>IF(A3701=A3702,_xll.ciqfunctions.udf.CIQ(A3693,"IQ_CAPEX",IQ_FY-4), _xll.ciqfunctions.udf.CIQ(A3693, "IQ_CAPEX",IQ_FY-3))</f>
        <v>-7.665</v>
      </c>
      <c r="L3699" s="15">
        <f t="shared" si="984"/>
        <v>-0.30543274004308824</v>
      </c>
      <c r="M3699" s="17">
        <f>IF(A3701=A3702,_xll.ciqfunctions.udf.CIQ(A3693,"IQ_TOTAL_DEBT_ISSUED",IQ_FY-4), _xll.ciqfunctions.udf.CIQ(A3693, "IQ_TOTAL_DEBT_ISSUED",IQ_FY-3))</f>
        <v>688.39099999999996</v>
      </c>
      <c r="N3699" s="17">
        <f>IF(A3701=A3702,_xll.ciqfunctions.udf.CIQ(A3693,"IQ_TOTAL_DEBT_REPAID",IQ_FY-4), _xll.ciqfunctions.udf.CIQ(A3693, "IQ_TOTAL_DEBT_REPAID",IQ_FY-3))</f>
        <v>-474.89499999999998</v>
      </c>
      <c r="O3699" s="15">
        <f t="shared" si="985"/>
        <v>7.8773457680888086</v>
      </c>
      <c r="P3699" s="15">
        <f t="shared" si="986"/>
        <v>7.5719130280457208</v>
      </c>
      <c r="Q3699" s="18"/>
      <c r="R3699" s="38" t="s">
        <v>29</v>
      </c>
      <c r="S3699" s="4" t="e">
        <f>(AVERAGE(P3698:P3703)/_xlfn.STDEV.P(P3698:P3703))/(IF(A3701=A3702,(_xlfn.SINGLE(_xll.ciqfunctions.udf.CIQ(A3693,"IQ_total_assets",IQ_FY)) - _xlfn.SINGLE(_xll.ciqfunctions.udf.CIQ(A3693,"iq_gw_intan", IQ_FY)))/I3703, (_xlfn.SINGLE(_xll.ciqfunctions.udf.CIQ(A3693, "IQ_total_assets",IQ_LTM))-_xlfn.SINGLE(_xll.ciqfunctions.udf.CIQ(A3693,"iq_gw_intan",IQ_LTM)))/I3703))</f>
        <v>#DIV/0!</v>
      </c>
      <c r="U3699" s="18"/>
      <c r="V3699" s="38" t="s">
        <v>29</v>
      </c>
      <c r="W3699" s="4" t="e">
        <f>(AVERAGE(P3698:P3703)/_xlfn.STDEV.P(P3698:P3703))/(IF(A3701=A3702,(_xlfn.SINGLE(_xll.ciqfunctions.udf.CIQ(A3693,"IQ_total_assets",IQ_FY)) - _xlfn.SINGLE(_xll.ciqfunctions.udf.CIQ(A3693,"iq_gw_intan", IQ_FY)))/I3703, (_xlfn.SINGLE(_xll.ciqfunctions.udf.CIQ(A3693, "IQ_total_assets",IQ_LTM))-_xlfn.SINGLE(_xll.ciqfunctions.udf.CIQ(A3693,"iq_gw_intan",IQ_LTM)))/I3703))</f>
        <v>#DIV/0!</v>
      </c>
      <c r="Y3699" s="18"/>
      <c r="Z3699" s="38" t="s">
        <v>29</v>
      </c>
      <c r="AA3699" s="4" t="e">
        <f>(AVERAGE(P3698:P3703)/_xlfn.STDEV.P(P3698:P3703))/(IF(A3701=A3702,(_xlfn.SINGLE(_xll.ciqfunctions.udf.CIQ(A3693,"IQ_total_assets",IQ_FY)) - _xlfn.SINGLE(_xll.ciqfunctions.udf.CIQ(A3693,"iq_gw_intan", IQ_FY)))/I3703, (_xlfn.SINGLE(_xll.ciqfunctions.udf.CIQ(A3693, "IQ_total_assets",IQ_LTM))-_xlfn.SINGLE(_xll.ciqfunctions.udf.CIQ(A3693,"iq_gw_intan",IQ_LTM)))/I3703))</f>
        <v>#DIV/0!</v>
      </c>
    </row>
    <row r="3700" spans="1:27">
      <c r="A3700" s="18"/>
      <c r="B3700" s="13">
        <v>8</v>
      </c>
      <c r="C3700" s="14" t="s">
        <v>30</v>
      </c>
      <c r="D3700" s="15" cm="1">
        <f t="array" ref="D3700">_xlfn.SINGLE(IF(A3701=A3702,_xll.ciqfunctions.udf.CIQ(A3693,"IQ_TOTAL_REV",IQ_FY-3)/I3700, _xll.ciqfunctions.udf.CIQ(A3693, "IQ_TOTAL_REV",IQ_FY-2)/I3700))</f>
        <v>7.8360553966921058</v>
      </c>
      <c r="E3700" s="16">
        <f t="shared" si="987"/>
        <v>-0.12292404262577453</v>
      </c>
      <c r="F3700" s="15">
        <f>IF(A3701=A3702,_xll.ciqfunctions.udf.CIQ(A3693,"IQ_DILUT_EPS_EXCL",IQ_FY-3), _xll.ciqfunctions.udf.CIQ(A3693, "IQ_DILUT_EPS_EXCL",IQ_FY-2))</f>
        <v>-3.0641400000000001</v>
      </c>
      <c r="G3700" s="15">
        <f>IF(A3701=A3702,_xll.ciqfunctions.udf.CIQ(A3693,"IQ_EBITDA_MARGIN",IQ_FY-3), _xll.ciqfunctions.udf.CIQ(A3693, "IQ_EBITDA_MARGIN",IQ_FY-2))</f>
        <v>20.118500000000001</v>
      </c>
      <c r="H3700" s="15">
        <f>IF(A3701=A3702,_xll.ciqfunctions.udf.CIQ(A3693,"IQ_TOTAL_DIV_PAID_CF",IQ_FY-3)/-I3700, _xll.ciqfunctions.udf.CIQ(A3693, "IQ_TOTAL_DIV_PAID_CF",IQ_FY-2)/-I3700)</f>
        <v>0</v>
      </c>
      <c r="I3700" s="17">
        <f>IF(A3701=A3702,_xll.ciqfunctions.udf.CIQ(A3693,"IQ_TOTAL_OUTSTANDING_FILING_DATE",IQ_FY-3), _xll.ciqfunctions.udf.CIQ(A3693, "IQ_TOTAL_OUTSTANDING_FILING_DATE",IQ_FY-2))</f>
        <v>43.073329999999999</v>
      </c>
      <c r="J3700" s="17">
        <f>IF(A3701=A3702,_xll.ciqfunctions.udf.CIQ(A3693,"IQ_CASH_OPER",IQ_FY-3), _xll.ciqfunctions.udf.CIQ(A3693, "IQ_CASH_OPER",IQ_FY-2))</f>
        <v>57.539000000000001</v>
      </c>
      <c r="K3700" s="17">
        <f>IF(A3701=A3702,_xll.ciqfunctions.udf.CIQ(A3693,"IQ_CAPEX",IQ_FY-3), _xll.ciqfunctions.udf.CIQ(A3693, "IQ_CAPEX",IQ_FY-2))</f>
        <v>-4.5250000000000004</v>
      </c>
      <c r="L3700" s="15">
        <f t="shared" si="984"/>
        <v>1.2307848034967346</v>
      </c>
      <c r="M3700" s="17">
        <f>IF(A3701=A3702,_xll.ciqfunctions.udf.CIQ(A3693,"IQ_TOTAL_DEBT_ISSUED",IQ_FY-3), _xll.ciqfunctions.udf.CIQ(A3693, "IQ_TOTAL_DEBT_ISSUED",IQ_FY-2))</f>
        <v>314.66800000000001</v>
      </c>
      <c r="N3700" s="17">
        <f>IF(A3701=A3702,_xll.ciqfunctions.udf.CIQ(A3693,"IQ_TOTAL_DEBT_REPAID",IQ_FY-3), _xll.ciqfunctions.udf.CIQ(A3693, "IQ_TOTAL_DEBT_REPAID",IQ_FY-2))</f>
        <v>-55.890999999999998</v>
      </c>
      <c r="O3700" s="15">
        <f t="shared" si="985"/>
        <v>6.0078243312044828</v>
      </c>
      <c r="P3700" s="15">
        <f t="shared" si="986"/>
        <v>7.2386091347012176</v>
      </c>
      <c r="Q3700" s="18"/>
      <c r="R3700" s="39" t="s">
        <v>31</v>
      </c>
      <c r="S3700" s="5" t="e">
        <f>IF(NOT(D3693&gt;0),FALSE,SLOPE(G3693:G3703,B3693:B3703))</f>
        <v>#DIV/0!</v>
      </c>
      <c r="U3700" s="18"/>
      <c r="V3700" s="39" t="s">
        <v>31</v>
      </c>
      <c r="W3700" s="5" t="e">
        <f>IF(NOT(D3693&gt;0),FALSE,SLOPE(G3693:G3703,B3693:B3703))</f>
        <v>#DIV/0!</v>
      </c>
      <c r="Y3700" s="18"/>
      <c r="Z3700" s="39" t="s">
        <v>31</v>
      </c>
      <c r="AA3700" s="5" t="e">
        <f>IF(NOT(L3693&gt;0),FALSE,SLOPE(O3693:O3703,J3693:J3703))</f>
        <v>#DIV/0!</v>
      </c>
    </row>
    <row r="3701" spans="1:27">
      <c r="A3701" s="19">
        <f>_xll.ciqfunctions.udf.CIQ(A3693,"IQ_TOTAL_REV",IQ_FY)</f>
        <v>620.74599999999998</v>
      </c>
      <c r="B3701" s="13">
        <v>9</v>
      </c>
      <c r="C3701" s="14" t="s">
        <v>32</v>
      </c>
      <c r="D3701" s="15" cm="1">
        <f t="array" ref="D3701">_xlfn.SINGLE(IF(A3701=A3702,_xll.ciqfunctions.udf.CIQ(A3693,"IQ_TOTAL_REV",IQ_FY-2)/I3701, _xll.ciqfunctions.udf.CIQ(A3693, "IQ_TOTAL_REV",IQ_FY-1)/I3701))</f>
        <v>2.5075988114078123</v>
      </c>
      <c r="E3701" s="16">
        <f t="shared" si="987"/>
        <v>-0.67999220469187027</v>
      </c>
      <c r="F3701" s="15">
        <f>IF(A3701=A3702,_xll.ciqfunctions.udf.CIQ(A3693,"IQ_DILUT_EPS_EXCL",IQ_FY-2), _xll.ciqfunctions.udf.CIQ(A3693, "IQ_DILUT_EPS_EXCL",IQ_FY-1))</f>
        <v>-0.82406999999999997</v>
      </c>
      <c r="G3701" s="15">
        <f>IF(A3701=A3702,_xll.ciqfunctions.udf.CIQ(A3693,"IQ_EBITDA_MARGIN",IQ_FY-2), _xll.ciqfunctions.udf.CIQ(A3693, "IQ_EBITDA_MARGIN",IQ_FY-1))</f>
        <v>16.1066</v>
      </c>
      <c r="H3701" s="15">
        <f>IF(A3701=A3702,_xll.ciqfunctions.udf.CIQ(A3693,"IQ_TOTAL_DIV_PAID_CF",IQ_FY-2)/-I3701, _xll.ciqfunctions.udf.CIQ(A3693, "IQ_TOTAL_DIV_PAID_CF",IQ_FY-1)/-I3701)</f>
        <v>0</v>
      </c>
      <c r="I3701" s="17">
        <f>IF(A3701=A3702,_xll.ciqfunctions.udf.CIQ(A3693,"IQ_TOTAL_OUTSTANDING_FILING_DATE",IQ_FY-2), _xll.ciqfunctions.udf.CIQ(A3693, "IQ_TOTAL_OUTSTANDING_FILING_DATE",IQ_FY-1))</f>
        <v>195.46149</v>
      </c>
      <c r="J3701" s="17">
        <f>IF(A3701=A3702,_xll.ciqfunctions.udf.CIQ(A3693,"IQ_CASH_OPER",IQ_FY-2), _xll.ciqfunctions.udf.CIQ(A3693, "IQ_CASH_OPER",IQ_FY-1))</f>
        <v>37.481999999999999</v>
      </c>
      <c r="K3701" s="17">
        <f>IF(A3701=A3702,_xll.ciqfunctions.udf.CIQ(A3693,"IQ_CAPEX",IQ_FY-2), _xll.ciqfunctions.udf.CIQ(A3693, "IQ_CAPEX",IQ_FY-1))</f>
        <v>-3.1030000000000002</v>
      </c>
      <c r="L3701" s="15">
        <f t="shared" si="984"/>
        <v>0.17588630885807735</v>
      </c>
      <c r="M3701" s="17">
        <f>IF(A3701=A3702,_xll.ciqfunctions.udf.CIQ(A3693,"IQ_TOTAL_DEBT_ISSUED",IQ_FY-2), _xll.ciqfunctions.udf.CIQ(A3693, "IQ_TOTAL_DEBT_ISSUED",IQ_FY-1))</f>
        <v>850.96600000000001</v>
      </c>
      <c r="N3701" s="17">
        <f>IF(A3701=A3702,_xll.ciqfunctions.udf.CIQ(A3693,"IQ_TOTAL_DEBT_REPAID",IQ_FY-2), _xll.ciqfunctions.udf.CIQ(A3693, "IQ_TOTAL_DEBT_REPAID",IQ_FY-1))</f>
        <v>-1028.4570000000001</v>
      </c>
      <c r="O3701" s="15">
        <f t="shared" si="985"/>
        <v>-0.90806122474560125</v>
      </c>
      <c r="P3701" s="15">
        <f t="shared" si="986"/>
        <v>-0.73217491588752392</v>
      </c>
      <c r="Q3701" s="25" t="s">
        <v>33</v>
      </c>
      <c r="R3701" s="38" t="s">
        <v>52</v>
      </c>
      <c r="S3701" s="4" t="e">
        <f>(AVERAGE(O3698:O3703)/AVERAGE(P3698:P3703))</f>
        <v>#DIV/0!</v>
      </c>
      <c r="U3701" s="25" t="s">
        <v>54</v>
      </c>
      <c r="V3701" s="38" t="s">
        <v>52</v>
      </c>
      <c r="W3701" s="4" t="e">
        <f>(AVERAGE(O3698:O3703)/AVERAGE(P3698:P3703))</f>
        <v>#DIV/0!</v>
      </c>
      <c r="Y3701" s="25" t="s">
        <v>60</v>
      </c>
      <c r="Z3701" s="38" t="s">
        <v>52</v>
      </c>
      <c r="AA3701" s="4" t="e">
        <f>(AVERAGE(O3698:O3703)/AVERAGE(P3698:P3703))</f>
        <v>#DIV/0!</v>
      </c>
    </row>
    <row r="3702" spans="1:27">
      <c r="A3702" s="19">
        <f>_xll.ciqfunctions.udf.CIQ(A3693,"IQ_TOTAL_REV",IQ_LTM)</f>
        <v>667.72699999999998</v>
      </c>
      <c r="B3702" s="13">
        <v>10</v>
      </c>
      <c r="C3702" s="14" t="s">
        <v>34</v>
      </c>
      <c r="D3702" s="15" cm="1">
        <f t="array" ref="D3702">_xlfn.SINGLE(IF(A3701=A3702,_xll.ciqfunctions.udf.CIQ(A3693,"IQ_TOTAL_REV",IQ_FY-1)/I3702, _xll.ciqfunctions.udf.CIQ(A3693, "IQ_TOTAL_REV",IQ_FY)/I3702))</f>
        <v>3.2758187501949276</v>
      </c>
      <c r="E3702" s="16">
        <f t="shared" si="987"/>
        <v>0.30635679650678349</v>
      </c>
      <c r="F3702" s="15">
        <f>IF(A3701=A3702,_xll.ciqfunctions.udf.CIQ(A3693,"IQ_DILUT_EPS_EXCL",IQ_FY-1), _xll.ciqfunctions.udf.CIQ(A3693, "IQ_DILUT_EPS_EXCL",IQ_FY))</f>
        <v>-0.30734</v>
      </c>
      <c r="G3702" s="15">
        <f>IF(A3701=A3702,_xll.ciqfunctions.udf.CIQ(A3693,"IQ_EBITDA_MARGIN",IQ_FY-1), _xll.ciqfunctions.udf.CIQ(A3693, "IQ_EBITDA_MARGIN",IQ_FY))</f>
        <v>12.002800000000001</v>
      </c>
      <c r="H3702" s="15">
        <f>IF(A3701=A3702,_xll.ciqfunctions.udf.CIQ(A3693,"IQ_TOTAL_DIV_PAID_CF",IQ_FY-1)/-I3702, _xll.ciqfunctions.udf.CIQ(A3693, "IQ_TOTAL_DIV_PAID_CF",IQ_FY)/-I3702)</f>
        <v>0</v>
      </c>
      <c r="I3702" s="17">
        <f>IF(A3701=A3702,_xll.ciqfunctions.udf.CIQ(A3693,"IQ_TOTAL_OUTSTANDING_FILING_DATE",IQ_FY-1), _xll.ciqfunctions.udf.CIQ(A3693, "IQ_TOTAL_OUTSTANDING_FILING_DATE",IQ_FY))</f>
        <v>189.49339000000001</v>
      </c>
      <c r="J3702" s="17">
        <f>IF(A3701=A3702,_xll.ciqfunctions.udf.CIQ(A3693,"IQ_CASH_OPER",IQ_FY-1), _xll.ciqfunctions.udf.CIQ(A3693, "IQ_CASH_OPER",IQ_FY))</f>
        <v>64.802000000000007</v>
      </c>
      <c r="K3702" s="17">
        <f>IF(A3701=A3702,_xll.ciqfunctions.udf.CIQ(A3693,"IQ_CAPEX",IQ_FY-1), _xll.ciqfunctions.udf.CIQ(A3693, "IQ_CAPEX",IQ_FY))</f>
        <v>-2.5659999999999998</v>
      </c>
      <c r="L3702" s="15">
        <f t="shared" si="984"/>
        <v>0.3284336197690062</v>
      </c>
      <c r="M3702" s="17">
        <f>IF(A3701=A3702,_xll.ciqfunctions.udf.CIQ(A3693,"IQ_TOTAL_DEBT_ISSUED",IQ_FY-1), _xll.ciqfunctions.udf.CIQ(A3693, "IQ_TOTAL_DEBT_ISSUED",IQ_FY))</f>
        <v>0</v>
      </c>
      <c r="N3702" s="17">
        <f>IF(A3701=A3702,_xll.ciqfunctions.udf.CIQ(A3693,"IQ_TOTAL_DEBT_REPAID",IQ_FY-1), _xll.ciqfunctions.udf.CIQ(A3693, "IQ_TOTAL_DEBT_REPAID",IQ_FY))</f>
        <v>-9.5</v>
      </c>
      <c r="O3702" s="15">
        <f t="shared" si="985"/>
        <v>-5.0133674847444548E-2</v>
      </c>
      <c r="P3702" s="15">
        <f t="shared" si="986"/>
        <v>0.27829994492156163</v>
      </c>
      <c r="Q3702" s="25" t="s">
        <v>44</v>
      </c>
      <c r="R3702" s="38" t="s">
        <v>35</v>
      </c>
      <c r="S3702" s="1">
        <f>_xll.ciqfunctions.udf.CIQ(A3693,"IQ_TEV_EBITDA")</f>
        <v>22.17578</v>
      </c>
      <c r="U3702" s="25" t="s">
        <v>55</v>
      </c>
      <c r="V3702" s="38" t="s">
        <v>53</v>
      </c>
      <c r="W3702" s="1" t="e">
        <f>V3692/(AVERAGE(D3698:D3703)/_xlfn.STDEV.P(E3698:E3703))</f>
        <v>#DIV/0!</v>
      </c>
      <c r="Y3702" s="25" t="s">
        <v>57</v>
      </c>
      <c r="Z3702" s="38" t="s">
        <v>53</v>
      </c>
      <c r="AA3702" s="1" t="e">
        <f>Z3692/(AVERAGE(D3698:D3703)/_xlfn.STDEV.P(E3698:E3703))</f>
        <v>#DIV/0!</v>
      </c>
    </row>
    <row r="3703" spans="1:27">
      <c r="B3703" s="13">
        <v>11</v>
      </c>
      <c r="C3703" s="20" t="s">
        <v>36</v>
      </c>
      <c r="D3703" s="21" cm="1">
        <f t="array" ref="D3703">_xlfn.SINGLE(IF(A3701=A3702,_xll.ciqfunctions.udf.CIQ(A3693,"IQ_TOTAL_REV",IQ_FY)/I3703, _xll.ciqfunctions.udf.CIQ(A3693, "IQ_TOTAL_REV",IQ_LTM)/I3703))</f>
        <v>3.5393399994126953</v>
      </c>
      <c r="E3703" s="22">
        <f t="shared" si="987"/>
        <v>8.0444392475037527E-2</v>
      </c>
      <c r="F3703" s="21">
        <f>IF(A3701=A3702,_xll.ciqfunctions.udf.CIQ(A3693,"IQ_DILUT_EPS_EXCL",IQ_FY), _xll.ciqfunctions.udf.CIQ(A3693, "IQ_DILUT_EPS_EXCL",IQ_LTM))</f>
        <v>-0.21082999999999999</v>
      </c>
      <c r="G3703" s="21">
        <f>IF(A3701=A3702,_xll.ciqfunctions.udf.CIQ(A3693,"IQ_EBITDA_MARGIN",IQ_FY), _xll.ciqfunctions.udf.CIQ(A3693, "IQ_EBITDA_MARGIN",IQ_LTM))</f>
        <v>14.567399999999999</v>
      </c>
      <c r="H3703" s="21">
        <f>IF(A3701=A3702,_xll.ciqfunctions.udf.CIQ(A3693,"IQ_TOTAL_DIV_PAID_CF",IQ_FY)/-I3703, _xll.ciqfunctions.udf.CIQ(A3693, "IQ_TOTAL_DIV_PAID_CF",IQ_LTM)/-I3703)</f>
        <v>0</v>
      </c>
      <c r="I3703" s="23">
        <f>IF(A3701=A3702,_xll.ciqfunctions.udf.CIQ(A3693,"IQ_TOTAL_OUTSTANDING_FILING_DATE",IQ_FY),_xll.ciqfunctions.udf.CIQ(A3693,"IQ_sharesoutstanding"))</f>
        <v>188.65862000000001</v>
      </c>
      <c r="J3703" s="23">
        <f>IF(A3701=A3702,_xll.ciqfunctions.udf.CIQ(A3693,"IQ_CASH_OPER",IQ_FY), _xll.ciqfunctions.udf.CIQ(A3693, "IQ_CASH_OPER",IQ_LTM))</f>
        <v>95.777000000000001</v>
      </c>
      <c r="K3703" s="23">
        <f>IF(A3701=A3702,_xll.ciqfunctions.udf.CIQ(A3693,"IQ_CAPEX",IQ_FY), _xll.ciqfunctions.udf.CIQ(A3693, "IQ_CAPEX",IQ_LTM))</f>
        <v>-2.5510000000000002</v>
      </c>
      <c r="L3703" s="21">
        <f t="shared" si="984"/>
        <v>0.49415181771180133</v>
      </c>
      <c r="M3703" s="23">
        <f>IF(A3701=A3702,_xll.ciqfunctions.udf.CIQ(A3693,"IQ_TOTAL_DEBT_ISSUED",IQ_FY), _xll.ciqfunctions.udf.CIQ(A3693, "IQ_TOTAL_DEBT_ISSUED",IQ_LTM))</f>
        <v>0</v>
      </c>
      <c r="N3703" s="23">
        <f>IF(A3701=A3702,_xll.ciqfunctions.udf.CIQ(A3693,"IQ_TOTAL_DEBT_REPAID",IQ_FY), _xll.ciqfunctions.udf.CIQ(A3693, "IQ_TOTAL_DEBT_REPAID",IQ_LTM))</f>
        <v>-7.5</v>
      </c>
      <c r="O3703" s="21">
        <f t="shared" si="985"/>
        <v>-3.9754345706546561E-2</v>
      </c>
      <c r="P3703" s="21">
        <f t="shared" si="986"/>
        <v>0.45439747200525477</v>
      </c>
      <c r="Q3703" s="25" t="s">
        <v>45</v>
      </c>
      <c r="S3703" s="45"/>
      <c r="U3703" s="25"/>
      <c r="W3703" s="45"/>
      <c r="Y3703" s="25"/>
      <c r="AA3703" s="45"/>
    </row>
    <row r="3704" spans="1:27">
      <c r="B3704" s="24"/>
      <c r="C3704" s="25" t="s">
        <v>37</v>
      </c>
      <c r="E3704" s="26" t="e">
        <f>((D3703/D3698)^(1/5))-1</f>
        <v>#DIV/0!</v>
      </c>
      <c r="F3704" s="27" t="e">
        <f>((F3703/F3698)^(1/5))-1</f>
        <v>#DIV/0!</v>
      </c>
      <c r="G3704" s="28"/>
      <c r="H3704" s="27" t="e">
        <f>((H3703/H3698)^(1/5))-1</f>
        <v>#DIV/0!</v>
      </c>
      <c r="I3704" s="27" t="e">
        <f>((I3703/I3698)^(1/5))-1</f>
        <v>#DIV/0!</v>
      </c>
      <c r="J3704" s="27"/>
      <c r="K3704" s="27"/>
      <c r="L3704" s="26" t="e">
        <f>((L3703/L3698)^(1/5))-1</f>
        <v>#DIV/0!</v>
      </c>
      <c r="M3704" s="26"/>
      <c r="N3704" s="26"/>
      <c r="O3704" s="26"/>
      <c r="P3704" s="26" t="e">
        <f>((P3703/P3698)^(1/5))-1</f>
        <v>#DIV/0!</v>
      </c>
      <c r="Q3704" s="18"/>
      <c r="R3704" s="36"/>
      <c r="S3704" s="45"/>
      <c r="U3704" s="18"/>
      <c r="V3704" s="36"/>
      <c r="W3704" s="45"/>
      <c r="Y3704" s="18"/>
      <c r="Z3704" s="36"/>
      <c r="AA3704" s="45"/>
    </row>
    <row r="3705" spans="1:27">
      <c r="A3705" s="29"/>
      <c r="B3705" s="30"/>
      <c r="C3705" s="31" t="s">
        <v>38</v>
      </c>
      <c r="D3705" s="29"/>
      <c r="E3705" s="32" t="e">
        <f>((D3703/D3693)^(1/10))-1</f>
        <v>#DIV/0!</v>
      </c>
      <c r="F3705" s="33" t="e">
        <f>((F3703/F3693)^(1/10))-1</f>
        <v>#DIV/0!</v>
      </c>
      <c r="G3705" s="34"/>
      <c r="H3705" s="33" t="e">
        <f>((H3703/H3693)^(1/10))-1</f>
        <v>#DIV/0!</v>
      </c>
      <c r="I3705" s="33" t="e">
        <f>((I3703/I3693)^(1/10))-1</f>
        <v>#DIV/0!</v>
      </c>
      <c r="J3705" s="33"/>
      <c r="K3705" s="33"/>
      <c r="L3705" s="32" t="e">
        <f>((L3703/L3693)^(1/10))-1</f>
        <v>#DIV/0!</v>
      </c>
      <c r="M3705" s="32"/>
      <c r="N3705" s="32"/>
      <c r="O3705" s="32"/>
      <c r="P3705" s="32" t="e">
        <f>((P3703/P3693)^(1/10))-1</f>
        <v>#DIV/0!</v>
      </c>
      <c r="Q3705" s="40"/>
      <c r="R3705" s="41"/>
      <c r="S3705" s="46"/>
      <c r="U3705" s="40"/>
      <c r="V3705" s="41"/>
      <c r="W3705" s="46"/>
      <c r="Y3705" s="40"/>
      <c r="Z3705" s="41"/>
      <c r="AA3705" s="46"/>
    </row>
    <row r="3706" spans="1:27">
      <c r="B3706" s="24"/>
      <c r="C3706" s="25"/>
      <c r="E3706" s="26"/>
      <c r="F3706" s="27"/>
      <c r="G3706" s="28"/>
      <c r="H3706" s="27"/>
      <c r="I3706" s="27"/>
      <c r="J3706" s="27"/>
      <c r="K3706" s="27"/>
      <c r="L3706" s="26"/>
      <c r="M3706" s="17"/>
      <c r="N3706" s="17"/>
      <c r="O3706" s="17"/>
      <c r="P3706" s="35"/>
      <c r="Q3706" s="18"/>
      <c r="R3706" s="36"/>
    </row>
    <row r="3707" spans="1:27">
      <c r="A3707" s="9" t="s">
        <v>0</v>
      </c>
      <c r="B3707" s="10"/>
      <c r="C3707" s="9" t="s">
        <v>1</v>
      </c>
      <c r="D3707" s="9" t="s">
        <v>2</v>
      </c>
      <c r="E3707" s="9" t="s">
        <v>3</v>
      </c>
      <c r="F3707" s="11" t="s">
        <v>4</v>
      </c>
      <c r="G3707" s="11" t="s">
        <v>5</v>
      </c>
      <c r="H3707" s="9" t="s">
        <v>6</v>
      </c>
      <c r="I3707" s="11" t="s">
        <v>7</v>
      </c>
      <c r="J3707" s="11" t="s">
        <v>8</v>
      </c>
      <c r="K3707" s="11" t="s">
        <v>9</v>
      </c>
      <c r="L3707" s="11" t="s">
        <v>10</v>
      </c>
      <c r="M3707" s="11" t="s">
        <v>11</v>
      </c>
      <c r="N3707" s="11" t="s">
        <v>12</v>
      </c>
      <c r="O3707" s="11" t="s">
        <v>13</v>
      </c>
      <c r="P3707" s="11" t="s">
        <v>14</v>
      </c>
      <c r="Q3707" s="37" t="s">
        <v>15</v>
      </c>
      <c r="R3707" s="42">
        <f>_xll.ciqfunctions.udf.CIQ(A3708,("IQ_LASTSALEPRICE"))</f>
        <v>8.67</v>
      </c>
      <c r="S3707" s="44"/>
      <c r="U3707" s="37" t="s">
        <v>15</v>
      </c>
      <c r="V3707" s="42">
        <f>_xll.ciqfunctions.udf.CIQ(A3708,("IQ_LASTSALEPRICE"))</f>
        <v>8.67</v>
      </c>
      <c r="W3707" s="44"/>
      <c r="Y3707" s="37" t="s">
        <v>15</v>
      </c>
      <c r="Z3707" s="42">
        <f>_xll.ciqfunctions.udf.CIQ(A3708,("IQ_LASTSALEPRICE"))</f>
        <v>8.67</v>
      </c>
      <c r="AA3707" s="44"/>
    </row>
    <row r="3708" spans="1:27">
      <c r="A3708" s="12" t="str">
        <f>Analysis!B249</f>
        <v>NYSE:ZETA</v>
      </c>
      <c r="B3708" s="13">
        <v>1</v>
      </c>
      <c r="C3708" s="14" t="s">
        <v>16</v>
      </c>
      <c r="D3708" s="15" t="e">
        <f>IF(A3716=A3717,_xll.ciqfunctions.udf.CIQ(A3708,"IQ_TOTAL_REV",IQ_FY-10)/I3708,_xll.ciqfunctions.udf.CIQ(A3708, "IQ_TOTAL_REV",IQ_FY-9)/I3708)</f>
        <v>#DIV/0!</v>
      </c>
      <c r="E3708" s="16"/>
      <c r="F3708" s="15">
        <f>IF(A3716=A3717,_xll.ciqfunctions.udf.CIQ(A3708,"IQ_DILUT_EPS_EXCL",IQ_FY-10), _xll.ciqfunctions.udf.CIQ(A3708, "IQ_DILUT_EPS_EXCL",IQ_FY-9))</f>
        <v>0</v>
      </c>
      <c r="G3708" s="15">
        <f>IF(A3716=A3717,_xll.ciqfunctions.udf.CIQ(A3708,"IQ_EBITDA_MARGIN",IQ_FY-10), _xll.ciqfunctions.udf.CIQ(A3708, "IQ_EBITDA_MARGIN",IQ_FY-9))</f>
        <v>0</v>
      </c>
      <c r="H3708" s="15" t="e">
        <f>IF(A3716=A3717,_xll.ciqfunctions.udf.CIQ(A3708,"IQ_TOTAL_DIV_PAID_CF",IQ_FY-10)/-I3708, _xll.ciqfunctions.udf.CIQ(A3708, "IQ_TOTAL_DIV_PAID_CF",IQ_FY-9)/-I3708)</f>
        <v>#DIV/0!</v>
      </c>
      <c r="I3708" s="17">
        <f>IF(A3716=A3717,_xll.ciqfunctions.udf.CIQ(A3708,"IQ_TOTAL_OUTSTANDING_FILING_DATE",IQ_FY-10), _xll.ciqfunctions.udf.CIQ(A3708, "IQ_TOTAL_OUTSTANDING_FILING_DATE",IQ_FY-9))</f>
        <v>0</v>
      </c>
      <c r="J3708" s="17">
        <f>IF(A3716=A3717,_xll.ciqfunctions.udf.CIQ(A3708,"IQ_CASH_OPER",IQ_FY-10), _xll.ciqfunctions.udf.CIQ(A3708, "IQ_CASH_OPER",IQ_FY-9))</f>
        <v>0</v>
      </c>
      <c r="K3708" s="17">
        <f>IF(A3716=A3717,_xll.ciqfunctions.udf.CIQ(A3708,"IQ_CAPEX",IQ_FY-10), _xll.ciqfunctions.udf.CIQ(A3708, "IQ_CAPEX",IQ_FY-9))</f>
        <v>0</v>
      </c>
      <c r="L3708" s="15" t="e">
        <f t="shared" ref="L3708:L3718" si="988">(J3708+K3708)/I3708</f>
        <v>#DIV/0!</v>
      </c>
      <c r="M3708" s="17">
        <f>IF(A3716=A3717,_xll.ciqfunctions.udf.CIQ(A3708,"IQ_TOTAL_DEBT_ISSUED",IQ_FY-10), _xll.ciqfunctions.udf.CIQ(A3708, "IQ_TOTAL_DEBT_ISSUED",IQ_FY-9))</f>
        <v>0</v>
      </c>
      <c r="N3708" s="17">
        <f>IF(A3716=A3717,_xll.ciqfunctions.udf.CIQ(A3708,"IQ_TOTAL_DEBT_REPAID",IQ_FY-10), _xll.ciqfunctions.udf.CIQ(A3708, "IQ_TOTAL_DEBT_REPAID",IQ_FY-9))</f>
        <v>0</v>
      </c>
      <c r="O3708" s="15" t="e">
        <f t="shared" ref="O3708:O3718" si="989">(M3708+N3708)/I3708</f>
        <v>#DIV/0!</v>
      </c>
      <c r="P3708" s="15" t="e">
        <f t="shared" ref="P3708:P3718" si="990">L3708+O3708</f>
        <v>#DIV/0!</v>
      </c>
      <c r="W3708" s="43"/>
      <c r="AA3708" s="43"/>
    </row>
    <row r="3709" spans="1:27">
      <c r="A3709" s="18" t="str">
        <f>_xll.ciqfunctions.udf.CIQ(A3708,"IQ_COMPANY_NAME")</f>
        <v>Zeta Global Holdings Corp.</v>
      </c>
      <c r="B3709" s="13">
        <v>2</v>
      </c>
      <c r="C3709" s="14" t="s">
        <v>17</v>
      </c>
      <c r="D3709" s="15" t="e">
        <f>IF(A3716=A3717,_xll.ciqfunctions.udf.CIQ(A3708,"IQ_TOTAL_REV",IQ_FY-9)/I3709, _xll.ciqfunctions.udf.CIQ(A3708, "IQ_TOTAL_REV",IQ_FY-8)/I3709)</f>
        <v>#DIV/0!</v>
      </c>
      <c r="E3709" s="16" t="e">
        <f t="shared" ref="E3709:E3718" si="991">(D3709-D3708)/D3708</f>
        <v>#DIV/0!</v>
      </c>
      <c r="F3709" s="15">
        <f>IF(A3716=A3717,_xll.ciqfunctions.udf.CIQ(A3708,"IQ_DILUT_EPS_EXCL",IQ_FY-9), _xll.ciqfunctions.udf.CIQ(A3708, "IQ_DILUT_EPS_EXCL",IQ_FY-8))</f>
        <v>0</v>
      </c>
      <c r="G3709" s="15">
        <f>IF(A3716=A3717,_xll.ciqfunctions.udf.CIQ(A3708,"IQ_EBITDA_MARGIN",IQ_FY-9), _xll.ciqfunctions.udf.CIQ(A3708, "IQ_EBITDA_MARGIN",IQ_FY-8))</f>
        <v>0</v>
      </c>
      <c r="H3709" s="15" t="e">
        <f>IF(A3716=A3717,_xll.ciqfunctions.udf.CIQ(A3708,"IQ_TOTAL_DIV_PAID_CF",IQ_FY-9)/-I3709, _xll.ciqfunctions.udf.CIQ(A3708, "IQ_TOTAL_DIV_PAID_CF",IQ_FY-8)/-I3709)</f>
        <v>#DIV/0!</v>
      </c>
      <c r="I3709" s="17">
        <f>IF(A3716=A3717,_xll.ciqfunctions.udf.CIQ(A3708,"IQ_TOTAL_OUTSTANDING_FILING_DATE",IQ_FY-9), _xll.ciqfunctions.udf.CIQ(A3708, "IQ_TOTAL_OUTSTANDING_FILING_DATE",IQ_FY-8))</f>
        <v>0</v>
      </c>
      <c r="J3709" s="17">
        <f>IF(A3716=A3717,_xll.ciqfunctions.udf.CIQ(A3708,"IQ_CASH_OPER",IQ_FY-9), _xll.ciqfunctions.udf.CIQ(A3708, "IQ_CASH_OPER",IQ_FY-8))</f>
        <v>0</v>
      </c>
      <c r="K3709" s="17">
        <f>IF(A3716=A3717,_xll.ciqfunctions.udf.CIQ(A3708,"IQ_CAPEX",IQ_FY-9), _xll.ciqfunctions.udf.CIQ(A3708, "IQ_CAPEX",IQ_FY-8))</f>
        <v>0</v>
      </c>
      <c r="L3709" s="15" t="e">
        <f t="shared" si="988"/>
        <v>#DIV/0!</v>
      </c>
      <c r="M3709" s="17">
        <f>IF(A3716=A3717,_xll.ciqfunctions.udf.CIQ(A3708,"IQ_TOTAL_DEBT_ISSUED",IQ_FY-9), _xll.ciqfunctions.udf.CIQ(A3708, "IQ_TOTAL_DEBT_ISSUED",IQ_FY-8))</f>
        <v>0</v>
      </c>
      <c r="N3709" s="17">
        <f>IF(A3716=A3717,_xll.ciqfunctions.udf.CIQ(A3708,"IQ_TOTAL_DEBT_REPAID",IQ_FY-9), _xll.ciqfunctions.udf.CIQ(A3708, "IQ_TOTAL_DEBT_REPAID",IQ_FY-8))</f>
        <v>0</v>
      </c>
      <c r="O3709" s="15" t="e">
        <f t="shared" si="989"/>
        <v>#DIV/0!</v>
      </c>
      <c r="P3709" s="15" t="e">
        <f t="shared" si="990"/>
        <v>#DIV/0!</v>
      </c>
      <c r="Q3709" s="25" t="s">
        <v>18</v>
      </c>
      <c r="R3709" s="39" t="s">
        <v>19</v>
      </c>
      <c r="S3709" s="1" t="e">
        <f>R3707/((AVERAGE(P3713:P3718))*(1+E3719)^3)</f>
        <v>#DIV/0!</v>
      </c>
      <c r="U3709" s="25" t="s">
        <v>48</v>
      </c>
      <c r="V3709" s="39" t="s">
        <v>19</v>
      </c>
      <c r="W3709" s="1" t="e">
        <f>V3707/((AVERAGE(P3713:P3718))*(1+E3719)^3)</f>
        <v>#DIV/0!</v>
      </c>
      <c r="Y3709" s="25" t="s">
        <v>39</v>
      </c>
      <c r="Z3709" s="39" t="s">
        <v>19</v>
      </c>
      <c r="AA3709" s="1" t="e">
        <f>Z3707/((AVERAGE(P3713:P3718))*(1+E3719)^3)</f>
        <v>#DIV/0!</v>
      </c>
    </row>
    <row r="3710" spans="1:27">
      <c r="B3710" s="13">
        <v>3</v>
      </c>
      <c r="C3710" s="14" t="s">
        <v>20</v>
      </c>
      <c r="D3710" s="15" t="e" cm="1">
        <f t="array" ref="D3710">_xlfn.SINGLE(IF(A3716=A3717,_xll.ciqfunctions.udf.CIQ(A3708,"IQ_TOTAL_REV",IQ_FY-8)/I3710, _xll.ciqfunctions.udf.CIQ(A3708, "IQ_TOTAL_REV",IQ_FY-7)/I3710))</f>
        <v>#DIV/0!</v>
      </c>
      <c r="E3710" s="16" t="e">
        <f t="shared" si="991"/>
        <v>#DIV/0!</v>
      </c>
      <c r="F3710" s="15">
        <f>IF(A3716=A3717,_xll.ciqfunctions.udf.CIQ(A3708,"IQ_DILUT_EPS_EXCL",IQ_FY-8), _xll.ciqfunctions.udf.CIQ(A3708, "IQ_DILUT_EPS_EXCL",IQ_FY-7))</f>
        <v>0</v>
      </c>
      <c r="G3710" s="15">
        <f>IF(A3716=A3717,_xll.ciqfunctions.udf.CIQ(A3708,"IQ_EBITDA_MARGIN",IQ_FY-8), _xll.ciqfunctions.udf.CIQ(A3708, "IQ_EBITDA_MARGIN",IQ_FY-7))</f>
        <v>0</v>
      </c>
      <c r="H3710" s="15" t="e">
        <f>IF(A3716=A3717,_xll.ciqfunctions.udf.CIQ(A3708,"IQ_TOTAL_DIV_PAID_CF",IQ_FY-8)/-I3710, _xll.ciqfunctions.udf.CIQ(A3708, "IQ_TOTAL_DIV_PAID_CF",IQ_FY-7)/-I3710)</f>
        <v>#DIV/0!</v>
      </c>
      <c r="I3710" s="17">
        <f>IF(A3716=A3717,_xll.ciqfunctions.udf.CIQ(A3708,"IQ_TOTAL_OUTSTANDING_FILING_DATE",IQ_FY-8), _xll.ciqfunctions.udf.CIQ(A3708, "IQ_TOTAL_OUTSTANDING_FILING_DATE",IQ_FY-7))</f>
        <v>0</v>
      </c>
      <c r="J3710" s="17">
        <f>IF(A3716=A3717,_xll.ciqfunctions.udf.CIQ(A3708,"IQ_CASH_OPER",IQ_FY-8), _xll.ciqfunctions.udf.CIQ(A3708, "IQ_CASH_OPER",IQ_FY-7))</f>
        <v>0</v>
      </c>
      <c r="K3710" s="17">
        <f>IF(A3716=A3717,_xll.ciqfunctions.udf.CIQ(A3708,"IQ_CAPEX",IQ_FY-8), _xll.ciqfunctions.udf.CIQ(A3708, "IQ_CAPEX",IQ_FY-7))</f>
        <v>0</v>
      </c>
      <c r="L3710" s="15" t="e">
        <f t="shared" si="988"/>
        <v>#DIV/0!</v>
      </c>
      <c r="M3710" s="17">
        <f>IF(A3716=A3717,_xll.ciqfunctions.udf.CIQ(A3708,"IQ_TOTAL_DEBT_ISSUED",IQ_FY-8), _xll.ciqfunctions.udf.CIQ(A3708, "IQ_TOTAL_DEBT_ISSUED",IQ_FY-7))</f>
        <v>0</v>
      </c>
      <c r="N3710" s="17">
        <f>IF(A3716=A3717,_xll.ciqfunctions.udf.CIQ(A3708,"IQ_TOTAL_DEBT_REPAID",IQ_FY-8), _xll.ciqfunctions.udf.CIQ(A3708, "IQ_TOTAL_DEBT_REPAID",IQ_FY-7))</f>
        <v>0</v>
      </c>
      <c r="O3710" s="15" t="e">
        <f t="shared" si="989"/>
        <v>#DIV/0!</v>
      </c>
      <c r="P3710" s="15" t="e">
        <f t="shared" si="990"/>
        <v>#DIV/0!</v>
      </c>
      <c r="Q3710" s="25" t="s">
        <v>21</v>
      </c>
      <c r="R3710" s="38" t="s">
        <v>49</v>
      </c>
      <c r="S3710" s="2">
        <f>(R3707*I3718)/1000</f>
        <v>1.8577861850999999</v>
      </c>
      <c r="U3710" s="25" t="s">
        <v>59</v>
      </c>
      <c r="V3710" s="38" t="s">
        <v>49</v>
      </c>
      <c r="W3710" s="2">
        <f>(V3707*I3718)/1000</f>
        <v>1.8577861850999999</v>
      </c>
      <c r="Y3710" s="25" t="s">
        <v>46</v>
      </c>
      <c r="Z3710" s="38" t="s">
        <v>49</v>
      </c>
      <c r="AA3710" s="2">
        <f>(Z3707*I3718)/1000</f>
        <v>1.8577861850999999</v>
      </c>
    </row>
    <row r="3711" spans="1:27">
      <c r="A3711" s="18"/>
      <c r="B3711" s="13">
        <v>4</v>
      </c>
      <c r="C3711" s="14" t="s">
        <v>22</v>
      </c>
      <c r="D3711" s="15" t="e" cm="1">
        <f t="array" ref="D3711">_xlfn.SINGLE(IF(A3716=A3717,_xll.ciqfunctions.udf.CIQ(A3708,"IQ_TOTAL_REV",IQ_FY-7)/I3711, _xll.ciqfunctions.udf.CIQ(A3708, "IQ_TOTAL_REV",IQ_FY-6)/I3711))</f>
        <v>#DIV/0!</v>
      </c>
      <c r="E3711" s="16" t="e">
        <f t="shared" si="991"/>
        <v>#DIV/0!</v>
      </c>
      <c r="F3711" s="15">
        <f>IF(A3716=A3717,_xll.ciqfunctions.udf.CIQ(A3708,"IQ_DILUT_EPS_EXCL",IQ_FY-7), _xll.ciqfunctions.udf.CIQ(A3708, "IQ_DILUT_EPS_EXCL",IQ_FY-6))</f>
        <v>0</v>
      </c>
      <c r="G3711" s="15">
        <f>IF(A3716=A3717,_xll.ciqfunctions.udf.CIQ(A3708,"IQ_EBITDA_MARGIN",IQ_FY-7), _xll.ciqfunctions.udf.CIQ(A3708, "IQ_EBITDA_MARGIN",IQ_FY-6))</f>
        <v>0</v>
      </c>
      <c r="H3711" s="15" t="e">
        <f>IF(A3716=A3717,_xll.ciqfunctions.udf.CIQ(A3708,"IQ_TOTAL_DIV_PAID_CF",IQ_FY-7)/-I3711, _xll.ciqfunctions.udf.CIQ(A3708, "IQ_TOTAL_DIV_PAID_CF",IQ_FY-6)/-I3711)</f>
        <v>#DIV/0!</v>
      </c>
      <c r="I3711" s="17">
        <f>IF(A3716=A3717,_xll.ciqfunctions.udf.CIQ(A3708,"IQ_TOTAL_OUTSTANDING_FILING_DATE",IQ_FY-7), _xll.ciqfunctions.udf.CIQ(A3708, "IQ_TOTAL_OUTSTANDING_FILING_DATE",IQ_FY-6))</f>
        <v>0</v>
      </c>
      <c r="J3711" s="17">
        <f>IF(A3716=A3717,_xll.ciqfunctions.udf.CIQ(A3708,"IQ_CASH_OPER",IQ_FY-7), _xll.ciqfunctions.udf.CIQ(A3708, "IQ_CASH_OPER",IQ_FY-6))</f>
        <v>0</v>
      </c>
      <c r="K3711" s="17">
        <f>IF(A3716=A3717,_xll.ciqfunctions.udf.CIQ(A3708,"IQ_CAPEX",IQ_FY-7), _xll.ciqfunctions.udf.CIQ(A3708, "IQ_CAPEX",IQ_FY-6))</f>
        <v>0</v>
      </c>
      <c r="L3711" s="15" t="e">
        <f t="shared" si="988"/>
        <v>#DIV/0!</v>
      </c>
      <c r="M3711" s="17">
        <f>IF(A3716=A3717,_xll.ciqfunctions.udf.CIQ(A3708,"IQ_TOTAL_DEBT_ISSUED",IQ_FY-7), _xll.ciqfunctions.udf.CIQ(A3708, "IQ_TOTAL_DEBT_ISSUED",IQ_FY-6))</f>
        <v>0</v>
      </c>
      <c r="N3711" s="17">
        <f>IF(A3716=A3717,_xll.ciqfunctions.udf.CIQ(A3708,"IQ_TOTAL_DEBT_REPAID",IQ_FY-7), _xll.ciqfunctions.udf.CIQ(A3708, "IQ_TOTAL_DEBT_REPAID",IQ_FY-6))</f>
        <v>0</v>
      </c>
      <c r="O3711" s="15" t="e">
        <f t="shared" si="989"/>
        <v>#DIV/0!</v>
      </c>
      <c r="P3711" s="15" t="e">
        <f t="shared" si="990"/>
        <v>#DIV/0!</v>
      </c>
      <c r="Q3711" s="25" t="s">
        <v>23</v>
      </c>
      <c r="R3711" s="38" t="s">
        <v>24</v>
      </c>
      <c r="S3711" s="1" t="e">
        <f>R3707/(AVERAGE(H3713:H3718)*(1+H3719)/(0.5-H3719))</f>
        <v>#DIV/0!</v>
      </c>
      <c r="U3711" s="25" t="s">
        <v>40</v>
      </c>
      <c r="V3711" s="38" t="s">
        <v>24</v>
      </c>
      <c r="W3711" s="1" t="e">
        <f>V3707/(AVERAGE(H3713:H3718)*(1+H3719)/(0.5-H3719))</f>
        <v>#DIV/0!</v>
      </c>
      <c r="Y3711" s="25" t="s">
        <v>47</v>
      </c>
      <c r="Z3711" s="38" t="s">
        <v>24</v>
      </c>
      <c r="AA3711" s="1" t="e">
        <f>Z3707/(AVERAGE(H3713:H3718)*(1+H3719)/(0.5-H3719))</f>
        <v>#DIV/0!</v>
      </c>
    </row>
    <row r="3712" spans="1:27">
      <c r="B3712" s="13">
        <v>5</v>
      </c>
      <c r="C3712" s="14" t="s">
        <v>25</v>
      </c>
      <c r="D3712" s="15" t="e" cm="1">
        <f t="array" ref="D3712">_xlfn.SINGLE(IF(A3716=A3717,_xll.ciqfunctions.udf.CIQ(A3708,"IQ_TOTAL_REV",IQ_FY-6)/I3712, _xll.ciqfunctions.udf.CIQ(A3708, "IQ_TOTAL_REV",IQ_FY-5)/I3712))</f>
        <v>#DIV/0!</v>
      </c>
      <c r="E3712" s="16" t="e">
        <f t="shared" si="991"/>
        <v>#DIV/0!</v>
      </c>
      <c r="F3712" s="15">
        <f>IF(A3716=A3717,_xll.ciqfunctions.udf.CIQ(A3708,"IQ_DILUT_EPS_EXCL",IQ_FY-6), _xll.ciqfunctions.udf.CIQ(A3708, "IQ_DILUT_EPS_EXCL",IQ_FY-5))</f>
        <v>0</v>
      </c>
      <c r="G3712" s="15">
        <f>IF(A3716=A3717,_xll.ciqfunctions.udf.CIQ(A3708,"IQ_EBITDA_MARGIN",IQ_FY-6), _xll.ciqfunctions.udf.CIQ(A3708, "IQ_EBITDA_MARGIN",IQ_FY-5))</f>
        <v>0</v>
      </c>
      <c r="H3712" s="15" t="e">
        <f>IF(A3716=A3717,_xll.ciqfunctions.udf.CIQ(A3708,"IQ_TOTAL_DIV_PAID_CF",IQ_FY-6)/-I3712, _xll.ciqfunctions.udf.CIQ(A3708, "IQ_TOTAL_DIV_PAID_CF",IQ_FY-5)/-I3712)</f>
        <v>#DIV/0!</v>
      </c>
      <c r="I3712" s="17">
        <f>IF(A3716=A3717,_xll.ciqfunctions.udf.CIQ(A3708,"IQ_TOTAL_OUTSTANDING_FILING_DATE",IQ_FY-6), _xll.ciqfunctions.udf.CIQ(A3708, "IQ_TOTAL_OUTSTANDING_FILING_DATE",IQ_FY-5))</f>
        <v>0</v>
      </c>
      <c r="J3712" s="17">
        <f>IF(A3716=A3717,_xll.ciqfunctions.udf.CIQ(A3708,"IQ_CASH_OPER",IQ_FY-6), _xll.ciqfunctions.udf.CIQ(A3708, "IQ_CASH_OPER",IQ_FY-5))</f>
        <v>0</v>
      </c>
      <c r="K3712" s="17">
        <f>IF(A3716=A3717,_xll.ciqfunctions.udf.CIQ(A3708,"IQ_CAPEX",IQ_FY-6), _xll.ciqfunctions.udf.CIQ(A3708, "IQ_CAPEX",IQ_FY-5))</f>
        <v>0</v>
      </c>
      <c r="L3712" s="15" t="e">
        <f t="shared" si="988"/>
        <v>#DIV/0!</v>
      </c>
      <c r="M3712" s="17">
        <f>IF(A3716=A3717,_xll.ciqfunctions.udf.CIQ(A3708,"IQ_TOTAL_DEBT_ISSUED",IQ_FY-6), _xll.ciqfunctions.udf.CIQ(A3708, "IQ_TOTAL_DEBT_ISSUED",IQ_FY-5))</f>
        <v>0</v>
      </c>
      <c r="N3712" s="17">
        <f>IF(A3716=A3717,_xll.ciqfunctions.udf.CIQ(A3708,"IQ_TOTAL_DEBT_REPAID",IQ_FY-6), _xll.ciqfunctions.udf.CIQ(A3708, "IQ_TOTAL_DEBT_REPAID",IQ_FY-5))</f>
        <v>0</v>
      </c>
      <c r="O3712" s="15" t="e">
        <f t="shared" si="989"/>
        <v>#DIV/0!</v>
      </c>
      <c r="P3712" s="15" t="e">
        <f t="shared" si="990"/>
        <v>#DIV/0!</v>
      </c>
      <c r="Q3712" s="18"/>
      <c r="R3712" s="38" t="s">
        <v>50</v>
      </c>
      <c r="S3712" s="3" t="e">
        <f>I3719</f>
        <v>#DIV/0!</v>
      </c>
      <c r="U3712" s="18"/>
      <c r="V3712" s="38" t="s">
        <v>50</v>
      </c>
      <c r="W3712" s="3" t="e">
        <f>I3719</f>
        <v>#DIV/0!</v>
      </c>
      <c r="Y3712" s="18"/>
      <c r="Z3712" s="38" t="s">
        <v>50</v>
      </c>
      <c r="AA3712" s="3" t="e">
        <f>I3719</f>
        <v>#DIV/0!</v>
      </c>
    </row>
    <row r="3713" spans="1:27">
      <c r="B3713" s="13">
        <v>6</v>
      </c>
      <c r="C3713" s="14" t="s">
        <v>26</v>
      </c>
      <c r="D3713" s="15" t="e" cm="1">
        <f t="array" ref="D3713">_xlfn.SINGLE(IF(A3716=A3717,_xll.ciqfunctions.udf.CIQ(A3708,"IQ_TOTAL_REV",IQ_FY-5)/I3713, _xll.ciqfunctions.udf.CIQ(A3708, "IQ_TOTAL_REV",IQ_FY-4)/I3713))</f>
        <v>#DIV/0!</v>
      </c>
      <c r="E3713" s="16" t="e">
        <f t="shared" si="991"/>
        <v>#DIV/0!</v>
      </c>
      <c r="F3713" s="15">
        <f>IF(A3716=A3717,_xll.ciqfunctions.udf.CIQ(A3708,"IQ_DILUT_EPS_EXCL",IQ_FY-5), _xll.ciqfunctions.udf.CIQ(A3708, "IQ_DILUT_EPS_EXCL",IQ_FY-4))</f>
        <v>0</v>
      </c>
      <c r="G3713" s="15">
        <f>IF(A3716=A3717,_xll.ciqfunctions.udf.CIQ(A3708,"IQ_EBITDA_MARGIN",IQ_FY-5), _xll.ciqfunctions.udf.CIQ(A3708, "IQ_EBITDA_MARGIN",IQ_FY-4))</f>
        <v>0</v>
      </c>
      <c r="H3713" s="15" t="e">
        <f>IF(A3716=A3717,_xll.ciqfunctions.udf.CIQ(A3708,"IQ_TOTAL_DIV_PAID_CF",IQ_FY-5)/-I3713, _xll.ciqfunctions.udf.CIQ(A3708, "IQ_TOTAL_DIV_PAID_CF",IQ_FY-4)/-I3713)</f>
        <v>#DIV/0!</v>
      </c>
      <c r="I3713" s="17">
        <f>IF(A3716=A3717,_xll.ciqfunctions.udf.CIQ(A3708,"IQ_TOTAL_OUTSTANDING_FILING_DATE",IQ_FY-5), _xll.ciqfunctions.udf.CIQ(A3708, "IQ_TOTAL_OUTSTANDING_FILING_DATE",IQ_FY-4))</f>
        <v>0</v>
      </c>
      <c r="J3713" s="17">
        <f>IF(A3716=A3717,_xll.ciqfunctions.udf.CIQ(A3708,"IQ_CASH_OPER",IQ_FY-5), _xll.ciqfunctions.udf.CIQ(A3708, "IQ_CASH_OPER",IQ_FY-4))</f>
        <v>0</v>
      </c>
      <c r="K3713" s="17">
        <f>IF(A3716=A3717,_xll.ciqfunctions.udf.CIQ(A3708,"IQ_CAPEX",IQ_FY-5), _xll.ciqfunctions.udf.CIQ(A3708, "IQ_CAPEX",IQ_FY-4))</f>
        <v>0</v>
      </c>
      <c r="L3713" s="15" t="e">
        <f t="shared" si="988"/>
        <v>#DIV/0!</v>
      </c>
      <c r="M3713" s="17">
        <f>IF(A3716=A3717,_xll.ciqfunctions.udf.CIQ(A3708,"IQ_TOTAL_DEBT_ISSUED",IQ_FY-5), _xll.ciqfunctions.udf.CIQ(A3708, "IQ_TOTAL_DEBT_ISSUED",IQ_FY-4))</f>
        <v>0</v>
      </c>
      <c r="N3713" s="17">
        <f>IF(A3716=A3717,_xll.ciqfunctions.udf.CIQ(A3708,"IQ_TOTAL_DEBT_REPAID",IQ_FY-5), _xll.ciqfunctions.udf.CIQ(A3708, "IQ_TOTAL_DEBT_REPAID",IQ_FY-4))</f>
        <v>0</v>
      </c>
      <c r="O3713" s="15" t="e">
        <f t="shared" si="989"/>
        <v>#DIV/0!</v>
      </c>
      <c r="P3713" s="15" t="e">
        <f t="shared" si="990"/>
        <v>#DIV/0!</v>
      </c>
      <c r="Q3713" s="25" t="s">
        <v>27</v>
      </c>
      <c r="R3713" s="38" t="s">
        <v>51</v>
      </c>
      <c r="S3713" s="4" t="e">
        <f>AVERAGE(F3713:F3718)/AVERAGE(D3713:D3718)</f>
        <v>#DIV/0!</v>
      </c>
      <c r="U3713" s="25" t="s">
        <v>58</v>
      </c>
      <c r="V3713" s="38" t="s">
        <v>51</v>
      </c>
      <c r="W3713" s="4" t="e">
        <f>AVERAGE(F3713:F3718)/AVERAGE(D3713:D3718)</f>
        <v>#DIV/0!</v>
      </c>
      <c r="Y3713" s="25" t="s">
        <v>56</v>
      </c>
      <c r="Z3713" s="38" t="s">
        <v>51</v>
      </c>
      <c r="AA3713" s="4" t="e">
        <f>AVERAGE(F3713:F3718)/AVERAGE(D3713:D3718)</f>
        <v>#DIV/0!</v>
      </c>
    </row>
    <row r="3714" spans="1:27">
      <c r="A3714" s="18"/>
      <c r="B3714" s="13">
        <v>7</v>
      </c>
      <c r="C3714" s="14" t="s">
        <v>28</v>
      </c>
      <c r="D3714" s="15" cm="1">
        <f t="array" ref="D3714">_xlfn.SINGLE(IF(A3716=A3717,_xll.ciqfunctions.udf.CIQ(A3708,"IQ_TOTAL_REV",IQ_FY-4)/I3714, _xll.ciqfunctions.udf.CIQ(A3708, "IQ_TOTAL_REV",IQ_FY-3)/I3714))</f>
        <v>9.6915067781743094</v>
      </c>
      <c r="E3714" s="16" t="e">
        <f t="shared" si="991"/>
        <v>#DIV/0!</v>
      </c>
      <c r="F3714" s="15">
        <f>IF(A3716=A3717,_xll.ciqfunctions.udf.CIQ(A3708,"IQ_DILUT_EPS_EXCL",IQ_FY-4), _xll.ciqfunctions.udf.CIQ(A3708, "IQ_DILUT_EPS_EXCL",IQ_FY-3))</f>
        <v>-1.77</v>
      </c>
      <c r="G3714" s="15">
        <f>IF(A3716=A3717,_xll.ciqfunctions.udf.CIQ(A3708,"IQ_EBITDA_MARGIN",IQ_FY-4), _xll.ciqfunctions.udf.CIQ(A3708, "IQ_EBITDA_MARGIN",IQ_FY-3))</f>
        <v>7.8803000000000001</v>
      </c>
      <c r="H3714" s="15">
        <f>IF(A3716=A3717,_xll.ciqfunctions.udf.CIQ(A3708,"IQ_TOTAL_DIV_PAID_CF",IQ_FY-4)/-I3714, _xll.ciqfunctions.udf.CIQ(A3708, "IQ_TOTAL_DIV_PAID_CF",IQ_FY-3)/-I3714)</f>
        <v>0</v>
      </c>
      <c r="I3714" s="17">
        <f>IF(A3716=A3717,_xll.ciqfunctions.udf.CIQ(A3708,"IQ_TOTAL_OUTSTANDING_FILING_DATE",IQ_FY-4), _xll.ciqfunctions.udf.CIQ(A3708, "IQ_TOTAL_OUTSTANDING_FILING_DATE",IQ_FY-3))</f>
        <v>31.5793</v>
      </c>
      <c r="J3714" s="17">
        <f>IF(A3716=A3717,_xll.ciqfunctions.udf.CIQ(A3708,"IQ_CASH_OPER",IQ_FY-4), _xll.ciqfunctions.udf.CIQ(A3708, "IQ_CASH_OPER",IQ_FY-3))</f>
        <v>30.599</v>
      </c>
      <c r="K3714" s="17">
        <f>IF(A3716=A3717,_xll.ciqfunctions.udf.CIQ(A3708,"IQ_CAPEX",IQ_FY-4), _xll.ciqfunctions.udf.CIQ(A3708, "IQ_CAPEX",IQ_FY-3))</f>
        <v>-3.3</v>
      </c>
      <c r="L3714" s="15">
        <f t="shared" si="988"/>
        <v>0.86445868021140426</v>
      </c>
      <c r="M3714" s="17">
        <f>IF(A3716=A3717,_xll.ciqfunctions.udf.CIQ(A3708,"IQ_TOTAL_DEBT_ISSUED",IQ_FY-4), _xll.ciqfunctions.udf.CIQ(A3708, "IQ_TOTAL_DEBT_ISSUED",IQ_FY-3))</f>
        <v>31.5</v>
      </c>
      <c r="N3714" s="17">
        <f>IF(A3716=A3717,_xll.ciqfunctions.udf.CIQ(A3708,"IQ_TOTAL_DEBT_REPAID",IQ_FY-4), _xll.ciqfunctions.udf.CIQ(A3708, "IQ_TOTAL_DEBT_REPAID",IQ_FY-3))</f>
        <v>-1.7</v>
      </c>
      <c r="O3714" s="15">
        <f t="shared" si="989"/>
        <v>0.94365612917322428</v>
      </c>
      <c r="P3714" s="15">
        <f t="shared" si="990"/>
        <v>1.8081148093846284</v>
      </c>
      <c r="Q3714" s="18"/>
      <c r="R3714" s="38" t="s">
        <v>29</v>
      </c>
      <c r="S3714" s="4" t="e">
        <f>(AVERAGE(P3713:P3718)/_xlfn.STDEV.P(P3713:P3718))/(IF(A3716=A3717,(_xlfn.SINGLE(_xll.ciqfunctions.udf.CIQ(A3708,"IQ_total_assets",IQ_FY)) - _xlfn.SINGLE(_xll.ciqfunctions.udf.CIQ(A3708,"iq_gw_intan", IQ_FY)))/I3718, (_xlfn.SINGLE(_xll.ciqfunctions.udf.CIQ(A3708, "IQ_total_assets",IQ_LTM))-_xlfn.SINGLE(_xll.ciqfunctions.udf.CIQ(A3708,"iq_gw_intan",IQ_LTM)))/I3718))</f>
        <v>#DIV/0!</v>
      </c>
      <c r="U3714" s="18"/>
      <c r="V3714" s="38" t="s">
        <v>29</v>
      </c>
      <c r="W3714" s="4" t="e">
        <f>(AVERAGE(P3713:P3718)/_xlfn.STDEV.P(P3713:P3718))/(IF(A3716=A3717,(_xlfn.SINGLE(_xll.ciqfunctions.udf.CIQ(A3708,"IQ_total_assets",IQ_FY)) - _xlfn.SINGLE(_xll.ciqfunctions.udf.CIQ(A3708,"iq_gw_intan", IQ_FY)))/I3718, (_xlfn.SINGLE(_xll.ciqfunctions.udf.CIQ(A3708, "IQ_total_assets",IQ_LTM))-_xlfn.SINGLE(_xll.ciqfunctions.udf.CIQ(A3708,"iq_gw_intan",IQ_LTM)))/I3718))</f>
        <v>#DIV/0!</v>
      </c>
      <c r="Y3714" s="18"/>
      <c r="Z3714" s="38" t="s">
        <v>29</v>
      </c>
      <c r="AA3714" s="4" t="e">
        <f>(AVERAGE(P3713:P3718)/_xlfn.STDEV.P(P3713:P3718))/(IF(A3716=A3717,(_xlfn.SINGLE(_xll.ciqfunctions.udf.CIQ(A3708,"IQ_total_assets",IQ_FY)) - _xlfn.SINGLE(_xll.ciqfunctions.udf.CIQ(A3708,"iq_gw_intan", IQ_FY)))/I3718, (_xlfn.SINGLE(_xll.ciqfunctions.udf.CIQ(A3708, "IQ_total_assets",IQ_LTM))-_xlfn.SINGLE(_xll.ciqfunctions.udf.CIQ(A3708,"iq_gw_intan",IQ_LTM)))/I3718))</f>
        <v>#DIV/0!</v>
      </c>
    </row>
    <row r="3715" spans="1:27">
      <c r="A3715" s="18"/>
      <c r="B3715" s="13">
        <v>8</v>
      </c>
      <c r="C3715" s="14" t="s">
        <v>30</v>
      </c>
      <c r="D3715" s="15" cm="1">
        <f t="array" ref="D3715">_xlfn.SINGLE(IF(A3716=A3717,_xll.ciqfunctions.udf.CIQ(A3708,"IQ_TOTAL_REV",IQ_FY-3)/I3715, _xll.ciqfunctions.udf.CIQ(A3708, "IQ_TOTAL_REV",IQ_FY-2)/I3715))</f>
        <v>3.4445088519816545</v>
      </c>
      <c r="E3715" s="16">
        <f t="shared" si="991"/>
        <v>-0.6445847966862247</v>
      </c>
      <c r="F3715" s="15">
        <f>IF(A3716=A3717,_xll.ciqfunctions.udf.CIQ(A3708,"IQ_DILUT_EPS_EXCL",IQ_FY-3), _xll.ciqfunctions.udf.CIQ(A3708, "IQ_DILUT_EPS_EXCL",IQ_FY-2))</f>
        <v>-2.23373</v>
      </c>
      <c r="G3715" s="15">
        <f>IF(A3716=A3717,_xll.ciqfunctions.udf.CIQ(A3708,"IQ_EBITDA_MARGIN",IQ_FY-3), _xll.ciqfunctions.udf.CIQ(A3708, "IQ_EBITDA_MARGIN",IQ_FY-2))</f>
        <v>10.725</v>
      </c>
      <c r="H3715" s="15">
        <f>IF(A3716=A3717,_xll.ciqfunctions.udf.CIQ(A3708,"IQ_TOTAL_DIV_PAID_CF",IQ_FY-3)/-I3715, _xll.ciqfunctions.udf.CIQ(A3708, "IQ_TOTAL_DIV_PAID_CF",IQ_FY-2)/-I3715)</f>
        <v>0</v>
      </c>
      <c r="I3715" s="17">
        <f>IF(A3716=A3717,_xll.ciqfunctions.udf.CIQ(A3708,"IQ_TOTAL_OUTSTANDING_FILING_DATE",IQ_FY-3), _xll.ciqfunctions.udf.CIQ(A3708, "IQ_TOTAL_OUTSTANDING_FILING_DATE",IQ_FY-2))</f>
        <v>106.87155</v>
      </c>
      <c r="J3715" s="17">
        <f>IF(A3716=A3717,_xll.ciqfunctions.udf.CIQ(A3708,"IQ_CASH_OPER",IQ_FY-3), _xll.ciqfunctions.udf.CIQ(A3708, "IQ_CASH_OPER",IQ_FY-2))</f>
        <v>35.539000000000001</v>
      </c>
      <c r="K3715" s="17">
        <f>IF(A3716=A3717,_xll.ciqfunctions.udf.CIQ(A3708,"IQ_CAPEX",IQ_FY-3), _xll.ciqfunctions.udf.CIQ(A3708, "IQ_CAPEX",IQ_FY-2))</f>
        <v>-2.2490000000000001</v>
      </c>
      <c r="L3715" s="15">
        <f t="shared" si="988"/>
        <v>0.31149543540820734</v>
      </c>
      <c r="M3715" s="17">
        <f>IF(A3716=A3717,_xll.ciqfunctions.udf.CIQ(A3708,"IQ_TOTAL_DEBT_ISSUED",IQ_FY-3), _xll.ciqfunctions.udf.CIQ(A3708, "IQ_TOTAL_DEBT_ISSUED",IQ_FY-2))</f>
        <v>10</v>
      </c>
      <c r="N3715" s="17">
        <f>IF(A3716=A3717,_xll.ciqfunctions.udf.CIQ(A3708,"IQ_TOTAL_DEBT_REPAID",IQ_FY-3), _xll.ciqfunctions.udf.CIQ(A3708, "IQ_TOTAL_DEBT_REPAID",IQ_FY-2))</f>
        <v>-6.5</v>
      </c>
      <c r="O3715" s="15">
        <f t="shared" si="989"/>
        <v>3.2749595191610865E-2</v>
      </c>
      <c r="P3715" s="15">
        <f t="shared" si="990"/>
        <v>0.3442450305998182</v>
      </c>
      <c r="Q3715" s="18"/>
      <c r="R3715" s="39" t="s">
        <v>31</v>
      </c>
      <c r="S3715" s="5" t="e">
        <f>IF(NOT(D3708&gt;0),FALSE,SLOPE(G3708:G3718,B3708:B3718))</f>
        <v>#DIV/0!</v>
      </c>
      <c r="U3715" s="18"/>
      <c r="V3715" s="39" t="s">
        <v>31</v>
      </c>
      <c r="W3715" s="5" t="e">
        <f>IF(NOT(D3708&gt;0),FALSE,SLOPE(G3708:G3718,B3708:B3718))</f>
        <v>#DIV/0!</v>
      </c>
      <c r="Y3715" s="18"/>
      <c r="Z3715" s="39" t="s">
        <v>31</v>
      </c>
      <c r="AA3715" s="5" t="e">
        <f>IF(NOT(L3708&gt;0),FALSE,SLOPE(O3708:O3718,J3708:J3718))</f>
        <v>#DIV/0!</v>
      </c>
    </row>
    <row r="3716" spans="1:27">
      <c r="A3716" s="19">
        <f>_xll.ciqfunctions.udf.CIQ(A3708,"IQ_TOTAL_REV",IQ_FY)</f>
        <v>590.96100000000001</v>
      </c>
      <c r="B3716" s="13">
        <v>9</v>
      </c>
      <c r="C3716" s="14" t="s">
        <v>32</v>
      </c>
      <c r="D3716" s="15" cm="1">
        <f t="array" ref="D3716">_xlfn.SINGLE(IF(A3716=A3717,_xll.ciqfunctions.udf.CIQ(A3708,"IQ_TOTAL_REV",IQ_FY-2)/I3716, _xll.ciqfunctions.udf.CIQ(A3708, "IQ_TOTAL_REV",IQ_FY-1)/I3716))</f>
        <v>2.3009107849250481</v>
      </c>
      <c r="E3716" s="16">
        <f t="shared" si="991"/>
        <v>-0.33200613387847294</v>
      </c>
      <c r="F3716" s="15">
        <f>IF(A3716=A3717,_xll.ciqfunctions.udf.CIQ(A3708,"IQ_DILUT_EPS_EXCL",IQ_FY-2), _xll.ciqfunctions.udf.CIQ(A3708, "IQ_DILUT_EPS_EXCL",IQ_FY-1))</f>
        <v>-2.9519899999999999</v>
      </c>
      <c r="G3716" s="15">
        <f>IF(A3716=A3717,_xll.ciqfunctions.udf.CIQ(A3708,"IQ_EBITDA_MARGIN",IQ_FY-2), _xll.ciqfunctions.udf.CIQ(A3708, "IQ_EBITDA_MARGIN",IQ_FY-1))</f>
        <v>-43.593299999999999</v>
      </c>
      <c r="H3716" s="15">
        <f>IF(A3716=A3717,_xll.ciqfunctions.udf.CIQ(A3708,"IQ_TOTAL_DIV_PAID_CF",IQ_FY-2)/-I3716, _xll.ciqfunctions.udf.CIQ(A3708, "IQ_TOTAL_DIV_PAID_CF",IQ_FY-1)/-I3716)</f>
        <v>0</v>
      </c>
      <c r="I3716" s="17">
        <f>IF(A3716=A3717,_xll.ciqfunctions.udf.CIQ(A3708,"IQ_TOTAL_OUTSTANDING_FILING_DATE",IQ_FY-2), _xll.ciqfunctions.udf.CIQ(A3708, "IQ_TOTAL_OUTSTANDING_FILING_DATE",IQ_FY-1))</f>
        <v>199.19851</v>
      </c>
      <c r="J3716" s="17">
        <f>IF(A3716=A3717,_xll.ciqfunctions.udf.CIQ(A3708,"IQ_CASH_OPER",IQ_FY-2), _xll.ciqfunctions.udf.CIQ(A3708, "IQ_CASH_OPER",IQ_FY-1))</f>
        <v>44.292000000000002</v>
      </c>
      <c r="K3716" s="17">
        <f>IF(A3716=A3717,_xll.ciqfunctions.udf.CIQ(A3708,"IQ_CAPEX",IQ_FY-2), _xll.ciqfunctions.udf.CIQ(A3708, "IQ_CAPEX",IQ_FY-1))</f>
        <v>-9.4819999999999993</v>
      </c>
      <c r="L3716" s="15">
        <f t="shared" si="988"/>
        <v>0.1747503031021668</v>
      </c>
      <c r="M3716" s="17">
        <f>IF(A3716=A3717,_xll.ciqfunctions.udf.CIQ(A3708,"IQ_TOTAL_DEBT_ISSUED",IQ_FY-2), _xll.ciqfunctions.udf.CIQ(A3708, "IQ_TOTAL_DEBT_ISSUED",IQ_FY-1))</f>
        <v>183.31100000000001</v>
      </c>
      <c r="N3716" s="17">
        <f>IF(A3716=A3717,_xll.ciqfunctions.udf.CIQ(A3708,"IQ_TOTAL_DEBT_REPAID",IQ_FY-2), _xll.ciqfunctions.udf.CIQ(A3708, "IQ_TOTAL_DEBT_REPAID",IQ_FY-1))</f>
        <v>-180.745</v>
      </c>
      <c r="O3716" s="15">
        <f t="shared" si="989"/>
        <v>1.2881622457919E-2</v>
      </c>
      <c r="P3716" s="15">
        <f t="shared" si="990"/>
        <v>0.18763192556008579</v>
      </c>
      <c r="Q3716" s="25" t="s">
        <v>33</v>
      </c>
      <c r="R3716" s="38" t="s">
        <v>52</v>
      </c>
      <c r="S3716" s="4" t="e">
        <f>(AVERAGE(O3713:O3718)/AVERAGE(P3713:P3718))</f>
        <v>#DIV/0!</v>
      </c>
      <c r="U3716" s="25" t="s">
        <v>54</v>
      </c>
      <c r="V3716" s="38" t="s">
        <v>52</v>
      </c>
      <c r="W3716" s="4" t="e">
        <f>(AVERAGE(O3713:O3718)/AVERAGE(P3713:P3718))</f>
        <v>#DIV/0!</v>
      </c>
      <c r="Y3716" s="25" t="s">
        <v>60</v>
      </c>
      <c r="Z3716" s="38" t="s">
        <v>52</v>
      </c>
      <c r="AA3716" s="4" t="e">
        <f>(AVERAGE(O3713:O3718)/AVERAGE(P3713:P3718))</f>
        <v>#DIV/0!</v>
      </c>
    </row>
    <row r="3717" spans="1:27">
      <c r="A3717" s="19">
        <f>_xll.ciqfunctions.udf.CIQ(A3708,"IQ_TOTAL_REV",IQ_LTM)</f>
        <v>693.54300000000001</v>
      </c>
      <c r="B3717" s="13">
        <v>10</v>
      </c>
      <c r="C3717" s="14" t="s">
        <v>34</v>
      </c>
      <c r="D3717" s="15" cm="1">
        <f t="array" ref="D3717">_xlfn.SINGLE(IF(A3716=A3717,_xll.ciqfunctions.udf.CIQ(A3708,"IQ_TOTAL_REV",IQ_FY-1)/I3717, _xll.ciqfunctions.udf.CIQ(A3708, "IQ_TOTAL_REV",IQ_FY)/I3717))</f>
        <v>2.8491051917593619</v>
      </c>
      <c r="E3717" s="16">
        <f t="shared" si="991"/>
        <v>0.23825104842218872</v>
      </c>
      <c r="F3717" s="15">
        <f>IF(A3716=A3717,_xll.ciqfunctions.udf.CIQ(A3708,"IQ_DILUT_EPS_EXCL",IQ_FY-1), _xll.ciqfunctions.udf.CIQ(A3708, "IQ_DILUT_EPS_EXCL",IQ_FY))</f>
        <v>-2.0099999999999998</v>
      </c>
      <c r="G3717" s="15">
        <f>IF(A3716=A3717,_xll.ciqfunctions.udf.CIQ(A3708,"IQ_EBITDA_MARGIN",IQ_FY-1), _xll.ciqfunctions.udf.CIQ(A3708, "IQ_EBITDA_MARGIN",IQ_FY))</f>
        <v>-34.995800000000003</v>
      </c>
      <c r="H3717" s="15">
        <f>IF(A3716=A3717,_xll.ciqfunctions.udf.CIQ(A3708,"IQ_TOTAL_DIV_PAID_CF",IQ_FY-1)/-I3717, _xll.ciqfunctions.udf.CIQ(A3708, "IQ_TOTAL_DIV_PAID_CF",IQ_FY)/-I3717)</f>
        <v>0</v>
      </c>
      <c r="I3717" s="17">
        <f>IF(A3716=A3717,_xll.ciqfunctions.udf.CIQ(A3708,"IQ_TOTAL_OUTSTANDING_FILING_DATE",IQ_FY-1), _xll.ciqfunctions.udf.CIQ(A3708, "IQ_TOTAL_OUTSTANDING_FILING_DATE",IQ_FY))</f>
        <v>207.41986</v>
      </c>
      <c r="J3717" s="17">
        <f>IF(A3716=A3717,_xll.ciqfunctions.udf.CIQ(A3708,"IQ_CASH_OPER",IQ_FY-1), _xll.ciqfunctions.udf.CIQ(A3708, "IQ_CASH_OPER",IQ_FY))</f>
        <v>78.486000000000004</v>
      </c>
      <c r="K3717" s="17">
        <f>IF(A3716=A3717,_xll.ciqfunctions.udf.CIQ(A3708,"IQ_CAPEX",IQ_FY-1), _xll.ciqfunctions.udf.CIQ(A3708, "IQ_CAPEX",IQ_FY))</f>
        <v>-22.231999999999999</v>
      </c>
      <c r="L3717" s="15">
        <f t="shared" si="988"/>
        <v>0.2712083597009467</v>
      </c>
      <c r="M3717" s="17">
        <f>IF(A3716=A3717,_xll.ciqfunctions.udf.CIQ(A3708,"IQ_TOTAL_DEBT_ISSUED",IQ_FY-1), _xll.ciqfunctions.udf.CIQ(A3708, "IQ_TOTAL_DEBT_ISSUED",IQ_FY))</f>
        <v>5.625</v>
      </c>
      <c r="N3717" s="17">
        <f>IF(A3716=A3717,_xll.ciqfunctions.udf.CIQ(A3708,"IQ_TOTAL_DEBT_REPAID",IQ_FY-1), _xll.ciqfunctions.udf.CIQ(A3708, "IQ_TOTAL_DEBT_REPAID",IQ_FY))</f>
        <v>-5.625</v>
      </c>
      <c r="O3717" s="15">
        <f t="shared" si="989"/>
        <v>0</v>
      </c>
      <c r="P3717" s="15">
        <f t="shared" si="990"/>
        <v>0.2712083597009467</v>
      </c>
      <c r="Q3717" s="25" t="s">
        <v>44</v>
      </c>
      <c r="R3717" s="38" t="s">
        <v>35</v>
      </c>
      <c r="S3717" s="1" t="str">
        <f>_xll.ciqfunctions.udf.CIQ(A3708,"IQ_TEV_EBITDA")</f>
        <v>NM</v>
      </c>
      <c r="U3717" s="25" t="s">
        <v>55</v>
      </c>
      <c r="V3717" s="38" t="s">
        <v>53</v>
      </c>
      <c r="W3717" s="1" t="e">
        <f>V3707/(AVERAGE(D3713:D3718)/_xlfn.STDEV.P(E3713:E3718))</f>
        <v>#DIV/0!</v>
      </c>
      <c r="Y3717" s="25" t="s">
        <v>57</v>
      </c>
      <c r="Z3717" s="38" t="s">
        <v>53</v>
      </c>
      <c r="AA3717" s="1" t="e">
        <f>Z3707/(AVERAGE(D3713:D3718)/_xlfn.STDEV.P(E3713:E3718))</f>
        <v>#DIV/0!</v>
      </c>
    </row>
    <row r="3718" spans="1:27">
      <c r="B3718" s="13">
        <v>11</v>
      </c>
      <c r="C3718" s="20" t="s">
        <v>36</v>
      </c>
      <c r="D3718" s="21" cm="1">
        <f t="array" ref="D3718">_xlfn.SINGLE(IF(A3716=A3717,_xll.ciqfunctions.udf.CIQ(A3708,"IQ_TOTAL_REV",IQ_FY)/I3718, _xll.ciqfunctions.udf.CIQ(A3708, "IQ_TOTAL_REV",IQ_LTM)/I3718))</f>
        <v>3.2366576187433185</v>
      </c>
      <c r="E3718" s="22">
        <f t="shared" si="991"/>
        <v>0.13602601550300694</v>
      </c>
      <c r="F3718" s="21">
        <f>IF(A3716=A3717,_xll.ciqfunctions.udf.CIQ(A3708,"IQ_DILUT_EPS_EXCL",IQ_FY), _xll.ciqfunctions.udf.CIQ(A3708, "IQ_DILUT_EPS_EXCL",IQ_LTM))</f>
        <v>-1.3479300000000001</v>
      </c>
      <c r="G3718" s="21">
        <f>IF(A3716=A3717,_xll.ciqfunctions.udf.CIQ(A3708,"IQ_EBITDA_MARGIN",IQ_FY), _xll.ciqfunctions.udf.CIQ(A3708, "IQ_EBITDA_MARGIN",IQ_LTM))</f>
        <v>-18.802700000000002</v>
      </c>
      <c r="H3718" s="21">
        <f>IF(A3716=A3717,_xll.ciqfunctions.udf.CIQ(A3708,"IQ_TOTAL_DIV_PAID_CF",IQ_FY)/-I3718, _xll.ciqfunctions.udf.CIQ(A3708, "IQ_TOTAL_DIV_PAID_CF",IQ_LTM)/-I3718)</f>
        <v>0</v>
      </c>
      <c r="I3718" s="23">
        <f>IF(A3716=A3717,_xll.ciqfunctions.udf.CIQ(A3708,"IQ_TOTAL_OUTSTANDING_FILING_DATE",IQ_FY),_xll.ciqfunctions.udf.CIQ(A3708,"IQ_sharesoutstanding"))</f>
        <v>214.27753000000001</v>
      </c>
      <c r="J3718" s="23">
        <f>IF(A3716=A3717,_xll.ciqfunctions.udf.CIQ(A3708,"IQ_CASH_OPER",IQ_FY), _xll.ciqfunctions.udf.CIQ(A3708, "IQ_CASH_OPER",IQ_LTM))</f>
        <v>86.658000000000001</v>
      </c>
      <c r="K3718" s="23">
        <f>IF(A3716=A3717,_xll.ciqfunctions.udf.CIQ(A3708,"IQ_CAPEX",IQ_FY), _xll.ciqfunctions.udf.CIQ(A3708, "IQ_CAPEX",IQ_LTM))</f>
        <v>-19.952999999999999</v>
      </c>
      <c r="L3718" s="21">
        <f t="shared" si="988"/>
        <v>0.31130188965683891</v>
      </c>
      <c r="M3718" s="23">
        <f>IF(A3716=A3717,_xll.ciqfunctions.udf.CIQ(A3708,"IQ_TOTAL_DEBT_ISSUED",IQ_FY), _xll.ciqfunctions.udf.CIQ(A3708, "IQ_TOTAL_DEBT_ISSUED",IQ_LTM))</f>
        <v>11.25</v>
      </c>
      <c r="N3718" s="23">
        <f>IF(A3716=A3717,_xll.ciqfunctions.udf.CIQ(A3708,"IQ_TOTAL_DEBT_REPAID",IQ_FY), _xll.ciqfunctions.udf.CIQ(A3708, "IQ_TOTAL_DEBT_REPAID",IQ_LTM))</f>
        <v>-11.25</v>
      </c>
      <c r="O3718" s="21">
        <f t="shared" si="989"/>
        <v>0</v>
      </c>
      <c r="P3718" s="21">
        <f t="shared" si="990"/>
        <v>0.31130188965683891</v>
      </c>
      <c r="Q3718" s="25" t="s">
        <v>45</v>
      </c>
      <c r="S3718" s="45"/>
      <c r="U3718" s="25"/>
      <c r="W3718" s="45"/>
      <c r="Y3718" s="25"/>
      <c r="AA3718" s="45"/>
    </row>
    <row r="3719" spans="1:27">
      <c r="B3719" s="24"/>
      <c r="C3719" s="25" t="s">
        <v>37</v>
      </c>
      <c r="E3719" s="26" t="e">
        <f>((D3718/D3713)^(1/5))-1</f>
        <v>#DIV/0!</v>
      </c>
      <c r="F3719" s="27" t="e">
        <f>((F3718/F3713)^(1/5))-1</f>
        <v>#DIV/0!</v>
      </c>
      <c r="G3719" s="28"/>
      <c r="H3719" s="27" t="e">
        <f>((H3718/H3713)^(1/5))-1</f>
        <v>#DIV/0!</v>
      </c>
      <c r="I3719" s="27" t="e">
        <f>((I3718/I3713)^(1/5))-1</f>
        <v>#DIV/0!</v>
      </c>
      <c r="J3719" s="27"/>
      <c r="K3719" s="27"/>
      <c r="L3719" s="26" t="e">
        <f>((L3718/L3713)^(1/5))-1</f>
        <v>#DIV/0!</v>
      </c>
      <c r="M3719" s="26"/>
      <c r="N3719" s="26"/>
      <c r="O3719" s="26"/>
      <c r="P3719" s="26" t="e">
        <f>((P3718/P3713)^(1/5))-1</f>
        <v>#DIV/0!</v>
      </c>
      <c r="Q3719" s="18"/>
      <c r="R3719" s="36"/>
      <c r="S3719" s="45"/>
      <c r="U3719" s="18"/>
      <c r="V3719" s="36"/>
      <c r="W3719" s="45"/>
      <c r="Y3719" s="18"/>
      <c r="Z3719" s="36"/>
      <c r="AA3719" s="45"/>
    </row>
    <row r="3720" spans="1:27">
      <c r="A3720" s="29"/>
      <c r="B3720" s="30"/>
      <c r="C3720" s="31" t="s">
        <v>38</v>
      </c>
      <c r="D3720" s="29"/>
      <c r="E3720" s="32" t="e">
        <f>((D3718/D3708)^(1/10))-1</f>
        <v>#DIV/0!</v>
      </c>
      <c r="F3720" s="33" t="e">
        <f>((F3718/F3708)^(1/10))-1</f>
        <v>#DIV/0!</v>
      </c>
      <c r="G3720" s="34"/>
      <c r="H3720" s="33" t="e">
        <f>((H3718/H3708)^(1/10))-1</f>
        <v>#DIV/0!</v>
      </c>
      <c r="I3720" s="33" t="e">
        <f>((I3718/I3708)^(1/10))-1</f>
        <v>#DIV/0!</v>
      </c>
      <c r="J3720" s="33"/>
      <c r="K3720" s="33"/>
      <c r="L3720" s="32" t="e">
        <f>((L3718/L3708)^(1/10))-1</f>
        <v>#DIV/0!</v>
      </c>
      <c r="M3720" s="32"/>
      <c r="N3720" s="32"/>
      <c r="O3720" s="32"/>
      <c r="P3720" s="32" t="e">
        <f>((P3718/P3708)^(1/10))-1</f>
        <v>#DIV/0!</v>
      </c>
      <c r="Q3720" s="40"/>
      <c r="R3720" s="41"/>
      <c r="S3720" s="46"/>
      <c r="U3720" s="40"/>
      <c r="V3720" s="41"/>
      <c r="W3720" s="46"/>
      <c r="Y3720" s="40"/>
      <c r="Z3720" s="41"/>
      <c r="AA3720" s="46"/>
    </row>
    <row r="3721" spans="1:27">
      <c r="B3721" s="24"/>
      <c r="C3721" s="25"/>
      <c r="E3721" s="26"/>
      <c r="F3721" s="27"/>
      <c r="G3721" s="28"/>
      <c r="H3721" s="27"/>
      <c r="I3721" s="27"/>
      <c r="J3721" s="27"/>
      <c r="K3721" s="27"/>
      <c r="L3721" s="26"/>
      <c r="M3721" s="17"/>
      <c r="N3721" s="17"/>
      <c r="O3721" s="17"/>
      <c r="P3721" s="35"/>
      <c r="Q3721" s="18"/>
      <c r="R3721" s="36"/>
    </row>
    <row r="3722" spans="1:27">
      <c r="A3722" s="9" t="s">
        <v>0</v>
      </c>
      <c r="B3722" s="10"/>
      <c r="C3722" s="9" t="s">
        <v>1</v>
      </c>
      <c r="D3722" s="9" t="s">
        <v>2</v>
      </c>
      <c r="E3722" s="9" t="s">
        <v>3</v>
      </c>
      <c r="F3722" s="11" t="s">
        <v>4</v>
      </c>
      <c r="G3722" s="11" t="s">
        <v>5</v>
      </c>
      <c r="H3722" s="9" t="s">
        <v>6</v>
      </c>
      <c r="I3722" s="11" t="s">
        <v>7</v>
      </c>
      <c r="J3722" s="11" t="s">
        <v>8</v>
      </c>
      <c r="K3722" s="11" t="s">
        <v>9</v>
      </c>
      <c r="L3722" s="11" t="s">
        <v>10</v>
      </c>
      <c r="M3722" s="11" t="s">
        <v>11</v>
      </c>
      <c r="N3722" s="11" t="s">
        <v>12</v>
      </c>
      <c r="O3722" s="11" t="s">
        <v>13</v>
      </c>
      <c r="P3722" s="11" t="s">
        <v>14</v>
      </c>
      <c r="Q3722" s="37" t="s">
        <v>15</v>
      </c>
      <c r="R3722" s="42">
        <f>_xll.ciqfunctions.udf.CIQ(A3723,("IQ_LASTSALEPRICE"))</f>
        <v>20.125</v>
      </c>
      <c r="S3722" s="44"/>
      <c r="U3722" s="37" t="s">
        <v>15</v>
      </c>
      <c r="V3722" s="42">
        <f>_xll.ciqfunctions.udf.CIQ(A3723,("IQ_LASTSALEPRICE"))</f>
        <v>20.125</v>
      </c>
      <c r="W3722" s="44"/>
      <c r="Y3722" s="37" t="s">
        <v>15</v>
      </c>
      <c r="Z3722" s="42">
        <f>_xll.ciqfunctions.udf.CIQ(A3723,("IQ_LASTSALEPRICE"))</f>
        <v>20.125</v>
      </c>
      <c r="AA3722" s="44"/>
    </row>
    <row r="3723" spans="1:27">
      <c r="A3723" s="12" t="str">
        <f>Analysis!B250</f>
        <v>NYSE:YOU</v>
      </c>
      <c r="B3723" s="13">
        <v>1</v>
      </c>
      <c r="C3723" s="14" t="s">
        <v>16</v>
      </c>
      <c r="D3723" s="15" t="e">
        <f>IF(A3731=A3732,_xll.ciqfunctions.udf.CIQ(A3723,"IQ_TOTAL_REV",IQ_FY-10)/I3723,_xll.ciqfunctions.udf.CIQ(A3723, "IQ_TOTAL_REV",IQ_FY-9)/I3723)</f>
        <v>#DIV/0!</v>
      </c>
      <c r="E3723" s="16"/>
      <c r="F3723" s="15">
        <f>IF(A3731=A3732,_xll.ciqfunctions.udf.CIQ(A3723,"IQ_DILUT_EPS_EXCL",IQ_FY-10), _xll.ciqfunctions.udf.CIQ(A3723, "IQ_DILUT_EPS_EXCL",IQ_FY-9))</f>
        <v>0</v>
      </c>
      <c r="G3723" s="15">
        <f>IF(A3731=A3732,_xll.ciqfunctions.udf.CIQ(A3723,"IQ_EBITDA_MARGIN",IQ_FY-10), _xll.ciqfunctions.udf.CIQ(A3723, "IQ_EBITDA_MARGIN",IQ_FY-9))</f>
        <v>0</v>
      </c>
      <c r="H3723" s="15" t="e">
        <f>IF(A3731=A3732,_xll.ciqfunctions.udf.CIQ(A3723,"IQ_TOTAL_DIV_PAID_CF",IQ_FY-10)/-I3723, _xll.ciqfunctions.udf.CIQ(A3723, "IQ_TOTAL_DIV_PAID_CF",IQ_FY-9)/-I3723)</f>
        <v>#DIV/0!</v>
      </c>
      <c r="I3723" s="17">
        <f>IF(A3731=A3732,_xll.ciqfunctions.udf.CIQ(A3723,"IQ_TOTAL_OUTSTANDING_FILING_DATE",IQ_FY-10), _xll.ciqfunctions.udf.CIQ(A3723, "IQ_TOTAL_OUTSTANDING_FILING_DATE",IQ_FY-9))</f>
        <v>0</v>
      </c>
      <c r="J3723" s="17">
        <f>IF(A3731=A3732,_xll.ciqfunctions.udf.CIQ(A3723,"IQ_CASH_OPER",IQ_FY-10), _xll.ciqfunctions.udf.CIQ(A3723, "IQ_CASH_OPER",IQ_FY-9))</f>
        <v>0</v>
      </c>
      <c r="K3723" s="17">
        <f>IF(A3731=A3732,_xll.ciqfunctions.udf.CIQ(A3723,"IQ_CAPEX",IQ_FY-10), _xll.ciqfunctions.udf.CIQ(A3723, "IQ_CAPEX",IQ_FY-9))</f>
        <v>0</v>
      </c>
      <c r="L3723" s="15" t="e">
        <f t="shared" ref="L3723:L3733" si="992">(J3723+K3723)/I3723</f>
        <v>#DIV/0!</v>
      </c>
      <c r="M3723" s="17">
        <f>IF(A3731=A3732,_xll.ciqfunctions.udf.CIQ(A3723,"IQ_TOTAL_DEBT_ISSUED",IQ_FY-10), _xll.ciqfunctions.udf.CIQ(A3723, "IQ_TOTAL_DEBT_ISSUED",IQ_FY-9))</f>
        <v>0</v>
      </c>
      <c r="N3723" s="17">
        <f>IF(A3731=A3732,_xll.ciqfunctions.udf.CIQ(A3723,"IQ_TOTAL_DEBT_REPAID",IQ_FY-10), _xll.ciqfunctions.udf.CIQ(A3723, "IQ_TOTAL_DEBT_REPAID",IQ_FY-9))</f>
        <v>0</v>
      </c>
      <c r="O3723" s="15" t="e">
        <f t="shared" ref="O3723:O3733" si="993">(M3723+N3723)/I3723</f>
        <v>#DIV/0!</v>
      </c>
      <c r="P3723" s="15" t="e">
        <f t="shared" ref="P3723:P3733" si="994">L3723+O3723</f>
        <v>#DIV/0!</v>
      </c>
      <c r="W3723" s="43"/>
      <c r="AA3723" s="43"/>
    </row>
    <row r="3724" spans="1:27">
      <c r="A3724" s="18" t="str">
        <f>_xll.ciqfunctions.udf.CIQ(A3723,"IQ_COMPANY_NAME")</f>
        <v>Clear Secure, Inc.</v>
      </c>
      <c r="B3724" s="13">
        <v>2</v>
      </c>
      <c r="C3724" s="14" t="s">
        <v>17</v>
      </c>
      <c r="D3724" s="15" t="e">
        <f>IF(A3731=A3732,_xll.ciqfunctions.udf.CIQ(A3723,"IQ_TOTAL_REV",IQ_FY-9)/I3724, _xll.ciqfunctions.udf.CIQ(A3723, "IQ_TOTAL_REV",IQ_FY-8)/I3724)</f>
        <v>#DIV/0!</v>
      </c>
      <c r="E3724" s="16" t="e">
        <f t="shared" ref="E3724:E3733" si="995">(D3724-D3723)/D3723</f>
        <v>#DIV/0!</v>
      </c>
      <c r="F3724" s="15">
        <f>IF(A3731=A3732,_xll.ciqfunctions.udf.CIQ(A3723,"IQ_DILUT_EPS_EXCL",IQ_FY-9), _xll.ciqfunctions.udf.CIQ(A3723, "IQ_DILUT_EPS_EXCL",IQ_FY-8))</f>
        <v>0</v>
      </c>
      <c r="G3724" s="15">
        <f>IF(A3731=A3732,_xll.ciqfunctions.udf.CIQ(A3723,"IQ_EBITDA_MARGIN",IQ_FY-9), _xll.ciqfunctions.udf.CIQ(A3723, "IQ_EBITDA_MARGIN",IQ_FY-8))</f>
        <v>0</v>
      </c>
      <c r="H3724" s="15" t="e">
        <f>IF(A3731=A3732,_xll.ciqfunctions.udf.CIQ(A3723,"IQ_TOTAL_DIV_PAID_CF",IQ_FY-9)/-I3724, _xll.ciqfunctions.udf.CIQ(A3723, "IQ_TOTAL_DIV_PAID_CF",IQ_FY-8)/-I3724)</f>
        <v>#DIV/0!</v>
      </c>
      <c r="I3724" s="17">
        <f>IF(A3731=A3732,_xll.ciqfunctions.udf.CIQ(A3723,"IQ_TOTAL_OUTSTANDING_FILING_DATE",IQ_FY-9), _xll.ciqfunctions.udf.CIQ(A3723, "IQ_TOTAL_OUTSTANDING_FILING_DATE",IQ_FY-8))</f>
        <v>0</v>
      </c>
      <c r="J3724" s="17">
        <f>IF(A3731=A3732,_xll.ciqfunctions.udf.CIQ(A3723,"IQ_CASH_OPER",IQ_FY-9), _xll.ciqfunctions.udf.CIQ(A3723, "IQ_CASH_OPER",IQ_FY-8))</f>
        <v>0</v>
      </c>
      <c r="K3724" s="17">
        <f>IF(A3731=A3732,_xll.ciqfunctions.udf.CIQ(A3723,"IQ_CAPEX",IQ_FY-9), _xll.ciqfunctions.udf.CIQ(A3723, "IQ_CAPEX",IQ_FY-8))</f>
        <v>0</v>
      </c>
      <c r="L3724" s="15" t="e">
        <f t="shared" si="992"/>
        <v>#DIV/0!</v>
      </c>
      <c r="M3724" s="17">
        <f>IF(A3731=A3732,_xll.ciqfunctions.udf.CIQ(A3723,"IQ_TOTAL_DEBT_ISSUED",IQ_FY-9), _xll.ciqfunctions.udf.CIQ(A3723, "IQ_TOTAL_DEBT_ISSUED",IQ_FY-8))</f>
        <v>0</v>
      </c>
      <c r="N3724" s="17">
        <f>IF(A3731=A3732,_xll.ciqfunctions.udf.CIQ(A3723,"IQ_TOTAL_DEBT_REPAID",IQ_FY-9), _xll.ciqfunctions.udf.CIQ(A3723, "IQ_TOTAL_DEBT_REPAID",IQ_FY-8))</f>
        <v>0</v>
      </c>
      <c r="O3724" s="15" t="e">
        <f t="shared" si="993"/>
        <v>#DIV/0!</v>
      </c>
      <c r="P3724" s="15" t="e">
        <f t="shared" si="994"/>
        <v>#DIV/0!</v>
      </c>
      <c r="Q3724" s="25" t="s">
        <v>18</v>
      </c>
      <c r="R3724" s="39" t="s">
        <v>19</v>
      </c>
      <c r="S3724" s="1" t="e">
        <f>R3722/((AVERAGE(P3728:P3733))*(1+E3734)^3)</f>
        <v>#DIV/0!</v>
      </c>
      <c r="U3724" s="25" t="s">
        <v>48</v>
      </c>
      <c r="V3724" s="39" t="s">
        <v>19</v>
      </c>
      <c r="W3724" s="1" t="e">
        <f>V3722/((AVERAGE(P3728:P3733))*(1+E3734)^3)</f>
        <v>#DIV/0!</v>
      </c>
      <c r="Y3724" s="25" t="s">
        <v>39</v>
      </c>
      <c r="Z3724" s="39" t="s">
        <v>19</v>
      </c>
      <c r="AA3724" s="1" t="e">
        <f>Z3722/((AVERAGE(P3728:P3733))*(1+E3734)^3)</f>
        <v>#DIV/0!</v>
      </c>
    </row>
    <row r="3725" spans="1:27">
      <c r="B3725" s="13">
        <v>3</v>
      </c>
      <c r="C3725" s="14" t="s">
        <v>20</v>
      </c>
      <c r="D3725" s="15" t="e" cm="1">
        <f t="array" ref="D3725">_xlfn.SINGLE(IF(A3731=A3732,_xll.ciqfunctions.udf.CIQ(A3723,"IQ_TOTAL_REV",IQ_FY-8)/I3725, _xll.ciqfunctions.udf.CIQ(A3723, "IQ_TOTAL_REV",IQ_FY-7)/I3725))</f>
        <v>#DIV/0!</v>
      </c>
      <c r="E3725" s="16" t="e">
        <f t="shared" si="995"/>
        <v>#DIV/0!</v>
      </c>
      <c r="F3725" s="15">
        <f>IF(A3731=A3732,_xll.ciqfunctions.udf.CIQ(A3723,"IQ_DILUT_EPS_EXCL",IQ_FY-8), _xll.ciqfunctions.udf.CIQ(A3723, "IQ_DILUT_EPS_EXCL",IQ_FY-7))</f>
        <v>0</v>
      </c>
      <c r="G3725" s="15">
        <f>IF(A3731=A3732,_xll.ciqfunctions.udf.CIQ(A3723,"IQ_EBITDA_MARGIN",IQ_FY-8), _xll.ciqfunctions.udf.CIQ(A3723, "IQ_EBITDA_MARGIN",IQ_FY-7))</f>
        <v>0</v>
      </c>
      <c r="H3725" s="15" t="e">
        <f>IF(A3731=A3732,_xll.ciqfunctions.udf.CIQ(A3723,"IQ_TOTAL_DIV_PAID_CF",IQ_FY-8)/-I3725, _xll.ciqfunctions.udf.CIQ(A3723, "IQ_TOTAL_DIV_PAID_CF",IQ_FY-7)/-I3725)</f>
        <v>#DIV/0!</v>
      </c>
      <c r="I3725" s="17">
        <f>IF(A3731=A3732,_xll.ciqfunctions.udf.CIQ(A3723,"IQ_TOTAL_OUTSTANDING_FILING_DATE",IQ_FY-8), _xll.ciqfunctions.udf.CIQ(A3723, "IQ_TOTAL_OUTSTANDING_FILING_DATE",IQ_FY-7))</f>
        <v>0</v>
      </c>
      <c r="J3725" s="17">
        <f>IF(A3731=A3732,_xll.ciqfunctions.udf.CIQ(A3723,"IQ_CASH_OPER",IQ_FY-8), _xll.ciqfunctions.udf.CIQ(A3723, "IQ_CASH_OPER",IQ_FY-7))</f>
        <v>0</v>
      </c>
      <c r="K3725" s="17">
        <f>IF(A3731=A3732,_xll.ciqfunctions.udf.CIQ(A3723,"IQ_CAPEX",IQ_FY-8), _xll.ciqfunctions.udf.CIQ(A3723, "IQ_CAPEX",IQ_FY-7))</f>
        <v>0</v>
      </c>
      <c r="L3725" s="15" t="e">
        <f t="shared" si="992"/>
        <v>#DIV/0!</v>
      </c>
      <c r="M3725" s="17">
        <f>IF(A3731=A3732,_xll.ciqfunctions.udf.CIQ(A3723,"IQ_TOTAL_DEBT_ISSUED",IQ_FY-8), _xll.ciqfunctions.udf.CIQ(A3723, "IQ_TOTAL_DEBT_ISSUED",IQ_FY-7))</f>
        <v>0</v>
      </c>
      <c r="N3725" s="17">
        <f>IF(A3731=A3732,_xll.ciqfunctions.udf.CIQ(A3723,"IQ_TOTAL_DEBT_REPAID",IQ_FY-8), _xll.ciqfunctions.udf.CIQ(A3723, "IQ_TOTAL_DEBT_REPAID",IQ_FY-7))</f>
        <v>0</v>
      </c>
      <c r="O3725" s="15" t="e">
        <f t="shared" si="993"/>
        <v>#DIV/0!</v>
      </c>
      <c r="P3725" s="15" t="e">
        <f t="shared" si="994"/>
        <v>#DIV/0!</v>
      </c>
      <c r="Q3725" s="25" t="s">
        <v>21</v>
      </c>
      <c r="R3725" s="38" t="s">
        <v>49</v>
      </c>
      <c r="S3725" s="2">
        <f>(R3722*I3733)/1000</f>
        <v>1.8289434975000001</v>
      </c>
      <c r="U3725" s="25" t="s">
        <v>59</v>
      </c>
      <c r="V3725" s="38" t="s">
        <v>49</v>
      </c>
      <c r="W3725" s="2">
        <f>(V3722*I3733)/1000</f>
        <v>1.8289434975000001</v>
      </c>
      <c r="Y3725" s="25" t="s">
        <v>46</v>
      </c>
      <c r="Z3725" s="38" t="s">
        <v>49</v>
      </c>
      <c r="AA3725" s="2">
        <f>(Z3722*I3733)/1000</f>
        <v>1.8289434975000001</v>
      </c>
    </row>
    <row r="3726" spans="1:27">
      <c r="A3726" s="18"/>
      <c r="B3726" s="13">
        <v>4</v>
      </c>
      <c r="C3726" s="14" t="s">
        <v>22</v>
      </c>
      <c r="D3726" s="15" t="e" cm="1">
        <f t="array" ref="D3726">_xlfn.SINGLE(IF(A3731=A3732,_xll.ciqfunctions.udf.CIQ(A3723,"IQ_TOTAL_REV",IQ_FY-7)/I3726, _xll.ciqfunctions.udf.CIQ(A3723, "IQ_TOTAL_REV",IQ_FY-6)/I3726))</f>
        <v>#DIV/0!</v>
      </c>
      <c r="E3726" s="16" t="e">
        <f t="shared" si="995"/>
        <v>#DIV/0!</v>
      </c>
      <c r="F3726" s="15">
        <f>IF(A3731=A3732,_xll.ciqfunctions.udf.CIQ(A3723,"IQ_DILUT_EPS_EXCL",IQ_FY-7), _xll.ciqfunctions.udf.CIQ(A3723, "IQ_DILUT_EPS_EXCL",IQ_FY-6))</f>
        <v>0</v>
      </c>
      <c r="G3726" s="15">
        <f>IF(A3731=A3732,_xll.ciqfunctions.udf.CIQ(A3723,"IQ_EBITDA_MARGIN",IQ_FY-7), _xll.ciqfunctions.udf.CIQ(A3723, "IQ_EBITDA_MARGIN",IQ_FY-6))</f>
        <v>0</v>
      </c>
      <c r="H3726" s="15" t="e">
        <f>IF(A3731=A3732,_xll.ciqfunctions.udf.CIQ(A3723,"IQ_TOTAL_DIV_PAID_CF",IQ_FY-7)/-I3726, _xll.ciqfunctions.udf.CIQ(A3723, "IQ_TOTAL_DIV_PAID_CF",IQ_FY-6)/-I3726)</f>
        <v>#DIV/0!</v>
      </c>
      <c r="I3726" s="17">
        <f>IF(A3731=A3732,_xll.ciqfunctions.udf.CIQ(A3723,"IQ_TOTAL_OUTSTANDING_FILING_DATE",IQ_FY-7), _xll.ciqfunctions.udf.CIQ(A3723, "IQ_TOTAL_OUTSTANDING_FILING_DATE",IQ_FY-6))</f>
        <v>0</v>
      </c>
      <c r="J3726" s="17">
        <f>IF(A3731=A3732,_xll.ciqfunctions.udf.CIQ(A3723,"IQ_CASH_OPER",IQ_FY-7), _xll.ciqfunctions.udf.CIQ(A3723, "IQ_CASH_OPER",IQ_FY-6))</f>
        <v>0</v>
      </c>
      <c r="K3726" s="17">
        <f>IF(A3731=A3732,_xll.ciqfunctions.udf.CIQ(A3723,"IQ_CAPEX",IQ_FY-7), _xll.ciqfunctions.udf.CIQ(A3723, "IQ_CAPEX",IQ_FY-6))</f>
        <v>0</v>
      </c>
      <c r="L3726" s="15" t="e">
        <f t="shared" si="992"/>
        <v>#DIV/0!</v>
      </c>
      <c r="M3726" s="17">
        <f>IF(A3731=A3732,_xll.ciqfunctions.udf.CIQ(A3723,"IQ_TOTAL_DEBT_ISSUED",IQ_FY-7), _xll.ciqfunctions.udf.CIQ(A3723, "IQ_TOTAL_DEBT_ISSUED",IQ_FY-6))</f>
        <v>0</v>
      </c>
      <c r="N3726" s="17">
        <f>IF(A3731=A3732,_xll.ciqfunctions.udf.CIQ(A3723,"IQ_TOTAL_DEBT_REPAID",IQ_FY-7), _xll.ciqfunctions.udf.CIQ(A3723, "IQ_TOTAL_DEBT_REPAID",IQ_FY-6))</f>
        <v>0</v>
      </c>
      <c r="O3726" s="15" t="e">
        <f t="shared" si="993"/>
        <v>#DIV/0!</v>
      </c>
      <c r="P3726" s="15" t="e">
        <f t="shared" si="994"/>
        <v>#DIV/0!</v>
      </c>
      <c r="Q3726" s="25" t="s">
        <v>23</v>
      </c>
      <c r="R3726" s="38" t="s">
        <v>24</v>
      </c>
      <c r="S3726" s="1" t="e">
        <f>R3722/(AVERAGE(H3728:H3733)*(1+H3734)/(0.5-H3734))</f>
        <v>#DIV/0!</v>
      </c>
      <c r="U3726" s="25" t="s">
        <v>40</v>
      </c>
      <c r="V3726" s="38" t="s">
        <v>24</v>
      </c>
      <c r="W3726" s="1" t="e">
        <f>V3722/(AVERAGE(H3728:H3733)*(1+H3734)/(0.5-H3734))</f>
        <v>#DIV/0!</v>
      </c>
      <c r="Y3726" s="25" t="s">
        <v>47</v>
      </c>
      <c r="Z3726" s="38" t="s">
        <v>24</v>
      </c>
      <c r="AA3726" s="1" t="e">
        <f>Z3722/(AVERAGE(H3728:H3733)*(1+H3734)/(0.5-H3734))</f>
        <v>#DIV/0!</v>
      </c>
    </row>
    <row r="3727" spans="1:27">
      <c r="B3727" s="13">
        <v>5</v>
      </c>
      <c r="C3727" s="14" t="s">
        <v>25</v>
      </c>
      <c r="D3727" s="15" t="e" cm="1">
        <f t="array" ref="D3727">_xlfn.SINGLE(IF(A3731=A3732,_xll.ciqfunctions.udf.CIQ(A3723,"IQ_TOTAL_REV",IQ_FY-6)/I3727, _xll.ciqfunctions.udf.CIQ(A3723, "IQ_TOTAL_REV",IQ_FY-5)/I3727))</f>
        <v>#DIV/0!</v>
      </c>
      <c r="E3727" s="16" t="e">
        <f t="shared" si="995"/>
        <v>#DIV/0!</v>
      </c>
      <c r="F3727" s="15">
        <f>IF(A3731=A3732,_xll.ciqfunctions.udf.CIQ(A3723,"IQ_DILUT_EPS_EXCL",IQ_FY-6), _xll.ciqfunctions.udf.CIQ(A3723, "IQ_DILUT_EPS_EXCL",IQ_FY-5))</f>
        <v>0</v>
      </c>
      <c r="G3727" s="15">
        <f>IF(A3731=A3732,_xll.ciqfunctions.udf.CIQ(A3723,"IQ_EBITDA_MARGIN",IQ_FY-6), _xll.ciqfunctions.udf.CIQ(A3723, "IQ_EBITDA_MARGIN",IQ_FY-5))</f>
        <v>0</v>
      </c>
      <c r="H3727" s="15" t="e">
        <f>IF(A3731=A3732,_xll.ciqfunctions.udf.CIQ(A3723,"IQ_TOTAL_DIV_PAID_CF",IQ_FY-6)/-I3727, _xll.ciqfunctions.udf.CIQ(A3723, "IQ_TOTAL_DIV_PAID_CF",IQ_FY-5)/-I3727)</f>
        <v>#DIV/0!</v>
      </c>
      <c r="I3727" s="17">
        <f>IF(A3731=A3732,_xll.ciqfunctions.udf.CIQ(A3723,"IQ_TOTAL_OUTSTANDING_FILING_DATE",IQ_FY-6), _xll.ciqfunctions.udf.CIQ(A3723, "IQ_TOTAL_OUTSTANDING_FILING_DATE",IQ_FY-5))</f>
        <v>0</v>
      </c>
      <c r="J3727" s="17">
        <f>IF(A3731=A3732,_xll.ciqfunctions.udf.CIQ(A3723,"IQ_CASH_OPER",IQ_FY-6), _xll.ciqfunctions.udf.CIQ(A3723, "IQ_CASH_OPER",IQ_FY-5))</f>
        <v>0</v>
      </c>
      <c r="K3727" s="17">
        <f>IF(A3731=A3732,_xll.ciqfunctions.udf.CIQ(A3723,"IQ_CAPEX",IQ_FY-6), _xll.ciqfunctions.udf.CIQ(A3723, "IQ_CAPEX",IQ_FY-5))</f>
        <v>0</v>
      </c>
      <c r="L3727" s="15" t="e">
        <f t="shared" si="992"/>
        <v>#DIV/0!</v>
      </c>
      <c r="M3727" s="17">
        <f>IF(A3731=A3732,_xll.ciqfunctions.udf.CIQ(A3723,"IQ_TOTAL_DEBT_ISSUED",IQ_FY-6), _xll.ciqfunctions.udf.CIQ(A3723, "IQ_TOTAL_DEBT_ISSUED",IQ_FY-5))</f>
        <v>0</v>
      </c>
      <c r="N3727" s="17">
        <f>IF(A3731=A3732,_xll.ciqfunctions.udf.CIQ(A3723,"IQ_TOTAL_DEBT_REPAID",IQ_FY-6), _xll.ciqfunctions.udf.CIQ(A3723, "IQ_TOTAL_DEBT_REPAID",IQ_FY-5))</f>
        <v>0</v>
      </c>
      <c r="O3727" s="15" t="e">
        <f t="shared" si="993"/>
        <v>#DIV/0!</v>
      </c>
      <c r="P3727" s="15" t="e">
        <f t="shared" si="994"/>
        <v>#DIV/0!</v>
      </c>
      <c r="Q3727" s="18"/>
      <c r="R3727" s="38" t="s">
        <v>50</v>
      </c>
      <c r="S3727" s="3" t="e">
        <f>I3734</f>
        <v>#DIV/0!</v>
      </c>
      <c r="U3727" s="18"/>
      <c r="V3727" s="38" t="s">
        <v>50</v>
      </c>
      <c r="W3727" s="3" t="e">
        <f>I3734</f>
        <v>#DIV/0!</v>
      </c>
      <c r="Y3727" s="18"/>
      <c r="Z3727" s="38" t="s">
        <v>50</v>
      </c>
      <c r="AA3727" s="3" t="e">
        <f>I3734</f>
        <v>#DIV/0!</v>
      </c>
    </row>
    <row r="3728" spans="1:27">
      <c r="B3728" s="13">
        <v>6</v>
      </c>
      <c r="C3728" s="14" t="s">
        <v>26</v>
      </c>
      <c r="D3728" s="15" t="e" cm="1">
        <f t="array" ref="D3728">_xlfn.SINGLE(IF(A3731=A3732,_xll.ciqfunctions.udf.CIQ(A3723,"IQ_TOTAL_REV",IQ_FY-5)/I3728, _xll.ciqfunctions.udf.CIQ(A3723, "IQ_TOTAL_REV",IQ_FY-4)/I3728))</f>
        <v>#DIV/0!</v>
      </c>
      <c r="E3728" s="16" t="e">
        <f t="shared" si="995"/>
        <v>#DIV/0!</v>
      </c>
      <c r="F3728" s="15">
        <f>IF(A3731=A3732,_xll.ciqfunctions.udf.CIQ(A3723,"IQ_DILUT_EPS_EXCL",IQ_FY-5), _xll.ciqfunctions.udf.CIQ(A3723, "IQ_DILUT_EPS_EXCL",IQ_FY-4))</f>
        <v>0</v>
      </c>
      <c r="G3728" s="15">
        <f>IF(A3731=A3732,_xll.ciqfunctions.udf.CIQ(A3723,"IQ_EBITDA_MARGIN",IQ_FY-5), _xll.ciqfunctions.udf.CIQ(A3723, "IQ_EBITDA_MARGIN",IQ_FY-4))</f>
        <v>0</v>
      </c>
      <c r="H3728" s="15" t="e">
        <f>IF(A3731=A3732,_xll.ciqfunctions.udf.CIQ(A3723,"IQ_TOTAL_DIV_PAID_CF",IQ_FY-5)/-I3728, _xll.ciqfunctions.udf.CIQ(A3723, "IQ_TOTAL_DIV_PAID_CF",IQ_FY-4)/-I3728)</f>
        <v>#DIV/0!</v>
      </c>
      <c r="I3728" s="17">
        <f>IF(A3731=A3732,_xll.ciqfunctions.udf.CIQ(A3723,"IQ_TOTAL_OUTSTANDING_FILING_DATE",IQ_FY-5), _xll.ciqfunctions.udf.CIQ(A3723, "IQ_TOTAL_OUTSTANDING_FILING_DATE",IQ_FY-4))</f>
        <v>0</v>
      </c>
      <c r="J3728" s="17">
        <f>IF(A3731=A3732,_xll.ciqfunctions.udf.CIQ(A3723,"IQ_CASH_OPER",IQ_FY-5), _xll.ciqfunctions.udf.CIQ(A3723, "IQ_CASH_OPER",IQ_FY-4))</f>
        <v>0</v>
      </c>
      <c r="K3728" s="17">
        <f>IF(A3731=A3732,_xll.ciqfunctions.udf.CIQ(A3723,"IQ_CAPEX",IQ_FY-5), _xll.ciqfunctions.udf.CIQ(A3723, "IQ_CAPEX",IQ_FY-4))</f>
        <v>0</v>
      </c>
      <c r="L3728" s="15" t="e">
        <f t="shared" si="992"/>
        <v>#DIV/0!</v>
      </c>
      <c r="M3728" s="17">
        <f>IF(A3731=A3732,_xll.ciqfunctions.udf.CIQ(A3723,"IQ_TOTAL_DEBT_ISSUED",IQ_FY-5), _xll.ciqfunctions.udf.CIQ(A3723, "IQ_TOTAL_DEBT_ISSUED",IQ_FY-4))</f>
        <v>0</v>
      </c>
      <c r="N3728" s="17">
        <f>IF(A3731=A3732,_xll.ciqfunctions.udf.CIQ(A3723,"IQ_TOTAL_DEBT_REPAID",IQ_FY-5), _xll.ciqfunctions.udf.CIQ(A3723, "IQ_TOTAL_DEBT_REPAID",IQ_FY-4))</f>
        <v>0</v>
      </c>
      <c r="O3728" s="15" t="e">
        <f t="shared" si="993"/>
        <v>#DIV/0!</v>
      </c>
      <c r="P3728" s="15" t="e">
        <f t="shared" si="994"/>
        <v>#DIV/0!</v>
      </c>
      <c r="Q3728" s="25" t="s">
        <v>27</v>
      </c>
      <c r="R3728" s="38" t="s">
        <v>51</v>
      </c>
      <c r="S3728" s="4" t="e">
        <f>AVERAGE(F3728:F3733)/AVERAGE(D3728:D3733)</f>
        <v>#DIV/0!</v>
      </c>
      <c r="U3728" s="25" t="s">
        <v>58</v>
      </c>
      <c r="V3728" s="38" t="s">
        <v>51</v>
      </c>
      <c r="W3728" s="4" t="e">
        <f>AVERAGE(F3728:F3733)/AVERAGE(D3728:D3733)</f>
        <v>#DIV/0!</v>
      </c>
      <c r="Y3728" s="25" t="s">
        <v>56</v>
      </c>
      <c r="Z3728" s="38" t="s">
        <v>51</v>
      </c>
      <c r="AA3728" s="4" t="e">
        <f>AVERAGE(F3728:F3733)/AVERAGE(D3728:D3733)</f>
        <v>#DIV/0!</v>
      </c>
    </row>
    <row r="3729" spans="1:27">
      <c r="A3729" s="18"/>
      <c r="B3729" s="13">
        <v>7</v>
      </c>
      <c r="C3729" s="14" t="s">
        <v>28</v>
      </c>
      <c r="D3729" s="15" t="e" cm="1">
        <f t="array" ref="D3729">_xlfn.SINGLE(IF(A3731=A3732,_xll.ciqfunctions.udf.CIQ(A3723,"IQ_TOTAL_REV",IQ_FY-4)/I3729, _xll.ciqfunctions.udf.CIQ(A3723, "IQ_TOTAL_REV",IQ_FY-3)/I3729))</f>
        <v>#DIV/0!</v>
      </c>
      <c r="E3729" s="16" t="e">
        <f t="shared" si="995"/>
        <v>#DIV/0!</v>
      </c>
      <c r="F3729" s="15">
        <f>IF(A3731=A3732,_xll.ciqfunctions.udf.CIQ(A3723,"IQ_DILUT_EPS_EXCL",IQ_FY-4), _xll.ciqfunctions.udf.CIQ(A3723, "IQ_DILUT_EPS_EXCL",IQ_FY-3))</f>
        <v>0</v>
      </c>
      <c r="G3729" s="15">
        <f>IF(A3731=A3732,_xll.ciqfunctions.udf.CIQ(A3723,"IQ_EBITDA_MARGIN",IQ_FY-4), _xll.ciqfunctions.udf.CIQ(A3723, "IQ_EBITDA_MARGIN",IQ_FY-3))</f>
        <v>-27.7043</v>
      </c>
      <c r="H3729" s="15" t="e">
        <f>IF(A3731=A3732,_xll.ciqfunctions.udf.CIQ(A3723,"IQ_TOTAL_DIV_PAID_CF",IQ_FY-4)/-I3729, _xll.ciqfunctions.udf.CIQ(A3723, "IQ_TOTAL_DIV_PAID_CF",IQ_FY-3)/-I3729)</f>
        <v>#DIV/0!</v>
      </c>
      <c r="I3729" s="17">
        <f>IF(A3731=A3732,_xll.ciqfunctions.udf.CIQ(A3723,"IQ_TOTAL_OUTSTANDING_FILING_DATE",IQ_FY-4), _xll.ciqfunctions.udf.CIQ(A3723, "IQ_TOTAL_OUTSTANDING_FILING_DATE",IQ_FY-3))</f>
        <v>0</v>
      </c>
      <c r="J3729" s="17">
        <f>IF(A3731=A3732,_xll.ciqfunctions.udf.CIQ(A3723,"IQ_CASH_OPER",IQ_FY-4), _xll.ciqfunctions.udf.CIQ(A3723, "IQ_CASH_OPER",IQ_FY-3))</f>
        <v>16.574000000000002</v>
      </c>
      <c r="K3729" s="17">
        <f>IF(A3731=A3732,_xll.ciqfunctions.udf.CIQ(A3723,"IQ_CAPEX",IQ_FY-4), _xll.ciqfunctions.udf.CIQ(A3723, "IQ_CAPEX",IQ_FY-3))</f>
        <v>-14.682</v>
      </c>
      <c r="L3729" s="15" t="e">
        <f t="shared" si="992"/>
        <v>#DIV/0!</v>
      </c>
      <c r="M3729" s="17">
        <f>IF(A3731=A3732,_xll.ciqfunctions.udf.CIQ(A3723,"IQ_TOTAL_DEBT_ISSUED",IQ_FY-4), _xll.ciqfunctions.udf.CIQ(A3723, "IQ_TOTAL_DEBT_ISSUED",IQ_FY-3))</f>
        <v>0</v>
      </c>
      <c r="N3729" s="17">
        <f>IF(A3731=A3732,_xll.ciqfunctions.udf.CIQ(A3723,"IQ_TOTAL_DEBT_REPAID",IQ_FY-4), _xll.ciqfunctions.udf.CIQ(A3723, "IQ_TOTAL_DEBT_REPAID",IQ_FY-3))</f>
        <v>0</v>
      </c>
      <c r="O3729" s="15" t="e">
        <f t="shared" si="993"/>
        <v>#DIV/0!</v>
      </c>
      <c r="P3729" s="15" t="e">
        <f t="shared" si="994"/>
        <v>#DIV/0!</v>
      </c>
      <c r="Q3729" s="18"/>
      <c r="R3729" s="38" t="s">
        <v>29</v>
      </c>
      <c r="S3729" s="4" t="e">
        <f>(AVERAGE(P3728:P3733)/_xlfn.STDEV.P(P3728:P3733))/(IF(A3731=A3732,(_xlfn.SINGLE(_xll.ciqfunctions.udf.CIQ(A3723,"IQ_total_assets",IQ_FY)) - _xlfn.SINGLE(_xll.ciqfunctions.udf.CIQ(A3723,"iq_gw_intan", IQ_FY)))/I3733, (_xlfn.SINGLE(_xll.ciqfunctions.udf.CIQ(A3723, "IQ_total_assets",IQ_LTM))-_xlfn.SINGLE(_xll.ciqfunctions.udf.CIQ(A3723,"iq_gw_intan",IQ_LTM)))/I3733))</f>
        <v>#DIV/0!</v>
      </c>
      <c r="U3729" s="18"/>
      <c r="V3729" s="38" t="s">
        <v>29</v>
      </c>
      <c r="W3729" s="4" t="e">
        <f>(AVERAGE(P3728:P3733)/_xlfn.STDEV.P(P3728:P3733))/(IF(A3731=A3732,(_xlfn.SINGLE(_xll.ciqfunctions.udf.CIQ(A3723,"IQ_total_assets",IQ_FY)) - _xlfn.SINGLE(_xll.ciqfunctions.udf.CIQ(A3723,"iq_gw_intan", IQ_FY)))/I3733, (_xlfn.SINGLE(_xll.ciqfunctions.udf.CIQ(A3723, "IQ_total_assets",IQ_LTM))-_xlfn.SINGLE(_xll.ciqfunctions.udf.CIQ(A3723,"iq_gw_intan",IQ_LTM)))/I3733))</f>
        <v>#DIV/0!</v>
      </c>
      <c r="Y3729" s="18"/>
      <c r="Z3729" s="38" t="s">
        <v>29</v>
      </c>
      <c r="AA3729" s="4" t="e">
        <f>(AVERAGE(P3728:P3733)/_xlfn.STDEV.P(P3728:P3733))/(IF(A3731=A3732,(_xlfn.SINGLE(_xll.ciqfunctions.udf.CIQ(A3723,"IQ_total_assets",IQ_FY)) - _xlfn.SINGLE(_xll.ciqfunctions.udf.CIQ(A3723,"iq_gw_intan", IQ_FY)))/I3733, (_xlfn.SINGLE(_xll.ciqfunctions.udf.CIQ(A3723, "IQ_total_assets",IQ_LTM))-_xlfn.SINGLE(_xll.ciqfunctions.udf.CIQ(A3723,"iq_gw_intan",IQ_LTM)))/I3733))</f>
        <v>#DIV/0!</v>
      </c>
    </row>
    <row r="3730" spans="1:27">
      <c r="A3730" s="18"/>
      <c r="B3730" s="13">
        <v>8</v>
      </c>
      <c r="C3730" s="14" t="s">
        <v>30</v>
      </c>
      <c r="D3730" s="15" cm="1">
        <f t="array" ref="D3730">_xlfn.SINGLE(IF(A3731=A3732,_xll.ciqfunctions.udf.CIQ(A3723,"IQ_TOTAL_REV",IQ_FY-3)/I3730, _xll.ciqfunctions.udf.CIQ(A3723, "IQ_TOTAL_REV",IQ_FY-2)/I3730))</f>
        <v>34.183289591393006</v>
      </c>
      <c r="E3730" s="16" t="e">
        <f t="shared" si="995"/>
        <v>#DIV/0!</v>
      </c>
      <c r="F3730" s="15">
        <f>IF(A3731=A3732,_xll.ciqfunctions.udf.CIQ(A3723,"IQ_DILUT_EPS_EXCL",IQ_FY-3), _xll.ciqfunctions.udf.CIQ(A3723, "IQ_DILUT_EPS_EXCL",IQ_FY-2))</f>
        <v>-1.3789100000000001</v>
      </c>
      <c r="G3730" s="15">
        <f>IF(A3731=A3732,_xll.ciqfunctions.udf.CIQ(A3723,"IQ_EBITDA_MARGIN",IQ_FY-3), _xll.ciqfunctions.udf.CIQ(A3723, "IQ_EBITDA_MARGIN",IQ_FY-2))</f>
        <v>-5.7427000000000001</v>
      </c>
      <c r="H3730" s="15">
        <f>IF(A3731=A3732,_xll.ciqfunctions.udf.CIQ(A3723,"IQ_TOTAL_DIV_PAID_CF",IQ_FY-3)/-I3730, _xll.ciqfunctions.udf.CIQ(A3723, "IQ_TOTAL_DIV_PAID_CF",IQ_FY-2)/-I3730)</f>
        <v>0</v>
      </c>
      <c r="I3730" s="17">
        <f>IF(A3731=A3732,_xll.ciqfunctions.udf.CIQ(A3723,"IQ_TOTAL_OUTSTANDING_FILING_DATE",IQ_FY-3), _xll.ciqfunctions.udf.CIQ(A3723, "IQ_TOTAL_OUTSTANDING_FILING_DATE",IQ_FY-2))</f>
        <v>6.7517199999999997</v>
      </c>
      <c r="J3730" s="17">
        <f>IF(A3731=A3732,_xll.ciqfunctions.udf.CIQ(A3723,"IQ_CASH_OPER",IQ_FY-3), _xll.ciqfunctions.udf.CIQ(A3723, "IQ_CASH_OPER",IQ_FY-2))</f>
        <v>-12.337999999999999</v>
      </c>
      <c r="K3730" s="17">
        <f>IF(A3731=A3732,_xll.ciqfunctions.udf.CIQ(A3723,"IQ_CAPEX",IQ_FY-3), _xll.ciqfunctions.udf.CIQ(A3723, "IQ_CAPEX",IQ_FY-2))</f>
        <v>-16.501999999999999</v>
      </c>
      <c r="L3730" s="15">
        <f t="shared" si="992"/>
        <v>-4.2715041500536159</v>
      </c>
      <c r="M3730" s="17">
        <f>IF(A3731=A3732,_xll.ciqfunctions.udf.CIQ(A3723,"IQ_TOTAL_DEBT_ISSUED",IQ_FY-3), _xll.ciqfunctions.udf.CIQ(A3723, "IQ_TOTAL_DEBT_ISSUED",IQ_FY-2))</f>
        <v>0</v>
      </c>
      <c r="N3730" s="17">
        <f>IF(A3731=A3732,_xll.ciqfunctions.udf.CIQ(A3723,"IQ_TOTAL_DEBT_REPAID",IQ_FY-3), _xll.ciqfunctions.udf.CIQ(A3723, "IQ_TOTAL_DEBT_REPAID",IQ_FY-2))</f>
        <v>0</v>
      </c>
      <c r="O3730" s="15">
        <f t="shared" si="993"/>
        <v>0</v>
      </c>
      <c r="P3730" s="15">
        <f t="shared" si="994"/>
        <v>-4.2715041500536159</v>
      </c>
      <c r="Q3730" s="18"/>
      <c r="R3730" s="39" t="s">
        <v>31</v>
      </c>
      <c r="S3730" s="5" t="e">
        <f>IF(NOT(D3723&gt;0),FALSE,SLOPE(G3723:G3733,B3723:B3733))</f>
        <v>#DIV/0!</v>
      </c>
      <c r="U3730" s="18"/>
      <c r="V3730" s="39" t="s">
        <v>31</v>
      </c>
      <c r="W3730" s="5" t="e">
        <f>IF(NOT(D3723&gt;0),FALSE,SLOPE(G3723:G3733,B3723:B3733))</f>
        <v>#DIV/0!</v>
      </c>
      <c r="Y3730" s="18"/>
      <c r="Z3730" s="39" t="s">
        <v>31</v>
      </c>
      <c r="AA3730" s="5" t="e">
        <f>IF(NOT(L3723&gt;0),FALSE,SLOPE(O3723:O3733,J3723:J3733))</f>
        <v>#DIV/0!</v>
      </c>
    </row>
    <row r="3731" spans="1:27">
      <c r="A3731" s="19">
        <f>_xll.ciqfunctions.udf.CIQ(A3723,"IQ_TOTAL_REV",IQ_FY)</f>
        <v>437.43400000000003</v>
      </c>
      <c r="B3731" s="13">
        <v>9</v>
      </c>
      <c r="C3731" s="14" t="s">
        <v>32</v>
      </c>
      <c r="D3731" s="15" cm="1">
        <f t="array" ref="D3731">_xlfn.SINGLE(IF(A3731=A3732,_xll.ciqfunctions.udf.CIQ(A3723,"IQ_TOTAL_REV",IQ_FY-2)/I3731, _xll.ciqfunctions.udf.CIQ(A3723, "IQ_TOTAL_REV",IQ_FY-1)/I3731))</f>
        <v>3.1900280862356341</v>
      </c>
      <c r="E3731" s="16">
        <f t="shared" si="995"/>
        <v>-0.9066787274025595</v>
      </c>
      <c r="F3731" s="15">
        <f>IF(A3731=A3732,_xll.ciqfunctions.udf.CIQ(A3723,"IQ_DILUT_EPS_EXCL",IQ_FY-2), _xll.ciqfunctions.udf.CIQ(A3723, "IQ_DILUT_EPS_EXCL",IQ_FY-1))</f>
        <v>-0.47837000000000002</v>
      </c>
      <c r="G3731" s="15">
        <f>IF(A3731=A3732,_xll.ciqfunctions.udf.CIQ(A3723,"IQ_EBITDA_MARGIN",IQ_FY-2), _xll.ciqfunctions.udf.CIQ(A3723, "IQ_EBITDA_MARGIN",IQ_FY-1))</f>
        <v>-42.524000000000001</v>
      </c>
      <c r="H3731" s="15">
        <f>IF(A3731=A3732,_xll.ciqfunctions.udf.CIQ(A3723,"IQ_TOTAL_DIV_PAID_CF",IQ_FY-2)/-I3731, _xll.ciqfunctions.udf.CIQ(A3723, "IQ_TOTAL_DIV_PAID_CF",IQ_FY-1)/-I3731)</f>
        <v>0</v>
      </c>
      <c r="I3731" s="17">
        <f>IF(A3731=A3732,_xll.ciqfunctions.udf.CIQ(A3723,"IQ_TOTAL_OUTSTANDING_FILING_DATE",IQ_FY-2), _xll.ciqfunctions.udf.CIQ(A3723, "IQ_TOTAL_OUTSTANDING_FILING_DATE",IQ_FY-1))</f>
        <v>79.60839</v>
      </c>
      <c r="J3731" s="17">
        <f>IF(A3731=A3732,_xll.ciqfunctions.udf.CIQ(A3723,"IQ_CASH_OPER",IQ_FY-2), _xll.ciqfunctions.udf.CIQ(A3723, "IQ_CASH_OPER",IQ_FY-1))</f>
        <v>69.706999999999994</v>
      </c>
      <c r="K3731" s="17">
        <f>IF(A3731=A3732,_xll.ciqfunctions.udf.CIQ(A3723,"IQ_CAPEX",IQ_FY-2), _xll.ciqfunctions.udf.CIQ(A3723, "IQ_CAPEX",IQ_FY-1))</f>
        <v>-28.148</v>
      </c>
      <c r="L3731" s="15">
        <f t="shared" si="992"/>
        <v>0.52204296557184482</v>
      </c>
      <c r="M3731" s="17">
        <f>IF(A3731=A3732,_xll.ciqfunctions.udf.CIQ(A3723,"IQ_TOTAL_DEBT_ISSUED",IQ_FY-2), _xll.ciqfunctions.udf.CIQ(A3723, "IQ_TOTAL_DEBT_ISSUED",IQ_FY-1))</f>
        <v>0</v>
      </c>
      <c r="N3731" s="17">
        <f>IF(A3731=A3732,_xll.ciqfunctions.udf.CIQ(A3723,"IQ_TOTAL_DEBT_REPAID",IQ_FY-2), _xll.ciqfunctions.udf.CIQ(A3723, "IQ_TOTAL_DEBT_REPAID",IQ_FY-1))</f>
        <v>0</v>
      </c>
      <c r="O3731" s="15">
        <f t="shared" si="993"/>
        <v>0</v>
      </c>
      <c r="P3731" s="15">
        <f t="shared" si="994"/>
        <v>0.52204296557184482</v>
      </c>
      <c r="Q3731" s="25" t="s">
        <v>33</v>
      </c>
      <c r="R3731" s="38" t="s">
        <v>52</v>
      </c>
      <c r="S3731" s="4" t="e">
        <f>(AVERAGE(O3728:O3733)/AVERAGE(P3728:P3733))</f>
        <v>#DIV/0!</v>
      </c>
      <c r="U3731" s="25" t="s">
        <v>54</v>
      </c>
      <c r="V3731" s="38" t="s">
        <v>52</v>
      </c>
      <c r="W3731" s="4" t="e">
        <f>(AVERAGE(O3728:O3733)/AVERAGE(P3728:P3733))</f>
        <v>#DIV/0!</v>
      </c>
      <c r="Y3731" s="25" t="s">
        <v>60</v>
      </c>
      <c r="Z3731" s="38" t="s">
        <v>52</v>
      </c>
      <c r="AA3731" s="4" t="e">
        <f>(AVERAGE(O3728:O3733)/AVERAGE(P3728:P3733))</f>
        <v>#DIV/0!</v>
      </c>
    </row>
    <row r="3732" spans="1:27">
      <c r="A3732" s="19">
        <f>_xll.ciqfunctions.udf.CIQ(A3723,"IQ_TOTAL_REV",IQ_LTM)</f>
        <v>570.86699999999996</v>
      </c>
      <c r="B3732" s="13">
        <v>10</v>
      </c>
      <c r="C3732" s="14" t="s">
        <v>34</v>
      </c>
      <c r="D3732" s="15" cm="1">
        <f t="array" ref="D3732">_xlfn.SINGLE(IF(A3731=A3732,_xll.ciqfunctions.udf.CIQ(A3723,"IQ_TOTAL_REV",IQ_FY-1)/I3732, _xll.ciqfunctions.udf.CIQ(A3723, "IQ_TOTAL_REV",IQ_FY)/I3732))</f>
        <v>4.8012577571219985</v>
      </c>
      <c r="E3732" s="16">
        <f t="shared" si="995"/>
        <v>0.50508322413790485</v>
      </c>
      <c r="F3732" s="15">
        <f>IF(A3731=A3732,_xll.ciqfunctions.udf.CIQ(A3723,"IQ_DILUT_EPS_EXCL",IQ_FY-1), _xll.ciqfunctions.udf.CIQ(A3723, "IQ_DILUT_EPS_EXCL",IQ_FY))</f>
        <v>-0.79844999999999999</v>
      </c>
      <c r="G3732" s="15">
        <f>IF(A3731=A3732,_xll.ciqfunctions.udf.CIQ(A3723,"IQ_EBITDA_MARGIN",IQ_FY-1), _xll.ciqfunctions.udf.CIQ(A3723, "IQ_EBITDA_MARGIN",IQ_FY))</f>
        <v>-26.9636</v>
      </c>
      <c r="H3732" s="15">
        <f>IF(A3731=A3732,_xll.ciqfunctions.udf.CIQ(A3723,"IQ_TOTAL_DIV_PAID_CF",IQ_FY-1)/-I3732, _xll.ciqfunctions.udf.CIQ(A3723, "IQ_TOTAL_DIV_PAID_CF",IQ_FY)/-I3732)</f>
        <v>0.17835933775891327</v>
      </c>
      <c r="I3732" s="17">
        <f>IF(A3731=A3732,_xll.ciqfunctions.udf.CIQ(A3723,"IQ_TOTAL_OUTSTANDING_FILING_DATE",IQ_FY-1), _xll.ciqfunctions.udf.CIQ(A3723, "IQ_TOTAL_OUTSTANDING_FILING_DATE",IQ_FY))</f>
        <v>91.10821</v>
      </c>
      <c r="J3732" s="17">
        <f>IF(A3731=A3732,_xll.ciqfunctions.udf.CIQ(A3723,"IQ_CASH_OPER",IQ_FY-1), _xll.ciqfunctions.udf.CIQ(A3723, "IQ_CASH_OPER",IQ_FY))</f>
        <v>168.31</v>
      </c>
      <c r="K3732" s="17">
        <f>IF(A3731=A3732,_xll.ciqfunctions.udf.CIQ(A3723,"IQ_CAPEX",IQ_FY-1), _xll.ciqfunctions.udf.CIQ(A3723, "IQ_CAPEX",IQ_FY))</f>
        <v>-31.361999999999998</v>
      </c>
      <c r="L3732" s="15">
        <f t="shared" si="992"/>
        <v>1.5031356669173943</v>
      </c>
      <c r="M3732" s="17">
        <f>IF(A3731=A3732,_xll.ciqfunctions.udf.CIQ(A3723,"IQ_TOTAL_DEBT_ISSUED",IQ_FY-1), _xll.ciqfunctions.udf.CIQ(A3723, "IQ_TOTAL_DEBT_ISSUED",IQ_FY))</f>
        <v>0</v>
      </c>
      <c r="N3732" s="17">
        <f>IF(A3731=A3732,_xll.ciqfunctions.udf.CIQ(A3723,"IQ_TOTAL_DEBT_REPAID",IQ_FY-1), _xll.ciqfunctions.udf.CIQ(A3723, "IQ_TOTAL_DEBT_REPAID",IQ_FY))</f>
        <v>0</v>
      </c>
      <c r="O3732" s="15">
        <f t="shared" si="993"/>
        <v>0</v>
      </c>
      <c r="P3732" s="15">
        <f t="shared" si="994"/>
        <v>1.5031356669173943</v>
      </c>
      <c r="Q3732" s="25" t="s">
        <v>44</v>
      </c>
      <c r="R3732" s="38" t="s">
        <v>35</v>
      </c>
      <c r="S3732" s="1" t="str">
        <f>_xll.ciqfunctions.udf.CIQ(A3723,"IQ_TEV_EBITDA")</f>
        <v>NM</v>
      </c>
      <c r="U3732" s="25" t="s">
        <v>55</v>
      </c>
      <c r="V3732" s="38" t="s">
        <v>53</v>
      </c>
      <c r="W3732" s="1" t="e">
        <f>V3722/(AVERAGE(D3728:D3733)/_xlfn.STDEV.P(E3728:E3733))</f>
        <v>#DIV/0!</v>
      </c>
      <c r="Y3732" s="25" t="s">
        <v>57</v>
      </c>
      <c r="Z3732" s="38" t="s">
        <v>53</v>
      </c>
      <c r="AA3732" s="1" t="e">
        <f>Z3722/(AVERAGE(D3728:D3733)/_xlfn.STDEV.P(E3728:E3733))</f>
        <v>#DIV/0!</v>
      </c>
    </row>
    <row r="3733" spans="1:27">
      <c r="B3733" s="13">
        <v>11</v>
      </c>
      <c r="C3733" s="20" t="s">
        <v>36</v>
      </c>
      <c r="D3733" s="21" cm="1">
        <f t="array" ref="D3733">_xlfn.SINGLE(IF(A3731=A3732,_xll.ciqfunctions.udf.CIQ(A3723,"IQ_TOTAL_REV",IQ_FY)/I3733, _xll.ciqfunctions.udf.CIQ(A3723, "IQ_TOTAL_REV",IQ_LTM)/I3733))</f>
        <v>6.2816037732734813</v>
      </c>
      <c r="E3733" s="22">
        <f t="shared" si="995"/>
        <v>0.30832462888616952</v>
      </c>
      <c r="F3733" s="21">
        <f>IF(A3731=A3732,_xll.ciqfunctions.udf.CIQ(A3723,"IQ_DILUT_EPS_EXCL",IQ_FY), _xll.ciqfunctions.udf.CIQ(A3723, "IQ_DILUT_EPS_EXCL",IQ_LTM))</f>
        <v>3.083E-2</v>
      </c>
      <c r="G3733" s="21">
        <f>IF(A3731=A3732,_xll.ciqfunctions.udf.CIQ(A3723,"IQ_EBITDA_MARGIN",IQ_FY), _xll.ciqfunctions.udf.CIQ(A3723, "IQ_EBITDA_MARGIN",IQ_LTM))</f>
        <v>-2.2122000000000002</v>
      </c>
      <c r="H3733" s="21">
        <f>IF(A3731=A3732,_xll.ciqfunctions.udf.CIQ(A3723,"IQ_TOTAL_DIV_PAID_CF",IQ_FY)/-I3733, _xll.ciqfunctions.udf.CIQ(A3723, "IQ_TOTAL_DIV_PAID_CF",IQ_LTM)/-I3733)</f>
        <v>0.29590936009765934</v>
      </c>
      <c r="I3733" s="23">
        <f>IF(A3731=A3732,_xll.ciqfunctions.udf.CIQ(A3723,"IQ_TOTAL_OUTSTANDING_FILING_DATE",IQ_FY),_xll.ciqfunctions.udf.CIQ(A3723,"IQ_sharesoutstanding"))</f>
        <v>90.879180000000005</v>
      </c>
      <c r="J3733" s="23">
        <f>IF(A3731=A3732,_xll.ciqfunctions.udf.CIQ(A3723,"IQ_CASH_OPER",IQ_FY), _xll.ciqfunctions.udf.CIQ(A3723, "IQ_CASH_OPER",IQ_LTM))</f>
        <v>210.18199999999999</v>
      </c>
      <c r="K3733" s="23">
        <f>IF(A3731=A3732,_xll.ciqfunctions.udf.CIQ(A3723,"IQ_CAPEX",IQ_FY), _xll.ciqfunctions.udf.CIQ(A3723, "IQ_CAPEX",IQ_LTM))</f>
        <v>-30.114000000000001</v>
      </c>
      <c r="L3733" s="21">
        <f t="shared" si="992"/>
        <v>1.9813999202017445</v>
      </c>
      <c r="M3733" s="23">
        <f>IF(A3731=A3732,_xll.ciqfunctions.udf.CIQ(A3723,"IQ_TOTAL_DEBT_ISSUED",IQ_FY), _xll.ciqfunctions.udf.CIQ(A3723, "IQ_TOTAL_DEBT_ISSUED",IQ_LTM))</f>
        <v>0</v>
      </c>
      <c r="N3733" s="23">
        <f>IF(A3731=A3732,_xll.ciqfunctions.udf.CIQ(A3723,"IQ_TOTAL_DEBT_REPAID",IQ_FY), _xll.ciqfunctions.udf.CIQ(A3723, "IQ_TOTAL_DEBT_REPAID",IQ_LTM))</f>
        <v>0</v>
      </c>
      <c r="O3733" s="21">
        <f t="shared" si="993"/>
        <v>0</v>
      </c>
      <c r="P3733" s="21">
        <f t="shared" si="994"/>
        <v>1.9813999202017445</v>
      </c>
      <c r="Q3733" s="25" t="s">
        <v>45</v>
      </c>
      <c r="S3733" s="45"/>
      <c r="U3733" s="25"/>
      <c r="W3733" s="45"/>
      <c r="Y3733" s="25"/>
      <c r="AA3733" s="45"/>
    </row>
    <row r="3734" spans="1:27">
      <c r="B3734" s="24"/>
      <c r="C3734" s="25" t="s">
        <v>37</v>
      </c>
      <c r="E3734" s="26" t="e">
        <f>((D3733/D3728)^(1/5))-1</f>
        <v>#DIV/0!</v>
      </c>
      <c r="F3734" s="27" t="e">
        <f>((F3733/F3728)^(1/5))-1</f>
        <v>#DIV/0!</v>
      </c>
      <c r="G3734" s="28"/>
      <c r="H3734" s="27" t="e">
        <f>((H3733/H3728)^(1/5))-1</f>
        <v>#DIV/0!</v>
      </c>
      <c r="I3734" s="27" t="e">
        <f>((I3733/I3728)^(1/5))-1</f>
        <v>#DIV/0!</v>
      </c>
      <c r="J3734" s="27"/>
      <c r="K3734" s="27"/>
      <c r="L3734" s="26" t="e">
        <f>((L3733/L3728)^(1/5))-1</f>
        <v>#DIV/0!</v>
      </c>
      <c r="M3734" s="26"/>
      <c r="N3734" s="26"/>
      <c r="O3734" s="26"/>
      <c r="P3734" s="26" t="e">
        <f>((P3733/P3728)^(1/5))-1</f>
        <v>#DIV/0!</v>
      </c>
      <c r="Q3734" s="18"/>
      <c r="R3734" s="36"/>
      <c r="S3734" s="45"/>
      <c r="U3734" s="18"/>
      <c r="V3734" s="36"/>
      <c r="W3734" s="45"/>
      <c r="Y3734" s="18"/>
      <c r="Z3734" s="36"/>
      <c r="AA3734" s="45"/>
    </row>
    <row r="3735" spans="1:27">
      <c r="A3735" s="29"/>
      <c r="B3735" s="30"/>
      <c r="C3735" s="31" t="s">
        <v>38</v>
      </c>
      <c r="D3735" s="29"/>
      <c r="E3735" s="32" t="e">
        <f>((D3733/D3723)^(1/10))-1</f>
        <v>#DIV/0!</v>
      </c>
      <c r="F3735" s="33" t="e">
        <f>((F3733/F3723)^(1/10))-1</f>
        <v>#DIV/0!</v>
      </c>
      <c r="G3735" s="34"/>
      <c r="H3735" s="33" t="e">
        <f>((H3733/H3723)^(1/10))-1</f>
        <v>#DIV/0!</v>
      </c>
      <c r="I3735" s="33" t="e">
        <f>((I3733/I3723)^(1/10))-1</f>
        <v>#DIV/0!</v>
      </c>
      <c r="J3735" s="33"/>
      <c r="K3735" s="33"/>
      <c r="L3735" s="32" t="e">
        <f>((L3733/L3723)^(1/10))-1</f>
        <v>#DIV/0!</v>
      </c>
      <c r="M3735" s="32"/>
      <c r="N3735" s="32"/>
      <c r="O3735" s="32"/>
      <c r="P3735" s="32" t="e">
        <f>((P3733/P3723)^(1/10))-1</f>
        <v>#DIV/0!</v>
      </c>
      <c r="Q3735" s="40"/>
      <c r="R3735" s="41"/>
      <c r="S3735" s="46"/>
      <c r="U3735" s="40"/>
      <c r="V3735" s="41"/>
      <c r="W3735" s="46"/>
      <c r="Y3735" s="40"/>
      <c r="Z3735" s="41"/>
      <c r="AA3735" s="46"/>
    </row>
    <row r="3736" spans="1:27">
      <c r="B3736" s="24"/>
      <c r="C3736" s="25"/>
      <c r="E3736" s="26"/>
      <c r="F3736" s="27"/>
      <c r="G3736" s="28"/>
      <c r="H3736" s="27"/>
      <c r="I3736" s="27"/>
      <c r="J3736" s="27"/>
      <c r="K3736" s="27"/>
      <c r="L3736" s="26"/>
      <c r="M3736" s="17"/>
      <c r="N3736" s="17"/>
      <c r="O3736" s="17"/>
      <c r="P3736" s="35"/>
      <c r="Q3736" s="18"/>
      <c r="R3736" s="36"/>
    </row>
    <row r="3737" spans="1:27">
      <c r="A3737" s="9" t="s">
        <v>0</v>
      </c>
      <c r="B3737" s="10"/>
      <c r="C3737" s="9" t="s">
        <v>1</v>
      </c>
      <c r="D3737" s="9" t="s">
        <v>2</v>
      </c>
      <c r="E3737" s="9" t="s">
        <v>3</v>
      </c>
      <c r="F3737" s="11" t="s">
        <v>4</v>
      </c>
      <c r="G3737" s="11" t="s">
        <v>5</v>
      </c>
      <c r="H3737" s="9" t="s">
        <v>6</v>
      </c>
      <c r="I3737" s="11" t="s">
        <v>7</v>
      </c>
      <c r="J3737" s="11" t="s">
        <v>8</v>
      </c>
      <c r="K3737" s="11" t="s">
        <v>9</v>
      </c>
      <c r="L3737" s="11" t="s">
        <v>10</v>
      </c>
      <c r="M3737" s="11" t="s">
        <v>11</v>
      </c>
      <c r="N3737" s="11" t="s">
        <v>12</v>
      </c>
      <c r="O3737" s="11" t="s">
        <v>13</v>
      </c>
      <c r="P3737" s="11" t="s">
        <v>14</v>
      </c>
      <c r="Q3737" s="37" t="s">
        <v>15</v>
      </c>
      <c r="R3737" s="42">
        <f>_xll.ciqfunctions.udf.CIQ(A3738,("IQ_LASTSALEPRICE"))</f>
        <v>22.68</v>
      </c>
      <c r="S3737" s="44"/>
      <c r="U3737" s="37" t="s">
        <v>15</v>
      </c>
      <c r="V3737" s="42">
        <f>_xll.ciqfunctions.udf.CIQ(A3738,("IQ_LASTSALEPRICE"))</f>
        <v>22.68</v>
      </c>
      <c r="W3737" s="44"/>
      <c r="Y3737" s="37" t="s">
        <v>15</v>
      </c>
      <c r="Z3737" s="42">
        <f>_xll.ciqfunctions.udf.CIQ(A3738,("IQ_LASTSALEPRICE"))</f>
        <v>22.68</v>
      </c>
      <c r="AA3737" s="44"/>
    </row>
    <row r="3738" spans="1:27">
      <c r="A3738" s="12" t="str">
        <f>Analysis!B251</f>
        <v>NasdaqGS:ALKT</v>
      </c>
      <c r="B3738" s="13">
        <v>1</v>
      </c>
      <c r="C3738" s="14" t="s">
        <v>16</v>
      </c>
      <c r="D3738" s="15" t="e">
        <f>IF(A3746=A3747,_xll.ciqfunctions.udf.CIQ(A3738,"IQ_TOTAL_REV",IQ_FY-10)/I3738,_xll.ciqfunctions.udf.CIQ(A3738, "IQ_TOTAL_REV",IQ_FY-9)/I3738)</f>
        <v>#DIV/0!</v>
      </c>
      <c r="E3738" s="16"/>
      <c r="F3738" s="15">
        <f>IF(A3746=A3747,_xll.ciqfunctions.udf.CIQ(A3738,"IQ_DILUT_EPS_EXCL",IQ_FY-10), _xll.ciqfunctions.udf.CIQ(A3738, "IQ_DILUT_EPS_EXCL",IQ_FY-9))</f>
        <v>0</v>
      </c>
      <c r="G3738" s="15">
        <f>IF(A3746=A3747,_xll.ciqfunctions.udf.CIQ(A3738,"IQ_EBITDA_MARGIN",IQ_FY-10), _xll.ciqfunctions.udf.CIQ(A3738, "IQ_EBITDA_MARGIN",IQ_FY-9))</f>
        <v>0</v>
      </c>
      <c r="H3738" s="15" t="e">
        <f>IF(A3746=A3747,_xll.ciqfunctions.udf.CIQ(A3738,"IQ_TOTAL_DIV_PAID_CF",IQ_FY-10)/-I3738, _xll.ciqfunctions.udf.CIQ(A3738, "IQ_TOTAL_DIV_PAID_CF",IQ_FY-9)/-I3738)</f>
        <v>#DIV/0!</v>
      </c>
      <c r="I3738" s="17">
        <f>IF(A3746=A3747,_xll.ciqfunctions.udf.CIQ(A3738,"IQ_TOTAL_OUTSTANDING_FILING_DATE",IQ_FY-10), _xll.ciqfunctions.udf.CIQ(A3738, "IQ_TOTAL_OUTSTANDING_FILING_DATE",IQ_FY-9))</f>
        <v>0</v>
      </c>
      <c r="J3738" s="17">
        <f>IF(A3746=A3747,_xll.ciqfunctions.udf.CIQ(A3738,"IQ_CASH_OPER",IQ_FY-10), _xll.ciqfunctions.udf.CIQ(A3738, "IQ_CASH_OPER",IQ_FY-9))</f>
        <v>0</v>
      </c>
      <c r="K3738" s="17">
        <f>IF(A3746=A3747,_xll.ciqfunctions.udf.CIQ(A3738,"IQ_CAPEX",IQ_FY-10), _xll.ciqfunctions.udf.CIQ(A3738, "IQ_CAPEX",IQ_FY-9))</f>
        <v>0</v>
      </c>
      <c r="L3738" s="15" t="e">
        <f t="shared" ref="L3738:L3748" si="996">(J3738+K3738)/I3738</f>
        <v>#DIV/0!</v>
      </c>
      <c r="M3738" s="17">
        <f>IF(A3746=A3747,_xll.ciqfunctions.udf.CIQ(A3738,"IQ_TOTAL_DEBT_ISSUED",IQ_FY-10), _xll.ciqfunctions.udf.CIQ(A3738, "IQ_TOTAL_DEBT_ISSUED",IQ_FY-9))</f>
        <v>0</v>
      </c>
      <c r="N3738" s="17">
        <f>IF(A3746=A3747,_xll.ciqfunctions.udf.CIQ(A3738,"IQ_TOTAL_DEBT_REPAID",IQ_FY-10), _xll.ciqfunctions.udf.CIQ(A3738, "IQ_TOTAL_DEBT_REPAID",IQ_FY-9))</f>
        <v>0</v>
      </c>
      <c r="O3738" s="15" t="e">
        <f t="shared" ref="O3738:O3748" si="997">(M3738+N3738)/I3738</f>
        <v>#DIV/0!</v>
      </c>
      <c r="P3738" s="15" t="e">
        <f t="shared" ref="P3738:P3748" si="998">L3738+O3738</f>
        <v>#DIV/0!</v>
      </c>
      <c r="W3738" s="43"/>
      <c r="AA3738" s="43"/>
    </row>
    <row r="3739" spans="1:27">
      <c r="A3739" s="18" t="str">
        <f>_xll.ciqfunctions.udf.CIQ(A3738,"IQ_COMPANY_NAME")</f>
        <v>Alkami Technology, Inc.</v>
      </c>
      <c r="B3739" s="13">
        <v>2</v>
      </c>
      <c r="C3739" s="14" t="s">
        <v>17</v>
      </c>
      <c r="D3739" s="15" t="e">
        <f>IF(A3746=A3747,_xll.ciqfunctions.udf.CIQ(A3738,"IQ_TOTAL_REV",IQ_FY-9)/I3739, _xll.ciqfunctions.udf.CIQ(A3738, "IQ_TOTAL_REV",IQ_FY-8)/I3739)</f>
        <v>#DIV/0!</v>
      </c>
      <c r="E3739" s="16" t="e">
        <f t="shared" ref="E3739:E3748" si="999">(D3739-D3738)/D3738</f>
        <v>#DIV/0!</v>
      </c>
      <c r="F3739" s="15">
        <f>IF(A3746=A3747,_xll.ciqfunctions.udf.CIQ(A3738,"IQ_DILUT_EPS_EXCL",IQ_FY-9), _xll.ciqfunctions.udf.CIQ(A3738, "IQ_DILUT_EPS_EXCL",IQ_FY-8))</f>
        <v>0</v>
      </c>
      <c r="G3739" s="15">
        <f>IF(A3746=A3747,_xll.ciqfunctions.udf.CIQ(A3738,"IQ_EBITDA_MARGIN",IQ_FY-9), _xll.ciqfunctions.udf.CIQ(A3738, "IQ_EBITDA_MARGIN",IQ_FY-8))</f>
        <v>0</v>
      </c>
      <c r="H3739" s="15" t="e">
        <f>IF(A3746=A3747,_xll.ciqfunctions.udf.CIQ(A3738,"IQ_TOTAL_DIV_PAID_CF",IQ_FY-9)/-I3739, _xll.ciqfunctions.udf.CIQ(A3738, "IQ_TOTAL_DIV_PAID_CF",IQ_FY-8)/-I3739)</f>
        <v>#DIV/0!</v>
      </c>
      <c r="I3739" s="17">
        <f>IF(A3746=A3747,_xll.ciqfunctions.udf.CIQ(A3738,"IQ_TOTAL_OUTSTANDING_FILING_DATE",IQ_FY-9), _xll.ciqfunctions.udf.CIQ(A3738, "IQ_TOTAL_OUTSTANDING_FILING_DATE",IQ_FY-8))</f>
        <v>0</v>
      </c>
      <c r="J3739" s="17">
        <f>IF(A3746=A3747,_xll.ciqfunctions.udf.CIQ(A3738,"IQ_CASH_OPER",IQ_FY-9), _xll.ciqfunctions.udf.CIQ(A3738, "IQ_CASH_OPER",IQ_FY-8))</f>
        <v>0</v>
      </c>
      <c r="K3739" s="17">
        <f>IF(A3746=A3747,_xll.ciqfunctions.udf.CIQ(A3738,"IQ_CAPEX",IQ_FY-9), _xll.ciqfunctions.udf.CIQ(A3738, "IQ_CAPEX",IQ_FY-8))</f>
        <v>0</v>
      </c>
      <c r="L3739" s="15" t="e">
        <f t="shared" si="996"/>
        <v>#DIV/0!</v>
      </c>
      <c r="M3739" s="17">
        <f>IF(A3746=A3747,_xll.ciqfunctions.udf.CIQ(A3738,"IQ_TOTAL_DEBT_ISSUED",IQ_FY-9), _xll.ciqfunctions.udf.CIQ(A3738, "IQ_TOTAL_DEBT_ISSUED",IQ_FY-8))</f>
        <v>0</v>
      </c>
      <c r="N3739" s="17">
        <f>IF(A3746=A3747,_xll.ciqfunctions.udf.CIQ(A3738,"IQ_TOTAL_DEBT_REPAID",IQ_FY-9), _xll.ciqfunctions.udf.CIQ(A3738, "IQ_TOTAL_DEBT_REPAID",IQ_FY-8))</f>
        <v>0</v>
      </c>
      <c r="O3739" s="15" t="e">
        <f t="shared" si="997"/>
        <v>#DIV/0!</v>
      </c>
      <c r="P3739" s="15" t="e">
        <f t="shared" si="998"/>
        <v>#DIV/0!</v>
      </c>
      <c r="Q3739" s="25" t="s">
        <v>18</v>
      </c>
      <c r="R3739" s="39" t="s">
        <v>19</v>
      </c>
      <c r="S3739" s="1" t="e">
        <f>R3737/((AVERAGE(P3743:P3748))*(1+E3749)^3)</f>
        <v>#DIV/0!</v>
      </c>
      <c r="U3739" s="25" t="s">
        <v>48</v>
      </c>
      <c r="V3739" s="39" t="s">
        <v>19</v>
      </c>
      <c r="W3739" s="1" t="e">
        <f>V3737/((AVERAGE(P3743:P3748))*(1+E3749)^3)</f>
        <v>#DIV/0!</v>
      </c>
      <c r="Y3739" s="25" t="s">
        <v>39</v>
      </c>
      <c r="Z3739" s="39" t="s">
        <v>19</v>
      </c>
      <c r="AA3739" s="1" t="e">
        <f>Z3737/((AVERAGE(P3743:P3748))*(1+E3749)^3)</f>
        <v>#DIV/0!</v>
      </c>
    </row>
    <row r="3740" spans="1:27">
      <c r="B3740" s="13">
        <v>3</v>
      </c>
      <c r="C3740" s="14" t="s">
        <v>20</v>
      </c>
      <c r="D3740" s="15" t="e" cm="1">
        <f t="array" ref="D3740">_xlfn.SINGLE(IF(A3746=A3747,_xll.ciqfunctions.udf.CIQ(A3738,"IQ_TOTAL_REV",IQ_FY-8)/I3740, _xll.ciqfunctions.udf.CIQ(A3738, "IQ_TOTAL_REV",IQ_FY-7)/I3740))</f>
        <v>#DIV/0!</v>
      </c>
      <c r="E3740" s="16" t="e">
        <f t="shared" si="999"/>
        <v>#DIV/0!</v>
      </c>
      <c r="F3740" s="15">
        <f>IF(A3746=A3747,_xll.ciqfunctions.udf.CIQ(A3738,"IQ_DILUT_EPS_EXCL",IQ_FY-8), _xll.ciqfunctions.udf.CIQ(A3738, "IQ_DILUT_EPS_EXCL",IQ_FY-7))</f>
        <v>0</v>
      </c>
      <c r="G3740" s="15">
        <f>IF(A3746=A3747,_xll.ciqfunctions.udf.CIQ(A3738,"IQ_EBITDA_MARGIN",IQ_FY-8), _xll.ciqfunctions.udf.CIQ(A3738, "IQ_EBITDA_MARGIN",IQ_FY-7))</f>
        <v>0</v>
      </c>
      <c r="H3740" s="15" t="e">
        <f>IF(A3746=A3747,_xll.ciqfunctions.udf.CIQ(A3738,"IQ_TOTAL_DIV_PAID_CF",IQ_FY-8)/-I3740, _xll.ciqfunctions.udf.CIQ(A3738, "IQ_TOTAL_DIV_PAID_CF",IQ_FY-7)/-I3740)</f>
        <v>#DIV/0!</v>
      </c>
      <c r="I3740" s="17">
        <f>IF(A3746=A3747,_xll.ciqfunctions.udf.CIQ(A3738,"IQ_TOTAL_OUTSTANDING_FILING_DATE",IQ_FY-8), _xll.ciqfunctions.udf.CIQ(A3738, "IQ_TOTAL_OUTSTANDING_FILING_DATE",IQ_FY-7))</f>
        <v>0</v>
      </c>
      <c r="J3740" s="17">
        <f>IF(A3746=A3747,_xll.ciqfunctions.udf.CIQ(A3738,"IQ_CASH_OPER",IQ_FY-8), _xll.ciqfunctions.udf.CIQ(A3738, "IQ_CASH_OPER",IQ_FY-7))</f>
        <v>0</v>
      </c>
      <c r="K3740" s="17">
        <f>IF(A3746=A3747,_xll.ciqfunctions.udf.CIQ(A3738,"IQ_CAPEX",IQ_FY-8), _xll.ciqfunctions.udf.CIQ(A3738, "IQ_CAPEX",IQ_FY-7))</f>
        <v>0</v>
      </c>
      <c r="L3740" s="15" t="e">
        <f t="shared" si="996"/>
        <v>#DIV/0!</v>
      </c>
      <c r="M3740" s="17">
        <f>IF(A3746=A3747,_xll.ciqfunctions.udf.CIQ(A3738,"IQ_TOTAL_DEBT_ISSUED",IQ_FY-8), _xll.ciqfunctions.udf.CIQ(A3738, "IQ_TOTAL_DEBT_ISSUED",IQ_FY-7))</f>
        <v>0</v>
      </c>
      <c r="N3740" s="17">
        <f>IF(A3746=A3747,_xll.ciqfunctions.udf.CIQ(A3738,"IQ_TOTAL_DEBT_REPAID",IQ_FY-8), _xll.ciqfunctions.udf.CIQ(A3738, "IQ_TOTAL_DEBT_REPAID",IQ_FY-7))</f>
        <v>0</v>
      </c>
      <c r="O3740" s="15" t="e">
        <f t="shared" si="997"/>
        <v>#DIV/0!</v>
      </c>
      <c r="P3740" s="15" t="e">
        <f t="shared" si="998"/>
        <v>#DIV/0!</v>
      </c>
      <c r="Q3740" s="25" t="s">
        <v>21</v>
      </c>
      <c r="R3740" s="38" t="s">
        <v>49</v>
      </c>
      <c r="S3740" s="2">
        <f>(R3737*I3748)/1000</f>
        <v>2.1628053971999996</v>
      </c>
      <c r="U3740" s="25" t="s">
        <v>59</v>
      </c>
      <c r="V3740" s="38" t="s">
        <v>49</v>
      </c>
      <c r="W3740" s="2">
        <f>(V3737*I3748)/1000</f>
        <v>2.1628053971999996</v>
      </c>
      <c r="Y3740" s="25" t="s">
        <v>46</v>
      </c>
      <c r="Z3740" s="38" t="s">
        <v>49</v>
      </c>
      <c r="AA3740" s="2">
        <f>(Z3737*I3748)/1000</f>
        <v>2.1628053971999996</v>
      </c>
    </row>
    <row r="3741" spans="1:27">
      <c r="A3741" s="18"/>
      <c r="B3741" s="13">
        <v>4</v>
      </c>
      <c r="C3741" s="14" t="s">
        <v>22</v>
      </c>
      <c r="D3741" s="15" t="e" cm="1">
        <f t="array" ref="D3741">_xlfn.SINGLE(IF(A3746=A3747,_xll.ciqfunctions.udf.CIQ(A3738,"IQ_TOTAL_REV",IQ_FY-7)/I3741, _xll.ciqfunctions.udf.CIQ(A3738, "IQ_TOTAL_REV",IQ_FY-6)/I3741))</f>
        <v>#DIV/0!</v>
      </c>
      <c r="E3741" s="16" t="e">
        <f t="shared" si="999"/>
        <v>#DIV/0!</v>
      </c>
      <c r="F3741" s="15">
        <f>IF(A3746=A3747,_xll.ciqfunctions.udf.CIQ(A3738,"IQ_DILUT_EPS_EXCL",IQ_FY-7), _xll.ciqfunctions.udf.CIQ(A3738, "IQ_DILUT_EPS_EXCL",IQ_FY-6))</f>
        <v>0</v>
      </c>
      <c r="G3741" s="15">
        <f>IF(A3746=A3747,_xll.ciqfunctions.udf.CIQ(A3738,"IQ_EBITDA_MARGIN",IQ_FY-7), _xll.ciqfunctions.udf.CIQ(A3738, "IQ_EBITDA_MARGIN",IQ_FY-6))</f>
        <v>0</v>
      </c>
      <c r="H3741" s="15" t="e">
        <f>IF(A3746=A3747,_xll.ciqfunctions.udf.CIQ(A3738,"IQ_TOTAL_DIV_PAID_CF",IQ_FY-7)/-I3741, _xll.ciqfunctions.udf.CIQ(A3738, "IQ_TOTAL_DIV_PAID_CF",IQ_FY-6)/-I3741)</f>
        <v>#DIV/0!</v>
      </c>
      <c r="I3741" s="17">
        <f>IF(A3746=A3747,_xll.ciqfunctions.udf.CIQ(A3738,"IQ_TOTAL_OUTSTANDING_FILING_DATE",IQ_FY-7), _xll.ciqfunctions.udf.CIQ(A3738, "IQ_TOTAL_OUTSTANDING_FILING_DATE",IQ_FY-6))</f>
        <v>0</v>
      </c>
      <c r="J3741" s="17">
        <f>IF(A3746=A3747,_xll.ciqfunctions.udf.CIQ(A3738,"IQ_CASH_OPER",IQ_FY-7), _xll.ciqfunctions.udf.CIQ(A3738, "IQ_CASH_OPER",IQ_FY-6))</f>
        <v>0</v>
      </c>
      <c r="K3741" s="17">
        <f>IF(A3746=A3747,_xll.ciqfunctions.udf.CIQ(A3738,"IQ_CAPEX",IQ_FY-7), _xll.ciqfunctions.udf.CIQ(A3738, "IQ_CAPEX",IQ_FY-6))</f>
        <v>0</v>
      </c>
      <c r="L3741" s="15" t="e">
        <f t="shared" si="996"/>
        <v>#DIV/0!</v>
      </c>
      <c r="M3741" s="17">
        <f>IF(A3746=A3747,_xll.ciqfunctions.udf.CIQ(A3738,"IQ_TOTAL_DEBT_ISSUED",IQ_FY-7), _xll.ciqfunctions.udf.CIQ(A3738, "IQ_TOTAL_DEBT_ISSUED",IQ_FY-6))</f>
        <v>0</v>
      </c>
      <c r="N3741" s="17">
        <f>IF(A3746=A3747,_xll.ciqfunctions.udf.CIQ(A3738,"IQ_TOTAL_DEBT_REPAID",IQ_FY-7), _xll.ciqfunctions.udf.CIQ(A3738, "IQ_TOTAL_DEBT_REPAID",IQ_FY-6))</f>
        <v>0</v>
      </c>
      <c r="O3741" s="15" t="e">
        <f t="shared" si="997"/>
        <v>#DIV/0!</v>
      </c>
      <c r="P3741" s="15" t="e">
        <f t="shared" si="998"/>
        <v>#DIV/0!</v>
      </c>
      <c r="Q3741" s="25" t="s">
        <v>23</v>
      </c>
      <c r="R3741" s="38" t="s">
        <v>24</v>
      </c>
      <c r="S3741" s="1" t="e">
        <f>R3737/(AVERAGE(H3743:H3748)*(1+H3749)/(0.5-H3749))</f>
        <v>#DIV/0!</v>
      </c>
      <c r="U3741" s="25" t="s">
        <v>40</v>
      </c>
      <c r="V3741" s="38" t="s">
        <v>24</v>
      </c>
      <c r="W3741" s="1" t="e">
        <f>V3737/(AVERAGE(H3743:H3748)*(1+H3749)/(0.5-H3749))</f>
        <v>#DIV/0!</v>
      </c>
      <c r="Y3741" s="25" t="s">
        <v>47</v>
      </c>
      <c r="Z3741" s="38" t="s">
        <v>24</v>
      </c>
      <c r="AA3741" s="1" t="e">
        <f>Z3737/(AVERAGE(H3743:H3748)*(1+H3749)/(0.5-H3749))</f>
        <v>#DIV/0!</v>
      </c>
    </row>
    <row r="3742" spans="1:27">
      <c r="B3742" s="13">
        <v>5</v>
      </c>
      <c r="C3742" s="14" t="s">
        <v>25</v>
      </c>
      <c r="D3742" s="15" t="e" cm="1">
        <f t="array" ref="D3742">_xlfn.SINGLE(IF(A3746=A3747,_xll.ciqfunctions.udf.CIQ(A3738,"IQ_TOTAL_REV",IQ_FY-6)/I3742, _xll.ciqfunctions.udf.CIQ(A3738, "IQ_TOTAL_REV",IQ_FY-5)/I3742))</f>
        <v>#DIV/0!</v>
      </c>
      <c r="E3742" s="16" t="e">
        <f t="shared" si="999"/>
        <v>#DIV/0!</v>
      </c>
      <c r="F3742" s="15">
        <f>IF(A3746=A3747,_xll.ciqfunctions.udf.CIQ(A3738,"IQ_DILUT_EPS_EXCL",IQ_FY-6), _xll.ciqfunctions.udf.CIQ(A3738, "IQ_DILUT_EPS_EXCL",IQ_FY-5))</f>
        <v>0</v>
      </c>
      <c r="G3742" s="15">
        <f>IF(A3746=A3747,_xll.ciqfunctions.udf.CIQ(A3738,"IQ_EBITDA_MARGIN",IQ_FY-6), _xll.ciqfunctions.udf.CIQ(A3738, "IQ_EBITDA_MARGIN",IQ_FY-5))</f>
        <v>0</v>
      </c>
      <c r="H3742" s="15" t="e">
        <f>IF(A3746=A3747,_xll.ciqfunctions.udf.CIQ(A3738,"IQ_TOTAL_DIV_PAID_CF",IQ_FY-6)/-I3742, _xll.ciqfunctions.udf.CIQ(A3738, "IQ_TOTAL_DIV_PAID_CF",IQ_FY-5)/-I3742)</f>
        <v>#DIV/0!</v>
      </c>
      <c r="I3742" s="17">
        <f>IF(A3746=A3747,_xll.ciqfunctions.udf.CIQ(A3738,"IQ_TOTAL_OUTSTANDING_FILING_DATE",IQ_FY-6), _xll.ciqfunctions.udf.CIQ(A3738, "IQ_TOTAL_OUTSTANDING_FILING_DATE",IQ_FY-5))</f>
        <v>0</v>
      </c>
      <c r="J3742" s="17">
        <f>IF(A3746=A3747,_xll.ciqfunctions.udf.CIQ(A3738,"IQ_CASH_OPER",IQ_FY-6), _xll.ciqfunctions.udf.CIQ(A3738, "IQ_CASH_OPER",IQ_FY-5))</f>
        <v>0</v>
      </c>
      <c r="K3742" s="17">
        <f>IF(A3746=A3747,_xll.ciqfunctions.udf.CIQ(A3738,"IQ_CAPEX",IQ_FY-6), _xll.ciqfunctions.udf.CIQ(A3738, "IQ_CAPEX",IQ_FY-5))</f>
        <v>0</v>
      </c>
      <c r="L3742" s="15" t="e">
        <f t="shared" si="996"/>
        <v>#DIV/0!</v>
      </c>
      <c r="M3742" s="17">
        <f>IF(A3746=A3747,_xll.ciqfunctions.udf.CIQ(A3738,"IQ_TOTAL_DEBT_ISSUED",IQ_FY-6), _xll.ciqfunctions.udf.CIQ(A3738, "IQ_TOTAL_DEBT_ISSUED",IQ_FY-5))</f>
        <v>0</v>
      </c>
      <c r="N3742" s="17">
        <f>IF(A3746=A3747,_xll.ciqfunctions.udf.CIQ(A3738,"IQ_TOTAL_DEBT_REPAID",IQ_FY-6), _xll.ciqfunctions.udf.CIQ(A3738, "IQ_TOTAL_DEBT_REPAID",IQ_FY-5))</f>
        <v>0</v>
      </c>
      <c r="O3742" s="15" t="e">
        <f t="shared" si="997"/>
        <v>#DIV/0!</v>
      </c>
      <c r="P3742" s="15" t="e">
        <f t="shared" si="998"/>
        <v>#DIV/0!</v>
      </c>
      <c r="Q3742" s="18"/>
      <c r="R3742" s="38" t="s">
        <v>50</v>
      </c>
      <c r="S3742" s="3" t="e">
        <f>I3749</f>
        <v>#DIV/0!</v>
      </c>
      <c r="U3742" s="18"/>
      <c r="V3742" s="38" t="s">
        <v>50</v>
      </c>
      <c r="W3742" s="3" t="e">
        <f>I3749</f>
        <v>#DIV/0!</v>
      </c>
      <c r="Y3742" s="18"/>
      <c r="Z3742" s="38" t="s">
        <v>50</v>
      </c>
      <c r="AA3742" s="3" t="e">
        <f>I3749</f>
        <v>#DIV/0!</v>
      </c>
    </row>
    <row r="3743" spans="1:27">
      <c r="B3743" s="13">
        <v>6</v>
      </c>
      <c r="C3743" s="14" t="s">
        <v>26</v>
      </c>
      <c r="D3743" s="15" t="e" cm="1">
        <f t="array" ref="D3743">_xlfn.SINGLE(IF(A3746=A3747,_xll.ciqfunctions.udf.CIQ(A3738,"IQ_TOTAL_REV",IQ_FY-5)/I3743, _xll.ciqfunctions.udf.CIQ(A3738, "IQ_TOTAL_REV",IQ_FY-4)/I3743))</f>
        <v>#DIV/0!</v>
      </c>
      <c r="E3743" s="16" t="e">
        <f t="shared" si="999"/>
        <v>#DIV/0!</v>
      </c>
      <c r="F3743" s="15">
        <f>IF(A3746=A3747,_xll.ciqfunctions.udf.CIQ(A3738,"IQ_DILUT_EPS_EXCL",IQ_FY-5), _xll.ciqfunctions.udf.CIQ(A3738, "IQ_DILUT_EPS_EXCL",IQ_FY-4))</f>
        <v>0</v>
      </c>
      <c r="G3743" s="15">
        <f>IF(A3746=A3747,_xll.ciqfunctions.udf.CIQ(A3738,"IQ_EBITDA_MARGIN",IQ_FY-5), _xll.ciqfunctions.udf.CIQ(A3738, "IQ_EBITDA_MARGIN",IQ_FY-4))</f>
        <v>0</v>
      </c>
      <c r="H3743" s="15" t="e">
        <f>IF(A3746=A3747,_xll.ciqfunctions.udf.CIQ(A3738,"IQ_TOTAL_DIV_PAID_CF",IQ_FY-5)/-I3743, _xll.ciqfunctions.udf.CIQ(A3738, "IQ_TOTAL_DIV_PAID_CF",IQ_FY-4)/-I3743)</f>
        <v>#DIV/0!</v>
      </c>
      <c r="I3743" s="17">
        <f>IF(A3746=A3747,_xll.ciqfunctions.udf.CIQ(A3738,"IQ_TOTAL_OUTSTANDING_FILING_DATE",IQ_FY-5), _xll.ciqfunctions.udf.CIQ(A3738, "IQ_TOTAL_OUTSTANDING_FILING_DATE",IQ_FY-4))</f>
        <v>0</v>
      </c>
      <c r="J3743" s="17">
        <f>IF(A3746=A3747,_xll.ciqfunctions.udf.CIQ(A3738,"IQ_CASH_OPER",IQ_FY-5), _xll.ciqfunctions.udf.CIQ(A3738, "IQ_CASH_OPER",IQ_FY-4))</f>
        <v>0</v>
      </c>
      <c r="K3743" s="17">
        <f>IF(A3746=A3747,_xll.ciqfunctions.udf.CIQ(A3738,"IQ_CAPEX",IQ_FY-5), _xll.ciqfunctions.udf.CIQ(A3738, "IQ_CAPEX",IQ_FY-4))</f>
        <v>0</v>
      </c>
      <c r="L3743" s="15" t="e">
        <f t="shared" si="996"/>
        <v>#DIV/0!</v>
      </c>
      <c r="M3743" s="17">
        <f>IF(A3746=A3747,_xll.ciqfunctions.udf.CIQ(A3738,"IQ_TOTAL_DEBT_ISSUED",IQ_FY-5), _xll.ciqfunctions.udf.CIQ(A3738, "IQ_TOTAL_DEBT_ISSUED",IQ_FY-4))</f>
        <v>0</v>
      </c>
      <c r="N3743" s="17">
        <f>IF(A3746=A3747,_xll.ciqfunctions.udf.CIQ(A3738,"IQ_TOTAL_DEBT_REPAID",IQ_FY-5), _xll.ciqfunctions.udf.CIQ(A3738, "IQ_TOTAL_DEBT_REPAID",IQ_FY-4))</f>
        <v>0</v>
      </c>
      <c r="O3743" s="15" t="e">
        <f t="shared" si="997"/>
        <v>#DIV/0!</v>
      </c>
      <c r="P3743" s="15" t="e">
        <f t="shared" si="998"/>
        <v>#DIV/0!</v>
      </c>
      <c r="Q3743" s="25" t="s">
        <v>27</v>
      </c>
      <c r="R3743" s="38" t="s">
        <v>51</v>
      </c>
      <c r="S3743" s="4" t="e">
        <f>AVERAGE(F3743:F3748)/AVERAGE(D3743:D3748)</f>
        <v>#DIV/0!</v>
      </c>
      <c r="U3743" s="25" t="s">
        <v>58</v>
      </c>
      <c r="V3743" s="38" t="s">
        <v>51</v>
      </c>
      <c r="W3743" s="4" t="e">
        <f>AVERAGE(F3743:F3748)/AVERAGE(D3743:D3748)</f>
        <v>#DIV/0!</v>
      </c>
      <c r="Y3743" s="25" t="s">
        <v>56</v>
      </c>
      <c r="Z3743" s="38" t="s">
        <v>51</v>
      </c>
      <c r="AA3743" s="4" t="e">
        <f>AVERAGE(F3743:F3748)/AVERAGE(D3743:D3748)</f>
        <v>#DIV/0!</v>
      </c>
    </row>
    <row r="3744" spans="1:27">
      <c r="A3744" s="18"/>
      <c r="B3744" s="13">
        <v>7</v>
      </c>
      <c r="C3744" s="14" t="s">
        <v>28</v>
      </c>
      <c r="D3744" s="15" cm="1">
        <f t="array" ref="D3744">_xlfn.SINGLE(IF(A3746=A3747,_xll.ciqfunctions.udf.CIQ(A3738,"IQ_TOTAL_REV",IQ_FY-4)/I3744, _xll.ciqfunctions.udf.CIQ(A3738, "IQ_TOTAL_REV",IQ_FY-3)/I3744))</f>
        <v>16.205740024151822</v>
      </c>
      <c r="E3744" s="16" t="e">
        <f t="shared" si="999"/>
        <v>#DIV/0!</v>
      </c>
      <c r="F3744" s="15">
        <f>IF(A3746=A3747,_xll.ciqfunctions.udf.CIQ(A3738,"IQ_DILUT_EPS_EXCL",IQ_FY-4), _xll.ciqfunctions.udf.CIQ(A3738, "IQ_DILUT_EPS_EXCL",IQ_FY-3))</f>
        <v>-9.9107400000000005</v>
      </c>
      <c r="G3744" s="15">
        <f>IF(A3746=A3747,_xll.ciqfunctions.udf.CIQ(A3738,"IQ_EBITDA_MARGIN",IQ_FY-4), _xll.ciqfunctions.udf.CIQ(A3738, "IQ_EBITDA_MARGIN",IQ_FY-3))</f>
        <v>-54.811599999999999</v>
      </c>
      <c r="H3744" s="15">
        <f>IF(A3746=A3747,_xll.ciqfunctions.udf.CIQ(A3738,"IQ_TOTAL_DIV_PAID_CF",IQ_FY-4)/-I3744, _xll.ciqfunctions.udf.CIQ(A3738, "IQ_TOTAL_DIV_PAID_CF",IQ_FY-3)/-I3744)</f>
        <v>0</v>
      </c>
      <c r="I3744" s="17">
        <f>IF(A3746=A3747,_xll.ciqfunctions.udf.CIQ(A3738,"IQ_TOTAL_OUTSTANDING_FILING_DATE",IQ_FY-4), _xll.ciqfunctions.udf.CIQ(A3738, "IQ_TOTAL_OUTSTANDING_FILING_DATE",IQ_FY-3))</f>
        <v>4.53796</v>
      </c>
      <c r="J3744" s="17">
        <f>IF(A3746=A3747,_xll.ciqfunctions.udf.CIQ(A3738,"IQ_CASH_OPER",IQ_FY-4), _xll.ciqfunctions.udf.CIQ(A3738, "IQ_CASH_OPER",IQ_FY-3))</f>
        <v>-39.085000000000001</v>
      </c>
      <c r="K3744" s="17">
        <f>IF(A3746=A3747,_xll.ciqfunctions.udf.CIQ(A3738,"IQ_CAPEX",IQ_FY-4), _xll.ciqfunctions.udf.CIQ(A3738, "IQ_CAPEX",IQ_FY-3))</f>
        <v>-3.6890000000000001</v>
      </c>
      <c r="L3744" s="15">
        <f t="shared" si="996"/>
        <v>-9.4258212941497952</v>
      </c>
      <c r="M3744" s="17">
        <f>IF(A3746=A3747,_xll.ciqfunctions.udf.CIQ(A3738,"IQ_TOTAL_DEBT_ISSUED",IQ_FY-4), _xll.ciqfunctions.udf.CIQ(A3738, "IQ_TOTAL_DEBT_ISSUED",IQ_FY-3))</f>
        <v>0</v>
      </c>
      <c r="N3744" s="17">
        <f>IF(A3746=A3747,_xll.ciqfunctions.udf.CIQ(A3738,"IQ_TOTAL_DEBT_REPAID",IQ_FY-4), _xll.ciqfunctions.udf.CIQ(A3738, "IQ_TOTAL_DEBT_REPAID",IQ_FY-3))</f>
        <v>-3.2000000000000001E-2</v>
      </c>
      <c r="O3744" s="15">
        <f t="shared" si="997"/>
        <v>-7.0516267221394638E-3</v>
      </c>
      <c r="P3744" s="15">
        <f t="shared" si="998"/>
        <v>-9.4328729208719349</v>
      </c>
      <c r="Q3744" s="18"/>
      <c r="R3744" s="38" t="s">
        <v>29</v>
      </c>
      <c r="S3744" s="4" t="e">
        <f>(AVERAGE(P3743:P3748)/_xlfn.STDEV.P(P3743:P3748))/(IF(A3746=A3747,(_xlfn.SINGLE(_xll.ciqfunctions.udf.CIQ(A3738,"IQ_total_assets",IQ_FY)) - _xlfn.SINGLE(_xll.ciqfunctions.udf.CIQ(A3738,"iq_gw_intan", IQ_FY)))/I3748, (_xlfn.SINGLE(_xll.ciqfunctions.udf.CIQ(A3738, "IQ_total_assets",IQ_LTM))-_xlfn.SINGLE(_xll.ciqfunctions.udf.CIQ(A3738,"iq_gw_intan",IQ_LTM)))/I3748))</f>
        <v>#DIV/0!</v>
      </c>
      <c r="U3744" s="18"/>
      <c r="V3744" s="38" t="s">
        <v>29</v>
      </c>
      <c r="W3744" s="4" t="e">
        <f>(AVERAGE(P3743:P3748)/_xlfn.STDEV.P(P3743:P3748))/(IF(A3746=A3747,(_xlfn.SINGLE(_xll.ciqfunctions.udf.CIQ(A3738,"IQ_total_assets",IQ_FY)) - _xlfn.SINGLE(_xll.ciqfunctions.udf.CIQ(A3738,"iq_gw_intan", IQ_FY)))/I3748, (_xlfn.SINGLE(_xll.ciqfunctions.udf.CIQ(A3738, "IQ_total_assets",IQ_LTM))-_xlfn.SINGLE(_xll.ciqfunctions.udf.CIQ(A3738,"iq_gw_intan",IQ_LTM)))/I3748))</f>
        <v>#DIV/0!</v>
      </c>
      <c r="Y3744" s="18"/>
      <c r="Z3744" s="38" t="s">
        <v>29</v>
      </c>
      <c r="AA3744" s="4" t="e">
        <f>(AVERAGE(P3743:P3748)/_xlfn.STDEV.P(P3743:P3748))/(IF(A3746=A3747,(_xlfn.SINGLE(_xll.ciqfunctions.udf.CIQ(A3738,"IQ_total_assets",IQ_FY)) - _xlfn.SINGLE(_xll.ciqfunctions.udf.CIQ(A3738,"iq_gw_intan", IQ_FY)))/I3748, (_xlfn.SINGLE(_xll.ciqfunctions.udf.CIQ(A3738, "IQ_total_assets",IQ_LTM))-_xlfn.SINGLE(_xll.ciqfunctions.udf.CIQ(A3738,"iq_gw_intan",IQ_LTM)))/I3748))</f>
        <v>#DIV/0!</v>
      </c>
    </row>
    <row r="3745" spans="1:27">
      <c r="A3745" s="18"/>
      <c r="B3745" s="13">
        <v>8</v>
      </c>
      <c r="C3745" s="14" t="s">
        <v>30</v>
      </c>
      <c r="D3745" s="15" cm="1">
        <f t="array" ref="D3745">_xlfn.SINGLE(IF(A3746=A3747,_xll.ciqfunctions.udf.CIQ(A3738,"IQ_TOTAL_REV",IQ_FY-3)/I3745, _xll.ciqfunctions.udf.CIQ(A3738, "IQ_TOTAL_REV",IQ_FY-2)/I3745))</f>
        <v>22.841697677781781</v>
      </c>
      <c r="E3745" s="16">
        <f t="shared" si="999"/>
        <v>0.40948192700488983</v>
      </c>
      <c r="F3745" s="15">
        <f>IF(A3746=A3747,_xll.ciqfunctions.udf.CIQ(A3738,"IQ_DILUT_EPS_EXCL",IQ_FY-3), _xll.ciqfunctions.udf.CIQ(A3738, "IQ_DILUT_EPS_EXCL",IQ_FY-2))</f>
        <v>-11.77765</v>
      </c>
      <c r="G3745" s="15">
        <f>IF(A3746=A3747,_xll.ciqfunctions.udf.CIQ(A3738,"IQ_EBITDA_MARGIN",IQ_FY-3), _xll.ciqfunctions.udf.CIQ(A3738, "IQ_EBITDA_MARGIN",IQ_FY-2))</f>
        <v>-22.737200000000001</v>
      </c>
      <c r="H3745" s="15">
        <f>IF(A3746=A3747,_xll.ciqfunctions.udf.CIQ(A3738,"IQ_TOTAL_DIV_PAID_CF",IQ_FY-3)/-I3745, _xll.ciqfunctions.udf.CIQ(A3738, "IQ_TOTAL_DIV_PAID_CF",IQ_FY-2)/-I3745)</f>
        <v>0</v>
      </c>
      <c r="I3745" s="17">
        <f>IF(A3746=A3747,_xll.ciqfunctions.udf.CIQ(A3738,"IQ_TOTAL_OUTSTANDING_FILING_DATE",IQ_FY-3), _xll.ciqfunctions.udf.CIQ(A3738, "IQ_TOTAL_OUTSTANDING_FILING_DATE",IQ_FY-2))</f>
        <v>4.9095300000000002</v>
      </c>
      <c r="J3745" s="17">
        <f>IF(A3746=A3747,_xll.ciqfunctions.udf.CIQ(A3738,"IQ_CASH_OPER",IQ_FY-3), _xll.ciqfunctions.udf.CIQ(A3738, "IQ_CASH_OPER",IQ_FY-2))</f>
        <v>-38.145000000000003</v>
      </c>
      <c r="K3745" s="17">
        <f>IF(A3746=A3747,_xll.ciqfunctions.udf.CIQ(A3738,"IQ_CAPEX",IQ_FY-3), _xll.ciqfunctions.udf.CIQ(A3738, "IQ_CAPEX",IQ_FY-2))</f>
        <v>-2.1469999999999998</v>
      </c>
      <c r="L3745" s="15">
        <f t="shared" si="996"/>
        <v>-8.2068955684148985</v>
      </c>
      <c r="M3745" s="17">
        <f>IF(A3746=A3747,_xll.ciqfunctions.udf.CIQ(A3738,"IQ_TOTAL_DEBT_ISSUED",IQ_FY-3), _xll.ciqfunctions.udf.CIQ(A3738, "IQ_TOTAL_DEBT_ISSUED",IQ_FY-2))</f>
        <v>38</v>
      </c>
      <c r="N3745" s="17">
        <f>IF(A3746=A3747,_xll.ciqfunctions.udf.CIQ(A3738,"IQ_TOTAL_DEBT_REPAID",IQ_FY-3), _xll.ciqfunctions.udf.CIQ(A3738, "IQ_TOTAL_DEBT_REPAID",IQ_FY-2))</f>
        <v>-13.010999999999999</v>
      </c>
      <c r="O3745" s="15">
        <f t="shared" si="997"/>
        <v>5.0898965888791796</v>
      </c>
      <c r="P3745" s="15">
        <f t="shared" si="998"/>
        <v>-3.1169989795357189</v>
      </c>
      <c r="Q3745" s="18"/>
      <c r="R3745" s="39" t="s">
        <v>31</v>
      </c>
      <c r="S3745" s="5" t="e">
        <f>IF(NOT(D3738&gt;0),FALSE,SLOPE(G3738:G3748,B3738:B3748))</f>
        <v>#DIV/0!</v>
      </c>
      <c r="U3745" s="18"/>
      <c r="V3745" s="39" t="s">
        <v>31</v>
      </c>
      <c r="W3745" s="5" t="e">
        <f>IF(NOT(D3738&gt;0),FALSE,SLOPE(G3738:G3748,B3738:B3748))</f>
        <v>#DIV/0!</v>
      </c>
      <c r="Y3745" s="18"/>
      <c r="Z3745" s="39" t="s">
        <v>31</v>
      </c>
      <c r="AA3745" s="5" t="e">
        <f>IF(NOT(L3738&gt;0),FALSE,SLOPE(O3738:O3748,J3738:J3748))</f>
        <v>#DIV/0!</v>
      </c>
    </row>
    <row r="3746" spans="1:27">
      <c r="A3746" s="19">
        <f>_xll.ciqfunctions.udf.CIQ(A3738,"IQ_TOTAL_REV",IQ_FY)</f>
        <v>204.27</v>
      </c>
      <c r="B3746" s="13">
        <v>9</v>
      </c>
      <c r="C3746" s="14" t="s">
        <v>32</v>
      </c>
      <c r="D3746" s="15" cm="1">
        <f t="array" ref="D3746">_xlfn.SINGLE(IF(A3746=A3747,_xll.ciqfunctions.udf.CIQ(A3738,"IQ_TOTAL_REV",IQ_FY-2)/I3746, _xll.ciqfunctions.udf.CIQ(A3738, "IQ_TOTAL_REV",IQ_FY-1)/I3746))</f>
        <v>1.6865121699345087</v>
      </c>
      <c r="E3746" s="16">
        <f t="shared" si="999"/>
        <v>-0.92616520042750639</v>
      </c>
      <c r="F3746" s="15">
        <f>IF(A3746=A3747,_xll.ciqfunctions.udf.CIQ(A3738,"IQ_DILUT_EPS_EXCL",IQ_FY-2), _xll.ciqfunctions.udf.CIQ(A3738, "IQ_DILUT_EPS_EXCL",IQ_FY-1))</f>
        <v>-0.73009999999999997</v>
      </c>
      <c r="G3746" s="15">
        <f>IF(A3746=A3747,_xll.ciqfunctions.udf.CIQ(A3738,"IQ_EBITDA_MARGIN",IQ_FY-2), _xll.ciqfunctions.udf.CIQ(A3738, "IQ_EBITDA_MARGIN",IQ_FY-1))</f>
        <v>-24.441500000000001</v>
      </c>
      <c r="H3746" s="15">
        <f>IF(A3746=A3747,_xll.ciqfunctions.udf.CIQ(A3738,"IQ_TOTAL_DIV_PAID_CF",IQ_FY-2)/-I3746, _xll.ciqfunctions.udf.CIQ(A3738, "IQ_TOTAL_DIV_PAID_CF",IQ_FY-1)/-I3746)</f>
        <v>5.5075802104407719E-2</v>
      </c>
      <c r="I3746" s="17">
        <f>IF(A3746=A3747,_xll.ciqfunctions.udf.CIQ(A3738,"IQ_TOTAL_OUTSTANDING_FILING_DATE",IQ_FY-2), _xll.ciqfunctions.udf.CIQ(A3738, "IQ_TOTAL_OUTSTANDING_FILING_DATE",IQ_FY-1))</f>
        <v>90.221109999999996</v>
      </c>
      <c r="J3746" s="17">
        <f>IF(A3746=A3747,_xll.ciqfunctions.udf.CIQ(A3738,"IQ_CASH_OPER",IQ_FY-2), _xll.ciqfunctions.udf.CIQ(A3738, "IQ_CASH_OPER",IQ_FY-1))</f>
        <v>-28.959</v>
      </c>
      <c r="K3746" s="17">
        <f>IF(A3746=A3747,_xll.ciqfunctions.udf.CIQ(A3738,"IQ_CAPEX",IQ_FY-2), _xll.ciqfunctions.udf.CIQ(A3738, "IQ_CAPEX",IQ_FY-1))</f>
        <v>-1.1200000000000001</v>
      </c>
      <c r="L3746" s="15">
        <f t="shared" si="996"/>
        <v>-0.3333920409536083</v>
      </c>
      <c r="M3746" s="17">
        <f>IF(A3746=A3747,_xll.ciqfunctions.udf.CIQ(A3738,"IQ_TOTAL_DEBT_ISSUED",IQ_FY-2), _xll.ciqfunctions.udf.CIQ(A3738, "IQ_TOTAL_DEBT_ISSUED",IQ_FY-1))</f>
        <v>0</v>
      </c>
      <c r="N3746" s="17">
        <f>IF(A3746=A3747,_xll.ciqfunctions.udf.CIQ(A3738,"IQ_TOTAL_DEBT_REPAID",IQ_FY-2), _xll.ciqfunctions.udf.CIQ(A3738, "IQ_TOTAL_DEBT_REPAID",IQ_FY-1))</f>
        <v>-0.313</v>
      </c>
      <c r="O3746" s="15">
        <f t="shared" si="997"/>
        <v>-3.469254590195133E-3</v>
      </c>
      <c r="P3746" s="15">
        <f t="shared" si="998"/>
        <v>-0.33686129554380345</v>
      </c>
      <c r="Q3746" s="25" t="s">
        <v>33</v>
      </c>
      <c r="R3746" s="38" t="s">
        <v>52</v>
      </c>
      <c r="S3746" s="4" t="e">
        <f>(AVERAGE(O3743:O3748)/AVERAGE(P3743:P3748))</f>
        <v>#DIV/0!</v>
      </c>
      <c r="U3746" s="25" t="s">
        <v>54</v>
      </c>
      <c r="V3746" s="38" t="s">
        <v>52</v>
      </c>
      <c r="W3746" s="4" t="e">
        <f>(AVERAGE(O3743:O3748)/AVERAGE(P3743:P3748))</f>
        <v>#DIV/0!</v>
      </c>
      <c r="Y3746" s="25" t="s">
        <v>60</v>
      </c>
      <c r="Z3746" s="38" t="s">
        <v>52</v>
      </c>
      <c r="AA3746" s="4" t="e">
        <f>(AVERAGE(O3743:O3748)/AVERAGE(P3743:P3748))</f>
        <v>#DIV/0!</v>
      </c>
    </row>
    <row r="3747" spans="1:27">
      <c r="A3747" s="19">
        <f>_xll.ciqfunctions.udf.CIQ(A3738,"IQ_TOTAL_REV",IQ_LTM)</f>
        <v>249</v>
      </c>
      <c r="B3747" s="13">
        <v>10</v>
      </c>
      <c r="C3747" s="14" t="s">
        <v>34</v>
      </c>
      <c r="D3747" s="15" cm="1">
        <f t="array" ref="D3747">_xlfn.SINGLE(IF(A3746=A3747,_xll.ciqfunctions.udf.CIQ(A3738,"IQ_TOTAL_REV",IQ_FY-1)/I3747, _xll.ciqfunctions.udf.CIQ(A3738, "IQ_TOTAL_REV",IQ_FY)/I3747))</f>
        <v>2.2130494840334771</v>
      </c>
      <c r="E3747" s="16">
        <f t="shared" si="999"/>
        <v>0.31220487078929005</v>
      </c>
      <c r="F3747" s="15">
        <f>IF(A3746=A3747,_xll.ciqfunctions.udf.CIQ(A3738,"IQ_DILUT_EPS_EXCL",IQ_FY-1), _xll.ciqfunctions.udf.CIQ(A3738, "IQ_DILUT_EPS_EXCL",IQ_FY))</f>
        <v>-0.64426000000000005</v>
      </c>
      <c r="G3747" s="15">
        <f>IF(A3746=A3747,_xll.ciqfunctions.udf.CIQ(A3738,"IQ_EBITDA_MARGIN",IQ_FY-1), _xll.ciqfunctions.udf.CIQ(A3738, "IQ_EBITDA_MARGIN",IQ_FY))</f>
        <v>-32.331200000000003</v>
      </c>
      <c r="H3747" s="15">
        <f>IF(A3746=A3747,_xll.ciqfunctions.udf.CIQ(A3738,"IQ_TOTAL_DIV_PAID_CF",IQ_FY-1)/-I3747, _xll.ciqfunctions.udf.CIQ(A3738, "IQ_TOTAL_DIV_PAID_CF",IQ_FY)/-I3747)</f>
        <v>0</v>
      </c>
      <c r="I3747" s="17">
        <f>IF(A3746=A3747,_xll.ciqfunctions.udf.CIQ(A3738,"IQ_TOTAL_OUTSTANDING_FILING_DATE",IQ_FY-1), _xll.ciqfunctions.udf.CIQ(A3738, "IQ_TOTAL_OUTSTANDING_FILING_DATE",IQ_FY))</f>
        <v>92.302499999999995</v>
      </c>
      <c r="J3747" s="17">
        <f>IF(A3746=A3747,_xll.ciqfunctions.udf.CIQ(A3738,"IQ_CASH_OPER",IQ_FY-1), _xll.ciqfunctions.udf.CIQ(A3738, "IQ_CASH_OPER",IQ_FY))</f>
        <v>-37.787999999999997</v>
      </c>
      <c r="K3747" s="17">
        <f>IF(A3746=A3747,_xll.ciqfunctions.udf.CIQ(A3738,"IQ_CAPEX",IQ_FY-1), _xll.ciqfunctions.udf.CIQ(A3738, "IQ_CAPEX",IQ_FY))</f>
        <v>-1.0569999999999999</v>
      </c>
      <c r="L3747" s="15">
        <f t="shared" si="996"/>
        <v>-0.42084450583678668</v>
      </c>
      <c r="M3747" s="17">
        <f>IF(A3746=A3747,_xll.ciqfunctions.udf.CIQ(A3738,"IQ_TOTAL_DEBT_ISSUED",IQ_FY-1), _xll.ciqfunctions.udf.CIQ(A3738, "IQ_TOTAL_DEBT_ISSUED",IQ_FY))</f>
        <v>85</v>
      </c>
      <c r="N3747" s="17">
        <f>IF(A3746=A3747,_xll.ciqfunctions.udf.CIQ(A3738,"IQ_TOTAL_DEBT_REPAID",IQ_FY-1), _xll.ciqfunctions.udf.CIQ(A3738, "IQ_TOTAL_DEBT_REPAID",IQ_FY))</f>
        <v>-24.687999999999999</v>
      </c>
      <c r="O3747" s="15">
        <f t="shared" si="997"/>
        <v>0.65341675469245142</v>
      </c>
      <c r="P3747" s="15">
        <f t="shared" si="998"/>
        <v>0.23257224885566474</v>
      </c>
      <c r="Q3747" s="25" t="s">
        <v>44</v>
      </c>
      <c r="R3747" s="38" t="s">
        <v>35</v>
      </c>
      <c r="S3747" s="1" t="str">
        <f>_xll.ciqfunctions.udf.CIQ(A3738,"IQ_TEV_EBITDA")</f>
        <v>NM</v>
      </c>
      <c r="U3747" s="25" t="s">
        <v>55</v>
      </c>
      <c r="V3747" s="38" t="s">
        <v>53</v>
      </c>
      <c r="W3747" s="1" t="e">
        <f>V3737/(AVERAGE(D3743:D3748)/_xlfn.STDEV.P(E3743:E3748))</f>
        <v>#DIV/0!</v>
      </c>
      <c r="Y3747" s="25" t="s">
        <v>57</v>
      </c>
      <c r="Z3747" s="38" t="s">
        <v>53</v>
      </c>
      <c r="AA3747" s="1" t="e">
        <f>Z3737/(AVERAGE(D3743:D3748)/_xlfn.STDEV.P(E3743:E3748))</f>
        <v>#DIV/0!</v>
      </c>
    </row>
    <row r="3748" spans="1:27">
      <c r="B3748" s="13">
        <v>11</v>
      </c>
      <c r="C3748" s="20" t="s">
        <v>36</v>
      </c>
      <c r="D3748" s="21" cm="1">
        <f t="array" ref="D3748">_xlfn.SINGLE(IF(A3746=A3747,_xll.ciqfunctions.udf.CIQ(A3738,"IQ_TOTAL_REV",IQ_FY)/I3748, _xll.ciqfunctions.udf.CIQ(A3738, "IQ_TOTAL_REV",IQ_LTM)/I3748))</f>
        <v>2.6111087050693995</v>
      </c>
      <c r="E3748" s="22">
        <f t="shared" si="999"/>
        <v>0.17986910094320371</v>
      </c>
      <c r="F3748" s="21">
        <f>IF(A3746=A3747,_xll.ciqfunctions.udf.CIQ(A3738,"IQ_DILUT_EPS_EXCL",IQ_FY), _xll.ciqfunctions.udf.CIQ(A3738, "IQ_DILUT_EPS_EXCL",IQ_LTM))</f>
        <v>-0.59236</v>
      </c>
      <c r="G3748" s="21">
        <f>IF(A3746=A3747,_xll.ciqfunctions.udf.CIQ(A3738,"IQ_EBITDA_MARGIN",IQ_FY), _xll.ciqfunctions.udf.CIQ(A3738, "IQ_EBITDA_MARGIN",IQ_LTM))</f>
        <v>-25.4803</v>
      </c>
      <c r="H3748" s="21">
        <f>IF(A3746=A3747,_xll.ciqfunctions.udf.CIQ(A3738,"IQ_TOTAL_DIV_PAID_CF",IQ_FY)/-I3748, _xll.ciqfunctions.udf.CIQ(A3738, "IQ_TOTAL_DIV_PAID_CF",IQ_LTM)/-I3748)</f>
        <v>0</v>
      </c>
      <c r="I3748" s="23">
        <f>IF(A3746=A3747,_xll.ciqfunctions.udf.CIQ(A3738,"IQ_TOTAL_OUTSTANDING_FILING_DATE",IQ_FY),_xll.ciqfunctions.udf.CIQ(A3738,"IQ_sharesoutstanding"))</f>
        <v>95.361789999999999</v>
      </c>
      <c r="J3748" s="23">
        <f>IF(A3746=A3747,_xll.ciqfunctions.udf.CIQ(A3738,"IQ_CASH_OPER",IQ_FY), _xll.ciqfunctions.udf.CIQ(A3738, "IQ_CASH_OPER",IQ_LTM))</f>
        <v>-25.765000000000001</v>
      </c>
      <c r="K3748" s="23">
        <f>IF(A3746=A3747,_xll.ciqfunctions.udf.CIQ(A3738,"IQ_CAPEX",IQ_FY), _xll.ciqfunctions.udf.CIQ(A3738, "IQ_CAPEX",IQ_LTM))</f>
        <v>-1.042</v>
      </c>
      <c r="L3748" s="21">
        <f t="shared" si="996"/>
        <v>-0.28110839781845542</v>
      </c>
      <c r="M3748" s="23">
        <f>IF(A3746=A3747,_xll.ciqfunctions.udf.CIQ(A3738,"IQ_TOTAL_DEBT_ISSUED",IQ_FY), _xll.ciqfunctions.udf.CIQ(A3738, "IQ_TOTAL_DEBT_ISSUED",IQ_LTM))</f>
        <v>0</v>
      </c>
      <c r="N3748" s="23">
        <f>IF(A3746=A3747,_xll.ciqfunctions.udf.CIQ(A3738,"IQ_TOTAL_DEBT_REPAID",IQ_FY), _xll.ciqfunctions.udf.CIQ(A3738, "IQ_TOTAL_DEBT_REPAID",IQ_LTM))</f>
        <v>-2.125</v>
      </c>
      <c r="O3748" s="21">
        <f t="shared" si="997"/>
        <v>-2.2283558225993871E-2</v>
      </c>
      <c r="P3748" s="21">
        <f t="shared" si="998"/>
        <v>-0.3033919560444493</v>
      </c>
      <c r="Q3748" s="25" t="s">
        <v>45</v>
      </c>
      <c r="S3748" s="45"/>
      <c r="U3748" s="25"/>
      <c r="W3748" s="45"/>
      <c r="Y3748" s="25"/>
      <c r="AA3748" s="45"/>
    </row>
    <row r="3749" spans="1:27">
      <c r="B3749" s="24"/>
      <c r="C3749" s="25" t="s">
        <v>37</v>
      </c>
      <c r="E3749" s="26" t="e">
        <f>((D3748/D3743)^(1/5))-1</f>
        <v>#DIV/0!</v>
      </c>
      <c r="F3749" s="27" t="e">
        <f>((F3748/F3743)^(1/5))-1</f>
        <v>#DIV/0!</v>
      </c>
      <c r="G3749" s="28"/>
      <c r="H3749" s="27" t="e">
        <f>((H3748/H3743)^(1/5))-1</f>
        <v>#DIV/0!</v>
      </c>
      <c r="I3749" s="27" t="e">
        <f>((I3748/I3743)^(1/5))-1</f>
        <v>#DIV/0!</v>
      </c>
      <c r="J3749" s="27"/>
      <c r="K3749" s="27"/>
      <c r="L3749" s="26" t="e">
        <f>((L3748/L3743)^(1/5))-1</f>
        <v>#DIV/0!</v>
      </c>
      <c r="M3749" s="26"/>
      <c r="N3749" s="26"/>
      <c r="O3749" s="26"/>
      <c r="P3749" s="26" t="e">
        <f>((P3748/P3743)^(1/5))-1</f>
        <v>#DIV/0!</v>
      </c>
      <c r="Q3749" s="18"/>
      <c r="R3749" s="36"/>
      <c r="S3749" s="45"/>
      <c r="U3749" s="18"/>
      <c r="V3749" s="36"/>
      <c r="W3749" s="45"/>
      <c r="Y3749" s="18"/>
      <c r="Z3749" s="36"/>
      <c r="AA3749" s="45"/>
    </row>
    <row r="3750" spans="1:27">
      <c r="A3750" s="29"/>
      <c r="B3750" s="30"/>
      <c r="C3750" s="31" t="s">
        <v>38</v>
      </c>
      <c r="D3750" s="29"/>
      <c r="E3750" s="32" t="e">
        <f>((D3748/D3738)^(1/10))-1</f>
        <v>#DIV/0!</v>
      </c>
      <c r="F3750" s="33" t="e">
        <f>((F3748/F3738)^(1/10))-1</f>
        <v>#DIV/0!</v>
      </c>
      <c r="G3750" s="34"/>
      <c r="H3750" s="33" t="e">
        <f>((H3748/H3738)^(1/10))-1</f>
        <v>#DIV/0!</v>
      </c>
      <c r="I3750" s="33" t="e">
        <f>((I3748/I3738)^(1/10))-1</f>
        <v>#DIV/0!</v>
      </c>
      <c r="J3750" s="33"/>
      <c r="K3750" s="33"/>
      <c r="L3750" s="32" t="e">
        <f>((L3748/L3738)^(1/10))-1</f>
        <v>#DIV/0!</v>
      </c>
      <c r="M3750" s="32"/>
      <c r="N3750" s="32"/>
      <c r="O3750" s="32"/>
      <c r="P3750" s="32" t="e">
        <f>((P3748/P3738)^(1/10))-1</f>
        <v>#DIV/0!</v>
      </c>
      <c r="Q3750" s="40"/>
      <c r="R3750" s="41"/>
      <c r="S3750" s="46"/>
      <c r="U3750" s="40"/>
      <c r="V3750" s="41"/>
      <c r="W3750" s="46"/>
      <c r="Y3750" s="40"/>
      <c r="Z3750" s="41"/>
      <c r="AA3750" s="46"/>
    </row>
    <row r="3751" spans="1:27">
      <c r="B3751" s="24"/>
      <c r="C3751" s="25"/>
      <c r="E3751" s="26"/>
      <c r="F3751" s="27"/>
      <c r="G3751" s="28"/>
      <c r="H3751" s="27"/>
      <c r="I3751" s="27"/>
      <c r="J3751" s="27"/>
      <c r="K3751" s="27"/>
      <c r="L3751" s="26"/>
      <c r="M3751" s="17"/>
      <c r="N3751" s="17"/>
      <c r="O3751" s="17"/>
      <c r="P3751" s="35"/>
      <c r="Q3751" s="18"/>
      <c r="R3751" s="36"/>
    </row>
    <row r="3752" spans="1:27">
      <c r="A3752" s="9" t="s">
        <v>0</v>
      </c>
      <c r="B3752" s="10"/>
      <c r="C3752" s="9" t="s">
        <v>1</v>
      </c>
      <c r="D3752" s="9" t="s">
        <v>2</v>
      </c>
      <c r="E3752" s="9" t="s">
        <v>3</v>
      </c>
      <c r="F3752" s="11" t="s">
        <v>4</v>
      </c>
      <c r="G3752" s="11" t="s">
        <v>5</v>
      </c>
      <c r="H3752" s="9" t="s">
        <v>6</v>
      </c>
      <c r="I3752" s="11" t="s">
        <v>7</v>
      </c>
      <c r="J3752" s="11" t="s">
        <v>8</v>
      </c>
      <c r="K3752" s="11" t="s">
        <v>9</v>
      </c>
      <c r="L3752" s="11" t="s">
        <v>10</v>
      </c>
      <c r="M3752" s="11" t="s">
        <v>11</v>
      </c>
      <c r="N3752" s="11" t="s">
        <v>12</v>
      </c>
      <c r="O3752" s="11" t="s">
        <v>13</v>
      </c>
      <c r="P3752" s="11" t="s">
        <v>14</v>
      </c>
      <c r="Q3752" s="37" t="s">
        <v>15</v>
      </c>
      <c r="R3752" s="42">
        <f>_xll.ciqfunctions.udf.CIQ(A3753,("IQ_LASTSALEPRICE"))</f>
        <v>3.375</v>
      </c>
      <c r="S3752" s="44"/>
      <c r="U3752" s="37" t="s">
        <v>15</v>
      </c>
      <c r="V3752" s="42">
        <f>_xll.ciqfunctions.udf.CIQ(A3753,("IQ_LASTSALEPRICE"))</f>
        <v>3.375</v>
      </c>
      <c r="W3752" s="44"/>
      <c r="Y3752" s="37" t="s">
        <v>15</v>
      </c>
      <c r="Z3752" s="42">
        <f>_xll.ciqfunctions.udf.CIQ(A3753,("IQ_LASTSALEPRICE"))</f>
        <v>3.375</v>
      </c>
      <c r="AA3752" s="44"/>
    </row>
    <row r="3753" spans="1:27">
      <c r="A3753" s="12" t="str">
        <f>Analysis!B252</f>
        <v>NYSE:ETWO</v>
      </c>
      <c r="B3753" s="13">
        <v>1</v>
      </c>
      <c r="C3753" s="14" t="s">
        <v>16</v>
      </c>
      <c r="D3753" s="15" t="e">
        <f>IF(A3761=A3762,_xll.ciqfunctions.udf.CIQ(A3753,"IQ_TOTAL_REV",IQ_FY-10)/I3753,_xll.ciqfunctions.udf.CIQ(A3753, "IQ_TOTAL_REV",IQ_FY-9)/I3753)</f>
        <v>#DIV/0!</v>
      </c>
      <c r="E3753" s="16"/>
      <c r="F3753" s="15">
        <f>IF(A3761=A3762,_xll.ciqfunctions.udf.CIQ(A3753,"IQ_DILUT_EPS_EXCL",IQ_FY-10), _xll.ciqfunctions.udf.CIQ(A3753, "IQ_DILUT_EPS_EXCL",IQ_FY-9))</f>
        <v>0</v>
      </c>
      <c r="G3753" s="15">
        <f>IF(A3761=A3762,_xll.ciqfunctions.udf.CIQ(A3753,"IQ_EBITDA_MARGIN",IQ_FY-10), _xll.ciqfunctions.udf.CIQ(A3753, "IQ_EBITDA_MARGIN",IQ_FY-9))</f>
        <v>0</v>
      </c>
      <c r="H3753" s="15" t="e">
        <f>IF(A3761=A3762,_xll.ciqfunctions.udf.CIQ(A3753,"IQ_TOTAL_DIV_PAID_CF",IQ_FY-10)/-I3753, _xll.ciqfunctions.udf.CIQ(A3753, "IQ_TOTAL_DIV_PAID_CF",IQ_FY-9)/-I3753)</f>
        <v>#DIV/0!</v>
      </c>
      <c r="I3753" s="17">
        <f>IF(A3761=A3762,_xll.ciqfunctions.udf.CIQ(A3753,"IQ_TOTAL_OUTSTANDING_FILING_DATE",IQ_FY-10), _xll.ciqfunctions.udf.CIQ(A3753, "IQ_TOTAL_OUTSTANDING_FILING_DATE",IQ_FY-9))</f>
        <v>0</v>
      </c>
      <c r="J3753" s="17">
        <f>IF(A3761=A3762,_xll.ciqfunctions.udf.CIQ(A3753,"IQ_CASH_OPER",IQ_FY-10), _xll.ciqfunctions.udf.CIQ(A3753, "IQ_CASH_OPER",IQ_FY-9))</f>
        <v>0</v>
      </c>
      <c r="K3753" s="17">
        <f>IF(A3761=A3762,_xll.ciqfunctions.udf.CIQ(A3753,"IQ_CAPEX",IQ_FY-10), _xll.ciqfunctions.udf.CIQ(A3753, "IQ_CAPEX",IQ_FY-9))</f>
        <v>0</v>
      </c>
      <c r="L3753" s="15" t="e">
        <f t="shared" ref="L3753:L3763" si="1000">(J3753+K3753)/I3753</f>
        <v>#DIV/0!</v>
      </c>
      <c r="M3753" s="17">
        <f>IF(A3761=A3762,_xll.ciqfunctions.udf.CIQ(A3753,"IQ_TOTAL_DEBT_ISSUED",IQ_FY-10), _xll.ciqfunctions.udf.CIQ(A3753, "IQ_TOTAL_DEBT_ISSUED",IQ_FY-9))</f>
        <v>0</v>
      </c>
      <c r="N3753" s="17">
        <f>IF(A3761=A3762,_xll.ciqfunctions.udf.CIQ(A3753,"IQ_TOTAL_DEBT_REPAID",IQ_FY-10), _xll.ciqfunctions.udf.CIQ(A3753, "IQ_TOTAL_DEBT_REPAID",IQ_FY-9))</f>
        <v>0</v>
      </c>
      <c r="O3753" s="15" t="e">
        <f t="shared" ref="O3753:O3763" si="1001">(M3753+N3753)/I3753</f>
        <v>#DIV/0!</v>
      </c>
      <c r="P3753" s="15" t="e">
        <f t="shared" ref="P3753:P3763" si="1002">L3753+O3753</f>
        <v>#DIV/0!</v>
      </c>
      <c r="W3753" s="43"/>
      <c r="AA3753" s="43"/>
    </row>
    <row r="3754" spans="1:27">
      <c r="A3754" s="18" t="str">
        <f>_xll.ciqfunctions.udf.CIQ(A3753,"IQ_COMPANY_NAME")</f>
        <v>E2open Parent Holdings, Inc.</v>
      </c>
      <c r="B3754" s="13">
        <v>2</v>
      </c>
      <c r="C3754" s="14" t="s">
        <v>17</v>
      </c>
      <c r="D3754" s="15" t="e">
        <f>IF(A3761=A3762,_xll.ciqfunctions.udf.CIQ(A3753,"IQ_TOTAL_REV",IQ_FY-9)/I3754, _xll.ciqfunctions.udf.CIQ(A3753, "IQ_TOTAL_REV",IQ_FY-8)/I3754)</f>
        <v>#DIV/0!</v>
      </c>
      <c r="E3754" s="16" t="e">
        <f t="shared" ref="E3754:E3763" si="1003">(D3754-D3753)/D3753</f>
        <v>#DIV/0!</v>
      </c>
      <c r="F3754" s="15">
        <f>IF(A3761=A3762,_xll.ciqfunctions.udf.CIQ(A3753,"IQ_DILUT_EPS_EXCL",IQ_FY-9), _xll.ciqfunctions.udf.CIQ(A3753, "IQ_DILUT_EPS_EXCL",IQ_FY-8))</f>
        <v>0</v>
      </c>
      <c r="G3754" s="15">
        <f>IF(A3761=A3762,_xll.ciqfunctions.udf.CIQ(A3753,"IQ_EBITDA_MARGIN",IQ_FY-9), _xll.ciqfunctions.udf.CIQ(A3753, "IQ_EBITDA_MARGIN",IQ_FY-8))</f>
        <v>0</v>
      </c>
      <c r="H3754" s="15" t="e">
        <f>IF(A3761=A3762,_xll.ciqfunctions.udf.CIQ(A3753,"IQ_TOTAL_DIV_PAID_CF",IQ_FY-9)/-I3754, _xll.ciqfunctions.udf.CIQ(A3753, "IQ_TOTAL_DIV_PAID_CF",IQ_FY-8)/-I3754)</f>
        <v>#DIV/0!</v>
      </c>
      <c r="I3754" s="17">
        <f>IF(A3761=A3762,_xll.ciqfunctions.udf.CIQ(A3753,"IQ_TOTAL_OUTSTANDING_FILING_DATE",IQ_FY-9), _xll.ciqfunctions.udf.CIQ(A3753, "IQ_TOTAL_OUTSTANDING_FILING_DATE",IQ_FY-8))</f>
        <v>0</v>
      </c>
      <c r="J3754" s="17">
        <f>IF(A3761=A3762,_xll.ciqfunctions.udf.CIQ(A3753,"IQ_CASH_OPER",IQ_FY-9), _xll.ciqfunctions.udf.CIQ(A3753, "IQ_CASH_OPER",IQ_FY-8))</f>
        <v>0</v>
      </c>
      <c r="K3754" s="17">
        <f>IF(A3761=A3762,_xll.ciqfunctions.udf.CIQ(A3753,"IQ_CAPEX",IQ_FY-9), _xll.ciqfunctions.udf.CIQ(A3753, "IQ_CAPEX",IQ_FY-8))</f>
        <v>0</v>
      </c>
      <c r="L3754" s="15" t="e">
        <f t="shared" si="1000"/>
        <v>#DIV/0!</v>
      </c>
      <c r="M3754" s="17">
        <f>IF(A3761=A3762,_xll.ciqfunctions.udf.CIQ(A3753,"IQ_TOTAL_DEBT_ISSUED",IQ_FY-9), _xll.ciqfunctions.udf.CIQ(A3753, "IQ_TOTAL_DEBT_ISSUED",IQ_FY-8))</f>
        <v>0</v>
      </c>
      <c r="N3754" s="17">
        <f>IF(A3761=A3762,_xll.ciqfunctions.udf.CIQ(A3753,"IQ_TOTAL_DEBT_REPAID",IQ_FY-9), _xll.ciqfunctions.udf.CIQ(A3753, "IQ_TOTAL_DEBT_REPAID",IQ_FY-8))</f>
        <v>0</v>
      </c>
      <c r="O3754" s="15" t="e">
        <f t="shared" si="1001"/>
        <v>#DIV/0!</v>
      </c>
      <c r="P3754" s="15" t="e">
        <f t="shared" si="1002"/>
        <v>#DIV/0!</v>
      </c>
      <c r="Q3754" s="25" t="s">
        <v>18</v>
      </c>
      <c r="R3754" s="39" t="s">
        <v>19</v>
      </c>
      <c r="S3754" s="1" t="e">
        <f>R3752/((AVERAGE(P3758:P3763))*(1+E3764)^3)</f>
        <v>#DIV/0!</v>
      </c>
      <c r="U3754" s="25" t="s">
        <v>48</v>
      </c>
      <c r="V3754" s="39" t="s">
        <v>19</v>
      </c>
      <c r="W3754" s="1" t="e">
        <f>V3752/((AVERAGE(P3758:P3763))*(1+E3764)^3)</f>
        <v>#DIV/0!</v>
      </c>
      <c r="Y3754" s="25" t="s">
        <v>39</v>
      </c>
      <c r="Z3754" s="39" t="s">
        <v>19</v>
      </c>
      <c r="AA3754" s="1" t="e">
        <f>Z3752/((AVERAGE(P3758:P3763))*(1+E3764)^3)</f>
        <v>#DIV/0!</v>
      </c>
    </row>
    <row r="3755" spans="1:27">
      <c r="B3755" s="13">
        <v>3</v>
      </c>
      <c r="C3755" s="14" t="s">
        <v>20</v>
      </c>
      <c r="D3755" s="15" t="e" cm="1">
        <f t="array" ref="D3755">_xlfn.SINGLE(IF(A3761=A3762,_xll.ciqfunctions.udf.CIQ(A3753,"IQ_TOTAL_REV",IQ_FY-8)/I3755, _xll.ciqfunctions.udf.CIQ(A3753, "IQ_TOTAL_REV",IQ_FY-7)/I3755))</f>
        <v>#DIV/0!</v>
      </c>
      <c r="E3755" s="16" t="e">
        <f t="shared" si="1003"/>
        <v>#DIV/0!</v>
      </c>
      <c r="F3755" s="15">
        <f>IF(A3761=A3762,_xll.ciqfunctions.udf.CIQ(A3753,"IQ_DILUT_EPS_EXCL",IQ_FY-8), _xll.ciqfunctions.udf.CIQ(A3753, "IQ_DILUT_EPS_EXCL",IQ_FY-7))</f>
        <v>0</v>
      </c>
      <c r="G3755" s="15">
        <f>IF(A3761=A3762,_xll.ciqfunctions.udf.CIQ(A3753,"IQ_EBITDA_MARGIN",IQ_FY-8), _xll.ciqfunctions.udf.CIQ(A3753, "IQ_EBITDA_MARGIN",IQ_FY-7))</f>
        <v>0</v>
      </c>
      <c r="H3755" s="15" t="e">
        <f>IF(A3761=A3762,_xll.ciqfunctions.udf.CIQ(A3753,"IQ_TOTAL_DIV_PAID_CF",IQ_FY-8)/-I3755, _xll.ciqfunctions.udf.CIQ(A3753, "IQ_TOTAL_DIV_PAID_CF",IQ_FY-7)/-I3755)</f>
        <v>#DIV/0!</v>
      </c>
      <c r="I3755" s="17">
        <f>IF(A3761=A3762,_xll.ciqfunctions.udf.CIQ(A3753,"IQ_TOTAL_OUTSTANDING_FILING_DATE",IQ_FY-8), _xll.ciqfunctions.udf.CIQ(A3753, "IQ_TOTAL_OUTSTANDING_FILING_DATE",IQ_FY-7))</f>
        <v>0</v>
      </c>
      <c r="J3755" s="17">
        <f>IF(A3761=A3762,_xll.ciqfunctions.udf.CIQ(A3753,"IQ_CASH_OPER",IQ_FY-8), _xll.ciqfunctions.udf.CIQ(A3753, "IQ_CASH_OPER",IQ_FY-7))</f>
        <v>0</v>
      </c>
      <c r="K3755" s="17">
        <f>IF(A3761=A3762,_xll.ciqfunctions.udf.CIQ(A3753,"IQ_CAPEX",IQ_FY-8), _xll.ciqfunctions.udf.CIQ(A3753, "IQ_CAPEX",IQ_FY-7))</f>
        <v>0</v>
      </c>
      <c r="L3755" s="15" t="e">
        <f t="shared" si="1000"/>
        <v>#DIV/0!</v>
      </c>
      <c r="M3755" s="17">
        <f>IF(A3761=A3762,_xll.ciqfunctions.udf.CIQ(A3753,"IQ_TOTAL_DEBT_ISSUED",IQ_FY-8), _xll.ciqfunctions.udf.CIQ(A3753, "IQ_TOTAL_DEBT_ISSUED",IQ_FY-7))</f>
        <v>0</v>
      </c>
      <c r="N3755" s="17">
        <f>IF(A3761=A3762,_xll.ciqfunctions.udf.CIQ(A3753,"IQ_TOTAL_DEBT_REPAID",IQ_FY-8), _xll.ciqfunctions.udf.CIQ(A3753, "IQ_TOTAL_DEBT_REPAID",IQ_FY-7))</f>
        <v>0</v>
      </c>
      <c r="O3755" s="15" t="e">
        <f t="shared" si="1001"/>
        <v>#DIV/0!</v>
      </c>
      <c r="P3755" s="15" t="e">
        <f t="shared" si="1002"/>
        <v>#DIV/0!</v>
      </c>
      <c r="Q3755" s="25" t="s">
        <v>21</v>
      </c>
      <c r="R3755" s="38" t="s">
        <v>49</v>
      </c>
      <c r="S3755" s="2">
        <f>(R3752*I3763)/1000</f>
        <v>1.02364927875</v>
      </c>
      <c r="U3755" s="25" t="s">
        <v>59</v>
      </c>
      <c r="V3755" s="38" t="s">
        <v>49</v>
      </c>
      <c r="W3755" s="2">
        <f>(V3752*I3763)/1000</f>
        <v>1.02364927875</v>
      </c>
      <c r="Y3755" s="25" t="s">
        <v>46</v>
      </c>
      <c r="Z3755" s="38" t="s">
        <v>49</v>
      </c>
      <c r="AA3755" s="2">
        <f>(Z3752*I3763)/1000</f>
        <v>1.02364927875</v>
      </c>
    </row>
    <row r="3756" spans="1:27">
      <c r="A3756" s="18"/>
      <c r="B3756" s="13">
        <v>4</v>
      </c>
      <c r="C3756" s="14" t="s">
        <v>22</v>
      </c>
      <c r="D3756" s="15" t="e" cm="1">
        <f t="array" ref="D3756">_xlfn.SINGLE(IF(A3761=A3762,_xll.ciqfunctions.udf.CIQ(A3753,"IQ_TOTAL_REV",IQ_FY-7)/I3756, _xll.ciqfunctions.udf.CIQ(A3753, "IQ_TOTAL_REV",IQ_FY-6)/I3756))</f>
        <v>#DIV/0!</v>
      </c>
      <c r="E3756" s="16" t="e">
        <f t="shared" si="1003"/>
        <v>#DIV/0!</v>
      </c>
      <c r="F3756" s="15">
        <f>IF(A3761=A3762,_xll.ciqfunctions.udf.CIQ(A3753,"IQ_DILUT_EPS_EXCL",IQ_FY-7), _xll.ciqfunctions.udf.CIQ(A3753, "IQ_DILUT_EPS_EXCL",IQ_FY-6))</f>
        <v>0</v>
      </c>
      <c r="G3756" s="15">
        <f>IF(A3761=A3762,_xll.ciqfunctions.udf.CIQ(A3753,"IQ_EBITDA_MARGIN",IQ_FY-7), _xll.ciqfunctions.udf.CIQ(A3753, "IQ_EBITDA_MARGIN",IQ_FY-6))</f>
        <v>0</v>
      </c>
      <c r="H3756" s="15" t="e">
        <f>IF(A3761=A3762,_xll.ciqfunctions.udf.CIQ(A3753,"IQ_TOTAL_DIV_PAID_CF",IQ_FY-7)/-I3756, _xll.ciqfunctions.udf.CIQ(A3753, "IQ_TOTAL_DIV_PAID_CF",IQ_FY-6)/-I3756)</f>
        <v>#DIV/0!</v>
      </c>
      <c r="I3756" s="17">
        <f>IF(A3761=A3762,_xll.ciqfunctions.udf.CIQ(A3753,"IQ_TOTAL_OUTSTANDING_FILING_DATE",IQ_FY-7), _xll.ciqfunctions.udf.CIQ(A3753, "IQ_TOTAL_OUTSTANDING_FILING_DATE",IQ_FY-6))</f>
        <v>0</v>
      </c>
      <c r="J3756" s="17">
        <f>IF(A3761=A3762,_xll.ciqfunctions.udf.CIQ(A3753,"IQ_CASH_OPER",IQ_FY-7), _xll.ciqfunctions.udf.CIQ(A3753, "IQ_CASH_OPER",IQ_FY-6))</f>
        <v>0</v>
      </c>
      <c r="K3756" s="17">
        <f>IF(A3761=A3762,_xll.ciqfunctions.udf.CIQ(A3753,"IQ_CAPEX",IQ_FY-7), _xll.ciqfunctions.udf.CIQ(A3753, "IQ_CAPEX",IQ_FY-6))</f>
        <v>0</v>
      </c>
      <c r="L3756" s="15" t="e">
        <f t="shared" si="1000"/>
        <v>#DIV/0!</v>
      </c>
      <c r="M3756" s="17">
        <f>IF(A3761=A3762,_xll.ciqfunctions.udf.CIQ(A3753,"IQ_TOTAL_DEBT_ISSUED",IQ_FY-7), _xll.ciqfunctions.udf.CIQ(A3753, "IQ_TOTAL_DEBT_ISSUED",IQ_FY-6))</f>
        <v>0</v>
      </c>
      <c r="N3756" s="17">
        <f>IF(A3761=A3762,_xll.ciqfunctions.udf.CIQ(A3753,"IQ_TOTAL_DEBT_REPAID",IQ_FY-7), _xll.ciqfunctions.udf.CIQ(A3753, "IQ_TOTAL_DEBT_REPAID",IQ_FY-6))</f>
        <v>0</v>
      </c>
      <c r="O3756" s="15" t="e">
        <f t="shared" si="1001"/>
        <v>#DIV/0!</v>
      </c>
      <c r="P3756" s="15" t="e">
        <f t="shared" si="1002"/>
        <v>#DIV/0!</v>
      </c>
      <c r="Q3756" s="25" t="s">
        <v>23</v>
      </c>
      <c r="R3756" s="38" t="s">
        <v>24</v>
      </c>
      <c r="S3756" s="1" t="e">
        <f>R3752/(AVERAGE(H3758:H3763)*(1+H3764)/(0.5-H3764))</f>
        <v>#DIV/0!</v>
      </c>
      <c r="U3756" s="25" t="s">
        <v>40</v>
      </c>
      <c r="V3756" s="38" t="s">
        <v>24</v>
      </c>
      <c r="W3756" s="1" t="e">
        <f>V3752/(AVERAGE(H3758:H3763)*(1+H3764)/(0.5-H3764))</f>
        <v>#DIV/0!</v>
      </c>
      <c r="Y3756" s="25" t="s">
        <v>47</v>
      </c>
      <c r="Z3756" s="38" t="s">
        <v>24</v>
      </c>
      <c r="AA3756" s="1" t="e">
        <f>Z3752/(AVERAGE(H3758:H3763)*(1+H3764)/(0.5-H3764))</f>
        <v>#DIV/0!</v>
      </c>
    </row>
    <row r="3757" spans="1:27">
      <c r="B3757" s="13">
        <v>5</v>
      </c>
      <c r="C3757" s="14" t="s">
        <v>25</v>
      </c>
      <c r="D3757" s="15" t="e" cm="1">
        <f t="array" ref="D3757">_xlfn.SINGLE(IF(A3761=A3762,_xll.ciqfunctions.udf.CIQ(A3753,"IQ_TOTAL_REV",IQ_FY-6)/I3757, _xll.ciqfunctions.udf.CIQ(A3753, "IQ_TOTAL_REV",IQ_FY-5)/I3757))</f>
        <v>#DIV/0!</v>
      </c>
      <c r="E3757" s="16" t="e">
        <f t="shared" si="1003"/>
        <v>#DIV/0!</v>
      </c>
      <c r="F3757" s="15">
        <f>IF(A3761=A3762,_xll.ciqfunctions.udf.CIQ(A3753,"IQ_DILUT_EPS_EXCL",IQ_FY-6), _xll.ciqfunctions.udf.CIQ(A3753, "IQ_DILUT_EPS_EXCL",IQ_FY-5))</f>
        <v>0</v>
      </c>
      <c r="G3757" s="15">
        <f>IF(A3761=A3762,_xll.ciqfunctions.udf.CIQ(A3753,"IQ_EBITDA_MARGIN",IQ_FY-6), _xll.ciqfunctions.udf.CIQ(A3753, "IQ_EBITDA_MARGIN",IQ_FY-5))</f>
        <v>0</v>
      </c>
      <c r="H3757" s="15" t="e">
        <f>IF(A3761=A3762,_xll.ciqfunctions.udf.CIQ(A3753,"IQ_TOTAL_DIV_PAID_CF",IQ_FY-6)/-I3757, _xll.ciqfunctions.udf.CIQ(A3753, "IQ_TOTAL_DIV_PAID_CF",IQ_FY-5)/-I3757)</f>
        <v>#DIV/0!</v>
      </c>
      <c r="I3757" s="17">
        <f>IF(A3761=A3762,_xll.ciqfunctions.udf.CIQ(A3753,"IQ_TOTAL_OUTSTANDING_FILING_DATE",IQ_FY-6), _xll.ciqfunctions.udf.CIQ(A3753, "IQ_TOTAL_OUTSTANDING_FILING_DATE",IQ_FY-5))</f>
        <v>0</v>
      </c>
      <c r="J3757" s="17">
        <f>IF(A3761=A3762,_xll.ciqfunctions.udf.CIQ(A3753,"IQ_CASH_OPER",IQ_FY-6), _xll.ciqfunctions.udf.CIQ(A3753, "IQ_CASH_OPER",IQ_FY-5))</f>
        <v>0</v>
      </c>
      <c r="K3757" s="17">
        <f>IF(A3761=A3762,_xll.ciqfunctions.udf.CIQ(A3753,"IQ_CAPEX",IQ_FY-6), _xll.ciqfunctions.udf.CIQ(A3753, "IQ_CAPEX",IQ_FY-5))</f>
        <v>0</v>
      </c>
      <c r="L3757" s="15" t="e">
        <f t="shared" si="1000"/>
        <v>#DIV/0!</v>
      </c>
      <c r="M3757" s="17">
        <f>IF(A3761=A3762,_xll.ciqfunctions.udf.CIQ(A3753,"IQ_TOTAL_DEBT_ISSUED",IQ_FY-6), _xll.ciqfunctions.udf.CIQ(A3753, "IQ_TOTAL_DEBT_ISSUED",IQ_FY-5))</f>
        <v>0</v>
      </c>
      <c r="N3757" s="17">
        <f>IF(A3761=A3762,_xll.ciqfunctions.udf.CIQ(A3753,"IQ_TOTAL_DEBT_REPAID",IQ_FY-6), _xll.ciqfunctions.udf.CIQ(A3753, "IQ_TOTAL_DEBT_REPAID",IQ_FY-5))</f>
        <v>0</v>
      </c>
      <c r="O3757" s="15" t="e">
        <f t="shared" si="1001"/>
        <v>#DIV/0!</v>
      </c>
      <c r="P3757" s="15" t="e">
        <f t="shared" si="1002"/>
        <v>#DIV/0!</v>
      </c>
      <c r="Q3757" s="18"/>
      <c r="R3757" s="38" t="s">
        <v>50</v>
      </c>
      <c r="S3757" s="3" t="e">
        <f>I3764</f>
        <v>#DIV/0!</v>
      </c>
      <c r="U3757" s="18"/>
      <c r="V3757" s="38" t="s">
        <v>50</v>
      </c>
      <c r="W3757" s="3" t="e">
        <f>I3764</f>
        <v>#DIV/0!</v>
      </c>
      <c r="Y3757" s="18"/>
      <c r="Z3757" s="38" t="s">
        <v>50</v>
      </c>
      <c r="AA3757" s="3" t="e">
        <f>I3764</f>
        <v>#DIV/0!</v>
      </c>
    </row>
    <row r="3758" spans="1:27">
      <c r="B3758" s="13">
        <v>6</v>
      </c>
      <c r="C3758" s="14" t="s">
        <v>26</v>
      </c>
      <c r="D3758" s="15" t="e" cm="1">
        <f t="array" ref="D3758">_xlfn.SINGLE(IF(A3761=A3762,_xll.ciqfunctions.udf.CIQ(A3753,"IQ_TOTAL_REV",IQ_FY-5)/I3758, _xll.ciqfunctions.udf.CIQ(A3753, "IQ_TOTAL_REV",IQ_FY-4)/I3758))</f>
        <v>#DIV/0!</v>
      </c>
      <c r="E3758" s="16" t="e">
        <f t="shared" si="1003"/>
        <v>#DIV/0!</v>
      </c>
      <c r="F3758" s="15">
        <f>IF(A3761=A3762,_xll.ciqfunctions.udf.CIQ(A3753,"IQ_DILUT_EPS_EXCL",IQ_FY-5), _xll.ciqfunctions.udf.CIQ(A3753, "IQ_DILUT_EPS_EXCL",IQ_FY-4))</f>
        <v>0</v>
      </c>
      <c r="G3758" s="15">
        <f>IF(A3761=A3762,_xll.ciqfunctions.udf.CIQ(A3753,"IQ_EBITDA_MARGIN",IQ_FY-5), _xll.ciqfunctions.udf.CIQ(A3753, "IQ_EBITDA_MARGIN",IQ_FY-4))</f>
        <v>0</v>
      </c>
      <c r="H3758" s="15" t="e">
        <f>IF(A3761=A3762,_xll.ciqfunctions.udf.CIQ(A3753,"IQ_TOTAL_DIV_PAID_CF",IQ_FY-5)/-I3758, _xll.ciqfunctions.udf.CIQ(A3753, "IQ_TOTAL_DIV_PAID_CF",IQ_FY-4)/-I3758)</f>
        <v>#DIV/0!</v>
      </c>
      <c r="I3758" s="17">
        <f>IF(A3761=A3762,_xll.ciqfunctions.udf.CIQ(A3753,"IQ_TOTAL_OUTSTANDING_FILING_DATE",IQ_FY-5), _xll.ciqfunctions.udf.CIQ(A3753, "IQ_TOTAL_OUTSTANDING_FILING_DATE",IQ_FY-4))</f>
        <v>0</v>
      </c>
      <c r="J3758" s="17">
        <f>IF(A3761=A3762,_xll.ciqfunctions.udf.CIQ(A3753,"IQ_CASH_OPER",IQ_FY-5), _xll.ciqfunctions.udf.CIQ(A3753, "IQ_CASH_OPER",IQ_FY-4))</f>
        <v>0</v>
      </c>
      <c r="K3758" s="17">
        <f>IF(A3761=A3762,_xll.ciqfunctions.udf.CIQ(A3753,"IQ_CAPEX",IQ_FY-5), _xll.ciqfunctions.udf.CIQ(A3753, "IQ_CAPEX",IQ_FY-4))</f>
        <v>0</v>
      </c>
      <c r="L3758" s="15" t="e">
        <f t="shared" si="1000"/>
        <v>#DIV/0!</v>
      </c>
      <c r="M3758" s="17">
        <f>IF(A3761=A3762,_xll.ciqfunctions.udf.CIQ(A3753,"IQ_TOTAL_DEBT_ISSUED",IQ_FY-5), _xll.ciqfunctions.udf.CIQ(A3753, "IQ_TOTAL_DEBT_ISSUED",IQ_FY-4))</f>
        <v>0</v>
      </c>
      <c r="N3758" s="17">
        <f>IF(A3761=A3762,_xll.ciqfunctions.udf.CIQ(A3753,"IQ_TOTAL_DEBT_REPAID",IQ_FY-5), _xll.ciqfunctions.udf.CIQ(A3753, "IQ_TOTAL_DEBT_REPAID",IQ_FY-4))</f>
        <v>0</v>
      </c>
      <c r="O3758" s="15" t="e">
        <f t="shared" si="1001"/>
        <v>#DIV/0!</v>
      </c>
      <c r="P3758" s="15" t="e">
        <f t="shared" si="1002"/>
        <v>#DIV/0!</v>
      </c>
      <c r="Q3758" s="25" t="s">
        <v>27</v>
      </c>
      <c r="R3758" s="38" t="s">
        <v>51</v>
      </c>
      <c r="S3758" s="4" t="e">
        <f>AVERAGE(F3758:F3763)/AVERAGE(D3758:D3763)</f>
        <v>#DIV/0!</v>
      </c>
      <c r="U3758" s="25" t="s">
        <v>58</v>
      </c>
      <c r="V3758" s="38" t="s">
        <v>51</v>
      </c>
      <c r="W3758" s="4" t="e">
        <f>AVERAGE(F3758:F3763)/AVERAGE(D3758:D3763)</f>
        <v>#DIV/0!</v>
      </c>
      <c r="Y3758" s="25" t="s">
        <v>56</v>
      </c>
      <c r="Z3758" s="38" t="s">
        <v>51</v>
      </c>
      <c r="AA3758" s="4" t="e">
        <f>AVERAGE(F3758:F3763)/AVERAGE(D3758:D3763)</f>
        <v>#DIV/0!</v>
      </c>
    </row>
    <row r="3759" spans="1:27">
      <c r="A3759" s="18"/>
      <c r="B3759" s="13">
        <v>7</v>
      </c>
      <c r="C3759" s="14" t="s">
        <v>28</v>
      </c>
      <c r="D3759" s="15" cm="1">
        <f t="array" ref="D3759">_xlfn.SINGLE(IF(A3761=A3762,_xll.ciqfunctions.udf.CIQ(A3753,"IQ_TOTAL_REV",IQ_FY-4)/I3759, _xll.ciqfunctions.udf.CIQ(A3753, "IQ_TOTAL_REV",IQ_FY-3)/I3759))</f>
        <v>0</v>
      </c>
      <c r="E3759" s="16" t="e">
        <f t="shared" si="1003"/>
        <v>#DIV/0!</v>
      </c>
      <c r="F3759" s="15">
        <f>IF(A3761=A3762,_xll.ciqfunctions.udf.CIQ(A3753,"IQ_DILUT_EPS_EXCL",IQ_FY-4), _xll.ciqfunctions.udf.CIQ(A3753, "IQ_DILUT_EPS_EXCL",IQ_FY-3))</f>
        <v>-1.25589</v>
      </c>
      <c r="G3759" s="15">
        <f>IF(A3761=A3762,_xll.ciqfunctions.udf.CIQ(A3753,"IQ_EBITDA_MARGIN",IQ_FY-4), _xll.ciqfunctions.udf.CIQ(A3753, "IQ_EBITDA_MARGIN",IQ_FY-3))</f>
        <v>0</v>
      </c>
      <c r="H3759" s="15">
        <f>IF(A3761=A3762,_xll.ciqfunctions.udf.CIQ(A3753,"IQ_TOTAL_DIV_PAID_CF",IQ_FY-4)/-I3759, _xll.ciqfunctions.udf.CIQ(A3753, "IQ_TOTAL_DIV_PAID_CF",IQ_FY-3)/-I3759)</f>
        <v>0</v>
      </c>
      <c r="I3759" s="17">
        <f>IF(A3761=A3762,_xll.ciqfunctions.udf.CIQ(A3753,"IQ_TOTAL_OUTSTANDING_FILING_DATE",IQ_FY-4), _xll.ciqfunctions.udf.CIQ(A3753, "IQ_TOTAL_OUTSTANDING_FILING_DATE",IQ_FY-3))</f>
        <v>187.05114</v>
      </c>
      <c r="J3759" s="17">
        <f>IF(A3761=A3762,_xll.ciqfunctions.udf.CIQ(A3753,"IQ_CASH_OPER",IQ_FY-4), _xll.ciqfunctions.udf.CIQ(A3753, "IQ_CASH_OPER",IQ_FY-3))</f>
        <v>-1.23021</v>
      </c>
      <c r="K3759" s="17">
        <f>IF(A3761=A3762,_xll.ciqfunctions.udf.CIQ(A3753,"IQ_CAPEX",IQ_FY-4), _xll.ciqfunctions.udf.CIQ(A3753, "IQ_CAPEX",IQ_FY-3))</f>
        <v>0</v>
      </c>
      <c r="L3759" s="15">
        <f t="shared" si="1000"/>
        <v>-6.5768644874337574E-3</v>
      </c>
      <c r="M3759" s="17">
        <f>IF(A3761=A3762,_xll.ciqfunctions.udf.CIQ(A3753,"IQ_TOTAL_DEBT_ISSUED",IQ_FY-4), _xll.ciqfunctions.udf.CIQ(A3753, "IQ_TOTAL_DEBT_ISSUED",IQ_FY-3))</f>
        <v>2.4400000000000002E-2</v>
      </c>
      <c r="N3759" s="17">
        <f>IF(A3761=A3762,_xll.ciqfunctions.udf.CIQ(A3753,"IQ_TOTAL_DEBT_REPAID",IQ_FY-4), _xll.ciqfunctions.udf.CIQ(A3753, "IQ_TOTAL_DEBT_REPAID",IQ_FY-3))</f>
        <v>-0.12520999999999999</v>
      </c>
      <c r="O3759" s="15">
        <f t="shared" si="1001"/>
        <v>-5.3894352100714265E-4</v>
      </c>
      <c r="P3759" s="15">
        <f t="shared" si="1002"/>
        <v>-7.1158080084409003E-3</v>
      </c>
      <c r="Q3759" s="18"/>
      <c r="R3759" s="38" t="s">
        <v>29</v>
      </c>
      <c r="S3759" s="4" t="e">
        <f>(AVERAGE(P3758:P3763)/_xlfn.STDEV.P(P3758:P3763))/(IF(A3761=A3762,(_xlfn.SINGLE(_xll.ciqfunctions.udf.CIQ(A3753,"IQ_total_assets",IQ_FY)) - _xlfn.SINGLE(_xll.ciqfunctions.udf.CIQ(A3753,"iq_gw_intan", IQ_FY)))/I3763, (_xlfn.SINGLE(_xll.ciqfunctions.udf.CIQ(A3753, "IQ_total_assets",IQ_LTM))-_xlfn.SINGLE(_xll.ciqfunctions.udf.CIQ(A3753,"iq_gw_intan",IQ_LTM)))/I3763))</f>
        <v>#DIV/0!</v>
      </c>
      <c r="U3759" s="18"/>
      <c r="V3759" s="38" t="s">
        <v>29</v>
      </c>
      <c r="W3759" s="4" t="e">
        <f>(AVERAGE(P3758:P3763)/_xlfn.STDEV.P(P3758:P3763))/(IF(A3761=A3762,(_xlfn.SINGLE(_xll.ciqfunctions.udf.CIQ(A3753,"IQ_total_assets",IQ_FY)) - _xlfn.SINGLE(_xll.ciqfunctions.udf.CIQ(A3753,"iq_gw_intan", IQ_FY)))/I3763, (_xlfn.SINGLE(_xll.ciqfunctions.udf.CIQ(A3753, "IQ_total_assets",IQ_LTM))-_xlfn.SINGLE(_xll.ciqfunctions.udf.CIQ(A3753,"iq_gw_intan",IQ_LTM)))/I3763))</f>
        <v>#DIV/0!</v>
      </c>
      <c r="Y3759" s="18"/>
      <c r="Z3759" s="38" t="s">
        <v>29</v>
      </c>
      <c r="AA3759" s="4" t="e">
        <f>(AVERAGE(P3758:P3763)/_xlfn.STDEV.P(P3758:P3763))/(IF(A3761=A3762,(_xlfn.SINGLE(_xll.ciqfunctions.udf.CIQ(A3753,"IQ_total_assets",IQ_FY)) - _xlfn.SINGLE(_xll.ciqfunctions.udf.CIQ(A3753,"iq_gw_intan", IQ_FY)))/I3763, (_xlfn.SINGLE(_xll.ciqfunctions.udf.CIQ(A3753, "IQ_total_assets",IQ_LTM))-_xlfn.SINGLE(_xll.ciqfunctions.udf.CIQ(A3753,"iq_gw_intan",IQ_LTM)))/I3763))</f>
        <v>#DIV/0!</v>
      </c>
    </row>
    <row r="3760" spans="1:27">
      <c r="A3760" s="18"/>
      <c r="B3760" s="13">
        <v>8</v>
      </c>
      <c r="C3760" s="14" t="s">
        <v>30</v>
      </c>
      <c r="D3760" s="15" cm="1">
        <f t="array" ref="D3760">_xlfn.SINGLE(IF(A3761=A3762,_xll.ciqfunctions.udf.CIQ(A3753,"IQ_TOTAL_REV",IQ_FY-3)/I3760, _xll.ciqfunctions.udf.CIQ(A3753, "IQ_TOTAL_REV",IQ_FY-2)/I3760))</f>
        <v>1.3706412053944177</v>
      </c>
      <c r="E3760" s="16" t="e">
        <f t="shared" si="1003"/>
        <v>#DIV/0!</v>
      </c>
      <c r="F3760" s="15">
        <f>IF(A3761=A3762,_xll.ciqfunctions.udf.CIQ(A3753,"IQ_DILUT_EPS_EXCL",IQ_FY-3), _xll.ciqfunctions.udf.CIQ(A3753, "IQ_DILUT_EPS_EXCL",IQ_FY-2))</f>
        <v>0.66610000000000003</v>
      </c>
      <c r="G3760" s="15">
        <f>IF(A3761=A3762,_xll.ciqfunctions.udf.CIQ(A3753,"IQ_EBITDA_MARGIN",IQ_FY-3), _xll.ciqfunctions.udf.CIQ(A3753, "IQ_EBITDA_MARGIN",IQ_FY-2))</f>
        <v>-149.93209999999999</v>
      </c>
      <c r="H3760" s="15">
        <f>IF(A3761=A3762,_xll.ciqfunctions.udf.CIQ(A3753,"IQ_TOTAL_DIV_PAID_CF",IQ_FY-3)/-I3760, _xll.ciqfunctions.udf.CIQ(A3753, "IQ_TOTAL_DIV_PAID_CF",IQ_FY-2)/-I3760)</f>
        <v>0</v>
      </c>
      <c r="I3760" s="17">
        <f>IF(A3761=A3762,_xll.ciqfunctions.udf.CIQ(A3753,"IQ_TOTAL_OUTSTANDING_FILING_DATE",IQ_FY-3), _xll.ciqfunctions.udf.CIQ(A3753, "IQ_TOTAL_OUTSTANDING_FILING_DATE",IQ_FY-2))</f>
        <v>187.05114</v>
      </c>
      <c r="J3760" s="17">
        <f>IF(A3761=A3762,_xll.ciqfunctions.udf.CIQ(A3753,"IQ_CASH_OPER",IQ_FY-3), _xll.ciqfunctions.udf.CIQ(A3753, "IQ_CASH_OPER",IQ_FY-2))</f>
        <v>69.611999999999995</v>
      </c>
      <c r="K3760" s="17">
        <f>IF(A3761=A3762,_xll.ciqfunctions.udf.CIQ(A3753,"IQ_CAPEX",IQ_FY-3), _xll.ciqfunctions.udf.CIQ(A3753, "IQ_CAPEX",IQ_FY-2))</f>
        <v>-17.64</v>
      </c>
      <c r="L3760" s="15">
        <f t="shared" si="1000"/>
        <v>0.27784914863389765</v>
      </c>
      <c r="M3760" s="17">
        <f>IF(A3761=A3762,_xll.ciqfunctions.udf.CIQ(A3753,"IQ_TOTAL_DEBT_ISSUED",IQ_FY-3), _xll.ciqfunctions.udf.CIQ(A3753, "IQ_TOTAL_DEBT_ISSUED",IQ_FY-2))</f>
        <v>0</v>
      </c>
      <c r="N3760" s="17">
        <f>IF(A3761=A3762,_xll.ciqfunctions.udf.CIQ(A3753,"IQ_TOTAL_DEBT_REPAID",IQ_FY-3), _xll.ciqfunctions.udf.CIQ(A3753, "IQ_TOTAL_DEBT_REPAID",IQ_FY-2))</f>
        <v>-5.6159999999999997</v>
      </c>
      <c r="O3760" s="15">
        <f t="shared" si="1001"/>
        <v>-3.0023874754251695E-2</v>
      </c>
      <c r="P3760" s="15">
        <f t="shared" si="1002"/>
        <v>0.24782527387964595</v>
      </c>
      <c r="Q3760" s="18"/>
      <c r="R3760" s="39" t="s">
        <v>31</v>
      </c>
      <c r="S3760" s="5" t="e">
        <f>IF(NOT(D3753&gt;0),FALSE,SLOPE(G3753:G3763,B3753:B3763))</f>
        <v>#DIV/0!</v>
      </c>
      <c r="U3760" s="18"/>
      <c r="V3760" s="39" t="s">
        <v>31</v>
      </c>
      <c r="W3760" s="5" t="e">
        <f>IF(NOT(D3753&gt;0),FALSE,SLOPE(G3753:G3763,B3753:B3763))</f>
        <v>#DIV/0!</v>
      </c>
      <c r="Y3760" s="18"/>
      <c r="Z3760" s="39" t="s">
        <v>31</v>
      </c>
      <c r="AA3760" s="5" t="e">
        <f>IF(NOT(L3753&gt;0),FALSE,SLOPE(O3753:O3763,J3753:J3763))</f>
        <v>#DIV/0!</v>
      </c>
    </row>
    <row r="3761" spans="1:27">
      <c r="A3761" s="19">
        <f>_xll.ciqfunctions.udf.CIQ(A3753,"IQ_TOTAL_REV",IQ_FY)</f>
        <v>652.21500000000003</v>
      </c>
      <c r="B3761" s="13">
        <v>9</v>
      </c>
      <c r="C3761" s="14" t="s">
        <v>32</v>
      </c>
      <c r="D3761" s="15" cm="1">
        <f t="array" ref="D3761">_xlfn.SINGLE(IF(A3761=A3762,_xll.ciqfunctions.udf.CIQ(A3753,"IQ_TOTAL_REV",IQ_FY-2)/I3761, _xll.ciqfunctions.udf.CIQ(A3753, "IQ_TOTAL_REV",IQ_FY-1)/I3761))</f>
        <v>1.4121230391765665</v>
      </c>
      <c r="E3761" s="16">
        <f t="shared" si="1003"/>
        <v>3.0264545979567195E-2</v>
      </c>
      <c r="F3761" s="15">
        <f>IF(A3761=A3762,_xll.ciqfunctions.udf.CIQ(A3753,"IQ_DILUT_EPS_EXCL",IQ_FY-2), _xll.ciqfunctions.udf.CIQ(A3753, "IQ_DILUT_EPS_EXCL",IQ_FY-1))</f>
        <v>-0.68</v>
      </c>
      <c r="G3761" s="15">
        <f>IF(A3761=A3762,_xll.ciqfunctions.udf.CIQ(A3753,"IQ_EBITDA_MARGIN",IQ_FY-2), _xll.ciqfunctions.udf.CIQ(A3753, "IQ_EBITDA_MARGIN",IQ_FY-1))</f>
        <v>20.575600000000001</v>
      </c>
      <c r="H3761" s="15">
        <f>IF(A3761=A3762,_xll.ciqfunctions.udf.CIQ(A3753,"IQ_TOTAL_DIV_PAID_CF",IQ_FY-2)/-I3761, _xll.ciqfunctions.udf.CIQ(A3753, "IQ_TOTAL_DIV_PAID_CF",IQ_FY-1)/-I3761)</f>
        <v>0</v>
      </c>
      <c r="I3761" s="17">
        <f>IF(A3761=A3762,_xll.ciqfunctions.udf.CIQ(A3753,"IQ_TOTAL_OUTSTANDING_FILING_DATE",IQ_FY-2), _xll.ciqfunctions.udf.CIQ(A3753, "IQ_TOTAL_OUTSTANDING_FILING_DATE",IQ_FY-1))</f>
        <v>301.36255</v>
      </c>
      <c r="J3761" s="17">
        <f>IF(A3761=A3762,_xll.ciqfunctions.udf.CIQ(A3753,"IQ_CASH_OPER",IQ_FY-2), _xll.ciqfunctions.udf.CIQ(A3753, "IQ_CASH_OPER",IQ_FY-1))</f>
        <v>51.154000000000003</v>
      </c>
      <c r="K3761" s="17">
        <f>IF(A3761=A3762,_xll.ciqfunctions.udf.CIQ(A3753,"IQ_CAPEX",IQ_FY-2), _xll.ciqfunctions.udf.CIQ(A3753, "IQ_CAPEX",IQ_FY-1))</f>
        <v>-31.776</v>
      </c>
      <c r="L3761" s="15">
        <f t="shared" si="1000"/>
        <v>6.430128760192666E-2</v>
      </c>
      <c r="M3761" s="17">
        <f>IF(A3761=A3762,_xll.ciqfunctions.udf.CIQ(A3753,"IQ_TOTAL_DEBT_ISSUED",IQ_FY-2), _xll.ciqfunctions.udf.CIQ(A3753, "IQ_TOTAL_DEBT_ISSUED",IQ_FY-1))</f>
        <v>475</v>
      </c>
      <c r="N3761" s="17">
        <f>IF(A3761=A3762,_xll.ciqfunctions.udf.CIQ(A3753,"IQ_TOTAL_DEBT_REPAID",IQ_FY-2), _xll.ciqfunctions.udf.CIQ(A3753, "IQ_TOTAL_DEBT_REPAID",IQ_FY-1))</f>
        <v>-27.596</v>
      </c>
      <c r="O3761" s="15">
        <f t="shared" si="1001"/>
        <v>1.4846038434437192</v>
      </c>
      <c r="P3761" s="15">
        <f t="shared" si="1002"/>
        <v>1.5489051310456459</v>
      </c>
      <c r="Q3761" s="25" t="s">
        <v>33</v>
      </c>
      <c r="R3761" s="38" t="s">
        <v>52</v>
      </c>
      <c r="S3761" s="4" t="e">
        <f>(AVERAGE(O3758:O3763)/AVERAGE(P3758:P3763))</f>
        <v>#DIV/0!</v>
      </c>
      <c r="U3761" s="25" t="s">
        <v>54</v>
      </c>
      <c r="V3761" s="38" t="s">
        <v>52</v>
      </c>
      <c r="W3761" s="4" t="e">
        <f>(AVERAGE(O3758:O3763)/AVERAGE(P3758:P3763))</f>
        <v>#DIV/0!</v>
      </c>
      <c r="Y3761" s="25" t="s">
        <v>60</v>
      </c>
      <c r="Z3761" s="38" t="s">
        <v>52</v>
      </c>
      <c r="AA3761" s="4" t="e">
        <f>(AVERAGE(O3758:O3763)/AVERAGE(P3758:P3763))</f>
        <v>#DIV/0!</v>
      </c>
    </row>
    <row r="3762" spans="1:27">
      <c r="A3762" s="19">
        <f>_xll.ciqfunctions.udf.CIQ(A3753,"IQ_TOTAL_REV",IQ_LTM)</f>
        <v>649.76599999999996</v>
      </c>
      <c r="B3762" s="13">
        <v>10</v>
      </c>
      <c r="C3762" s="14" t="s">
        <v>34</v>
      </c>
      <c r="D3762" s="15" cm="1">
        <f t="array" ref="D3762">_xlfn.SINGLE(IF(A3761=A3762,_xll.ciqfunctions.udf.CIQ(A3753,"IQ_TOTAL_REV",IQ_FY-1)/I3762, _xll.ciqfunctions.udf.CIQ(A3753, "IQ_TOTAL_REV",IQ_FY)/I3762))</f>
        <v>2.156757478000968</v>
      </c>
      <c r="E3762" s="16">
        <f t="shared" si="1003"/>
        <v>0.52731555124163321</v>
      </c>
      <c r="F3762" s="15">
        <f>IF(A3761=A3762,_xll.ciqfunctions.udf.CIQ(A3753,"IQ_DILUT_EPS_EXCL",IQ_FY-1), _xll.ciqfunctions.udf.CIQ(A3753, "IQ_DILUT_EPS_EXCL",IQ_FY))</f>
        <v>-2.15</v>
      </c>
      <c r="G3762" s="15">
        <f>IF(A3761=A3762,_xll.ciqfunctions.udf.CIQ(A3753,"IQ_EBITDA_MARGIN",IQ_FY-1), _xll.ciqfunctions.udf.CIQ(A3753, "IQ_EBITDA_MARGIN",IQ_FY))</f>
        <v>28.781400000000001</v>
      </c>
      <c r="H3762" s="15">
        <f>IF(A3761=A3762,_xll.ciqfunctions.udf.CIQ(A3753,"IQ_TOTAL_DIV_PAID_CF",IQ_FY-1)/-I3762, _xll.ciqfunctions.udf.CIQ(A3753, "IQ_TOTAL_DIV_PAID_CF",IQ_FY)/-I3762)</f>
        <v>0</v>
      </c>
      <c r="I3762" s="17">
        <f>IF(A3761=A3762,_xll.ciqfunctions.udf.CIQ(A3753,"IQ_TOTAL_OUTSTANDING_FILING_DATE",IQ_FY-1), _xll.ciqfunctions.udf.CIQ(A3753, "IQ_TOTAL_OUTSTANDING_FILING_DATE",IQ_FY))</f>
        <v>302.40535</v>
      </c>
      <c r="J3762" s="17">
        <f>IF(A3761=A3762,_xll.ciqfunctions.udf.CIQ(A3753,"IQ_CASH_OPER",IQ_FY-1), _xll.ciqfunctions.udf.CIQ(A3753, "IQ_CASH_OPER",IQ_FY))</f>
        <v>68.097999999999999</v>
      </c>
      <c r="K3762" s="17">
        <f>IF(A3761=A3762,_xll.ciqfunctions.udf.CIQ(A3753,"IQ_CAPEX",IQ_FY-1), _xll.ciqfunctions.udf.CIQ(A3753, "IQ_CAPEX",IQ_FY))</f>
        <v>-48.06</v>
      </c>
      <c r="L3762" s="15">
        <f t="shared" si="1000"/>
        <v>6.6262055218269111E-2</v>
      </c>
      <c r="M3762" s="17">
        <f>IF(A3761=A3762,_xll.ciqfunctions.udf.CIQ(A3753,"IQ_TOTAL_DEBT_ISSUED",IQ_FY-1), _xll.ciqfunctions.udf.CIQ(A3753, "IQ_TOTAL_DEBT_ISSUED",IQ_FY))</f>
        <v>215</v>
      </c>
      <c r="N3762" s="17">
        <f>IF(A3761=A3762,_xll.ciqfunctions.udf.CIQ(A3753,"IQ_TOTAL_DEBT_REPAID",IQ_FY-1), _xll.ciqfunctions.udf.CIQ(A3753, "IQ_TOTAL_DEBT_REPAID",IQ_FY))</f>
        <v>-118.402</v>
      </c>
      <c r="O3762" s="15">
        <f t="shared" si="1001"/>
        <v>0.31943217935793794</v>
      </c>
      <c r="P3762" s="15">
        <f t="shared" si="1002"/>
        <v>0.38569423457620705</v>
      </c>
      <c r="Q3762" s="25" t="s">
        <v>44</v>
      </c>
      <c r="R3762" s="38" t="s">
        <v>35</v>
      </c>
      <c r="S3762" s="1">
        <f>_xll.ciqfunctions.udf.CIQ(A3753,"IQ_TEV_EBITDA")</f>
        <v>11.94614</v>
      </c>
      <c r="U3762" s="25" t="s">
        <v>55</v>
      </c>
      <c r="V3762" s="38" t="s">
        <v>53</v>
      </c>
      <c r="W3762" s="1" t="e">
        <f>V3752/(AVERAGE(D3758:D3763)/_xlfn.STDEV.P(E3758:E3763))</f>
        <v>#DIV/0!</v>
      </c>
      <c r="Y3762" s="25" t="s">
        <v>57</v>
      </c>
      <c r="Z3762" s="38" t="s">
        <v>53</v>
      </c>
      <c r="AA3762" s="1" t="e">
        <f>Z3752/(AVERAGE(D3758:D3763)/_xlfn.STDEV.P(E3758:E3763))</f>
        <v>#DIV/0!</v>
      </c>
    </row>
    <row r="3763" spans="1:27">
      <c r="B3763" s="13">
        <v>11</v>
      </c>
      <c r="C3763" s="20" t="s">
        <v>36</v>
      </c>
      <c r="D3763" s="21" cm="1">
        <f t="array" ref="D3763">_xlfn.SINGLE(IF(A3761=A3762,_xll.ciqfunctions.udf.CIQ(A3753,"IQ_TOTAL_REV",IQ_FY)/I3763, _xll.ciqfunctions.udf.CIQ(A3753, "IQ_TOTAL_REV",IQ_LTM)/I3763))</f>
        <v>2.1422964833012634</v>
      </c>
      <c r="E3763" s="22">
        <f t="shared" si="1003"/>
        <v>-6.7049702375938771E-3</v>
      </c>
      <c r="F3763" s="21">
        <f>IF(A3761=A3762,_xll.ciqfunctions.udf.CIQ(A3753,"IQ_DILUT_EPS_EXCL",IQ_FY), _xll.ciqfunctions.udf.CIQ(A3753, "IQ_DILUT_EPS_EXCL",IQ_LTM))</f>
        <v>-2.0806800000000001</v>
      </c>
      <c r="G3763" s="21">
        <f>IF(A3761=A3762,_xll.ciqfunctions.udf.CIQ(A3753,"IQ_EBITDA_MARGIN",IQ_FY), _xll.ciqfunctions.udf.CIQ(A3753, "IQ_EBITDA_MARGIN",IQ_LTM))</f>
        <v>26.5167</v>
      </c>
      <c r="H3763" s="21">
        <f>IF(A3761=A3762,_xll.ciqfunctions.udf.CIQ(A3753,"IQ_TOTAL_DIV_PAID_CF",IQ_FY)/-I3763, _xll.ciqfunctions.udf.CIQ(A3753, "IQ_TOTAL_DIV_PAID_CF",IQ_LTM)/-I3763)</f>
        <v>0</v>
      </c>
      <c r="I3763" s="23">
        <f>IF(A3761=A3762,_xll.ciqfunctions.udf.CIQ(A3753,"IQ_TOTAL_OUTSTANDING_FILING_DATE",IQ_FY),_xll.ciqfunctions.udf.CIQ(A3753,"IQ_sharesoutstanding"))</f>
        <v>303.30349000000001</v>
      </c>
      <c r="J3763" s="23">
        <f>IF(A3761=A3762,_xll.ciqfunctions.udf.CIQ(A3753,"IQ_CASH_OPER",IQ_FY), _xll.ciqfunctions.udf.CIQ(A3753, "IQ_CASH_OPER",IQ_LTM))</f>
        <v>117.19499999999999</v>
      </c>
      <c r="K3763" s="23">
        <f>IF(A3761=A3762,_xll.ciqfunctions.udf.CIQ(A3753,"IQ_CAPEX",IQ_FY), _xll.ciqfunctions.udf.CIQ(A3753, "IQ_CAPEX",IQ_LTM))</f>
        <v>-32.56</v>
      </c>
      <c r="L3763" s="21">
        <f t="shared" si="1000"/>
        <v>0.27904393714691511</v>
      </c>
      <c r="M3763" s="23">
        <f>IF(A3761=A3762,_xll.ciqfunctions.udf.CIQ(A3753,"IQ_TOTAL_DEBT_ISSUED",IQ_FY), _xll.ciqfunctions.udf.CIQ(A3753, "IQ_TOTAL_DEBT_ISSUED",IQ_LTM))</f>
        <v>25</v>
      </c>
      <c r="N3763" s="23">
        <f>IF(A3761=A3762,_xll.ciqfunctions.udf.CIQ(A3753,"IQ_TOTAL_DEBT_REPAID",IQ_FY), _xll.ciqfunctions.udf.CIQ(A3753, "IQ_TOTAL_DEBT_REPAID",IQ_LTM))</f>
        <v>-38.161999999999999</v>
      </c>
      <c r="O3763" s="21">
        <f t="shared" si="1001"/>
        <v>-4.339547823864473E-2</v>
      </c>
      <c r="P3763" s="21">
        <f t="shared" si="1002"/>
        <v>0.23564845890827038</v>
      </c>
      <c r="Q3763" s="25" t="s">
        <v>45</v>
      </c>
      <c r="S3763" s="45"/>
      <c r="U3763" s="25"/>
      <c r="W3763" s="45"/>
      <c r="Y3763" s="25"/>
      <c r="AA3763" s="45"/>
    </row>
    <row r="3764" spans="1:27">
      <c r="B3764" s="24"/>
      <c r="C3764" s="25" t="s">
        <v>37</v>
      </c>
      <c r="E3764" s="26" t="e">
        <f>((D3763/D3758)^(1/5))-1</f>
        <v>#DIV/0!</v>
      </c>
      <c r="F3764" s="27" t="e">
        <f>((F3763/F3758)^(1/5))-1</f>
        <v>#DIV/0!</v>
      </c>
      <c r="G3764" s="28"/>
      <c r="H3764" s="27" t="e">
        <f>((H3763/H3758)^(1/5))-1</f>
        <v>#DIV/0!</v>
      </c>
      <c r="I3764" s="27" t="e">
        <f>((I3763/I3758)^(1/5))-1</f>
        <v>#DIV/0!</v>
      </c>
      <c r="J3764" s="27"/>
      <c r="K3764" s="27"/>
      <c r="L3764" s="26" t="e">
        <f>((L3763/L3758)^(1/5))-1</f>
        <v>#DIV/0!</v>
      </c>
      <c r="M3764" s="26"/>
      <c r="N3764" s="26"/>
      <c r="O3764" s="26"/>
      <c r="P3764" s="26" t="e">
        <f>((P3763/P3758)^(1/5))-1</f>
        <v>#DIV/0!</v>
      </c>
      <c r="Q3764" s="18"/>
      <c r="R3764" s="36"/>
      <c r="S3764" s="45"/>
      <c r="U3764" s="18"/>
      <c r="V3764" s="36"/>
      <c r="W3764" s="45"/>
      <c r="Y3764" s="18"/>
      <c r="Z3764" s="36"/>
      <c r="AA3764" s="45"/>
    </row>
    <row r="3765" spans="1:27">
      <c r="A3765" s="29"/>
      <c r="B3765" s="30"/>
      <c r="C3765" s="31" t="s">
        <v>38</v>
      </c>
      <c r="D3765" s="29"/>
      <c r="E3765" s="32" t="e">
        <f>((D3763/D3753)^(1/10))-1</f>
        <v>#DIV/0!</v>
      </c>
      <c r="F3765" s="33" t="e">
        <f>((F3763/F3753)^(1/10))-1</f>
        <v>#DIV/0!</v>
      </c>
      <c r="G3765" s="34"/>
      <c r="H3765" s="33" t="e">
        <f>((H3763/H3753)^(1/10))-1</f>
        <v>#DIV/0!</v>
      </c>
      <c r="I3765" s="33" t="e">
        <f>((I3763/I3753)^(1/10))-1</f>
        <v>#DIV/0!</v>
      </c>
      <c r="J3765" s="33"/>
      <c r="K3765" s="33"/>
      <c r="L3765" s="32" t="e">
        <f>((L3763/L3753)^(1/10))-1</f>
        <v>#DIV/0!</v>
      </c>
      <c r="M3765" s="32"/>
      <c r="N3765" s="32"/>
      <c r="O3765" s="32"/>
      <c r="P3765" s="32" t="e">
        <f>((P3763/P3753)^(1/10))-1</f>
        <v>#DIV/0!</v>
      </c>
      <c r="Q3765" s="40"/>
      <c r="R3765" s="41"/>
      <c r="S3765" s="46"/>
      <c r="U3765" s="40"/>
      <c r="V3765" s="41"/>
      <c r="W3765" s="46"/>
      <c r="Y3765" s="40"/>
      <c r="Z3765" s="41"/>
      <c r="AA3765" s="46"/>
    </row>
    <row r="3766" spans="1:27">
      <c r="B3766" s="24"/>
      <c r="C3766" s="25"/>
      <c r="E3766" s="26"/>
      <c r="F3766" s="27"/>
      <c r="G3766" s="28"/>
      <c r="H3766" s="27"/>
      <c r="I3766" s="27"/>
      <c r="J3766" s="27"/>
      <c r="K3766" s="27"/>
      <c r="L3766" s="26"/>
      <c r="M3766" s="17"/>
      <c r="N3766" s="17"/>
      <c r="O3766" s="17"/>
      <c r="P3766" s="35"/>
      <c r="Q3766" s="18"/>
      <c r="R3766" s="36"/>
    </row>
    <row r="3767" spans="1:27">
      <c r="A3767" s="9" t="s">
        <v>0</v>
      </c>
      <c r="B3767" s="10"/>
      <c r="C3767" s="9" t="s">
        <v>1</v>
      </c>
      <c r="D3767" s="9" t="s">
        <v>2</v>
      </c>
      <c r="E3767" s="9" t="s">
        <v>3</v>
      </c>
      <c r="F3767" s="11" t="s">
        <v>4</v>
      </c>
      <c r="G3767" s="11" t="s">
        <v>5</v>
      </c>
      <c r="H3767" s="9" t="s">
        <v>6</v>
      </c>
      <c r="I3767" s="11" t="s">
        <v>7</v>
      </c>
      <c r="J3767" s="11" t="s">
        <v>8</v>
      </c>
      <c r="K3767" s="11" t="s">
        <v>9</v>
      </c>
      <c r="L3767" s="11" t="s">
        <v>10</v>
      </c>
      <c r="M3767" s="11" t="s">
        <v>11</v>
      </c>
      <c r="N3767" s="11" t="s">
        <v>12</v>
      </c>
      <c r="O3767" s="11" t="s">
        <v>13</v>
      </c>
      <c r="P3767" s="11" t="s">
        <v>14</v>
      </c>
      <c r="Q3767" s="37" t="s">
        <v>15</v>
      </c>
      <c r="R3767" s="42">
        <f>_xll.ciqfunctions.udf.CIQ(A3768,("IQ_LASTSALEPRICE"))</f>
        <v>10.49</v>
      </c>
      <c r="S3767" s="44"/>
      <c r="U3767" s="37" t="s">
        <v>15</v>
      </c>
      <c r="V3767" s="42">
        <f>_xll.ciqfunctions.udf.CIQ(A3768,("IQ_LASTSALEPRICE"))</f>
        <v>10.49</v>
      </c>
      <c r="W3767" s="44"/>
      <c r="Y3767" s="37" t="s">
        <v>15</v>
      </c>
      <c r="Z3767" s="42">
        <f>_xll.ciqfunctions.udf.CIQ(A3768,("IQ_LASTSALEPRICE"))</f>
        <v>10.49</v>
      </c>
      <c r="AA3767" s="44"/>
    </row>
    <row r="3768" spans="1:27">
      <c r="A3768" s="12" t="str">
        <f>Analysis!B253</f>
        <v>NasdaqCM:AMPL</v>
      </c>
      <c r="B3768" s="13">
        <v>1</v>
      </c>
      <c r="C3768" s="14" t="s">
        <v>16</v>
      </c>
      <c r="D3768" s="15" t="e">
        <f>IF(A3776=A3777,_xll.ciqfunctions.udf.CIQ(A3768,"IQ_TOTAL_REV",IQ_FY-10)/I3768,_xll.ciqfunctions.udf.CIQ(A3768, "IQ_TOTAL_REV",IQ_FY-9)/I3768)</f>
        <v>#DIV/0!</v>
      </c>
      <c r="E3768" s="16"/>
      <c r="F3768" s="15">
        <f>IF(A3776=A3777,_xll.ciqfunctions.udf.CIQ(A3768,"IQ_DILUT_EPS_EXCL",IQ_FY-10), _xll.ciqfunctions.udf.CIQ(A3768, "IQ_DILUT_EPS_EXCL",IQ_FY-9))</f>
        <v>0</v>
      </c>
      <c r="G3768" s="15">
        <f>IF(A3776=A3777,_xll.ciqfunctions.udf.CIQ(A3768,"IQ_EBITDA_MARGIN",IQ_FY-10), _xll.ciqfunctions.udf.CIQ(A3768, "IQ_EBITDA_MARGIN",IQ_FY-9))</f>
        <v>0</v>
      </c>
      <c r="H3768" s="15" t="e">
        <f>IF(A3776=A3777,_xll.ciqfunctions.udf.CIQ(A3768,"IQ_TOTAL_DIV_PAID_CF",IQ_FY-10)/-I3768, _xll.ciqfunctions.udf.CIQ(A3768, "IQ_TOTAL_DIV_PAID_CF",IQ_FY-9)/-I3768)</f>
        <v>#DIV/0!</v>
      </c>
      <c r="I3768" s="17">
        <f>IF(A3776=A3777,_xll.ciqfunctions.udf.CIQ(A3768,"IQ_TOTAL_OUTSTANDING_FILING_DATE",IQ_FY-10), _xll.ciqfunctions.udf.CIQ(A3768, "IQ_TOTAL_OUTSTANDING_FILING_DATE",IQ_FY-9))</f>
        <v>0</v>
      </c>
      <c r="J3768" s="17">
        <f>IF(A3776=A3777,_xll.ciqfunctions.udf.CIQ(A3768,"IQ_CASH_OPER",IQ_FY-10), _xll.ciqfunctions.udf.CIQ(A3768, "IQ_CASH_OPER",IQ_FY-9))</f>
        <v>0</v>
      </c>
      <c r="K3768" s="17">
        <f>IF(A3776=A3777,_xll.ciqfunctions.udf.CIQ(A3768,"IQ_CAPEX",IQ_FY-10), _xll.ciqfunctions.udf.CIQ(A3768, "IQ_CAPEX",IQ_FY-9))</f>
        <v>0</v>
      </c>
      <c r="L3768" s="15" t="e">
        <f t="shared" ref="L3768:L3778" si="1004">(J3768+K3768)/I3768</f>
        <v>#DIV/0!</v>
      </c>
      <c r="M3768" s="17">
        <f>IF(A3776=A3777,_xll.ciqfunctions.udf.CIQ(A3768,"IQ_TOTAL_DEBT_ISSUED",IQ_FY-10), _xll.ciqfunctions.udf.CIQ(A3768, "IQ_TOTAL_DEBT_ISSUED",IQ_FY-9))</f>
        <v>0</v>
      </c>
      <c r="N3768" s="17">
        <f>IF(A3776=A3777,_xll.ciqfunctions.udf.CIQ(A3768,"IQ_TOTAL_DEBT_REPAID",IQ_FY-10), _xll.ciqfunctions.udf.CIQ(A3768, "IQ_TOTAL_DEBT_REPAID",IQ_FY-9))</f>
        <v>0</v>
      </c>
      <c r="O3768" s="15" t="e">
        <f t="shared" ref="O3768:O3778" si="1005">(M3768+N3768)/I3768</f>
        <v>#DIV/0!</v>
      </c>
      <c r="P3768" s="15" t="e">
        <f t="shared" ref="P3768:P3778" si="1006">L3768+O3768</f>
        <v>#DIV/0!</v>
      </c>
      <c r="W3768" s="43"/>
      <c r="AA3768" s="43"/>
    </row>
    <row r="3769" spans="1:27">
      <c r="A3769" s="18" t="str">
        <f>_xll.ciqfunctions.udf.CIQ(A3768,"IQ_COMPANY_NAME")</f>
        <v>Amplitude, Inc.</v>
      </c>
      <c r="B3769" s="13">
        <v>2</v>
      </c>
      <c r="C3769" s="14" t="s">
        <v>17</v>
      </c>
      <c r="D3769" s="15" t="e">
        <f>IF(A3776=A3777,_xll.ciqfunctions.udf.CIQ(A3768,"IQ_TOTAL_REV",IQ_FY-9)/I3769, _xll.ciqfunctions.udf.CIQ(A3768, "IQ_TOTAL_REV",IQ_FY-8)/I3769)</f>
        <v>#DIV/0!</v>
      </c>
      <c r="E3769" s="16" t="e">
        <f t="shared" ref="E3769:E3778" si="1007">(D3769-D3768)/D3768</f>
        <v>#DIV/0!</v>
      </c>
      <c r="F3769" s="15">
        <f>IF(A3776=A3777,_xll.ciqfunctions.udf.CIQ(A3768,"IQ_DILUT_EPS_EXCL",IQ_FY-9), _xll.ciqfunctions.udf.CIQ(A3768, "IQ_DILUT_EPS_EXCL",IQ_FY-8))</f>
        <v>0</v>
      </c>
      <c r="G3769" s="15">
        <f>IF(A3776=A3777,_xll.ciqfunctions.udf.CIQ(A3768,"IQ_EBITDA_MARGIN",IQ_FY-9), _xll.ciqfunctions.udf.CIQ(A3768, "IQ_EBITDA_MARGIN",IQ_FY-8))</f>
        <v>0</v>
      </c>
      <c r="H3769" s="15" t="e">
        <f>IF(A3776=A3777,_xll.ciqfunctions.udf.CIQ(A3768,"IQ_TOTAL_DIV_PAID_CF",IQ_FY-9)/-I3769, _xll.ciqfunctions.udf.CIQ(A3768, "IQ_TOTAL_DIV_PAID_CF",IQ_FY-8)/-I3769)</f>
        <v>#DIV/0!</v>
      </c>
      <c r="I3769" s="17">
        <f>IF(A3776=A3777,_xll.ciqfunctions.udf.CIQ(A3768,"IQ_TOTAL_OUTSTANDING_FILING_DATE",IQ_FY-9), _xll.ciqfunctions.udf.CIQ(A3768, "IQ_TOTAL_OUTSTANDING_FILING_DATE",IQ_FY-8))</f>
        <v>0</v>
      </c>
      <c r="J3769" s="17">
        <f>IF(A3776=A3777,_xll.ciqfunctions.udf.CIQ(A3768,"IQ_CASH_OPER",IQ_FY-9), _xll.ciqfunctions.udf.CIQ(A3768, "IQ_CASH_OPER",IQ_FY-8))</f>
        <v>0</v>
      </c>
      <c r="K3769" s="17">
        <f>IF(A3776=A3777,_xll.ciqfunctions.udf.CIQ(A3768,"IQ_CAPEX",IQ_FY-9), _xll.ciqfunctions.udf.CIQ(A3768, "IQ_CAPEX",IQ_FY-8))</f>
        <v>0</v>
      </c>
      <c r="L3769" s="15" t="e">
        <f t="shared" si="1004"/>
        <v>#DIV/0!</v>
      </c>
      <c r="M3769" s="17">
        <f>IF(A3776=A3777,_xll.ciqfunctions.udf.CIQ(A3768,"IQ_TOTAL_DEBT_ISSUED",IQ_FY-9), _xll.ciqfunctions.udf.CIQ(A3768, "IQ_TOTAL_DEBT_ISSUED",IQ_FY-8))</f>
        <v>0</v>
      </c>
      <c r="N3769" s="17">
        <f>IF(A3776=A3777,_xll.ciqfunctions.udf.CIQ(A3768,"IQ_TOTAL_DEBT_REPAID",IQ_FY-9), _xll.ciqfunctions.udf.CIQ(A3768, "IQ_TOTAL_DEBT_REPAID",IQ_FY-8))</f>
        <v>0</v>
      </c>
      <c r="O3769" s="15" t="e">
        <f t="shared" si="1005"/>
        <v>#DIV/0!</v>
      </c>
      <c r="P3769" s="15" t="e">
        <f t="shared" si="1006"/>
        <v>#DIV/0!</v>
      </c>
      <c r="Q3769" s="25" t="s">
        <v>18</v>
      </c>
      <c r="R3769" s="39" t="s">
        <v>19</v>
      </c>
      <c r="S3769" s="1" t="e">
        <f>R3767/((AVERAGE(P3773:P3778))*(1+E3779)^3)</f>
        <v>#DIV/0!</v>
      </c>
      <c r="U3769" s="25" t="s">
        <v>48</v>
      </c>
      <c r="V3769" s="39" t="s">
        <v>19</v>
      </c>
      <c r="W3769" s="1" t="e">
        <f>V3767/((AVERAGE(P3773:P3778))*(1+E3779)^3)</f>
        <v>#DIV/0!</v>
      </c>
      <c r="Y3769" s="25" t="s">
        <v>39</v>
      </c>
      <c r="Z3769" s="39" t="s">
        <v>19</v>
      </c>
      <c r="AA3769" s="1" t="e">
        <f>Z3767/((AVERAGE(P3773:P3778))*(1+E3779)^3)</f>
        <v>#DIV/0!</v>
      </c>
    </row>
    <row r="3770" spans="1:27">
      <c r="B3770" s="13">
        <v>3</v>
      </c>
      <c r="C3770" s="14" t="s">
        <v>20</v>
      </c>
      <c r="D3770" s="15" t="e" cm="1">
        <f t="array" ref="D3770">_xlfn.SINGLE(IF(A3776=A3777,_xll.ciqfunctions.udf.CIQ(A3768,"IQ_TOTAL_REV",IQ_FY-8)/I3770, _xll.ciqfunctions.udf.CIQ(A3768, "IQ_TOTAL_REV",IQ_FY-7)/I3770))</f>
        <v>#DIV/0!</v>
      </c>
      <c r="E3770" s="16" t="e">
        <f t="shared" si="1007"/>
        <v>#DIV/0!</v>
      </c>
      <c r="F3770" s="15">
        <f>IF(A3776=A3777,_xll.ciqfunctions.udf.CIQ(A3768,"IQ_DILUT_EPS_EXCL",IQ_FY-8), _xll.ciqfunctions.udf.CIQ(A3768, "IQ_DILUT_EPS_EXCL",IQ_FY-7))</f>
        <v>0</v>
      </c>
      <c r="G3770" s="15">
        <f>IF(A3776=A3777,_xll.ciqfunctions.udf.CIQ(A3768,"IQ_EBITDA_MARGIN",IQ_FY-8), _xll.ciqfunctions.udf.CIQ(A3768, "IQ_EBITDA_MARGIN",IQ_FY-7))</f>
        <v>0</v>
      </c>
      <c r="H3770" s="15" t="e">
        <f>IF(A3776=A3777,_xll.ciqfunctions.udf.CIQ(A3768,"IQ_TOTAL_DIV_PAID_CF",IQ_FY-8)/-I3770, _xll.ciqfunctions.udf.CIQ(A3768, "IQ_TOTAL_DIV_PAID_CF",IQ_FY-7)/-I3770)</f>
        <v>#DIV/0!</v>
      </c>
      <c r="I3770" s="17">
        <f>IF(A3776=A3777,_xll.ciqfunctions.udf.CIQ(A3768,"IQ_TOTAL_OUTSTANDING_FILING_DATE",IQ_FY-8), _xll.ciqfunctions.udf.CIQ(A3768, "IQ_TOTAL_OUTSTANDING_FILING_DATE",IQ_FY-7))</f>
        <v>0</v>
      </c>
      <c r="J3770" s="17">
        <f>IF(A3776=A3777,_xll.ciqfunctions.udf.CIQ(A3768,"IQ_CASH_OPER",IQ_FY-8), _xll.ciqfunctions.udf.CIQ(A3768, "IQ_CASH_OPER",IQ_FY-7))</f>
        <v>0</v>
      </c>
      <c r="K3770" s="17">
        <f>IF(A3776=A3777,_xll.ciqfunctions.udf.CIQ(A3768,"IQ_CAPEX",IQ_FY-8), _xll.ciqfunctions.udf.CIQ(A3768, "IQ_CAPEX",IQ_FY-7))</f>
        <v>0</v>
      </c>
      <c r="L3770" s="15" t="e">
        <f t="shared" si="1004"/>
        <v>#DIV/0!</v>
      </c>
      <c r="M3770" s="17">
        <f>IF(A3776=A3777,_xll.ciqfunctions.udf.CIQ(A3768,"IQ_TOTAL_DEBT_ISSUED",IQ_FY-8), _xll.ciqfunctions.udf.CIQ(A3768, "IQ_TOTAL_DEBT_ISSUED",IQ_FY-7))</f>
        <v>0</v>
      </c>
      <c r="N3770" s="17">
        <f>IF(A3776=A3777,_xll.ciqfunctions.udf.CIQ(A3768,"IQ_TOTAL_DEBT_REPAID",IQ_FY-8), _xll.ciqfunctions.udf.CIQ(A3768, "IQ_TOTAL_DEBT_REPAID",IQ_FY-7))</f>
        <v>0</v>
      </c>
      <c r="O3770" s="15" t="e">
        <f t="shared" si="1005"/>
        <v>#DIV/0!</v>
      </c>
      <c r="P3770" s="15" t="e">
        <f t="shared" si="1006"/>
        <v>#DIV/0!</v>
      </c>
      <c r="Q3770" s="25" t="s">
        <v>21</v>
      </c>
      <c r="R3770" s="38" t="s">
        <v>49</v>
      </c>
      <c r="S3770" s="2">
        <f>(R3767*I3778)/1000</f>
        <v>1.248835549</v>
      </c>
      <c r="U3770" s="25" t="s">
        <v>59</v>
      </c>
      <c r="V3770" s="38" t="s">
        <v>49</v>
      </c>
      <c r="W3770" s="2">
        <f>(V3767*I3778)/1000</f>
        <v>1.248835549</v>
      </c>
      <c r="Y3770" s="25" t="s">
        <v>46</v>
      </c>
      <c r="Z3770" s="38" t="s">
        <v>49</v>
      </c>
      <c r="AA3770" s="2">
        <f>(Z3767*I3778)/1000</f>
        <v>1.248835549</v>
      </c>
    </row>
    <row r="3771" spans="1:27">
      <c r="A3771" s="18"/>
      <c r="B3771" s="13">
        <v>4</v>
      </c>
      <c r="C3771" s="14" t="s">
        <v>22</v>
      </c>
      <c r="D3771" s="15" t="e" cm="1">
        <f t="array" ref="D3771">_xlfn.SINGLE(IF(A3776=A3777,_xll.ciqfunctions.udf.CIQ(A3768,"IQ_TOTAL_REV",IQ_FY-7)/I3771, _xll.ciqfunctions.udf.CIQ(A3768, "IQ_TOTAL_REV",IQ_FY-6)/I3771))</f>
        <v>#DIV/0!</v>
      </c>
      <c r="E3771" s="16" t="e">
        <f t="shared" si="1007"/>
        <v>#DIV/0!</v>
      </c>
      <c r="F3771" s="15">
        <f>IF(A3776=A3777,_xll.ciqfunctions.udf.CIQ(A3768,"IQ_DILUT_EPS_EXCL",IQ_FY-7), _xll.ciqfunctions.udf.CIQ(A3768, "IQ_DILUT_EPS_EXCL",IQ_FY-6))</f>
        <v>0</v>
      </c>
      <c r="G3771" s="15">
        <f>IF(A3776=A3777,_xll.ciqfunctions.udf.CIQ(A3768,"IQ_EBITDA_MARGIN",IQ_FY-7), _xll.ciqfunctions.udf.CIQ(A3768, "IQ_EBITDA_MARGIN",IQ_FY-6))</f>
        <v>0</v>
      </c>
      <c r="H3771" s="15" t="e">
        <f>IF(A3776=A3777,_xll.ciqfunctions.udf.CIQ(A3768,"IQ_TOTAL_DIV_PAID_CF",IQ_FY-7)/-I3771, _xll.ciqfunctions.udf.CIQ(A3768, "IQ_TOTAL_DIV_PAID_CF",IQ_FY-6)/-I3771)</f>
        <v>#DIV/0!</v>
      </c>
      <c r="I3771" s="17">
        <f>IF(A3776=A3777,_xll.ciqfunctions.udf.CIQ(A3768,"IQ_TOTAL_OUTSTANDING_FILING_DATE",IQ_FY-7), _xll.ciqfunctions.udf.CIQ(A3768, "IQ_TOTAL_OUTSTANDING_FILING_DATE",IQ_FY-6))</f>
        <v>0</v>
      </c>
      <c r="J3771" s="17">
        <f>IF(A3776=A3777,_xll.ciqfunctions.udf.CIQ(A3768,"IQ_CASH_OPER",IQ_FY-7), _xll.ciqfunctions.udf.CIQ(A3768, "IQ_CASH_OPER",IQ_FY-6))</f>
        <v>0</v>
      </c>
      <c r="K3771" s="17">
        <f>IF(A3776=A3777,_xll.ciqfunctions.udf.CIQ(A3768,"IQ_CAPEX",IQ_FY-7), _xll.ciqfunctions.udf.CIQ(A3768, "IQ_CAPEX",IQ_FY-6))</f>
        <v>0</v>
      </c>
      <c r="L3771" s="15" t="e">
        <f t="shared" si="1004"/>
        <v>#DIV/0!</v>
      </c>
      <c r="M3771" s="17">
        <f>IF(A3776=A3777,_xll.ciqfunctions.udf.CIQ(A3768,"IQ_TOTAL_DEBT_ISSUED",IQ_FY-7), _xll.ciqfunctions.udf.CIQ(A3768, "IQ_TOTAL_DEBT_ISSUED",IQ_FY-6))</f>
        <v>0</v>
      </c>
      <c r="N3771" s="17">
        <f>IF(A3776=A3777,_xll.ciqfunctions.udf.CIQ(A3768,"IQ_TOTAL_DEBT_REPAID",IQ_FY-7), _xll.ciqfunctions.udf.CIQ(A3768, "IQ_TOTAL_DEBT_REPAID",IQ_FY-6))</f>
        <v>0</v>
      </c>
      <c r="O3771" s="15" t="e">
        <f t="shared" si="1005"/>
        <v>#DIV/0!</v>
      </c>
      <c r="P3771" s="15" t="e">
        <f t="shared" si="1006"/>
        <v>#DIV/0!</v>
      </c>
      <c r="Q3771" s="25" t="s">
        <v>23</v>
      </c>
      <c r="R3771" s="38" t="s">
        <v>24</v>
      </c>
      <c r="S3771" s="1" t="e">
        <f>R3767/(AVERAGE(H3773:H3778)*(1+H3779)/(0.5-H3779))</f>
        <v>#DIV/0!</v>
      </c>
      <c r="U3771" s="25" t="s">
        <v>40</v>
      </c>
      <c r="V3771" s="38" t="s">
        <v>24</v>
      </c>
      <c r="W3771" s="1" t="e">
        <f>V3767/(AVERAGE(H3773:H3778)*(1+H3779)/(0.5-H3779))</f>
        <v>#DIV/0!</v>
      </c>
      <c r="Y3771" s="25" t="s">
        <v>47</v>
      </c>
      <c r="Z3771" s="38" t="s">
        <v>24</v>
      </c>
      <c r="AA3771" s="1" t="e">
        <f>Z3767/(AVERAGE(H3773:H3778)*(1+H3779)/(0.5-H3779))</f>
        <v>#DIV/0!</v>
      </c>
    </row>
    <row r="3772" spans="1:27">
      <c r="B3772" s="13">
        <v>5</v>
      </c>
      <c r="C3772" s="14" t="s">
        <v>25</v>
      </c>
      <c r="D3772" s="15" t="e" cm="1">
        <f t="array" ref="D3772">_xlfn.SINGLE(IF(A3776=A3777,_xll.ciqfunctions.udf.CIQ(A3768,"IQ_TOTAL_REV",IQ_FY-6)/I3772, _xll.ciqfunctions.udf.CIQ(A3768, "IQ_TOTAL_REV",IQ_FY-5)/I3772))</f>
        <v>#DIV/0!</v>
      </c>
      <c r="E3772" s="16" t="e">
        <f t="shared" si="1007"/>
        <v>#DIV/0!</v>
      </c>
      <c r="F3772" s="15">
        <f>IF(A3776=A3777,_xll.ciqfunctions.udf.CIQ(A3768,"IQ_DILUT_EPS_EXCL",IQ_FY-6), _xll.ciqfunctions.udf.CIQ(A3768, "IQ_DILUT_EPS_EXCL",IQ_FY-5))</f>
        <v>0</v>
      </c>
      <c r="G3772" s="15">
        <f>IF(A3776=A3777,_xll.ciqfunctions.udf.CIQ(A3768,"IQ_EBITDA_MARGIN",IQ_FY-6), _xll.ciqfunctions.udf.CIQ(A3768, "IQ_EBITDA_MARGIN",IQ_FY-5))</f>
        <v>0</v>
      </c>
      <c r="H3772" s="15" t="e">
        <f>IF(A3776=A3777,_xll.ciqfunctions.udf.CIQ(A3768,"IQ_TOTAL_DIV_PAID_CF",IQ_FY-6)/-I3772, _xll.ciqfunctions.udf.CIQ(A3768, "IQ_TOTAL_DIV_PAID_CF",IQ_FY-5)/-I3772)</f>
        <v>#DIV/0!</v>
      </c>
      <c r="I3772" s="17">
        <f>IF(A3776=A3777,_xll.ciqfunctions.udf.CIQ(A3768,"IQ_TOTAL_OUTSTANDING_FILING_DATE",IQ_FY-6), _xll.ciqfunctions.udf.CIQ(A3768, "IQ_TOTAL_OUTSTANDING_FILING_DATE",IQ_FY-5))</f>
        <v>0</v>
      </c>
      <c r="J3772" s="17">
        <f>IF(A3776=A3777,_xll.ciqfunctions.udf.CIQ(A3768,"IQ_CASH_OPER",IQ_FY-6), _xll.ciqfunctions.udf.CIQ(A3768, "IQ_CASH_OPER",IQ_FY-5))</f>
        <v>0</v>
      </c>
      <c r="K3772" s="17">
        <f>IF(A3776=A3777,_xll.ciqfunctions.udf.CIQ(A3768,"IQ_CAPEX",IQ_FY-6), _xll.ciqfunctions.udf.CIQ(A3768, "IQ_CAPEX",IQ_FY-5))</f>
        <v>0</v>
      </c>
      <c r="L3772" s="15" t="e">
        <f t="shared" si="1004"/>
        <v>#DIV/0!</v>
      </c>
      <c r="M3772" s="17">
        <f>IF(A3776=A3777,_xll.ciqfunctions.udf.CIQ(A3768,"IQ_TOTAL_DEBT_ISSUED",IQ_FY-6), _xll.ciqfunctions.udf.CIQ(A3768, "IQ_TOTAL_DEBT_ISSUED",IQ_FY-5))</f>
        <v>0</v>
      </c>
      <c r="N3772" s="17">
        <f>IF(A3776=A3777,_xll.ciqfunctions.udf.CIQ(A3768,"IQ_TOTAL_DEBT_REPAID",IQ_FY-6), _xll.ciqfunctions.udf.CIQ(A3768, "IQ_TOTAL_DEBT_REPAID",IQ_FY-5))</f>
        <v>0</v>
      </c>
      <c r="O3772" s="15" t="e">
        <f t="shared" si="1005"/>
        <v>#DIV/0!</v>
      </c>
      <c r="P3772" s="15" t="e">
        <f t="shared" si="1006"/>
        <v>#DIV/0!</v>
      </c>
      <c r="Q3772" s="18"/>
      <c r="R3772" s="38" t="s">
        <v>50</v>
      </c>
      <c r="S3772" s="3" t="e">
        <f>I3779</f>
        <v>#DIV/0!</v>
      </c>
      <c r="U3772" s="18"/>
      <c r="V3772" s="38" t="s">
        <v>50</v>
      </c>
      <c r="W3772" s="3" t="e">
        <f>I3779</f>
        <v>#DIV/0!</v>
      </c>
      <c r="Y3772" s="18"/>
      <c r="Z3772" s="38" t="s">
        <v>50</v>
      </c>
      <c r="AA3772" s="3" t="e">
        <f>I3779</f>
        <v>#DIV/0!</v>
      </c>
    </row>
    <row r="3773" spans="1:27">
      <c r="B3773" s="13">
        <v>6</v>
      </c>
      <c r="C3773" s="14" t="s">
        <v>26</v>
      </c>
      <c r="D3773" s="15" t="e" cm="1">
        <f t="array" ref="D3773">_xlfn.SINGLE(IF(A3776=A3777,_xll.ciqfunctions.udf.CIQ(A3768,"IQ_TOTAL_REV",IQ_FY-5)/I3773, _xll.ciqfunctions.udf.CIQ(A3768, "IQ_TOTAL_REV",IQ_FY-4)/I3773))</f>
        <v>#DIV/0!</v>
      </c>
      <c r="E3773" s="16" t="e">
        <f t="shared" si="1007"/>
        <v>#DIV/0!</v>
      </c>
      <c r="F3773" s="15">
        <f>IF(A3776=A3777,_xll.ciqfunctions.udf.CIQ(A3768,"IQ_DILUT_EPS_EXCL",IQ_FY-5), _xll.ciqfunctions.udf.CIQ(A3768, "IQ_DILUT_EPS_EXCL",IQ_FY-4))</f>
        <v>0</v>
      </c>
      <c r="G3773" s="15">
        <f>IF(A3776=A3777,_xll.ciqfunctions.udf.CIQ(A3768,"IQ_EBITDA_MARGIN",IQ_FY-5), _xll.ciqfunctions.udf.CIQ(A3768, "IQ_EBITDA_MARGIN",IQ_FY-4))</f>
        <v>0</v>
      </c>
      <c r="H3773" s="15" t="e">
        <f>IF(A3776=A3777,_xll.ciqfunctions.udf.CIQ(A3768,"IQ_TOTAL_DIV_PAID_CF",IQ_FY-5)/-I3773, _xll.ciqfunctions.udf.CIQ(A3768, "IQ_TOTAL_DIV_PAID_CF",IQ_FY-4)/-I3773)</f>
        <v>#DIV/0!</v>
      </c>
      <c r="I3773" s="17">
        <f>IF(A3776=A3777,_xll.ciqfunctions.udf.CIQ(A3768,"IQ_TOTAL_OUTSTANDING_FILING_DATE",IQ_FY-5), _xll.ciqfunctions.udf.CIQ(A3768, "IQ_TOTAL_OUTSTANDING_FILING_DATE",IQ_FY-4))</f>
        <v>0</v>
      </c>
      <c r="J3773" s="17">
        <f>IF(A3776=A3777,_xll.ciqfunctions.udf.CIQ(A3768,"IQ_CASH_OPER",IQ_FY-5), _xll.ciqfunctions.udf.CIQ(A3768, "IQ_CASH_OPER",IQ_FY-4))</f>
        <v>0</v>
      </c>
      <c r="K3773" s="17">
        <f>IF(A3776=A3777,_xll.ciqfunctions.udf.CIQ(A3768,"IQ_CAPEX",IQ_FY-5), _xll.ciqfunctions.udf.CIQ(A3768, "IQ_CAPEX",IQ_FY-4))</f>
        <v>0</v>
      </c>
      <c r="L3773" s="15" t="e">
        <f t="shared" si="1004"/>
        <v>#DIV/0!</v>
      </c>
      <c r="M3773" s="17">
        <f>IF(A3776=A3777,_xll.ciqfunctions.udf.CIQ(A3768,"IQ_TOTAL_DEBT_ISSUED",IQ_FY-5), _xll.ciqfunctions.udf.CIQ(A3768, "IQ_TOTAL_DEBT_ISSUED",IQ_FY-4))</f>
        <v>0</v>
      </c>
      <c r="N3773" s="17">
        <f>IF(A3776=A3777,_xll.ciqfunctions.udf.CIQ(A3768,"IQ_TOTAL_DEBT_REPAID",IQ_FY-5), _xll.ciqfunctions.udf.CIQ(A3768, "IQ_TOTAL_DEBT_REPAID",IQ_FY-4))</f>
        <v>0</v>
      </c>
      <c r="O3773" s="15" t="e">
        <f t="shared" si="1005"/>
        <v>#DIV/0!</v>
      </c>
      <c r="P3773" s="15" t="e">
        <f t="shared" si="1006"/>
        <v>#DIV/0!</v>
      </c>
      <c r="Q3773" s="25" t="s">
        <v>27</v>
      </c>
      <c r="R3773" s="38" t="s">
        <v>51</v>
      </c>
      <c r="S3773" s="4" t="e">
        <f>AVERAGE(F3773:F3778)/AVERAGE(D3773:D3778)</f>
        <v>#DIV/0!</v>
      </c>
      <c r="U3773" s="25" t="s">
        <v>58</v>
      </c>
      <c r="V3773" s="38" t="s">
        <v>51</v>
      </c>
      <c r="W3773" s="4" t="e">
        <f>AVERAGE(F3773:F3778)/AVERAGE(D3773:D3778)</f>
        <v>#DIV/0!</v>
      </c>
      <c r="Y3773" s="25" t="s">
        <v>56</v>
      </c>
      <c r="Z3773" s="38" t="s">
        <v>51</v>
      </c>
      <c r="AA3773" s="4" t="e">
        <f>AVERAGE(F3773:F3778)/AVERAGE(D3773:D3778)</f>
        <v>#DIV/0!</v>
      </c>
    </row>
    <row r="3774" spans="1:27">
      <c r="A3774" s="18"/>
      <c r="B3774" s="13">
        <v>7</v>
      </c>
      <c r="C3774" s="14" t="s">
        <v>28</v>
      </c>
      <c r="D3774" s="15" cm="1">
        <f t="array" ref="D3774">_xlfn.SINGLE(IF(A3776=A3777,_xll.ciqfunctions.udf.CIQ(A3768,"IQ_TOTAL_REV",IQ_FY-4)/I3774, _xll.ciqfunctions.udf.CIQ(A3768, "IQ_TOTAL_REV",IQ_FY-3)/I3774))</f>
        <v>2.8139955595756927</v>
      </c>
      <c r="E3774" s="16" t="e">
        <f t="shared" si="1007"/>
        <v>#DIV/0!</v>
      </c>
      <c r="F3774" s="15">
        <f>IF(A3776=A3777,_xll.ciqfunctions.udf.CIQ(A3768,"IQ_DILUT_EPS_EXCL",IQ_FY-4), _xll.ciqfunctions.udf.CIQ(A3768, "IQ_DILUT_EPS_EXCL",IQ_FY-3))</f>
        <v>-1.3787499999999999</v>
      </c>
      <c r="G3774" s="15">
        <f>IF(A3776=A3777,_xll.ciqfunctions.udf.CIQ(A3768,"IQ_EBITDA_MARGIN",IQ_FY-4), _xll.ciqfunctions.udf.CIQ(A3768, "IQ_EBITDA_MARGIN",IQ_FY-3))</f>
        <v>-49.108699999999999</v>
      </c>
      <c r="H3774" s="15">
        <f>IF(A3776=A3777,_xll.ciqfunctions.udf.CIQ(A3768,"IQ_TOTAL_DIV_PAID_CF",IQ_FY-4)/-I3774, _xll.ciqfunctions.udf.CIQ(A3768, "IQ_TOTAL_DIV_PAID_CF",IQ_FY-3)/-I3774)</f>
        <v>0</v>
      </c>
      <c r="I3774" s="17">
        <f>IF(A3776=A3777,_xll.ciqfunctions.udf.CIQ(A3768,"IQ_TOTAL_OUTSTANDING_FILING_DATE",IQ_FY-4), _xll.ciqfunctions.udf.CIQ(A3768, "IQ_TOTAL_OUTSTANDING_FILING_DATE",IQ_FY-3))</f>
        <v>24.321999999999999</v>
      </c>
      <c r="J3774" s="17">
        <f>IF(A3776=A3777,_xll.ciqfunctions.udf.CIQ(A3768,"IQ_CASH_OPER",IQ_FY-4), _xll.ciqfunctions.udf.CIQ(A3768, "IQ_CASH_OPER",IQ_FY-3))</f>
        <v>-16.036000000000001</v>
      </c>
      <c r="K3774" s="17">
        <f>IF(A3776=A3777,_xll.ciqfunctions.udf.CIQ(A3768,"IQ_CAPEX",IQ_FY-4), _xll.ciqfunctions.udf.CIQ(A3768, "IQ_CAPEX",IQ_FY-3))</f>
        <v>-0.64800000000000002</v>
      </c>
      <c r="L3774" s="15">
        <f t="shared" si="1004"/>
        <v>-0.68596332538442573</v>
      </c>
      <c r="M3774" s="17">
        <f>IF(A3776=A3777,_xll.ciqfunctions.udf.CIQ(A3768,"IQ_TOTAL_DEBT_ISSUED",IQ_FY-4), _xll.ciqfunctions.udf.CIQ(A3768, "IQ_TOTAL_DEBT_ISSUED",IQ_FY-3))</f>
        <v>0</v>
      </c>
      <c r="N3774" s="17">
        <f>IF(A3776=A3777,_xll.ciqfunctions.udf.CIQ(A3768,"IQ_TOTAL_DEBT_REPAID",IQ_FY-4), _xll.ciqfunctions.udf.CIQ(A3768, "IQ_TOTAL_DEBT_REPAID",IQ_FY-3))</f>
        <v>0</v>
      </c>
      <c r="O3774" s="15">
        <f t="shared" si="1005"/>
        <v>0</v>
      </c>
      <c r="P3774" s="15">
        <f t="shared" si="1006"/>
        <v>-0.68596332538442573</v>
      </c>
      <c r="Q3774" s="18"/>
      <c r="R3774" s="38" t="s">
        <v>29</v>
      </c>
      <c r="S3774" s="4" t="e">
        <f>(AVERAGE(P3773:P3778)/_xlfn.STDEV.P(P3773:P3778))/(IF(A3776=A3777,(_xlfn.SINGLE(_xll.ciqfunctions.udf.CIQ(A3768,"IQ_total_assets",IQ_FY)) - _xlfn.SINGLE(_xll.ciqfunctions.udf.CIQ(A3768,"iq_gw_intan", IQ_FY)))/I3778, (_xlfn.SINGLE(_xll.ciqfunctions.udf.CIQ(A3768, "IQ_total_assets",IQ_LTM))-_xlfn.SINGLE(_xll.ciqfunctions.udf.CIQ(A3768,"iq_gw_intan",IQ_LTM)))/I3778))</f>
        <v>#DIV/0!</v>
      </c>
      <c r="U3774" s="18"/>
      <c r="V3774" s="38" t="s">
        <v>29</v>
      </c>
      <c r="W3774" s="4" t="e">
        <f>(AVERAGE(P3773:P3778)/_xlfn.STDEV.P(P3773:P3778))/(IF(A3776=A3777,(_xlfn.SINGLE(_xll.ciqfunctions.udf.CIQ(A3768,"IQ_total_assets",IQ_FY)) - _xlfn.SINGLE(_xll.ciqfunctions.udf.CIQ(A3768,"iq_gw_intan", IQ_FY)))/I3778, (_xlfn.SINGLE(_xll.ciqfunctions.udf.CIQ(A3768, "IQ_total_assets",IQ_LTM))-_xlfn.SINGLE(_xll.ciqfunctions.udf.CIQ(A3768,"iq_gw_intan",IQ_LTM)))/I3778))</f>
        <v>#DIV/0!</v>
      </c>
      <c r="Y3774" s="18"/>
      <c r="Z3774" s="38" t="s">
        <v>29</v>
      </c>
      <c r="AA3774" s="4" t="e">
        <f>(AVERAGE(P3773:P3778)/_xlfn.STDEV.P(P3773:P3778))/(IF(A3776=A3777,(_xlfn.SINGLE(_xll.ciqfunctions.udf.CIQ(A3768,"IQ_total_assets",IQ_FY)) - _xlfn.SINGLE(_xll.ciqfunctions.udf.CIQ(A3768,"iq_gw_intan", IQ_FY)))/I3778, (_xlfn.SINGLE(_xll.ciqfunctions.udf.CIQ(A3768, "IQ_total_assets",IQ_LTM))-_xlfn.SINGLE(_xll.ciqfunctions.udf.CIQ(A3768,"iq_gw_intan",IQ_LTM)))/I3778))</f>
        <v>#DIV/0!</v>
      </c>
    </row>
    <row r="3775" spans="1:27">
      <c r="A3775" s="18"/>
      <c r="B3775" s="13">
        <v>8</v>
      </c>
      <c r="C3775" s="14" t="s">
        <v>30</v>
      </c>
      <c r="D3775" s="15" cm="1">
        <f t="array" ref="D3775">_xlfn.SINGLE(IF(A3776=A3777,_xll.ciqfunctions.udf.CIQ(A3768,"IQ_TOTAL_REV",IQ_FY-3)/I3775, _xll.ciqfunctions.udf.CIQ(A3768, "IQ_TOTAL_REV",IQ_FY-2)/I3775))</f>
        <v>3.6693607446728129</v>
      </c>
      <c r="E3775" s="16">
        <f t="shared" si="1007"/>
        <v>0.3039682071232892</v>
      </c>
      <c r="F3775" s="15">
        <f>IF(A3776=A3777,_xll.ciqfunctions.udf.CIQ(A3768,"IQ_DILUT_EPS_EXCL",IQ_FY-3), _xll.ciqfunctions.udf.CIQ(A3768, "IQ_DILUT_EPS_EXCL",IQ_FY-2))</f>
        <v>-0.98033000000000003</v>
      </c>
      <c r="G3775" s="15">
        <f>IF(A3776=A3777,_xll.ciqfunctions.udf.CIQ(A3768,"IQ_EBITDA_MARGIN",IQ_FY-3), _xll.ciqfunctions.udf.CIQ(A3768, "IQ_EBITDA_MARGIN",IQ_FY-2))</f>
        <v>-21.776399999999999</v>
      </c>
      <c r="H3775" s="15">
        <f>IF(A3776=A3777,_xll.ciqfunctions.udf.CIQ(A3768,"IQ_TOTAL_DIV_PAID_CF",IQ_FY-3)/-I3775, _xll.ciqfunctions.udf.CIQ(A3768, "IQ_TOTAL_DIV_PAID_CF",IQ_FY-2)/-I3775)</f>
        <v>0</v>
      </c>
      <c r="I3775" s="17">
        <f>IF(A3776=A3777,_xll.ciqfunctions.udf.CIQ(A3768,"IQ_TOTAL_OUTSTANDING_FILING_DATE",IQ_FY-3), _xll.ciqfunctions.udf.CIQ(A3768, "IQ_TOTAL_OUTSTANDING_FILING_DATE",IQ_FY-2))</f>
        <v>27.924209999999999</v>
      </c>
      <c r="J3775" s="17">
        <f>IF(A3776=A3777,_xll.ciqfunctions.udf.CIQ(A3768,"IQ_CASH_OPER",IQ_FY-3), _xll.ciqfunctions.udf.CIQ(A3768, "IQ_CASH_OPER",IQ_FY-2))</f>
        <v>-10.391999999999999</v>
      </c>
      <c r="K3775" s="17">
        <f>IF(A3776=A3777,_xll.ciqfunctions.udf.CIQ(A3768,"IQ_CAPEX",IQ_FY-3), _xll.ciqfunctions.udf.CIQ(A3768, "IQ_CAPEX",IQ_FY-2))</f>
        <v>-0.98399999999999999</v>
      </c>
      <c r="L3775" s="15">
        <f t="shared" si="1004"/>
        <v>-0.40738842746133191</v>
      </c>
      <c r="M3775" s="17">
        <f>IF(A3776=A3777,_xll.ciqfunctions.udf.CIQ(A3768,"IQ_TOTAL_DEBT_ISSUED",IQ_FY-3), _xll.ciqfunctions.udf.CIQ(A3768, "IQ_TOTAL_DEBT_ISSUED",IQ_FY-2))</f>
        <v>0</v>
      </c>
      <c r="N3775" s="17">
        <f>IF(A3776=A3777,_xll.ciqfunctions.udf.CIQ(A3768,"IQ_TOTAL_DEBT_REPAID",IQ_FY-3), _xll.ciqfunctions.udf.CIQ(A3768, "IQ_TOTAL_DEBT_REPAID",IQ_FY-2))</f>
        <v>0</v>
      </c>
      <c r="O3775" s="15">
        <f t="shared" si="1005"/>
        <v>0</v>
      </c>
      <c r="P3775" s="15">
        <f t="shared" si="1006"/>
        <v>-0.40738842746133191</v>
      </c>
      <c r="Q3775" s="18"/>
      <c r="R3775" s="39" t="s">
        <v>31</v>
      </c>
      <c r="S3775" s="5" t="e">
        <f>IF(NOT(D3768&gt;0),FALSE,SLOPE(G3768:G3778,B3768:B3778))</f>
        <v>#DIV/0!</v>
      </c>
      <c r="U3775" s="18"/>
      <c r="V3775" s="39" t="s">
        <v>31</v>
      </c>
      <c r="W3775" s="5" t="e">
        <f>IF(NOT(D3768&gt;0),FALSE,SLOPE(G3768:G3778,B3768:B3778))</f>
        <v>#DIV/0!</v>
      </c>
      <c r="Y3775" s="18"/>
      <c r="Z3775" s="39" t="s">
        <v>31</v>
      </c>
      <c r="AA3775" s="5" t="e">
        <f>IF(NOT(L3768&gt;0),FALSE,SLOPE(O3768:O3778,J3768:J3778))</f>
        <v>#DIV/0!</v>
      </c>
    </row>
    <row r="3776" spans="1:27">
      <c r="A3776" s="19">
        <f>_xll.ciqfunctions.udf.CIQ(A3768,"IQ_TOTAL_REV",IQ_FY)</f>
        <v>238.06700000000001</v>
      </c>
      <c r="B3776" s="13">
        <v>9</v>
      </c>
      <c r="C3776" s="14" t="s">
        <v>32</v>
      </c>
      <c r="D3776" s="15" cm="1">
        <f t="array" ref="D3776">_xlfn.SINGLE(IF(A3776=A3777,_xll.ciqfunctions.udf.CIQ(A3768,"IQ_TOTAL_REV",IQ_FY-2)/I3776, _xll.ciqfunctions.udf.CIQ(A3768, "IQ_TOTAL_REV",IQ_FY-1)/I3776))</f>
        <v>1.5195865688102133</v>
      </c>
      <c r="E3776" s="16">
        <f t="shared" si="1007"/>
        <v>-0.58587157967055903</v>
      </c>
      <c r="F3776" s="15">
        <f>IF(A3776=A3777,_xll.ciqfunctions.udf.CIQ(A3768,"IQ_DILUT_EPS_EXCL",IQ_FY-2), _xll.ciqfunctions.udf.CIQ(A3768, "IQ_DILUT_EPS_EXCL",IQ_FY-1))</f>
        <v>-1.4599500000000001</v>
      </c>
      <c r="G3776" s="15">
        <f>IF(A3776=A3777,_xll.ciqfunctions.udf.CIQ(A3768,"IQ_EBITDA_MARGIN",IQ_FY-2), _xll.ciqfunctions.udf.CIQ(A3768, "IQ_EBITDA_MARGIN",IQ_FY-1))</f>
        <v>-42.482100000000003</v>
      </c>
      <c r="H3776" s="15">
        <f>IF(A3776=A3777,_xll.ciqfunctions.udf.CIQ(A3768,"IQ_TOTAL_DIV_PAID_CF",IQ_FY-2)/-I3776, _xll.ciqfunctions.udf.CIQ(A3768, "IQ_TOTAL_DIV_PAID_CF",IQ_FY-1)/-I3776)</f>
        <v>0</v>
      </c>
      <c r="I3776" s="17">
        <f>IF(A3776=A3777,_xll.ciqfunctions.udf.CIQ(A3768,"IQ_TOTAL_OUTSTANDING_FILING_DATE",IQ_FY-2), _xll.ciqfunctions.udf.CIQ(A3768, "IQ_TOTAL_OUTSTANDING_FILING_DATE",IQ_FY-1))</f>
        <v>110.07007</v>
      </c>
      <c r="J3776" s="17">
        <f>IF(A3776=A3777,_xll.ciqfunctions.udf.CIQ(A3768,"IQ_CASH_OPER",IQ_FY-2), _xll.ciqfunctions.udf.CIQ(A3768, "IQ_CASH_OPER",IQ_FY-1))</f>
        <v>-31.713000000000001</v>
      </c>
      <c r="K3776" s="17">
        <f>IF(A3776=A3777,_xll.ciqfunctions.udf.CIQ(A3768,"IQ_CAPEX",IQ_FY-2), _xll.ciqfunctions.udf.CIQ(A3768, "IQ_CAPEX",IQ_FY-1))</f>
        <v>-1.5289999999999999</v>
      </c>
      <c r="L3776" s="15">
        <f t="shared" si="1004"/>
        <v>-0.30200762114533047</v>
      </c>
      <c r="M3776" s="17">
        <f>IF(A3776=A3777,_xll.ciqfunctions.udf.CIQ(A3768,"IQ_TOTAL_DEBT_ISSUED",IQ_FY-2), _xll.ciqfunctions.udf.CIQ(A3768, "IQ_TOTAL_DEBT_ISSUED",IQ_FY-1))</f>
        <v>0</v>
      </c>
      <c r="N3776" s="17">
        <f>IF(A3776=A3777,_xll.ciqfunctions.udf.CIQ(A3768,"IQ_TOTAL_DEBT_REPAID",IQ_FY-2), _xll.ciqfunctions.udf.CIQ(A3768, "IQ_TOTAL_DEBT_REPAID",IQ_FY-1))</f>
        <v>0</v>
      </c>
      <c r="O3776" s="15">
        <f t="shared" si="1005"/>
        <v>0</v>
      </c>
      <c r="P3776" s="15">
        <f t="shared" si="1006"/>
        <v>-0.30200762114533047</v>
      </c>
      <c r="Q3776" s="25" t="s">
        <v>33</v>
      </c>
      <c r="R3776" s="38" t="s">
        <v>52</v>
      </c>
      <c r="S3776" s="4" t="e">
        <f>(AVERAGE(O3773:O3778)/AVERAGE(P3773:P3778))</f>
        <v>#DIV/0!</v>
      </c>
      <c r="U3776" s="25" t="s">
        <v>54</v>
      </c>
      <c r="V3776" s="38" t="s">
        <v>52</v>
      </c>
      <c r="W3776" s="4" t="e">
        <f>(AVERAGE(O3773:O3778)/AVERAGE(P3773:P3778))</f>
        <v>#DIV/0!</v>
      </c>
      <c r="Y3776" s="25" t="s">
        <v>60</v>
      </c>
      <c r="Z3776" s="38" t="s">
        <v>52</v>
      </c>
      <c r="AA3776" s="4" t="e">
        <f>(AVERAGE(O3773:O3778)/AVERAGE(P3773:P3778))</f>
        <v>#DIV/0!</v>
      </c>
    </row>
    <row r="3777" spans="1:27">
      <c r="A3777" s="19">
        <f>_xll.ciqfunctions.udf.CIQ(A3768,"IQ_TOTAL_REV",IQ_LTM)</f>
        <v>270.13900000000001</v>
      </c>
      <c r="B3777" s="13">
        <v>10</v>
      </c>
      <c r="C3777" s="14" t="s">
        <v>34</v>
      </c>
      <c r="D3777" s="15" cm="1">
        <f t="array" ref="D3777">_xlfn.SINGLE(IF(A3776=A3777,_xll.ciqfunctions.udf.CIQ(A3768,"IQ_TOTAL_REV",IQ_FY-1)/I3777, _xll.ciqfunctions.udf.CIQ(A3768, "IQ_TOTAL_REV",IQ_FY)/I3777))</f>
        <v>2.0822831914586741</v>
      </c>
      <c r="E3777" s="16">
        <f t="shared" si="1007"/>
        <v>0.37029586480817211</v>
      </c>
      <c r="F3777" s="15">
        <f>IF(A3776=A3777,_xll.ciqfunctions.udf.CIQ(A3768,"IQ_DILUT_EPS_EXCL",IQ_FY-1), _xll.ciqfunctions.udf.CIQ(A3768, "IQ_DILUT_EPS_EXCL",IQ_FY))</f>
        <v>-0.83794000000000002</v>
      </c>
      <c r="G3777" s="15">
        <f>IF(A3776=A3777,_xll.ciqfunctions.udf.CIQ(A3768,"IQ_EBITDA_MARGIN",IQ_FY-1), _xll.ciqfunctions.udf.CIQ(A3768, "IQ_EBITDA_MARGIN",IQ_FY))</f>
        <v>-38.602499999999999</v>
      </c>
      <c r="H3777" s="15">
        <f>IF(A3776=A3777,_xll.ciqfunctions.udf.CIQ(A3768,"IQ_TOTAL_DIV_PAID_CF",IQ_FY-1)/-I3777, _xll.ciqfunctions.udf.CIQ(A3768, "IQ_TOTAL_DIV_PAID_CF",IQ_FY)/-I3777)</f>
        <v>0</v>
      </c>
      <c r="I3777" s="17">
        <f>IF(A3776=A3777,_xll.ciqfunctions.udf.CIQ(A3768,"IQ_TOTAL_OUTSTANDING_FILING_DATE",IQ_FY-1), _xll.ciqfunctions.udf.CIQ(A3768, "IQ_TOTAL_OUTSTANDING_FILING_DATE",IQ_FY))</f>
        <v>114.32979</v>
      </c>
      <c r="J3777" s="17">
        <f>IF(A3776=A3777,_xll.ciqfunctions.udf.CIQ(A3768,"IQ_CASH_OPER",IQ_FY-1), _xll.ciqfunctions.udf.CIQ(A3768, "IQ_CASH_OPER",IQ_FY))</f>
        <v>-5.3840000000000003</v>
      </c>
      <c r="K3777" s="17">
        <f>IF(A3776=A3777,_xll.ciqfunctions.udf.CIQ(A3768,"IQ_CAPEX",IQ_FY-1), _xll.ciqfunctions.udf.CIQ(A3768, "IQ_CAPEX",IQ_FY))</f>
        <v>-3.6320000000000001</v>
      </c>
      <c r="L3777" s="15">
        <f t="shared" si="1004"/>
        <v>-7.8859586814600119E-2</v>
      </c>
      <c r="M3777" s="17">
        <f>IF(A3776=A3777,_xll.ciqfunctions.udf.CIQ(A3768,"IQ_TOTAL_DEBT_ISSUED",IQ_FY-1), _xll.ciqfunctions.udf.CIQ(A3768, "IQ_TOTAL_DEBT_ISSUED",IQ_FY))</f>
        <v>0</v>
      </c>
      <c r="N3777" s="17">
        <f>IF(A3776=A3777,_xll.ciqfunctions.udf.CIQ(A3768,"IQ_TOTAL_DEBT_REPAID",IQ_FY-1), _xll.ciqfunctions.udf.CIQ(A3768, "IQ_TOTAL_DEBT_REPAID",IQ_FY))</f>
        <v>0</v>
      </c>
      <c r="O3777" s="15">
        <f t="shared" si="1005"/>
        <v>0</v>
      </c>
      <c r="P3777" s="15">
        <f t="shared" si="1006"/>
        <v>-7.8859586814600119E-2</v>
      </c>
      <c r="Q3777" s="25" t="s">
        <v>44</v>
      </c>
      <c r="R3777" s="38" t="s">
        <v>35</v>
      </c>
      <c r="S3777" s="1" t="str">
        <f>_xll.ciqfunctions.udf.CIQ(A3768,"IQ_TEV_EBITDA")</f>
        <v>NM</v>
      </c>
      <c r="U3777" s="25" t="s">
        <v>55</v>
      </c>
      <c r="V3777" s="38" t="s">
        <v>53</v>
      </c>
      <c r="W3777" s="1" t="e">
        <f>V3767/(AVERAGE(D3773:D3778)/_xlfn.STDEV.P(E3773:E3778))</f>
        <v>#DIV/0!</v>
      </c>
      <c r="Y3777" s="25" t="s">
        <v>57</v>
      </c>
      <c r="Z3777" s="38" t="s">
        <v>53</v>
      </c>
      <c r="AA3777" s="1" t="e">
        <f>Z3767/(AVERAGE(D3773:D3778)/_xlfn.STDEV.P(E3773:E3778))</f>
        <v>#DIV/0!</v>
      </c>
    </row>
    <row r="3778" spans="1:27">
      <c r="B3778" s="13">
        <v>11</v>
      </c>
      <c r="C3778" s="20" t="s">
        <v>36</v>
      </c>
      <c r="D3778" s="21" cm="1">
        <f t="array" ref="D3778">_xlfn.SINGLE(IF(A3776=A3777,_xll.ciqfunctions.udf.CIQ(A3768,"IQ_TOTAL_REV",IQ_FY)/I3778, _xll.ciqfunctions.udf.CIQ(A3768, "IQ_TOTAL_REV",IQ_LTM)/I3778))</f>
        <v>2.2691203115327077</v>
      </c>
      <c r="E3778" s="22">
        <f t="shared" si="1007"/>
        <v>8.9727046177206574E-2</v>
      </c>
      <c r="F3778" s="21">
        <f>IF(A3776=A3777,_xll.ciqfunctions.udf.CIQ(A3768,"IQ_DILUT_EPS_EXCL",IQ_FY), _xll.ciqfunctions.udf.CIQ(A3768, "IQ_DILUT_EPS_EXCL",IQ_LTM))</f>
        <v>-0.83072000000000001</v>
      </c>
      <c r="G3778" s="21">
        <f>IF(A3776=A3777,_xll.ciqfunctions.udf.CIQ(A3768,"IQ_EBITDA_MARGIN",IQ_FY), _xll.ciqfunctions.udf.CIQ(A3768, "IQ_EBITDA_MARGIN",IQ_LTM))</f>
        <v>-34.408499999999997</v>
      </c>
      <c r="H3778" s="21">
        <f>IF(A3776=A3777,_xll.ciqfunctions.udf.CIQ(A3768,"IQ_TOTAL_DIV_PAID_CF",IQ_FY)/-I3778, _xll.ciqfunctions.udf.CIQ(A3768, "IQ_TOTAL_DIV_PAID_CF",IQ_LTM)/-I3778)</f>
        <v>0</v>
      </c>
      <c r="I3778" s="23">
        <f>IF(A3776=A3777,_xll.ciqfunctions.udf.CIQ(A3768,"IQ_TOTAL_OUTSTANDING_FILING_DATE",IQ_FY),_xll.ciqfunctions.udf.CIQ(A3768,"IQ_sharesoutstanding"))</f>
        <v>119.0501</v>
      </c>
      <c r="J3778" s="23">
        <f>IF(A3776=A3777,_xll.ciqfunctions.udf.CIQ(A3768,"IQ_CASH_OPER",IQ_FY), _xll.ciqfunctions.udf.CIQ(A3768, "IQ_CASH_OPER",IQ_LTM))</f>
        <v>18.710999999999999</v>
      </c>
      <c r="K3778" s="23">
        <f>IF(A3776=A3777,_xll.ciqfunctions.udf.CIQ(A3768,"IQ_CAPEX",IQ_FY), _xll.ciqfunctions.udf.CIQ(A3768, "IQ_CAPEX",IQ_LTM))</f>
        <v>-1.615</v>
      </c>
      <c r="L3778" s="21">
        <f t="shared" si="1004"/>
        <v>0.14360340730499177</v>
      </c>
      <c r="M3778" s="23">
        <f>IF(A3776=A3777,_xll.ciqfunctions.udf.CIQ(A3768,"IQ_TOTAL_DEBT_ISSUED",IQ_FY), _xll.ciqfunctions.udf.CIQ(A3768, "IQ_TOTAL_DEBT_ISSUED",IQ_LTM))</f>
        <v>0</v>
      </c>
      <c r="N3778" s="23">
        <f>IF(A3776=A3777,_xll.ciqfunctions.udf.CIQ(A3768,"IQ_TOTAL_DEBT_REPAID",IQ_FY), _xll.ciqfunctions.udf.CIQ(A3768, "IQ_TOTAL_DEBT_REPAID",IQ_LTM))</f>
        <v>0</v>
      </c>
      <c r="O3778" s="21">
        <f t="shared" si="1005"/>
        <v>0</v>
      </c>
      <c r="P3778" s="21">
        <f t="shared" si="1006"/>
        <v>0.14360340730499177</v>
      </c>
      <c r="Q3778" s="25" t="s">
        <v>45</v>
      </c>
      <c r="S3778" s="45"/>
      <c r="U3778" s="25"/>
      <c r="W3778" s="45"/>
      <c r="Y3778" s="25"/>
      <c r="AA3778" s="45"/>
    </row>
    <row r="3779" spans="1:27">
      <c r="B3779" s="24"/>
      <c r="C3779" s="25" t="s">
        <v>37</v>
      </c>
      <c r="E3779" s="26" t="e">
        <f>((D3778/D3773)^(1/5))-1</f>
        <v>#DIV/0!</v>
      </c>
      <c r="F3779" s="27" t="e">
        <f>((F3778/F3773)^(1/5))-1</f>
        <v>#DIV/0!</v>
      </c>
      <c r="G3779" s="28"/>
      <c r="H3779" s="27" t="e">
        <f>((H3778/H3773)^(1/5))-1</f>
        <v>#DIV/0!</v>
      </c>
      <c r="I3779" s="27" t="e">
        <f>((I3778/I3773)^(1/5))-1</f>
        <v>#DIV/0!</v>
      </c>
      <c r="J3779" s="27"/>
      <c r="K3779" s="27"/>
      <c r="L3779" s="26" t="e">
        <f>((L3778/L3773)^(1/5))-1</f>
        <v>#DIV/0!</v>
      </c>
      <c r="M3779" s="26"/>
      <c r="N3779" s="26"/>
      <c r="O3779" s="26"/>
      <c r="P3779" s="26" t="e">
        <f>((P3778/P3773)^(1/5))-1</f>
        <v>#DIV/0!</v>
      </c>
      <c r="Q3779" s="18"/>
      <c r="R3779" s="36"/>
      <c r="S3779" s="45"/>
      <c r="U3779" s="18"/>
      <c r="V3779" s="36"/>
      <c r="W3779" s="45"/>
      <c r="Y3779" s="18"/>
      <c r="Z3779" s="36"/>
      <c r="AA3779" s="45"/>
    </row>
    <row r="3780" spans="1:27">
      <c r="A3780" s="29"/>
      <c r="B3780" s="30"/>
      <c r="C3780" s="31" t="s">
        <v>38</v>
      </c>
      <c r="D3780" s="29"/>
      <c r="E3780" s="32" t="e">
        <f>((D3778/D3768)^(1/10))-1</f>
        <v>#DIV/0!</v>
      </c>
      <c r="F3780" s="33" t="e">
        <f>((F3778/F3768)^(1/10))-1</f>
        <v>#DIV/0!</v>
      </c>
      <c r="G3780" s="34"/>
      <c r="H3780" s="33" t="e">
        <f>((H3778/H3768)^(1/10))-1</f>
        <v>#DIV/0!</v>
      </c>
      <c r="I3780" s="33" t="e">
        <f>((I3778/I3768)^(1/10))-1</f>
        <v>#DIV/0!</v>
      </c>
      <c r="J3780" s="33"/>
      <c r="K3780" s="33"/>
      <c r="L3780" s="32" t="e">
        <f>((L3778/L3768)^(1/10))-1</f>
        <v>#DIV/0!</v>
      </c>
      <c r="M3780" s="32"/>
      <c r="N3780" s="32"/>
      <c r="O3780" s="32"/>
      <c r="P3780" s="32" t="e">
        <f>((P3778/P3768)^(1/10))-1</f>
        <v>#DIV/0!</v>
      </c>
      <c r="Q3780" s="40"/>
      <c r="R3780" s="41"/>
      <c r="S3780" s="46"/>
      <c r="U3780" s="40"/>
      <c r="V3780" s="41"/>
      <c r="W3780" s="46"/>
      <c r="Y3780" s="40"/>
      <c r="Z3780" s="41"/>
      <c r="AA3780" s="46"/>
    </row>
    <row r="3781" spans="1:27">
      <c r="B3781" s="24"/>
      <c r="C3781" s="25"/>
      <c r="E3781" s="26"/>
      <c r="F3781" s="27"/>
      <c r="G3781" s="28"/>
      <c r="H3781" s="27"/>
      <c r="I3781" s="27"/>
      <c r="J3781" s="27"/>
      <c r="K3781" s="27"/>
      <c r="L3781" s="26"/>
      <c r="M3781" s="17"/>
      <c r="N3781" s="17"/>
      <c r="O3781" s="17"/>
      <c r="P3781" s="35"/>
      <c r="Q3781" s="18"/>
      <c r="R3781" s="36"/>
    </row>
    <row r="3782" spans="1:27">
      <c r="A3782" s="9" t="s">
        <v>0</v>
      </c>
      <c r="B3782" s="10"/>
      <c r="C3782" s="9" t="s">
        <v>1</v>
      </c>
      <c r="D3782" s="9" t="s">
        <v>2</v>
      </c>
      <c r="E3782" s="9" t="s">
        <v>3</v>
      </c>
      <c r="F3782" s="11" t="s">
        <v>4</v>
      </c>
      <c r="G3782" s="11" t="s">
        <v>5</v>
      </c>
      <c r="H3782" s="9" t="s">
        <v>6</v>
      </c>
      <c r="I3782" s="11" t="s">
        <v>7</v>
      </c>
      <c r="J3782" s="11" t="s">
        <v>8</v>
      </c>
      <c r="K3782" s="11" t="s">
        <v>9</v>
      </c>
      <c r="L3782" s="11" t="s">
        <v>10</v>
      </c>
      <c r="M3782" s="11" t="s">
        <v>11</v>
      </c>
      <c r="N3782" s="11" t="s">
        <v>12</v>
      </c>
      <c r="O3782" s="11" t="s">
        <v>13</v>
      </c>
      <c r="P3782" s="11" t="s">
        <v>14</v>
      </c>
      <c r="Q3782" s="37" t="s">
        <v>15</v>
      </c>
      <c r="R3782" s="42">
        <f>_xll.ciqfunctions.udf.CIQ(A3783,("IQ_LASTSALEPRICE"))</f>
        <v>18.754999999999999</v>
      </c>
      <c r="S3782" s="44"/>
      <c r="U3782" s="37" t="s">
        <v>15</v>
      </c>
      <c r="V3782" s="42">
        <f>_xll.ciqfunctions.udf.CIQ(A3783,("IQ_LASTSALEPRICE"))</f>
        <v>18.754999999999999</v>
      </c>
      <c r="W3782" s="44"/>
      <c r="Y3782" s="37" t="s">
        <v>15</v>
      </c>
      <c r="Z3782" s="42">
        <f>_xll.ciqfunctions.udf.CIQ(A3783,("IQ_LASTSALEPRICE"))</f>
        <v>18.754999999999999</v>
      </c>
      <c r="AA3782" s="44"/>
    </row>
    <row r="3783" spans="1:27">
      <c r="A3783" s="12" t="str">
        <f>Analysis!B254</f>
        <v>NYSE:MLNK</v>
      </c>
      <c r="B3783" s="13">
        <v>1</v>
      </c>
      <c r="C3783" s="14" t="s">
        <v>16</v>
      </c>
      <c r="D3783" s="15" t="e">
        <f>IF(A3791=A3792,_xll.ciqfunctions.udf.CIQ(A3783,"IQ_TOTAL_REV",IQ_FY-10)/I3783,_xll.ciqfunctions.udf.CIQ(A3783, "IQ_TOTAL_REV",IQ_FY-9)/I3783)</f>
        <v>#DIV/0!</v>
      </c>
      <c r="E3783" s="16"/>
      <c r="F3783" s="15">
        <f>IF(A3791=A3792,_xll.ciqfunctions.udf.CIQ(A3783,"IQ_DILUT_EPS_EXCL",IQ_FY-10), _xll.ciqfunctions.udf.CIQ(A3783, "IQ_DILUT_EPS_EXCL",IQ_FY-9))</f>
        <v>0</v>
      </c>
      <c r="G3783" s="15">
        <f>IF(A3791=A3792,_xll.ciqfunctions.udf.CIQ(A3783,"IQ_EBITDA_MARGIN",IQ_FY-10), _xll.ciqfunctions.udf.CIQ(A3783, "IQ_EBITDA_MARGIN",IQ_FY-9))</f>
        <v>0</v>
      </c>
      <c r="H3783" s="15" t="e">
        <f>IF(A3791=A3792,_xll.ciqfunctions.udf.CIQ(A3783,"IQ_TOTAL_DIV_PAID_CF",IQ_FY-10)/-I3783, _xll.ciqfunctions.udf.CIQ(A3783, "IQ_TOTAL_DIV_PAID_CF",IQ_FY-9)/-I3783)</f>
        <v>#DIV/0!</v>
      </c>
      <c r="I3783" s="17">
        <f>IF(A3791=A3792,_xll.ciqfunctions.udf.CIQ(A3783,"IQ_TOTAL_OUTSTANDING_FILING_DATE",IQ_FY-10), _xll.ciqfunctions.udf.CIQ(A3783, "IQ_TOTAL_OUTSTANDING_FILING_DATE",IQ_FY-9))</f>
        <v>0</v>
      </c>
      <c r="J3783" s="17">
        <f>IF(A3791=A3792,_xll.ciqfunctions.udf.CIQ(A3783,"IQ_CASH_OPER",IQ_FY-10), _xll.ciqfunctions.udf.CIQ(A3783, "IQ_CASH_OPER",IQ_FY-9))</f>
        <v>0</v>
      </c>
      <c r="K3783" s="17">
        <f>IF(A3791=A3792,_xll.ciqfunctions.udf.CIQ(A3783,"IQ_CAPEX",IQ_FY-10), _xll.ciqfunctions.udf.CIQ(A3783, "IQ_CAPEX",IQ_FY-9))</f>
        <v>0</v>
      </c>
      <c r="L3783" s="15" t="e">
        <f t="shared" ref="L3783:L3793" si="1008">(J3783+K3783)/I3783</f>
        <v>#DIV/0!</v>
      </c>
      <c r="M3783" s="17">
        <f>IF(A3791=A3792,_xll.ciqfunctions.udf.CIQ(A3783,"IQ_TOTAL_DEBT_ISSUED",IQ_FY-10), _xll.ciqfunctions.udf.CIQ(A3783, "IQ_TOTAL_DEBT_ISSUED",IQ_FY-9))</f>
        <v>0</v>
      </c>
      <c r="N3783" s="17">
        <f>IF(A3791=A3792,_xll.ciqfunctions.udf.CIQ(A3783,"IQ_TOTAL_DEBT_REPAID",IQ_FY-10), _xll.ciqfunctions.udf.CIQ(A3783, "IQ_TOTAL_DEBT_REPAID",IQ_FY-9))</f>
        <v>0</v>
      </c>
      <c r="O3783" s="15" t="e">
        <f t="shared" ref="O3783:O3793" si="1009">(M3783+N3783)/I3783</f>
        <v>#DIV/0!</v>
      </c>
      <c r="P3783" s="15" t="e">
        <f t="shared" ref="P3783:P3793" si="1010">L3783+O3783</f>
        <v>#DIV/0!</v>
      </c>
      <c r="W3783" s="43"/>
      <c r="AA3783" s="43"/>
    </row>
    <row r="3784" spans="1:27">
      <c r="A3784" s="18" t="str">
        <f>_xll.ciqfunctions.udf.CIQ(A3783,"IQ_COMPANY_NAME")</f>
        <v>MeridianLink, Inc.</v>
      </c>
      <c r="B3784" s="13">
        <v>2</v>
      </c>
      <c r="C3784" s="14" t="s">
        <v>17</v>
      </c>
      <c r="D3784" s="15" t="e">
        <f>IF(A3791=A3792,_xll.ciqfunctions.udf.CIQ(A3783,"IQ_TOTAL_REV",IQ_FY-9)/I3784, _xll.ciqfunctions.udf.CIQ(A3783, "IQ_TOTAL_REV",IQ_FY-8)/I3784)</f>
        <v>#DIV/0!</v>
      </c>
      <c r="E3784" s="16" t="e">
        <f t="shared" ref="E3784:E3793" si="1011">(D3784-D3783)/D3783</f>
        <v>#DIV/0!</v>
      </c>
      <c r="F3784" s="15">
        <f>IF(A3791=A3792,_xll.ciqfunctions.udf.CIQ(A3783,"IQ_DILUT_EPS_EXCL",IQ_FY-9), _xll.ciqfunctions.udf.CIQ(A3783, "IQ_DILUT_EPS_EXCL",IQ_FY-8))</f>
        <v>0</v>
      </c>
      <c r="G3784" s="15">
        <f>IF(A3791=A3792,_xll.ciqfunctions.udf.CIQ(A3783,"IQ_EBITDA_MARGIN",IQ_FY-9), _xll.ciqfunctions.udf.CIQ(A3783, "IQ_EBITDA_MARGIN",IQ_FY-8))</f>
        <v>0</v>
      </c>
      <c r="H3784" s="15" t="e">
        <f>IF(A3791=A3792,_xll.ciqfunctions.udf.CIQ(A3783,"IQ_TOTAL_DIV_PAID_CF",IQ_FY-9)/-I3784, _xll.ciqfunctions.udf.CIQ(A3783, "IQ_TOTAL_DIV_PAID_CF",IQ_FY-8)/-I3784)</f>
        <v>#DIV/0!</v>
      </c>
      <c r="I3784" s="17">
        <f>IF(A3791=A3792,_xll.ciqfunctions.udf.CIQ(A3783,"IQ_TOTAL_OUTSTANDING_FILING_DATE",IQ_FY-9), _xll.ciqfunctions.udf.CIQ(A3783, "IQ_TOTAL_OUTSTANDING_FILING_DATE",IQ_FY-8))</f>
        <v>0</v>
      </c>
      <c r="J3784" s="17">
        <f>IF(A3791=A3792,_xll.ciqfunctions.udf.CIQ(A3783,"IQ_CASH_OPER",IQ_FY-9), _xll.ciqfunctions.udf.CIQ(A3783, "IQ_CASH_OPER",IQ_FY-8))</f>
        <v>0</v>
      </c>
      <c r="K3784" s="17">
        <f>IF(A3791=A3792,_xll.ciqfunctions.udf.CIQ(A3783,"IQ_CAPEX",IQ_FY-9), _xll.ciqfunctions.udf.CIQ(A3783, "IQ_CAPEX",IQ_FY-8))</f>
        <v>0</v>
      </c>
      <c r="L3784" s="15" t="e">
        <f t="shared" si="1008"/>
        <v>#DIV/0!</v>
      </c>
      <c r="M3784" s="17">
        <f>IF(A3791=A3792,_xll.ciqfunctions.udf.CIQ(A3783,"IQ_TOTAL_DEBT_ISSUED",IQ_FY-9), _xll.ciqfunctions.udf.CIQ(A3783, "IQ_TOTAL_DEBT_ISSUED",IQ_FY-8))</f>
        <v>0</v>
      </c>
      <c r="N3784" s="17">
        <f>IF(A3791=A3792,_xll.ciqfunctions.udf.CIQ(A3783,"IQ_TOTAL_DEBT_REPAID",IQ_FY-9), _xll.ciqfunctions.udf.CIQ(A3783, "IQ_TOTAL_DEBT_REPAID",IQ_FY-8))</f>
        <v>0</v>
      </c>
      <c r="O3784" s="15" t="e">
        <f t="shared" si="1009"/>
        <v>#DIV/0!</v>
      </c>
      <c r="P3784" s="15" t="e">
        <f t="shared" si="1010"/>
        <v>#DIV/0!</v>
      </c>
      <c r="Q3784" s="25" t="s">
        <v>18</v>
      </c>
      <c r="R3784" s="39" t="s">
        <v>19</v>
      </c>
      <c r="S3784" s="1" t="e">
        <f>R3782/((AVERAGE(P3788:P3793))*(1+E3794)^3)</f>
        <v>#DIV/0!</v>
      </c>
      <c r="U3784" s="25" t="s">
        <v>48</v>
      </c>
      <c r="V3784" s="39" t="s">
        <v>19</v>
      </c>
      <c r="W3784" s="1" t="e">
        <f>V3782/((AVERAGE(P3788:P3793))*(1+E3794)^3)</f>
        <v>#DIV/0!</v>
      </c>
      <c r="Y3784" s="25" t="s">
        <v>39</v>
      </c>
      <c r="Z3784" s="39" t="s">
        <v>19</v>
      </c>
      <c r="AA3784" s="1" t="e">
        <f>Z3782/((AVERAGE(P3788:P3793))*(1+E3794)^3)</f>
        <v>#DIV/0!</v>
      </c>
    </row>
    <row r="3785" spans="1:27">
      <c r="B3785" s="13">
        <v>3</v>
      </c>
      <c r="C3785" s="14" t="s">
        <v>20</v>
      </c>
      <c r="D3785" s="15" t="e" cm="1">
        <f t="array" ref="D3785">_xlfn.SINGLE(IF(A3791=A3792,_xll.ciqfunctions.udf.CIQ(A3783,"IQ_TOTAL_REV",IQ_FY-8)/I3785, _xll.ciqfunctions.udf.CIQ(A3783, "IQ_TOTAL_REV",IQ_FY-7)/I3785))</f>
        <v>#DIV/0!</v>
      </c>
      <c r="E3785" s="16" t="e">
        <f t="shared" si="1011"/>
        <v>#DIV/0!</v>
      </c>
      <c r="F3785" s="15">
        <f>IF(A3791=A3792,_xll.ciqfunctions.udf.CIQ(A3783,"IQ_DILUT_EPS_EXCL",IQ_FY-8), _xll.ciqfunctions.udf.CIQ(A3783, "IQ_DILUT_EPS_EXCL",IQ_FY-7))</f>
        <v>0</v>
      </c>
      <c r="G3785" s="15">
        <f>IF(A3791=A3792,_xll.ciqfunctions.udf.CIQ(A3783,"IQ_EBITDA_MARGIN",IQ_FY-8), _xll.ciqfunctions.udf.CIQ(A3783, "IQ_EBITDA_MARGIN",IQ_FY-7))</f>
        <v>0</v>
      </c>
      <c r="H3785" s="15" t="e">
        <f>IF(A3791=A3792,_xll.ciqfunctions.udf.CIQ(A3783,"IQ_TOTAL_DIV_PAID_CF",IQ_FY-8)/-I3785, _xll.ciqfunctions.udf.CIQ(A3783, "IQ_TOTAL_DIV_PAID_CF",IQ_FY-7)/-I3785)</f>
        <v>#DIV/0!</v>
      </c>
      <c r="I3785" s="17">
        <f>IF(A3791=A3792,_xll.ciqfunctions.udf.CIQ(A3783,"IQ_TOTAL_OUTSTANDING_FILING_DATE",IQ_FY-8), _xll.ciqfunctions.udf.CIQ(A3783, "IQ_TOTAL_OUTSTANDING_FILING_DATE",IQ_FY-7))</f>
        <v>0</v>
      </c>
      <c r="J3785" s="17">
        <f>IF(A3791=A3792,_xll.ciqfunctions.udf.CIQ(A3783,"IQ_CASH_OPER",IQ_FY-8), _xll.ciqfunctions.udf.CIQ(A3783, "IQ_CASH_OPER",IQ_FY-7))</f>
        <v>0</v>
      </c>
      <c r="K3785" s="17">
        <f>IF(A3791=A3792,_xll.ciqfunctions.udf.CIQ(A3783,"IQ_CAPEX",IQ_FY-8), _xll.ciqfunctions.udf.CIQ(A3783, "IQ_CAPEX",IQ_FY-7))</f>
        <v>0</v>
      </c>
      <c r="L3785" s="15" t="e">
        <f t="shared" si="1008"/>
        <v>#DIV/0!</v>
      </c>
      <c r="M3785" s="17">
        <f>IF(A3791=A3792,_xll.ciqfunctions.udf.CIQ(A3783,"IQ_TOTAL_DEBT_ISSUED",IQ_FY-8), _xll.ciqfunctions.udf.CIQ(A3783, "IQ_TOTAL_DEBT_ISSUED",IQ_FY-7))</f>
        <v>0</v>
      </c>
      <c r="N3785" s="17">
        <f>IF(A3791=A3792,_xll.ciqfunctions.udf.CIQ(A3783,"IQ_TOTAL_DEBT_REPAID",IQ_FY-8), _xll.ciqfunctions.udf.CIQ(A3783, "IQ_TOTAL_DEBT_REPAID",IQ_FY-7))</f>
        <v>0</v>
      </c>
      <c r="O3785" s="15" t="e">
        <f t="shared" si="1009"/>
        <v>#DIV/0!</v>
      </c>
      <c r="P3785" s="15" t="e">
        <f t="shared" si="1010"/>
        <v>#DIV/0!</v>
      </c>
      <c r="Q3785" s="25" t="s">
        <v>21</v>
      </c>
      <c r="R3785" s="38" t="s">
        <v>49</v>
      </c>
      <c r="S3785" s="2">
        <f>(R3782*I3793)/1000</f>
        <v>1.4813927452499998</v>
      </c>
      <c r="U3785" s="25" t="s">
        <v>59</v>
      </c>
      <c r="V3785" s="38" t="s">
        <v>49</v>
      </c>
      <c r="W3785" s="2">
        <f>(V3782*I3793)/1000</f>
        <v>1.4813927452499998</v>
      </c>
      <c r="Y3785" s="25" t="s">
        <v>46</v>
      </c>
      <c r="Z3785" s="38" t="s">
        <v>49</v>
      </c>
      <c r="AA3785" s="2">
        <f>(Z3782*I3793)/1000</f>
        <v>1.4813927452499998</v>
      </c>
    </row>
    <row r="3786" spans="1:27">
      <c r="A3786" s="18"/>
      <c r="B3786" s="13">
        <v>4</v>
      </c>
      <c r="C3786" s="14" t="s">
        <v>22</v>
      </c>
      <c r="D3786" s="15" t="e" cm="1">
        <f t="array" ref="D3786">_xlfn.SINGLE(IF(A3791=A3792,_xll.ciqfunctions.udf.CIQ(A3783,"IQ_TOTAL_REV",IQ_FY-7)/I3786, _xll.ciqfunctions.udf.CIQ(A3783, "IQ_TOTAL_REV",IQ_FY-6)/I3786))</f>
        <v>#DIV/0!</v>
      </c>
      <c r="E3786" s="16" t="e">
        <f t="shared" si="1011"/>
        <v>#DIV/0!</v>
      </c>
      <c r="F3786" s="15">
        <f>IF(A3791=A3792,_xll.ciqfunctions.udf.CIQ(A3783,"IQ_DILUT_EPS_EXCL",IQ_FY-7), _xll.ciqfunctions.udf.CIQ(A3783, "IQ_DILUT_EPS_EXCL",IQ_FY-6))</f>
        <v>0</v>
      </c>
      <c r="G3786" s="15">
        <f>IF(A3791=A3792,_xll.ciqfunctions.udf.CIQ(A3783,"IQ_EBITDA_MARGIN",IQ_FY-7), _xll.ciqfunctions.udf.CIQ(A3783, "IQ_EBITDA_MARGIN",IQ_FY-6))</f>
        <v>0</v>
      </c>
      <c r="H3786" s="15" t="e">
        <f>IF(A3791=A3792,_xll.ciqfunctions.udf.CIQ(A3783,"IQ_TOTAL_DIV_PAID_CF",IQ_FY-7)/-I3786, _xll.ciqfunctions.udf.CIQ(A3783, "IQ_TOTAL_DIV_PAID_CF",IQ_FY-6)/-I3786)</f>
        <v>#DIV/0!</v>
      </c>
      <c r="I3786" s="17">
        <f>IF(A3791=A3792,_xll.ciqfunctions.udf.CIQ(A3783,"IQ_TOTAL_OUTSTANDING_FILING_DATE",IQ_FY-7), _xll.ciqfunctions.udf.CIQ(A3783, "IQ_TOTAL_OUTSTANDING_FILING_DATE",IQ_FY-6))</f>
        <v>0</v>
      </c>
      <c r="J3786" s="17">
        <f>IF(A3791=A3792,_xll.ciqfunctions.udf.CIQ(A3783,"IQ_CASH_OPER",IQ_FY-7), _xll.ciqfunctions.udf.CIQ(A3783, "IQ_CASH_OPER",IQ_FY-6))</f>
        <v>0</v>
      </c>
      <c r="K3786" s="17">
        <f>IF(A3791=A3792,_xll.ciqfunctions.udf.CIQ(A3783,"IQ_CAPEX",IQ_FY-7), _xll.ciqfunctions.udf.CIQ(A3783, "IQ_CAPEX",IQ_FY-6))</f>
        <v>0</v>
      </c>
      <c r="L3786" s="15" t="e">
        <f t="shared" si="1008"/>
        <v>#DIV/0!</v>
      </c>
      <c r="M3786" s="17">
        <f>IF(A3791=A3792,_xll.ciqfunctions.udf.CIQ(A3783,"IQ_TOTAL_DEBT_ISSUED",IQ_FY-7), _xll.ciqfunctions.udf.CIQ(A3783, "IQ_TOTAL_DEBT_ISSUED",IQ_FY-6))</f>
        <v>0</v>
      </c>
      <c r="N3786" s="17">
        <f>IF(A3791=A3792,_xll.ciqfunctions.udf.CIQ(A3783,"IQ_TOTAL_DEBT_REPAID",IQ_FY-7), _xll.ciqfunctions.udf.CIQ(A3783, "IQ_TOTAL_DEBT_REPAID",IQ_FY-6))</f>
        <v>0</v>
      </c>
      <c r="O3786" s="15" t="e">
        <f t="shared" si="1009"/>
        <v>#DIV/0!</v>
      </c>
      <c r="P3786" s="15" t="e">
        <f t="shared" si="1010"/>
        <v>#DIV/0!</v>
      </c>
      <c r="Q3786" s="25" t="s">
        <v>23</v>
      </c>
      <c r="R3786" s="38" t="s">
        <v>24</v>
      </c>
      <c r="S3786" s="1" t="e">
        <f>R3782/(AVERAGE(H3788:H3793)*(1+H3794)/(0.5-H3794))</f>
        <v>#DIV/0!</v>
      </c>
      <c r="U3786" s="25" t="s">
        <v>40</v>
      </c>
      <c r="V3786" s="38" t="s">
        <v>24</v>
      </c>
      <c r="W3786" s="1" t="e">
        <f>V3782/(AVERAGE(H3788:H3793)*(1+H3794)/(0.5-H3794))</f>
        <v>#DIV/0!</v>
      </c>
      <c r="Y3786" s="25" t="s">
        <v>47</v>
      </c>
      <c r="Z3786" s="38" t="s">
        <v>24</v>
      </c>
      <c r="AA3786" s="1" t="e">
        <f>Z3782/(AVERAGE(H3788:H3793)*(1+H3794)/(0.5-H3794))</f>
        <v>#DIV/0!</v>
      </c>
    </row>
    <row r="3787" spans="1:27">
      <c r="B3787" s="13">
        <v>5</v>
      </c>
      <c r="C3787" s="14" t="s">
        <v>25</v>
      </c>
      <c r="D3787" s="15" t="e" cm="1">
        <f t="array" ref="D3787">_xlfn.SINGLE(IF(A3791=A3792,_xll.ciqfunctions.udf.CIQ(A3783,"IQ_TOTAL_REV",IQ_FY-6)/I3787, _xll.ciqfunctions.udf.CIQ(A3783, "IQ_TOTAL_REV",IQ_FY-5)/I3787))</f>
        <v>#DIV/0!</v>
      </c>
      <c r="E3787" s="16" t="e">
        <f t="shared" si="1011"/>
        <v>#DIV/0!</v>
      </c>
      <c r="F3787" s="15">
        <f>IF(A3791=A3792,_xll.ciqfunctions.udf.CIQ(A3783,"IQ_DILUT_EPS_EXCL",IQ_FY-6), _xll.ciqfunctions.udf.CIQ(A3783, "IQ_DILUT_EPS_EXCL",IQ_FY-5))</f>
        <v>0</v>
      </c>
      <c r="G3787" s="15">
        <f>IF(A3791=A3792,_xll.ciqfunctions.udf.CIQ(A3783,"IQ_EBITDA_MARGIN",IQ_FY-6), _xll.ciqfunctions.udf.CIQ(A3783, "IQ_EBITDA_MARGIN",IQ_FY-5))</f>
        <v>0</v>
      </c>
      <c r="H3787" s="15" t="e">
        <f>IF(A3791=A3792,_xll.ciqfunctions.udf.CIQ(A3783,"IQ_TOTAL_DIV_PAID_CF",IQ_FY-6)/-I3787, _xll.ciqfunctions.udf.CIQ(A3783, "IQ_TOTAL_DIV_PAID_CF",IQ_FY-5)/-I3787)</f>
        <v>#DIV/0!</v>
      </c>
      <c r="I3787" s="17">
        <f>IF(A3791=A3792,_xll.ciqfunctions.udf.CIQ(A3783,"IQ_TOTAL_OUTSTANDING_FILING_DATE",IQ_FY-6), _xll.ciqfunctions.udf.CIQ(A3783, "IQ_TOTAL_OUTSTANDING_FILING_DATE",IQ_FY-5))</f>
        <v>0</v>
      </c>
      <c r="J3787" s="17">
        <f>IF(A3791=A3792,_xll.ciqfunctions.udf.CIQ(A3783,"IQ_CASH_OPER",IQ_FY-6), _xll.ciqfunctions.udf.CIQ(A3783, "IQ_CASH_OPER",IQ_FY-5))</f>
        <v>0</v>
      </c>
      <c r="K3787" s="17">
        <f>IF(A3791=A3792,_xll.ciqfunctions.udf.CIQ(A3783,"IQ_CAPEX",IQ_FY-6), _xll.ciqfunctions.udf.CIQ(A3783, "IQ_CAPEX",IQ_FY-5))</f>
        <v>0</v>
      </c>
      <c r="L3787" s="15" t="e">
        <f t="shared" si="1008"/>
        <v>#DIV/0!</v>
      </c>
      <c r="M3787" s="17">
        <f>IF(A3791=A3792,_xll.ciqfunctions.udf.CIQ(A3783,"IQ_TOTAL_DEBT_ISSUED",IQ_FY-6), _xll.ciqfunctions.udf.CIQ(A3783, "IQ_TOTAL_DEBT_ISSUED",IQ_FY-5))</f>
        <v>0</v>
      </c>
      <c r="N3787" s="17">
        <f>IF(A3791=A3792,_xll.ciqfunctions.udf.CIQ(A3783,"IQ_TOTAL_DEBT_REPAID",IQ_FY-6), _xll.ciqfunctions.udf.CIQ(A3783, "IQ_TOTAL_DEBT_REPAID",IQ_FY-5))</f>
        <v>0</v>
      </c>
      <c r="O3787" s="15" t="e">
        <f t="shared" si="1009"/>
        <v>#DIV/0!</v>
      </c>
      <c r="P3787" s="15" t="e">
        <f t="shared" si="1010"/>
        <v>#DIV/0!</v>
      </c>
      <c r="Q3787" s="18"/>
      <c r="R3787" s="38" t="s">
        <v>50</v>
      </c>
      <c r="S3787" s="3" t="e">
        <f>I3794</f>
        <v>#DIV/0!</v>
      </c>
      <c r="U3787" s="18"/>
      <c r="V3787" s="38" t="s">
        <v>50</v>
      </c>
      <c r="W3787" s="3" t="e">
        <f>I3794</f>
        <v>#DIV/0!</v>
      </c>
      <c r="Y3787" s="18"/>
      <c r="Z3787" s="38" t="s">
        <v>50</v>
      </c>
      <c r="AA3787" s="3" t="e">
        <f>I3794</f>
        <v>#DIV/0!</v>
      </c>
    </row>
    <row r="3788" spans="1:27">
      <c r="B3788" s="13">
        <v>6</v>
      </c>
      <c r="C3788" s="14" t="s">
        <v>26</v>
      </c>
      <c r="D3788" s="15" t="e" cm="1">
        <f t="array" ref="D3788">_xlfn.SINGLE(IF(A3791=A3792,_xll.ciqfunctions.udf.CIQ(A3783,"IQ_TOTAL_REV",IQ_FY-5)/I3788, _xll.ciqfunctions.udf.CIQ(A3783, "IQ_TOTAL_REV",IQ_FY-4)/I3788))</f>
        <v>#DIV/0!</v>
      </c>
      <c r="E3788" s="16" t="e">
        <f t="shared" si="1011"/>
        <v>#DIV/0!</v>
      </c>
      <c r="F3788" s="15">
        <f>IF(A3791=A3792,_xll.ciqfunctions.udf.CIQ(A3783,"IQ_DILUT_EPS_EXCL",IQ_FY-5), _xll.ciqfunctions.udf.CIQ(A3783, "IQ_DILUT_EPS_EXCL",IQ_FY-4))</f>
        <v>0</v>
      </c>
      <c r="G3788" s="15">
        <f>IF(A3791=A3792,_xll.ciqfunctions.udf.CIQ(A3783,"IQ_EBITDA_MARGIN",IQ_FY-5), _xll.ciqfunctions.udf.CIQ(A3783, "IQ_EBITDA_MARGIN",IQ_FY-4))</f>
        <v>0</v>
      </c>
      <c r="H3788" s="15" t="e">
        <f>IF(A3791=A3792,_xll.ciqfunctions.udf.CIQ(A3783,"IQ_TOTAL_DIV_PAID_CF",IQ_FY-5)/-I3788, _xll.ciqfunctions.udf.CIQ(A3783, "IQ_TOTAL_DIV_PAID_CF",IQ_FY-4)/-I3788)</f>
        <v>#DIV/0!</v>
      </c>
      <c r="I3788" s="17">
        <f>IF(A3791=A3792,_xll.ciqfunctions.udf.CIQ(A3783,"IQ_TOTAL_OUTSTANDING_FILING_DATE",IQ_FY-5), _xll.ciqfunctions.udf.CIQ(A3783, "IQ_TOTAL_OUTSTANDING_FILING_DATE",IQ_FY-4))</f>
        <v>0</v>
      </c>
      <c r="J3788" s="17">
        <f>IF(A3791=A3792,_xll.ciqfunctions.udf.CIQ(A3783,"IQ_CASH_OPER",IQ_FY-5), _xll.ciqfunctions.udf.CIQ(A3783, "IQ_CASH_OPER",IQ_FY-4))</f>
        <v>0</v>
      </c>
      <c r="K3788" s="17">
        <f>IF(A3791=A3792,_xll.ciqfunctions.udf.CIQ(A3783,"IQ_CAPEX",IQ_FY-5), _xll.ciqfunctions.udf.CIQ(A3783, "IQ_CAPEX",IQ_FY-4))</f>
        <v>0</v>
      </c>
      <c r="L3788" s="15" t="e">
        <f t="shared" si="1008"/>
        <v>#DIV/0!</v>
      </c>
      <c r="M3788" s="17">
        <f>IF(A3791=A3792,_xll.ciqfunctions.udf.CIQ(A3783,"IQ_TOTAL_DEBT_ISSUED",IQ_FY-5), _xll.ciqfunctions.udf.CIQ(A3783, "IQ_TOTAL_DEBT_ISSUED",IQ_FY-4))</f>
        <v>0</v>
      </c>
      <c r="N3788" s="17">
        <f>IF(A3791=A3792,_xll.ciqfunctions.udf.CIQ(A3783,"IQ_TOTAL_DEBT_REPAID",IQ_FY-5), _xll.ciqfunctions.udf.CIQ(A3783, "IQ_TOTAL_DEBT_REPAID",IQ_FY-4))</f>
        <v>0</v>
      </c>
      <c r="O3788" s="15" t="e">
        <f t="shared" si="1009"/>
        <v>#DIV/0!</v>
      </c>
      <c r="P3788" s="15" t="e">
        <f t="shared" si="1010"/>
        <v>#DIV/0!</v>
      </c>
      <c r="Q3788" s="25" t="s">
        <v>27</v>
      </c>
      <c r="R3788" s="38" t="s">
        <v>51</v>
      </c>
      <c r="S3788" s="4" t="e">
        <f>AVERAGE(F3788:F3793)/AVERAGE(D3788:D3793)</f>
        <v>#DIV/0!</v>
      </c>
      <c r="U3788" s="25" t="s">
        <v>58</v>
      </c>
      <c r="V3788" s="38" t="s">
        <v>51</v>
      </c>
      <c r="W3788" s="4" t="e">
        <f>AVERAGE(F3788:F3793)/AVERAGE(D3788:D3793)</f>
        <v>#DIV/0!</v>
      </c>
      <c r="Y3788" s="25" t="s">
        <v>56</v>
      </c>
      <c r="Z3788" s="38" t="s">
        <v>51</v>
      </c>
      <c r="AA3788" s="4" t="e">
        <f>AVERAGE(F3788:F3793)/AVERAGE(D3788:D3793)</f>
        <v>#DIV/0!</v>
      </c>
    </row>
    <row r="3789" spans="1:27">
      <c r="A3789" s="18"/>
      <c r="B3789" s="13">
        <v>7</v>
      </c>
      <c r="C3789" s="14" t="s">
        <v>28</v>
      </c>
      <c r="D3789" s="15" cm="1">
        <f t="array" ref="D3789">_xlfn.SINGLE(IF(A3791=A3792,_xll.ciqfunctions.udf.CIQ(A3783,"IQ_TOTAL_REV",IQ_FY-4)/I3789, _xll.ciqfunctions.udf.CIQ(A3783, "IQ_TOTAL_REV",IQ_FY-3)/I3789))</f>
        <v>3.0104981392708465</v>
      </c>
      <c r="E3789" s="16" t="e">
        <f t="shared" si="1011"/>
        <v>#DIV/0!</v>
      </c>
      <c r="F3789" s="15">
        <f>IF(A3791=A3792,_xll.ciqfunctions.udf.CIQ(A3783,"IQ_DILUT_EPS_EXCL",IQ_FY-4), _xll.ciqfunctions.udf.CIQ(A3783, "IQ_DILUT_EPS_EXCL",IQ_FY-3))</f>
        <v>-0.88216000000000006</v>
      </c>
      <c r="G3789" s="15">
        <f>IF(A3791=A3792,_xll.ciqfunctions.udf.CIQ(A3783,"IQ_EBITDA_MARGIN",IQ_FY-4), _xll.ciqfunctions.udf.CIQ(A3783, "IQ_EBITDA_MARGIN",IQ_FY-3))</f>
        <v>33.488199999999999</v>
      </c>
      <c r="H3789" s="15">
        <f>IF(A3791=A3792,_xll.ciqfunctions.udf.CIQ(A3783,"IQ_TOTAL_DIV_PAID_CF",IQ_FY-4)/-I3789, _xll.ciqfunctions.udf.CIQ(A3783, "IQ_TOTAL_DIV_PAID_CF",IQ_FY-3)/-I3789)</f>
        <v>4.3364450611832977E-4</v>
      </c>
      <c r="I3789" s="17">
        <f>IF(A3791=A3792,_xll.ciqfunctions.udf.CIQ(A3783,"IQ_TOTAL_OUTSTANDING_FILING_DATE",IQ_FY-4), _xll.ciqfunctions.udf.CIQ(A3783, "IQ_TOTAL_OUTSTANDING_FILING_DATE",IQ_FY-3))</f>
        <v>50.732799999999997</v>
      </c>
      <c r="J3789" s="17">
        <f>IF(A3791=A3792,_xll.ciqfunctions.udf.CIQ(A3783,"IQ_CASH_OPER",IQ_FY-4), _xll.ciqfunctions.udf.CIQ(A3783, "IQ_CASH_OPER",IQ_FY-3))</f>
        <v>21.795000000000002</v>
      </c>
      <c r="K3789" s="17">
        <f>IF(A3791=A3792,_xll.ciqfunctions.udf.CIQ(A3783,"IQ_CAPEX",IQ_FY-4), _xll.ciqfunctions.udf.CIQ(A3783, "IQ_CAPEX",IQ_FY-3))</f>
        <v>-3.35</v>
      </c>
      <c r="L3789" s="15">
        <f t="shared" si="1008"/>
        <v>0.36357149615239059</v>
      </c>
      <c r="M3789" s="17">
        <f>IF(A3791=A3792,_xll.ciqfunctions.udf.CIQ(A3783,"IQ_TOTAL_DEBT_ISSUED",IQ_FY-4), _xll.ciqfunctions.udf.CIQ(A3783, "IQ_TOTAL_DEBT_ISSUED",IQ_FY-3))</f>
        <v>69.290000000000006</v>
      </c>
      <c r="N3789" s="17">
        <f>IF(A3791=A3792,_xll.ciqfunctions.udf.CIQ(A3783,"IQ_TOTAL_DEBT_REPAID",IQ_FY-4), _xll.ciqfunctions.udf.CIQ(A3783, "IQ_TOTAL_DEBT_REPAID",IQ_FY-3))</f>
        <v>-3.75</v>
      </c>
      <c r="O3789" s="15">
        <f t="shared" si="1009"/>
        <v>1.2918664059543334</v>
      </c>
      <c r="P3789" s="15">
        <f t="shared" si="1010"/>
        <v>1.655437902106724</v>
      </c>
      <c r="Q3789" s="18"/>
      <c r="R3789" s="38" t="s">
        <v>29</v>
      </c>
      <c r="S3789" s="4" t="e">
        <f>(AVERAGE(P3788:P3793)/_xlfn.STDEV.P(P3788:P3793))/(IF(A3791=A3792,(_xlfn.SINGLE(_xll.ciqfunctions.udf.CIQ(A3783,"IQ_total_assets",IQ_FY)) - _xlfn.SINGLE(_xll.ciqfunctions.udf.CIQ(A3783,"iq_gw_intan", IQ_FY)))/I3793, (_xlfn.SINGLE(_xll.ciqfunctions.udf.CIQ(A3783, "IQ_total_assets",IQ_LTM))-_xlfn.SINGLE(_xll.ciqfunctions.udf.CIQ(A3783,"iq_gw_intan",IQ_LTM)))/I3793))</f>
        <v>#DIV/0!</v>
      </c>
      <c r="U3789" s="18"/>
      <c r="V3789" s="38" t="s">
        <v>29</v>
      </c>
      <c r="W3789" s="4" t="e">
        <f>(AVERAGE(P3788:P3793)/_xlfn.STDEV.P(P3788:P3793))/(IF(A3791=A3792,(_xlfn.SINGLE(_xll.ciqfunctions.udf.CIQ(A3783,"IQ_total_assets",IQ_FY)) - _xlfn.SINGLE(_xll.ciqfunctions.udf.CIQ(A3783,"iq_gw_intan", IQ_FY)))/I3793, (_xlfn.SINGLE(_xll.ciqfunctions.udf.CIQ(A3783, "IQ_total_assets",IQ_LTM))-_xlfn.SINGLE(_xll.ciqfunctions.udf.CIQ(A3783,"iq_gw_intan",IQ_LTM)))/I3793))</f>
        <v>#DIV/0!</v>
      </c>
      <c r="Y3789" s="18"/>
      <c r="Z3789" s="38" t="s">
        <v>29</v>
      </c>
      <c r="AA3789" s="4" t="e">
        <f>(AVERAGE(P3788:P3793)/_xlfn.STDEV.P(P3788:P3793))/(IF(A3791=A3792,(_xlfn.SINGLE(_xll.ciqfunctions.udf.CIQ(A3783,"IQ_total_assets",IQ_FY)) - _xlfn.SINGLE(_xll.ciqfunctions.udf.CIQ(A3783,"iq_gw_intan", IQ_FY)))/I3793, (_xlfn.SINGLE(_xll.ciqfunctions.udf.CIQ(A3783, "IQ_total_assets",IQ_LTM))-_xlfn.SINGLE(_xll.ciqfunctions.udf.CIQ(A3783,"iq_gw_intan",IQ_LTM)))/I3793))</f>
        <v>#DIV/0!</v>
      </c>
    </row>
    <row r="3790" spans="1:27">
      <c r="A3790" s="18"/>
      <c r="B3790" s="13">
        <v>8</v>
      </c>
      <c r="C3790" s="14" t="s">
        <v>30</v>
      </c>
      <c r="D3790" s="15" cm="1">
        <f t="array" ref="D3790">_xlfn.SINGLE(IF(A3791=A3792,_xll.ciqfunctions.udf.CIQ(A3783,"IQ_TOTAL_REV",IQ_FY-3)/I3790, _xll.ciqfunctions.udf.CIQ(A3783, "IQ_TOTAL_REV",IQ_FY-2)/I3790))</f>
        <v>3.8712200790751177</v>
      </c>
      <c r="E3790" s="16">
        <f t="shared" si="1011"/>
        <v>0.28590681674121249</v>
      </c>
      <c r="F3790" s="15">
        <f>IF(A3791=A3792,_xll.ciqfunctions.udf.CIQ(A3783,"IQ_DILUT_EPS_EXCL",IQ_FY-3), _xll.ciqfunctions.udf.CIQ(A3783, "IQ_DILUT_EPS_EXCL",IQ_FY-2))</f>
        <v>-0.49381000000000003</v>
      </c>
      <c r="G3790" s="15">
        <f>IF(A3791=A3792,_xll.ciqfunctions.udf.CIQ(A3783,"IQ_EBITDA_MARGIN",IQ_FY-3), _xll.ciqfunctions.udf.CIQ(A3783, "IQ_EBITDA_MARGIN",IQ_FY-2))</f>
        <v>44.952800000000003</v>
      </c>
      <c r="H3790" s="15">
        <f>IF(A3791=A3792,_xll.ciqfunctions.udf.CIQ(A3783,"IQ_TOTAL_DIV_PAID_CF",IQ_FY-3)/-I3790, _xll.ciqfunctions.udf.CIQ(A3783, "IQ_TOTAL_DIV_PAID_CF",IQ_FY-2)/-I3790)</f>
        <v>2.6411454337022977E-3</v>
      </c>
      <c r="I3790" s="17">
        <f>IF(A3791=A3792,_xll.ciqfunctions.udf.CIQ(A3783,"IQ_TOTAL_OUTSTANDING_FILING_DATE",IQ_FY-3), _xll.ciqfunctions.udf.CIQ(A3783, "IQ_TOTAL_OUTSTANDING_FILING_DATE",IQ_FY-2))</f>
        <v>51.492809999999999</v>
      </c>
      <c r="J3790" s="17">
        <f>IF(A3791=A3792,_xll.ciqfunctions.udf.CIQ(A3783,"IQ_CASH_OPER",IQ_FY-3), _xll.ciqfunctions.udf.CIQ(A3783, "IQ_CASH_OPER",IQ_FY-2))</f>
        <v>67.478999999999999</v>
      </c>
      <c r="K3790" s="17">
        <f>IF(A3791=A3792,_xll.ciqfunctions.udf.CIQ(A3783,"IQ_CAPEX",IQ_FY-3), _xll.ciqfunctions.udf.CIQ(A3783, "IQ_CAPEX",IQ_FY-2))</f>
        <v>-4.141</v>
      </c>
      <c r="L3790" s="15">
        <f t="shared" si="1008"/>
        <v>1.2300358049987949</v>
      </c>
      <c r="M3790" s="17">
        <f>IF(A3791=A3792,_xll.ciqfunctions.udf.CIQ(A3783,"IQ_TOTAL_DEBT_ISSUED",IQ_FY-3), _xll.ciqfunctions.udf.CIQ(A3783, "IQ_TOTAL_DEBT_ISSUED",IQ_FY-2))</f>
        <v>0</v>
      </c>
      <c r="N3790" s="17">
        <f>IF(A3791=A3792,_xll.ciqfunctions.udf.CIQ(A3783,"IQ_TOTAL_DEBT_REPAID",IQ_FY-3), _xll.ciqfunctions.udf.CIQ(A3783, "IQ_TOTAL_DEBT_REPAID",IQ_FY-2))</f>
        <v>-6.343</v>
      </c>
      <c r="O3790" s="15">
        <f t="shared" si="1009"/>
        <v>-0.12318224622039466</v>
      </c>
      <c r="P3790" s="15">
        <f t="shared" si="1010"/>
        <v>1.1068535587784003</v>
      </c>
      <c r="Q3790" s="18"/>
      <c r="R3790" s="39" t="s">
        <v>31</v>
      </c>
      <c r="S3790" s="5" t="e">
        <f>IF(NOT(D3783&gt;0),FALSE,SLOPE(G3783:G3793,B3783:B3793))</f>
        <v>#DIV/0!</v>
      </c>
      <c r="U3790" s="18"/>
      <c r="V3790" s="39" t="s">
        <v>31</v>
      </c>
      <c r="W3790" s="5" t="e">
        <f>IF(NOT(D3783&gt;0),FALSE,SLOPE(G3783:G3793,B3783:B3793))</f>
        <v>#DIV/0!</v>
      </c>
      <c r="Y3790" s="18"/>
      <c r="Z3790" s="39" t="s">
        <v>31</v>
      </c>
      <c r="AA3790" s="5" t="e">
        <f>IF(NOT(L3783&gt;0),FALSE,SLOPE(O3783:O3793,J3783:J3793))</f>
        <v>#DIV/0!</v>
      </c>
    </row>
    <row r="3791" spans="1:27">
      <c r="A3791" s="19">
        <f>_xll.ciqfunctions.udf.CIQ(A3783,"IQ_TOTAL_REV",IQ_FY)</f>
        <v>288.04599999999999</v>
      </c>
      <c r="B3791" s="13">
        <v>9</v>
      </c>
      <c r="C3791" s="14" t="s">
        <v>32</v>
      </c>
      <c r="D3791" s="15" cm="1">
        <f t="array" ref="D3791">_xlfn.SINGLE(IF(A3791=A3792,_xll.ciqfunctions.udf.CIQ(A3783,"IQ_TOTAL_REV",IQ_FY-2)/I3791, _xll.ciqfunctions.udf.CIQ(A3783, "IQ_TOTAL_REV",IQ_FY-1)/I3791))</f>
        <v>3.3243731560307821</v>
      </c>
      <c r="E3791" s="16">
        <f t="shared" si="1011"/>
        <v>-0.14125958015153303</v>
      </c>
      <c r="F3791" s="15">
        <f>IF(A3791=A3792,_xll.ciqfunctions.udf.CIQ(A3783,"IQ_DILUT_EPS_EXCL",IQ_FY-2), _xll.ciqfunctions.udf.CIQ(A3783, "IQ_DILUT_EPS_EXCL",IQ_FY-1))</f>
        <v>-0.48485</v>
      </c>
      <c r="G3791" s="15">
        <f>IF(A3791=A3792,_xll.ciqfunctions.udf.CIQ(A3783,"IQ_EBITDA_MARGIN",IQ_FY-2), _xll.ciqfunctions.udf.CIQ(A3783, "IQ_EBITDA_MARGIN",IQ_FY-1))</f>
        <v>28.5307</v>
      </c>
      <c r="H3791" s="15">
        <f>IF(A3791=A3792,_xll.ciqfunctions.udf.CIQ(A3783,"IQ_TOTAL_DIV_PAID_CF",IQ_FY-2)/-I3791, _xll.ciqfunctions.udf.CIQ(A3783, "IQ_TOTAL_DIV_PAID_CF",IQ_FY-1)/-I3791)</f>
        <v>1.4903270323962322E-4</v>
      </c>
      <c r="I3791" s="17">
        <f>IF(A3791=A3792,_xll.ciqfunctions.udf.CIQ(A3783,"IQ_TOTAL_OUTSTANDING_FILING_DATE",IQ_FY-2), _xll.ciqfunctions.udf.CIQ(A3783, "IQ_TOTAL_OUTSTANDING_FILING_DATE",IQ_FY-1))</f>
        <v>80.519239999999996</v>
      </c>
      <c r="J3791" s="17">
        <f>IF(A3791=A3792,_xll.ciqfunctions.udf.CIQ(A3783,"IQ_CASH_OPER",IQ_FY-2), _xll.ciqfunctions.udf.CIQ(A3783, "IQ_CASH_OPER",IQ_FY-1))</f>
        <v>89.834999999999994</v>
      </c>
      <c r="K3791" s="17">
        <f>IF(A3791=A3792,_xll.ciqfunctions.udf.CIQ(A3783,"IQ_CAPEX",IQ_FY-2), _xll.ciqfunctions.udf.CIQ(A3783, "IQ_CAPEX",IQ_FY-1))</f>
        <v>-0.84299999999999997</v>
      </c>
      <c r="L3791" s="15">
        <f t="shared" si="1008"/>
        <v>1.1052265272250457</v>
      </c>
      <c r="M3791" s="17">
        <f>IF(A3791=A3792,_xll.ciqfunctions.udf.CIQ(A3783,"IQ_TOTAL_DEBT_ISSUED",IQ_FY-2), _xll.ciqfunctions.udf.CIQ(A3783, "IQ_TOTAL_DEBT_ISSUED",IQ_FY-1))</f>
        <v>535</v>
      </c>
      <c r="N3791" s="17">
        <f>IF(A3791=A3792,_xll.ciqfunctions.udf.CIQ(A3783,"IQ_TOTAL_DEBT_REPAID",IQ_FY-2), _xll.ciqfunctions.udf.CIQ(A3783, "IQ_TOTAL_DEBT_REPAID",IQ_FY-1))</f>
        <v>-631.255</v>
      </c>
      <c r="O3791" s="15">
        <f t="shared" si="1009"/>
        <v>-1.1954285708608279</v>
      </c>
      <c r="P3791" s="15">
        <f t="shared" si="1010"/>
        <v>-9.0202043635782214E-2</v>
      </c>
      <c r="Q3791" s="25" t="s">
        <v>33</v>
      </c>
      <c r="R3791" s="38" t="s">
        <v>52</v>
      </c>
      <c r="S3791" s="4" t="e">
        <f>(AVERAGE(O3788:O3793)/AVERAGE(P3788:P3793))</f>
        <v>#DIV/0!</v>
      </c>
      <c r="U3791" s="25" t="s">
        <v>54</v>
      </c>
      <c r="V3791" s="38" t="s">
        <v>52</v>
      </c>
      <c r="W3791" s="4" t="e">
        <f>(AVERAGE(O3788:O3793)/AVERAGE(P3788:P3793))</f>
        <v>#DIV/0!</v>
      </c>
      <c r="Y3791" s="25" t="s">
        <v>60</v>
      </c>
      <c r="Z3791" s="38" t="s">
        <v>52</v>
      </c>
      <c r="AA3791" s="4" t="e">
        <f>(AVERAGE(O3788:O3793)/AVERAGE(P3788:P3793))</f>
        <v>#DIV/0!</v>
      </c>
    </row>
    <row r="3792" spans="1:27">
      <c r="A3792" s="19">
        <f>_xll.ciqfunctions.udf.CIQ(A3783,"IQ_TOTAL_REV",IQ_LTM)</f>
        <v>299.589</v>
      </c>
      <c r="B3792" s="13">
        <v>10</v>
      </c>
      <c r="C3792" s="14" t="s">
        <v>34</v>
      </c>
      <c r="D3792" s="15" cm="1">
        <f t="array" ref="D3792">_xlfn.SINGLE(IF(A3791=A3792,_xll.ciqfunctions.udf.CIQ(A3783,"IQ_TOTAL_REV",IQ_FY-1)/I3792, _xll.ciqfunctions.udf.CIQ(A3783, "IQ_TOTAL_REV",IQ_FY)/I3792))</f>
        <v>3.5703935705497503</v>
      </c>
      <c r="E3792" s="16">
        <f t="shared" si="1011"/>
        <v>7.4005053876897001E-2</v>
      </c>
      <c r="F3792" s="15">
        <f>IF(A3791=A3792,_xll.ciqfunctions.udf.CIQ(A3783,"IQ_DILUT_EPS_EXCL",IQ_FY-1), _xll.ciqfunctions.udf.CIQ(A3783, "IQ_DILUT_EPS_EXCL",IQ_FY))</f>
        <v>1.6080000000000001E-2</v>
      </c>
      <c r="G3792" s="15">
        <f>IF(A3791=A3792,_xll.ciqfunctions.udf.CIQ(A3783,"IQ_EBITDA_MARGIN",IQ_FY-1), _xll.ciqfunctions.udf.CIQ(A3783, "IQ_EBITDA_MARGIN",IQ_FY))</f>
        <v>24.733799999999999</v>
      </c>
      <c r="H3792" s="15">
        <f>IF(A3791=A3792,_xll.ciqfunctions.udf.CIQ(A3783,"IQ_TOTAL_DIV_PAID_CF",IQ_FY-1)/-I3792, _xll.ciqfunctions.udf.CIQ(A3783, "IQ_TOTAL_DIV_PAID_CF",IQ_FY)/-I3792)</f>
        <v>0</v>
      </c>
      <c r="I3792" s="17">
        <f>IF(A3791=A3792,_xll.ciqfunctions.udf.CIQ(A3783,"IQ_TOTAL_OUTSTANDING_FILING_DATE",IQ_FY-1), _xll.ciqfunctions.udf.CIQ(A3783, "IQ_TOTAL_OUTSTANDING_FILING_DATE",IQ_FY))</f>
        <v>80.676259999999999</v>
      </c>
      <c r="J3792" s="17">
        <f>IF(A3791=A3792,_xll.ciqfunctions.udf.CIQ(A3783,"IQ_CASH_OPER",IQ_FY-1), _xll.ciqfunctions.udf.CIQ(A3783, "IQ_CASH_OPER",IQ_FY))</f>
        <v>74.587000000000003</v>
      </c>
      <c r="K3792" s="17">
        <f>IF(A3791=A3792,_xll.ciqfunctions.udf.CIQ(A3783,"IQ_CAPEX",IQ_FY-1), _xll.ciqfunctions.udf.CIQ(A3783, "IQ_CAPEX",IQ_FY))</f>
        <v>-1.1359999999999999</v>
      </c>
      <c r="L3792" s="15">
        <f t="shared" si="1008"/>
        <v>0.91044131197950928</v>
      </c>
      <c r="M3792" s="17">
        <f>IF(A3791=A3792,_xll.ciqfunctions.udf.CIQ(A3783,"IQ_TOTAL_DEBT_ISSUED",IQ_FY-1), _xll.ciqfunctions.udf.CIQ(A3783, "IQ_TOTAL_DEBT_ISSUED",IQ_FY))</f>
        <v>0</v>
      </c>
      <c r="N3792" s="17">
        <f>IF(A3791=A3792,_xll.ciqfunctions.udf.CIQ(A3783,"IQ_TOTAL_DEBT_REPAID",IQ_FY-1), _xll.ciqfunctions.udf.CIQ(A3783, "IQ_TOTAL_DEBT_REPAID",IQ_FY))</f>
        <v>-6.5279999999999996</v>
      </c>
      <c r="O3792" s="15">
        <f t="shared" si="1009"/>
        <v>-8.0915996849630856E-2</v>
      </c>
      <c r="P3792" s="15">
        <f t="shared" si="1010"/>
        <v>0.82952531512987848</v>
      </c>
      <c r="Q3792" s="25" t="s">
        <v>44</v>
      </c>
      <c r="R3792" s="38" t="s">
        <v>35</v>
      </c>
      <c r="S3792" s="1">
        <f>_xll.ciqfunctions.udf.CIQ(A3783,"IQ_TEV_EBITDA")</f>
        <v>32.548609999999996</v>
      </c>
      <c r="U3792" s="25" t="s">
        <v>55</v>
      </c>
      <c r="V3792" s="38" t="s">
        <v>53</v>
      </c>
      <c r="W3792" s="1" t="e">
        <f>V3782/(AVERAGE(D3788:D3793)/_xlfn.STDEV.P(E3788:E3793))</f>
        <v>#DIV/0!</v>
      </c>
      <c r="Y3792" s="25" t="s">
        <v>57</v>
      </c>
      <c r="Z3792" s="38" t="s">
        <v>53</v>
      </c>
      <c r="AA3792" s="1" t="e">
        <f>Z3782/(AVERAGE(D3788:D3793)/_xlfn.STDEV.P(E3788:E3793))</f>
        <v>#DIV/0!</v>
      </c>
    </row>
    <row r="3793" spans="1:27">
      <c r="B3793" s="13">
        <v>11</v>
      </c>
      <c r="C3793" s="20" t="s">
        <v>36</v>
      </c>
      <c r="D3793" s="21" cm="1">
        <f t="array" ref="D3793">_xlfn.SINGLE(IF(A3791=A3792,_xll.ciqfunctions.udf.CIQ(A3783,"IQ_TOTAL_REV",IQ_FY)/I3793, _xll.ciqfunctions.udf.CIQ(A3783, "IQ_TOTAL_REV",IQ_LTM)/I3793))</f>
        <v>3.7929115779838467</v>
      </c>
      <c r="E3793" s="22">
        <f t="shared" si="1011"/>
        <v>6.2323103332228527E-2</v>
      </c>
      <c r="F3793" s="21">
        <f>IF(A3791=A3792,_xll.ciqfunctions.udf.CIQ(A3783,"IQ_DILUT_EPS_EXCL",IQ_FY), _xll.ciqfunctions.udf.CIQ(A3783, "IQ_DILUT_EPS_EXCL",IQ_LTM))</f>
        <v>-0.22792000000000001</v>
      </c>
      <c r="G3793" s="21">
        <f>IF(A3791=A3792,_xll.ciqfunctions.udf.CIQ(A3783,"IQ_EBITDA_MARGIN",IQ_FY), _xll.ciqfunctions.udf.CIQ(A3783, "IQ_EBITDA_MARGIN",IQ_LTM))</f>
        <v>18.1875</v>
      </c>
      <c r="H3793" s="21">
        <f>IF(A3791=A3792,_xll.ciqfunctions.udf.CIQ(A3783,"IQ_TOTAL_DIV_PAID_CF",IQ_FY)/-I3793, _xll.ciqfunctions.udf.CIQ(A3783, "IQ_TOTAL_DIV_PAID_CF",IQ_LTM)/-I3793)</f>
        <v>0</v>
      </c>
      <c r="I3793" s="23">
        <f>IF(A3791=A3792,_xll.ciqfunctions.udf.CIQ(A3783,"IQ_TOTAL_OUTSTANDING_FILING_DATE",IQ_FY),_xll.ciqfunctions.udf.CIQ(A3783,"IQ_sharesoutstanding"))</f>
        <v>78.986549999999994</v>
      </c>
      <c r="J3793" s="23">
        <f>IF(A3791=A3792,_xll.ciqfunctions.udf.CIQ(A3783,"IQ_CASH_OPER",IQ_FY), _xll.ciqfunctions.udf.CIQ(A3783, "IQ_CASH_OPER",IQ_LTM))</f>
        <v>62.838000000000001</v>
      </c>
      <c r="K3793" s="23">
        <f>IF(A3791=A3792,_xll.ciqfunctions.udf.CIQ(A3783,"IQ_CAPEX",IQ_FY), _xll.ciqfunctions.udf.CIQ(A3783, "IQ_CAPEX",IQ_LTM))</f>
        <v>-0.59399999999999997</v>
      </c>
      <c r="L3793" s="21">
        <f t="shared" si="1008"/>
        <v>0.7880328992720913</v>
      </c>
      <c r="M3793" s="23">
        <f>IF(A3791=A3792,_xll.ciqfunctions.udf.CIQ(A3783,"IQ_TOTAL_DEBT_ISSUED",IQ_FY), _xll.ciqfunctions.udf.CIQ(A3783, "IQ_TOTAL_DEBT_ISSUED",IQ_LTM))</f>
        <v>0</v>
      </c>
      <c r="N3793" s="23">
        <f>IF(A3791=A3792,_xll.ciqfunctions.udf.CIQ(A3783,"IQ_TOTAL_DEBT_REPAID",IQ_FY), _xll.ciqfunctions.udf.CIQ(A3783, "IQ_TOTAL_DEBT_REPAID",IQ_LTM))</f>
        <v>-4.351</v>
      </c>
      <c r="O3793" s="21">
        <f t="shared" si="1009"/>
        <v>-5.5085327818470364E-2</v>
      </c>
      <c r="P3793" s="21">
        <f t="shared" si="1010"/>
        <v>0.73294757145362088</v>
      </c>
      <c r="Q3793" s="25" t="s">
        <v>45</v>
      </c>
      <c r="S3793" s="45"/>
      <c r="U3793" s="25"/>
      <c r="W3793" s="45"/>
      <c r="Y3793" s="25"/>
      <c r="AA3793" s="45"/>
    </row>
    <row r="3794" spans="1:27">
      <c r="B3794" s="24"/>
      <c r="C3794" s="25" t="s">
        <v>37</v>
      </c>
      <c r="E3794" s="26" t="e">
        <f>((D3793/D3788)^(1/5))-1</f>
        <v>#DIV/0!</v>
      </c>
      <c r="F3794" s="27" t="e">
        <f>((F3793/F3788)^(1/5))-1</f>
        <v>#DIV/0!</v>
      </c>
      <c r="G3794" s="28"/>
      <c r="H3794" s="27" t="e">
        <f>((H3793/H3788)^(1/5))-1</f>
        <v>#DIV/0!</v>
      </c>
      <c r="I3794" s="27" t="e">
        <f>((I3793/I3788)^(1/5))-1</f>
        <v>#DIV/0!</v>
      </c>
      <c r="J3794" s="27"/>
      <c r="K3794" s="27"/>
      <c r="L3794" s="26" t="e">
        <f>((L3793/L3788)^(1/5))-1</f>
        <v>#DIV/0!</v>
      </c>
      <c r="M3794" s="26"/>
      <c r="N3794" s="26"/>
      <c r="O3794" s="26"/>
      <c r="P3794" s="26" t="e">
        <f>((P3793/P3788)^(1/5))-1</f>
        <v>#DIV/0!</v>
      </c>
      <c r="Q3794" s="18"/>
      <c r="R3794" s="36"/>
      <c r="S3794" s="45"/>
      <c r="U3794" s="18"/>
      <c r="V3794" s="36"/>
      <c r="W3794" s="45"/>
      <c r="Y3794" s="18"/>
      <c r="Z3794" s="36"/>
      <c r="AA3794" s="45"/>
    </row>
    <row r="3795" spans="1:27">
      <c r="A3795" s="29"/>
      <c r="B3795" s="30"/>
      <c r="C3795" s="31" t="s">
        <v>38</v>
      </c>
      <c r="D3795" s="29"/>
      <c r="E3795" s="32" t="e">
        <f>((D3793/D3783)^(1/10))-1</f>
        <v>#DIV/0!</v>
      </c>
      <c r="F3795" s="33" t="e">
        <f>((F3793/F3783)^(1/10))-1</f>
        <v>#DIV/0!</v>
      </c>
      <c r="G3795" s="34"/>
      <c r="H3795" s="33" t="e">
        <f>((H3793/H3783)^(1/10))-1</f>
        <v>#DIV/0!</v>
      </c>
      <c r="I3795" s="33" t="e">
        <f>((I3793/I3783)^(1/10))-1</f>
        <v>#DIV/0!</v>
      </c>
      <c r="J3795" s="33"/>
      <c r="K3795" s="33"/>
      <c r="L3795" s="32" t="e">
        <f>((L3793/L3783)^(1/10))-1</f>
        <v>#DIV/0!</v>
      </c>
      <c r="M3795" s="32"/>
      <c r="N3795" s="32"/>
      <c r="O3795" s="32"/>
      <c r="P3795" s="32" t="e">
        <f>((P3793/P3783)^(1/10))-1</f>
        <v>#DIV/0!</v>
      </c>
      <c r="Q3795" s="40"/>
      <c r="R3795" s="41"/>
      <c r="S3795" s="46"/>
      <c r="U3795" s="40"/>
      <c r="V3795" s="41"/>
      <c r="W3795" s="46"/>
      <c r="Y3795" s="40"/>
      <c r="Z3795" s="41"/>
      <c r="AA3795" s="46"/>
    </row>
    <row r="3796" spans="1:27">
      <c r="B3796" s="24"/>
      <c r="C3796" s="25"/>
      <c r="E3796" s="26"/>
      <c r="F3796" s="27"/>
      <c r="G3796" s="28"/>
      <c r="H3796" s="27"/>
      <c r="I3796" s="27"/>
      <c r="J3796" s="27"/>
      <c r="K3796" s="27"/>
      <c r="L3796" s="26"/>
      <c r="M3796" s="17"/>
      <c r="N3796" s="17"/>
      <c r="O3796" s="17"/>
      <c r="P3796" s="35"/>
      <c r="Q3796" s="18"/>
      <c r="R3796" s="36"/>
    </row>
    <row r="3797" spans="1:27">
      <c r="A3797" s="9" t="s">
        <v>0</v>
      </c>
      <c r="B3797" s="10"/>
      <c r="C3797" s="9" t="s">
        <v>1</v>
      </c>
      <c r="D3797" s="9" t="s">
        <v>2</v>
      </c>
      <c r="E3797" s="9" t="s">
        <v>3</v>
      </c>
      <c r="F3797" s="11" t="s">
        <v>4</v>
      </c>
      <c r="G3797" s="11" t="s">
        <v>5</v>
      </c>
      <c r="H3797" s="9" t="s">
        <v>6</v>
      </c>
      <c r="I3797" s="11" t="s">
        <v>7</v>
      </c>
      <c r="J3797" s="11" t="s">
        <v>8</v>
      </c>
      <c r="K3797" s="11" t="s">
        <v>9</v>
      </c>
      <c r="L3797" s="11" t="s">
        <v>10</v>
      </c>
      <c r="M3797" s="11" t="s">
        <v>11</v>
      </c>
      <c r="N3797" s="11" t="s">
        <v>12</v>
      </c>
      <c r="O3797" s="11" t="s">
        <v>13</v>
      </c>
      <c r="P3797" s="11" t="s">
        <v>14</v>
      </c>
      <c r="Q3797" s="37" t="s">
        <v>15</v>
      </c>
      <c r="R3797" s="42">
        <f>_xll.ciqfunctions.udf.CIQ(A3798,("IQ_LASTSALEPRICE"))</f>
        <v>10.45</v>
      </c>
      <c r="S3797" s="44"/>
      <c r="U3797" s="37" t="s">
        <v>15</v>
      </c>
      <c r="V3797" s="42">
        <f>_xll.ciqfunctions.udf.CIQ(A3798,("IQ_LASTSALEPRICE"))</f>
        <v>10.45</v>
      </c>
      <c r="W3797" s="44"/>
      <c r="Y3797" s="37" t="s">
        <v>15</v>
      </c>
      <c r="Z3797" s="42">
        <f>_xll.ciqfunctions.udf.CIQ(A3798,("IQ_LASTSALEPRICE"))</f>
        <v>10.45</v>
      </c>
      <c r="AA3797" s="44"/>
    </row>
    <row r="3798" spans="1:27">
      <c r="A3798" s="12" t="str">
        <f>Analysis!B255</f>
        <v>NYSE:SEMR</v>
      </c>
      <c r="B3798" s="13">
        <v>1</v>
      </c>
      <c r="C3798" s="14" t="s">
        <v>16</v>
      </c>
      <c r="D3798" s="15" t="e">
        <f>IF(A3806=A3807,_xll.ciqfunctions.udf.CIQ(A3798,"IQ_TOTAL_REV",IQ_FY-10)/I3798,_xll.ciqfunctions.udf.CIQ(A3798, "IQ_TOTAL_REV",IQ_FY-9)/I3798)</f>
        <v>#DIV/0!</v>
      </c>
      <c r="E3798" s="16"/>
      <c r="F3798" s="15">
        <f>IF(A3806=A3807,_xll.ciqfunctions.udf.CIQ(A3798,"IQ_DILUT_EPS_EXCL",IQ_FY-10), _xll.ciqfunctions.udf.CIQ(A3798, "IQ_DILUT_EPS_EXCL",IQ_FY-9))</f>
        <v>0</v>
      </c>
      <c r="G3798" s="15">
        <f>IF(A3806=A3807,_xll.ciqfunctions.udf.CIQ(A3798,"IQ_EBITDA_MARGIN",IQ_FY-10), _xll.ciqfunctions.udf.CIQ(A3798, "IQ_EBITDA_MARGIN",IQ_FY-9))</f>
        <v>0</v>
      </c>
      <c r="H3798" s="15" t="e">
        <f>IF(A3806=A3807,_xll.ciqfunctions.udf.CIQ(A3798,"IQ_TOTAL_DIV_PAID_CF",IQ_FY-10)/-I3798, _xll.ciqfunctions.udf.CIQ(A3798, "IQ_TOTAL_DIV_PAID_CF",IQ_FY-9)/-I3798)</f>
        <v>#DIV/0!</v>
      </c>
      <c r="I3798" s="17">
        <f>IF(A3806=A3807,_xll.ciqfunctions.udf.CIQ(A3798,"IQ_TOTAL_OUTSTANDING_FILING_DATE",IQ_FY-10), _xll.ciqfunctions.udf.CIQ(A3798, "IQ_TOTAL_OUTSTANDING_FILING_DATE",IQ_FY-9))</f>
        <v>0</v>
      </c>
      <c r="J3798" s="17">
        <f>IF(A3806=A3807,_xll.ciqfunctions.udf.CIQ(A3798,"IQ_CASH_OPER",IQ_FY-10), _xll.ciqfunctions.udf.CIQ(A3798, "IQ_CASH_OPER",IQ_FY-9))</f>
        <v>0</v>
      </c>
      <c r="K3798" s="17">
        <f>IF(A3806=A3807,_xll.ciqfunctions.udf.CIQ(A3798,"IQ_CAPEX",IQ_FY-10), _xll.ciqfunctions.udf.CIQ(A3798, "IQ_CAPEX",IQ_FY-9))</f>
        <v>0</v>
      </c>
      <c r="L3798" s="15" t="e">
        <f t="shared" ref="L3798:L3808" si="1012">(J3798+K3798)/I3798</f>
        <v>#DIV/0!</v>
      </c>
      <c r="M3798" s="17">
        <f>IF(A3806=A3807,_xll.ciqfunctions.udf.CIQ(A3798,"IQ_TOTAL_DEBT_ISSUED",IQ_FY-10), _xll.ciqfunctions.udf.CIQ(A3798, "IQ_TOTAL_DEBT_ISSUED",IQ_FY-9))</f>
        <v>0</v>
      </c>
      <c r="N3798" s="17">
        <f>IF(A3806=A3807,_xll.ciqfunctions.udf.CIQ(A3798,"IQ_TOTAL_DEBT_REPAID",IQ_FY-10), _xll.ciqfunctions.udf.CIQ(A3798, "IQ_TOTAL_DEBT_REPAID",IQ_FY-9))</f>
        <v>0</v>
      </c>
      <c r="O3798" s="15" t="e">
        <f t="shared" ref="O3798:O3808" si="1013">(M3798+N3798)/I3798</f>
        <v>#DIV/0!</v>
      </c>
      <c r="P3798" s="15" t="e">
        <f t="shared" ref="P3798:P3808" si="1014">L3798+O3798</f>
        <v>#DIV/0!</v>
      </c>
      <c r="W3798" s="43"/>
      <c r="AA3798" s="43"/>
    </row>
    <row r="3799" spans="1:27">
      <c r="A3799" s="18" t="str">
        <f>_xll.ciqfunctions.udf.CIQ(A3798,"IQ_COMPANY_NAME")</f>
        <v>Semrush Holdings, Inc.</v>
      </c>
      <c r="B3799" s="13">
        <v>2</v>
      </c>
      <c r="C3799" s="14" t="s">
        <v>17</v>
      </c>
      <c r="D3799" s="15" t="e">
        <f>IF(A3806=A3807,_xll.ciqfunctions.udf.CIQ(A3798,"IQ_TOTAL_REV",IQ_FY-9)/I3799, _xll.ciqfunctions.udf.CIQ(A3798, "IQ_TOTAL_REV",IQ_FY-8)/I3799)</f>
        <v>#DIV/0!</v>
      </c>
      <c r="E3799" s="16" t="e">
        <f t="shared" ref="E3799:E3808" si="1015">(D3799-D3798)/D3798</f>
        <v>#DIV/0!</v>
      </c>
      <c r="F3799" s="15">
        <f>IF(A3806=A3807,_xll.ciqfunctions.udf.CIQ(A3798,"IQ_DILUT_EPS_EXCL",IQ_FY-9), _xll.ciqfunctions.udf.CIQ(A3798, "IQ_DILUT_EPS_EXCL",IQ_FY-8))</f>
        <v>0</v>
      </c>
      <c r="G3799" s="15">
        <f>IF(A3806=A3807,_xll.ciqfunctions.udf.CIQ(A3798,"IQ_EBITDA_MARGIN",IQ_FY-9), _xll.ciqfunctions.udf.CIQ(A3798, "IQ_EBITDA_MARGIN",IQ_FY-8))</f>
        <v>0</v>
      </c>
      <c r="H3799" s="15" t="e">
        <f>IF(A3806=A3807,_xll.ciqfunctions.udf.CIQ(A3798,"IQ_TOTAL_DIV_PAID_CF",IQ_FY-9)/-I3799, _xll.ciqfunctions.udf.CIQ(A3798, "IQ_TOTAL_DIV_PAID_CF",IQ_FY-8)/-I3799)</f>
        <v>#DIV/0!</v>
      </c>
      <c r="I3799" s="17">
        <f>IF(A3806=A3807,_xll.ciqfunctions.udf.CIQ(A3798,"IQ_TOTAL_OUTSTANDING_FILING_DATE",IQ_FY-9), _xll.ciqfunctions.udf.CIQ(A3798, "IQ_TOTAL_OUTSTANDING_FILING_DATE",IQ_FY-8))</f>
        <v>0</v>
      </c>
      <c r="J3799" s="17">
        <f>IF(A3806=A3807,_xll.ciqfunctions.udf.CIQ(A3798,"IQ_CASH_OPER",IQ_FY-9), _xll.ciqfunctions.udf.CIQ(A3798, "IQ_CASH_OPER",IQ_FY-8))</f>
        <v>0</v>
      </c>
      <c r="K3799" s="17">
        <f>IF(A3806=A3807,_xll.ciqfunctions.udf.CIQ(A3798,"IQ_CAPEX",IQ_FY-9), _xll.ciqfunctions.udf.CIQ(A3798, "IQ_CAPEX",IQ_FY-8))</f>
        <v>0</v>
      </c>
      <c r="L3799" s="15" t="e">
        <f t="shared" si="1012"/>
        <v>#DIV/0!</v>
      </c>
      <c r="M3799" s="17">
        <f>IF(A3806=A3807,_xll.ciqfunctions.udf.CIQ(A3798,"IQ_TOTAL_DEBT_ISSUED",IQ_FY-9), _xll.ciqfunctions.udf.CIQ(A3798, "IQ_TOTAL_DEBT_ISSUED",IQ_FY-8))</f>
        <v>0</v>
      </c>
      <c r="N3799" s="17">
        <f>IF(A3806=A3807,_xll.ciqfunctions.udf.CIQ(A3798,"IQ_TOTAL_DEBT_REPAID",IQ_FY-9), _xll.ciqfunctions.udf.CIQ(A3798, "IQ_TOTAL_DEBT_REPAID",IQ_FY-8))</f>
        <v>0</v>
      </c>
      <c r="O3799" s="15" t="e">
        <f t="shared" si="1013"/>
        <v>#DIV/0!</v>
      </c>
      <c r="P3799" s="15" t="e">
        <f t="shared" si="1014"/>
        <v>#DIV/0!</v>
      </c>
      <c r="Q3799" s="25" t="s">
        <v>18</v>
      </c>
      <c r="R3799" s="39" t="s">
        <v>19</v>
      </c>
      <c r="S3799" s="1" t="e">
        <f>R3797/((AVERAGE(P3803:P3808))*(1+E3809)^3)</f>
        <v>#DIV/0!</v>
      </c>
      <c r="U3799" s="25" t="s">
        <v>48</v>
      </c>
      <c r="V3799" s="39" t="s">
        <v>19</v>
      </c>
      <c r="W3799" s="1" t="e">
        <f>V3797/((AVERAGE(P3803:P3808))*(1+E3809)^3)</f>
        <v>#DIV/0!</v>
      </c>
      <c r="Y3799" s="25" t="s">
        <v>39</v>
      </c>
      <c r="Z3799" s="39" t="s">
        <v>19</v>
      </c>
      <c r="AA3799" s="1" t="e">
        <f>Z3797/((AVERAGE(P3803:P3808))*(1+E3809)^3)</f>
        <v>#DIV/0!</v>
      </c>
    </row>
    <row r="3800" spans="1:27">
      <c r="B3800" s="13">
        <v>3</v>
      </c>
      <c r="C3800" s="14" t="s">
        <v>20</v>
      </c>
      <c r="D3800" s="15" t="e" cm="1">
        <f t="array" ref="D3800">_xlfn.SINGLE(IF(A3806=A3807,_xll.ciqfunctions.udf.CIQ(A3798,"IQ_TOTAL_REV",IQ_FY-8)/I3800, _xll.ciqfunctions.udf.CIQ(A3798, "IQ_TOTAL_REV",IQ_FY-7)/I3800))</f>
        <v>#DIV/0!</v>
      </c>
      <c r="E3800" s="16" t="e">
        <f t="shared" si="1015"/>
        <v>#DIV/0!</v>
      </c>
      <c r="F3800" s="15">
        <f>IF(A3806=A3807,_xll.ciqfunctions.udf.CIQ(A3798,"IQ_DILUT_EPS_EXCL",IQ_FY-8), _xll.ciqfunctions.udf.CIQ(A3798, "IQ_DILUT_EPS_EXCL",IQ_FY-7))</f>
        <v>0</v>
      </c>
      <c r="G3800" s="15">
        <f>IF(A3806=A3807,_xll.ciqfunctions.udf.CIQ(A3798,"IQ_EBITDA_MARGIN",IQ_FY-8), _xll.ciqfunctions.udf.CIQ(A3798, "IQ_EBITDA_MARGIN",IQ_FY-7))</f>
        <v>0</v>
      </c>
      <c r="H3800" s="15" t="e">
        <f>IF(A3806=A3807,_xll.ciqfunctions.udf.CIQ(A3798,"IQ_TOTAL_DIV_PAID_CF",IQ_FY-8)/-I3800, _xll.ciqfunctions.udf.CIQ(A3798, "IQ_TOTAL_DIV_PAID_CF",IQ_FY-7)/-I3800)</f>
        <v>#DIV/0!</v>
      </c>
      <c r="I3800" s="17">
        <f>IF(A3806=A3807,_xll.ciqfunctions.udf.CIQ(A3798,"IQ_TOTAL_OUTSTANDING_FILING_DATE",IQ_FY-8), _xll.ciqfunctions.udf.CIQ(A3798, "IQ_TOTAL_OUTSTANDING_FILING_DATE",IQ_FY-7))</f>
        <v>0</v>
      </c>
      <c r="J3800" s="17">
        <f>IF(A3806=A3807,_xll.ciqfunctions.udf.CIQ(A3798,"IQ_CASH_OPER",IQ_FY-8), _xll.ciqfunctions.udf.CIQ(A3798, "IQ_CASH_OPER",IQ_FY-7))</f>
        <v>0</v>
      </c>
      <c r="K3800" s="17">
        <f>IF(A3806=A3807,_xll.ciqfunctions.udf.CIQ(A3798,"IQ_CAPEX",IQ_FY-8), _xll.ciqfunctions.udf.CIQ(A3798, "IQ_CAPEX",IQ_FY-7))</f>
        <v>0</v>
      </c>
      <c r="L3800" s="15" t="e">
        <f t="shared" si="1012"/>
        <v>#DIV/0!</v>
      </c>
      <c r="M3800" s="17">
        <f>IF(A3806=A3807,_xll.ciqfunctions.udf.CIQ(A3798,"IQ_TOTAL_DEBT_ISSUED",IQ_FY-8), _xll.ciqfunctions.udf.CIQ(A3798, "IQ_TOTAL_DEBT_ISSUED",IQ_FY-7))</f>
        <v>0</v>
      </c>
      <c r="N3800" s="17">
        <f>IF(A3806=A3807,_xll.ciqfunctions.udf.CIQ(A3798,"IQ_TOTAL_DEBT_REPAID",IQ_FY-8), _xll.ciqfunctions.udf.CIQ(A3798, "IQ_TOTAL_DEBT_REPAID",IQ_FY-7))</f>
        <v>0</v>
      </c>
      <c r="O3800" s="15" t="e">
        <f t="shared" si="1013"/>
        <v>#DIV/0!</v>
      </c>
      <c r="P3800" s="15" t="e">
        <f t="shared" si="1014"/>
        <v>#DIV/0!</v>
      </c>
      <c r="Q3800" s="25" t="s">
        <v>21</v>
      </c>
      <c r="R3800" s="38" t="s">
        <v>49</v>
      </c>
      <c r="S3800" s="2">
        <f>(R3797*I3808)/1000</f>
        <v>1.4967636365000001</v>
      </c>
      <c r="U3800" s="25" t="s">
        <v>59</v>
      </c>
      <c r="V3800" s="38" t="s">
        <v>49</v>
      </c>
      <c r="W3800" s="2">
        <f>(V3797*I3808)/1000</f>
        <v>1.4967636365000001</v>
      </c>
      <c r="Y3800" s="25" t="s">
        <v>46</v>
      </c>
      <c r="Z3800" s="38" t="s">
        <v>49</v>
      </c>
      <c r="AA3800" s="2">
        <f>(Z3797*I3808)/1000</f>
        <v>1.4967636365000001</v>
      </c>
    </row>
    <row r="3801" spans="1:27">
      <c r="A3801" s="18"/>
      <c r="B3801" s="13">
        <v>4</v>
      </c>
      <c r="C3801" s="14" t="s">
        <v>22</v>
      </c>
      <c r="D3801" s="15" t="e" cm="1">
        <f t="array" ref="D3801">_xlfn.SINGLE(IF(A3806=A3807,_xll.ciqfunctions.udf.CIQ(A3798,"IQ_TOTAL_REV",IQ_FY-7)/I3801, _xll.ciqfunctions.udf.CIQ(A3798, "IQ_TOTAL_REV",IQ_FY-6)/I3801))</f>
        <v>#DIV/0!</v>
      </c>
      <c r="E3801" s="16" t="e">
        <f t="shared" si="1015"/>
        <v>#DIV/0!</v>
      </c>
      <c r="F3801" s="15">
        <f>IF(A3806=A3807,_xll.ciqfunctions.udf.CIQ(A3798,"IQ_DILUT_EPS_EXCL",IQ_FY-7), _xll.ciqfunctions.udf.CIQ(A3798, "IQ_DILUT_EPS_EXCL",IQ_FY-6))</f>
        <v>0</v>
      </c>
      <c r="G3801" s="15">
        <f>IF(A3806=A3807,_xll.ciqfunctions.udf.CIQ(A3798,"IQ_EBITDA_MARGIN",IQ_FY-7), _xll.ciqfunctions.udf.CIQ(A3798, "IQ_EBITDA_MARGIN",IQ_FY-6))</f>
        <v>0</v>
      </c>
      <c r="H3801" s="15" t="e">
        <f>IF(A3806=A3807,_xll.ciqfunctions.udf.CIQ(A3798,"IQ_TOTAL_DIV_PAID_CF",IQ_FY-7)/-I3801, _xll.ciqfunctions.udf.CIQ(A3798, "IQ_TOTAL_DIV_PAID_CF",IQ_FY-6)/-I3801)</f>
        <v>#DIV/0!</v>
      </c>
      <c r="I3801" s="17">
        <f>IF(A3806=A3807,_xll.ciqfunctions.udf.CIQ(A3798,"IQ_TOTAL_OUTSTANDING_FILING_DATE",IQ_FY-7), _xll.ciqfunctions.udf.CIQ(A3798, "IQ_TOTAL_OUTSTANDING_FILING_DATE",IQ_FY-6))</f>
        <v>0</v>
      </c>
      <c r="J3801" s="17">
        <f>IF(A3806=A3807,_xll.ciqfunctions.udf.CIQ(A3798,"IQ_CASH_OPER",IQ_FY-7), _xll.ciqfunctions.udf.CIQ(A3798, "IQ_CASH_OPER",IQ_FY-6))</f>
        <v>0</v>
      </c>
      <c r="K3801" s="17">
        <f>IF(A3806=A3807,_xll.ciqfunctions.udf.CIQ(A3798,"IQ_CAPEX",IQ_FY-7), _xll.ciqfunctions.udf.CIQ(A3798, "IQ_CAPEX",IQ_FY-6))</f>
        <v>0</v>
      </c>
      <c r="L3801" s="15" t="e">
        <f t="shared" si="1012"/>
        <v>#DIV/0!</v>
      </c>
      <c r="M3801" s="17">
        <f>IF(A3806=A3807,_xll.ciqfunctions.udf.CIQ(A3798,"IQ_TOTAL_DEBT_ISSUED",IQ_FY-7), _xll.ciqfunctions.udf.CIQ(A3798, "IQ_TOTAL_DEBT_ISSUED",IQ_FY-6))</f>
        <v>0</v>
      </c>
      <c r="N3801" s="17">
        <f>IF(A3806=A3807,_xll.ciqfunctions.udf.CIQ(A3798,"IQ_TOTAL_DEBT_REPAID",IQ_FY-7), _xll.ciqfunctions.udf.CIQ(A3798, "IQ_TOTAL_DEBT_REPAID",IQ_FY-6))</f>
        <v>0</v>
      </c>
      <c r="O3801" s="15" t="e">
        <f t="shared" si="1013"/>
        <v>#DIV/0!</v>
      </c>
      <c r="P3801" s="15" t="e">
        <f t="shared" si="1014"/>
        <v>#DIV/0!</v>
      </c>
      <c r="Q3801" s="25" t="s">
        <v>23</v>
      </c>
      <c r="R3801" s="38" t="s">
        <v>24</v>
      </c>
      <c r="S3801" s="1" t="e">
        <f>R3797/(AVERAGE(H3803:H3808)*(1+H3809)/(0.5-H3809))</f>
        <v>#DIV/0!</v>
      </c>
      <c r="U3801" s="25" t="s">
        <v>40</v>
      </c>
      <c r="V3801" s="38" t="s">
        <v>24</v>
      </c>
      <c r="W3801" s="1" t="e">
        <f>V3797/(AVERAGE(H3803:H3808)*(1+H3809)/(0.5-H3809))</f>
        <v>#DIV/0!</v>
      </c>
      <c r="Y3801" s="25" t="s">
        <v>47</v>
      </c>
      <c r="Z3801" s="38" t="s">
        <v>24</v>
      </c>
      <c r="AA3801" s="1" t="e">
        <f>Z3797/(AVERAGE(H3803:H3808)*(1+H3809)/(0.5-H3809))</f>
        <v>#DIV/0!</v>
      </c>
    </row>
    <row r="3802" spans="1:27">
      <c r="B3802" s="13">
        <v>5</v>
      </c>
      <c r="C3802" s="14" t="s">
        <v>25</v>
      </c>
      <c r="D3802" s="15" t="e" cm="1">
        <f t="array" ref="D3802">_xlfn.SINGLE(IF(A3806=A3807,_xll.ciqfunctions.udf.CIQ(A3798,"IQ_TOTAL_REV",IQ_FY-6)/I3802, _xll.ciqfunctions.udf.CIQ(A3798, "IQ_TOTAL_REV",IQ_FY-5)/I3802))</f>
        <v>#DIV/0!</v>
      </c>
      <c r="E3802" s="16" t="e">
        <f t="shared" si="1015"/>
        <v>#DIV/0!</v>
      </c>
      <c r="F3802" s="15">
        <f>IF(A3806=A3807,_xll.ciqfunctions.udf.CIQ(A3798,"IQ_DILUT_EPS_EXCL",IQ_FY-6), _xll.ciqfunctions.udf.CIQ(A3798, "IQ_DILUT_EPS_EXCL",IQ_FY-5))</f>
        <v>0</v>
      </c>
      <c r="G3802" s="15">
        <f>IF(A3806=A3807,_xll.ciqfunctions.udf.CIQ(A3798,"IQ_EBITDA_MARGIN",IQ_FY-6), _xll.ciqfunctions.udf.CIQ(A3798, "IQ_EBITDA_MARGIN",IQ_FY-5))</f>
        <v>0</v>
      </c>
      <c r="H3802" s="15" t="e">
        <f>IF(A3806=A3807,_xll.ciqfunctions.udf.CIQ(A3798,"IQ_TOTAL_DIV_PAID_CF",IQ_FY-6)/-I3802, _xll.ciqfunctions.udf.CIQ(A3798, "IQ_TOTAL_DIV_PAID_CF",IQ_FY-5)/-I3802)</f>
        <v>#DIV/0!</v>
      </c>
      <c r="I3802" s="17">
        <f>IF(A3806=A3807,_xll.ciqfunctions.udf.CIQ(A3798,"IQ_TOTAL_OUTSTANDING_FILING_DATE",IQ_FY-6), _xll.ciqfunctions.udf.CIQ(A3798, "IQ_TOTAL_OUTSTANDING_FILING_DATE",IQ_FY-5))</f>
        <v>0</v>
      </c>
      <c r="J3802" s="17">
        <f>IF(A3806=A3807,_xll.ciqfunctions.udf.CIQ(A3798,"IQ_CASH_OPER",IQ_FY-6), _xll.ciqfunctions.udf.CIQ(A3798, "IQ_CASH_OPER",IQ_FY-5))</f>
        <v>0</v>
      </c>
      <c r="K3802" s="17">
        <f>IF(A3806=A3807,_xll.ciqfunctions.udf.CIQ(A3798,"IQ_CAPEX",IQ_FY-6), _xll.ciqfunctions.udf.CIQ(A3798, "IQ_CAPEX",IQ_FY-5))</f>
        <v>0</v>
      </c>
      <c r="L3802" s="15" t="e">
        <f t="shared" si="1012"/>
        <v>#DIV/0!</v>
      </c>
      <c r="M3802" s="17">
        <f>IF(A3806=A3807,_xll.ciqfunctions.udf.CIQ(A3798,"IQ_TOTAL_DEBT_ISSUED",IQ_FY-6), _xll.ciqfunctions.udf.CIQ(A3798, "IQ_TOTAL_DEBT_ISSUED",IQ_FY-5))</f>
        <v>0</v>
      </c>
      <c r="N3802" s="17">
        <f>IF(A3806=A3807,_xll.ciqfunctions.udf.CIQ(A3798,"IQ_TOTAL_DEBT_REPAID",IQ_FY-6), _xll.ciqfunctions.udf.CIQ(A3798, "IQ_TOTAL_DEBT_REPAID",IQ_FY-5))</f>
        <v>0</v>
      </c>
      <c r="O3802" s="15" t="e">
        <f t="shared" si="1013"/>
        <v>#DIV/0!</v>
      </c>
      <c r="P3802" s="15" t="e">
        <f t="shared" si="1014"/>
        <v>#DIV/0!</v>
      </c>
      <c r="Q3802" s="18"/>
      <c r="R3802" s="38" t="s">
        <v>50</v>
      </c>
      <c r="S3802" s="3" t="e">
        <f>I3809</f>
        <v>#DIV/0!</v>
      </c>
      <c r="U3802" s="18"/>
      <c r="V3802" s="38" t="s">
        <v>50</v>
      </c>
      <c r="W3802" s="3" t="e">
        <f>I3809</f>
        <v>#DIV/0!</v>
      </c>
      <c r="Y3802" s="18"/>
      <c r="Z3802" s="38" t="s">
        <v>50</v>
      </c>
      <c r="AA3802" s="3" t="e">
        <f>I3809</f>
        <v>#DIV/0!</v>
      </c>
    </row>
    <row r="3803" spans="1:27">
      <c r="B3803" s="13">
        <v>6</v>
      </c>
      <c r="C3803" s="14" t="s">
        <v>26</v>
      </c>
      <c r="D3803" s="15" t="e" cm="1">
        <f t="array" ref="D3803">_xlfn.SINGLE(IF(A3806=A3807,_xll.ciqfunctions.udf.CIQ(A3798,"IQ_TOTAL_REV",IQ_FY-5)/I3803, _xll.ciqfunctions.udf.CIQ(A3798, "IQ_TOTAL_REV",IQ_FY-4)/I3803))</f>
        <v>#DIV/0!</v>
      </c>
      <c r="E3803" s="16" t="e">
        <f t="shared" si="1015"/>
        <v>#DIV/0!</v>
      </c>
      <c r="F3803" s="15">
        <f>IF(A3806=A3807,_xll.ciqfunctions.udf.CIQ(A3798,"IQ_DILUT_EPS_EXCL",IQ_FY-5), _xll.ciqfunctions.udf.CIQ(A3798, "IQ_DILUT_EPS_EXCL",IQ_FY-4))</f>
        <v>0</v>
      </c>
      <c r="G3803" s="15">
        <f>IF(A3806=A3807,_xll.ciqfunctions.udf.CIQ(A3798,"IQ_EBITDA_MARGIN",IQ_FY-5), _xll.ciqfunctions.udf.CIQ(A3798, "IQ_EBITDA_MARGIN",IQ_FY-4))</f>
        <v>0</v>
      </c>
      <c r="H3803" s="15" t="e">
        <f>IF(A3806=A3807,_xll.ciqfunctions.udf.CIQ(A3798,"IQ_TOTAL_DIV_PAID_CF",IQ_FY-5)/-I3803, _xll.ciqfunctions.udf.CIQ(A3798, "IQ_TOTAL_DIV_PAID_CF",IQ_FY-4)/-I3803)</f>
        <v>#DIV/0!</v>
      </c>
      <c r="I3803" s="17">
        <f>IF(A3806=A3807,_xll.ciqfunctions.udf.CIQ(A3798,"IQ_TOTAL_OUTSTANDING_FILING_DATE",IQ_FY-5), _xll.ciqfunctions.udf.CIQ(A3798, "IQ_TOTAL_OUTSTANDING_FILING_DATE",IQ_FY-4))</f>
        <v>0</v>
      </c>
      <c r="J3803" s="17">
        <f>IF(A3806=A3807,_xll.ciqfunctions.udf.CIQ(A3798,"IQ_CASH_OPER",IQ_FY-5), _xll.ciqfunctions.udf.CIQ(A3798, "IQ_CASH_OPER",IQ_FY-4))</f>
        <v>0</v>
      </c>
      <c r="K3803" s="17">
        <f>IF(A3806=A3807,_xll.ciqfunctions.udf.CIQ(A3798,"IQ_CAPEX",IQ_FY-5), _xll.ciqfunctions.udf.CIQ(A3798, "IQ_CAPEX",IQ_FY-4))</f>
        <v>0</v>
      </c>
      <c r="L3803" s="15" t="e">
        <f t="shared" si="1012"/>
        <v>#DIV/0!</v>
      </c>
      <c r="M3803" s="17">
        <f>IF(A3806=A3807,_xll.ciqfunctions.udf.CIQ(A3798,"IQ_TOTAL_DEBT_ISSUED",IQ_FY-5), _xll.ciqfunctions.udf.CIQ(A3798, "IQ_TOTAL_DEBT_ISSUED",IQ_FY-4))</f>
        <v>0</v>
      </c>
      <c r="N3803" s="17">
        <f>IF(A3806=A3807,_xll.ciqfunctions.udf.CIQ(A3798,"IQ_TOTAL_DEBT_REPAID",IQ_FY-5), _xll.ciqfunctions.udf.CIQ(A3798, "IQ_TOTAL_DEBT_REPAID",IQ_FY-4))</f>
        <v>0</v>
      </c>
      <c r="O3803" s="15" t="e">
        <f t="shared" si="1013"/>
        <v>#DIV/0!</v>
      </c>
      <c r="P3803" s="15" t="e">
        <f t="shared" si="1014"/>
        <v>#DIV/0!</v>
      </c>
      <c r="Q3803" s="25" t="s">
        <v>27</v>
      </c>
      <c r="R3803" s="38" t="s">
        <v>51</v>
      </c>
      <c r="S3803" s="4" t="e">
        <f>AVERAGE(F3803:F3808)/AVERAGE(D3803:D3808)</f>
        <v>#DIV/0!</v>
      </c>
      <c r="U3803" s="25" t="s">
        <v>58</v>
      </c>
      <c r="V3803" s="38" t="s">
        <v>51</v>
      </c>
      <c r="W3803" s="4" t="e">
        <f>AVERAGE(F3803:F3808)/AVERAGE(D3803:D3808)</f>
        <v>#DIV/0!</v>
      </c>
      <c r="Y3803" s="25" t="s">
        <v>56</v>
      </c>
      <c r="Z3803" s="38" t="s">
        <v>51</v>
      </c>
      <c r="AA3803" s="4" t="e">
        <f>AVERAGE(F3803:F3808)/AVERAGE(D3803:D3808)</f>
        <v>#DIV/0!</v>
      </c>
    </row>
    <row r="3804" spans="1:27">
      <c r="A3804" s="18"/>
      <c r="B3804" s="13">
        <v>7</v>
      </c>
      <c r="C3804" s="14" t="s">
        <v>28</v>
      </c>
      <c r="D3804" s="15" cm="1">
        <f t="array" ref="D3804">_xlfn.SINGLE(IF(A3806=A3807,_xll.ciqfunctions.udf.CIQ(A3798,"IQ_TOTAL_REV",IQ_FY-4)/I3804, _xll.ciqfunctions.udf.CIQ(A3798, "IQ_TOTAL_REV",IQ_FY-3)/I3804))</f>
        <v>0.96905798251110675</v>
      </c>
      <c r="E3804" s="16" t="e">
        <f t="shared" si="1015"/>
        <v>#DIV/0!</v>
      </c>
      <c r="F3804" s="15">
        <f>IF(A3806=A3807,_xll.ciqfunctions.udf.CIQ(A3798,"IQ_DILUT_EPS_EXCL",IQ_FY-4), _xll.ciqfunctions.udf.CIQ(A3798, "IQ_DILUT_EPS_EXCL",IQ_FY-3))</f>
        <v>-0.10754</v>
      </c>
      <c r="G3804" s="15">
        <f>IF(A3806=A3807,_xll.ciqfunctions.udf.CIQ(A3798,"IQ_EBITDA_MARGIN",IQ_FY-4), _xll.ciqfunctions.udf.CIQ(A3798, "IQ_EBITDA_MARGIN",IQ_FY-3))</f>
        <v>-7.984</v>
      </c>
      <c r="H3804" s="15">
        <f>IF(A3806=A3807,_xll.ciqfunctions.udf.CIQ(A3798,"IQ_TOTAL_DIV_PAID_CF",IQ_FY-4)/-I3804, _xll.ciqfunctions.udf.CIQ(A3798, "IQ_TOTAL_DIV_PAID_CF",IQ_FY-3)/-I3804)</f>
        <v>0</v>
      </c>
      <c r="I3804" s="17">
        <f>IF(A3806=A3807,_xll.ciqfunctions.udf.CIQ(A3798,"IQ_TOTAL_OUTSTANDING_FILING_DATE",IQ_FY-4), _xll.ciqfunctions.udf.CIQ(A3798, "IQ_TOTAL_OUTSTANDING_FILING_DATE",IQ_FY-3))</f>
        <v>95.050039999999996</v>
      </c>
      <c r="J3804" s="17">
        <f>IF(A3806=A3807,_xll.ciqfunctions.udf.CIQ(A3798,"IQ_CASH_OPER",IQ_FY-4), _xll.ciqfunctions.udf.CIQ(A3798, "IQ_CASH_OPER",IQ_FY-3))</f>
        <v>1.875</v>
      </c>
      <c r="K3804" s="17">
        <f>IF(A3806=A3807,_xll.ciqfunctions.udf.CIQ(A3798,"IQ_CAPEX",IQ_FY-4), _xll.ciqfunctions.udf.CIQ(A3798, "IQ_CAPEX",IQ_FY-3))</f>
        <v>-1.0009999999999999</v>
      </c>
      <c r="L3804" s="15">
        <f t="shared" si="1012"/>
        <v>9.1951565722644627E-3</v>
      </c>
      <c r="M3804" s="17">
        <f>IF(A3806=A3807,_xll.ciqfunctions.udf.CIQ(A3798,"IQ_TOTAL_DEBT_ISSUED",IQ_FY-4), _xll.ciqfunctions.udf.CIQ(A3798, "IQ_TOTAL_DEBT_ISSUED",IQ_FY-3))</f>
        <v>0</v>
      </c>
      <c r="N3804" s="17">
        <f>IF(A3806=A3807,_xll.ciqfunctions.udf.CIQ(A3798,"IQ_TOTAL_DEBT_REPAID",IQ_FY-4), _xll.ciqfunctions.udf.CIQ(A3798, "IQ_TOTAL_DEBT_REPAID",IQ_FY-3))</f>
        <v>0</v>
      </c>
      <c r="O3804" s="15">
        <f t="shared" si="1013"/>
        <v>0</v>
      </c>
      <c r="P3804" s="15">
        <f t="shared" si="1014"/>
        <v>9.1951565722644627E-3</v>
      </c>
      <c r="Q3804" s="18"/>
      <c r="R3804" s="38" t="s">
        <v>29</v>
      </c>
      <c r="S3804" s="4" t="e">
        <f>(AVERAGE(P3803:P3808)/_xlfn.STDEV.P(P3803:P3808))/(IF(A3806=A3807,(_xlfn.SINGLE(_xll.ciqfunctions.udf.CIQ(A3798,"IQ_total_assets",IQ_FY)) - _xlfn.SINGLE(_xll.ciqfunctions.udf.CIQ(A3798,"iq_gw_intan", IQ_FY)))/I3808, (_xlfn.SINGLE(_xll.ciqfunctions.udf.CIQ(A3798, "IQ_total_assets",IQ_LTM))-_xlfn.SINGLE(_xll.ciqfunctions.udf.CIQ(A3798,"iq_gw_intan",IQ_LTM)))/I3808))</f>
        <v>#DIV/0!</v>
      </c>
      <c r="U3804" s="18"/>
      <c r="V3804" s="38" t="s">
        <v>29</v>
      </c>
      <c r="W3804" s="4" t="e">
        <f>(AVERAGE(P3803:P3808)/_xlfn.STDEV.P(P3803:P3808))/(IF(A3806=A3807,(_xlfn.SINGLE(_xll.ciqfunctions.udf.CIQ(A3798,"IQ_total_assets",IQ_FY)) - _xlfn.SINGLE(_xll.ciqfunctions.udf.CIQ(A3798,"iq_gw_intan", IQ_FY)))/I3808, (_xlfn.SINGLE(_xll.ciqfunctions.udf.CIQ(A3798, "IQ_total_assets",IQ_LTM))-_xlfn.SINGLE(_xll.ciqfunctions.udf.CIQ(A3798,"iq_gw_intan",IQ_LTM)))/I3808))</f>
        <v>#DIV/0!</v>
      </c>
      <c r="Y3804" s="18"/>
      <c r="Z3804" s="38" t="s">
        <v>29</v>
      </c>
      <c r="AA3804" s="4" t="e">
        <f>(AVERAGE(P3803:P3808)/_xlfn.STDEV.P(P3803:P3808))/(IF(A3806=A3807,(_xlfn.SINGLE(_xll.ciqfunctions.udf.CIQ(A3798,"IQ_total_assets",IQ_FY)) - _xlfn.SINGLE(_xll.ciqfunctions.udf.CIQ(A3798,"iq_gw_intan", IQ_FY)))/I3808, (_xlfn.SINGLE(_xll.ciqfunctions.udf.CIQ(A3798, "IQ_total_assets",IQ_LTM))-_xlfn.SINGLE(_xll.ciqfunctions.udf.CIQ(A3798,"iq_gw_intan",IQ_LTM)))/I3808))</f>
        <v>#DIV/0!</v>
      </c>
    </row>
    <row r="3805" spans="1:27">
      <c r="A3805" s="18"/>
      <c r="B3805" s="13">
        <v>8</v>
      </c>
      <c r="C3805" s="14" t="s">
        <v>30</v>
      </c>
      <c r="D3805" s="15" cm="1">
        <f t="array" ref="D3805">_xlfn.SINGLE(IF(A3806=A3807,_xll.ciqfunctions.udf.CIQ(A3798,"IQ_TOTAL_REV",IQ_FY-3)/I3805, _xll.ciqfunctions.udf.CIQ(A3798, "IQ_TOTAL_REV",IQ_FY-2)/I3805))</f>
        <v>0.91436384878827304</v>
      </c>
      <c r="E3805" s="16">
        <f t="shared" si="1015"/>
        <v>-5.6440517192898561E-2</v>
      </c>
      <c r="F3805" s="15">
        <f>IF(A3806=A3807,_xll.ciqfunctions.udf.CIQ(A3798,"IQ_DILUT_EPS_EXCL",IQ_FY-3), _xll.ciqfunctions.udf.CIQ(A3798, "IQ_DILUT_EPS_EXCL",IQ_FY-2))</f>
        <v>-7.3959999999999998E-2</v>
      </c>
      <c r="G3805" s="15">
        <f>IF(A3806=A3807,_xll.ciqfunctions.udf.CIQ(A3798,"IQ_EBITDA_MARGIN",IQ_FY-3), _xll.ciqfunctions.udf.CIQ(A3798, "IQ_EBITDA_MARGIN",IQ_FY-2))</f>
        <v>-3.9767000000000001</v>
      </c>
      <c r="H3805" s="15">
        <f>IF(A3806=A3807,_xll.ciqfunctions.udf.CIQ(A3798,"IQ_TOTAL_DIV_PAID_CF",IQ_FY-3)/-I3805, _xll.ciqfunctions.udf.CIQ(A3798, "IQ_TOTAL_DIV_PAID_CF",IQ_FY-2)/-I3805)</f>
        <v>0</v>
      </c>
      <c r="I3805" s="17">
        <f>IF(A3806=A3807,_xll.ciqfunctions.udf.CIQ(A3798,"IQ_TOTAL_OUTSTANDING_FILING_DATE",IQ_FY-3), _xll.ciqfunctions.udf.CIQ(A3798, "IQ_TOTAL_OUTSTANDING_FILING_DATE",IQ_FY-2))</f>
        <v>136.57035999999999</v>
      </c>
      <c r="J3805" s="17">
        <f>IF(A3806=A3807,_xll.ciqfunctions.udf.CIQ(A3798,"IQ_CASH_OPER",IQ_FY-3), _xll.ciqfunctions.udf.CIQ(A3798, "IQ_CASH_OPER",IQ_FY-2))</f>
        <v>5.8520000000000003</v>
      </c>
      <c r="K3805" s="17">
        <f>IF(A3806=A3807,_xll.ciqfunctions.udf.CIQ(A3798,"IQ_CAPEX",IQ_FY-3), _xll.ciqfunctions.udf.CIQ(A3798, "IQ_CAPEX",IQ_FY-2))</f>
        <v>-2.367</v>
      </c>
      <c r="L3805" s="15">
        <f t="shared" si="1012"/>
        <v>2.5517982086303355E-2</v>
      </c>
      <c r="M3805" s="17">
        <f>IF(A3806=A3807,_xll.ciqfunctions.udf.CIQ(A3798,"IQ_TOTAL_DEBT_ISSUED",IQ_FY-3), _xll.ciqfunctions.udf.CIQ(A3798, "IQ_TOTAL_DEBT_ISSUED",IQ_FY-2))</f>
        <v>0</v>
      </c>
      <c r="N3805" s="17">
        <f>IF(A3806=A3807,_xll.ciqfunctions.udf.CIQ(A3798,"IQ_TOTAL_DEBT_REPAID",IQ_FY-3), _xll.ciqfunctions.udf.CIQ(A3798, "IQ_TOTAL_DEBT_REPAID",IQ_FY-2))</f>
        <v>0</v>
      </c>
      <c r="O3805" s="15">
        <f t="shared" si="1013"/>
        <v>0</v>
      </c>
      <c r="P3805" s="15">
        <f t="shared" si="1014"/>
        <v>2.5517982086303355E-2</v>
      </c>
      <c r="Q3805" s="18"/>
      <c r="R3805" s="39" t="s">
        <v>31</v>
      </c>
      <c r="S3805" s="5" t="e">
        <f>IF(NOT(D3798&gt;0),FALSE,SLOPE(G3798:G3808,B3798:B3808))</f>
        <v>#DIV/0!</v>
      </c>
      <c r="U3805" s="18"/>
      <c r="V3805" s="39" t="s">
        <v>31</v>
      </c>
      <c r="W3805" s="5" t="e">
        <f>IF(NOT(D3798&gt;0),FALSE,SLOPE(G3798:G3808,B3798:B3808))</f>
        <v>#DIV/0!</v>
      </c>
      <c r="Y3805" s="18"/>
      <c r="Z3805" s="39" t="s">
        <v>31</v>
      </c>
      <c r="AA3805" s="5" t="e">
        <f>IF(NOT(L3798&gt;0),FALSE,SLOPE(O3798:O3808,J3798:J3808))</f>
        <v>#DIV/0!</v>
      </c>
    </row>
    <row r="3806" spans="1:27">
      <c r="A3806" s="19">
        <f>_xll.ciqfunctions.udf.CIQ(A3798,"IQ_TOTAL_REV",IQ_FY)</f>
        <v>254.316</v>
      </c>
      <c r="B3806" s="13">
        <v>9</v>
      </c>
      <c r="C3806" s="14" t="s">
        <v>32</v>
      </c>
      <c r="D3806" s="15" cm="1">
        <f t="array" ref="D3806">_xlfn.SINGLE(IF(A3806=A3807,_xll.ciqfunctions.udf.CIQ(A3798,"IQ_TOTAL_REV",IQ_FY-2)/I3806, _xll.ciqfunctions.udf.CIQ(A3798, "IQ_TOTAL_REV",IQ_FY-1)/I3806))</f>
        <v>1.3344955686819691</v>
      </c>
      <c r="E3806" s="16">
        <f t="shared" si="1015"/>
        <v>0.45947980166807784</v>
      </c>
      <c r="F3806" s="15">
        <f>IF(A3806=A3807,_xll.ciqfunctions.udf.CIQ(A3798,"IQ_DILUT_EPS_EXCL",IQ_FY-2), _xll.ciqfunctions.udf.CIQ(A3798, "IQ_DILUT_EPS_EXCL",IQ_FY-1))</f>
        <v>-2.5950000000000001E-2</v>
      </c>
      <c r="G3806" s="15">
        <f>IF(A3806=A3807,_xll.ciqfunctions.udf.CIQ(A3798,"IQ_EBITDA_MARGIN",IQ_FY-2), _xll.ciqfunctions.udf.CIQ(A3798, "IQ_EBITDA_MARGIN",IQ_FY-1))</f>
        <v>0.29780000000000001</v>
      </c>
      <c r="H3806" s="15">
        <f>IF(A3806=A3807,_xll.ciqfunctions.udf.CIQ(A3798,"IQ_TOTAL_DIV_PAID_CF",IQ_FY-2)/-I3806, _xll.ciqfunctions.udf.CIQ(A3798, "IQ_TOTAL_DIV_PAID_CF",IQ_FY-1)/-I3806)</f>
        <v>0</v>
      </c>
      <c r="I3806" s="17">
        <f>IF(A3806=A3807,_xll.ciqfunctions.udf.CIQ(A3798,"IQ_TOTAL_OUTSTANDING_FILING_DATE",IQ_FY-2), _xll.ciqfunctions.udf.CIQ(A3798, "IQ_TOTAL_OUTSTANDING_FILING_DATE",IQ_FY-1))</f>
        <v>140.87795</v>
      </c>
      <c r="J3806" s="17">
        <f>IF(A3806=A3807,_xll.ciqfunctions.udf.CIQ(A3798,"IQ_CASH_OPER",IQ_FY-2), _xll.ciqfunctions.udf.CIQ(A3798, "IQ_CASH_OPER",IQ_FY-1))</f>
        <v>23.760999999999999</v>
      </c>
      <c r="K3806" s="17">
        <f>IF(A3806=A3807,_xll.ciqfunctions.udf.CIQ(A3798,"IQ_CAPEX",IQ_FY-2), _xll.ciqfunctions.udf.CIQ(A3798, "IQ_CAPEX",IQ_FY-1))</f>
        <v>-2.38</v>
      </c>
      <c r="L3806" s="15">
        <f t="shared" si="1012"/>
        <v>0.15176967012935666</v>
      </c>
      <c r="M3806" s="17">
        <f>IF(A3806=A3807,_xll.ciqfunctions.udf.CIQ(A3798,"IQ_TOTAL_DEBT_ISSUED",IQ_FY-2), _xll.ciqfunctions.udf.CIQ(A3798, "IQ_TOTAL_DEBT_ISSUED",IQ_FY-1))</f>
        <v>0</v>
      </c>
      <c r="N3806" s="17">
        <f>IF(A3806=A3807,_xll.ciqfunctions.udf.CIQ(A3798,"IQ_TOTAL_DEBT_REPAID",IQ_FY-2), _xll.ciqfunctions.udf.CIQ(A3798, "IQ_TOTAL_DEBT_REPAID",IQ_FY-1))</f>
        <v>-1.373</v>
      </c>
      <c r="O3806" s="15">
        <f t="shared" si="1013"/>
        <v>-9.7460248392314056E-3</v>
      </c>
      <c r="P3806" s="15">
        <f t="shared" si="1014"/>
        <v>0.14202364529012526</v>
      </c>
      <c r="Q3806" s="25" t="s">
        <v>33</v>
      </c>
      <c r="R3806" s="38" t="s">
        <v>52</v>
      </c>
      <c r="S3806" s="4" t="e">
        <f>(AVERAGE(O3803:O3808)/AVERAGE(P3803:P3808))</f>
        <v>#DIV/0!</v>
      </c>
      <c r="U3806" s="25" t="s">
        <v>54</v>
      </c>
      <c r="V3806" s="38" t="s">
        <v>52</v>
      </c>
      <c r="W3806" s="4" t="e">
        <f>(AVERAGE(O3803:O3808)/AVERAGE(P3803:P3808))</f>
        <v>#DIV/0!</v>
      </c>
      <c r="Y3806" s="25" t="s">
        <v>60</v>
      </c>
      <c r="Z3806" s="38" t="s">
        <v>52</v>
      </c>
      <c r="AA3806" s="4" t="e">
        <f>(AVERAGE(O3803:O3808)/AVERAGE(P3803:P3808))</f>
        <v>#DIV/0!</v>
      </c>
    </row>
    <row r="3807" spans="1:27">
      <c r="A3807" s="19">
        <f>_xll.ciqfunctions.udf.CIQ(A3798,"IQ_TOTAL_REV",IQ_LTM)</f>
        <v>293.06599999999997</v>
      </c>
      <c r="B3807" s="13">
        <v>10</v>
      </c>
      <c r="C3807" s="14" t="s">
        <v>34</v>
      </c>
      <c r="D3807" s="15" cm="1">
        <f t="array" ref="D3807">_xlfn.SINGLE(IF(A3806=A3807,_xll.ciqfunctions.udf.CIQ(A3798,"IQ_TOTAL_REV",IQ_FY-1)/I3807, _xll.ciqfunctions.udf.CIQ(A3798, "IQ_TOTAL_REV",IQ_FY)/I3807))</f>
        <v>1.7952530791100541</v>
      </c>
      <c r="E3807" s="16">
        <f t="shared" si="1015"/>
        <v>0.34526717153745051</v>
      </c>
      <c r="F3807" s="15">
        <f>IF(A3806=A3807,_xll.ciqfunctions.udf.CIQ(A3798,"IQ_DILUT_EPS_EXCL",IQ_FY-1), _xll.ciqfunctions.udf.CIQ(A3798, "IQ_DILUT_EPS_EXCL",IQ_FY))</f>
        <v>-0.23977999999999999</v>
      </c>
      <c r="G3807" s="15">
        <f>IF(A3806=A3807,_xll.ciqfunctions.udf.CIQ(A3798,"IQ_EBITDA_MARGIN",IQ_FY-1), _xll.ciqfunctions.udf.CIQ(A3798, "IQ_EBITDA_MARGIN",IQ_FY))</f>
        <v>-7.4824000000000002</v>
      </c>
      <c r="H3807" s="15">
        <f>IF(A3806=A3807,_xll.ciqfunctions.udf.CIQ(A3798,"IQ_TOTAL_DIV_PAID_CF",IQ_FY-1)/-I3807, _xll.ciqfunctions.udf.CIQ(A3798, "IQ_TOTAL_DIV_PAID_CF",IQ_FY)/-I3807)</f>
        <v>0</v>
      </c>
      <c r="I3807" s="17">
        <f>IF(A3806=A3807,_xll.ciqfunctions.udf.CIQ(A3798,"IQ_TOTAL_OUTSTANDING_FILING_DATE",IQ_FY-1), _xll.ciqfunctions.udf.CIQ(A3798, "IQ_TOTAL_OUTSTANDING_FILING_DATE",IQ_FY))</f>
        <v>141.66024999999999</v>
      </c>
      <c r="J3807" s="17">
        <f>IF(A3806=A3807,_xll.ciqfunctions.udf.CIQ(A3798,"IQ_CASH_OPER",IQ_FY-1), _xll.ciqfunctions.udf.CIQ(A3798, "IQ_CASH_OPER",IQ_FY))</f>
        <v>-9.6240000000000006</v>
      </c>
      <c r="K3807" s="17">
        <f>IF(A3806=A3807,_xll.ciqfunctions.udf.CIQ(A3798,"IQ_CAPEX",IQ_FY-1), _xll.ciqfunctions.udf.CIQ(A3798, "IQ_CAPEX",IQ_FY))</f>
        <v>-4.234</v>
      </c>
      <c r="L3807" s="15">
        <f t="shared" si="1012"/>
        <v>-9.7825607395158498E-2</v>
      </c>
      <c r="M3807" s="17">
        <f>IF(A3806=A3807,_xll.ciqfunctions.udf.CIQ(A3798,"IQ_TOTAL_DEBT_ISSUED",IQ_FY-1), _xll.ciqfunctions.udf.CIQ(A3798, "IQ_TOTAL_DEBT_ISSUED",IQ_FY))</f>
        <v>0</v>
      </c>
      <c r="N3807" s="17">
        <f>IF(A3806=A3807,_xll.ciqfunctions.udf.CIQ(A3798,"IQ_TOTAL_DEBT_REPAID",IQ_FY-1), _xll.ciqfunctions.udf.CIQ(A3798, "IQ_TOTAL_DEBT_REPAID",IQ_FY))</f>
        <v>-2.0840000000000001</v>
      </c>
      <c r="O3807" s="15">
        <f t="shared" si="1013"/>
        <v>-1.4711254568589285E-2</v>
      </c>
      <c r="P3807" s="15">
        <f t="shared" si="1014"/>
        <v>-0.11253686196374778</v>
      </c>
      <c r="Q3807" s="25" t="s">
        <v>44</v>
      </c>
      <c r="R3807" s="38" t="s">
        <v>35</v>
      </c>
      <c r="S3807" s="1" t="str">
        <f>_xll.ciqfunctions.udf.CIQ(A3798,"IQ_TEV_EBITDA")</f>
        <v>NM</v>
      </c>
      <c r="U3807" s="25" t="s">
        <v>55</v>
      </c>
      <c r="V3807" s="38" t="s">
        <v>53</v>
      </c>
      <c r="W3807" s="1" t="e">
        <f>V3797/(AVERAGE(D3803:D3808)/_xlfn.STDEV.P(E3803:E3808))</f>
        <v>#DIV/0!</v>
      </c>
      <c r="Y3807" s="25" t="s">
        <v>57</v>
      </c>
      <c r="Z3807" s="38" t="s">
        <v>53</v>
      </c>
      <c r="AA3807" s="1" t="e">
        <f>Z3797/(AVERAGE(D3803:D3808)/_xlfn.STDEV.P(E3803:E3808))</f>
        <v>#DIV/0!</v>
      </c>
    </row>
    <row r="3808" spans="1:27">
      <c r="B3808" s="13">
        <v>11</v>
      </c>
      <c r="C3808" s="20" t="s">
        <v>36</v>
      </c>
      <c r="D3808" s="21" cm="1">
        <f t="array" ref="D3808">_xlfn.SINGLE(IF(A3806=A3807,_xll.ciqfunctions.udf.CIQ(A3798,"IQ_TOTAL_REV",IQ_FY)/I3808, _xll.ciqfunctions.udf.CIQ(A3798, "IQ_TOTAL_REV",IQ_LTM)/I3808))</f>
        <v>2.0461077656598983</v>
      </c>
      <c r="E3808" s="22">
        <f t="shared" si="1015"/>
        <v>0.13973221350730022</v>
      </c>
      <c r="F3808" s="21">
        <f>IF(A3806=A3807,_xll.ciqfunctions.udf.CIQ(A3798,"IQ_DILUT_EPS_EXCL",IQ_FY), _xll.ciqfunctions.udf.CIQ(A3798, "IQ_DILUT_EPS_EXCL",IQ_LTM))</f>
        <v>-0.13954</v>
      </c>
      <c r="G3808" s="21">
        <f>IF(A3806=A3807,_xll.ciqfunctions.udf.CIQ(A3798,"IQ_EBITDA_MARGIN",IQ_FY), _xll.ciqfunctions.udf.CIQ(A3798, "IQ_EBITDA_MARGIN",IQ_LTM))</f>
        <v>-6.3807999999999998</v>
      </c>
      <c r="H3808" s="21">
        <f>IF(A3806=A3807,_xll.ciqfunctions.udf.CIQ(A3798,"IQ_TOTAL_DIV_PAID_CF",IQ_FY)/-I3808, _xll.ciqfunctions.udf.CIQ(A3798, "IQ_TOTAL_DIV_PAID_CF",IQ_LTM)/-I3808)</f>
        <v>0</v>
      </c>
      <c r="I3808" s="23">
        <f>IF(A3806=A3807,_xll.ciqfunctions.udf.CIQ(A3798,"IQ_TOTAL_OUTSTANDING_FILING_DATE",IQ_FY),_xll.ciqfunctions.udf.CIQ(A3798,"IQ_sharesoutstanding"))</f>
        <v>143.23097000000001</v>
      </c>
      <c r="J3808" s="23">
        <f>IF(A3806=A3807,_xll.ciqfunctions.udf.CIQ(A3798,"IQ_CASH_OPER",IQ_FY), _xll.ciqfunctions.udf.CIQ(A3798, "IQ_CASH_OPER",IQ_LTM))</f>
        <v>-13.196999999999999</v>
      </c>
      <c r="K3808" s="23">
        <f>IF(A3806=A3807,_xll.ciqfunctions.udf.CIQ(A3798,"IQ_CAPEX",IQ_FY), _xll.ciqfunctions.udf.CIQ(A3798, "IQ_CAPEX",IQ_LTM))</f>
        <v>-1.2829999999999999</v>
      </c>
      <c r="L3808" s="21">
        <f t="shared" si="1012"/>
        <v>-0.10109545442581305</v>
      </c>
      <c r="M3808" s="23">
        <f>IF(A3806=A3807,_xll.ciqfunctions.udf.CIQ(A3798,"IQ_TOTAL_DEBT_ISSUED",IQ_FY), _xll.ciqfunctions.udf.CIQ(A3798, "IQ_TOTAL_DEBT_ISSUED",IQ_LTM))</f>
        <v>0</v>
      </c>
      <c r="N3808" s="23">
        <f>IF(A3806=A3807,_xll.ciqfunctions.udf.CIQ(A3798,"IQ_TOTAL_DEBT_REPAID",IQ_FY), _xll.ciqfunctions.udf.CIQ(A3798, "IQ_TOTAL_DEBT_REPAID",IQ_LTM))</f>
        <v>-2.0550000000000002</v>
      </c>
      <c r="O3808" s="21">
        <f t="shared" si="1013"/>
        <v>-1.4347455721342947E-2</v>
      </c>
      <c r="P3808" s="21">
        <f t="shared" si="1014"/>
        <v>-0.11544291014715601</v>
      </c>
      <c r="Q3808" s="25" t="s">
        <v>45</v>
      </c>
      <c r="S3808" s="45"/>
      <c r="U3808" s="25"/>
      <c r="W3808" s="45"/>
      <c r="Y3808" s="25"/>
      <c r="AA3808" s="45"/>
    </row>
    <row r="3809" spans="1:27">
      <c r="B3809" s="24"/>
      <c r="C3809" s="25" t="s">
        <v>37</v>
      </c>
      <c r="E3809" s="26" t="e">
        <f>((D3808/D3803)^(1/5))-1</f>
        <v>#DIV/0!</v>
      </c>
      <c r="F3809" s="27" t="e">
        <f>((F3808/F3803)^(1/5))-1</f>
        <v>#DIV/0!</v>
      </c>
      <c r="G3809" s="28"/>
      <c r="H3809" s="27" t="e">
        <f>((H3808/H3803)^(1/5))-1</f>
        <v>#DIV/0!</v>
      </c>
      <c r="I3809" s="27" t="e">
        <f>((I3808/I3803)^(1/5))-1</f>
        <v>#DIV/0!</v>
      </c>
      <c r="J3809" s="27"/>
      <c r="K3809" s="27"/>
      <c r="L3809" s="26" t="e">
        <f>((L3808/L3803)^(1/5))-1</f>
        <v>#DIV/0!</v>
      </c>
      <c r="M3809" s="26"/>
      <c r="N3809" s="26"/>
      <c r="O3809" s="26"/>
      <c r="P3809" s="26" t="e">
        <f>((P3808/P3803)^(1/5))-1</f>
        <v>#DIV/0!</v>
      </c>
      <c r="Q3809" s="18"/>
      <c r="R3809" s="36"/>
      <c r="S3809" s="45"/>
      <c r="U3809" s="18"/>
      <c r="V3809" s="36"/>
      <c r="W3809" s="45"/>
      <c r="Y3809" s="18"/>
      <c r="Z3809" s="36"/>
      <c r="AA3809" s="45"/>
    </row>
    <row r="3810" spans="1:27">
      <c r="A3810" s="29"/>
      <c r="B3810" s="30"/>
      <c r="C3810" s="31" t="s">
        <v>38</v>
      </c>
      <c r="D3810" s="29"/>
      <c r="E3810" s="32" t="e">
        <f>((D3808/D3798)^(1/10))-1</f>
        <v>#DIV/0!</v>
      </c>
      <c r="F3810" s="33" t="e">
        <f>((F3808/F3798)^(1/10))-1</f>
        <v>#DIV/0!</v>
      </c>
      <c r="G3810" s="34"/>
      <c r="H3810" s="33" t="e">
        <f>((H3808/H3798)^(1/10))-1</f>
        <v>#DIV/0!</v>
      </c>
      <c r="I3810" s="33" t="e">
        <f>((I3808/I3798)^(1/10))-1</f>
        <v>#DIV/0!</v>
      </c>
      <c r="J3810" s="33"/>
      <c r="K3810" s="33"/>
      <c r="L3810" s="32" t="e">
        <f>((L3808/L3798)^(1/10))-1</f>
        <v>#DIV/0!</v>
      </c>
      <c r="M3810" s="32"/>
      <c r="N3810" s="32"/>
      <c r="O3810" s="32"/>
      <c r="P3810" s="32" t="e">
        <f>((P3808/P3798)^(1/10))-1</f>
        <v>#DIV/0!</v>
      </c>
      <c r="Q3810" s="40"/>
      <c r="R3810" s="41"/>
      <c r="S3810" s="46"/>
      <c r="U3810" s="40"/>
      <c r="V3810" s="41"/>
      <c r="W3810" s="46"/>
      <c r="Y3810" s="40"/>
      <c r="Z3810" s="41"/>
      <c r="AA3810" s="46"/>
    </row>
    <row r="3811" spans="1:27">
      <c r="B3811" s="24"/>
      <c r="C3811" s="25"/>
      <c r="E3811" s="26"/>
      <c r="F3811" s="27"/>
      <c r="G3811" s="28"/>
      <c r="H3811" s="27"/>
      <c r="I3811" s="27"/>
      <c r="J3811" s="27"/>
      <c r="K3811" s="27"/>
      <c r="L3811" s="26"/>
      <c r="M3811" s="17"/>
      <c r="N3811" s="17"/>
      <c r="O3811" s="17"/>
      <c r="P3811" s="35"/>
      <c r="Q3811" s="18"/>
      <c r="R3811" s="36"/>
    </row>
    <row r="3812" spans="1:27">
      <c r="A3812" s="9" t="s">
        <v>0</v>
      </c>
      <c r="B3812" s="10"/>
      <c r="C3812" s="9" t="s">
        <v>1</v>
      </c>
      <c r="D3812" s="9" t="s">
        <v>2</v>
      </c>
      <c r="E3812" s="9" t="s">
        <v>3</v>
      </c>
      <c r="F3812" s="11" t="s">
        <v>4</v>
      </c>
      <c r="G3812" s="11" t="s">
        <v>5</v>
      </c>
      <c r="H3812" s="9" t="s">
        <v>6</v>
      </c>
      <c r="I3812" s="11" t="s">
        <v>7</v>
      </c>
      <c r="J3812" s="11" t="s">
        <v>8</v>
      </c>
      <c r="K3812" s="11" t="s">
        <v>9</v>
      </c>
      <c r="L3812" s="11" t="s">
        <v>10</v>
      </c>
      <c r="M3812" s="11" t="s">
        <v>11</v>
      </c>
      <c r="N3812" s="11" t="s">
        <v>12</v>
      </c>
      <c r="O3812" s="11" t="s">
        <v>13</v>
      </c>
      <c r="P3812" s="11" t="s">
        <v>14</v>
      </c>
      <c r="Q3812" s="37" t="s">
        <v>15</v>
      </c>
      <c r="R3812" s="42">
        <f>_xll.ciqfunctions.udf.CIQ(A3813,("IQ_LASTSALEPRICE"))</f>
        <v>13.74</v>
      </c>
      <c r="S3812" s="44"/>
      <c r="U3812" s="37" t="s">
        <v>15</v>
      </c>
      <c r="V3812" s="42">
        <f>_xll.ciqfunctions.udf.CIQ(A3813,("IQ_LASTSALEPRICE"))</f>
        <v>13.74</v>
      </c>
      <c r="W3812" s="44"/>
      <c r="Y3812" s="37" t="s">
        <v>15</v>
      </c>
      <c r="Z3812" s="42">
        <f>_xll.ciqfunctions.udf.CIQ(A3813,("IQ_LASTSALEPRICE"))</f>
        <v>13.74</v>
      </c>
      <c r="AA3812" s="44"/>
    </row>
    <row r="3813" spans="1:27">
      <c r="A3813" s="12" t="str">
        <f>Analysis!B256</f>
        <v>NasdaqGS:XRX</v>
      </c>
      <c r="B3813" s="13">
        <v>1</v>
      </c>
      <c r="C3813" s="14" t="s">
        <v>16</v>
      </c>
      <c r="D3813" s="15">
        <f>IF(A3821=A3822,_xll.ciqfunctions.udf.CIQ(A3813,"IQ_TOTAL_REV",IQ_FY-10)/I3813,_xll.ciqfunctions.udf.CIQ(A3813, "IQ_TOTAL_REV",IQ_FY-9)/I3813)</f>
        <v>67.5339110972063</v>
      </c>
      <c r="E3813" s="16"/>
      <c r="F3813" s="15">
        <f>IF(A3821=A3822,_xll.ciqfunctions.udf.CIQ(A3813,"IQ_DILUT_EPS_EXCL",IQ_FY-10), _xll.ciqfunctions.udf.CIQ(A3813, "IQ_DILUT_EPS_EXCL",IQ_FY-9))</f>
        <v>3.5806100000000001</v>
      </c>
      <c r="G3813" s="15">
        <f>IF(A3821=A3822,_xll.ciqfunctions.udf.CIQ(A3813,"IQ_EBITDA_MARGIN",IQ_FY-10), _xll.ciqfunctions.udf.CIQ(A3813, "IQ_EBITDA_MARGIN",IQ_FY-9))</f>
        <v>12.616199999999999</v>
      </c>
      <c r="H3813" s="15">
        <f>IF(A3821=A3822,_xll.ciqfunctions.udf.CIQ(A3813,"IQ_TOTAL_DIV_PAID_CF",IQ_FY-10)/-I3813, _xll.ciqfunctions.udf.CIQ(A3813, "IQ_TOTAL_DIV_PAID_CF",IQ_FY-9)/-I3813)</f>
        <v>0.99920212360157279</v>
      </c>
      <c r="I3813" s="17">
        <f>IF(A3821=A3822,_xll.ciqfunctions.udf.CIQ(A3813,"IQ_TOTAL_OUTSTANDING_FILING_DATE",IQ_FY-10), _xll.ciqfunctions.udf.CIQ(A3813, "IQ_TOTAL_OUTSTANDING_FILING_DATE",IQ_FY-9))</f>
        <v>296.23635999999999</v>
      </c>
      <c r="J3813" s="17">
        <f>IF(A3821=A3822,_xll.ciqfunctions.udf.CIQ(A3813,"IQ_CASH_OPER",IQ_FY-10), _xll.ciqfunctions.udf.CIQ(A3813, "IQ_CASH_OPER",IQ_FY-9))</f>
        <v>2375</v>
      </c>
      <c r="K3813" s="17">
        <f>IF(A3821=A3822,_xll.ciqfunctions.udf.CIQ(A3813,"IQ_CAPEX",IQ_FY-10), _xll.ciqfunctions.udf.CIQ(A3813, "IQ_CAPEX",IQ_FY-9))</f>
        <v>-346</v>
      </c>
      <c r="L3813" s="15">
        <f t="shared" ref="L3813:L3823" si="1016">(J3813+K3813)/I3813</f>
        <v>6.8492605026607807</v>
      </c>
      <c r="M3813" s="17">
        <f>IF(A3821=A3822,_xll.ciqfunctions.udf.CIQ(A3813,"IQ_TOTAL_DEBT_ISSUED",IQ_FY-10), _xll.ciqfunctions.udf.CIQ(A3813, "IQ_TOTAL_DEBT_ISSUED",IQ_FY-9))</f>
        <v>622</v>
      </c>
      <c r="N3813" s="17">
        <f>IF(A3821=A3822,_xll.ciqfunctions.udf.CIQ(A3813,"IQ_TOTAL_DEBT_REPAID",IQ_FY-10), _xll.ciqfunctions.udf.CIQ(A3813, "IQ_TOTAL_DEBT_REPAID",IQ_FY-9))</f>
        <v>-1056</v>
      </c>
      <c r="O3813" s="15">
        <f t="shared" ref="O3813:O3823" si="1017">(M3813+N3813)/I3813</f>
        <v>-1.465046356902306</v>
      </c>
      <c r="P3813" s="15">
        <f t="shared" ref="P3813:P3823" si="1018">L3813+O3813</f>
        <v>5.3842141457584747</v>
      </c>
      <c r="W3813" s="43"/>
      <c r="AA3813" s="43"/>
    </row>
    <row r="3814" spans="1:27">
      <c r="A3814" s="18" t="str">
        <f>_xll.ciqfunctions.udf.CIQ(A3813,"IQ_COMPANY_NAME")</f>
        <v>Xerox Holdings Corporation</v>
      </c>
      <c r="B3814" s="13">
        <v>2</v>
      </c>
      <c r="C3814" s="14" t="s">
        <v>17</v>
      </c>
      <c r="D3814" s="15">
        <f>IF(A3821=A3822,_xll.ciqfunctions.udf.CIQ(A3813,"IQ_TOTAL_REV",IQ_FY-9)/I3814, _xll.ciqfunctions.udf.CIQ(A3813, "IQ_TOTAL_REV",IQ_FY-8)/I3814)</f>
        <v>45.599723761843777</v>
      </c>
      <c r="E3814" s="16">
        <f t="shared" ref="E3814:E3823" si="1019">(D3814-D3813)/D3813</f>
        <v>-0.32478775446295577</v>
      </c>
      <c r="F3814" s="15">
        <f>IF(A3821=A3822,_xll.ciqfunctions.udf.CIQ(A3813,"IQ_DILUT_EPS_EXCL",IQ_FY-9), _xll.ciqfunctions.udf.CIQ(A3813, "IQ_DILUT_EPS_EXCL",IQ_FY-8))</f>
        <v>3.44</v>
      </c>
      <c r="G3814" s="15">
        <f>IF(A3821=A3822,_xll.ciqfunctions.udf.CIQ(A3813,"IQ_EBITDA_MARGIN",IQ_FY-9), _xll.ciqfunctions.udf.CIQ(A3813, "IQ_EBITDA_MARGIN",IQ_FY-8))</f>
        <v>15.158899999999999</v>
      </c>
      <c r="H3814" s="15">
        <f>IF(A3821=A3822,_xll.ciqfunctions.udf.CIQ(A3813,"IQ_TOTAL_DIV_PAID_CF",IQ_FY-9)/-I3814, _xll.ciqfunctions.udf.CIQ(A3813, "IQ_TOTAL_DIV_PAID_CF",IQ_FY-8)/-I3814)</f>
        <v>1.1256971005171625</v>
      </c>
      <c r="I3814" s="17">
        <f>IF(A3821=A3822,_xll.ciqfunctions.udf.CIQ(A3813,"IQ_TOTAL_OUTSTANDING_FILING_DATE",IQ_FY-9), _xll.ciqfunctions.udf.CIQ(A3813, "IQ_TOTAL_OUTSTANDING_FILING_DATE",IQ_FY-8))</f>
        <v>278.04993000000002</v>
      </c>
      <c r="J3814" s="17">
        <f>IF(A3821=A3822,_xll.ciqfunctions.udf.CIQ(A3813,"IQ_CASH_OPER",IQ_FY-9), _xll.ciqfunctions.udf.CIQ(A3813, "IQ_CASH_OPER",IQ_FY-8))</f>
        <v>2063</v>
      </c>
      <c r="K3814" s="17">
        <f>IF(A3821=A3822,_xll.ciqfunctions.udf.CIQ(A3813,"IQ_CAPEX",IQ_FY-9), _xll.ciqfunctions.udf.CIQ(A3813, "IQ_CAPEX",IQ_FY-8))</f>
        <v>-119</v>
      </c>
      <c r="L3814" s="15">
        <f t="shared" si="1016"/>
        <v>6.9915500428286386</v>
      </c>
      <c r="M3814" s="17">
        <f>IF(A3821=A3822,_xll.ciqfunctions.udf.CIQ(A3813,"IQ_TOTAL_DEBT_ISSUED",IQ_FY-9), _xll.ciqfunctions.udf.CIQ(A3813, "IQ_TOTAL_DEBT_ISSUED",IQ_FY-8))</f>
        <v>953</v>
      </c>
      <c r="N3814" s="17">
        <f>IF(A3821=A3822,_xll.ciqfunctions.udf.CIQ(A3813,"IQ_TOTAL_DEBT_REPAID",IQ_FY-9), _xll.ciqfunctions.udf.CIQ(A3813, "IQ_TOTAL_DEBT_REPAID",IQ_FY-8))</f>
        <v>-1128</v>
      </c>
      <c r="O3814" s="15">
        <f t="shared" si="1017"/>
        <v>-0.62938336290895669</v>
      </c>
      <c r="P3814" s="15">
        <f t="shared" si="1018"/>
        <v>6.3621666799196817</v>
      </c>
      <c r="Q3814" s="25" t="s">
        <v>18</v>
      </c>
      <c r="R3814" s="39" t="s">
        <v>19</v>
      </c>
      <c r="S3814" s="1">
        <f>R3812/((AVERAGE(P3818:P3823))*(1+E3824)^3)</f>
        <v>7.1649021807875286</v>
      </c>
      <c r="U3814" s="25" t="s">
        <v>48</v>
      </c>
      <c r="V3814" s="39" t="s">
        <v>19</v>
      </c>
      <c r="W3814" s="1">
        <f>V3812/((AVERAGE(P3818:P3823))*(1+E3824)^3)</f>
        <v>7.1649021807875286</v>
      </c>
      <c r="Y3814" s="25" t="s">
        <v>39</v>
      </c>
      <c r="Z3814" s="39" t="s">
        <v>19</v>
      </c>
      <c r="AA3814" s="1">
        <f>Z3812/((AVERAGE(P3818:P3823))*(1+E3824)^3)</f>
        <v>7.1649021807875286</v>
      </c>
    </row>
    <row r="3815" spans="1:27">
      <c r="B3815" s="13">
        <v>3</v>
      </c>
      <c r="C3815" s="14" t="s">
        <v>20</v>
      </c>
      <c r="D3815" s="15" cm="1">
        <f t="array" ref="D3815">_xlfn.SINGLE(IF(A3821=A3822,_xll.ciqfunctions.udf.CIQ(A3813,"IQ_TOTAL_REV",IQ_FY-8)/I3815, _xll.ciqfunctions.udf.CIQ(A3813, "IQ_TOTAL_REV",IQ_FY-7)/I3815))</f>
        <v>45.276013676238946</v>
      </c>
      <c r="E3815" s="16">
        <f t="shared" si="1019"/>
        <v>-7.0989483904658895E-3</v>
      </c>
      <c r="F3815" s="15">
        <f>IF(A3821=A3822,_xll.ciqfunctions.udf.CIQ(A3813,"IQ_DILUT_EPS_EXCL",IQ_FY-8), _xll.ciqfunctions.udf.CIQ(A3813, "IQ_DILUT_EPS_EXCL",IQ_FY-7))</f>
        <v>2.9659300000000002</v>
      </c>
      <c r="G3815" s="15">
        <f>IF(A3821=A3822,_xll.ciqfunctions.udf.CIQ(A3813,"IQ_EBITDA_MARGIN",IQ_FY-8), _xll.ciqfunctions.udf.CIQ(A3813, "IQ_EBITDA_MARGIN",IQ_FY-7))</f>
        <v>14.1386</v>
      </c>
      <c r="H3815" s="15">
        <f>IF(A3821=A3822,_xll.ciqfunctions.udf.CIQ(A3813,"IQ_TOTAL_DIV_PAID_CF",IQ_FY-8)/-I3815, _xll.ciqfunctions.udf.CIQ(A3813, "IQ_TOTAL_DIV_PAID_CF",IQ_FY-7)/-I3815)</f>
        <v>1.2873947194464803</v>
      </c>
      <c r="I3815" s="17">
        <f>IF(A3821=A3822,_xll.ciqfunctions.udf.CIQ(A3813,"IQ_TOTAL_OUTSTANDING_FILING_DATE",IQ_FY-8), _xll.ciqfunctions.udf.CIQ(A3813, "IQ_TOTAL_OUTSTANDING_FILING_DATE",IQ_FY-7))</f>
        <v>253.22459000000001</v>
      </c>
      <c r="J3815" s="17">
        <f>IF(A3821=A3822,_xll.ciqfunctions.udf.CIQ(A3813,"IQ_CASH_OPER",IQ_FY-8), _xll.ciqfunctions.udf.CIQ(A3813, "IQ_CASH_OPER",IQ_FY-7))</f>
        <v>1611</v>
      </c>
      <c r="K3815" s="17">
        <f>IF(A3821=A3822,_xll.ciqfunctions.udf.CIQ(A3813,"IQ_CAPEX",IQ_FY-8), _xll.ciqfunctions.udf.CIQ(A3813, "IQ_CAPEX",IQ_FY-7))</f>
        <v>-84</v>
      </c>
      <c r="L3815" s="15">
        <f t="shared" si="1016"/>
        <v>6.0302200509042185</v>
      </c>
      <c r="M3815" s="17">
        <f>IF(A3821=A3822,_xll.ciqfunctions.udf.CIQ(A3813,"IQ_TOTAL_DEBT_ISSUED",IQ_FY-8), _xll.ciqfunctions.udf.CIQ(A3813, "IQ_TOTAL_DEBT_ISSUED",IQ_FY-7))</f>
        <v>1079</v>
      </c>
      <c r="N3815" s="17">
        <f>IF(A3821=A3822,_xll.ciqfunctions.udf.CIQ(A3813,"IQ_TOTAL_DEBT_REPAID",IQ_FY-8), _xll.ciqfunctions.udf.CIQ(A3813, "IQ_TOTAL_DEBT_REPAID",IQ_FY-7))</f>
        <v>-1449</v>
      </c>
      <c r="O3815" s="15">
        <f t="shared" si="1017"/>
        <v>-1.4611535159361893</v>
      </c>
      <c r="P3815" s="15">
        <f t="shared" si="1018"/>
        <v>4.5690665349680293</v>
      </c>
      <c r="Q3815" s="25" t="s">
        <v>21</v>
      </c>
      <c r="R3815" s="38" t="s">
        <v>49</v>
      </c>
      <c r="S3815" s="2">
        <f>(R3812*I3823)/1000</f>
        <v>1.68872844</v>
      </c>
      <c r="U3815" s="25" t="s">
        <v>59</v>
      </c>
      <c r="V3815" s="38" t="s">
        <v>49</v>
      </c>
      <c r="W3815" s="2">
        <f>(V3812*I3823)/1000</f>
        <v>1.68872844</v>
      </c>
      <c r="Y3815" s="25" t="s">
        <v>46</v>
      </c>
      <c r="Z3815" s="38" t="s">
        <v>49</v>
      </c>
      <c r="AA3815" s="2">
        <f>(Z3812*I3823)/1000</f>
        <v>1.68872844</v>
      </c>
    </row>
    <row r="3816" spans="1:27">
      <c r="A3816" s="18"/>
      <c r="B3816" s="13">
        <v>4</v>
      </c>
      <c r="C3816" s="14" t="s">
        <v>22</v>
      </c>
      <c r="D3816" s="15" cm="1">
        <f t="array" ref="D3816">_xlfn.SINGLE(IF(A3821=A3822,_xll.ciqfunctions.udf.CIQ(A3813,"IQ_TOTAL_REV",IQ_FY-7)/I3816, _xll.ciqfunctions.udf.CIQ(A3813, "IQ_TOTAL_REV",IQ_FY-6)/I3816))</f>
        <v>42.381171003047541</v>
      </c>
      <c r="E3816" s="16">
        <f t="shared" si="1019"/>
        <v>-6.393766672772766E-2</v>
      </c>
      <c r="F3816" s="15">
        <f>IF(A3821=A3822,_xll.ciqfunctions.udf.CIQ(A3813,"IQ_DILUT_EPS_EXCL",IQ_FY-7), _xll.ciqfunctions.udf.CIQ(A3813, "IQ_DILUT_EPS_EXCL",IQ_FY-6))</f>
        <v>2.33</v>
      </c>
      <c r="G3816" s="15">
        <f>IF(A3821=A3822,_xll.ciqfunctions.udf.CIQ(A3813,"IQ_EBITDA_MARGIN",IQ_FY-7), _xll.ciqfunctions.udf.CIQ(A3813, "IQ_EBITDA_MARGIN",IQ_FY-6))</f>
        <v>14.0098</v>
      </c>
      <c r="H3816" s="15">
        <f>IF(A3821=A3822,_xll.ciqfunctions.udf.CIQ(A3813,"IQ_TOTAL_DIV_PAID_CF",IQ_FY-7)/-I3816, _xll.ciqfunctions.udf.CIQ(A3813, "IQ_TOTAL_DIV_PAID_CF",IQ_FY-6)/-I3816)</f>
        <v>1.3024015970670073</v>
      </c>
      <c r="I3816" s="17">
        <f>IF(A3821=A3822,_xll.ciqfunctions.udf.CIQ(A3813,"IQ_TOTAL_OUTSTANDING_FILING_DATE",IQ_FY-7), _xll.ciqfunctions.udf.CIQ(A3813, "IQ_TOTAL_OUTSTANDING_FILING_DATE",IQ_FY-6))</f>
        <v>254.14588000000001</v>
      </c>
      <c r="J3816" s="17">
        <f>IF(A3821=A3822,_xll.ciqfunctions.udf.CIQ(A3813,"IQ_CASH_OPER",IQ_FY-7), _xll.ciqfunctions.udf.CIQ(A3813, "IQ_CASH_OPER",IQ_FY-6))</f>
        <v>798</v>
      </c>
      <c r="K3816" s="17">
        <f>IF(A3821=A3822,_xll.ciqfunctions.udf.CIQ(A3813,"IQ_CAPEX",IQ_FY-7), _xll.ciqfunctions.udf.CIQ(A3813, "IQ_CAPEX",IQ_FY-6))</f>
        <v>-138</v>
      </c>
      <c r="L3816" s="15">
        <f t="shared" si="1016"/>
        <v>2.596933698079229</v>
      </c>
      <c r="M3816" s="17">
        <f>IF(A3821=A3822,_xll.ciqfunctions.udf.CIQ(A3813,"IQ_TOTAL_DEBT_ISSUED",IQ_FY-7), _xll.ciqfunctions.udf.CIQ(A3813, "IQ_TOTAL_DEBT_ISSUED",IQ_FY-6))</f>
        <v>1913</v>
      </c>
      <c r="N3816" s="17">
        <f>IF(A3821=A3822,_xll.ciqfunctions.udf.CIQ(A3813,"IQ_TOTAL_DEBT_REPAID",IQ_FY-7), _xll.ciqfunctions.udf.CIQ(A3813, "IQ_TOTAL_DEBT_REPAID",IQ_FY-6))</f>
        <v>-988</v>
      </c>
      <c r="O3816" s="15">
        <f t="shared" si="1017"/>
        <v>3.6396419253383137</v>
      </c>
      <c r="P3816" s="15">
        <f t="shared" si="1018"/>
        <v>6.2365756234175427</v>
      </c>
      <c r="Q3816" s="25" t="s">
        <v>23</v>
      </c>
      <c r="R3816" s="38" t="s">
        <v>24</v>
      </c>
      <c r="S3816" s="1">
        <f>R3812/(AVERAGE(H3818:H3823)*(1+H3824)/(0.5-H3824))</f>
        <v>5.004407854694823</v>
      </c>
      <c r="U3816" s="25" t="s">
        <v>40</v>
      </c>
      <c r="V3816" s="38" t="s">
        <v>24</v>
      </c>
      <c r="W3816" s="1">
        <f>V3812/(AVERAGE(H3818:H3823)*(1+H3824)/(0.5-H3824))</f>
        <v>5.004407854694823</v>
      </c>
      <c r="Y3816" s="25" t="s">
        <v>47</v>
      </c>
      <c r="Z3816" s="38" t="s">
        <v>24</v>
      </c>
      <c r="AA3816" s="1">
        <f>Z3812/(AVERAGE(H3818:H3823)*(1+H3824)/(0.5-H3824))</f>
        <v>5.004407854694823</v>
      </c>
    </row>
    <row r="3817" spans="1:27">
      <c r="B3817" s="13">
        <v>5</v>
      </c>
      <c r="C3817" s="14" t="s">
        <v>25</v>
      </c>
      <c r="D3817" s="15" cm="1">
        <f t="array" ref="D3817">_xlfn.SINGLE(IF(A3821=A3822,_xll.ciqfunctions.udf.CIQ(A3813,"IQ_TOTAL_REV",IQ_FY-6)/I3817, _xll.ciqfunctions.udf.CIQ(A3813, "IQ_TOTAL_REV",IQ_FY-5)/I3817))</f>
        <v>39.230627359810974</v>
      </c>
      <c r="E3817" s="16">
        <f t="shared" si="1019"/>
        <v>-7.433828675970322E-2</v>
      </c>
      <c r="F3817" s="15">
        <f>IF(A3821=A3822,_xll.ciqfunctions.udf.CIQ(A3813,"IQ_DILUT_EPS_EXCL",IQ_FY-6), _xll.ciqfunctions.udf.CIQ(A3813, "IQ_DILUT_EPS_EXCL",IQ_FY-5))</f>
        <v>0.20266999999999999</v>
      </c>
      <c r="G3817" s="15">
        <f>IF(A3821=A3822,_xll.ciqfunctions.udf.CIQ(A3813,"IQ_EBITDA_MARGIN",IQ_FY-6), _xll.ciqfunctions.udf.CIQ(A3813, "IQ_EBITDA_MARGIN",IQ_FY-5))</f>
        <v>13.472099999999999</v>
      </c>
      <c r="H3817" s="15">
        <f>IF(A3821=A3822,_xll.ciqfunctions.udf.CIQ(A3813,"IQ_TOTAL_DIV_PAID_CF",IQ_FY-6)/-I3817, _xll.ciqfunctions.udf.CIQ(A3813, "IQ_TOTAL_DIV_PAID_CF",IQ_FY-5)/-I3817)</f>
        <v>1.1426396318391545</v>
      </c>
      <c r="I3817" s="17">
        <f>IF(A3821=A3822,_xll.ciqfunctions.udf.CIQ(A3813,"IQ_TOTAL_OUTSTANDING_FILING_DATE",IQ_FY-6), _xll.ciqfunctions.udf.CIQ(A3813, "IQ_TOTAL_OUTSTANDING_FILING_DATE",IQ_FY-5))</f>
        <v>254.67347000000001</v>
      </c>
      <c r="J3817" s="17">
        <f>IF(A3821=A3822,_xll.ciqfunctions.udf.CIQ(A3813,"IQ_CASH_OPER",IQ_FY-6), _xll.ciqfunctions.udf.CIQ(A3813, "IQ_CASH_OPER",IQ_FY-5))</f>
        <v>-267</v>
      </c>
      <c r="K3817" s="17">
        <f>IF(A3821=A3822,_xll.ciqfunctions.udf.CIQ(A3813,"IQ_CAPEX",IQ_FY-6), _xll.ciqfunctions.udf.CIQ(A3813, "IQ_CAPEX",IQ_FY-5))</f>
        <v>-105</v>
      </c>
      <c r="L3817" s="15">
        <f t="shared" si="1016"/>
        <v>-1.4606939623510842</v>
      </c>
      <c r="M3817" s="17">
        <f>IF(A3821=A3822,_xll.ciqfunctions.udf.CIQ(A3813,"IQ_TOTAL_DEBT_ISSUED",IQ_FY-6), _xll.ciqfunctions.udf.CIQ(A3813, "IQ_TOTAL_DEBT_ISSUED",IQ_FY-5))</f>
        <v>1010</v>
      </c>
      <c r="N3817" s="17">
        <f>IF(A3821=A3822,_xll.ciqfunctions.udf.CIQ(A3813,"IQ_TOTAL_DEBT_REPAID",IQ_FY-6), _xll.ciqfunctions.udf.CIQ(A3813, "IQ_TOTAL_DEBT_REPAID",IQ_FY-5))</f>
        <v>-1832</v>
      </c>
      <c r="O3817" s="15">
        <f t="shared" si="1017"/>
        <v>-3.227662465195138</v>
      </c>
      <c r="P3817" s="15">
        <f t="shared" si="1018"/>
        <v>-4.6883564275462222</v>
      </c>
      <c r="Q3817" s="18"/>
      <c r="R3817" s="38" t="s">
        <v>50</v>
      </c>
      <c r="S3817" s="3">
        <f>I3824</f>
        <v>-0.11758597618918643</v>
      </c>
      <c r="U3817" s="18"/>
      <c r="V3817" s="38" t="s">
        <v>50</v>
      </c>
      <c r="W3817" s="3">
        <f>I3824</f>
        <v>-0.11758597618918643</v>
      </c>
      <c r="Y3817" s="18"/>
      <c r="Z3817" s="38" t="s">
        <v>50</v>
      </c>
      <c r="AA3817" s="3">
        <f>I3824</f>
        <v>-0.11758597618918643</v>
      </c>
    </row>
    <row r="3818" spans="1:27">
      <c r="B3818" s="13">
        <v>6</v>
      </c>
      <c r="C3818" s="14" t="s">
        <v>26</v>
      </c>
      <c r="D3818" s="15" cm="1">
        <f t="array" ref="D3818">_xlfn.SINGLE(IF(A3821=A3822,_xll.ciqfunctions.udf.CIQ(A3813,"IQ_TOTAL_REV",IQ_FY-5)/I3818, _xll.ciqfunctions.udf.CIQ(A3813, "IQ_TOTAL_REV",IQ_FY-4)/I3818))</f>
        <v>42.058710773842407</v>
      </c>
      <c r="E3818" s="16">
        <f t="shared" si="1019"/>
        <v>7.208866144538402E-2</v>
      </c>
      <c r="F3818" s="15">
        <f>IF(A3821=A3822,_xll.ciqfunctions.udf.CIQ(A3813,"IQ_DILUT_EPS_EXCL",IQ_FY-5), _xll.ciqfunctions.udf.CIQ(A3813, "IQ_DILUT_EPS_EXCL",IQ_FY-4))</f>
        <v>1.1603000000000001</v>
      </c>
      <c r="G3818" s="15">
        <f>IF(A3821=A3822,_xll.ciqfunctions.udf.CIQ(A3813,"IQ_EBITDA_MARGIN",IQ_FY-5), _xll.ciqfunctions.udf.CIQ(A3813, "IQ_EBITDA_MARGIN",IQ_FY-4))</f>
        <v>13.8687</v>
      </c>
      <c r="H3818" s="15">
        <f>IF(A3821=A3822,_xll.ciqfunctions.udf.CIQ(A3813,"IQ_TOTAL_DIV_PAID_CF",IQ_FY-5)/-I3818, _xll.ciqfunctions.udf.CIQ(A3813, "IQ_TOTAL_DIV_PAID_CF",IQ_FY-4)/-I3818)</f>
        <v>1.170957689729208</v>
      </c>
      <c r="I3818" s="17">
        <f>IF(A3821=A3822,_xll.ciqfunctions.udf.CIQ(A3813,"IQ_TOTAL_OUTSTANDING_FILING_DATE",IQ_FY-5), _xll.ciqfunctions.udf.CIQ(A3813, "IQ_TOTAL_OUTSTANDING_FILING_DATE",IQ_FY-4))</f>
        <v>229.72649000000001</v>
      </c>
      <c r="J3818" s="17">
        <f>IF(A3821=A3822,_xll.ciqfunctions.udf.CIQ(A3813,"IQ_CASH_OPER",IQ_FY-5), _xll.ciqfunctions.udf.CIQ(A3813, "IQ_CASH_OPER",IQ_FY-4))</f>
        <v>1140</v>
      </c>
      <c r="K3818" s="17">
        <f>IF(A3821=A3822,_xll.ciqfunctions.udf.CIQ(A3813,"IQ_CAPEX",IQ_FY-5), _xll.ciqfunctions.udf.CIQ(A3813, "IQ_CAPEX",IQ_FY-4))</f>
        <v>-90</v>
      </c>
      <c r="L3818" s="15">
        <f t="shared" si="1016"/>
        <v>4.5706526922515547</v>
      </c>
      <c r="M3818" s="17">
        <f>IF(A3821=A3822,_xll.ciqfunctions.udf.CIQ(A3813,"IQ_TOTAL_DEBT_ISSUED",IQ_FY-5), _xll.ciqfunctions.udf.CIQ(A3813, "IQ_TOTAL_DEBT_ISSUED",IQ_FY-4))</f>
        <v>9</v>
      </c>
      <c r="N3818" s="17">
        <f>IF(A3821=A3822,_xll.ciqfunctions.udf.CIQ(A3813,"IQ_TOTAL_DEBT_REPAID",IQ_FY-5), _xll.ciqfunctions.udf.CIQ(A3813, "IQ_TOTAL_DEBT_REPAID",IQ_FY-4))</f>
        <v>-316</v>
      </c>
      <c r="O3818" s="15">
        <f t="shared" si="1017"/>
        <v>-1.3363717871630738</v>
      </c>
      <c r="P3818" s="15">
        <f t="shared" si="1018"/>
        <v>3.2342809050884807</v>
      </c>
      <c r="Q3818" s="25" t="s">
        <v>27</v>
      </c>
      <c r="R3818" s="38" t="s">
        <v>51</v>
      </c>
      <c r="S3818" s="4">
        <f>AVERAGE(F3818:F3823)/AVERAGE(D3818:D3823)</f>
        <v>4.1556059193580044E-3</v>
      </c>
      <c r="U3818" s="25" t="s">
        <v>58</v>
      </c>
      <c r="V3818" s="38" t="s">
        <v>51</v>
      </c>
      <c r="W3818" s="4">
        <f>AVERAGE(F3818:F3823)/AVERAGE(D3818:D3823)</f>
        <v>4.1556059193580044E-3</v>
      </c>
      <c r="Y3818" s="25" t="s">
        <v>56</v>
      </c>
      <c r="Z3818" s="38" t="s">
        <v>51</v>
      </c>
      <c r="AA3818" s="4">
        <f>AVERAGE(F3818:F3823)/AVERAGE(D3818:D3823)</f>
        <v>4.1556059193580044E-3</v>
      </c>
    </row>
    <row r="3819" spans="1:27">
      <c r="A3819" s="18"/>
      <c r="B3819" s="13">
        <v>7</v>
      </c>
      <c r="C3819" s="14" t="s">
        <v>28</v>
      </c>
      <c r="D3819" s="15" cm="1">
        <f t="array" ref="D3819">_xlfn.SINGLE(IF(A3821=A3822,_xll.ciqfunctions.udf.CIQ(A3813,"IQ_TOTAL_REV",IQ_FY-4)/I3819, _xll.ciqfunctions.udf.CIQ(A3813, "IQ_TOTAL_REV",IQ_FY-3)/I3819))</f>
        <v>42.605559785878157</v>
      </c>
      <c r="E3819" s="16">
        <f t="shared" si="1019"/>
        <v>1.3002039339157589E-2</v>
      </c>
      <c r="F3819" s="15">
        <f>IF(A3821=A3822,_xll.ciqfunctions.udf.CIQ(A3813,"IQ_DILUT_EPS_EXCL",IQ_FY-4), _xll.ciqfunctions.udf.CIQ(A3813, "IQ_DILUT_EPS_EXCL",IQ_FY-3))</f>
        <v>2.7791000000000001</v>
      </c>
      <c r="G3819" s="15">
        <f>IF(A3821=A3822,_xll.ciqfunctions.udf.CIQ(A3813,"IQ_EBITDA_MARGIN",IQ_FY-4), _xll.ciqfunctions.udf.CIQ(A3813, "IQ_EBITDA_MARGIN",IQ_FY-3))</f>
        <v>16.545300000000001</v>
      </c>
      <c r="H3819" s="15">
        <f>IF(A3821=A3822,_xll.ciqfunctions.udf.CIQ(A3813,"IQ_TOTAL_DIV_PAID_CF",IQ_FY-4)/-I3819, _xll.ciqfunctions.udf.CIQ(A3813, "IQ_TOTAL_DIV_PAID_CF",IQ_FY-3)/-I3819)</f>
        <v>1.1419756262925649</v>
      </c>
      <c r="I3819" s="17">
        <f>IF(A3821=A3822,_xll.ciqfunctions.udf.CIQ(A3813,"IQ_TOTAL_OUTSTANDING_FILING_DATE",IQ_FY-4), _xll.ciqfunctions.udf.CIQ(A3813, "IQ_TOTAL_OUTSTANDING_FILING_DATE",IQ_FY-3))</f>
        <v>212.78913</v>
      </c>
      <c r="J3819" s="17">
        <f>IF(A3821=A3822,_xll.ciqfunctions.udf.CIQ(A3813,"IQ_CASH_OPER",IQ_FY-4), _xll.ciqfunctions.udf.CIQ(A3813, "IQ_CASH_OPER",IQ_FY-3))</f>
        <v>1333</v>
      </c>
      <c r="K3819" s="17">
        <f>IF(A3821=A3822,_xll.ciqfunctions.udf.CIQ(A3813,"IQ_CAPEX",IQ_FY-4), _xll.ciqfunctions.udf.CIQ(A3813, "IQ_CAPEX",IQ_FY-3))</f>
        <v>-65</v>
      </c>
      <c r="L3819" s="15">
        <f t="shared" si="1016"/>
        <v>5.9589510046871288</v>
      </c>
      <c r="M3819" s="17">
        <f>IF(A3821=A3822,_xll.ciqfunctions.udf.CIQ(A3813,"IQ_TOTAL_DEBT_ISSUED",IQ_FY-4), _xll.ciqfunctions.udf.CIQ(A3813, "IQ_TOTAL_DEBT_ISSUED",IQ_FY-3))</f>
        <v>10</v>
      </c>
      <c r="N3819" s="17">
        <f>IF(A3821=A3822,_xll.ciqfunctions.udf.CIQ(A3813,"IQ_TOTAL_DEBT_REPAID",IQ_FY-4), _xll.ciqfunctions.udf.CIQ(A3813, "IQ_TOTAL_DEBT_REPAID",IQ_FY-3))</f>
        <v>-960</v>
      </c>
      <c r="O3819" s="15">
        <f t="shared" si="1017"/>
        <v>-4.4645137653413025</v>
      </c>
      <c r="P3819" s="15">
        <f t="shared" si="1018"/>
        <v>1.4944372393458263</v>
      </c>
      <c r="Q3819" s="18"/>
      <c r="R3819" s="38" t="s">
        <v>29</v>
      </c>
      <c r="S3819" s="4">
        <f>(AVERAGE(P3818:P3823)/_xlfn.STDEV.P(P3818:P3823))/(IF(A3821=A3822,(_xlfn.SINGLE(_xll.ciqfunctions.udf.CIQ(A3813,"IQ_total_assets",IQ_FY)) - _xlfn.SINGLE(_xll.ciqfunctions.udf.CIQ(A3813,"iq_gw_intan", IQ_FY)))/I3823, (_xlfn.SINGLE(_xll.ciqfunctions.udf.CIQ(A3813, "IQ_total_assets",IQ_LTM))-_xlfn.SINGLE(_xll.ciqfunctions.udf.CIQ(A3813,"iq_gw_intan",IQ_LTM)))/I3823))</f>
        <v>1.285294987119266E-2</v>
      </c>
      <c r="U3819" s="18"/>
      <c r="V3819" s="38" t="s">
        <v>29</v>
      </c>
      <c r="W3819" s="4">
        <f>(AVERAGE(P3818:P3823)/_xlfn.STDEV.P(P3818:P3823))/(IF(A3821=A3822,(_xlfn.SINGLE(_xll.ciqfunctions.udf.CIQ(A3813,"IQ_total_assets",IQ_FY)) - _xlfn.SINGLE(_xll.ciqfunctions.udf.CIQ(A3813,"iq_gw_intan", IQ_FY)))/I3823, (_xlfn.SINGLE(_xll.ciqfunctions.udf.CIQ(A3813, "IQ_total_assets",IQ_LTM))-_xlfn.SINGLE(_xll.ciqfunctions.udf.CIQ(A3813,"iq_gw_intan",IQ_LTM)))/I3823))</f>
        <v>1.285294987119266E-2</v>
      </c>
      <c r="Y3819" s="18"/>
      <c r="Z3819" s="38" t="s">
        <v>29</v>
      </c>
      <c r="AA3819" s="4">
        <f>(AVERAGE(P3818:P3823)/_xlfn.STDEV.P(P3818:P3823))/(IF(A3821=A3822,(_xlfn.SINGLE(_xll.ciqfunctions.udf.CIQ(A3813,"IQ_total_assets",IQ_FY)) - _xlfn.SINGLE(_xll.ciqfunctions.udf.CIQ(A3813,"iq_gw_intan", IQ_FY)))/I3823, (_xlfn.SINGLE(_xll.ciqfunctions.udf.CIQ(A3813, "IQ_total_assets",IQ_LTM))-_xlfn.SINGLE(_xll.ciqfunctions.udf.CIQ(A3813,"iq_gw_intan",IQ_LTM)))/I3823))</f>
        <v>1.285294987119266E-2</v>
      </c>
    </row>
    <row r="3820" spans="1:27">
      <c r="A3820" s="18"/>
      <c r="B3820" s="13">
        <v>8</v>
      </c>
      <c r="C3820" s="14" t="s">
        <v>30</v>
      </c>
      <c r="D3820" s="15" cm="1">
        <f t="array" ref="D3820">_xlfn.SINGLE(IF(A3821=A3822,_xll.ciqfunctions.udf.CIQ(A3813,"IQ_TOTAL_REV",IQ_FY-3)/I3820, _xll.ciqfunctions.udf.CIQ(A3813, "IQ_TOTAL_REV",IQ_FY-2)/I3820))</f>
        <v>35.348138642628456</v>
      </c>
      <c r="E3820" s="16">
        <f t="shared" si="1019"/>
        <v>-0.17033976738536394</v>
      </c>
      <c r="F3820" s="15">
        <f>IF(A3821=A3822,_xll.ciqfunctions.udf.CIQ(A3813,"IQ_DILUT_EPS_EXCL",IQ_FY-3), _xll.ciqfunctions.udf.CIQ(A3813, "IQ_DILUT_EPS_EXCL",IQ_FY-2))</f>
        <v>0.84</v>
      </c>
      <c r="G3820" s="15">
        <f>IF(A3821=A3822,_xll.ciqfunctions.udf.CIQ(A3813,"IQ_EBITDA_MARGIN",IQ_FY-3), _xll.ciqfunctions.udf.CIQ(A3813, "IQ_EBITDA_MARGIN",IQ_FY-2))</f>
        <v>9.3420000000000005</v>
      </c>
      <c r="H3820" s="15">
        <f>IF(A3821=A3822,_xll.ciqfunctions.udf.CIQ(A3813,"IQ_TOTAL_DIV_PAID_CF",IQ_FY-3)/-I3820, _xll.ciqfunctions.udf.CIQ(A3813, "IQ_TOTAL_DIV_PAID_CF",IQ_FY-2)/-I3820)</f>
        <v>1.1578000409861213</v>
      </c>
      <c r="I3820" s="17">
        <f>IF(A3821=A3822,_xll.ciqfunctions.udf.CIQ(A3813,"IQ_TOTAL_OUTSTANDING_FILING_DATE",IQ_FY-3), _xll.ciqfunctions.udf.CIQ(A3813, "IQ_TOTAL_OUTSTANDING_FILING_DATE",IQ_FY-2))</f>
        <v>198.65261000000001</v>
      </c>
      <c r="J3820" s="17">
        <f>IF(A3821=A3822,_xll.ciqfunctions.udf.CIQ(A3813,"IQ_CASH_OPER",IQ_FY-3), _xll.ciqfunctions.udf.CIQ(A3813, "IQ_CASH_OPER",IQ_FY-2))</f>
        <v>548</v>
      </c>
      <c r="K3820" s="17">
        <f>IF(A3821=A3822,_xll.ciqfunctions.udf.CIQ(A3813,"IQ_CAPEX",IQ_FY-3), _xll.ciqfunctions.udf.CIQ(A3813, "IQ_CAPEX",IQ_FY-2))</f>
        <v>-74</v>
      </c>
      <c r="L3820" s="15">
        <f t="shared" si="1016"/>
        <v>2.3860748670757457</v>
      </c>
      <c r="M3820" s="17">
        <f>IF(A3821=A3822,_xll.ciqfunctions.udf.CIQ(A3813,"IQ_TOTAL_DEBT_ISSUED",IQ_FY-3), _xll.ciqfunctions.udf.CIQ(A3813, "IQ_TOTAL_DEBT_ISSUED",IQ_FY-2))</f>
        <v>2359</v>
      </c>
      <c r="N3820" s="17">
        <f>IF(A3821=A3822,_xll.ciqfunctions.udf.CIQ(A3813,"IQ_TOTAL_DEBT_REPAID",IQ_FY-3), _xll.ciqfunctions.udf.CIQ(A3813, "IQ_TOTAL_DEBT_REPAID",IQ_FY-2))</f>
        <v>-2226</v>
      </c>
      <c r="O3820" s="15">
        <f t="shared" si="1017"/>
        <v>0.66951045848327895</v>
      </c>
      <c r="P3820" s="15">
        <f t="shared" si="1018"/>
        <v>3.0555853255590248</v>
      </c>
      <c r="Q3820" s="18"/>
      <c r="R3820" s="39" t="s">
        <v>31</v>
      </c>
      <c r="S3820" s="5">
        <f>IF(NOT(D3813&gt;0),FALSE,SLOPE(G3813:G3823,B3813:B3823))</f>
        <v>-0.68100090909090893</v>
      </c>
      <c r="U3820" s="18"/>
      <c r="V3820" s="39" t="s">
        <v>31</v>
      </c>
      <c r="W3820" s="5">
        <f>IF(NOT(D3813&gt;0),FALSE,SLOPE(G3813:G3823,B3813:B3823))</f>
        <v>-0.68100090909090893</v>
      </c>
      <c r="Y3820" s="18"/>
      <c r="Z3820" s="39" t="s">
        <v>31</v>
      </c>
      <c r="AA3820" s="5">
        <f>IF(NOT(L3813&gt;0),FALSE,SLOPE(O3813:O3823,J3813:J3823))</f>
        <v>2.5060330671058939E-4</v>
      </c>
    </row>
    <row r="3821" spans="1:27">
      <c r="A3821" s="19">
        <f>_xll.ciqfunctions.udf.CIQ(A3813,"IQ_TOTAL_REV",IQ_FY)</f>
        <v>7107</v>
      </c>
      <c r="B3821" s="13">
        <v>9</v>
      </c>
      <c r="C3821" s="14" t="s">
        <v>32</v>
      </c>
      <c r="D3821" s="15" cm="1">
        <f t="array" ref="D3821">_xlfn.SINGLE(IF(A3821=A3822,_xll.ciqfunctions.udf.CIQ(A3813,"IQ_TOTAL_REV",IQ_FY-2)/I3821, _xll.ciqfunctions.udf.CIQ(A3813, "IQ_TOTAL_REV",IQ_FY-1)/I3821))</f>
        <v>45.013075089522488</v>
      </c>
      <c r="E3821" s="16">
        <f t="shared" si="1019"/>
        <v>0.27342136864990402</v>
      </c>
      <c r="F3821" s="15">
        <f>IF(A3821=A3822,_xll.ciqfunctions.udf.CIQ(A3813,"IQ_DILUT_EPS_EXCL",IQ_FY-2), _xll.ciqfunctions.udf.CIQ(A3813, "IQ_DILUT_EPS_EXCL",IQ_FY-1))</f>
        <v>-2.5604900000000002</v>
      </c>
      <c r="G3821" s="15">
        <f>IF(A3821=A3822,_xll.ciqfunctions.udf.CIQ(A3813,"IQ_EBITDA_MARGIN",IQ_FY-2), _xll.ciqfunctions.udf.CIQ(A3813, "IQ_EBITDA_MARGIN",IQ_FY-1))</f>
        <v>9.3917999999999999</v>
      </c>
      <c r="H3821" s="15">
        <f>IF(A3821=A3822,_xll.ciqfunctions.udf.CIQ(A3813,"IQ_TOTAL_DIV_PAID_CF",IQ_FY-2)/-I3821, _xll.ciqfunctions.udf.CIQ(A3813, "IQ_TOTAL_DIV_PAID_CF",IQ_FY-1)/-I3821)</f>
        <v>1.3175182535438523</v>
      </c>
      <c r="I3821" s="17">
        <f>IF(A3821=A3822,_xll.ciqfunctions.udf.CIQ(A3813,"IQ_TOTAL_OUTSTANDING_FILING_DATE",IQ_FY-2), _xll.ciqfunctions.udf.CIQ(A3813, "IQ_TOTAL_OUTSTANDING_FILING_DATE",IQ_FY-1))</f>
        <v>156.35457</v>
      </c>
      <c r="J3821" s="17">
        <f>IF(A3821=A3822,_xll.ciqfunctions.udf.CIQ(A3813,"IQ_CASH_OPER",IQ_FY-2), _xll.ciqfunctions.udf.CIQ(A3813, "IQ_CASH_OPER",IQ_FY-1))</f>
        <v>629</v>
      </c>
      <c r="K3821" s="17">
        <f>IF(A3821=A3822,_xll.ciqfunctions.udf.CIQ(A3813,"IQ_CAPEX",IQ_FY-2), _xll.ciqfunctions.udf.CIQ(A3813, "IQ_CAPEX",IQ_FY-1))</f>
        <v>-68</v>
      </c>
      <c r="L3821" s="15">
        <f t="shared" si="1016"/>
        <v>3.5879987390199086</v>
      </c>
      <c r="M3821" s="17">
        <f>IF(A3821=A3822,_xll.ciqfunctions.udf.CIQ(A3813,"IQ_TOTAL_DEBT_ISSUED",IQ_FY-2), _xll.ciqfunctions.udf.CIQ(A3813, "IQ_TOTAL_DEBT_ISSUED",IQ_FY-1))</f>
        <v>311</v>
      </c>
      <c r="N3821" s="17">
        <f>IF(A3821=A3822,_xll.ciqfunctions.udf.CIQ(A3813,"IQ_TOTAL_DEBT_REPAID",IQ_FY-2), _xll.ciqfunctions.udf.CIQ(A3813, "IQ_TOTAL_DEBT_REPAID",IQ_FY-1))</f>
        <v>-519</v>
      </c>
      <c r="O3821" s="15">
        <f t="shared" si="1017"/>
        <v>-1.3303096928986471</v>
      </c>
      <c r="P3821" s="15">
        <f t="shared" si="1018"/>
        <v>2.2576890461212615</v>
      </c>
      <c r="Q3821" s="25" t="s">
        <v>33</v>
      </c>
      <c r="R3821" s="38" t="s">
        <v>52</v>
      </c>
      <c r="S3821" s="4">
        <f>(AVERAGE(O3818:O3823)/AVERAGE(P3818:P3823))</f>
        <v>-1.1637705017117348</v>
      </c>
      <c r="U3821" s="25" t="s">
        <v>54</v>
      </c>
      <c r="V3821" s="38" t="s">
        <v>52</v>
      </c>
      <c r="W3821" s="4">
        <f>(AVERAGE(O3818:O3823)/AVERAGE(P3818:P3823))</f>
        <v>-1.1637705017117348</v>
      </c>
      <c r="Y3821" s="25" t="s">
        <v>60</v>
      </c>
      <c r="Z3821" s="38" t="s">
        <v>52</v>
      </c>
      <c r="AA3821" s="4">
        <f>(AVERAGE(O3818:O3823)/AVERAGE(P3818:P3823))</f>
        <v>-1.1637705017117348</v>
      </c>
    </row>
    <row r="3822" spans="1:27">
      <c r="A3822" s="19">
        <f>_xll.ciqfunctions.udf.CIQ(A3813,"IQ_TOTAL_REV",IQ_LTM)</f>
        <v>7062</v>
      </c>
      <c r="B3822" s="13">
        <v>10</v>
      </c>
      <c r="C3822" s="14" t="s">
        <v>34</v>
      </c>
      <c r="D3822" s="15" cm="1">
        <f t="array" ref="D3822">_xlfn.SINGLE(IF(A3821=A3822,_xll.ciqfunctions.udf.CIQ(A3813,"IQ_TOTAL_REV",IQ_FY-1)/I3822, _xll.ciqfunctions.udf.CIQ(A3813, "IQ_TOTAL_REV",IQ_FY)/I3822))</f>
        <v>45.431172317297907</v>
      </c>
      <c r="E3822" s="16">
        <f t="shared" si="1019"/>
        <v>9.2883507057427896E-3</v>
      </c>
      <c r="F3822" s="15">
        <f>IF(A3821=A3822,_xll.ciqfunctions.udf.CIQ(A3813,"IQ_DILUT_EPS_EXCL",IQ_FY-1), _xll.ciqfunctions.udf.CIQ(A3813, "IQ_DILUT_EPS_EXCL",IQ_FY))</f>
        <v>-2.1537600000000001</v>
      </c>
      <c r="G3822" s="15">
        <f>IF(A3821=A3822,_xll.ciqfunctions.udf.CIQ(A3813,"IQ_EBITDA_MARGIN",IQ_FY-1), _xll.ciqfunctions.udf.CIQ(A3813, "IQ_EBITDA_MARGIN",IQ_FY))</f>
        <v>6.3177000000000003</v>
      </c>
      <c r="H3822" s="15">
        <f>IF(A3821=A3822,_xll.ciqfunctions.udf.CIQ(A3813,"IQ_TOTAL_DIV_PAID_CF",IQ_FY-1)/-I3822, _xll.ciqfunctions.udf.CIQ(A3813, "IQ_TOTAL_DIV_PAID_CF",IQ_FY)/-I3822)</f>
        <v>1.1122870385830639</v>
      </c>
      <c r="I3822" s="17">
        <f>IF(A3821=A3822,_xll.ciqfunctions.udf.CIQ(A3813,"IQ_TOTAL_OUTSTANDING_FILING_DATE",IQ_FY-1), _xll.ciqfunctions.udf.CIQ(A3813, "IQ_TOTAL_OUTSTANDING_FILING_DATE",IQ_FY))</f>
        <v>156.43444</v>
      </c>
      <c r="J3822" s="17">
        <f>IF(A3821=A3822,_xll.ciqfunctions.udf.CIQ(A3813,"IQ_CASH_OPER",IQ_FY-1), _xll.ciqfunctions.udf.CIQ(A3813, "IQ_CASH_OPER",IQ_FY))</f>
        <v>159</v>
      </c>
      <c r="K3822" s="17">
        <f>IF(A3821=A3822,_xll.ciqfunctions.udf.CIQ(A3813,"IQ_CAPEX",IQ_FY-1), _xll.ciqfunctions.udf.CIQ(A3813, "IQ_CAPEX",IQ_FY))</f>
        <v>-57</v>
      </c>
      <c r="L3822" s="15">
        <f t="shared" si="1016"/>
        <v>0.6520303329624858</v>
      </c>
      <c r="M3822" s="17">
        <f>IF(A3821=A3822,_xll.ciqfunctions.udf.CIQ(A3813,"IQ_TOTAL_DEBT_ISSUED",IQ_FY-1), _xll.ciqfunctions.udf.CIQ(A3813, "IQ_TOTAL_DEBT_ISSUED",IQ_FY))</f>
        <v>1194</v>
      </c>
      <c r="N3822" s="17">
        <f>IF(A3821=A3822,_xll.ciqfunctions.udf.CIQ(A3813,"IQ_TOTAL_DEBT_REPAID",IQ_FY-1), _xll.ciqfunctions.udf.CIQ(A3813, "IQ_TOTAL_DEBT_REPAID",IQ_FY))</f>
        <v>-1723</v>
      </c>
      <c r="O3822" s="15">
        <f t="shared" si="1017"/>
        <v>-3.3816082954623035</v>
      </c>
      <c r="P3822" s="15">
        <f t="shared" si="1018"/>
        <v>-2.7295779624998175</v>
      </c>
      <c r="Q3822" s="25" t="s">
        <v>44</v>
      </c>
      <c r="R3822" s="38" t="s">
        <v>35</v>
      </c>
      <c r="S3822" s="1">
        <f>_xll.ciqfunctions.udf.CIQ(A3813,"IQ_TEV_EBITDA")</f>
        <v>6.6835300000000002</v>
      </c>
      <c r="U3822" s="25" t="s">
        <v>55</v>
      </c>
      <c r="V3822" s="38" t="s">
        <v>53</v>
      </c>
      <c r="W3822" s="1">
        <f>V3812/(AVERAGE(D3818:D3823)/_xlfn.STDEV.P(E3818:E3823))</f>
        <v>4.762188285721683E-2</v>
      </c>
      <c r="Y3822" s="25" t="s">
        <v>57</v>
      </c>
      <c r="Z3822" s="38" t="s">
        <v>53</v>
      </c>
      <c r="AA3822" s="1">
        <f>Z3812/(AVERAGE(D3818:D3823)/_xlfn.STDEV.P(E3818:E3823))</f>
        <v>4.762188285721683E-2</v>
      </c>
    </row>
    <row r="3823" spans="1:27">
      <c r="B3823" s="13">
        <v>11</v>
      </c>
      <c r="C3823" s="20" t="s">
        <v>36</v>
      </c>
      <c r="D3823" s="21" cm="1">
        <f t="array" ref="D3823">_xlfn.SINGLE(IF(A3821=A3822,_xll.ciqfunctions.udf.CIQ(A3813,"IQ_TOTAL_REV",IQ_FY)/I3823, _xll.ciqfunctions.udf.CIQ(A3813, "IQ_TOTAL_REV",IQ_LTM)/I3823))</f>
        <v>57.4585455551397</v>
      </c>
      <c r="E3823" s="22">
        <f t="shared" si="1019"/>
        <v>0.26473834207580804</v>
      </c>
      <c r="F3823" s="21">
        <f>IF(A3821=A3822,_xll.ciqfunctions.udf.CIQ(A3813,"IQ_DILUT_EPS_EXCL",IQ_FY), _xll.ciqfunctions.udf.CIQ(A3813, "IQ_DILUT_EPS_EXCL",IQ_LTM))</f>
        <v>1.0482</v>
      </c>
      <c r="G3823" s="21">
        <f>IF(A3821=A3822,_xll.ciqfunctions.udf.CIQ(A3813,"IQ_EBITDA_MARGIN",IQ_FY), _xll.ciqfunctions.udf.CIQ(A3813, "IQ_EBITDA_MARGIN",IQ_LTM))</f>
        <v>8.8077000000000005</v>
      </c>
      <c r="H3823" s="21">
        <f>IF(A3821=A3822,_xll.ciqfunctions.udf.CIQ(A3813,"IQ_TOTAL_DIV_PAID_CF",IQ_FY)/-I3823, _xll.ciqfunctions.udf.CIQ(A3813, "IQ_TOTAL_DIV_PAID_CF",IQ_LTM)/-I3823)</f>
        <v>1.4157160757001286</v>
      </c>
      <c r="I3823" s="23">
        <f>IF(A3821=A3822,_xll.ciqfunctions.udf.CIQ(A3813,"IQ_TOTAL_OUTSTANDING_FILING_DATE",IQ_FY),_xll.ciqfunctions.udf.CIQ(A3813,"IQ_sharesoutstanding"))</f>
        <v>122.90600000000001</v>
      </c>
      <c r="J3823" s="23">
        <f>IF(A3821=A3822,_xll.ciqfunctions.udf.CIQ(A3813,"IQ_CASH_OPER",IQ_FY), _xll.ciqfunctions.udf.CIQ(A3813, "IQ_CASH_OPER",IQ_LTM))</f>
        <v>483</v>
      </c>
      <c r="K3823" s="23">
        <f>IF(A3821=A3822,_xll.ciqfunctions.udf.CIQ(A3813,"IQ_CAPEX",IQ_FY), _xll.ciqfunctions.udf.CIQ(A3813, "IQ_CAPEX",IQ_LTM))</f>
        <v>-54</v>
      </c>
      <c r="L3823" s="21">
        <f t="shared" si="1016"/>
        <v>3.4904723935365238</v>
      </c>
      <c r="M3823" s="23">
        <f>IF(A3821=A3822,_xll.ciqfunctions.udf.CIQ(A3813,"IQ_TOTAL_DEBT_ISSUED",IQ_FY), _xll.ciqfunctions.udf.CIQ(A3813, "IQ_TOTAL_DEBT_ISSUED",IQ_LTM))</f>
        <v>1306</v>
      </c>
      <c r="N3823" s="23">
        <f>IF(A3821=A3822,_xll.ciqfunctions.udf.CIQ(A3813,"IQ_TOTAL_DEBT_REPAID",IQ_FY), _xll.ciqfunctions.udf.CIQ(A3813, "IQ_TOTAL_DEBT_REPAID",IQ_LTM))</f>
        <v>-1461</v>
      </c>
      <c r="O3823" s="21">
        <f t="shared" si="1017"/>
        <v>-1.2611263892731031</v>
      </c>
      <c r="P3823" s="21">
        <f t="shared" si="1018"/>
        <v>2.2293460042634208</v>
      </c>
      <c r="Q3823" s="25" t="s">
        <v>45</v>
      </c>
      <c r="S3823" s="45"/>
      <c r="U3823" s="25"/>
      <c r="W3823" s="45"/>
      <c r="Y3823" s="25"/>
      <c r="AA3823" s="45"/>
    </row>
    <row r="3824" spans="1:27">
      <c r="B3824" s="24"/>
      <c r="C3824" s="25" t="s">
        <v>37</v>
      </c>
      <c r="E3824" s="26">
        <f>((D3823/D3818)^(1/5))-1</f>
        <v>6.4387423675143607E-2</v>
      </c>
      <c r="F3824" s="27">
        <f>((F3823/F3818)^(1/5))-1</f>
        <v>-2.011576024848083E-2</v>
      </c>
      <c r="G3824" s="28"/>
      <c r="H3824" s="27">
        <f>((H3823/H3818)^(1/5))-1</f>
        <v>3.8692491301614007E-2</v>
      </c>
      <c r="I3824" s="27">
        <f>((I3823/I3818)^(1/5))-1</f>
        <v>-0.11758597618918643</v>
      </c>
      <c r="J3824" s="27"/>
      <c r="K3824" s="27"/>
      <c r="L3824" s="26">
        <f>((L3823/L3818)^(1/5))-1</f>
        <v>-5.2495683610958799E-2</v>
      </c>
      <c r="M3824" s="26"/>
      <c r="N3824" s="26"/>
      <c r="O3824" s="26"/>
      <c r="P3824" s="26">
        <f>((P3823/P3818)^(1/5))-1</f>
        <v>-7.1717959391268349E-2</v>
      </c>
      <c r="Q3824" s="18"/>
      <c r="R3824" s="36"/>
      <c r="S3824" s="45"/>
      <c r="U3824" s="18"/>
      <c r="V3824" s="36"/>
      <c r="W3824" s="45"/>
      <c r="Y3824" s="18"/>
      <c r="Z3824" s="36"/>
      <c r="AA3824" s="45"/>
    </row>
    <row r="3825" spans="1:27">
      <c r="A3825" s="29"/>
      <c r="B3825" s="30"/>
      <c r="C3825" s="31" t="s">
        <v>38</v>
      </c>
      <c r="D3825" s="29"/>
      <c r="E3825" s="32">
        <f>((D3823/D3813)^(1/10))-1</f>
        <v>-1.6026793770409942E-2</v>
      </c>
      <c r="F3825" s="33">
        <f>((F3823/F3813)^(1/10))-1</f>
        <v>-0.11560004153007575</v>
      </c>
      <c r="G3825" s="34"/>
      <c r="H3825" s="33">
        <f>((H3823/H3813)^(1/10))-1</f>
        <v>3.5457508092963774E-2</v>
      </c>
      <c r="I3825" s="33">
        <f>((I3823/I3813)^(1/10))-1</f>
        <v>-8.4215112960455474E-2</v>
      </c>
      <c r="J3825" s="33"/>
      <c r="K3825" s="33"/>
      <c r="L3825" s="32">
        <f>((L3823/L3813)^(1/10))-1</f>
        <v>-6.5188487314408072E-2</v>
      </c>
      <c r="M3825" s="32"/>
      <c r="N3825" s="32"/>
      <c r="O3825" s="32"/>
      <c r="P3825" s="32">
        <f>((P3823/P3813)^(1/10))-1</f>
        <v>-8.4400566404421729E-2</v>
      </c>
      <c r="Q3825" s="40"/>
      <c r="R3825" s="41"/>
      <c r="S3825" s="46"/>
      <c r="U3825" s="40"/>
      <c r="V3825" s="41"/>
      <c r="W3825" s="46"/>
      <c r="Y3825" s="40"/>
      <c r="Z3825" s="41"/>
      <c r="AA3825" s="46"/>
    </row>
    <row r="3826" spans="1:27">
      <c r="B3826" s="24"/>
      <c r="C3826" s="25"/>
      <c r="E3826" s="26"/>
      <c r="F3826" s="27"/>
      <c r="G3826" s="28"/>
      <c r="H3826" s="27"/>
      <c r="I3826" s="27"/>
      <c r="J3826" s="27"/>
      <c r="K3826" s="27"/>
      <c r="L3826" s="26"/>
      <c r="M3826" s="17"/>
      <c r="N3826" s="17"/>
      <c r="O3826" s="17"/>
      <c r="P3826" s="35"/>
      <c r="Q3826" s="18"/>
      <c r="R3826" s="36"/>
    </row>
    <row r="3827" spans="1:27">
      <c r="A3827" s="9" t="s">
        <v>0</v>
      </c>
      <c r="B3827" s="10"/>
      <c r="C3827" s="9" t="s">
        <v>1</v>
      </c>
      <c r="D3827" s="9" t="s">
        <v>2</v>
      </c>
      <c r="E3827" s="9" t="s">
        <v>3</v>
      </c>
      <c r="F3827" s="11" t="s">
        <v>4</v>
      </c>
      <c r="G3827" s="11" t="s">
        <v>5</v>
      </c>
      <c r="H3827" s="9" t="s">
        <v>6</v>
      </c>
      <c r="I3827" s="11" t="s">
        <v>7</v>
      </c>
      <c r="J3827" s="11" t="s">
        <v>8</v>
      </c>
      <c r="K3827" s="11" t="s">
        <v>9</v>
      </c>
      <c r="L3827" s="11" t="s">
        <v>10</v>
      </c>
      <c r="M3827" s="11" t="s">
        <v>11</v>
      </c>
      <c r="N3827" s="11" t="s">
        <v>12</v>
      </c>
      <c r="O3827" s="11" t="s">
        <v>13</v>
      </c>
      <c r="P3827" s="11" t="s">
        <v>14</v>
      </c>
      <c r="Q3827" s="37" t="s">
        <v>15</v>
      </c>
      <c r="R3827" s="42" t="str">
        <f>_xll.ciqfunctions.udf.CIQ(A3828,("IQ_LASTSALEPRICE"))</f>
        <v>(Invalid Identifier)</v>
      </c>
      <c r="S3827" s="44"/>
      <c r="U3827" s="37" t="s">
        <v>15</v>
      </c>
      <c r="V3827" s="42" t="str">
        <f>_xll.ciqfunctions.udf.CIQ(A3828,("IQ_LASTSALEPRICE"))</f>
        <v>(Invalid Identifier)</v>
      </c>
      <c r="W3827" s="44"/>
      <c r="Y3827" s="37" t="s">
        <v>15</v>
      </c>
      <c r="Z3827" s="42" t="str">
        <f>_xll.ciqfunctions.udf.CIQ(A3828,("IQ_LASTSALEPRICE"))</f>
        <v>(Invalid Identifier)</v>
      </c>
      <c r="AA3827" s="44"/>
    </row>
    <row r="3828" spans="1:27">
      <c r="A3828" s="12" t="str">
        <f>Analysis!B257</f>
        <v>NasdaqGS:AVID</v>
      </c>
      <c r="B3828" s="13">
        <v>1</v>
      </c>
      <c r="C3828" s="14" t="s">
        <v>16</v>
      </c>
      <c r="D3828" s="15" t="e">
        <f>IF(A3836=A3837,_xll.ciqfunctions.udf.CIQ(A3828,"IQ_TOTAL_REV",IQ_FY-10)/I3828,_xll.ciqfunctions.udf.CIQ(A3828, "IQ_TOTAL_REV",IQ_FY-9)/I3828)</f>
        <v>#VALUE!</v>
      </c>
      <c r="E3828" s="16"/>
      <c r="F3828" s="15" t="str">
        <f>IF(A3836=A3837,_xll.ciqfunctions.udf.CIQ(A3828,"IQ_DILUT_EPS_EXCL",IQ_FY-10), _xll.ciqfunctions.udf.CIQ(A3828, "IQ_DILUT_EPS_EXCL",IQ_FY-9))</f>
        <v>(Invalid Identifier)</v>
      </c>
      <c r="G3828" s="15" t="str">
        <f>IF(A3836=A3837,_xll.ciqfunctions.udf.CIQ(A3828,"IQ_EBITDA_MARGIN",IQ_FY-10), _xll.ciqfunctions.udf.CIQ(A3828, "IQ_EBITDA_MARGIN",IQ_FY-9))</f>
        <v>(Invalid Identifier)</v>
      </c>
      <c r="H3828" s="15" t="e">
        <f>IF(A3836=A3837,_xll.ciqfunctions.udf.CIQ(A3828,"IQ_TOTAL_DIV_PAID_CF",IQ_FY-10)/-I3828, _xll.ciqfunctions.udf.CIQ(A3828, "IQ_TOTAL_DIV_PAID_CF",IQ_FY-9)/-I3828)</f>
        <v>#VALUE!</v>
      </c>
      <c r="I3828" s="17" t="str">
        <f>IF(A3836=A3837,_xll.ciqfunctions.udf.CIQ(A3828,"IQ_TOTAL_OUTSTANDING_FILING_DATE",IQ_FY-10), _xll.ciqfunctions.udf.CIQ(A3828, "IQ_TOTAL_OUTSTANDING_FILING_DATE",IQ_FY-9))</f>
        <v>(Invalid Identifier)</v>
      </c>
      <c r="J3828" s="17" t="str">
        <f>IF(A3836=A3837,_xll.ciqfunctions.udf.CIQ(A3828,"IQ_CASH_OPER",IQ_FY-10), _xll.ciqfunctions.udf.CIQ(A3828, "IQ_CASH_OPER",IQ_FY-9))</f>
        <v>(Invalid Identifier)</v>
      </c>
      <c r="K3828" s="17" t="str">
        <f>IF(A3836=A3837,_xll.ciqfunctions.udf.CIQ(A3828,"IQ_CAPEX",IQ_FY-10), _xll.ciqfunctions.udf.CIQ(A3828, "IQ_CAPEX",IQ_FY-9))</f>
        <v>(Invalid Identifier)</v>
      </c>
      <c r="L3828" s="15" t="e">
        <f t="shared" ref="L3828:L3838" si="1020">(J3828+K3828)/I3828</f>
        <v>#VALUE!</v>
      </c>
      <c r="M3828" s="17" t="str">
        <f>IF(A3836=A3837,_xll.ciqfunctions.udf.CIQ(A3828,"IQ_TOTAL_DEBT_ISSUED",IQ_FY-10), _xll.ciqfunctions.udf.CIQ(A3828, "IQ_TOTAL_DEBT_ISSUED",IQ_FY-9))</f>
        <v>(Invalid Identifier)</v>
      </c>
      <c r="N3828" s="17" t="str">
        <f>IF(A3836=A3837,_xll.ciqfunctions.udf.CIQ(A3828,"IQ_TOTAL_DEBT_REPAID",IQ_FY-10), _xll.ciqfunctions.udf.CIQ(A3828, "IQ_TOTAL_DEBT_REPAID",IQ_FY-9))</f>
        <v>(Invalid Identifier)</v>
      </c>
      <c r="O3828" s="15" t="e">
        <f t="shared" ref="O3828:O3838" si="1021">(M3828+N3828)/I3828</f>
        <v>#VALUE!</v>
      </c>
      <c r="P3828" s="15" t="e">
        <f t="shared" ref="P3828:P3838" si="1022">L3828+O3828</f>
        <v>#VALUE!</v>
      </c>
      <c r="W3828" s="43"/>
      <c r="AA3828" s="43"/>
    </row>
    <row r="3829" spans="1:27">
      <c r="A3829" s="18" t="str">
        <f>_xll.ciqfunctions.udf.CIQ(A3828,"IQ_COMPANY_NAME")</f>
        <v>(Invalid Identifier)</v>
      </c>
      <c r="B3829" s="13">
        <v>2</v>
      </c>
      <c r="C3829" s="14" t="s">
        <v>17</v>
      </c>
      <c r="D3829" s="15" t="e">
        <f>IF(A3836=A3837,_xll.ciqfunctions.udf.CIQ(A3828,"IQ_TOTAL_REV",IQ_FY-9)/I3829, _xll.ciqfunctions.udf.CIQ(A3828, "IQ_TOTAL_REV",IQ_FY-8)/I3829)</f>
        <v>#VALUE!</v>
      </c>
      <c r="E3829" s="16" t="e">
        <f t="shared" ref="E3829:E3838" si="1023">(D3829-D3828)/D3828</f>
        <v>#VALUE!</v>
      </c>
      <c r="F3829" s="15" t="str">
        <f>IF(A3836=A3837,_xll.ciqfunctions.udf.CIQ(A3828,"IQ_DILUT_EPS_EXCL",IQ_FY-9), _xll.ciqfunctions.udf.CIQ(A3828, "IQ_DILUT_EPS_EXCL",IQ_FY-8))</f>
        <v>(Invalid Identifier)</v>
      </c>
      <c r="G3829" s="15" t="str">
        <f>IF(A3836=A3837,_xll.ciqfunctions.udf.CIQ(A3828,"IQ_EBITDA_MARGIN",IQ_FY-9), _xll.ciqfunctions.udf.CIQ(A3828, "IQ_EBITDA_MARGIN",IQ_FY-8))</f>
        <v>(Invalid Identifier)</v>
      </c>
      <c r="H3829" s="15" t="e">
        <f>IF(A3836=A3837,_xll.ciqfunctions.udf.CIQ(A3828,"IQ_TOTAL_DIV_PAID_CF",IQ_FY-9)/-I3829, _xll.ciqfunctions.udf.CIQ(A3828, "IQ_TOTAL_DIV_PAID_CF",IQ_FY-8)/-I3829)</f>
        <v>#VALUE!</v>
      </c>
      <c r="I3829" s="17" t="str">
        <f>IF(A3836=A3837,_xll.ciqfunctions.udf.CIQ(A3828,"IQ_TOTAL_OUTSTANDING_FILING_DATE",IQ_FY-9), _xll.ciqfunctions.udf.CIQ(A3828, "IQ_TOTAL_OUTSTANDING_FILING_DATE",IQ_FY-8))</f>
        <v>(Invalid Identifier)</v>
      </c>
      <c r="J3829" s="17" t="str">
        <f>IF(A3836=A3837,_xll.ciqfunctions.udf.CIQ(A3828,"IQ_CASH_OPER",IQ_FY-9), _xll.ciqfunctions.udf.CIQ(A3828, "IQ_CASH_OPER",IQ_FY-8))</f>
        <v>(Invalid Identifier)</v>
      </c>
      <c r="K3829" s="17" t="str">
        <f>IF(A3836=A3837,_xll.ciqfunctions.udf.CIQ(A3828,"IQ_CAPEX",IQ_FY-9), _xll.ciqfunctions.udf.CIQ(A3828, "IQ_CAPEX",IQ_FY-8))</f>
        <v>(Invalid Identifier)</v>
      </c>
      <c r="L3829" s="15" t="e">
        <f t="shared" si="1020"/>
        <v>#VALUE!</v>
      </c>
      <c r="M3829" s="17" t="str">
        <f>IF(A3836=A3837,_xll.ciqfunctions.udf.CIQ(A3828,"IQ_TOTAL_DEBT_ISSUED",IQ_FY-9), _xll.ciqfunctions.udf.CIQ(A3828, "IQ_TOTAL_DEBT_ISSUED",IQ_FY-8))</f>
        <v>(Invalid Identifier)</v>
      </c>
      <c r="N3829" s="17" t="str">
        <f>IF(A3836=A3837,_xll.ciqfunctions.udf.CIQ(A3828,"IQ_TOTAL_DEBT_REPAID",IQ_FY-9), _xll.ciqfunctions.udf.CIQ(A3828, "IQ_TOTAL_DEBT_REPAID",IQ_FY-8))</f>
        <v>(Invalid Identifier)</v>
      </c>
      <c r="O3829" s="15" t="e">
        <f t="shared" si="1021"/>
        <v>#VALUE!</v>
      </c>
      <c r="P3829" s="15" t="e">
        <f t="shared" si="1022"/>
        <v>#VALUE!</v>
      </c>
      <c r="Q3829" s="25" t="s">
        <v>18</v>
      </c>
      <c r="R3829" s="39" t="s">
        <v>19</v>
      </c>
      <c r="S3829" s="1" t="e">
        <f>R3827/((AVERAGE(P3833:P3838))*(1+E3839)^3)</f>
        <v>#VALUE!</v>
      </c>
      <c r="U3829" s="25" t="s">
        <v>48</v>
      </c>
      <c r="V3829" s="39" t="s">
        <v>19</v>
      </c>
      <c r="W3829" s="1" t="e">
        <f>V3827/((AVERAGE(P3833:P3838))*(1+E3839)^3)</f>
        <v>#VALUE!</v>
      </c>
      <c r="Y3829" s="25" t="s">
        <v>39</v>
      </c>
      <c r="Z3829" s="39" t="s">
        <v>19</v>
      </c>
      <c r="AA3829" s="1" t="e">
        <f>Z3827/((AVERAGE(P3833:P3838))*(1+E3839)^3)</f>
        <v>#VALUE!</v>
      </c>
    </row>
    <row r="3830" spans="1:27">
      <c r="B3830" s="13">
        <v>3</v>
      </c>
      <c r="C3830" s="14" t="s">
        <v>20</v>
      </c>
      <c r="D3830" s="15" t="e" cm="1">
        <f t="array" ref="D3830">_xlfn.SINGLE(IF(A3836=A3837,_xll.ciqfunctions.udf.CIQ(A3828,"IQ_TOTAL_REV",IQ_FY-8)/I3830, _xll.ciqfunctions.udf.CIQ(A3828, "IQ_TOTAL_REV",IQ_FY-7)/I3830))</f>
        <v>#VALUE!</v>
      </c>
      <c r="E3830" s="16" t="e">
        <f t="shared" si="1023"/>
        <v>#VALUE!</v>
      </c>
      <c r="F3830" s="15" t="str">
        <f>IF(A3836=A3837,_xll.ciqfunctions.udf.CIQ(A3828,"IQ_DILUT_EPS_EXCL",IQ_FY-8), _xll.ciqfunctions.udf.CIQ(A3828, "IQ_DILUT_EPS_EXCL",IQ_FY-7))</f>
        <v>(Invalid Identifier)</v>
      </c>
      <c r="G3830" s="15" t="str">
        <f>IF(A3836=A3837,_xll.ciqfunctions.udf.CIQ(A3828,"IQ_EBITDA_MARGIN",IQ_FY-8), _xll.ciqfunctions.udf.CIQ(A3828, "IQ_EBITDA_MARGIN",IQ_FY-7))</f>
        <v>(Invalid Identifier)</v>
      </c>
      <c r="H3830" s="15" t="e">
        <f>IF(A3836=A3837,_xll.ciqfunctions.udf.CIQ(A3828,"IQ_TOTAL_DIV_PAID_CF",IQ_FY-8)/-I3830, _xll.ciqfunctions.udf.CIQ(A3828, "IQ_TOTAL_DIV_PAID_CF",IQ_FY-7)/-I3830)</f>
        <v>#VALUE!</v>
      </c>
      <c r="I3830" s="17" t="str">
        <f>IF(A3836=A3837,_xll.ciqfunctions.udf.CIQ(A3828,"IQ_TOTAL_OUTSTANDING_FILING_DATE",IQ_FY-8), _xll.ciqfunctions.udf.CIQ(A3828, "IQ_TOTAL_OUTSTANDING_FILING_DATE",IQ_FY-7))</f>
        <v>(Invalid Identifier)</v>
      </c>
      <c r="J3830" s="17" t="str">
        <f>IF(A3836=A3837,_xll.ciqfunctions.udf.CIQ(A3828,"IQ_CASH_OPER",IQ_FY-8), _xll.ciqfunctions.udf.CIQ(A3828, "IQ_CASH_OPER",IQ_FY-7))</f>
        <v>(Invalid Identifier)</v>
      </c>
      <c r="K3830" s="17" t="str">
        <f>IF(A3836=A3837,_xll.ciqfunctions.udf.CIQ(A3828,"IQ_CAPEX",IQ_FY-8), _xll.ciqfunctions.udf.CIQ(A3828, "IQ_CAPEX",IQ_FY-7))</f>
        <v>(Invalid Identifier)</v>
      </c>
      <c r="L3830" s="15" t="e">
        <f t="shared" si="1020"/>
        <v>#VALUE!</v>
      </c>
      <c r="M3830" s="17" t="str">
        <f>IF(A3836=A3837,_xll.ciqfunctions.udf.CIQ(A3828,"IQ_TOTAL_DEBT_ISSUED",IQ_FY-8), _xll.ciqfunctions.udf.CIQ(A3828, "IQ_TOTAL_DEBT_ISSUED",IQ_FY-7))</f>
        <v>(Invalid Identifier)</v>
      </c>
      <c r="N3830" s="17" t="str">
        <f>IF(A3836=A3837,_xll.ciqfunctions.udf.CIQ(A3828,"IQ_TOTAL_DEBT_REPAID",IQ_FY-8), _xll.ciqfunctions.udf.CIQ(A3828, "IQ_TOTAL_DEBT_REPAID",IQ_FY-7))</f>
        <v>(Invalid Identifier)</v>
      </c>
      <c r="O3830" s="15" t="e">
        <f t="shared" si="1021"/>
        <v>#VALUE!</v>
      </c>
      <c r="P3830" s="15" t="e">
        <f t="shared" si="1022"/>
        <v>#VALUE!</v>
      </c>
      <c r="Q3830" s="25" t="s">
        <v>21</v>
      </c>
      <c r="R3830" s="38" t="s">
        <v>49</v>
      </c>
      <c r="S3830" s="2" t="e">
        <f>(R3827*I3838)/1000</f>
        <v>#VALUE!</v>
      </c>
      <c r="U3830" s="25" t="s">
        <v>59</v>
      </c>
      <c r="V3830" s="38" t="s">
        <v>49</v>
      </c>
      <c r="W3830" s="2" t="e">
        <f>(V3827*I3838)/1000</f>
        <v>#VALUE!</v>
      </c>
      <c r="Y3830" s="25" t="s">
        <v>46</v>
      </c>
      <c r="Z3830" s="38" t="s">
        <v>49</v>
      </c>
      <c r="AA3830" s="2" t="e">
        <f>(Z3827*I3838)/1000</f>
        <v>#VALUE!</v>
      </c>
    </row>
    <row r="3831" spans="1:27">
      <c r="A3831" s="18"/>
      <c r="B3831" s="13">
        <v>4</v>
      </c>
      <c r="C3831" s="14" t="s">
        <v>22</v>
      </c>
      <c r="D3831" s="15" t="e" cm="1">
        <f t="array" ref="D3831">_xlfn.SINGLE(IF(A3836=A3837,_xll.ciqfunctions.udf.CIQ(A3828,"IQ_TOTAL_REV",IQ_FY-7)/I3831, _xll.ciqfunctions.udf.CIQ(A3828, "IQ_TOTAL_REV",IQ_FY-6)/I3831))</f>
        <v>#VALUE!</v>
      </c>
      <c r="E3831" s="16" t="e">
        <f t="shared" si="1023"/>
        <v>#VALUE!</v>
      </c>
      <c r="F3831" s="15" t="str">
        <f>IF(A3836=A3837,_xll.ciqfunctions.udf.CIQ(A3828,"IQ_DILUT_EPS_EXCL",IQ_FY-7), _xll.ciqfunctions.udf.CIQ(A3828, "IQ_DILUT_EPS_EXCL",IQ_FY-6))</f>
        <v>(Invalid Identifier)</v>
      </c>
      <c r="G3831" s="15" t="str">
        <f>IF(A3836=A3837,_xll.ciqfunctions.udf.CIQ(A3828,"IQ_EBITDA_MARGIN",IQ_FY-7), _xll.ciqfunctions.udf.CIQ(A3828, "IQ_EBITDA_MARGIN",IQ_FY-6))</f>
        <v>(Invalid Identifier)</v>
      </c>
      <c r="H3831" s="15" t="e">
        <f>IF(A3836=A3837,_xll.ciqfunctions.udf.CIQ(A3828,"IQ_TOTAL_DIV_PAID_CF",IQ_FY-7)/-I3831, _xll.ciqfunctions.udf.CIQ(A3828, "IQ_TOTAL_DIV_PAID_CF",IQ_FY-6)/-I3831)</f>
        <v>#VALUE!</v>
      </c>
      <c r="I3831" s="17" t="str">
        <f>IF(A3836=A3837,_xll.ciqfunctions.udf.CIQ(A3828,"IQ_TOTAL_OUTSTANDING_FILING_DATE",IQ_FY-7), _xll.ciqfunctions.udf.CIQ(A3828, "IQ_TOTAL_OUTSTANDING_FILING_DATE",IQ_FY-6))</f>
        <v>(Invalid Identifier)</v>
      </c>
      <c r="J3831" s="17" t="str">
        <f>IF(A3836=A3837,_xll.ciqfunctions.udf.CIQ(A3828,"IQ_CASH_OPER",IQ_FY-7), _xll.ciqfunctions.udf.CIQ(A3828, "IQ_CASH_OPER",IQ_FY-6))</f>
        <v>(Invalid Identifier)</v>
      </c>
      <c r="K3831" s="17" t="str">
        <f>IF(A3836=A3837,_xll.ciqfunctions.udf.CIQ(A3828,"IQ_CAPEX",IQ_FY-7), _xll.ciqfunctions.udf.CIQ(A3828, "IQ_CAPEX",IQ_FY-6))</f>
        <v>(Invalid Identifier)</v>
      </c>
      <c r="L3831" s="15" t="e">
        <f t="shared" si="1020"/>
        <v>#VALUE!</v>
      </c>
      <c r="M3831" s="17" t="str">
        <f>IF(A3836=A3837,_xll.ciqfunctions.udf.CIQ(A3828,"IQ_TOTAL_DEBT_ISSUED",IQ_FY-7), _xll.ciqfunctions.udf.CIQ(A3828, "IQ_TOTAL_DEBT_ISSUED",IQ_FY-6))</f>
        <v>(Invalid Identifier)</v>
      </c>
      <c r="N3831" s="17" t="str">
        <f>IF(A3836=A3837,_xll.ciqfunctions.udf.CIQ(A3828,"IQ_TOTAL_DEBT_REPAID",IQ_FY-7), _xll.ciqfunctions.udf.CIQ(A3828, "IQ_TOTAL_DEBT_REPAID",IQ_FY-6))</f>
        <v>(Invalid Identifier)</v>
      </c>
      <c r="O3831" s="15" t="e">
        <f t="shared" si="1021"/>
        <v>#VALUE!</v>
      </c>
      <c r="P3831" s="15" t="e">
        <f t="shared" si="1022"/>
        <v>#VALUE!</v>
      </c>
      <c r="Q3831" s="25" t="s">
        <v>23</v>
      </c>
      <c r="R3831" s="38" t="s">
        <v>24</v>
      </c>
      <c r="S3831" s="1" t="e">
        <f>R3827/(AVERAGE(H3833:H3838)*(1+H3839)/(0.5-H3839))</f>
        <v>#VALUE!</v>
      </c>
      <c r="U3831" s="25" t="s">
        <v>40</v>
      </c>
      <c r="V3831" s="38" t="s">
        <v>24</v>
      </c>
      <c r="W3831" s="1" t="e">
        <f>V3827/(AVERAGE(H3833:H3838)*(1+H3839)/(0.5-H3839))</f>
        <v>#VALUE!</v>
      </c>
      <c r="Y3831" s="25" t="s">
        <v>47</v>
      </c>
      <c r="Z3831" s="38" t="s">
        <v>24</v>
      </c>
      <c r="AA3831" s="1" t="e">
        <f>Z3827/(AVERAGE(H3833:H3838)*(1+H3839)/(0.5-H3839))</f>
        <v>#VALUE!</v>
      </c>
    </row>
    <row r="3832" spans="1:27">
      <c r="B3832" s="13">
        <v>5</v>
      </c>
      <c r="C3832" s="14" t="s">
        <v>25</v>
      </c>
      <c r="D3832" s="15" t="e" cm="1">
        <f t="array" ref="D3832">_xlfn.SINGLE(IF(A3836=A3837,_xll.ciqfunctions.udf.CIQ(A3828,"IQ_TOTAL_REV",IQ_FY-6)/I3832, _xll.ciqfunctions.udf.CIQ(A3828, "IQ_TOTAL_REV",IQ_FY-5)/I3832))</f>
        <v>#VALUE!</v>
      </c>
      <c r="E3832" s="16" t="e">
        <f t="shared" si="1023"/>
        <v>#VALUE!</v>
      </c>
      <c r="F3832" s="15" t="str">
        <f>IF(A3836=A3837,_xll.ciqfunctions.udf.CIQ(A3828,"IQ_DILUT_EPS_EXCL",IQ_FY-6), _xll.ciqfunctions.udf.CIQ(A3828, "IQ_DILUT_EPS_EXCL",IQ_FY-5))</f>
        <v>(Invalid Identifier)</v>
      </c>
      <c r="G3832" s="15" t="str">
        <f>IF(A3836=A3837,_xll.ciqfunctions.udf.CIQ(A3828,"IQ_EBITDA_MARGIN",IQ_FY-6), _xll.ciqfunctions.udf.CIQ(A3828, "IQ_EBITDA_MARGIN",IQ_FY-5))</f>
        <v>(Invalid Identifier)</v>
      </c>
      <c r="H3832" s="15" t="e">
        <f>IF(A3836=A3837,_xll.ciqfunctions.udf.CIQ(A3828,"IQ_TOTAL_DIV_PAID_CF",IQ_FY-6)/-I3832, _xll.ciqfunctions.udf.CIQ(A3828, "IQ_TOTAL_DIV_PAID_CF",IQ_FY-5)/-I3832)</f>
        <v>#VALUE!</v>
      </c>
      <c r="I3832" s="17" t="str">
        <f>IF(A3836=A3837,_xll.ciqfunctions.udf.CIQ(A3828,"IQ_TOTAL_OUTSTANDING_FILING_DATE",IQ_FY-6), _xll.ciqfunctions.udf.CIQ(A3828, "IQ_TOTAL_OUTSTANDING_FILING_DATE",IQ_FY-5))</f>
        <v>(Invalid Identifier)</v>
      </c>
      <c r="J3832" s="17" t="str">
        <f>IF(A3836=A3837,_xll.ciqfunctions.udf.CIQ(A3828,"IQ_CASH_OPER",IQ_FY-6), _xll.ciqfunctions.udf.CIQ(A3828, "IQ_CASH_OPER",IQ_FY-5))</f>
        <v>(Invalid Identifier)</v>
      </c>
      <c r="K3832" s="17" t="str">
        <f>IF(A3836=A3837,_xll.ciqfunctions.udf.CIQ(A3828,"IQ_CAPEX",IQ_FY-6), _xll.ciqfunctions.udf.CIQ(A3828, "IQ_CAPEX",IQ_FY-5))</f>
        <v>(Invalid Identifier)</v>
      </c>
      <c r="L3832" s="15" t="e">
        <f t="shared" si="1020"/>
        <v>#VALUE!</v>
      </c>
      <c r="M3832" s="17" t="str">
        <f>IF(A3836=A3837,_xll.ciqfunctions.udf.CIQ(A3828,"IQ_TOTAL_DEBT_ISSUED",IQ_FY-6), _xll.ciqfunctions.udf.CIQ(A3828, "IQ_TOTAL_DEBT_ISSUED",IQ_FY-5))</f>
        <v>(Invalid Identifier)</v>
      </c>
      <c r="N3832" s="17" t="str">
        <f>IF(A3836=A3837,_xll.ciqfunctions.udf.CIQ(A3828,"IQ_TOTAL_DEBT_REPAID",IQ_FY-6), _xll.ciqfunctions.udf.CIQ(A3828, "IQ_TOTAL_DEBT_REPAID",IQ_FY-5))</f>
        <v>(Invalid Identifier)</v>
      </c>
      <c r="O3832" s="15" t="e">
        <f t="shared" si="1021"/>
        <v>#VALUE!</v>
      </c>
      <c r="P3832" s="15" t="e">
        <f t="shared" si="1022"/>
        <v>#VALUE!</v>
      </c>
      <c r="Q3832" s="18"/>
      <c r="R3832" s="38" t="s">
        <v>50</v>
      </c>
      <c r="S3832" s="3" t="e">
        <f>I3839</f>
        <v>#VALUE!</v>
      </c>
      <c r="U3832" s="18"/>
      <c r="V3832" s="38" t="s">
        <v>50</v>
      </c>
      <c r="W3832" s="3" t="e">
        <f>I3839</f>
        <v>#VALUE!</v>
      </c>
      <c r="Y3832" s="18"/>
      <c r="Z3832" s="38" t="s">
        <v>50</v>
      </c>
      <c r="AA3832" s="3" t="e">
        <f>I3839</f>
        <v>#VALUE!</v>
      </c>
    </row>
    <row r="3833" spans="1:27">
      <c r="B3833" s="13">
        <v>6</v>
      </c>
      <c r="C3833" s="14" t="s">
        <v>26</v>
      </c>
      <c r="D3833" s="15" t="e" cm="1">
        <f t="array" ref="D3833">_xlfn.SINGLE(IF(A3836=A3837,_xll.ciqfunctions.udf.CIQ(A3828,"IQ_TOTAL_REV",IQ_FY-5)/I3833, _xll.ciqfunctions.udf.CIQ(A3828, "IQ_TOTAL_REV",IQ_FY-4)/I3833))</f>
        <v>#VALUE!</v>
      </c>
      <c r="E3833" s="16" t="e">
        <f t="shared" si="1023"/>
        <v>#VALUE!</v>
      </c>
      <c r="F3833" s="15" t="str">
        <f>IF(A3836=A3837,_xll.ciqfunctions.udf.CIQ(A3828,"IQ_DILUT_EPS_EXCL",IQ_FY-5), _xll.ciqfunctions.udf.CIQ(A3828, "IQ_DILUT_EPS_EXCL",IQ_FY-4))</f>
        <v>(Invalid Identifier)</v>
      </c>
      <c r="G3833" s="15" t="str">
        <f>IF(A3836=A3837,_xll.ciqfunctions.udf.CIQ(A3828,"IQ_EBITDA_MARGIN",IQ_FY-5), _xll.ciqfunctions.udf.CIQ(A3828, "IQ_EBITDA_MARGIN",IQ_FY-4))</f>
        <v>(Invalid Identifier)</v>
      </c>
      <c r="H3833" s="15" t="e">
        <f>IF(A3836=A3837,_xll.ciqfunctions.udf.CIQ(A3828,"IQ_TOTAL_DIV_PAID_CF",IQ_FY-5)/-I3833, _xll.ciqfunctions.udf.CIQ(A3828, "IQ_TOTAL_DIV_PAID_CF",IQ_FY-4)/-I3833)</f>
        <v>#VALUE!</v>
      </c>
      <c r="I3833" s="17" t="str">
        <f>IF(A3836=A3837,_xll.ciqfunctions.udf.CIQ(A3828,"IQ_TOTAL_OUTSTANDING_FILING_DATE",IQ_FY-5), _xll.ciqfunctions.udf.CIQ(A3828, "IQ_TOTAL_OUTSTANDING_FILING_DATE",IQ_FY-4))</f>
        <v>(Invalid Identifier)</v>
      </c>
      <c r="J3833" s="17" t="str">
        <f>IF(A3836=A3837,_xll.ciqfunctions.udf.CIQ(A3828,"IQ_CASH_OPER",IQ_FY-5), _xll.ciqfunctions.udf.CIQ(A3828, "IQ_CASH_OPER",IQ_FY-4))</f>
        <v>(Invalid Identifier)</v>
      </c>
      <c r="K3833" s="17" t="str">
        <f>IF(A3836=A3837,_xll.ciqfunctions.udf.CIQ(A3828,"IQ_CAPEX",IQ_FY-5), _xll.ciqfunctions.udf.CIQ(A3828, "IQ_CAPEX",IQ_FY-4))</f>
        <v>(Invalid Identifier)</v>
      </c>
      <c r="L3833" s="15" t="e">
        <f t="shared" si="1020"/>
        <v>#VALUE!</v>
      </c>
      <c r="M3833" s="17" t="str">
        <f>IF(A3836=A3837,_xll.ciqfunctions.udf.CIQ(A3828,"IQ_TOTAL_DEBT_ISSUED",IQ_FY-5), _xll.ciqfunctions.udf.CIQ(A3828, "IQ_TOTAL_DEBT_ISSUED",IQ_FY-4))</f>
        <v>(Invalid Identifier)</v>
      </c>
      <c r="N3833" s="17" t="str">
        <f>IF(A3836=A3837,_xll.ciqfunctions.udf.CIQ(A3828,"IQ_TOTAL_DEBT_REPAID",IQ_FY-5), _xll.ciqfunctions.udf.CIQ(A3828, "IQ_TOTAL_DEBT_REPAID",IQ_FY-4))</f>
        <v>(Invalid Identifier)</v>
      </c>
      <c r="O3833" s="15" t="e">
        <f t="shared" si="1021"/>
        <v>#VALUE!</v>
      </c>
      <c r="P3833" s="15" t="e">
        <f t="shared" si="1022"/>
        <v>#VALUE!</v>
      </c>
      <c r="Q3833" s="25" t="s">
        <v>27</v>
      </c>
      <c r="R3833" s="38" t="s">
        <v>51</v>
      </c>
      <c r="S3833" s="4" t="e">
        <f>AVERAGE(F3833:F3838)/AVERAGE(D3833:D3838)</f>
        <v>#DIV/0!</v>
      </c>
      <c r="U3833" s="25" t="s">
        <v>58</v>
      </c>
      <c r="V3833" s="38" t="s">
        <v>51</v>
      </c>
      <c r="W3833" s="4" t="e">
        <f>AVERAGE(F3833:F3838)/AVERAGE(D3833:D3838)</f>
        <v>#DIV/0!</v>
      </c>
      <c r="Y3833" s="25" t="s">
        <v>56</v>
      </c>
      <c r="Z3833" s="38" t="s">
        <v>51</v>
      </c>
      <c r="AA3833" s="4" t="e">
        <f>AVERAGE(F3833:F3838)/AVERAGE(D3833:D3838)</f>
        <v>#DIV/0!</v>
      </c>
    </row>
    <row r="3834" spans="1:27">
      <c r="A3834" s="18"/>
      <c r="B3834" s="13">
        <v>7</v>
      </c>
      <c r="C3834" s="14" t="s">
        <v>28</v>
      </c>
      <c r="D3834" s="15" t="e" cm="1">
        <f t="array" ref="D3834">_xlfn.SINGLE(IF(A3836=A3837,_xll.ciqfunctions.udf.CIQ(A3828,"IQ_TOTAL_REV",IQ_FY-4)/I3834, _xll.ciqfunctions.udf.CIQ(A3828, "IQ_TOTAL_REV",IQ_FY-3)/I3834))</f>
        <v>#VALUE!</v>
      </c>
      <c r="E3834" s="16" t="e">
        <f t="shared" si="1023"/>
        <v>#VALUE!</v>
      </c>
      <c r="F3834" s="15" t="str">
        <f>IF(A3836=A3837,_xll.ciqfunctions.udf.CIQ(A3828,"IQ_DILUT_EPS_EXCL",IQ_FY-4), _xll.ciqfunctions.udf.CIQ(A3828, "IQ_DILUT_EPS_EXCL",IQ_FY-3))</f>
        <v>(Invalid Identifier)</v>
      </c>
      <c r="G3834" s="15" t="str">
        <f>IF(A3836=A3837,_xll.ciqfunctions.udf.CIQ(A3828,"IQ_EBITDA_MARGIN",IQ_FY-4), _xll.ciqfunctions.udf.CIQ(A3828, "IQ_EBITDA_MARGIN",IQ_FY-3))</f>
        <v>(Invalid Identifier)</v>
      </c>
      <c r="H3834" s="15" t="e">
        <f>IF(A3836=A3837,_xll.ciqfunctions.udf.CIQ(A3828,"IQ_TOTAL_DIV_PAID_CF",IQ_FY-4)/-I3834, _xll.ciqfunctions.udf.CIQ(A3828, "IQ_TOTAL_DIV_PAID_CF",IQ_FY-3)/-I3834)</f>
        <v>#VALUE!</v>
      </c>
      <c r="I3834" s="17" t="str">
        <f>IF(A3836=A3837,_xll.ciqfunctions.udf.CIQ(A3828,"IQ_TOTAL_OUTSTANDING_FILING_DATE",IQ_FY-4), _xll.ciqfunctions.udf.CIQ(A3828, "IQ_TOTAL_OUTSTANDING_FILING_DATE",IQ_FY-3))</f>
        <v>(Invalid Identifier)</v>
      </c>
      <c r="J3834" s="17" t="str">
        <f>IF(A3836=A3837,_xll.ciqfunctions.udf.CIQ(A3828,"IQ_CASH_OPER",IQ_FY-4), _xll.ciqfunctions.udf.CIQ(A3828, "IQ_CASH_OPER",IQ_FY-3))</f>
        <v>(Invalid Identifier)</v>
      </c>
      <c r="K3834" s="17" t="str">
        <f>IF(A3836=A3837,_xll.ciqfunctions.udf.CIQ(A3828,"IQ_CAPEX",IQ_FY-4), _xll.ciqfunctions.udf.CIQ(A3828, "IQ_CAPEX",IQ_FY-3))</f>
        <v>(Invalid Identifier)</v>
      </c>
      <c r="L3834" s="15" t="e">
        <f t="shared" si="1020"/>
        <v>#VALUE!</v>
      </c>
      <c r="M3834" s="17" t="str">
        <f>IF(A3836=A3837,_xll.ciqfunctions.udf.CIQ(A3828,"IQ_TOTAL_DEBT_ISSUED",IQ_FY-4), _xll.ciqfunctions.udf.CIQ(A3828, "IQ_TOTAL_DEBT_ISSUED",IQ_FY-3))</f>
        <v>(Invalid Identifier)</v>
      </c>
      <c r="N3834" s="17" t="str">
        <f>IF(A3836=A3837,_xll.ciqfunctions.udf.CIQ(A3828,"IQ_TOTAL_DEBT_REPAID",IQ_FY-4), _xll.ciqfunctions.udf.CIQ(A3828, "IQ_TOTAL_DEBT_REPAID",IQ_FY-3))</f>
        <v>(Invalid Identifier)</v>
      </c>
      <c r="O3834" s="15" t="e">
        <f t="shared" si="1021"/>
        <v>#VALUE!</v>
      </c>
      <c r="P3834" s="15" t="e">
        <f t="shared" si="1022"/>
        <v>#VALUE!</v>
      </c>
      <c r="Q3834" s="18"/>
      <c r="R3834" s="38" t="s">
        <v>29</v>
      </c>
      <c r="S3834" s="4" t="e">
        <f>(AVERAGE(P3833:P3838)/_xlfn.STDEV.P(P3833:P3838))/(IF(A3836=A3837,(_xlfn.SINGLE(_xll.ciqfunctions.udf.CIQ(A3828,"IQ_total_assets",IQ_FY)) - _xlfn.SINGLE(_xll.ciqfunctions.udf.CIQ(A3828,"iq_gw_intan", IQ_FY)))/I3838, (_xlfn.SINGLE(_xll.ciqfunctions.udf.CIQ(A3828, "IQ_total_assets",IQ_LTM))-_xlfn.SINGLE(_xll.ciqfunctions.udf.CIQ(A3828,"iq_gw_intan",IQ_LTM)))/I3838))</f>
        <v>#VALUE!</v>
      </c>
      <c r="U3834" s="18"/>
      <c r="V3834" s="38" t="s">
        <v>29</v>
      </c>
      <c r="W3834" s="4" t="e">
        <f>(AVERAGE(P3833:P3838)/_xlfn.STDEV.P(P3833:P3838))/(IF(A3836=A3837,(_xlfn.SINGLE(_xll.ciqfunctions.udf.CIQ(A3828,"IQ_total_assets",IQ_FY)) - _xlfn.SINGLE(_xll.ciqfunctions.udf.CIQ(A3828,"iq_gw_intan", IQ_FY)))/I3838, (_xlfn.SINGLE(_xll.ciqfunctions.udf.CIQ(A3828, "IQ_total_assets",IQ_LTM))-_xlfn.SINGLE(_xll.ciqfunctions.udf.CIQ(A3828,"iq_gw_intan",IQ_LTM)))/I3838))</f>
        <v>#VALUE!</v>
      </c>
      <c r="Y3834" s="18"/>
      <c r="Z3834" s="38" t="s">
        <v>29</v>
      </c>
      <c r="AA3834" s="4" t="e">
        <f>(AVERAGE(P3833:P3838)/_xlfn.STDEV.P(P3833:P3838))/(IF(A3836=A3837,(_xlfn.SINGLE(_xll.ciqfunctions.udf.CIQ(A3828,"IQ_total_assets",IQ_FY)) - _xlfn.SINGLE(_xll.ciqfunctions.udf.CIQ(A3828,"iq_gw_intan", IQ_FY)))/I3838, (_xlfn.SINGLE(_xll.ciqfunctions.udf.CIQ(A3828, "IQ_total_assets",IQ_LTM))-_xlfn.SINGLE(_xll.ciqfunctions.udf.CIQ(A3828,"iq_gw_intan",IQ_LTM)))/I3838))</f>
        <v>#VALUE!</v>
      </c>
    </row>
    <row r="3835" spans="1:27">
      <c r="A3835" s="18"/>
      <c r="B3835" s="13">
        <v>8</v>
      </c>
      <c r="C3835" s="14" t="s">
        <v>30</v>
      </c>
      <c r="D3835" s="15" t="e" cm="1">
        <f t="array" ref="D3835">_xlfn.SINGLE(IF(A3836=A3837,_xll.ciqfunctions.udf.CIQ(A3828,"IQ_TOTAL_REV",IQ_FY-3)/I3835, _xll.ciqfunctions.udf.CIQ(A3828, "IQ_TOTAL_REV",IQ_FY-2)/I3835))</f>
        <v>#VALUE!</v>
      </c>
      <c r="E3835" s="16" t="e">
        <f t="shared" si="1023"/>
        <v>#VALUE!</v>
      </c>
      <c r="F3835" s="15" t="str">
        <f>IF(A3836=A3837,_xll.ciqfunctions.udf.CIQ(A3828,"IQ_DILUT_EPS_EXCL",IQ_FY-3), _xll.ciqfunctions.udf.CIQ(A3828, "IQ_DILUT_EPS_EXCL",IQ_FY-2))</f>
        <v>(Invalid Identifier)</v>
      </c>
      <c r="G3835" s="15" t="str">
        <f>IF(A3836=A3837,_xll.ciqfunctions.udf.CIQ(A3828,"IQ_EBITDA_MARGIN",IQ_FY-3), _xll.ciqfunctions.udf.CIQ(A3828, "IQ_EBITDA_MARGIN",IQ_FY-2))</f>
        <v>(Invalid Identifier)</v>
      </c>
      <c r="H3835" s="15" t="e">
        <f>IF(A3836=A3837,_xll.ciqfunctions.udf.CIQ(A3828,"IQ_TOTAL_DIV_PAID_CF",IQ_FY-3)/-I3835, _xll.ciqfunctions.udf.CIQ(A3828, "IQ_TOTAL_DIV_PAID_CF",IQ_FY-2)/-I3835)</f>
        <v>#VALUE!</v>
      </c>
      <c r="I3835" s="17" t="str">
        <f>IF(A3836=A3837,_xll.ciqfunctions.udf.CIQ(A3828,"IQ_TOTAL_OUTSTANDING_FILING_DATE",IQ_FY-3), _xll.ciqfunctions.udf.CIQ(A3828, "IQ_TOTAL_OUTSTANDING_FILING_DATE",IQ_FY-2))</f>
        <v>(Invalid Identifier)</v>
      </c>
      <c r="J3835" s="17" t="str">
        <f>IF(A3836=A3837,_xll.ciqfunctions.udf.CIQ(A3828,"IQ_CASH_OPER",IQ_FY-3), _xll.ciqfunctions.udf.CIQ(A3828, "IQ_CASH_OPER",IQ_FY-2))</f>
        <v>(Invalid Identifier)</v>
      </c>
      <c r="K3835" s="17" t="str">
        <f>IF(A3836=A3837,_xll.ciqfunctions.udf.CIQ(A3828,"IQ_CAPEX",IQ_FY-3), _xll.ciqfunctions.udf.CIQ(A3828, "IQ_CAPEX",IQ_FY-2))</f>
        <v>(Invalid Identifier)</v>
      </c>
      <c r="L3835" s="15" t="e">
        <f t="shared" si="1020"/>
        <v>#VALUE!</v>
      </c>
      <c r="M3835" s="17" t="str">
        <f>IF(A3836=A3837,_xll.ciqfunctions.udf.CIQ(A3828,"IQ_TOTAL_DEBT_ISSUED",IQ_FY-3), _xll.ciqfunctions.udf.CIQ(A3828, "IQ_TOTAL_DEBT_ISSUED",IQ_FY-2))</f>
        <v>(Invalid Identifier)</v>
      </c>
      <c r="N3835" s="17" t="str">
        <f>IF(A3836=A3837,_xll.ciqfunctions.udf.CIQ(A3828,"IQ_TOTAL_DEBT_REPAID",IQ_FY-3), _xll.ciqfunctions.udf.CIQ(A3828, "IQ_TOTAL_DEBT_REPAID",IQ_FY-2))</f>
        <v>(Invalid Identifier)</v>
      </c>
      <c r="O3835" s="15" t="e">
        <f t="shared" si="1021"/>
        <v>#VALUE!</v>
      </c>
      <c r="P3835" s="15" t="e">
        <f t="shared" si="1022"/>
        <v>#VALUE!</v>
      </c>
      <c r="Q3835" s="18"/>
      <c r="R3835" s="39" t="s">
        <v>31</v>
      </c>
      <c r="S3835" s="5" t="e">
        <f>IF(NOT(D3828&gt;0),FALSE,SLOPE(G3828:G3838,B3828:B3838))</f>
        <v>#VALUE!</v>
      </c>
      <c r="U3835" s="18"/>
      <c r="V3835" s="39" t="s">
        <v>31</v>
      </c>
      <c r="W3835" s="5" t="e">
        <f>IF(NOT(D3828&gt;0),FALSE,SLOPE(G3828:G3838,B3828:B3838))</f>
        <v>#VALUE!</v>
      </c>
      <c r="Y3835" s="18"/>
      <c r="Z3835" s="39" t="s">
        <v>31</v>
      </c>
      <c r="AA3835" s="5" t="e">
        <f>IF(NOT(L3828&gt;0),FALSE,SLOPE(O3828:O3838,J3828:J3838))</f>
        <v>#VALUE!</v>
      </c>
    </row>
    <row r="3836" spans="1:27">
      <c r="A3836" s="19" t="str">
        <f>_xll.ciqfunctions.udf.CIQ(A3828,"IQ_TOTAL_REV",IQ_FY)</f>
        <v>(Invalid Identifier)</v>
      </c>
      <c r="B3836" s="13">
        <v>9</v>
      </c>
      <c r="C3836" s="14" t="s">
        <v>32</v>
      </c>
      <c r="D3836" s="15" t="e" cm="1">
        <f t="array" ref="D3836">_xlfn.SINGLE(IF(A3836=A3837,_xll.ciqfunctions.udf.CIQ(A3828,"IQ_TOTAL_REV",IQ_FY-2)/I3836, _xll.ciqfunctions.udf.CIQ(A3828, "IQ_TOTAL_REV",IQ_FY-1)/I3836))</f>
        <v>#VALUE!</v>
      </c>
      <c r="E3836" s="16" t="e">
        <f t="shared" si="1023"/>
        <v>#VALUE!</v>
      </c>
      <c r="F3836" s="15" t="str">
        <f>IF(A3836=A3837,_xll.ciqfunctions.udf.CIQ(A3828,"IQ_DILUT_EPS_EXCL",IQ_FY-2), _xll.ciqfunctions.udf.CIQ(A3828, "IQ_DILUT_EPS_EXCL",IQ_FY-1))</f>
        <v>(Invalid Identifier)</v>
      </c>
      <c r="G3836" s="15" t="str">
        <f>IF(A3836=A3837,_xll.ciqfunctions.udf.CIQ(A3828,"IQ_EBITDA_MARGIN",IQ_FY-2), _xll.ciqfunctions.udf.CIQ(A3828, "IQ_EBITDA_MARGIN",IQ_FY-1))</f>
        <v>(Invalid Identifier)</v>
      </c>
      <c r="H3836" s="15" t="e">
        <f>IF(A3836=A3837,_xll.ciqfunctions.udf.CIQ(A3828,"IQ_TOTAL_DIV_PAID_CF",IQ_FY-2)/-I3836, _xll.ciqfunctions.udf.CIQ(A3828, "IQ_TOTAL_DIV_PAID_CF",IQ_FY-1)/-I3836)</f>
        <v>#VALUE!</v>
      </c>
      <c r="I3836" s="17" t="str">
        <f>IF(A3836=A3837,_xll.ciqfunctions.udf.CIQ(A3828,"IQ_TOTAL_OUTSTANDING_FILING_DATE",IQ_FY-2), _xll.ciqfunctions.udf.CIQ(A3828, "IQ_TOTAL_OUTSTANDING_FILING_DATE",IQ_FY-1))</f>
        <v>(Invalid Identifier)</v>
      </c>
      <c r="J3836" s="17" t="str">
        <f>IF(A3836=A3837,_xll.ciqfunctions.udf.CIQ(A3828,"IQ_CASH_OPER",IQ_FY-2), _xll.ciqfunctions.udf.CIQ(A3828, "IQ_CASH_OPER",IQ_FY-1))</f>
        <v>(Invalid Identifier)</v>
      </c>
      <c r="K3836" s="17" t="str">
        <f>IF(A3836=A3837,_xll.ciqfunctions.udf.CIQ(A3828,"IQ_CAPEX",IQ_FY-2), _xll.ciqfunctions.udf.CIQ(A3828, "IQ_CAPEX",IQ_FY-1))</f>
        <v>(Invalid Identifier)</v>
      </c>
      <c r="L3836" s="15" t="e">
        <f t="shared" si="1020"/>
        <v>#VALUE!</v>
      </c>
      <c r="M3836" s="17" t="str">
        <f>IF(A3836=A3837,_xll.ciqfunctions.udf.CIQ(A3828,"IQ_TOTAL_DEBT_ISSUED",IQ_FY-2), _xll.ciqfunctions.udf.CIQ(A3828, "IQ_TOTAL_DEBT_ISSUED",IQ_FY-1))</f>
        <v>(Invalid Identifier)</v>
      </c>
      <c r="N3836" s="17" t="str">
        <f>IF(A3836=A3837,_xll.ciqfunctions.udf.CIQ(A3828,"IQ_TOTAL_DEBT_REPAID",IQ_FY-2), _xll.ciqfunctions.udf.CIQ(A3828, "IQ_TOTAL_DEBT_REPAID",IQ_FY-1))</f>
        <v>(Invalid Identifier)</v>
      </c>
      <c r="O3836" s="15" t="e">
        <f t="shared" si="1021"/>
        <v>#VALUE!</v>
      </c>
      <c r="P3836" s="15" t="e">
        <f t="shared" si="1022"/>
        <v>#VALUE!</v>
      </c>
      <c r="Q3836" s="25" t="s">
        <v>33</v>
      </c>
      <c r="R3836" s="38" t="s">
        <v>52</v>
      </c>
      <c r="S3836" s="4" t="e">
        <f>(AVERAGE(O3833:O3838)/AVERAGE(P3833:P3838))</f>
        <v>#VALUE!</v>
      </c>
      <c r="U3836" s="25" t="s">
        <v>54</v>
      </c>
      <c r="V3836" s="38" t="s">
        <v>52</v>
      </c>
      <c r="W3836" s="4" t="e">
        <f>(AVERAGE(O3833:O3838)/AVERAGE(P3833:P3838))</f>
        <v>#VALUE!</v>
      </c>
      <c r="Y3836" s="25" t="s">
        <v>60</v>
      </c>
      <c r="Z3836" s="38" t="s">
        <v>52</v>
      </c>
      <c r="AA3836" s="4" t="e">
        <f>(AVERAGE(O3833:O3838)/AVERAGE(P3833:P3838))</f>
        <v>#VALUE!</v>
      </c>
    </row>
    <row r="3837" spans="1:27">
      <c r="A3837" s="19" t="str">
        <f>_xll.ciqfunctions.udf.CIQ(A3828,"IQ_TOTAL_REV",IQ_LTM)</f>
        <v>(Invalid Identifier)</v>
      </c>
      <c r="B3837" s="13">
        <v>10</v>
      </c>
      <c r="C3837" s="14" t="s">
        <v>34</v>
      </c>
      <c r="D3837" s="15" t="e" cm="1">
        <f t="array" ref="D3837">_xlfn.SINGLE(IF(A3836=A3837,_xll.ciqfunctions.udf.CIQ(A3828,"IQ_TOTAL_REV",IQ_FY-1)/I3837, _xll.ciqfunctions.udf.CIQ(A3828, "IQ_TOTAL_REV",IQ_FY)/I3837))</f>
        <v>#VALUE!</v>
      </c>
      <c r="E3837" s="16" t="e">
        <f t="shared" si="1023"/>
        <v>#VALUE!</v>
      </c>
      <c r="F3837" s="15" t="str">
        <f>IF(A3836=A3837,_xll.ciqfunctions.udf.CIQ(A3828,"IQ_DILUT_EPS_EXCL",IQ_FY-1), _xll.ciqfunctions.udf.CIQ(A3828, "IQ_DILUT_EPS_EXCL",IQ_FY))</f>
        <v>(Invalid Identifier)</v>
      </c>
      <c r="G3837" s="15" t="str">
        <f>IF(A3836=A3837,_xll.ciqfunctions.udf.CIQ(A3828,"IQ_EBITDA_MARGIN",IQ_FY-1), _xll.ciqfunctions.udf.CIQ(A3828, "IQ_EBITDA_MARGIN",IQ_FY))</f>
        <v>(Invalid Identifier)</v>
      </c>
      <c r="H3837" s="15" t="e">
        <f>IF(A3836=A3837,_xll.ciqfunctions.udf.CIQ(A3828,"IQ_TOTAL_DIV_PAID_CF",IQ_FY-1)/-I3837, _xll.ciqfunctions.udf.CIQ(A3828, "IQ_TOTAL_DIV_PAID_CF",IQ_FY)/-I3837)</f>
        <v>#VALUE!</v>
      </c>
      <c r="I3837" s="17" t="str">
        <f>IF(A3836=A3837,_xll.ciqfunctions.udf.CIQ(A3828,"IQ_TOTAL_OUTSTANDING_FILING_DATE",IQ_FY-1), _xll.ciqfunctions.udf.CIQ(A3828, "IQ_TOTAL_OUTSTANDING_FILING_DATE",IQ_FY))</f>
        <v>(Invalid Identifier)</v>
      </c>
      <c r="J3837" s="17" t="str">
        <f>IF(A3836=A3837,_xll.ciqfunctions.udf.CIQ(A3828,"IQ_CASH_OPER",IQ_FY-1), _xll.ciqfunctions.udf.CIQ(A3828, "IQ_CASH_OPER",IQ_FY))</f>
        <v>(Invalid Identifier)</v>
      </c>
      <c r="K3837" s="17" t="str">
        <f>IF(A3836=A3837,_xll.ciqfunctions.udf.CIQ(A3828,"IQ_CAPEX",IQ_FY-1), _xll.ciqfunctions.udf.CIQ(A3828, "IQ_CAPEX",IQ_FY))</f>
        <v>(Invalid Identifier)</v>
      </c>
      <c r="L3837" s="15" t="e">
        <f t="shared" si="1020"/>
        <v>#VALUE!</v>
      </c>
      <c r="M3837" s="17" t="str">
        <f>IF(A3836=A3837,_xll.ciqfunctions.udf.CIQ(A3828,"IQ_TOTAL_DEBT_ISSUED",IQ_FY-1), _xll.ciqfunctions.udf.CIQ(A3828, "IQ_TOTAL_DEBT_ISSUED",IQ_FY))</f>
        <v>(Invalid Identifier)</v>
      </c>
      <c r="N3837" s="17" t="str">
        <f>IF(A3836=A3837,_xll.ciqfunctions.udf.CIQ(A3828,"IQ_TOTAL_DEBT_REPAID",IQ_FY-1), _xll.ciqfunctions.udf.CIQ(A3828, "IQ_TOTAL_DEBT_REPAID",IQ_FY))</f>
        <v>(Invalid Identifier)</v>
      </c>
      <c r="O3837" s="15" t="e">
        <f t="shared" si="1021"/>
        <v>#VALUE!</v>
      </c>
      <c r="P3837" s="15" t="e">
        <f t="shared" si="1022"/>
        <v>#VALUE!</v>
      </c>
      <c r="Q3837" s="25" t="s">
        <v>44</v>
      </c>
      <c r="R3837" s="38" t="s">
        <v>35</v>
      </c>
      <c r="S3837" s="1" t="str">
        <f>_xll.ciqfunctions.udf.CIQ(A3828,"IQ_TEV_EBITDA")</f>
        <v>(Invalid Identifier)</v>
      </c>
      <c r="U3837" s="25" t="s">
        <v>55</v>
      </c>
      <c r="V3837" s="38" t="s">
        <v>53</v>
      </c>
      <c r="W3837" s="1" t="e">
        <f>V3827/(AVERAGE(D3833:D3838)/_xlfn.STDEV.P(E3833:E3838))</f>
        <v>#VALUE!</v>
      </c>
      <c r="Y3837" s="25" t="s">
        <v>57</v>
      </c>
      <c r="Z3837" s="38" t="s">
        <v>53</v>
      </c>
      <c r="AA3837" s="1" t="e">
        <f>Z3827/(AVERAGE(D3833:D3838)/_xlfn.STDEV.P(E3833:E3838))</f>
        <v>#VALUE!</v>
      </c>
    </row>
    <row r="3838" spans="1:27">
      <c r="B3838" s="13">
        <v>11</v>
      </c>
      <c r="C3838" s="20" t="s">
        <v>36</v>
      </c>
      <c r="D3838" s="21" t="e" cm="1">
        <f t="array" ref="D3838">_xlfn.SINGLE(IF(A3836=A3837,_xll.ciqfunctions.udf.CIQ(A3828,"IQ_TOTAL_REV",IQ_FY)/I3838, _xll.ciqfunctions.udf.CIQ(A3828, "IQ_TOTAL_REV",IQ_LTM)/I3838))</f>
        <v>#VALUE!</v>
      </c>
      <c r="E3838" s="22" t="e">
        <f t="shared" si="1023"/>
        <v>#VALUE!</v>
      </c>
      <c r="F3838" s="21" t="str">
        <f>IF(A3836=A3837,_xll.ciqfunctions.udf.CIQ(A3828,"IQ_DILUT_EPS_EXCL",IQ_FY), _xll.ciqfunctions.udf.CIQ(A3828, "IQ_DILUT_EPS_EXCL",IQ_LTM))</f>
        <v>(Invalid Identifier)</v>
      </c>
      <c r="G3838" s="21" t="str">
        <f>IF(A3836=A3837,_xll.ciqfunctions.udf.CIQ(A3828,"IQ_EBITDA_MARGIN",IQ_FY), _xll.ciqfunctions.udf.CIQ(A3828, "IQ_EBITDA_MARGIN",IQ_LTM))</f>
        <v>(Invalid Identifier)</v>
      </c>
      <c r="H3838" s="21" t="e">
        <f>IF(A3836=A3837,_xll.ciqfunctions.udf.CIQ(A3828,"IQ_TOTAL_DIV_PAID_CF",IQ_FY)/-I3838, _xll.ciqfunctions.udf.CIQ(A3828, "IQ_TOTAL_DIV_PAID_CF",IQ_LTM)/-I3838)</f>
        <v>#VALUE!</v>
      </c>
      <c r="I3838" s="23" t="str">
        <f>IF(A3836=A3837,_xll.ciqfunctions.udf.CIQ(A3828,"IQ_TOTAL_OUTSTANDING_FILING_DATE",IQ_FY),_xll.ciqfunctions.udf.CIQ(A3828,"IQ_sharesoutstanding"))</f>
        <v>(Invalid Identifier)</v>
      </c>
      <c r="J3838" s="23" t="str">
        <f>IF(A3836=A3837,_xll.ciqfunctions.udf.CIQ(A3828,"IQ_CASH_OPER",IQ_FY), _xll.ciqfunctions.udf.CIQ(A3828, "IQ_CASH_OPER",IQ_LTM))</f>
        <v>(Invalid Identifier)</v>
      </c>
      <c r="K3838" s="23" t="str">
        <f>IF(A3836=A3837,_xll.ciqfunctions.udf.CIQ(A3828,"IQ_CAPEX",IQ_FY), _xll.ciqfunctions.udf.CIQ(A3828, "IQ_CAPEX",IQ_LTM))</f>
        <v>(Invalid Identifier)</v>
      </c>
      <c r="L3838" s="21" t="e">
        <f t="shared" si="1020"/>
        <v>#VALUE!</v>
      </c>
      <c r="M3838" s="23" t="str">
        <f>IF(A3836=A3837,_xll.ciqfunctions.udf.CIQ(A3828,"IQ_TOTAL_DEBT_ISSUED",IQ_FY), _xll.ciqfunctions.udf.CIQ(A3828, "IQ_TOTAL_DEBT_ISSUED",IQ_LTM))</f>
        <v>(Invalid Identifier)</v>
      </c>
      <c r="N3838" s="23" t="str">
        <f>IF(A3836=A3837,_xll.ciqfunctions.udf.CIQ(A3828,"IQ_TOTAL_DEBT_REPAID",IQ_FY), _xll.ciqfunctions.udf.CIQ(A3828, "IQ_TOTAL_DEBT_REPAID",IQ_LTM))</f>
        <v>(Invalid Identifier)</v>
      </c>
      <c r="O3838" s="21" t="e">
        <f t="shared" si="1021"/>
        <v>#VALUE!</v>
      </c>
      <c r="P3838" s="21" t="e">
        <f t="shared" si="1022"/>
        <v>#VALUE!</v>
      </c>
      <c r="Q3838" s="25" t="s">
        <v>45</v>
      </c>
      <c r="S3838" s="45"/>
      <c r="U3838" s="25"/>
      <c r="W3838" s="45"/>
      <c r="Y3838" s="25"/>
      <c r="AA3838" s="45"/>
    </row>
    <row r="3839" spans="1:27">
      <c r="B3839" s="24"/>
      <c r="C3839" s="25" t="s">
        <v>37</v>
      </c>
      <c r="E3839" s="26" t="e">
        <f>((D3838/D3833)^(1/5))-1</f>
        <v>#VALUE!</v>
      </c>
      <c r="F3839" s="27" t="e">
        <f>((F3838/F3833)^(1/5))-1</f>
        <v>#VALUE!</v>
      </c>
      <c r="G3839" s="28"/>
      <c r="H3839" s="27" t="e">
        <f>((H3838/H3833)^(1/5))-1</f>
        <v>#VALUE!</v>
      </c>
      <c r="I3839" s="27" t="e">
        <f>((I3838/I3833)^(1/5))-1</f>
        <v>#VALUE!</v>
      </c>
      <c r="J3839" s="27"/>
      <c r="K3839" s="27"/>
      <c r="L3839" s="26" t="e">
        <f>((L3838/L3833)^(1/5))-1</f>
        <v>#VALUE!</v>
      </c>
      <c r="M3839" s="26"/>
      <c r="N3839" s="26"/>
      <c r="O3839" s="26"/>
      <c r="P3839" s="26" t="e">
        <f>((P3838/P3833)^(1/5))-1</f>
        <v>#VALUE!</v>
      </c>
      <c r="Q3839" s="18"/>
      <c r="R3839" s="36"/>
      <c r="S3839" s="45"/>
      <c r="U3839" s="18"/>
      <c r="V3839" s="36"/>
      <c r="W3839" s="45"/>
      <c r="Y3839" s="18"/>
      <c r="Z3839" s="36"/>
      <c r="AA3839" s="45"/>
    </row>
    <row r="3840" spans="1:27">
      <c r="A3840" s="29"/>
      <c r="B3840" s="30"/>
      <c r="C3840" s="31" t="s">
        <v>38</v>
      </c>
      <c r="D3840" s="29"/>
      <c r="E3840" s="32" t="e">
        <f>((D3838/D3828)^(1/10))-1</f>
        <v>#VALUE!</v>
      </c>
      <c r="F3840" s="33" t="e">
        <f>((F3838/F3828)^(1/10))-1</f>
        <v>#VALUE!</v>
      </c>
      <c r="G3840" s="34"/>
      <c r="H3840" s="33" t="e">
        <f>((H3838/H3828)^(1/10))-1</f>
        <v>#VALUE!</v>
      </c>
      <c r="I3840" s="33" t="e">
        <f>((I3838/I3828)^(1/10))-1</f>
        <v>#VALUE!</v>
      </c>
      <c r="J3840" s="33"/>
      <c r="K3840" s="33"/>
      <c r="L3840" s="32" t="e">
        <f>((L3838/L3828)^(1/10))-1</f>
        <v>#VALUE!</v>
      </c>
      <c r="M3840" s="32"/>
      <c r="N3840" s="32"/>
      <c r="O3840" s="32"/>
      <c r="P3840" s="32" t="e">
        <f>((P3838/P3828)^(1/10))-1</f>
        <v>#VALUE!</v>
      </c>
      <c r="Q3840" s="40"/>
      <c r="R3840" s="41"/>
      <c r="S3840" s="46"/>
      <c r="U3840" s="40"/>
      <c r="V3840" s="41"/>
      <c r="W3840" s="46"/>
      <c r="Y3840" s="40"/>
      <c r="Z3840" s="41"/>
      <c r="AA3840" s="46"/>
    </row>
    <row r="3841" spans="1:27">
      <c r="B3841" s="24"/>
      <c r="C3841" s="25"/>
      <c r="E3841" s="26"/>
      <c r="F3841" s="27"/>
      <c r="G3841" s="28"/>
      <c r="H3841" s="27"/>
      <c r="I3841" s="27"/>
      <c r="J3841" s="27"/>
      <c r="K3841" s="27"/>
      <c r="L3841" s="26"/>
      <c r="M3841" s="17"/>
      <c r="N3841" s="17"/>
      <c r="O3841" s="17"/>
      <c r="P3841" s="35"/>
      <c r="Q3841" s="18"/>
      <c r="R3841" s="36"/>
    </row>
    <row r="3842" spans="1:27">
      <c r="A3842" s="9" t="s">
        <v>0</v>
      </c>
      <c r="B3842" s="10"/>
      <c r="C3842" s="9" t="s">
        <v>1</v>
      </c>
      <c r="D3842" s="9" t="s">
        <v>2</v>
      </c>
      <c r="E3842" s="9" t="s">
        <v>3</v>
      </c>
      <c r="F3842" s="11" t="s">
        <v>4</v>
      </c>
      <c r="G3842" s="11" t="s">
        <v>5</v>
      </c>
      <c r="H3842" s="9" t="s">
        <v>6</v>
      </c>
      <c r="I3842" s="11" t="s">
        <v>7</v>
      </c>
      <c r="J3842" s="11" t="s">
        <v>8</v>
      </c>
      <c r="K3842" s="11" t="s">
        <v>9</v>
      </c>
      <c r="L3842" s="11" t="s">
        <v>10</v>
      </c>
      <c r="M3842" s="11" t="s">
        <v>11</v>
      </c>
      <c r="N3842" s="11" t="s">
        <v>12</v>
      </c>
      <c r="O3842" s="11" t="s">
        <v>13</v>
      </c>
      <c r="P3842" s="11" t="s">
        <v>14</v>
      </c>
      <c r="Q3842" s="37" t="s">
        <v>15</v>
      </c>
      <c r="R3842" s="42">
        <f>_xll.ciqfunctions.udf.CIQ(A3843,("IQ_LASTSALEPRICE"))</f>
        <v>11.395</v>
      </c>
      <c r="S3842" s="44"/>
      <c r="U3842" s="37" t="s">
        <v>15</v>
      </c>
      <c r="V3842" s="42">
        <f>_xll.ciqfunctions.udf.CIQ(A3843,("IQ_LASTSALEPRICE"))</f>
        <v>11.395</v>
      </c>
      <c r="W3842" s="44"/>
      <c r="Y3842" s="37" t="s">
        <v>15</v>
      </c>
      <c r="Z3842" s="42">
        <f>_xll.ciqfunctions.udf.CIQ(A3843,("IQ_LASTSALEPRICE"))</f>
        <v>11.395</v>
      </c>
      <c r="AA3842" s="44"/>
    </row>
    <row r="3843" spans="1:27">
      <c r="A3843" s="12" t="str">
        <f>Analysis!B258</f>
        <v>NasdaqGS:SSYS</v>
      </c>
      <c r="B3843" s="13">
        <v>1</v>
      </c>
      <c r="C3843" s="14" t="s">
        <v>16</v>
      </c>
      <c r="D3843" s="15">
        <f>IF(A3851=A3852,_xll.ciqfunctions.udf.CIQ(A3843,"IQ_TOTAL_REV",IQ_FY-10)/I3843,_xll.ciqfunctions.udf.CIQ(A3843, "IQ_TOTAL_REV",IQ_FY-9)/I3843)</f>
        <v>9.8338128403952005</v>
      </c>
      <c r="E3843" s="16"/>
      <c r="F3843" s="15">
        <f>IF(A3851=A3852,_xll.ciqfunctions.udf.CIQ(A3843,"IQ_DILUT_EPS_EXCL",IQ_FY-10), _xll.ciqfunctions.udf.CIQ(A3843, "IQ_DILUT_EPS_EXCL",IQ_FY-9))</f>
        <v>-0.68023</v>
      </c>
      <c r="G3843" s="15">
        <f>IF(A3851=A3852,_xll.ciqfunctions.udf.CIQ(A3843,"IQ_EBITDA_MARGIN",IQ_FY-10), _xll.ciqfunctions.udf.CIQ(A3843, "IQ_EBITDA_MARGIN",IQ_FY-9))</f>
        <v>14.606199999999999</v>
      </c>
      <c r="H3843" s="15">
        <f>IF(A3851=A3852,_xll.ciqfunctions.udf.CIQ(A3843,"IQ_TOTAL_DIV_PAID_CF",IQ_FY-10)/-I3843, _xll.ciqfunctions.udf.CIQ(A3843, "IQ_TOTAL_DIV_PAID_CF",IQ_FY-9)/-I3843)</f>
        <v>0</v>
      </c>
      <c r="I3843" s="17">
        <f>IF(A3851=A3852,_xll.ciqfunctions.udf.CIQ(A3843,"IQ_TOTAL_OUTSTANDING_FILING_DATE",IQ_FY-10), _xll.ciqfunctions.udf.CIQ(A3843, "IQ_TOTAL_OUTSTANDING_FILING_DATE",IQ_FY-9))</f>
        <v>49.258920000000003</v>
      </c>
      <c r="J3843" s="17">
        <f>IF(A3851=A3852,_xll.ciqfunctions.udf.CIQ(A3843,"IQ_CASH_OPER",IQ_FY-10), _xll.ciqfunctions.udf.CIQ(A3843, "IQ_CASH_OPER",IQ_FY-9))</f>
        <v>32.029000000000003</v>
      </c>
      <c r="K3843" s="17">
        <f>IF(A3851=A3852,_xll.ciqfunctions.udf.CIQ(A3843,"IQ_CAPEX",IQ_FY-10), _xll.ciqfunctions.udf.CIQ(A3843, "IQ_CAPEX",IQ_FY-9))</f>
        <v>-33.276000000000003</v>
      </c>
      <c r="L3843" s="15">
        <f t="shared" ref="L3843:L3853" si="1024">(J3843+K3843)/I3843</f>
        <v>-2.5315211945369485E-2</v>
      </c>
      <c r="M3843" s="17">
        <f>IF(A3851=A3852,_xll.ciqfunctions.udf.CIQ(A3843,"IQ_TOTAL_DEBT_ISSUED",IQ_FY-10), _xll.ciqfunctions.udf.CIQ(A3843, "IQ_TOTAL_DEBT_ISSUED",IQ_FY-9))</f>
        <v>0</v>
      </c>
      <c r="N3843" s="17">
        <f>IF(A3851=A3852,_xll.ciqfunctions.udf.CIQ(A3843,"IQ_TOTAL_DEBT_REPAID",IQ_FY-10), _xll.ciqfunctions.udf.CIQ(A3843, "IQ_TOTAL_DEBT_REPAID",IQ_FY-9))</f>
        <v>0</v>
      </c>
      <c r="O3843" s="15">
        <f t="shared" ref="O3843:O3853" si="1025">(M3843+N3843)/I3843</f>
        <v>0</v>
      </c>
      <c r="P3843" s="15">
        <f t="shared" ref="P3843:P3853" si="1026">L3843+O3843</f>
        <v>-2.5315211945369485E-2</v>
      </c>
      <c r="W3843" s="43"/>
      <c r="AA3843" s="43"/>
    </row>
    <row r="3844" spans="1:27">
      <c r="A3844" s="18" t="str">
        <f>_xll.ciqfunctions.udf.CIQ(A3843,"IQ_COMPANY_NAME")</f>
        <v>Stratasys Ltd.</v>
      </c>
      <c r="B3844" s="13">
        <v>2</v>
      </c>
      <c r="C3844" s="14" t="s">
        <v>17</v>
      </c>
      <c r="D3844" s="15">
        <f>IF(A3851=A3852,_xll.ciqfunctions.udf.CIQ(A3843,"IQ_TOTAL_REV",IQ_FY-9)/I3844, _xll.ciqfunctions.udf.CIQ(A3843, "IQ_TOTAL_REV",IQ_FY-8)/I3844)</f>
        <v>14.722779465372385</v>
      </c>
      <c r="E3844" s="16">
        <f t="shared" ref="E3844:E3853" si="1027">(D3844-D3843)/D3843</f>
        <v>0.49715880343932872</v>
      </c>
      <c r="F3844" s="15">
        <f>IF(A3851=A3852,_xll.ciqfunctions.udf.CIQ(A3843,"IQ_DILUT_EPS_EXCL",IQ_FY-9), _xll.ciqfunctions.udf.CIQ(A3843, "IQ_DILUT_EPS_EXCL",IQ_FY-8))</f>
        <v>-2.39</v>
      </c>
      <c r="G3844" s="15">
        <f>IF(A3851=A3852,_xll.ciqfunctions.udf.CIQ(A3843,"IQ_EBITDA_MARGIN",IQ_FY-9), _xll.ciqfunctions.udf.CIQ(A3843, "IQ_EBITDA_MARGIN",IQ_FY-8))</f>
        <v>7.5285000000000002</v>
      </c>
      <c r="H3844" s="15">
        <f>IF(A3851=A3852,_xll.ciqfunctions.udf.CIQ(A3843,"IQ_TOTAL_DIV_PAID_CF",IQ_FY-9)/-I3844, _xll.ciqfunctions.udf.CIQ(A3843, "IQ_TOTAL_DIV_PAID_CF",IQ_FY-8)/-I3844)</f>
        <v>0</v>
      </c>
      <c r="I3844" s="17">
        <f>IF(A3851=A3852,_xll.ciqfunctions.udf.CIQ(A3843,"IQ_TOTAL_OUTSTANDING_FILING_DATE",IQ_FY-9), _xll.ciqfunctions.udf.CIQ(A3843, "IQ_TOTAL_OUTSTANDING_FILING_DATE",IQ_FY-8))</f>
        <v>50.950229999999998</v>
      </c>
      <c r="J3844" s="17">
        <f>IF(A3851=A3852,_xll.ciqfunctions.udf.CIQ(A3843,"IQ_CASH_OPER",IQ_FY-9), _xll.ciqfunctions.udf.CIQ(A3843, "IQ_CASH_OPER",IQ_FY-8))</f>
        <v>13.816000000000001</v>
      </c>
      <c r="K3844" s="17">
        <f>IF(A3851=A3852,_xll.ciqfunctions.udf.CIQ(A3843,"IQ_CAPEX",IQ_FY-9), _xll.ciqfunctions.udf.CIQ(A3843, "IQ_CAPEX",IQ_FY-8))</f>
        <v>-60.497</v>
      </c>
      <c r="L3844" s="15">
        <f t="shared" si="1024"/>
        <v>-0.9162078365495111</v>
      </c>
      <c r="M3844" s="17">
        <f>IF(A3851=A3852,_xll.ciqfunctions.udf.CIQ(A3843,"IQ_TOTAL_DEBT_ISSUED",IQ_FY-9), _xll.ciqfunctions.udf.CIQ(A3843, "IQ_TOTAL_DEBT_ISSUED",IQ_FY-8))</f>
        <v>50</v>
      </c>
      <c r="N3844" s="17">
        <f>IF(A3851=A3852,_xll.ciqfunctions.udf.CIQ(A3843,"IQ_TOTAL_DEBT_REPAID",IQ_FY-9), _xll.ciqfunctions.udf.CIQ(A3843, "IQ_TOTAL_DEBT_REPAID",IQ_FY-8))</f>
        <v>0</v>
      </c>
      <c r="O3844" s="15">
        <f t="shared" si="1025"/>
        <v>0.98134983885254301</v>
      </c>
      <c r="P3844" s="15">
        <f t="shared" si="1026"/>
        <v>6.514200230303191E-2</v>
      </c>
      <c r="Q3844" s="25" t="s">
        <v>18</v>
      </c>
      <c r="R3844" s="39" t="s">
        <v>19</v>
      </c>
      <c r="S3844" s="1">
        <f>R3842/((AVERAGE(P3848:P3853))*(1+E3854)^3)</f>
        <v>-29.178324454164461</v>
      </c>
      <c r="U3844" s="25" t="s">
        <v>48</v>
      </c>
      <c r="V3844" s="39" t="s">
        <v>19</v>
      </c>
      <c r="W3844" s="1">
        <f>V3842/((AVERAGE(P3848:P3853))*(1+E3854)^3)</f>
        <v>-29.178324454164461</v>
      </c>
      <c r="Y3844" s="25" t="s">
        <v>39</v>
      </c>
      <c r="Z3844" s="39" t="s">
        <v>19</v>
      </c>
      <c r="AA3844" s="1">
        <f>Z3842/((AVERAGE(P3848:P3853))*(1+E3854)^3)</f>
        <v>-29.178324454164461</v>
      </c>
    </row>
    <row r="3845" spans="1:27">
      <c r="B3845" s="13">
        <v>3</v>
      </c>
      <c r="C3845" s="14" t="s">
        <v>20</v>
      </c>
      <c r="D3845" s="15" cm="1">
        <f t="array" ref="D3845">_xlfn.SINGLE(IF(A3851=A3852,_xll.ciqfunctions.udf.CIQ(A3843,"IQ_TOTAL_REV",IQ_FY-8)/I3845, _xll.ciqfunctions.udf.CIQ(A3843, "IQ_TOTAL_REV",IQ_FY-7)/I3845))</f>
        <v>13.358165112329349</v>
      </c>
      <c r="E3845" s="16">
        <f t="shared" si="1027"/>
        <v>-9.2687277986644806E-2</v>
      </c>
      <c r="F3845" s="15">
        <f>IF(A3851=A3852,_xll.ciqfunctions.udf.CIQ(A3843,"IQ_DILUT_EPS_EXCL",IQ_FY-8), _xll.ciqfunctions.udf.CIQ(A3843, "IQ_DILUT_EPS_EXCL",IQ_FY-7))</f>
        <v>-26.64434</v>
      </c>
      <c r="G3845" s="15">
        <f>IF(A3851=A3852,_xll.ciqfunctions.udf.CIQ(A3843,"IQ_EBITDA_MARGIN",IQ_FY-8), _xll.ciqfunctions.udf.CIQ(A3843, "IQ_EBITDA_MARGIN",IQ_FY-7))</f>
        <v>-5.6467000000000001</v>
      </c>
      <c r="H3845" s="15">
        <f>IF(A3851=A3852,_xll.ciqfunctions.udf.CIQ(A3843,"IQ_TOTAL_DIV_PAID_CF",IQ_FY-8)/-I3845, _xll.ciqfunctions.udf.CIQ(A3843, "IQ_TOTAL_DIV_PAID_CF",IQ_FY-7)/-I3845)</f>
        <v>0</v>
      </c>
      <c r="I3845" s="17">
        <f>IF(A3851=A3852,_xll.ciqfunctions.udf.CIQ(A3843,"IQ_TOTAL_OUTSTANDING_FILING_DATE",IQ_FY-8), _xll.ciqfunctions.udf.CIQ(A3843, "IQ_TOTAL_OUTSTANDING_FILING_DATE",IQ_FY-7))</f>
        <v>52.102589999999999</v>
      </c>
      <c r="J3845" s="17">
        <f>IF(A3851=A3852,_xll.ciqfunctions.udf.CIQ(A3843,"IQ_CASH_OPER",IQ_FY-8), _xll.ciqfunctions.udf.CIQ(A3843, "IQ_CASH_OPER",IQ_FY-7))</f>
        <v>-21.91</v>
      </c>
      <c r="K3845" s="17">
        <f>IF(A3851=A3852,_xll.ciqfunctions.udf.CIQ(A3843,"IQ_CAPEX",IQ_FY-8), _xll.ciqfunctions.udf.CIQ(A3843, "IQ_CAPEX",IQ_FY-7))</f>
        <v>-84.299000000000007</v>
      </c>
      <c r="L3845" s="15">
        <f t="shared" si="1024"/>
        <v>-2.0384591245847856</v>
      </c>
      <c r="M3845" s="17">
        <f>IF(A3851=A3852,_xll.ciqfunctions.udf.CIQ(A3843,"IQ_TOTAL_DEBT_ISSUED",IQ_FY-8), _xll.ciqfunctions.udf.CIQ(A3843, "IQ_TOTAL_DEBT_ISSUED",IQ_FY-7))</f>
        <v>125</v>
      </c>
      <c r="N3845" s="17">
        <f>IF(A3851=A3852,_xll.ciqfunctions.udf.CIQ(A3843,"IQ_TOTAL_DEBT_REPAID",IQ_FY-8), _xll.ciqfunctions.udf.CIQ(A3843, "IQ_TOTAL_DEBT_REPAID",IQ_FY-7))</f>
        <v>-175</v>
      </c>
      <c r="O3845" s="15">
        <f t="shared" si="1025"/>
        <v>-0.95964519230234047</v>
      </c>
      <c r="P3845" s="15">
        <f t="shared" si="1026"/>
        <v>-2.998104316887126</v>
      </c>
      <c r="Q3845" s="25" t="s">
        <v>21</v>
      </c>
      <c r="R3845" s="38" t="s">
        <v>49</v>
      </c>
      <c r="S3845" s="2">
        <f>(R3842*I3853)/1000</f>
        <v>0.78813517499999997</v>
      </c>
      <c r="U3845" s="25" t="s">
        <v>59</v>
      </c>
      <c r="V3845" s="38" t="s">
        <v>49</v>
      </c>
      <c r="W3845" s="2">
        <f>(V3842*I3853)/1000</f>
        <v>0.78813517499999997</v>
      </c>
      <c r="Y3845" s="25" t="s">
        <v>46</v>
      </c>
      <c r="Z3845" s="38" t="s">
        <v>49</v>
      </c>
      <c r="AA3845" s="2">
        <f>(Z3842*I3853)/1000</f>
        <v>0.78813517499999997</v>
      </c>
    </row>
    <row r="3846" spans="1:27">
      <c r="A3846" s="18"/>
      <c r="B3846" s="13">
        <v>4</v>
      </c>
      <c r="C3846" s="14" t="s">
        <v>22</v>
      </c>
      <c r="D3846" s="15" cm="1">
        <f t="array" ref="D3846">_xlfn.SINGLE(IF(A3851=A3852,_xll.ciqfunctions.udf.CIQ(A3843,"IQ_TOTAL_REV",IQ_FY-7)/I3846, _xll.ciqfunctions.udf.CIQ(A3843, "IQ_TOTAL_REV",IQ_FY-6)/I3846))</f>
        <v>12.761162349771812</v>
      </c>
      <c r="E3846" s="16">
        <f t="shared" si="1027"/>
        <v>-4.469197360096365E-2</v>
      </c>
      <c r="F3846" s="15">
        <f>IF(A3851=A3852,_xll.ciqfunctions.udf.CIQ(A3843,"IQ_DILUT_EPS_EXCL",IQ_FY-7), _xll.ciqfunctions.udf.CIQ(A3843, "IQ_DILUT_EPS_EXCL",IQ_FY-6))</f>
        <v>-1.4843299999999999</v>
      </c>
      <c r="G3846" s="15">
        <f>IF(A3851=A3852,_xll.ciqfunctions.udf.CIQ(A3843,"IQ_EBITDA_MARGIN",IQ_FY-7), _xll.ciqfunctions.udf.CIQ(A3843, "IQ_EBITDA_MARGIN",IQ_FY-6))</f>
        <v>4.6291000000000002</v>
      </c>
      <c r="H3846" s="15">
        <f>IF(A3851=A3852,_xll.ciqfunctions.udf.CIQ(A3843,"IQ_TOTAL_DIV_PAID_CF",IQ_FY-7)/-I3846, _xll.ciqfunctions.udf.CIQ(A3843, "IQ_TOTAL_DIV_PAID_CF",IQ_FY-6)/-I3846)</f>
        <v>0</v>
      </c>
      <c r="I3846" s="17">
        <f>IF(A3851=A3852,_xll.ciqfunctions.udf.CIQ(A3843,"IQ_TOTAL_OUTSTANDING_FILING_DATE",IQ_FY-7), _xll.ciqfunctions.udf.CIQ(A3843, "IQ_TOTAL_OUTSTANDING_FILING_DATE",IQ_FY-6))</f>
        <v>52.69567</v>
      </c>
      <c r="J3846" s="17">
        <f>IF(A3851=A3852,_xll.ciqfunctions.udf.CIQ(A3843,"IQ_CASH_OPER",IQ_FY-7), _xll.ciqfunctions.udf.CIQ(A3843, "IQ_CASH_OPER",IQ_FY-6))</f>
        <v>61.914000000000001</v>
      </c>
      <c r="K3846" s="17">
        <f>IF(A3851=A3852,_xll.ciqfunctions.udf.CIQ(A3843,"IQ_CAPEX",IQ_FY-7), _xll.ciqfunctions.udf.CIQ(A3843, "IQ_CAPEX",IQ_FY-6))</f>
        <v>-45.125</v>
      </c>
      <c r="L3846" s="15">
        <f t="shared" si="1024"/>
        <v>0.31860302753527947</v>
      </c>
      <c r="M3846" s="17">
        <f>IF(A3851=A3852,_xll.ciqfunctions.udf.CIQ(A3843,"IQ_TOTAL_DEBT_ISSUED",IQ_FY-7), _xll.ciqfunctions.udf.CIQ(A3843, "IQ_TOTAL_DEBT_ISSUED",IQ_FY-6))</f>
        <v>26</v>
      </c>
      <c r="N3846" s="17">
        <f>IF(A3851=A3852,_xll.ciqfunctions.udf.CIQ(A3843,"IQ_TOTAL_DEBT_REPAID",IQ_FY-7), _xll.ciqfunctions.udf.CIQ(A3843, "IQ_TOTAL_DEBT_REPAID",IQ_FY-6))</f>
        <v>0</v>
      </c>
      <c r="O3846" s="15">
        <f t="shared" si="1025"/>
        <v>0.49339917302503222</v>
      </c>
      <c r="P3846" s="15">
        <f t="shared" si="1026"/>
        <v>0.81200220056031169</v>
      </c>
      <c r="Q3846" s="25" t="s">
        <v>23</v>
      </c>
      <c r="R3846" s="38" t="s">
        <v>24</v>
      </c>
      <c r="S3846" s="1" t="e">
        <f>R3842/(AVERAGE(H3848:H3853)*(1+H3854)/(0.5-H3854))</f>
        <v>#DIV/0!</v>
      </c>
      <c r="U3846" s="25" t="s">
        <v>40</v>
      </c>
      <c r="V3846" s="38" t="s">
        <v>24</v>
      </c>
      <c r="W3846" s="1" t="e">
        <f>V3842/(AVERAGE(H3848:H3853)*(1+H3854)/(0.5-H3854))</f>
        <v>#DIV/0!</v>
      </c>
      <c r="Y3846" s="25" t="s">
        <v>47</v>
      </c>
      <c r="Z3846" s="38" t="s">
        <v>24</v>
      </c>
      <c r="AA3846" s="1" t="e">
        <f>Z3842/(AVERAGE(H3848:H3853)*(1+H3854)/(0.5-H3854))</f>
        <v>#DIV/0!</v>
      </c>
    </row>
    <row r="3847" spans="1:27">
      <c r="B3847" s="13">
        <v>5</v>
      </c>
      <c r="C3847" s="14" t="s">
        <v>25</v>
      </c>
      <c r="D3847" s="15" cm="1">
        <f t="array" ref="D3847">_xlfn.SINGLE(IF(A3851=A3852,_xll.ciqfunctions.udf.CIQ(A3843,"IQ_TOTAL_REV",IQ_FY-6)/I3847, _xll.ciqfunctions.udf.CIQ(A3843, "IQ_TOTAL_REV",IQ_FY-5)/I3847))</f>
        <v>12.459203296396021</v>
      </c>
      <c r="E3847" s="16">
        <f t="shared" si="1027"/>
        <v>-2.3662347135736461E-2</v>
      </c>
      <c r="F3847" s="15">
        <f>IF(A3851=A3852,_xll.ciqfunctions.udf.CIQ(A3843,"IQ_DILUT_EPS_EXCL",IQ_FY-6), _xll.ciqfunctions.udf.CIQ(A3843, "IQ_DILUT_EPS_EXCL",IQ_FY-5))</f>
        <v>-0.75494000000000006</v>
      </c>
      <c r="G3847" s="15">
        <f>IF(A3851=A3852,_xll.ciqfunctions.udf.CIQ(A3843,"IQ_EBITDA_MARGIN",IQ_FY-6), _xll.ciqfunctions.udf.CIQ(A3843, "IQ_EBITDA_MARGIN",IQ_FY-5))</f>
        <v>5.6291000000000002</v>
      </c>
      <c r="H3847" s="15">
        <f>IF(A3851=A3852,_xll.ciqfunctions.udf.CIQ(A3843,"IQ_TOTAL_DIV_PAID_CF",IQ_FY-6)/-I3847, _xll.ciqfunctions.udf.CIQ(A3843, "IQ_TOTAL_DIV_PAID_CF",IQ_FY-5)/-I3847)</f>
        <v>0</v>
      </c>
      <c r="I3847" s="17">
        <f>IF(A3851=A3852,_xll.ciqfunctions.udf.CIQ(A3843,"IQ_TOTAL_OUTSTANDING_FILING_DATE",IQ_FY-6), _xll.ciqfunctions.udf.CIQ(A3843, "IQ_TOTAL_OUTSTANDING_FILING_DATE",IQ_FY-5))</f>
        <v>53.644039999999997</v>
      </c>
      <c r="J3847" s="17">
        <f>IF(A3851=A3852,_xll.ciqfunctions.udf.CIQ(A3843,"IQ_CASH_OPER",IQ_FY-6), _xll.ciqfunctions.udf.CIQ(A3843, "IQ_CASH_OPER",IQ_FY-5))</f>
        <v>61.719000000000001</v>
      </c>
      <c r="K3847" s="17">
        <f>IF(A3851=A3852,_xll.ciqfunctions.udf.CIQ(A3843,"IQ_CAPEX",IQ_FY-6), _xll.ciqfunctions.udf.CIQ(A3843, "IQ_CAPEX",IQ_FY-5))</f>
        <v>-22.308</v>
      </c>
      <c r="L3847" s="15">
        <f t="shared" si="1024"/>
        <v>0.73467621006918948</v>
      </c>
      <c r="M3847" s="17">
        <f>IF(A3851=A3852,_xll.ciqfunctions.udf.CIQ(A3843,"IQ_TOTAL_DEBT_ISSUED",IQ_FY-6), _xll.ciqfunctions.udf.CIQ(A3843, "IQ_TOTAL_DEBT_ISSUED",IQ_FY-5))</f>
        <v>10</v>
      </c>
      <c r="N3847" s="17">
        <f>IF(A3851=A3852,_xll.ciqfunctions.udf.CIQ(A3843,"IQ_TOTAL_DEBT_REPAID",IQ_FY-6), _xll.ciqfunctions.udf.CIQ(A3843, "IQ_TOTAL_DEBT_REPAID",IQ_FY-5))</f>
        <v>-3.714</v>
      </c>
      <c r="O3847" s="15">
        <f t="shared" si="1025"/>
        <v>0.11717983954974308</v>
      </c>
      <c r="P3847" s="15">
        <f t="shared" si="1026"/>
        <v>0.85185604961893258</v>
      </c>
      <c r="Q3847" s="18"/>
      <c r="R3847" s="38" t="s">
        <v>50</v>
      </c>
      <c r="S3847" s="3">
        <f>I3854</f>
        <v>5.0839673839457422E-2</v>
      </c>
      <c r="U3847" s="18"/>
      <c r="V3847" s="38" t="s">
        <v>50</v>
      </c>
      <c r="W3847" s="3">
        <f>I3854</f>
        <v>5.0839673839457422E-2</v>
      </c>
      <c r="Y3847" s="18"/>
      <c r="Z3847" s="38" t="s">
        <v>50</v>
      </c>
      <c r="AA3847" s="3">
        <f>I3854</f>
        <v>5.0839673839457422E-2</v>
      </c>
    </row>
    <row r="3848" spans="1:27">
      <c r="B3848" s="13">
        <v>6</v>
      </c>
      <c r="C3848" s="14" t="s">
        <v>26</v>
      </c>
      <c r="D3848" s="15" cm="1">
        <f t="array" ref="D3848">_xlfn.SINGLE(IF(A3851=A3852,_xll.ciqfunctions.udf.CIQ(A3843,"IQ_TOTAL_REV",IQ_FY-5)/I3848, _xll.ciqfunctions.udf.CIQ(A3843, "IQ_TOTAL_REV",IQ_FY-4)/I3848))</f>
        <v>12.287532222403783</v>
      </c>
      <c r="E3848" s="16">
        <f t="shared" si="1027"/>
        <v>-1.3778655818377729E-2</v>
      </c>
      <c r="F3848" s="15">
        <f>IF(A3851=A3852,_xll.ciqfunctions.udf.CIQ(A3843,"IQ_DILUT_EPS_EXCL",IQ_FY-5), _xll.ciqfunctions.udf.CIQ(A3843, "IQ_DILUT_EPS_EXCL",IQ_FY-4))</f>
        <v>-0.22137000000000001</v>
      </c>
      <c r="G3848" s="15">
        <f>IF(A3851=A3852,_xll.ciqfunctions.udf.CIQ(A3843,"IQ_EBITDA_MARGIN",IQ_FY-5), _xll.ciqfunctions.udf.CIQ(A3843, "IQ_EBITDA_MARGIN",IQ_FY-4))</f>
        <v>7.9027000000000003</v>
      </c>
      <c r="H3848" s="15">
        <f>IF(A3851=A3852,_xll.ciqfunctions.udf.CIQ(A3843,"IQ_TOTAL_DIV_PAID_CF",IQ_FY-5)/-I3848, _xll.ciqfunctions.udf.CIQ(A3843, "IQ_TOTAL_DIV_PAID_CF",IQ_FY-4)/-I3848)</f>
        <v>0</v>
      </c>
      <c r="I3848" s="17">
        <f>IF(A3851=A3852,_xll.ciqfunctions.udf.CIQ(A3843,"IQ_TOTAL_OUTSTANDING_FILING_DATE",IQ_FY-5), _xll.ciqfunctions.udf.CIQ(A3843, "IQ_TOTAL_OUTSTANDING_FILING_DATE",IQ_FY-4))</f>
        <v>53.976419999999997</v>
      </c>
      <c r="J3848" s="17">
        <f>IF(A3851=A3852,_xll.ciqfunctions.udf.CIQ(A3843,"IQ_CASH_OPER",IQ_FY-5), _xll.ciqfunctions.udf.CIQ(A3843, "IQ_CASH_OPER",IQ_FY-4))</f>
        <v>63.712000000000003</v>
      </c>
      <c r="K3848" s="17">
        <f>IF(A3851=A3852,_xll.ciqfunctions.udf.CIQ(A3843,"IQ_CAPEX",IQ_FY-5), _xll.ciqfunctions.udf.CIQ(A3843, "IQ_CAPEX",IQ_FY-4))</f>
        <v>-23.361000000000001</v>
      </c>
      <c r="L3848" s="15">
        <f t="shared" si="1024"/>
        <v>0.74756717840864584</v>
      </c>
      <c r="M3848" s="17">
        <f>IF(A3851=A3852,_xll.ciqfunctions.udf.CIQ(A3843,"IQ_TOTAL_DEBT_ISSUED",IQ_FY-5), _xll.ciqfunctions.udf.CIQ(A3843, "IQ_TOTAL_DEBT_ISSUED",IQ_FY-4))</f>
        <v>0</v>
      </c>
      <c r="N3848" s="17">
        <f>IF(A3851=A3852,_xll.ciqfunctions.udf.CIQ(A3843,"IQ_TOTAL_DEBT_REPAID",IQ_FY-5), _xll.ciqfunctions.udf.CIQ(A3843, "IQ_TOTAL_DEBT_REPAID",IQ_FY-4))</f>
        <v>-5.1429999999999998</v>
      </c>
      <c r="O3848" s="15">
        <f t="shared" si="1025"/>
        <v>-9.5282347365757122E-2</v>
      </c>
      <c r="P3848" s="15">
        <f t="shared" si="1026"/>
        <v>0.6522848310428887</v>
      </c>
      <c r="Q3848" s="25" t="s">
        <v>27</v>
      </c>
      <c r="R3848" s="38" t="s">
        <v>51</v>
      </c>
      <c r="S3848" s="4">
        <f>AVERAGE(F3848:F3853)/AVERAGE(D3848:D3853)</f>
        <v>-0.18875790355727098</v>
      </c>
      <c r="U3848" s="25" t="s">
        <v>58</v>
      </c>
      <c r="V3848" s="38" t="s">
        <v>51</v>
      </c>
      <c r="W3848" s="4">
        <f>AVERAGE(F3848:F3853)/AVERAGE(D3848:D3853)</f>
        <v>-0.18875790355727098</v>
      </c>
      <c r="Y3848" s="25" t="s">
        <v>56</v>
      </c>
      <c r="Z3848" s="38" t="s">
        <v>51</v>
      </c>
      <c r="AA3848" s="4">
        <f>AVERAGE(F3848:F3853)/AVERAGE(D3848:D3853)</f>
        <v>-0.18875790355727098</v>
      </c>
    </row>
    <row r="3849" spans="1:27">
      <c r="A3849" s="18"/>
      <c r="B3849" s="13">
        <v>7</v>
      </c>
      <c r="C3849" s="14" t="s">
        <v>28</v>
      </c>
      <c r="D3849" s="15" cm="1">
        <f t="array" ref="D3849">_xlfn.SINGLE(IF(A3851=A3852,_xll.ciqfunctions.udf.CIQ(A3843,"IQ_TOTAL_REV",IQ_FY-4)/I3849, _xll.ciqfunctions.udf.CIQ(A3843, "IQ_TOTAL_REV",IQ_FY-3)/I3849))</f>
        <v>11.683942092407991</v>
      </c>
      <c r="E3849" s="16">
        <f t="shared" si="1027"/>
        <v>-4.9122160501461003E-2</v>
      </c>
      <c r="F3849" s="15">
        <f>IF(A3851=A3852,_xll.ciqfunctions.udf.CIQ(A3843,"IQ_DILUT_EPS_EXCL",IQ_FY-4), _xll.ciqfunctions.udf.CIQ(A3843, "IQ_DILUT_EPS_EXCL",IQ_FY-3))</f>
        <v>-0.2</v>
      </c>
      <c r="G3849" s="15">
        <f>IF(A3851=A3852,_xll.ciqfunctions.udf.CIQ(A3843,"IQ_EBITDA_MARGIN",IQ_FY-4), _xll.ciqfunctions.udf.CIQ(A3843, "IQ_EBITDA_MARGIN",IQ_FY-3))</f>
        <v>6.1695000000000002</v>
      </c>
      <c r="H3849" s="15">
        <f>IF(A3851=A3852,_xll.ciqfunctions.udf.CIQ(A3843,"IQ_TOTAL_DIV_PAID_CF",IQ_FY-4)/-I3849, _xll.ciqfunctions.udf.CIQ(A3843, "IQ_TOTAL_DIV_PAID_CF",IQ_FY-3)/-I3849)</f>
        <v>0</v>
      </c>
      <c r="I3849" s="17">
        <f>IF(A3851=A3852,_xll.ciqfunctions.udf.CIQ(A3843,"IQ_TOTAL_OUTSTANDING_FILING_DATE",IQ_FY-4), _xll.ciqfunctions.udf.CIQ(A3843, "IQ_TOTAL_OUTSTANDING_FILING_DATE",IQ_FY-3))</f>
        <v>54.440530000000003</v>
      </c>
      <c r="J3849" s="17">
        <f>IF(A3851=A3852,_xll.ciqfunctions.udf.CIQ(A3843,"IQ_CASH_OPER",IQ_FY-4), _xll.ciqfunctions.udf.CIQ(A3843, "IQ_CASH_OPER",IQ_FY-3))</f>
        <v>-11.193</v>
      </c>
      <c r="K3849" s="17">
        <f>IF(A3851=A3852,_xll.ciqfunctions.udf.CIQ(A3843,"IQ_CAPEX",IQ_FY-4), _xll.ciqfunctions.udf.CIQ(A3843, "IQ_CAPEX",IQ_FY-3))</f>
        <v>-22.42</v>
      </c>
      <c r="L3849" s="15">
        <f t="shared" si="1024"/>
        <v>-0.61742602432415694</v>
      </c>
      <c r="M3849" s="17">
        <f>IF(A3851=A3852,_xll.ciqfunctions.udf.CIQ(A3843,"IQ_TOTAL_DEBT_ISSUED",IQ_FY-4), _xll.ciqfunctions.udf.CIQ(A3843, "IQ_TOTAL_DEBT_ISSUED",IQ_FY-3))</f>
        <v>0</v>
      </c>
      <c r="N3849" s="17">
        <f>IF(A3851=A3852,_xll.ciqfunctions.udf.CIQ(A3843,"IQ_TOTAL_DEBT_REPAID",IQ_FY-4), _xll.ciqfunctions.udf.CIQ(A3843, "IQ_TOTAL_DEBT_REPAID",IQ_FY-3))</f>
        <v>-27.292999999999999</v>
      </c>
      <c r="O3849" s="15">
        <f t="shared" si="1025"/>
        <v>-0.50133604503850349</v>
      </c>
      <c r="P3849" s="15">
        <f t="shared" si="1026"/>
        <v>-1.1187620693626603</v>
      </c>
      <c r="Q3849" s="18"/>
      <c r="R3849" s="38" t="s">
        <v>29</v>
      </c>
      <c r="S3849" s="4">
        <f>(AVERAGE(P3848:P3853)/_xlfn.STDEV.P(P3848:P3853))/(IF(A3851=A3852,(_xlfn.SINGLE(_xll.ciqfunctions.udf.CIQ(A3843,"IQ_total_assets",IQ_FY)) - _xlfn.SINGLE(_xll.ciqfunctions.udf.CIQ(A3843,"iq_gw_intan", IQ_FY)))/I3853, (_xlfn.SINGLE(_xll.ciqfunctions.udf.CIQ(A3843, "IQ_total_assets",IQ_LTM))-_xlfn.SINGLE(_xll.ciqfunctions.udf.CIQ(A3843,"iq_gw_intan",IQ_LTM)))/I3853))</f>
        <v>-4.4075207751356926E-2</v>
      </c>
      <c r="U3849" s="18"/>
      <c r="V3849" s="38" t="s">
        <v>29</v>
      </c>
      <c r="W3849" s="4">
        <f>(AVERAGE(P3848:P3853)/_xlfn.STDEV.P(P3848:P3853))/(IF(A3851=A3852,(_xlfn.SINGLE(_xll.ciqfunctions.udf.CIQ(A3843,"IQ_total_assets",IQ_FY)) - _xlfn.SINGLE(_xll.ciqfunctions.udf.CIQ(A3843,"iq_gw_intan", IQ_FY)))/I3853, (_xlfn.SINGLE(_xll.ciqfunctions.udf.CIQ(A3843, "IQ_total_assets",IQ_LTM))-_xlfn.SINGLE(_xll.ciqfunctions.udf.CIQ(A3843,"iq_gw_intan",IQ_LTM)))/I3853))</f>
        <v>-4.4075207751356926E-2</v>
      </c>
      <c r="Y3849" s="18"/>
      <c r="Z3849" s="38" t="s">
        <v>29</v>
      </c>
      <c r="AA3849" s="4">
        <f>(AVERAGE(P3848:P3853)/_xlfn.STDEV.P(P3848:P3853))/(IF(A3851=A3852,(_xlfn.SINGLE(_xll.ciqfunctions.udf.CIQ(A3843,"IQ_total_assets",IQ_FY)) - _xlfn.SINGLE(_xll.ciqfunctions.udf.CIQ(A3843,"iq_gw_intan", IQ_FY)))/I3853, (_xlfn.SINGLE(_xll.ciqfunctions.udf.CIQ(A3843, "IQ_total_assets",IQ_LTM))-_xlfn.SINGLE(_xll.ciqfunctions.udf.CIQ(A3843,"iq_gw_intan",IQ_LTM)))/I3853))</f>
        <v>-4.4075207751356926E-2</v>
      </c>
    </row>
    <row r="3850" spans="1:27">
      <c r="A3850" s="18"/>
      <c r="B3850" s="13">
        <v>8</v>
      </c>
      <c r="C3850" s="14" t="s">
        <v>30</v>
      </c>
      <c r="D3850" s="15" cm="1">
        <f t="array" ref="D3850">_xlfn.SINGLE(IF(A3851=A3852,_xll.ciqfunctions.udf.CIQ(A3843,"IQ_TOTAL_REV",IQ_FY-3)/I3850, _xll.ciqfunctions.udf.CIQ(A3843, "IQ_TOTAL_REV",IQ_FY-2)/I3850))</f>
        <v>9.1926478162349436</v>
      </c>
      <c r="E3850" s="16">
        <f t="shared" si="1027"/>
        <v>-0.21322377811097198</v>
      </c>
      <c r="F3850" s="15">
        <f>IF(A3851=A3852,_xll.ciqfunctions.udf.CIQ(A3843,"IQ_DILUT_EPS_EXCL",IQ_FY-3), _xll.ciqfunctions.udf.CIQ(A3843, "IQ_DILUT_EPS_EXCL",IQ_FY-2))</f>
        <v>-8.0797000000000008</v>
      </c>
      <c r="G3850" s="15">
        <f>IF(A3851=A3852,_xll.ciqfunctions.udf.CIQ(A3843,"IQ_EBITDA_MARGIN",IQ_FY-3), _xll.ciqfunctions.udf.CIQ(A3843, "IQ_EBITDA_MARGIN",IQ_FY-2))</f>
        <v>-3.8942000000000001</v>
      </c>
      <c r="H3850" s="15">
        <f>IF(A3851=A3852,_xll.ciqfunctions.udf.CIQ(A3843,"IQ_TOTAL_DIV_PAID_CF",IQ_FY-3)/-I3850, _xll.ciqfunctions.udf.CIQ(A3843, "IQ_TOTAL_DIV_PAID_CF",IQ_FY-2)/-I3850)</f>
        <v>0</v>
      </c>
      <c r="I3850" s="17">
        <f>IF(A3851=A3852,_xll.ciqfunctions.udf.CIQ(A3843,"IQ_TOTAL_OUTSTANDING_FILING_DATE",IQ_FY-3), _xll.ciqfunctions.udf.CIQ(A3843, "IQ_TOTAL_OUTSTANDING_FILING_DATE",IQ_FY-2))</f>
        <v>56.655819999999999</v>
      </c>
      <c r="J3850" s="17">
        <f>IF(A3851=A3852,_xll.ciqfunctions.udf.CIQ(A3843,"IQ_CASH_OPER",IQ_FY-3), _xll.ciqfunctions.udf.CIQ(A3843, "IQ_CASH_OPER",IQ_FY-2))</f>
        <v>27.802</v>
      </c>
      <c r="K3850" s="17">
        <f>IF(A3851=A3852,_xll.ciqfunctions.udf.CIQ(A3843,"IQ_CAPEX",IQ_FY-3), _xll.ciqfunctions.udf.CIQ(A3843, "IQ_CAPEX",IQ_FY-2))</f>
        <v>-26.943000000000001</v>
      </c>
      <c r="L3850" s="15">
        <f t="shared" si="1024"/>
        <v>1.5161725662076698E-2</v>
      </c>
      <c r="M3850" s="17">
        <f>IF(A3851=A3852,_xll.ciqfunctions.udf.CIQ(A3843,"IQ_TOTAL_DEBT_ISSUED",IQ_FY-3), _xll.ciqfunctions.udf.CIQ(A3843, "IQ_TOTAL_DEBT_ISSUED",IQ_FY-2))</f>
        <v>0</v>
      </c>
      <c r="N3850" s="17">
        <f>IF(A3851=A3852,_xll.ciqfunctions.udf.CIQ(A3843,"IQ_TOTAL_DEBT_REPAID",IQ_FY-3), _xll.ciqfunctions.udf.CIQ(A3843, "IQ_TOTAL_DEBT_REPAID",IQ_FY-2))</f>
        <v>0</v>
      </c>
      <c r="O3850" s="15">
        <f t="shared" si="1025"/>
        <v>0</v>
      </c>
      <c r="P3850" s="15">
        <f t="shared" si="1026"/>
        <v>1.5161725662076698E-2</v>
      </c>
      <c r="Q3850" s="18"/>
      <c r="R3850" s="39" t="s">
        <v>31</v>
      </c>
      <c r="S3850" s="5">
        <f>IF(NOT(D3843&gt;0),FALSE,SLOPE(G3843:G3853,B3843:B3853))</f>
        <v>-1.1267481818181819</v>
      </c>
      <c r="U3850" s="18"/>
      <c r="V3850" s="39" t="s">
        <v>31</v>
      </c>
      <c r="W3850" s="5">
        <f>IF(NOT(D3843&gt;0),FALSE,SLOPE(G3843:G3853,B3843:B3853))</f>
        <v>-1.1267481818181819</v>
      </c>
      <c r="Y3850" s="18"/>
      <c r="Z3850" s="39" t="s">
        <v>31</v>
      </c>
      <c r="AA3850" s="5" t="b">
        <f>IF(NOT(L3843&gt;0),FALSE,SLOPE(O3843:O3853,J3843:J3853))</f>
        <v>0</v>
      </c>
    </row>
    <row r="3851" spans="1:27">
      <c r="A3851" s="19">
        <f>_xll.ciqfunctions.udf.CIQ(A3843,"IQ_TOTAL_REV",IQ_FY)</f>
        <v>651.48299999999995</v>
      </c>
      <c r="B3851" s="13">
        <v>9</v>
      </c>
      <c r="C3851" s="14" t="s">
        <v>32</v>
      </c>
      <c r="D3851" s="15" cm="1">
        <f t="array" ref="D3851">_xlfn.SINGLE(IF(A3851=A3852,_xll.ciqfunctions.udf.CIQ(A3843,"IQ_TOTAL_REV",IQ_FY-2)/I3851, _xll.ciqfunctions.udf.CIQ(A3843, "IQ_TOTAL_REV",IQ_FY-1)/I3851))</f>
        <v>9.2455420052240544</v>
      </c>
      <c r="E3851" s="16">
        <f t="shared" si="1027"/>
        <v>5.7539666531872874E-3</v>
      </c>
      <c r="F3851" s="15">
        <f>IF(A3851=A3852,_xll.ciqfunctions.udf.CIQ(A3843,"IQ_DILUT_EPS_EXCL",IQ_FY-2), _xll.ciqfunctions.udf.CIQ(A3843, "IQ_DILUT_EPS_EXCL",IQ_FY-1))</f>
        <v>-0.98</v>
      </c>
      <c r="G3851" s="15">
        <f>IF(A3851=A3852,_xll.ciqfunctions.udf.CIQ(A3843,"IQ_EBITDA_MARGIN",IQ_FY-2), _xll.ciqfunctions.udf.CIQ(A3843, "IQ_EBITDA_MARGIN",IQ_FY-1))</f>
        <v>-2.9813999999999998</v>
      </c>
      <c r="H3851" s="15">
        <f>IF(A3851=A3852,_xll.ciqfunctions.udf.CIQ(A3843,"IQ_TOTAL_DIV_PAID_CF",IQ_FY-2)/-I3851, _xll.ciqfunctions.udf.CIQ(A3843, "IQ_TOTAL_DIV_PAID_CF",IQ_FY-1)/-I3851)</f>
        <v>0</v>
      </c>
      <c r="I3851" s="17">
        <f>IF(A3851=A3852,_xll.ciqfunctions.udf.CIQ(A3843,"IQ_TOTAL_OUTSTANDING_FILING_DATE",IQ_FY-2), _xll.ciqfunctions.udf.CIQ(A3843, "IQ_TOTAL_OUTSTANDING_FILING_DATE",IQ_FY-1))</f>
        <v>65.676950000000005</v>
      </c>
      <c r="J3851" s="17">
        <f>IF(A3851=A3852,_xll.ciqfunctions.udf.CIQ(A3843,"IQ_CASH_OPER",IQ_FY-2), _xll.ciqfunctions.udf.CIQ(A3843, "IQ_CASH_OPER",IQ_FY-1))</f>
        <v>35.823999999999998</v>
      </c>
      <c r="K3851" s="17">
        <f>IF(A3851=A3852,_xll.ciqfunctions.udf.CIQ(A3843,"IQ_CAPEX",IQ_FY-2), _xll.ciqfunctions.udf.CIQ(A3843, "IQ_CAPEX",IQ_FY-1))</f>
        <v>-24.981000000000002</v>
      </c>
      <c r="L3851" s="15">
        <f t="shared" si="1024"/>
        <v>0.16509597354931974</v>
      </c>
      <c r="M3851" s="17">
        <f>IF(A3851=A3852,_xll.ciqfunctions.udf.CIQ(A3843,"IQ_TOTAL_DEBT_ISSUED",IQ_FY-2), _xll.ciqfunctions.udf.CIQ(A3843, "IQ_TOTAL_DEBT_ISSUED",IQ_FY-1))</f>
        <v>0</v>
      </c>
      <c r="N3851" s="17">
        <f>IF(A3851=A3852,_xll.ciqfunctions.udf.CIQ(A3843,"IQ_TOTAL_DEBT_REPAID",IQ_FY-2), _xll.ciqfunctions.udf.CIQ(A3843, "IQ_TOTAL_DEBT_REPAID",IQ_FY-1))</f>
        <v>0</v>
      </c>
      <c r="O3851" s="15">
        <f t="shared" si="1025"/>
        <v>0</v>
      </c>
      <c r="P3851" s="15">
        <f t="shared" si="1026"/>
        <v>0.16509597354931974</v>
      </c>
      <c r="Q3851" s="25" t="s">
        <v>33</v>
      </c>
      <c r="R3851" s="38" t="s">
        <v>52</v>
      </c>
      <c r="S3851" s="4">
        <f>(AVERAGE(O3848:O3853)/AVERAGE(P3848:P3853))</f>
        <v>0.21286295969694136</v>
      </c>
      <c r="U3851" s="25" t="s">
        <v>54</v>
      </c>
      <c r="V3851" s="38" t="s">
        <v>52</v>
      </c>
      <c r="W3851" s="4">
        <f>(AVERAGE(O3848:O3853)/AVERAGE(P3848:P3853))</f>
        <v>0.21286295969694136</v>
      </c>
      <c r="Y3851" s="25" t="s">
        <v>60</v>
      </c>
      <c r="Z3851" s="38" t="s">
        <v>52</v>
      </c>
      <c r="AA3851" s="4">
        <f>(AVERAGE(O3848:O3853)/AVERAGE(P3848:P3853))</f>
        <v>0.21286295969694136</v>
      </c>
    </row>
    <row r="3852" spans="1:27">
      <c r="A3852" s="19">
        <f>_xll.ciqfunctions.udf.CIQ(A3843,"IQ_TOTAL_REV",IQ_LTM)</f>
        <v>630.52</v>
      </c>
      <c r="B3852" s="13">
        <v>10</v>
      </c>
      <c r="C3852" s="14" t="s">
        <v>34</v>
      </c>
      <c r="D3852" s="15" cm="1">
        <f t="array" ref="D3852">_xlfn.SINGLE(IF(A3851=A3852,_xll.ciqfunctions.udf.CIQ(A3843,"IQ_TOTAL_REV",IQ_FY-1)/I3852, _xll.ciqfunctions.udf.CIQ(A3843, "IQ_TOTAL_REV",IQ_FY)/I3852))</f>
        <v>9.6629134822593024</v>
      </c>
      <c r="E3852" s="16">
        <f t="shared" si="1027"/>
        <v>4.5142997219570082E-2</v>
      </c>
      <c r="F3852" s="15">
        <f>IF(A3851=A3852,_xll.ciqfunctions.udf.CIQ(A3843,"IQ_DILUT_EPS_EXCL",IQ_FY-1), _xll.ciqfunctions.udf.CIQ(A3843, "IQ_DILUT_EPS_EXCL",IQ_FY))</f>
        <v>-0.44</v>
      </c>
      <c r="G3852" s="15">
        <f>IF(A3851=A3852,_xll.ciqfunctions.udf.CIQ(A3843,"IQ_EBITDA_MARGIN",IQ_FY-1), _xll.ciqfunctions.udf.CIQ(A3843, "IQ_EBITDA_MARGIN",IQ_FY))</f>
        <v>0.98</v>
      </c>
      <c r="H3852" s="15">
        <f>IF(A3851=A3852,_xll.ciqfunctions.udf.CIQ(A3843,"IQ_TOTAL_DIV_PAID_CF",IQ_FY-1)/-I3852, _xll.ciqfunctions.udf.CIQ(A3843, "IQ_TOTAL_DIV_PAID_CF",IQ_FY)/-I3852)</f>
        <v>0</v>
      </c>
      <c r="I3852" s="17">
        <f>IF(A3851=A3852,_xll.ciqfunctions.udf.CIQ(A3843,"IQ_TOTAL_OUTSTANDING_FILING_DATE",IQ_FY-1), _xll.ciqfunctions.udf.CIQ(A3843, "IQ_TOTAL_OUTSTANDING_FILING_DATE",IQ_FY))</f>
        <v>67.420969999999997</v>
      </c>
      <c r="J3852" s="17">
        <f>IF(A3851=A3852,_xll.ciqfunctions.udf.CIQ(A3843,"IQ_CASH_OPER",IQ_FY-1), _xll.ciqfunctions.udf.CIQ(A3843, "IQ_CASH_OPER",IQ_FY))</f>
        <v>-75.405000000000001</v>
      </c>
      <c r="K3852" s="17">
        <f>IF(A3851=A3852,_xll.ciqfunctions.udf.CIQ(A3843,"IQ_CAPEX",IQ_FY-1), _xll.ciqfunctions.udf.CIQ(A3843, "IQ_CAPEX",IQ_FY))</f>
        <v>-13.635</v>
      </c>
      <c r="L3852" s="15">
        <f t="shared" si="1024"/>
        <v>-1.3206573563091721</v>
      </c>
      <c r="M3852" s="17">
        <f>IF(A3851=A3852,_xll.ciqfunctions.udf.CIQ(A3843,"IQ_TOTAL_DEBT_ISSUED",IQ_FY-1), _xll.ciqfunctions.udf.CIQ(A3843, "IQ_TOTAL_DEBT_ISSUED",IQ_FY))</f>
        <v>0</v>
      </c>
      <c r="N3852" s="17">
        <f>IF(A3851=A3852,_xll.ciqfunctions.udf.CIQ(A3843,"IQ_TOTAL_DEBT_REPAID",IQ_FY-1), _xll.ciqfunctions.udf.CIQ(A3843, "IQ_TOTAL_DEBT_REPAID",IQ_FY))</f>
        <v>0</v>
      </c>
      <c r="O3852" s="15">
        <f t="shared" si="1025"/>
        <v>0</v>
      </c>
      <c r="P3852" s="15">
        <f t="shared" si="1026"/>
        <v>-1.3206573563091721</v>
      </c>
      <c r="Q3852" s="25" t="s">
        <v>44</v>
      </c>
      <c r="R3852" s="38" t="s">
        <v>35</v>
      </c>
      <c r="S3852" s="1" t="str">
        <f>_xll.ciqfunctions.udf.CIQ(A3843,"IQ_TEV_EBITDA")</f>
        <v>NM</v>
      </c>
      <c r="U3852" s="25" t="s">
        <v>55</v>
      </c>
      <c r="V3852" s="38" t="s">
        <v>53</v>
      </c>
      <c r="W3852" s="1">
        <f>V3842/(AVERAGE(D3848:D3853)/_xlfn.STDEV.P(E3848:E3853))</f>
        <v>9.1350337075472632E-2</v>
      </c>
      <c r="Y3852" s="25" t="s">
        <v>57</v>
      </c>
      <c r="Z3852" s="38" t="s">
        <v>53</v>
      </c>
      <c r="AA3852" s="1">
        <f>Z3842/(AVERAGE(D3848:D3853)/_xlfn.STDEV.P(E3848:E3853))</f>
        <v>9.1350337075472632E-2</v>
      </c>
    </row>
    <row r="3853" spans="1:27">
      <c r="B3853" s="13">
        <v>11</v>
      </c>
      <c r="C3853" s="20" t="s">
        <v>36</v>
      </c>
      <c r="D3853" s="21" cm="1">
        <f t="array" ref="D3853">_xlfn.SINGLE(IF(A3851=A3852,_xll.ciqfunctions.udf.CIQ(A3843,"IQ_TOTAL_REV",IQ_FY)/I3853, _xll.ciqfunctions.udf.CIQ(A3843, "IQ_TOTAL_REV",IQ_LTM)/I3853))</f>
        <v>9.1161714740114217</v>
      </c>
      <c r="E3853" s="22">
        <f t="shared" si="1027"/>
        <v>-5.658148644833421E-2</v>
      </c>
      <c r="F3853" s="21">
        <f>IF(A3851=A3852,_xll.ciqfunctions.udf.CIQ(A3843,"IQ_DILUT_EPS_EXCL",IQ_FY), _xll.ciqfunctions.udf.CIQ(A3843, "IQ_DILUT_EPS_EXCL",IQ_LTM))</f>
        <v>-1.62879</v>
      </c>
      <c r="G3853" s="21">
        <f>IF(A3851=A3852,_xll.ciqfunctions.udf.CIQ(A3843,"IQ_EBITDA_MARGIN",IQ_FY), _xll.ciqfunctions.udf.CIQ(A3843, "IQ_EBITDA_MARGIN",IQ_LTM))</f>
        <v>-3.2414000000000001</v>
      </c>
      <c r="H3853" s="21">
        <f>IF(A3851=A3852,_xll.ciqfunctions.udf.CIQ(A3843,"IQ_TOTAL_DIV_PAID_CF",IQ_FY)/-I3853, _xll.ciqfunctions.udf.CIQ(A3843, "IQ_TOTAL_DIV_PAID_CF",IQ_LTM)/-I3853)</f>
        <v>0</v>
      </c>
      <c r="I3853" s="23">
        <f>IF(A3851=A3852,_xll.ciqfunctions.udf.CIQ(A3843,"IQ_TOTAL_OUTSTANDING_FILING_DATE",IQ_FY),_xll.ciqfunctions.udf.CIQ(A3843,"IQ_sharesoutstanding"))</f>
        <v>69.165000000000006</v>
      </c>
      <c r="J3853" s="23">
        <f>IF(A3851=A3852,_xll.ciqfunctions.udf.CIQ(A3843,"IQ_CASH_OPER",IQ_FY), _xll.ciqfunctions.udf.CIQ(A3843, "IQ_CASH_OPER",IQ_LTM))</f>
        <v>-72.028000000000006</v>
      </c>
      <c r="K3853" s="23">
        <f>IF(A3851=A3852,_xll.ciqfunctions.udf.CIQ(A3843,"IQ_CAPEX",IQ_FY), _xll.ciqfunctions.udf.CIQ(A3843, "IQ_CAPEX",IQ_LTM))</f>
        <v>-10.69</v>
      </c>
      <c r="L3853" s="21">
        <f t="shared" si="1024"/>
        <v>-1.1959517096797512</v>
      </c>
      <c r="M3853" s="23">
        <f>IF(A3851=A3852,_xll.ciqfunctions.udf.CIQ(A3843,"IQ_TOTAL_DEBT_ISSUED",IQ_FY), _xll.ciqfunctions.udf.CIQ(A3843, "IQ_TOTAL_DEBT_ISSUED",IQ_LTM))</f>
        <v>0</v>
      </c>
      <c r="N3853" s="23">
        <f>IF(A3851=A3852,_xll.ciqfunctions.udf.CIQ(A3843,"IQ_TOTAL_DEBT_REPAID",IQ_FY), _xll.ciqfunctions.udf.CIQ(A3843, "IQ_TOTAL_DEBT_REPAID",IQ_LTM))</f>
        <v>0</v>
      </c>
      <c r="O3853" s="21">
        <f t="shared" si="1025"/>
        <v>0</v>
      </c>
      <c r="P3853" s="21">
        <f t="shared" si="1026"/>
        <v>-1.1959517096797512</v>
      </c>
      <c r="Q3853" s="25" t="s">
        <v>45</v>
      </c>
      <c r="S3853" s="45"/>
      <c r="U3853" s="25"/>
      <c r="W3853" s="45"/>
      <c r="Y3853" s="25"/>
      <c r="AA3853" s="45"/>
    </row>
    <row r="3854" spans="1:27">
      <c r="B3854" s="24"/>
      <c r="C3854" s="25" t="s">
        <v>37</v>
      </c>
      <c r="E3854" s="26">
        <f>((D3853/D3848)^(1/5))-1</f>
        <v>-5.7959524100018145E-2</v>
      </c>
      <c r="F3854" s="27">
        <f>((F3853/F3848)^(1/5))-1</f>
        <v>0.49055932499733057</v>
      </c>
      <c r="G3854" s="28"/>
      <c r="H3854" s="27" t="e">
        <f>((H3853/H3848)^(1/5))-1</f>
        <v>#DIV/0!</v>
      </c>
      <c r="I3854" s="27">
        <f>((I3853/I3848)^(1/5))-1</f>
        <v>5.0839673839457422E-2</v>
      </c>
      <c r="J3854" s="27"/>
      <c r="K3854" s="27"/>
      <c r="L3854" s="26">
        <f>((L3853/L3848)^(1/5))-1</f>
        <v>-2.0985319274774188</v>
      </c>
      <c r="M3854" s="26"/>
      <c r="N3854" s="26"/>
      <c r="O3854" s="26"/>
      <c r="P3854" s="26">
        <f>((P3853/P3848)^(1/5))-1</f>
        <v>-2.1288994799806171</v>
      </c>
      <c r="Q3854" s="18"/>
      <c r="R3854" s="36"/>
      <c r="S3854" s="45"/>
      <c r="U3854" s="18"/>
      <c r="V3854" s="36"/>
      <c r="W3854" s="45"/>
      <c r="Y3854" s="18"/>
      <c r="Z3854" s="36"/>
      <c r="AA3854" s="45"/>
    </row>
    <row r="3855" spans="1:27">
      <c r="A3855" s="29"/>
      <c r="B3855" s="30"/>
      <c r="C3855" s="31" t="s">
        <v>38</v>
      </c>
      <c r="D3855" s="29"/>
      <c r="E3855" s="32">
        <f>((D3853/D3843)^(1/10))-1</f>
        <v>-7.5490433027208814E-3</v>
      </c>
      <c r="F3855" s="33">
        <f>((F3853/F3843)^(1/10))-1</f>
        <v>9.1241644205880323E-2</v>
      </c>
      <c r="G3855" s="34"/>
      <c r="H3855" s="33" t="e">
        <f>((H3853/H3843)^(1/10))-1</f>
        <v>#DIV/0!</v>
      </c>
      <c r="I3855" s="33">
        <f>((I3853/I3843)^(1/10))-1</f>
        <v>3.4522997637781661E-2</v>
      </c>
      <c r="J3855" s="33"/>
      <c r="K3855" s="33"/>
      <c r="L3855" s="32">
        <f>((L3853/L3843)^(1/10))-1</f>
        <v>0.47039225884524116</v>
      </c>
      <c r="M3855" s="32"/>
      <c r="N3855" s="32"/>
      <c r="O3855" s="32"/>
      <c r="P3855" s="32">
        <f>((P3853/P3843)^(1/10))-1</f>
        <v>0.47039225884524116</v>
      </c>
      <c r="Q3855" s="40"/>
      <c r="R3855" s="41"/>
      <c r="S3855" s="46"/>
      <c r="U3855" s="40"/>
      <c r="V3855" s="41"/>
      <c r="W3855" s="46"/>
      <c r="Y3855" s="40"/>
      <c r="Z3855" s="41"/>
      <c r="AA3855" s="46"/>
    </row>
    <row r="3856" spans="1:27">
      <c r="B3856" s="24"/>
      <c r="C3856" s="25"/>
      <c r="E3856" s="26"/>
      <c r="F3856" s="27"/>
      <c r="G3856" s="28"/>
      <c r="H3856" s="27"/>
      <c r="I3856" s="27"/>
      <c r="J3856" s="27"/>
      <c r="K3856" s="27"/>
      <c r="L3856" s="26"/>
      <c r="M3856" s="17"/>
      <c r="N3856" s="17"/>
      <c r="O3856" s="17"/>
      <c r="P3856" s="35"/>
      <c r="Q3856" s="18"/>
      <c r="R3856" s="36"/>
    </row>
    <row r="3857" spans="1:27">
      <c r="A3857" s="9" t="s">
        <v>0</v>
      </c>
      <c r="B3857" s="10"/>
      <c r="C3857" s="9" t="s">
        <v>1</v>
      </c>
      <c r="D3857" s="9" t="s">
        <v>2</v>
      </c>
      <c r="E3857" s="9" t="s">
        <v>3</v>
      </c>
      <c r="F3857" s="11" t="s">
        <v>4</v>
      </c>
      <c r="G3857" s="11" t="s">
        <v>5</v>
      </c>
      <c r="H3857" s="9" t="s">
        <v>6</v>
      </c>
      <c r="I3857" s="11" t="s">
        <v>7</v>
      </c>
      <c r="J3857" s="11" t="s">
        <v>8</v>
      </c>
      <c r="K3857" s="11" t="s">
        <v>9</v>
      </c>
      <c r="L3857" s="11" t="s">
        <v>10</v>
      </c>
      <c r="M3857" s="11" t="s">
        <v>11</v>
      </c>
      <c r="N3857" s="11" t="s">
        <v>12</v>
      </c>
      <c r="O3857" s="11" t="s">
        <v>13</v>
      </c>
      <c r="P3857" s="11" t="s">
        <v>14</v>
      </c>
      <c r="Q3857" s="37" t="s">
        <v>15</v>
      </c>
      <c r="R3857" s="42">
        <f>_xll.ciqfunctions.udf.CIQ(A3858,("IQ_LASTSALEPRICE"))</f>
        <v>12.185</v>
      </c>
      <c r="S3857" s="44"/>
      <c r="U3857" s="37" t="s">
        <v>15</v>
      </c>
      <c r="V3857" s="42">
        <f>_xll.ciqfunctions.udf.CIQ(A3858,("IQ_LASTSALEPRICE"))</f>
        <v>12.185</v>
      </c>
      <c r="W3857" s="44"/>
      <c r="Y3857" s="37" t="s">
        <v>15</v>
      </c>
      <c r="Z3857" s="42">
        <f>_xll.ciqfunctions.udf.CIQ(A3858,("IQ_LASTSALEPRICE"))</f>
        <v>12.185</v>
      </c>
      <c r="AA3857" s="44"/>
    </row>
    <row r="3858" spans="1:27">
      <c r="A3858" s="12" t="str">
        <f>Analysis!B259</f>
        <v>NYSE:IONQ</v>
      </c>
      <c r="B3858" s="13">
        <v>1</v>
      </c>
      <c r="C3858" s="14" t="s">
        <v>16</v>
      </c>
      <c r="D3858" s="15" t="e">
        <f>IF(A3866=A3867,_xll.ciqfunctions.udf.CIQ(A3858,"IQ_TOTAL_REV",IQ_FY-10)/I3858,_xll.ciqfunctions.udf.CIQ(A3858, "IQ_TOTAL_REV",IQ_FY-9)/I3858)</f>
        <v>#DIV/0!</v>
      </c>
      <c r="E3858" s="16"/>
      <c r="F3858" s="15">
        <f>IF(A3866=A3867,_xll.ciqfunctions.udf.CIQ(A3858,"IQ_DILUT_EPS_EXCL",IQ_FY-10), _xll.ciqfunctions.udf.CIQ(A3858, "IQ_DILUT_EPS_EXCL",IQ_FY-9))</f>
        <v>0</v>
      </c>
      <c r="G3858" s="15">
        <f>IF(A3866=A3867,_xll.ciqfunctions.udf.CIQ(A3858,"IQ_EBITDA_MARGIN",IQ_FY-10), _xll.ciqfunctions.udf.CIQ(A3858, "IQ_EBITDA_MARGIN",IQ_FY-9))</f>
        <v>0</v>
      </c>
      <c r="H3858" s="15" t="e">
        <f>IF(A3866=A3867,_xll.ciqfunctions.udf.CIQ(A3858,"IQ_TOTAL_DIV_PAID_CF",IQ_FY-10)/-I3858, _xll.ciqfunctions.udf.CIQ(A3858, "IQ_TOTAL_DIV_PAID_CF",IQ_FY-9)/-I3858)</f>
        <v>#DIV/0!</v>
      </c>
      <c r="I3858" s="17">
        <f>IF(A3866=A3867,_xll.ciqfunctions.udf.CIQ(A3858,"IQ_TOTAL_OUTSTANDING_FILING_DATE",IQ_FY-10), _xll.ciqfunctions.udf.CIQ(A3858, "IQ_TOTAL_OUTSTANDING_FILING_DATE",IQ_FY-9))</f>
        <v>0</v>
      </c>
      <c r="J3858" s="17">
        <f>IF(A3866=A3867,_xll.ciqfunctions.udf.CIQ(A3858,"IQ_CASH_OPER",IQ_FY-10), _xll.ciqfunctions.udf.CIQ(A3858, "IQ_CASH_OPER",IQ_FY-9))</f>
        <v>0</v>
      </c>
      <c r="K3858" s="17">
        <f>IF(A3866=A3867,_xll.ciqfunctions.udf.CIQ(A3858,"IQ_CAPEX",IQ_FY-10), _xll.ciqfunctions.udf.CIQ(A3858, "IQ_CAPEX",IQ_FY-9))</f>
        <v>0</v>
      </c>
      <c r="L3858" s="15" t="e">
        <f t="shared" ref="L3858:L3868" si="1028">(J3858+K3858)/I3858</f>
        <v>#DIV/0!</v>
      </c>
      <c r="M3858" s="17">
        <f>IF(A3866=A3867,_xll.ciqfunctions.udf.CIQ(A3858,"IQ_TOTAL_DEBT_ISSUED",IQ_FY-10), _xll.ciqfunctions.udf.CIQ(A3858, "IQ_TOTAL_DEBT_ISSUED",IQ_FY-9))</f>
        <v>0</v>
      </c>
      <c r="N3858" s="17">
        <f>IF(A3866=A3867,_xll.ciqfunctions.udf.CIQ(A3858,"IQ_TOTAL_DEBT_REPAID",IQ_FY-10), _xll.ciqfunctions.udf.CIQ(A3858, "IQ_TOTAL_DEBT_REPAID",IQ_FY-9))</f>
        <v>0</v>
      </c>
      <c r="O3858" s="15" t="e">
        <f t="shared" ref="O3858:O3868" si="1029">(M3858+N3858)/I3858</f>
        <v>#DIV/0!</v>
      </c>
      <c r="P3858" s="15" t="e">
        <f t="shared" ref="P3858:P3868" si="1030">L3858+O3858</f>
        <v>#DIV/0!</v>
      </c>
      <c r="W3858" s="43"/>
      <c r="AA3858" s="43"/>
    </row>
    <row r="3859" spans="1:27">
      <c r="A3859" s="18" t="str">
        <f>_xll.ciqfunctions.udf.CIQ(A3858,"IQ_COMPANY_NAME")</f>
        <v>IonQ, Inc.</v>
      </c>
      <c r="B3859" s="13">
        <v>2</v>
      </c>
      <c r="C3859" s="14" t="s">
        <v>17</v>
      </c>
      <c r="D3859" s="15" t="e">
        <f>IF(A3866=A3867,_xll.ciqfunctions.udf.CIQ(A3858,"IQ_TOTAL_REV",IQ_FY-9)/I3859, _xll.ciqfunctions.udf.CIQ(A3858, "IQ_TOTAL_REV",IQ_FY-8)/I3859)</f>
        <v>#DIV/0!</v>
      </c>
      <c r="E3859" s="16" t="e">
        <f t="shared" ref="E3859:E3868" si="1031">(D3859-D3858)/D3858</f>
        <v>#DIV/0!</v>
      </c>
      <c r="F3859" s="15">
        <f>IF(A3866=A3867,_xll.ciqfunctions.udf.CIQ(A3858,"IQ_DILUT_EPS_EXCL",IQ_FY-9), _xll.ciqfunctions.udf.CIQ(A3858, "IQ_DILUT_EPS_EXCL",IQ_FY-8))</f>
        <v>0</v>
      </c>
      <c r="G3859" s="15">
        <f>IF(A3866=A3867,_xll.ciqfunctions.udf.CIQ(A3858,"IQ_EBITDA_MARGIN",IQ_FY-9), _xll.ciqfunctions.udf.CIQ(A3858, "IQ_EBITDA_MARGIN",IQ_FY-8))</f>
        <v>0</v>
      </c>
      <c r="H3859" s="15" t="e">
        <f>IF(A3866=A3867,_xll.ciqfunctions.udf.CIQ(A3858,"IQ_TOTAL_DIV_PAID_CF",IQ_FY-9)/-I3859, _xll.ciqfunctions.udf.CIQ(A3858, "IQ_TOTAL_DIV_PAID_CF",IQ_FY-8)/-I3859)</f>
        <v>#DIV/0!</v>
      </c>
      <c r="I3859" s="17">
        <f>IF(A3866=A3867,_xll.ciqfunctions.udf.CIQ(A3858,"IQ_TOTAL_OUTSTANDING_FILING_DATE",IQ_FY-9), _xll.ciqfunctions.udf.CIQ(A3858, "IQ_TOTAL_OUTSTANDING_FILING_DATE",IQ_FY-8))</f>
        <v>0</v>
      </c>
      <c r="J3859" s="17">
        <f>IF(A3866=A3867,_xll.ciqfunctions.udf.CIQ(A3858,"IQ_CASH_OPER",IQ_FY-9), _xll.ciqfunctions.udf.CIQ(A3858, "IQ_CASH_OPER",IQ_FY-8))</f>
        <v>0</v>
      </c>
      <c r="K3859" s="17">
        <f>IF(A3866=A3867,_xll.ciqfunctions.udf.CIQ(A3858,"IQ_CAPEX",IQ_FY-9), _xll.ciqfunctions.udf.CIQ(A3858, "IQ_CAPEX",IQ_FY-8))</f>
        <v>0</v>
      </c>
      <c r="L3859" s="15" t="e">
        <f t="shared" si="1028"/>
        <v>#DIV/0!</v>
      </c>
      <c r="M3859" s="17">
        <f>IF(A3866=A3867,_xll.ciqfunctions.udf.CIQ(A3858,"IQ_TOTAL_DEBT_ISSUED",IQ_FY-9), _xll.ciqfunctions.udf.CIQ(A3858, "IQ_TOTAL_DEBT_ISSUED",IQ_FY-8))</f>
        <v>0</v>
      </c>
      <c r="N3859" s="17">
        <f>IF(A3866=A3867,_xll.ciqfunctions.udf.CIQ(A3858,"IQ_TOTAL_DEBT_REPAID",IQ_FY-9), _xll.ciqfunctions.udf.CIQ(A3858, "IQ_TOTAL_DEBT_REPAID",IQ_FY-8))</f>
        <v>0</v>
      </c>
      <c r="O3859" s="15" t="e">
        <f t="shared" si="1029"/>
        <v>#DIV/0!</v>
      </c>
      <c r="P3859" s="15" t="e">
        <f t="shared" si="1030"/>
        <v>#DIV/0!</v>
      </c>
      <c r="Q3859" s="25" t="s">
        <v>18</v>
      </c>
      <c r="R3859" s="39" t="s">
        <v>19</v>
      </c>
      <c r="S3859" s="1" t="e">
        <f>R3857/((AVERAGE(P3863:P3868))*(1+E3869)^3)</f>
        <v>#DIV/0!</v>
      </c>
      <c r="U3859" s="25" t="s">
        <v>48</v>
      </c>
      <c r="V3859" s="39" t="s">
        <v>19</v>
      </c>
      <c r="W3859" s="1" t="e">
        <f>V3857/((AVERAGE(P3863:P3868))*(1+E3869)^3)</f>
        <v>#DIV/0!</v>
      </c>
      <c r="Y3859" s="25" t="s">
        <v>39</v>
      </c>
      <c r="Z3859" s="39" t="s">
        <v>19</v>
      </c>
      <c r="AA3859" s="1" t="e">
        <f>Z3857/((AVERAGE(P3863:P3868))*(1+E3869)^3)</f>
        <v>#DIV/0!</v>
      </c>
    </row>
    <row r="3860" spans="1:27">
      <c r="B3860" s="13">
        <v>3</v>
      </c>
      <c r="C3860" s="14" t="s">
        <v>20</v>
      </c>
      <c r="D3860" s="15" t="e" cm="1">
        <f t="array" ref="D3860">_xlfn.SINGLE(IF(A3866=A3867,_xll.ciqfunctions.udf.CIQ(A3858,"IQ_TOTAL_REV",IQ_FY-8)/I3860, _xll.ciqfunctions.udf.CIQ(A3858, "IQ_TOTAL_REV",IQ_FY-7)/I3860))</f>
        <v>#DIV/0!</v>
      </c>
      <c r="E3860" s="16" t="e">
        <f t="shared" si="1031"/>
        <v>#DIV/0!</v>
      </c>
      <c r="F3860" s="15">
        <f>IF(A3866=A3867,_xll.ciqfunctions.udf.CIQ(A3858,"IQ_DILUT_EPS_EXCL",IQ_FY-8), _xll.ciqfunctions.udf.CIQ(A3858, "IQ_DILUT_EPS_EXCL",IQ_FY-7))</f>
        <v>0</v>
      </c>
      <c r="G3860" s="15">
        <f>IF(A3866=A3867,_xll.ciqfunctions.udf.CIQ(A3858,"IQ_EBITDA_MARGIN",IQ_FY-8), _xll.ciqfunctions.udf.CIQ(A3858, "IQ_EBITDA_MARGIN",IQ_FY-7))</f>
        <v>0</v>
      </c>
      <c r="H3860" s="15" t="e">
        <f>IF(A3866=A3867,_xll.ciqfunctions.udf.CIQ(A3858,"IQ_TOTAL_DIV_PAID_CF",IQ_FY-8)/-I3860, _xll.ciqfunctions.udf.CIQ(A3858, "IQ_TOTAL_DIV_PAID_CF",IQ_FY-7)/-I3860)</f>
        <v>#DIV/0!</v>
      </c>
      <c r="I3860" s="17">
        <f>IF(A3866=A3867,_xll.ciqfunctions.udf.CIQ(A3858,"IQ_TOTAL_OUTSTANDING_FILING_DATE",IQ_FY-8), _xll.ciqfunctions.udf.CIQ(A3858, "IQ_TOTAL_OUTSTANDING_FILING_DATE",IQ_FY-7))</f>
        <v>0</v>
      </c>
      <c r="J3860" s="17">
        <f>IF(A3866=A3867,_xll.ciqfunctions.udf.CIQ(A3858,"IQ_CASH_OPER",IQ_FY-8), _xll.ciqfunctions.udf.CIQ(A3858, "IQ_CASH_OPER",IQ_FY-7))</f>
        <v>0</v>
      </c>
      <c r="K3860" s="17">
        <f>IF(A3866=A3867,_xll.ciqfunctions.udf.CIQ(A3858,"IQ_CAPEX",IQ_FY-8), _xll.ciqfunctions.udf.CIQ(A3858, "IQ_CAPEX",IQ_FY-7))</f>
        <v>0</v>
      </c>
      <c r="L3860" s="15" t="e">
        <f t="shared" si="1028"/>
        <v>#DIV/0!</v>
      </c>
      <c r="M3860" s="17">
        <f>IF(A3866=A3867,_xll.ciqfunctions.udf.CIQ(A3858,"IQ_TOTAL_DEBT_ISSUED",IQ_FY-8), _xll.ciqfunctions.udf.CIQ(A3858, "IQ_TOTAL_DEBT_ISSUED",IQ_FY-7))</f>
        <v>0</v>
      </c>
      <c r="N3860" s="17">
        <f>IF(A3866=A3867,_xll.ciqfunctions.udf.CIQ(A3858,"IQ_TOTAL_DEBT_REPAID",IQ_FY-8), _xll.ciqfunctions.udf.CIQ(A3858, "IQ_TOTAL_DEBT_REPAID",IQ_FY-7))</f>
        <v>0</v>
      </c>
      <c r="O3860" s="15" t="e">
        <f t="shared" si="1029"/>
        <v>#DIV/0!</v>
      </c>
      <c r="P3860" s="15" t="e">
        <f t="shared" si="1030"/>
        <v>#DIV/0!</v>
      </c>
      <c r="Q3860" s="25" t="s">
        <v>21</v>
      </c>
      <c r="R3860" s="38" t="s">
        <v>49</v>
      </c>
      <c r="S3860" s="2">
        <f>(R3857*I3868)/1000</f>
        <v>2.4943256728500001</v>
      </c>
      <c r="U3860" s="25" t="s">
        <v>59</v>
      </c>
      <c r="V3860" s="38" t="s">
        <v>49</v>
      </c>
      <c r="W3860" s="2">
        <f>(V3857*I3868)/1000</f>
        <v>2.4943256728500001</v>
      </c>
      <c r="Y3860" s="25" t="s">
        <v>46</v>
      </c>
      <c r="Z3860" s="38" t="s">
        <v>49</v>
      </c>
      <c r="AA3860" s="2">
        <f>(Z3857*I3868)/1000</f>
        <v>2.4943256728500001</v>
      </c>
    </row>
    <row r="3861" spans="1:27">
      <c r="A3861" s="18"/>
      <c r="B3861" s="13">
        <v>4</v>
      </c>
      <c r="C3861" s="14" t="s">
        <v>22</v>
      </c>
      <c r="D3861" s="15" t="e" cm="1">
        <f t="array" ref="D3861">_xlfn.SINGLE(IF(A3866=A3867,_xll.ciqfunctions.udf.CIQ(A3858,"IQ_TOTAL_REV",IQ_FY-7)/I3861, _xll.ciqfunctions.udf.CIQ(A3858, "IQ_TOTAL_REV",IQ_FY-6)/I3861))</f>
        <v>#DIV/0!</v>
      </c>
      <c r="E3861" s="16" t="e">
        <f t="shared" si="1031"/>
        <v>#DIV/0!</v>
      </c>
      <c r="F3861" s="15">
        <f>IF(A3866=A3867,_xll.ciqfunctions.udf.CIQ(A3858,"IQ_DILUT_EPS_EXCL",IQ_FY-7), _xll.ciqfunctions.udf.CIQ(A3858, "IQ_DILUT_EPS_EXCL",IQ_FY-6))</f>
        <v>0</v>
      </c>
      <c r="G3861" s="15">
        <f>IF(A3866=A3867,_xll.ciqfunctions.udf.CIQ(A3858,"IQ_EBITDA_MARGIN",IQ_FY-7), _xll.ciqfunctions.udf.CIQ(A3858, "IQ_EBITDA_MARGIN",IQ_FY-6))</f>
        <v>0</v>
      </c>
      <c r="H3861" s="15" t="e">
        <f>IF(A3866=A3867,_xll.ciqfunctions.udf.CIQ(A3858,"IQ_TOTAL_DIV_PAID_CF",IQ_FY-7)/-I3861, _xll.ciqfunctions.udf.CIQ(A3858, "IQ_TOTAL_DIV_PAID_CF",IQ_FY-6)/-I3861)</f>
        <v>#DIV/0!</v>
      </c>
      <c r="I3861" s="17">
        <f>IF(A3866=A3867,_xll.ciqfunctions.udf.CIQ(A3858,"IQ_TOTAL_OUTSTANDING_FILING_DATE",IQ_FY-7), _xll.ciqfunctions.udf.CIQ(A3858, "IQ_TOTAL_OUTSTANDING_FILING_DATE",IQ_FY-6))</f>
        <v>0</v>
      </c>
      <c r="J3861" s="17">
        <f>IF(A3866=A3867,_xll.ciqfunctions.udf.CIQ(A3858,"IQ_CASH_OPER",IQ_FY-7), _xll.ciqfunctions.udf.CIQ(A3858, "IQ_CASH_OPER",IQ_FY-6))</f>
        <v>0</v>
      </c>
      <c r="K3861" s="17">
        <f>IF(A3866=A3867,_xll.ciqfunctions.udf.CIQ(A3858,"IQ_CAPEX",IQ_FY-7), _xll.ciqfunctions.udf.CIQ(A3858, "IQ_CAPEX",IQ_FY-6))</f>
        <v>0</v>
      </c>
      <c r="L3861" s="15" t="e">
        <f t="shared" si="1028"/>
        <v>#DIV/0!</v>
      </c>
      <c r="M3861" s="17">
        <f>IF(A3866=A3867,_xll.ciqfunctions.udf.CIQ(A3858,"IQ_TOTAL_DEBT_ISSUED",IQ_FY-7), _xll.ciqfunctions.udf.CIQ(A3858, "IQ_TOTAL_DEBT_ISSUED",IQ_FY-6))</f>
        <v>0</v>
      </c>
      <c r="N3861" s="17">
        <f>IF(A3866=A3867,_xll.ciqfunctions.udf.CIQ(A3858,"IQ_TOTAL_DEBT_REPAID",IQ_FY-7), _xll.ciqfunctions.udf.CIQ(A3858, "IQ_TOTAL_DEBT_REPAID",IQ_FY-6))</f>
        <v>0</v>
      </c>
      <c r="O3861" s="15" t="e">
        <f t="shared" si="1029"/>
        <v>#DIV/0!</v>
      </c>
      <c r="P3861" s="15" t="e">
        <f t="shared" si="1030"/>
        <v>#DIV/0!</v>
      </c>
      <c r="Q3861" s="25" t="s">
        <v>23</v>
      </c>
      <c r="R3861" s="38" t="s">
        <v>24</v>
      </c>
      <c r="S3861" s="1" t="e">
        <f>R3857/(AVERAGE(H3863:H3868)*(1+H3869)/(0.5-H3869))</f>
        <v>#DIV/0!</v>
      </c>
      <c r="U3861" s="25" t="s">
        <v>40</v>
      </c>
      <c r="V3861" s="38" t="s">
        <v>24</v>
      </c>
      <c r="W3861" s="1" t="e">
        <f>V3857/(AVERAGE(H3863:H3868)*(1+H3869)/(0.5-H3869))</f>
        <v>#DIV/0!</v>
      </c>
      <c r="Y3861" s="25" t="s">
        <v>47</v>
      </c>
      <c r="Z3861" s="38" t="s">
        <v>24</v>
      </c>
      <c r="AA3861" s="1" t="e">
        <f>Z3857/(AVERAGE(H3863:H3868)*(1+H3869)/(0.5-H3869))</f>
        <v>#DIV/0!</v>
      </c>
    </row>
    <row r="3862" spans="1:27">
      <c r="B3862" s="13">
        <v>5</v>
      </c>
      <c r="C3862" s="14" t="s">
        <v>25</v>
      </c>
      <c r="D3862" s="15" t="e" cm="1">
        <f t="array" ref="D3862">_xlfn.SINGLE(IF(A3866=A3867,_xll.ciqfunctions.udf.CIQ(A3858,"IQ_TOTAL_REV",IQ_FY-6)/I3862, _xll.ciqfunctions.udf.CIQ(A3858, "IQ_TOTAL_REV",IQ_FY-5)/I3862))</f>
        <v>#DIV/0!</v>
      </c>
      <c r="E3862" s="16" t="e">
        <f t="shared" si="1031"/>
        <v>#DIV/0!</v>
      </c>
      <c r="F3862" s="15">
        <f>IF(A3866=A3867,_xll.ciqfunctions.udf.CIQ(A3858,"IQ_DILUT_EPS_EXCL",IQ_FY-6), _xll.ciqfunctions.udf.CIQ(A3858, "IQ_DILUT_EPS_EXCL",IQ_FY-5))</f>
        <v>0</v>
      </c>
      <c r="G3862" s="15">
        <f>IF(A3866=A3867,_xll.ciqfunctions.udf.CIQ(A3858,"IQ_EBITDA_MARGIN",IQ_FY-6), _xll.ciqfunctions.udf.CIQ(A3858, "IQ_EBITDA_MARGIN",IQ_FY-5))</f>
        <v>0</v>
      </c>
      <c r="H3862" s="15" t="e">
        <f>IF(A3866=A3867,_xll.ciqfunctions.udf.CIQ(A3858,"IQ_TOTAL_DIV_PAID_CF",IQ_FY-6)/-I3862, _xll.ciqfunctions.udf.CIQ(A3858, "IQ_TOTAL_DIV_PAID_CF",IQ_FY-5)/-I3862)</f>
        <v>#DIV/0!</v>
      </c>
      <c r="I3862" s="17">
        <f>IF(A3866=A3867,_xll.ciqfunctions.udf.CIQ(A3858,"IQ_TOTAL_OUTSTANDING_FILING_DATE",IQ_FY-6), _xll.ciqfunctions.udf.CIQ(A3858, "IQ_TOTAL_OUTSTANDING_FILING_DATE",IQ_FY-5))</f>
        <v>0</v>
      </c>
      <c r="J3862" s="17">
        <f>IF(A3866=A3867,_xll.ciqfunctions.udf.CIQ(A3858,"IQ_CASH_OPER",IQ_FY-6), _xll.ciqfunctions.udf.CIQ(A3858, "IQ_CASH_OPER",IQ_FY-5))</f>
        <v>0</v>
      </c>
      <c r="K3862" s="17">
        <f>IF(A3866=A3867,_xll.ciqfunctions.udf.CIQ(A3858,"IQ_CAPEX",IQ_FY-6), _xll.ciqfunctions.udf.CIQ(A3858, "IQ_CAPEX",IQ_FY-5))</f>
        <v>0</v>
      </c>
      <c r="L3862" s="15" t="e">
        <f t="shared" si="1028"/>
        <v>#DIV/0!</v>
      </c>
      <c r="M3862" s="17">
        <f>IF(A3866=A3867,_xll.ciqfunctions.udf.CIQ(A3858,"IQ_TOTAL_DEBT_ISSUED",IQ_FY-6), _xll.ciqfunctions.udf.CIQ(A3858, "IQ_TOTAL_DEBT_ISSUED",IQ_FY-5))</f>
        <v>0</v>
      </c>
      <c r="N3862" s="17">
        <f>IF(A3866=A3867,_xll.ciqfunctions.udf.CIQ(A3858,"IQ_TOTAL_DEBT_REPAID",IQ_FY-6), _xll.ciqfunctions.udf.CIQ(A3858, "IQ_TOTAL_DEBT_REPAID",IQ_FY-5))</f>
        <v>0</v>
      </c>
      <c r="O3862" s="15" t="e">
        <f t="shared" si="1029"/>
        <v>#DIV/0!</v>
      </c>
      <c r="P3862" s="15" t="e">
        <f t="shared" si="1030"/>
        <v>#DIV/0!</v>
      </c>
      <c r="Q3862" s="18"/>
      <c r="R3862" s="38" t="s">
        <v>50</v>
      </c>
      <c r="S3862" s="3" t="e">
        <f>I3869</f>
        <v>#DIV/0!</v>
      </c>
      <c r="U3862" s="18"/>
      <c r="V3862" s="38" t="s">
        <v>50</v>
      </c>
      <c r="W3862" s="3" t="e">
        <f>I3869</f>
        <v>#DIV/0!</v>
      </c>
      <c r="Y3862" s="18"/>
      <c r="Z3862" s="38" t="s">
        <v>50</v>
      </c>
      <c r="AA3862" s="3" t="e">
        <f>I3869</f>
        <v>#DIV/0!</v>
      </c>
    </row>
    <row r="3863" spans="1:27">
      <c r="B3863" s="13">
        <v>6</v>
      </c>
      <c r="C3863" s="14" t="s">
        <v>26</v>
      </c>
      <c r="D3863" s="15" t="e" cm="1">
        <f t="array" ref="D3863">_xlfn.SINGLE(IF(A3866=A3867,_xll.ciqfunctions.udf.CIQ(A3858,"IQ_TOTAL_REV",IQ_FY-5)/I3863, _xll.ciqfunctions.udf.CIQ(A3858, "IQ_TOTAL_REV",IQ_FY-4)/I3863))</f>
        <v>#DIV/0!</v>
      </c>
      <c r="E3863" s="16" t="e">
        <f t="shared" si="1031"/>
        <v>#DIV/0!</v>
      </c>
      <c r="F3863" s="15">
        <f>IF(A3866=A3867,_xll.ciqfunctions.udf.CIQ(A3858,"IQ_DILUT_EPS_EXCL",IQ_FY-5), _xll.ciqfunctions.udf.CIQ(A3858, "IQ_DILUT_EPS_EXCL",IQ_FY-4))</f>
        <v>0</v>
      </c>
      <c r="G3863" s="15">
        <f>IF(A3866=A3867,_xll.ciqfunctions.udf.CIQ(A3858,"IQ_EBITDA_MARGIN",IQ_FY-5), _xll.ciqfunctions.udf.CIQ(A3858, "IQ_EBITDA_MARGIN",IQ_FY-4))</f>
        <v>0</v>
      </c>
      <c r="H3863" s="15" t="e">
        <f>IF(A3866=A3867,_xll.ciqfunctions.udf.CIQ(A3858,"IQ_TOTAL_DIV_PAID_CF",IQ_FY-5)/-I3863, _xll.ciqfunctions.udf.CIQ(A3858, "IQ_TOTAL_DIV_PAID_CF",IQ_FY-4)/-I3863)</f>
        <v>#DIV/0!</v>
      </c>
      <c r="I3863" s="17">
        <f>IF(A3866=A3867,_xll.ciqfunctions.udf.CIQ(A3858,"IQ_TOTAL_OUTSTANDING_FILING_DATE",IQ_FY-5), _xll.ciqfunctions.udf.CIQ(A3858, "IQ_TOTAL_OUTSTANDING_FILING_DATE",IQ_FY-4))</f>
        <v>0</v>
      </c>
      <c r="J3863" s="17">
        <f>IF(A3866=A3867,_xll.ciqfunctions.udf.CIQ(A3858,"IQ_CASH_OPER",IQ_FY-5), _xll.ciqfunctions.udf.CIQ(A3858, "IQ_CASH_OPER",IQ_FY-4))</f>
        <v>0</v>
      </c>
      <c r="K3863" s="17">
        <f>IF(A3866=A3867,_xll.ciqfunctions.udf.CIQ(A3858,"IQ_CAPEX",IQ_FY-5), _xll.ciqfunctions.udf.CIQ(A3858, "IQ_CAPEX",IQ_FY-4))</f>
        <v>0</v>
      </c>
      <c r="L3863" s="15" t="e">
        <f t="shared" si="1028"/>
        <v>#DIV/0!</v>
      </c>
      <c r="M3863" s="17">
        <f>IF(A3866=A3867,_xll.ciqfunctions.udf.CIQ(A3858,"IQ_TOTAL_DEBT_ISSUED",IQ_FY-5), _xll.ciqfunctions.udf.CIQ(A3858, "IQ_TOTAL_DEBT_ISSUED",IQ_FY-4))</f>
        <v>0</v>
      </c>
      <c r="N3863" s="17">
        <f>IF(A3866=A3867,_xll.ciqfunctions.udf.CIQ(A3858,"IQ_TOTAL_DEBT_REPAID",IQ_FY-5), _xll.ciqfunctions.udf.CIQ(A3858, "IQ_TOTAL_DEBT_REPAID",IQ_FY-4))</f>
        <v>0</v>
      </c>
      <c r="O3863" s="15" t="e">
        <f t="shared" si="1029"/>
        <v>#DIV/0!</v>
      </c>
      <c r="P3863" s="15" t="e">
        <f t="shared" si="1030"/>
        <v>#DIV/0!</v>
      </c>
      <c r="Q3863" s="25" t="s">
        <v>27</v>
      </c>
      <c r="R3863" s="38" t="s">
        <v>51</v>
      </c>
      <c r="S3863" s="4" t="e">
        <f>AVERAGE(F3863:F3868)/AVERAGE(D3863:D3868)</f>
        <v>#DIV/0!</v>
      </c>
      <c r="U3863" s="25" t="s">
        <v>58</v>
      </c>
      <c r="V3863" s="38" t="s">
        <v>51</v>
      </c>
      <c r="W3863" s="4" t="e">
        <f>AVERAGE(F3863:F3868)/AVERAGE(D3863:D3868)</f>
        <v>#DIV/0!</v>
      </c>
      <c r="Y3863" s="25" t="s">
        <v>56</v>
      </c>
      <c r="Z3863" s="38" t="s">
        <v>51</v>
      </c>
      <c r="AA3863" s="4" t="e">
        <f>AVERAGE(F3863:F3868)/AVERAGE(D3863:D3868)</f>
        <v>#DIV/0!</v>
      </c>
    </row>
    <row r="3864" spans="1:27">
      <c r="A3864" s="18"/>
      <c r="B3864" s="13">
        <v>7</v>
      </c>
      <c r="C3864" s="14" t="s">
        <v>28</v>
      </c>
      <c r="D3864" s="15" cm="1">
        <f t="array" ref="D3864">_xlfn.SINGLE(IF(A3866=A3867,_xll.ciqfunctions.udf.CIQ(A3858,"IQ_TOTAL_REV",IQ_FY-4)/I3864, _xll.ciqfunctions.udf.CIQ(A3858, "IQ_TOTAL_REV",IQ_FY-3)/I3864))</f>
        <v>5.0197653259710116E-2</v>
      </c>
      <c r="E3864" s="16" t="e">
        <f t="shared" si="1031"/>
        <v>#DIV/0!</v>
      </c>
      <c r="F3864" s="15">
        <f>IF(A3866=A3867,_xll.ciqfunctions.udf.CIQ(A3858,"IQ_DILUT_EPS_EXCL",IQ_FY-4), _xll.ciqfunctions.udf.CIQ(A3858, "IQ_DILUT_EPS_EXCL",IQ_FY-3))</f>
        <v>-2.2425799999999998</v>
      </c>
      <c r="G3864" s="15" t="str">
        <f>IF(A3866=A3867,_xll.ciqfunctions.udf.CIQ(A3858,"IQ_EBITDA_MARGIN",IQ_FY-4), _xll.ciqfunctions.udf.CIQ(A3858, "IQ_EBITDA_MARGIN",IQ_FY-3))</f>
        <v>NM</v>
      </c>
      <c r="H3864" s="15">
        <f>IF(A3866=A3867,_xll.ciqfunctions.udf.CIQ(A3858,"IQ_TOTAL_DIV_PAID_CF",IQ_FY-4)/-I3864, _xll.ciqfunctions.udf.CIQ(A3858, "IQ_TOTAL_DIV_PAID_CF",IQ_FY-3)/-I3864)</f>
        <v>0</v>
      </c>
      <c r="I3864" s="17">
        <f>IF(A3866=A3867,_xll.ciqfunctions.udf.CIQ(A3858,"IQ_TOTAL_OUTSTANDING_FILING_DATE",IQ_FY-4), _xll.ciqfunctions.udf.CIQ(A3858, "IQ_TOTAL_OUTSTANDING_FILING_DATE",IQ_FY-3))</f>
        <v>3.9842499999999998</v>
      </c>
      <c r="J3864" s="17">
        <f>IF(A3866=A3867,_xll.ciqfunctions.udf.CIQ(A3858,"IQ_CASH_OPER",IQ_FY-4), _xll.ciqfunctions.udf.CIQ(A3858, "IQ_CASH_OPER",IQ_FY-3))</f>
        <v>-7.7210000000000001</v>
      </c>
      <c r="K3864" s="17">
        <f>IF(A3866=A3867,_xll.ciqfunctions.udf.CIQ(A3858,"IQ_CAPEX",IQ_FY-4), _xll.ciqfunctions.udf.CIQ(A3858, "IQ_CAPEX",IQ_FY-3))</f>
        <v>-2.4180000000000001</v>
      </c>
      <c r="L3864" s="15">
        <f t="shared" si="1028"/>
        <v>-2.5447700320010038</v>
      </c>
      <c r="M3864" s="17">
        <f>IF(A3866=A3867,_xll.ciqfunctions.udf.CIQ(A3858,"IQ_TOTAL_DEBT_ISSUED",IQ_FY-4), _xll.ciqfunctions.udf.CIQ(A3858, "IQ_TOTAL_DEBT_ISSUED",IQ_FY-3))</f>
        <v>0</v>
      </c>
      <c r="N3864" s="17">
        <f>IF(A3866=A3867,_xll.ciqfunctions.udf.CIQ(A3858,"IQ_TOTAL_DEBT_REPAID",IQ_FY-4), _xll.ciqfunctions.udf.CIQ(A3858, "IQ_TOTAL_DEBT_REPAID",IQ_FY-3))</f>
        <v>0</v>
      </c>
      <c r="O3864" s="15">
        <f t="shared" si="1029"/>
        <v>0</v>
      </c>
      <c r="P3864" s="15">
        <f t="shared" si="1030"/>
        <v>-2.5447700320010038</v>
      </c>
      <c r="Q3864" s="18"/>
      <c r="R3864" s="38" t="s">
        <v>29</v>
      </c>
      <c r="S3864" s="4" t="e">
        <f>(AVERAGE(P3863:P3868)/_xlfn.STDEV.P(P3863:P3868))/(IF(A3866=A3867,(_xlfn.SINGLE(_xll.ciqfunctions.udf.CIQ(A3858,"IQ_total_assets",IQ_FY)) - _xlfn.SINGLE(_xll.ciqfunctions.udf.CIQ(A3858,"iq_gw_intan", IQ_FY)))/I3868, (_xlfn.SINGLE(_xll.ciqfunctions.udf.CIQ(A3858, "IQ_total_assets",IQ_LTM))-_xlfn.SINGLE(_xll.ciqfunctions.udf.CIQ(A3858,"iq_gw_intan",IQ_LTM)))/I3868))</f>
        <v>#DIV/0!</v>
      </c>
      <c r="U3864" s="18"/>
      <c r="V3864" s="38" t="s">
        <v>29</v>
      </c>
      <c r="W3864" s="4" t="e">
        <f>(AVERAGE(P3863:P3868)/_xlfn.STDEV.P(P3863:P3868))/(IF(A3866=A3867,(_xlfn.SINGLE(_xll.ciqfunctions.udf.CIQ(A3858,"IQ_total_assets",IQ_FY)) - _xlfn.SINGLE(_xll.ciqfunctions.udf.CIQ(A3858,"iq_gw_intan", IQ_FY)))/I3868, (_xlfn.SINGLE(_xll.ciqfunctions.udf.CIQ(A3858, "IQ_total_assets",IQ_LTM))-_xlfn.SINGLE(_xll.ciqfunctions.udf.CIQ(A3858,"iq_gw_intan",IQ_LTM)))/I3868))</f>
        <v>#DIV/0!</v>
      </c>
      <c r="Y3864" s="18"/>
      <c r="Z3864" s="38" t="s">
        <v>29</v>
      </c>
      <c r="AA3864" s="4" t="e">
        <f>(AVERAGE(P3863:P3868)/_xlfn.STDEV.P(P3863:P3868))/(IF(A3866=A3867,(_xlfn.SINGLE(_xll.ciqfunctions.udf.CIQ(A3858,"IQ_total_assets",IQ_FY)) - _xlfn.SINGLE(_xll.ciqfunctions.udf.CIQ(A3858,"iq_gw_intan", IQ_FY)))/I3868, (_xlfn.SINGLE(_xll.ciqfunctions.udf.CIQ(A3858, "IQ_total_assets",IQ_LTM))-_xlfn.SINGLE(_xll.ciqfunctions.udf.CIQ(A3858,"iq_gw_intan",IQ_LTM)))/I3868))</f>
        <v>#DIV/0!</v>
      </c>
    </row>
    <row r="3865" spans="1:27">
      <c r="A3865" s="18"/>
      <c r="B3865" s="13">
        <v>8</v>
      </c>
      <c r="C3865" s="14" t="s">
        <v>30</v>
      </c>
      <c r="D3865" s="15" cm="1">
        <f t="array" ref="D3865">_xlfn.SINGLE(IF(A3866=A3867,_xll.ciqfunctions.udf.CIQ(A3858,"IQ_TOTAL_REV",IQ_FY-3)/I3865, _xll.ciqfunctions.udf.CIQ(A3858, "IQ_TOTAL_REV",IQ_FY-2)/I3865))</f>
        <v>0</v>
      </c>
      <c r="E3865" s="16">
        <f t="shared" si="1031"/>
        <v>-1</v>
      </c>
      <c r="F3865" s="15">
        <f>IF(A3866=A3867,_xll.ciqfunctions.udf.CIQ(A3858,"IQ_DILUT_EPS_EXCL",IQ_FY-3), _xll.ciqfunctions.udf.CIQ(A3858, "IQ_DILUT_EPS_EXCL",IQ_FY-2))</f>
        <v>-0.13406999999999999</v>
      </c>
      <c r="G3865" s="15">
        <f>IF(A3866=A3867,_xll.ciqfunctions.udf.CIQ(A3858,"IQ_EBITDA_MARGIN",IQ_FY-3), _xll.ciqfunctions.udf.CIQ(A3858, "IQ_EBITDA_MARGIN",IQ_FY-2))</f>
        <v>0</v>
      </c>
      <c r="H3865" s="15">
        <f>IF(A3866=A3867,_xll.ciqfunctions.udf.CIQ(A3858,"IQ_TOTAL_DIV_PAID_CF",IQ_FY-3)/-I3865, _xll.ciqfunctions.udf.CIQ(A3858, "IQ_TOTAL_DIV_PAID_CF",IQ_FY-2)/-I3865)</f>
        <v>0</v>
      </c>
      <c r="I3865" s="17">
        <f>IF(A3866=A3867,_xll.ciqfunctions.udf.CIQ(A3858,"IQ_TOTAL_OUTSTANDING_FILING_DATE",IQ_FY-3), _xll.ciqfunctions.udf.CIQ(A3858, "IQ_TOTAL_OUTSTANDING_FILING_DATE",IQ_FY-2))</f>
        <v>6.8633600000000001</v>
      </c>
      <c r="J3865" s="17">
        <f>IF(A3866=A3867,_xll.ciqfunctions.udf.CIQ(A3858,"IQ_CASH_OPER",IQ_FY-3), _xll.ciqfunctions.udf.CIQ(A3858, "IQ_CASH_OPER",IQ_FY-2))</f>
        <v>-12.007</v>
      </c>
      <c r="K3865" s="17">
        <f>IF(A3866=A3867,_xll.ciqfunctions.udf.CIQ(A3858,"IQ_CAPEX",IQ_FY-3), _xll.ciqfunctions.udf.CIQ(A3858, "IQ_CAPEX",IQ_FY-2))</f>
        <v>-10.032</v>
      </c>
      <c r="L3865" s="15">
        <f t="shared" si="1028"/>
        <v>-3.2111094274524432</v>
      </c>
      <c r="M3865" s="17">
        <f>IF(A3866=A3867,_xll.ciqfunctions.udf.CIQ(A3858,"IQ_TOTAL_DEBT_ISSUED",IQ_FY-3), _xll.ciqfunctions.udf.CIQ(A3858, "IQ_TOTAL_DEBT_ISSUED",IQ_FY-2))</f>
        <v>0</v>
      </c>
      <c r="N3865" s="17">
        <f>IF(A3866=A3867,_xll.ciqfunctions.udf.CIQ(A3858,"IQ_TOTAL_DEBT_REPAID",IQ_FY-3), _xll.ciqfunctions.udf.CIQ(A3858, "IQ_TOTAL_DEBT_REPAID",IQ_FY-2))</f>
        <v>0</v>
      </c>
      <c r="O3865" s="15">
        <f t="shared" si="1029"/>
        <v>0</v>
      </c>
      <c r="P3865" s="15">
        <f t="shared" si="1030"/>
        <v>-3.2111094274524432</v>
      </c>
      <c r="Q3865" s="18"/>
      <c r="R3865" s="39" t="s">
        <v>31</v>
      </c>
      <c r="S3865" s="5" t="e">
        <f>IF(NOT(D3858&gt;0),FALSE,SLOPE(G3858:G3868,B3858:B3868))</f>
        <v>#DIV/0!</v>
      </c>
      <c r="U3865" s="18"/>
      <c r="V3865" s="39" t="s">
        <v>31</v>
      </c>
      <c r="W3865" s="5" t="e">
        <f>IF(NOT(D3858&gt;0),FALSE,SLOPE(G3858:G3868,B3858:B3868))</f>
        <v>#DIV/0!</v>
      </c>
      <c r="Y3865" s="18"/>
      <c r="Z3865" s="39" t="s">
        <v>31</v>
      </c>
      <c r="AA3865" s="5" t="e">
        <f>IF(NOT(L3858&gt;0),FALSE,SLOPE(O3858:O3868,J3858:J3868))</f>
        <v>#DIV/0!</v>
      </c>
    </row>
    <row r="3866" spans="1:27">
      <c r="A3866" s="19">
        <f>_xll.ciqfunctions.udf.CIQ(A3858,"IQ_TOTAL_REV",IQ_FY)</f>
        <v>11.131</v>
      </c>
      <c r="B3866" s="13">
        <v>9</v>
      </c>
      <c r="C3866" s="14" t="s">
        <v>32</v>
      </c>
      <c r="D3866" s="15" cm="1">
        <f t="array" ref="D3866">_xlfn.SINGLE(IF(A3866=A3867,_xll.ciqfunctions.udf.CIQ(A3858,"IQ_TOTAL_REV",IQ_FY-2)/I3866, _xll.ciqfunctions.udf.CIQ(A3858, "IQ_TOTAL_REV",IQ_FY-1)/I3866))</f>
        <v>1.0618627906330853E-2</v>
      </c>
      <c r="E3866" s="16" t="e">
        <f t="shared" si="1031"/>
        <v>#DIV/0!</v>
      </c>
      <c r="F3866" s="15">
        <f>IF(A3866=A3867,_xll.ciqfunctions.udf.CIQ(A3858,"IQ_DILUT_EPS_EXCL",IQ_FY-2), _xll.ciqfunctions.udf.CIQ(A3858, "IQ_DILUT_EPS_EXCL",IQ_FY-1))</f>
        <v>-0.77164999999999995</v>
      </c>
      <c r="G3866" s="15" t="str">
        <f>IF(A3866=A3867,_xll.ciqfunctions.udf.CIQ(A3858,"IQ_EBITDA_MARGIN",IQ_FY-2), _xll.ciqfunctions.udf.CIQ(A3858, "IQ_EBITDA_MARGIN",IQ_FY-1))</f>
        <v>NM</v>
      </c>
      <c r="H3866" s="15">
        <f>IF(A3866=A3867,_xll.ciqfunctions.udf.CIQ(A3858,"IQ_TOTAL_DIV_PAID_CF",IQ_FY-2)/-I3866, _xll.ciqfunctions.udf.CIQ(A3858, "IQ_TOTAL_DIV_PAID_CF",IQ_FY-1)/-I3866)</f>
        <v>0</v>
      </c>
      <c r="I3866" s="17">
        <f>IF(A3866=A3867,_xll.ciqfunctions.udf.CIQ(A3858,"IQ_TOTAL_OUTSTANDING_FILING_DATE",IQ_FY-2), _xll.ciqfunctions.udf.CIQ(A3858, "IQ_TOTAL_OUTSTANDING_FILING_DATE",IQ_FY-1))</f>
        <v>197.67149000000001</v>
      </c>
      <c r="J3866" s="17">
        <f>IF(A3866=A3867,_xll.ciqfunctions.udf.CIQ(A3858,"IQ_CASH_OPER",IQ_FY-2), _xll.ciqfunctions.udf.CIQ(A3858, "IQ_CASH_OPER",IQ_FY-1))</f>
        <v>-26.536999999999999</v>
      </c>
      <c r="K3866" s="17">
        <f>IF(A3866=A3867,_xll.ciqfunctions.udf.CIQ(A3858,"IQ_CAPEX",IQ_FY-2), _xll.ciqfunctions.udf.CIQ(A3858, "IQ_CAPEX",IQ_FY-1))</f>
        <v>-7.7830000000000004</v>
      </c>
      <c r="L3866" s="15">
        <f t="shared" si="1028"/>
        <v>-0.17362139578145538</v>
      </c>
      <c r="M3866" s="17">
        <f>IF(A3866=A3867,_xll.ciqfunctions.udf.CIQ(A3858,"IQ_TOTAL_DEBT_ISSUED",IQ_FY-2), _xll.ciqfunctions.udf.CIQ(A3858, "IQ_TOTAL_DEBT_ISSUED",IQ_FY-1))</f>
        <v>0</v>
      </c>
      <c r="N3866" s="17">
        <f>IF(A3866=A3867,_xll.ciqfunctions.udf.CIQ(A3858,"IQ_TOTAL_DEBT_REPAID",IQ_FY-2), _xll.ciqfunctions.udf.CIQ(A3858, "IQ_TOTAL_DEBT_REPAID",IQ_FY-1))</f>
        <v>0</v>
      </c>
      <c r="O3866" s="15">
        <f t="shared" si="1029"/>
        <v>0</v>
      </c>
      <c r="P3866" s="15">
        <f t="shared" si="1030"/>
        <v>-0.17362139578145538</v>
      </c>
      <c r="Q3866" s="25" t="s">
        <v>33</v>
      </c>
      <c r="R3866" s="38" t="s">
        <v>52</v>
      </c>
      <c r="S3866" s="4" t="e">
        <f>(AVERAGE(O3863:O3868)/AVERAGE(P3863:P3868))</f>
        <v>#DIV/0!</v>
      </c>
      <c r="U3866" s="25" t="s">
        <v>54</v>
      </c>
      <c r="V3866" s="38" t="s">
        <v>52</v>
      </c>
      <c r="W3866" s="4" t="e">
        <f>(AVERAGE(O3863:O3868)/AVERAGE(P3863:P3868))</f>
        <v>#DIV/0!</v>
      </c>
      <c r="Y3866" s="25" t="s">
        <v>60</v>
      </c>
      <c r="Z3866" s="38" t="s">
        <v>52</v>
      </c>
      <c r="AA3866" s="4" t="e">
        <f>(AVERAGE(O3863:O3868)/AVERAGE(P3863:P3868))</f>
        <v>#DIV/0!</v>
      </c>
    </row>
    <row r="3867" spans="1:27">
      <c r="A3867" s="19">
        <f>_xll.ciqfunctions.udf.CIQ(A3858,"IQ_TOTAL_REV",IQ_LTM)</f>
        <v>19.742999999999999</v>
      </c>
      <c r="B3867" s="13">
        <v>10</v>
      </c>
      <c r="C3867" s="14" t="s">
        <v>34</v>
      </c>
      <c r="D3867" s="15" cm="1">
        <f t="array" ref="D3867">_xlfn.SINGLE(IF(A3866=A3867,_xll.ciqfunctions.udf.CIQ(A3858,"IQ_TOTAL_REV",IQ_FY-1)/I3867, _xll.ciqfunctions.udf.CIQ(A3858, "IQ_TOTAL_REV",IQ_FY)/I3867))</f>
        <v>5.5226596247588203E-2</v>
      </c>
      <c r="E3867" s="16">
        <f t="shared" si="1031"/>
        <v>4.2009164211001284</v>
      </c>
      <c r="F3867" s="15">
        <f>IF(A3866=A3867,_xll.ciqfunctions.udf.CIQ(A3858,"IQ_DILUT_EPS_EXCL",IQ_FY-1), _xll.ciqfunctions.udf.CIQ(A3858, "IQ_DILUT_EPS_EXCL",IQ_FY))</f>
        <v>-0.24534</v>
      </c>
      <c r="G3867" s="15" t="str">
        <f>IF(A3866=A3867,_xll.ciqfunctions.udf.CIQ(A3858,"IQ_EBITDA_MARGIN",IQ_FY-1), _xll.ciqfunctions.udf.CIQ(A3858, "IQ_EBITDA_MARGIN",IQ_FY))</f>
        <v>NM</v>
      </c>
      <c r="H3867" s="15">
        <f>IF(A3866=A3867,_xll.ciqfunctions.udf.CIQ(A3858,"IQ_TOTAL_DIV_PAID_CF",IQ_FY-1)/-I3867, _xll.ciqfunctions.udf.CIQ(A3858, "IQ_TOTAL_DIV_PAID_CF",IQ_FY)/-I3867)</f>
        <v>0</v>
      </c>
      <c r="I3867" s="17">
        <f>IF(A3866=A3867,_xll.ciqfunctions.udf.CIQ(A3858,"IQ_TOTAL_OUTSTANDING_FILING_DATE",IQ_FY-1), _xll.ciqfunctions.udf.CIQ(A3858, "IQ_TOTAL_OUTSTANDING_FILING_DATE",IQ_FY))</f>
        <v>201.55144000000001</v>
      </c>
      <c r="J3867" s="17">
        <f>IF(A3866=A3867,_xll.ciqfunctions.udf.CIQ(A3858,"IQ_CASH_OPER",IQ_FY-1), _xll.ciqfunctions.udf.CIQ(A3858, "IQ_CASH_OPER",IQ_FY))</f>
        <v>-44.698</v>
      </c>
      <c r="K3867" s="17">
        <f>IF(A3866=A3867,_xll.ciqfunctions.udf.CIQ(A3858,"IQ_CAPEX",IQ_FY-1), _xll.ciqfunctions.udf.CIQ(A3858, "IQ_CAPEX",IQ_FY))</f>
        <v>-9.3360000000000003</v>
      </c>
      <c r="L3867" s="15">
        <f t="shared" si="1028"/>
        <v>-0.26809036938659431</v>
      </c>
      <c r="M3867" s="17">
        <f>IF(A3866=A3867,_xll.ciqfunctions.udf.CIQ(A3858,"IQ_TOTAL_DEBT_ISSUED",IQ_FY-1), _xll.ciqfunctions.udf.CIQ(A3858, "IQ_TOTAL_DEBT_ISSUED",IQ_FY))</f>
        <v>0</v>
      </c>
      <c r="N3867" s="17">
        <f>IF(A3866=A3867,_xll.ciqfunctions.udf.CIQ(A3858,"IQ_TOTAL_DEBT_REPAID",IQ_FY-1), _xll.ciqfunctions.udf.CIQ(A3858, "IQ_TOTAL_DEBT_REPAID",IQ_FY))</f>
        <v>0</v>
      </c>
      <c r="O3867" s="15">
        <f t="shared" si="1029"/>
        <v>0</v>
      </c>
      <c r="P3867" s="15">
        <f t="shared" si="1030"/>
        <v>-0.26809036938659431</v>
      </c>
      <c r="Q3867" s="25" t="s">
        <v>44</v>
      </c>
      <c r="R3867" s="38" t="s">
        <v>35</v>
      </c>
      <c r="S3867" s="1" t="str">
        <f>_xll.ciqfunctions.udf.CIQ(A3858,"IQ_TEV_EBITDA")</f>
        <v>NM</v>
      </c>
      <c r="U3867" s="25" t="s">
        <v>55</v>
      </c>
      <c r="V3867" s="38" t="s">
        <v>53</v>
      </c>
      <c r="W3867" s="1" t="e">
        <f>V3857/(AVERAGE(D3863:D3868)/_xlfn.STDEV.P(E3863:E3868))</f>
        <v>#DIV/0!</v>
      </c>
      <c r="Y3867" s="25" t="s">
        <v>57</v>
      </c>
      <c r="Z3867" s="38" t="s">
        <v>53</v>
      </c>
      <c r="AA3867" s="1" t="e">
        <f>Z3857/(AVERAGE(D3863:D3868)/_xlfn.STDEV.P(E3863:E3868))</f>
        <v>#DIV/0!</v>
      </c>
    </row>
    <row r="3868" spans="1:27">
      <c r="B3868" s="13">
        <v>11</v>
      </c>
      <c r="C3868" s="20" t="s">
        <v>36</v>
      </c>
      <c r="D3868" s="21" cm="1">
        <f t="array" ref="D3868">_xlfn.SINGLE(IF(A3866=A3867,_xll.ciqfunctions.udf.CIQ(A3858,"IQ_TOTAL_REV",IQ_FY)/I3868, _xll.ciqfunctions.udf.CIQ(A3858, "IQ_TOTAL_REV",IQ_LTM)/I3868))</f>
        <v>9.6446289118745296E-2</v>
      </c>
      <c r="E3868" s="22">
        <f t="shared" si="1031"/>
        <v>0.74637395153530206</v>
      </c>
      <c r="F3868" s="21">
        <f>IF(A3866=A3867,_xll.ciqfunctions.udf.CIQ(A3858,"IQ_DILUT_EPS_EXCL",IQ_FY), _xll.ciqfunctions.udf.CIQ(A3858, "IQ_DILUT_EPS_EXCL",IQ_LTM))</f>
        <v>-0.66913</v>
      </c>
      <c r="G3868" s="21" t="str">
        <f>IF(A3866=A3867,_xll.ciqfunctions.udf.CIQ(A3858,"IQ_EBITDA_MARGIN",IQ_FY), _xll.ciqfunctions.udf.CIQ(A3858, "IQ_EBITDA_MARGIN",IQ_LTM))</f>
        <v>NM</v>
      </c>
      <c r="H3868" s="21">
        <f>IF(A3866=A3867,_xll.ciqfunctions.udf.CIQ(A3858,"IQ_TOTAL_DIV_PAID_CF",IQ_FY)/-I3868, _xll.ciqfunctions.udf.CIQ(A3858, "IQ_TOTAL_DIV_PAID_CF",IQ_LTM)/-I3868)</f>
        <v>0</v>
      </c>
      <c r="I3868" s="23">
        <f>IF(A3866=A3867,_xll.ciqfunctions.udf.CIQ(A3858,"IQ_TOTAL_OUTSTANDING_FILING_DATE",IQ_FY),_xll.ciqfunctions.udf.CIQ(A3858,"IQ_sharesoutstanding"))</f>
        <v>204.70461</v>
      </c>
      <c r="J3868" s="23">
        <f>IF(A3866=A3867,_xll.ciqfunctions.udf.CIQ(A3858,"IQ_CASH_OPER",IQ_FY), _xll.ciqfunctions.udf.CIQ(A3858, "IQ_CASH_OPER",IQ_LTM))</f>
        <v>-67.093999999999994</v>
      </c>
      <c r="K3868" s="23">
        <f>IF(A3866=A3867,_xll.ciqfunctions.udf.CIQ(A3858,"IQ_CAPEX",IQ_FY), _xll.ciqfunctions.udf.CIQ(A3858, "IQ_CAPEX",IQ_LTM))</f>
        <v>-7.4989999999999997</v>
      </c>
      <c r="L3868" s="21">
        <f t="shared" si="1028"/>
        <v>-0.36439335684721508</v>
      </c>
      <c r="M3868" s="23">
        <f>IF(A3866=A3867,_xll.ciqfunctions.udf.CIQ(A3858,"IQ_TOTAL_DEBT_ISSUED",IQ_FY), _xll.ciqfunctions.udf.CIQ(A3858, "IQ_TOTAL_DEBT_ISSUED",IQ_LTM))</f>
        <v>0</v>
      </c>
      <c r="N3868" s="23">
        <f>IF(A3866=A3867,_xll.ciqfunctions.udf.CIQ(A3858,"IQ_TOTAL_DEBT_REPAID",IQ_FY), _xll.ciqfunctions.udf.CIQ(A3858, "IQ_TOTAL_DEBT_REPAID",IQ_LTM))</f>
        <v>0</v>
      </c>
      <c r="O3868" s="21">
        <f t="shared" si="1029"/>
        <v>0</v>
      </c>
      <c r="P3868" s="21">
        <f t="shared" si="1030"/>
        <v>-0.36439335684721508</v>
      </c>
      <c r="Q3868" s="25" t="s">
        <v>45</v>
      </c>
      <c r="S3868" s="45"/>
      <c r="U3868" s="25"/>
      <c r="W3868" s="45"/>
      <c r="Y3868" s="25"/>
      <c r="AA3868" s="45"/>
    </row>
    <row r="3869" spans="1:27">
      <c r="B3869" s="24"/>
      <c r="C3869" s="25" t="s">
        <v>37</v>
      </c>
      <c r="E3869" s="26" t="e">
        <f>((D3868/D3863)^(1/5))-1</f>
        <v>#DIV/0!</v>
      </c>
      <c r="F3869" s="27" t="e">
        <f>((F3868/F3863)^(1/5))-1</f>
        <v>#DIV/0!</v>
      </c>
      <c r="G3869" s="28"/>
      <c r="H3869" s="27" t="e">
        <f>((H3868/H3863)^(1/5))-1</f>
        <v>#DIV/0!</v>
      </c>
      <c r="I3869" s="27" t="e">
        <f>((I3868/I3863)^(1/5))-1</f>
        <v>#DIV/0!</v>
      </c>
      <c r="J3869" s="27"/>
      <c r="K3869" s="27"/>
      <c r="L3869" s="26" t="e">
        <f>((L3868/L3863)^(1/5))-1</f>
        <v>#DIV/0!</v>
      </c>
      <c r="M3869" s="26"/>
      <c r="N3869" s="26"/>
      <c r="O3869" s="26"/>
      <c r="P3869" s="26" t="e">
        <f>((P3868/P3863)^(1/5))-1</f>
        <v>#DIV/0!</v>
      </c>
      <c r="Q3869" s="18"/>
      <c r="R3869" s="36"/>
      <c r="S3869" s="45"/>
      <c r="U3869" s="18"/>
      <c r="V3869" s="36"/>
      <c r="W3869" s="45"/>
      <c r="Y3869" s="18"/>
      <c r="Z3869" s="36"/>
      <c r="AA3869" s="45"/>
    </row>
    <row r="3870" spans="1:27">
      <c r="A3870" s="29"/>
      <c r="B3870" s="30"/>
      <c r="C3870" s="31" t="s">
        <v>38</v>
      </c>
      <c r="D3870" s="29"/>
      <c r="E3870" s="32" t="e">
        <f>((D3868/D3858)^(1/10))-1</f>
        <v>#DIV/0!</v>
      </c>
      <c r="F3870" s="33" t="e">
        <f>((F3868/F3858)^(1/10))-1</f>
        <v>#DIV/0!</v>
      </c>
      <c r="G3870" s="34"/>
      <c r="H3870" s="33" t="e">
        <f>((H3868/H3858)^(1/10))-1</f>
        <v>#DIV/0!</v>
      </c>
      <c r="I3870" s="33" t="e">
        <f>((I3868/I3858)^(1/10))-1</f>
        <v>#DIV/0!</v>
      </c>
      <c r="J3870" s="33"/>
      <c r="K3870" s="33"/>
      <c r="L3870" s="32" t="e">
        <f>((L3868/L3858)^(1/10))-1</f>
        <v>#DIV/0!</v>
      </c>
      <c r="M3870" s="32"/>
      <c r="N3870" s="32"/>
      <c r="O3870" s="32"/>
      <c r="P3870" s="32" t="e">
        <f>((P3868/P3858)^(1/10))-1</f>
        <v>#DIV/0!</v>
      </c>
      <c r="Q3870" s="40"/>
      <c r="R3870" s="41"/>
      <c r="S3870" s="46"/>
      <c r="U3870" s="40"/>
      <c r="V3870" s="41"/>
      <c r="W3870" s="46"/>
      <c r="Y3870" s="40"/>
      <c r="Z3870" s="41"/>
      <c r="AA3870" s="46"/>
    </row>
    <row r="3871" spans="1:27">
      <c r="B3871" s="24"/>
      <c r="C3871" s="25"/>
      <c r="E3871" s="26"/>
      <c r="F3871" s="27"/>
      <c r="G3871" s="28"/>
      <c r="H3871" s="27"/>
      <c r="I3871" s="27"/>
      <c r="J3871" s="27"/>
      <c r="K3871" s="27"/>
      <c r="L3871" s="26"/>
      <c r="M3871" s="17"/>
      <c r="N3871" s="17"/>
      <c r="O3871" s="17"/>
      <c r="P3871" s="35"/>
      <c r="Q3871" s="18"/>
      <c r="R3871" s="36"/>
    </row>
  </sheetData>
  <sheetProtection algorithmName="SHA-512" hashValue="j9MsABv1vnofBilB5EQfxvSi6oj0sraAcN/DWC/hxSmlYxuEIUJp6uZ+CeHyZmt/0cYpuJRWaFPYrEfOB0pz3A==" saltValue="1M+/tts2tGlDcD4orl6eHg==" spinCount="100000" sheet="1" formatCells="0" formatColumns="0" formatRows="0" insertColumns="0" insertRows="0" insertHyperlinks="0" deleteColumns="0" deleteRows="0" sort="0" autoFilter="0" pivotTables="0"/>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852814-1AC0-4D14-A34F-597343AFCAC8}">
  <dimension ref="A1:AH45"/>
  <sheetViews>
    <sheetView workbookViewId="0">
      <selection activeCell="E9" sqref="E9"/>
    </sheetView>
  </sheetViews>
  <sheetFormatPr defaultColWidth="8.85546875" defaultRowHeight="15"/>
  <cols>
    <col min="1" max="1" width="26.42578125" style="70" bestFit="1" customWidth="1"/>
    <col min="2" max="2" width="6.42578125" style="70" customWidth="1"/>
    <col min="3" max="3" width="10.85546875" hidden="1" customWidth="1"/>
    <col min="4" max="4" width="11.42578125" style="71" customWidth="1"/>
    <col min="5" max="5" width="13.42578125" style="73" customWidth="1"/>
    <col min="6" max="6" width="13.42578125" style="72" customWidth="1"/>
    <col min="7" max="7" width="7" style="70" customWidth="1"/>
    <col min="8" max="8" width="13.28515625" style="70" hidden="1" customWidth="1"/>
    <col min="9" max="9" width="11.85546875" style="70" customWidth="1"/>
    <col min="10" max="11" width="13.42578125" style="72" customWidth="1"/>
    <col min="12" max="12" width="6.85546875" style="70" customWidth="1"/>
    <col min="13" max="13" width="13.28515625" style="70" hidden="1" customWidth="1"/>
    <col min="14" max="14" width="12" style="70" customWidth="1"/>
    <col min="15" max="15" width="10.85546875" style="72" customWidth="1"/>
    <col min="16" max="16" width="12.7109375" style="72" customWidth="1"/>
    <col min="17" max="34" width="8.85546875" style="70"/>
  </cols>
  <sheetData>
    <row r="1" spans="1:23" ht="105">
      <c r="A1" s="74" t="s">
        <v>676</v>
      </c>
      <c r="B1" s="75" t="s">
        <v>677</v>
      </c>
      <c r="C1" s="75" t="s">
        <v>680</v>
      </c>
      <c r="D1" s="76" t="s">
        <v>685</v>
      </c>
      <c r="E1" s="77" t="s">
        <v>841</v>
      </c>
      <c r="F1" s="77" t="s">
        <v>702</v>
      </c>
      <c r="G1" s="78" t="s">
        <v>678</v>
      </c>
      <c r="H1" s="78" t="s">
        <v>680</v>
      </c>
      <c r="I1" s="78" t="s">
        <v>685</v>
      </c>
      <c r="J1" s="79" t="s">
        <v>840</v>
      </c>
      <c r="K1" s="79" t="s">
        <v>702</v>
      </c>
      <c r="L1" s="80" t="s">
        <v>679</v>
      </c>
      <c r="M1" s="80" t="s">
        <v>680</v>
      </c>
      <c r="N1" s="80" t="s">
        <v>685</v>
      </c>
      <c r="O1" s="81" t="s">
        <v>840</v>
      </c>
      <c r="P1" s="81" t="s">
        <v>702</v>
      </c>
      <c r="R1" s="86" t="s">
        <v>802</v>
      </c>
      <c r="S1" s="87"/>
      <c r="T1" s="102" t="s">
        <v>803</v>
      </c>
      <c r="U1" s="102"/>
      <c r="V1" s="103" t="s">
        <v>805</v>
      </c>
      <c r="W1" s="103"/>
    </row>
    <row r="2" spans="1:23" ht="30">
      <c r="A2" s="70" t="s">
        <v>80</v>
      </c>
      <c r="C2" s="62">
        <f>SUM(Analysis!C2:C4)</f>
        <v>319436.5</v>
      </c>
      <c r="D2" s="107">
        <v>319436.5</v>
      </c>
      <c r="E2" s="73">
        <f>D2/$D$8</f>
        <v>3.0786894624029244E-2</v>
      </c>
      <c r="F2" s="72" t="s">
        <v>748</v>
      </c>
      <c r="H2" s="70">
        <f>SUM(Analysis!C72:C75)</f>
        <v>34064.9</v>
      </c>
      <c r="I2" s="107">
        <v>34064.9</v>
      </c>
      <c r="J2" s="73">
        <f>I2/$I$8</f>
        <v>6.8668808948964002E-2</v>
      </c>
      <c r="K2" s="72" t="s">
        <v>743</v>
      </c>
      <c r="M2" s="70">
        <f>SUM(Analysis!C128:C136)</f>
        <v>18809.599999999999</v>
      </c>
      <c r="N2" s="107">
        <v>18809.599999999999</v>
      </c>
      <c r="O2" s="73">
        <f>N2/$N$8</f>
        <v>6.1878304728675476E-2</v>
      </c>
      <c r="R2" s="88">
        <v>1</v>
      </c>
      <c r="S2" s="87" t="s">
        <v>688</v>
      </c>
      <c r="T2" s="102"/>
      <c r="U2" s="102" t="s">
        <v>688</v>
      </c>
      <c r="V2" s="103"/>
      <c r="W2" s="103" t="s">
        <v>688</v>
      </c>
    </row>
    <row r="3" spans="1:23" ht="60">
      <c r="A3" s="70" t="s">
        <v>681</v>
      </c>
      <c r="C3" s="62">
        <f>SUM(Analysis!C5:C9)</f>
        <v>146844.5</v>
      </c>
      <c r="D3" s="107">
        <v>146844.5</v>
      </c>
      <c r="E3" s="73">
        <f t="shared" ref="E3:E7" si="0">D3/$D$8</f>
        <v>1.4152691215995238E-2</v>
      </c>
      <c r="H3" s="70">
        <f>SUM(Analysis!C76:C83)</f>
        <v>73593.5</v>
      </c>
      <c r="I3" s="107">
        <v>81505.599999999991</v>
      </c>
      <c r="J3" s="73">
        <f t="shared" ref="J3:J7" si="1">I3/$I$8</f>
        <v>0.16430086319556728</v>
      </c>
      <c r="K3" s="72" t="s">
        <v>744</v>
      </c>
      <c r="M3" s="70">
        <f>SUM(Analysis!C137:C160)</f>
        <v>66429.7</v>
      </c>
      <c r="N3" s="107">
        <v>66429.7</v>
      </c>
      <c r="O3" s="73">
        <f>N3/$N$8</f>
        <v>0.21853506824358271</v>
      </c>
      <c r="P3" s="72" t="s">
        <v>773</v>
      </c>
      <c r="R3" s="88">
        <v>2</v>
      </c>
      <c r="S3" s="87" t="s">
        <v>749</v>
      </c>
      <c r="T3" s="102"/>
      <c r="U3" s="102" t="s">
        <v>705</v>
      </c>
      <c r="V3" s="103"/>
      <c r="W3" s="103" t="s">
        <v>705</v>
      </c>
    </row>
    <row r="4" spans="1:23" ht="30">
      <c r="A4" s="70" t="s">
        <v>682</v>
      </c>
      <c r="C4" s="62">
        <f>SUM(Analysis!C10:C18)</f>
        <v>341731.89999999991</v>
      </c>
      <c r="D4" s="107">
        <v>341731.89999999997</v>
      </c>
      <c r="E4" s="73">
        <f t="shared" si="0"/>
        <v>3.2935697689429035E-2</v>
      </c>
      <c r="F4" s="72" t="s">
        <v>742</v>
      </c>
      <c r="H4" s="70">
        <f>SUM(Analysis!C84:C87)</f>
        <v>44925.7</v>
      </c>
      <c r="I4" s="107">
        <v>44925.700000000004</v>
      </c>
      <c r="J4" s="73">
        <f t="shared" si="1"/>
        <v>9.056225939892594E-2</v>
      </c>
      <c r="K4" s="72" t="s">
        <v>761</v>
      </c>
      <c r="M4" s="70">
        <f>SUM(Analysis!C161:C168)</f>
        <v>20467.3</v>
      </c>
      <c r="N4" s="107">
        <v>20467.3</v>
      </c>
      <c r="O4" s="73">
        <f t="shared" ref="O4:O7" si="2">N4/$N$8</f>
        <v>6.7331672463700434E-2</v>
      </c>
      <c r="P4" s="72" t="s">
        <v>747</v>
      </c>
      <c r="R4" s="88">
        <v>3</v>
      </c>
      <c r="S4" s="87" t="s">
        <v>750</v>
      </c>
      <c r="T4" s="102"/>
      <c r="U4" s="102" t="s">
        <v>801</v>
      </c>
      <c r="V4" s="103"/>
      <c r="W4" s="103" t="s">
        <v>706</v>
      </c>
    </row>
    <row r="5" spans="1:23" ht="45">
      <c r="A5" s="70" t="s">
        <v>683</v>
      </c>
      <c r="C5" s="62">
        <f>SUM(Analysis!C19:C38)</f>
        <v>2598845.6</v>
      </c>
      <c r="D5" s="107">
        <v>2598845.5999999996</v>
      </c>
      <c r="E5" s="73">
        <f t="shared" si="0"/>
        <v>0.25047352331784895</v>
      </c>
      <c r="F5" s="91" t="s">
        <v>842</v>
      </c>
      <c r="H5" s="70">
        <f>SUM(Analysis!C88:C96)</f>
        <v>70369.600000000006</v>
      </c>
      <c r="I5" s="107">
        <v>70369.600000000006</v>
      </c>
      <c r="J5" s="73">
        <f t="shared" si="1"/>
        <v>0.14185265825571242</v>
      </c>
      <c r="K5" s="72" t="s">
        <v>745</v>
      </c>
      <c r="M5" s="70">
        <f>SUM(Analysis!C169:C193)</f>
        <v>56032.799999999996</v>
      </c>
      <c r="N5" s="107">
        <v>56032.80000000001</v>
      </c>
      <c r="O5" s="73">
        <f t="shared" si="2"/>
        <v>0.1843321853309442</v>
      </c>
      <c r="P5" s="72" t="s">
        <v>767</v>
      </c>
      <c r="R5" s="88">
        <v>4</v>
      </c>
      <c r="S5" s="87" t="s">
        <v>751</v>
      </c>
      <c r="T5" s="102"/>
      <c r="U5" s="102" t="s">
        <v>706</v>
      </c>
      <c r="V5" s="103"/>
      <c r="W5" s="103" t="s">
        <v>689</v>
      </c>
    </row>
    <row r="6" spans="1:23" ht="90">
      <c r="A6" s="70" t="s">
        <v>684</v>
      </c>
      <c r="C6" s="62">
        <f>SUM(Analysis!C39:C64)</f>
        <v>4106794.7999999989</v>
      </c>
      <c r="D6" s="107">
        <v>4106794.7999999989</v>
      </c>
      <c r="E6" s="73">
        <f t="shared" si="0"/>
        <v>0.39580780139436544</v>
      </c>
      <c r="F6" s="91" t="s">
        <v>844</v>
      </c>
      <c r="H6" s="70">
        <f>SUM(Analysis!C97:C124)</f>
        <v>241933.90000000005</v>
      </c>
      <c r="I6" s="107">
        <v>241933.9</v>
      </c>
      <c r="J6" s="73">
        <f t="shared" si="1"/>
        <v>0.48769592035725223</v>
      </c>
      <c r="K6" s="72" t="s">
        <v>746</v>
      </c>
      <c r="M6" s="70">
        <f>SUM(Analysis!C194:C255)</f>
        <v>165191.40000000002</v>
      </c>
      <c r="N6" s="107">
        <v>134979.79999999999</v>
      </c>
      <c r="O6" s="73">
        <f t="shared" si="2"/>
        <v>0.44404565735665136</v>
      </c>
      <c r="P6" s="72" t="s">
        <v>768</v>
      </c>
      <c r="R6" s="88">
        <v>5</v>
      </c>
      <c r="S6" s="87" t="s">
        <v>706</v>
      </c>
      <c r="T6" s="102"/>
      <c r="U6" s="102" t="s">
        <v>754</v>
      </c>
      <c r="V6" s="103"/>
      <c r="W6" s="103" t="s">
        <v>758</v>
      </c>
    </row>
    <row r="7" spans="1:23" ht="30">
      <c r="A7" s="70" t="s">
        <v>64</v>
      </c>
      <c r="C7" s="62">
        <f>SUM(Analysis!C65:C70)</f>
        <v>2862076.4999999995</v>
      </c>
      <c r="D7" s="107">
        <v>2862076.4999999995</v>
      </c>
      <c r="E7" s="73">
        <f t="shared" si="0"/>
        <v>0.275843391758332</v>
      </c>
      <c r="F7" s="91" t="s">
        <v>843</v>
      </c>
      <c r="H7" s="70">
        <f>SUM(Analysis!C125:C126)</f>
        <v>23275.599999999999</v>
      </c>
      <c r="I7" s="107">
        <v>23275.599999999999</v>
      </c>
      <c r="J7" s="73">
        <f t="shared" si="1"/>
        <v>4.6919489843578181E-2</v>
      </c>
      <c r="M7" s="70">
        <f>SUM(Analysis!C256:C259)</f>
        <v>7258.0999999999995</v>
      </c>
      <c r="N7" s="107">
        <v>7258.1</v>
      </c>
      <c r="O7" s="73">
        <f t="shared" si="2"/>
        <v>2.3877111876446044E-2</v>
      </c>
      <c r="R7" s="88">
        <v>6</v>
      </c>
      <c r="S7" s="87" t="s">
        <v>752</v>
      </c>
      <c r="T7" s="102"/>
      <c r="U7" s="102" t="s">
        <v>689</v>
      </c>
      <c r="V7" s="103"/>
      <c r="W7" s="103" t="s">
        <v>710</v>
      </c>
    </row>
    <row r="8" spans="1:23">
      <c r="A8"/>
      <c r="D8" s="107">
        <f>SUM(D2:D7)</f>
        <v>10375729.799999999</v>
      </c>
      <c r="I8" s="107">
        <f>SUM(I2:I7)</f>
        <v>496075.3</v>
      </c>
      <c r="N8" s="107">
        <f>SUM(N2:N7)</f>
        <v>303977.29999999993</v>
      </c>
      <c r="R8" s="88">
        <v>7</v>
      </c>
      <c r="S8" s="87" t="s">
        <v>707</v>
      </c>
      <c r="T8" s="102"/>
      <c r="U8" s="102" t="s">
        <v>758</v>
      </c>
      <c r="V8" s="103"/>
      <c r="W8" s="103" t="s">
        <v>763</v>
      </c>
    </row>
    <row r="9" spans="1:23">
      <c r="A9"/>
      <c r="R9" s="88">
        <v>8</v>
      </c>
      <c r="S9" s="87" t="s">
        <v>753</v>
      </c>
      <c r="T9" s="102"/>
      <c r="U9" s="102" t="s">
        <v>710</v>
      </c>
      <c r="V9" s="103"/>
      <c r="W9" s="103" t="s">
        <v>764</v>
      </c>
    </row>
    <row r="10" spans="1:23">
      <c r="A10"/>
      <c r="R10" s="88">
        <v>9</v>
      </c>
      <c r="S10" s="87" t="s">
        <v>754</v>
      </c>
      <c r="T10" s="102"/>
      <c r="U10" s="102" t="s">
        <v>762</v>
      </c>
      <c r="V10" s="103"/>
      <c r="W10" s="103" t="s">
        <v>714</v>
      </c>
    </row>
    <row r="11" spans="1:23">
      <c r="A11"/>
      <c r="R11" s="88">
        <v>10</v>
      </c>
      <c r="S11" s="87" t="s">
        <v>755</v>
      </c>
      <c r="T11" s="102"/>
      <c r="U11" s="102" t="s">
        <v>763</v>
      </c>
      <c r="V11" s="103"/>
      <c r="W11" s="103" t="s">
        <v>765</v>
      </c>
    </row>
    <row r="12" spans="1:23">
      <c r="A12"/>
      <c r="R12" s="88">
        <v>11</v>
      </c>
      <c r="S12" s="87" t="s">
        <v>756</v>
      </c>
      <c r="T12" s="102"/>
      <c r="U12" s="102" t="s">
        <v>713</v>
      </c>
      <c r="V12" s="103"/>
      <c r="W12" s="103" t="s">
        <v>715</v>
      </c>
    </row>
    <row r="13" spans="1:23">
      <c r="R13" s="88">
        <v>12</v>
      </c>
      <c r="S13" s="87" t="s">
        <v>757</v>
      </c>
      <c r="T13" s="102"/>
      <c r="U13" s="102" t="s">
        <v>764</v>
      </c>
      <c r="V13" s="103"/>
      <c r="W13" s="103" t="s">
        <v>687</v>
      </c>
    </row>
    <row r="14" spans="1:23">
      <c r="R14" s="88">
        <v>13</v>
      </c>
      <c r="S14" s="87" t="s">
        <v>689</v>
      </c>
      <c r="T14" s="102"/>
      <c r="U14" s="102" t="s">
        <v>714</v>
      </c>
      <c r="V14" s="103"/>
      <c r="W14" s="103" t="s">
        <v>769</v>
      </c>
    </row>
    <row r="15" spans="1:23">
      <c r="R15" s="88">
        <v>14</v>
      </c>
      <c r="S15" s="87" t="s">
        <v>758</v>
      </c>
      <c r="T15" s="102"/>
      <c r="U15" s="102" t="s">
        <v>765</v>
      </c>
      <c r="V15" s="103"/>
      <c r="W15" s="103" t="s">
        <v>770</v>
      </c>
    </row>
    <row r="16" spans="1:23" ht="120">
      <c r="R16" s="88">
        <v>15</v>
      </c>
      <c r="S16" s="87" t="s">
        <v>708</v>
      </c>
      <c r="T16" s="102"/>
      <c r="U16" s="102" t="s">
        <v>715</v>
      </c>
      <c r="V16" s="103" t="s">
        <v>839</v>
      </c>
      <c r="W16" s="103" t="s">
        <v>749</v>
      </c>
    </row>
    <row r="17" spans="14:23">
      <c r="R17" s="88">
        <v>16</v>
      </c>
      <c r="S17" s="87" t="s">
        <v>759</v>
      </c>
      <c r="T17" s="102"/>
      <c r="U17" s="102" t="s">
        <v>687</v>
      </c>
      <c r="V17" s="103"/>
      <c r="W17" s="103" t="s">
        <v>752</v>
      </c>
    </row>
    <row r="18" spans="14:23">
      <c r="R18" s="88">
        <v>17</v>
      </c>
      <c r="S18" s="87" t="s">
        <v>709</v>
      </c>
      <c r="T18" s="102"/>
      <c r="U18" s="102" t="s">
        <v>769</v>
      </c>
      <c r="V18" s="103"/>
      <c r="W18" s="103" t="s">
        <v>709</v>
      </c>
    </row>
    <row r="19" spans="14:23">
      <c r="R19" s="88">
        <v>18</v>
      </c>
      <c r="S19" s="87" t="s">
        <v>710</v>
      </c>
      <c r="T19" s="102"/>
      <c r="U19" s="102" t="s">
        <v>770</v>
      </c>
      <c r="V19" s="103"/>
      <c r="W19" s="103" t="s">
        <v>713</v>
      </c>
    </row>
    <row r="20" spans="14:23">
      <c r="R20" s="88">
        <v>19</v>
      </c>
      <c r="S20" s="87" t="s">
        <v>760</v>
      </c>
      <c r="T20" s="102"/>
      <c r="U20" s="102" t="s">
        <v>772</v>
      </c>
      <c r="V20" s="103"/>
      <c r="W20" s="103" t="s">
        <v>751</v>
      </c>
    </row>
    <row r="21" spans="14:23">
      <c r="R21" s="88">
        <v>20</v>
      </c>
      <c r="S21" s="87" t="s">
        <v>711</v>
      </c>
      <c r="T21" s="72"/>
      <c r="W21" s="72"/>
    </row>
    <row r="22" spans="14:23">
      <c r="R22" s="88">
        <v>21</v>
      </c>
      <c r="S22" s="87" t="s">
        <v>712</v>
      </c>
      <c r="T22" s="72"/>
    </row>
    <row r="23" spans="14:23">
      <c r="R23" s="88">
        <v>22</v>
      </c>
      <c r="S23" s="87" t="s">
        <v>762</v>
      </c>
      <c r="T23" s="72"/>
    </row>
    <row r="24" spans="14:23">
      <c r="R24" s="88">
        <v>23</v>
      </c>
      <c r="S24" s="87" t="s">
        <v>763</v>
      </c>
      <c r="T24" s="72"/>
    </row>
    <row r="25" spans="14:23">
      <c r="R25" s="88">
        <v>24</v>
      </c>
      <c r="S25" s="87" t="s">
        <v>713</v>
      </c>
      <c r="T25" s="72"/>
    </row>
    <row r="26" spans="14:23">
      <c r="R26" s="88">
        <v>25</v>
      </c>
      <c r="S26" s="87" t="s">
        <v>764</v>
      </c>
      <c r="T26" s="72"/>
    </row>
    <row r="27" spans="14:23">
      <c r="R27" s="88">
        <v>26</v>
      </c>
      <c r="S27" s="87" t="s">
        <v>714</v>
      </c>
      <c r="T27" s="72"/>
    </row>
    <row r="28" spans="14:23">
      <c r="N28"/>
      <c r="R28" s="88">
        <v>27</v>
      </c>
      <c r="S28" s="87" t="s">
        <v>765</v>
      </c>
      <c r="T28" s="72"/>
    </row>
    <row r="29" spans="14:23">
      <c r="R29" s="88">
        <v>28</v>
      </c>
      <c r="S29" s="87" t="s">
        <v>766</v>
      </c>
      <c r="T29" s="72"/>
    </row>
    <row r="30" spans="14:23">
      <c r="R30" s="88">
        <v>29</v>
      </c>
      <c r="S30" s="87" t="s">
        <v>715</v>
      </c>
      <c r="T30" s="72"/>
    </row>
    <row r="31" spans="14:23">
      <c r="R31" s="88">
        <v>30</v>
      </c>
      <c r="S31" s="87" t="s">
        <v>687</v>
      </c>
      <c r="T31" s="72"/>
    </row>
    <row r="32" spans="14:23">
      <c r="R32" s="88">
        <v>31</v>
      </c>
      <c r="S32" s="87" t="s">
        <v>769</v>
      </c>
      <c r="T32" s="72"/>
    </row>
    <row r="33" spans="11:34">
      <c r="R33" s="88">
        <v>32</v>
      </c>
      <c r="S33" s="87" t="s">
        <v>770</v>
      </c>
      <c r="T33" s="72"/>
    </row>
    <row r="34" spans="11:34">
      <c r="R34" s="88">
        <v>33</v>
      </c>
      <c r="S34" s="87" t="s">
        <v>771</v>
      </c>
      <c r="T34" s="72"/>
    </row>
    <row r="35" spans="11:34">
      <c r="R35" s="88">
        <v>34</v>
      </c>
      <c r="S35" s="87" t="s">
        <v>772</v>
      </c>
      <c r="T35" s="72"/>
    </row>
    <row r="36" spans="11:34" ht="45">
      <c r="R36" s="82" t="s">
        <v>698</v>
      </c>
      <c r="S36" s="82" t="s">
        <v>774</v>
      </c>
      <c r="T36" s="71">
        <v>4.09</v>
      </c>
    </row>
    <row r="37" spans="11:34">
      <c r="R37" s="82"/>
      <c r="S37" s="82" t="s">
        <v>775</v>
      </c>
      <c r="T37" s="71">
        <v>3.96</v>
      </c>
    </row>
    <row r="38" spans="11:34">
      <c r="R38" s="82"/>
      <c r="S38" s="82" t="s">
        <v>776</v>
      </c>
      <c r="T38" s="71">
        <v>4.25</v>
      </c>
    </row>
    <row r="39" spans="11:34">
      <c r="R39" s="82"/>
      <c r="S39" s="82" t="s">
        <v>777</v>
      </c>
      <c r="T39" s="71">
        <v>3.53</v>
      </c>
    </row>
    <row r="40" spans="11:34">
      <c r="R40" s="82"/>
      <c r="S40" s="82" t="s">
        <v>778</v>
      </c>
      <c r="T40" s="71">
        <v>3.85</v>
      </c>
    </row>
    <row r="41" spans="11:34" ht="105">
      <c r="R41" s="82"/>
      <c r="S41" s="82" t="s">
        <v>703</v>
      </c>
      <c r="T41" s="72"/>
    </row>
    <row r="42" spans="11:34">
      <c r="R42" s="82"/>
      <c r="S42" s="82" t="s">
        <v>699</v>
      </c>
      <c r="T42" s="72"/>
    </row>
    <row r="43" spans="11:34">
      <c r="R43" s="82"/>
      <c r="S43" s="82" t="s">
        <v>700</v>
      </c>
      <c r="T43" s="72"/>
    </row>
    <row r="44" spans="11:34">
      <c r="R44" s="82"/>
      <c r="S44" s="82" t="s">
        <v>701</v>
      </c>
      <c r="T44" s="72"/>
    </row>
    <row r="45" spans="11:34">
      <c r="K45" s="70"/>
      <c r="N45" s="72"/>
      <c r="P45" s="70"/>
      <c r="AH45"/>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39A918-F434-4C79-A22A-1BCB842242A5}">
  <dimension ref="A1:AJ95"/>
  <sheetViews>
    <sheetView topLeftCell="A6" zoomScale="70" zoomScaleNormal="70" workbookViewId="0">
      <pane xSplit="2" topLeftCell="C1" activePane="topRight" state="frozen"/>
      <selection pane="topRight" activeCell="C11" sqref="C11"/>
    </sheetView>
  </sheetViews>
  <sheetFormatPr defaultColWidth="8.85546875" defaultRowHeight="15"/>
  <sheetData>
    <row r="1" spans="1:36" ht="30">
      <c r="A1" s="85" t="s">
        <v>736</v>
      </c>
    </row>
    <row r="2" spans="1:36">
      <c r="A2" t="s">
        <v>837</v>
      </c>
    </row>
    <row r="3" spans="1:36">
      <c r="A3" s="83" t="s">
        <v>800</v>
      </c>
    </row>
    <row r="4" spans="1:36">
      <c r="A4" t="s">
        <v>799</v>
      </c>
    </row>
    <row r="6" spans="1:36">
      <c r="A6" s="83" t="s">
        <v>734</v>
      </c>
    </row>
    <row r="7" spans="1:36" ht="132.75" thickBot="1">
      <c r="B7" s="92" t="s">
        <v>704</v>
      </c>
      <c r="C7" s="94" t="s">
        <v>720</v>
      </c>
      <c r="D7" s="94" t="s">
        <v>779</v>
      </c>
      <c r="E7" s="94" t="s">
        <v>721</v>
      </c>
      <c r="F7" s="94" t="s">
        <v>780</v>
      </c>
      <c r="G7" s="94" t="s">
        <v>722</v>
      </c>
      <c r="H7" s="94" t="s">
        <v>781</v>
      </c>
      <c r="I7" s="94" t="s">
        <v>723</v>
      </c>
      <c r="J7" s="94" t="s">
        <v>782</v>
      </c>
      <c r="K7" s="94" t="s">
        <v>783</v>
      </c>
      <c r="L7" s="94" t="s">
        <v>784</v>
      </c>
      <c r="M7" s="94" t="s">
        <v>785</v>
      </c>
      <c r="N7" s="94" t="s">
        <v>786</v>
      </c>
      <c r="O7" s="94" t="s">
        <v>724</v>
      </c>
      <c r="P7" s="94" t="s">
        <v>787</v>
      </c>
      <c r="Q7" s="94" t="s">
        <v>725</v>
      </c>
      <c r="R7" s="94" t="s">
        <v>788</v>
      </c>
      <c r="S7" s="94" t="s">
        <v>726</v>
      </c>
      <c r="T7" s="94" t="s">
        <v>727</v>
      </c>
      <c r="U7" s="94" t="s">
        <v>789</v>
      </c>
      <c r="V7" s="94" t="s">
        <v>728</v>
      </c>
      <c r="W7" s="94" t="s">
        <v>729</v>
      </c>
      <c r="X7" s="94" t="s">
        <v>790</v>
      </c>
      <c r="Y7" s="94" t="s">
        <v>791</v>
      </c>
      <c r="Z7" s="94" t="s">
        <v>730</v>
      </c>
      <c r="AA7" s="94" t="s">
        <v>792</v>
      </c>
      <c r="AB7" s="94" t="s">
        <v>731</v>
      </c>
      <c r="AC7" s="94" t="s">
        <v>793</v>
      </c>
      <c r="AD7" s="94" t="s">
        <v>794</v>
      </c>
      <c r="AE7" s="94" t="s">
        <v>732</v>
      </c>
      <c r="AF7" s="94" t="s">
        <v>733</v>
      </c>
      <c r="AG7" s="94" t="s">
        <v>795</v>
      </c>
      <c r="AH7" s="94" t="s">
        <v>796</v>
      </c>
      <c r="AI7" s="94" t="s">
        <v>797</v>
      </c>
      <c r="AJ7" s="94" t="s">
        <v>798</v>
      </c>
    </row>
    <row r="8" spans="1:36" ht="17.25" thickBot="1">
      <c r="B8" s="92" t="s">
        <v>614</v>
      </c>
      <c r="C8" s="94" t="s">
        <v>688</v>
      </c>
      <c r="D8" s="99" t="s">
        <v>749</v>
      </c>
      <c r="E8" s="94" t="s">
        <v>705</v>
      </c>
      <c r="F8" s="94" t="s">
        <v>751</v>
      </c>
      <c r="G8" s="94" t="s">
        <v>706</v>
      </c>
      <c r="H8" s="99" t="s">
        <v>752</v>
      </c>
      <c r="I8" s="99" t="s">
        <v>707</v>
      </c>
      <c r="J8" s="99" t="s">
        <v>753</v>
      </c>
      <c r="K8" s="94" t="s">
        <v>754</v>
      </c>
      <c r="L8" s="99" t="s">
        <v>755</v>
      </c>
      <c r="M8" s="99" t="s">
        <v>756</v>
      </c>
      <c r="N8" s="99" t="s">
        <v>757</v>
      </c>
      <c r="O8" s="94" t="s">
        <v>689</v>
      </c>
      <c r="P8" s="94" t="s">
        <v>758</v>
      </c>
      <c r="Q8" s="99" t="s">
        <v>708</v>
      </c>
      <c r="R8" s="99" t="s">
        <v>759</v>
      </c>
      <c r="S8" s="99" t="s">
        <v>709</v>
      </c>
      <c r="T8" s="94" t="s">
        <v>710</v>
      </c>
      <c r="U8" s="99" t="s">
        <v>760</v>
      </c>
      <c r="V8" s="99" t="s">
        <v>711</v>
      </c>
      <c r="W8" s="99" t="s">
        <v>712</v>
      </c>
      <c r="X8" s="94" t="s">
        <v>762</v>
      </c>
      <c r="Y8" s="94" t="s">
        <v>763</v>
      </c>
      <c r="Z8" s="94" t="s">
        <v>713</v>
      </c>
      <c r="AA8" s="94" t="s">
        <v>764</v>
      </c>
      <c r="AB8" s="94" t="s">
        <v>714</v>
      </c>
      <c r="AC8" s="94" t="s">
        <v>765</v>
      </c>
      <c r="AD8" s="99" t="s">
        <v>766</v>
      </c>
      <c r="AE8" s="94" t="s">
        <v>715</v>
      </c>
      <c r="AF8" s="94" t="s">
        <v>687</v>
      </c>
      <c r="AG8" s="94" t="s">
        <v>769</v>
      </c>
      <c r="AH8" s="94" t="s">
        <v>770</v>
      </c>
      <c r="AI8" s="99" t="s">
        <v>771</v>
      </c>
      <c r="AJ8" s="94" t="s">
        <v>772</v>
      </c>
    </row>
    <row r="9" spans="1:36" ht="17.25" thickBot="1">
      <c r="B9" s="93" t="s">
        <v>691</v>
      </c>
      <c r="C9" s="95">
        <v>0.45</v>
      </c>
      <c r="D9" s="95">
        <v>0.57999999999999996</v>
      </c>
      <c r="E9" s="95">
        <v>0.35</v>
      </c>
      <c r="F9" s="95">
        <v>0.55000000000000004</v>
      </c>
      <c r="G9" s="95">
        <v>0.41</v>
      </c>
      <c r="H9" s="95">
        <v>0.18</v>
      </c>
      <c r="I9" s="95">
        <v>0.73</v>
      </c>
      <c r="J9" s="95">
        <v>0.42</v>
      </c>
      <c r="K9" s="95">
        <v>0.47</v>
      </c>
      <c r="L9" s="95">
        <v>0.7</v>
      </c>
      <c r="M9" s="95">
        <v>0.7</v>
      </c>
      <c r="N9" s="95">
        <v>0.66</v>
      </c>
      <c r="O9" s="95">
        <v>0.51</v>
      </c>
      <c r="P9" s="95">
        <v>0.59</v>
      </c>
      <c r="Q9" s="95">
        <v>0.53</v>
      </c>
      <c r="R9" s="95">
        <v>0.52</v>
      </c>
      <c r="S9" s="95">
        <v>0.36</v>
      </c>
      <c r="T9" s="95">
        <v>0.4</v>
      </c>
      <c r="U9" s="95">
        <v>0.51</v>
      </c>
      <c r="V9" s="95">
        <v>0.32</v>
      </c>
      <c r="W9" s="95">
        <v>0.62</v>
      </c>
      <c r="X9" s="95">
        <v>0.42</v>
      </c>
      <c r="Y9" s="95">
        <v>0.43</v>
      </c>
      <c r="Z9" s="95">
        <v>0.34</v>
      </c>
      <c r="AA9" s="95">
        <v>0.51</v>
      </c>
      <c r="AB9" s="95">
        <v>0.52</v>
      </c>
      <c r="AC9" s="95">
        <v>0.26</v>
      </c>
      <c r="AD9" s="95">
        <v>0.43</v>
      </c>
      <c r="AE9" s="95">
        <v>0.47</v>
      </c>
      <c r="AF9" s="95">
        <v>0.35</v>
      </c>
      <c r="AG9" s="95">
        <v>0.54</v>
      </c>
      <c r="AH9" s="95">
        <v>0.33</v>
      </c>
      <c r="AI9" s="95">
        <v>0.55000000000000004</v>
      </c>
      <c r="AJ9" s="95">
        <v>0.55000000000000004</v>
      </c>
    </row>
    <row r="10" spans="1:36" ht="17.25" thickBot="1">
      <c r="B10" s="93" t="s">
        <v>692</v>
      </c>
      <c r="C10" s="95">
        <v>0.28999999999999998</v>
      </c>
      <c r="D10" s="95">
        <v>0.59</v>
      </c>
      <c r="E10" s="95">
        <v>0.15</v>
      </c>
      <c r="F10" s="95">
        <v>7.0000000000000007E-2</v>
      </c>
      <c r="G10" s="95">
        <v>0.36</v>
      </c>
      <c r="H10" s="95">
        <v>0.33</v>
      </c>
      <c r="I10" s="95">
        <v>0.19</v>
      </c>
      <c r="J10" s="95">
        <v>0.17</v>
      </c>
      <c r="K10" s="95">
        <v>0.18</v>
      </c>
      <c r="L10" s="95">
        <v>0.42</v>
      </c>
      <c r="M10" s="95">
        <v>0.44</v>
      </c>
      <c r="N10" s="95">
        <v>0.15</v>
      </c>
      <c r="O10" s="95">
        <v>0.35</v>
      </c>
      <c r="P10" s="95">
        <v>7.0000000000000007E-2</v>
      </c>
      <c r="Q10" s="95">
        <v>0.35</v>
      </c>
      <c r="R10" s="95">
        <v>0.43</v>
      </c>
      <c r="S10" s="95">
        <v>-0.05</v>
      </c>
      <c r="T10" s="95">
        <v>0.03</v>
      </c>
      <c r="U10" s="95">
        <v>0.48</v>
      </c>
      <c r="V10" s="95">
        <v>0.45</v>
      </c>
      <c r="W10" s="95">
        <v>0.49</v>
      </c>
      <c r="X10" s="95">
        <v>0.14000000000000001</v>
      </c>
      <c r="Y10" s="95">
        <v>0.15</v>
      </c>
      <c r="Z10" s="95">
        <v>0.4</v>
      </c>
      <c r="AA10" s="95">
        <v>0.11</v>
      </c>
      <c r="AB10" s="95">
        <v>0.45</v>
      </c>
      <c r="AC10" s="95">
        <v>0.13</v>
      </c>
      <c r="AD10" s="95">
        <v>0.47</v>
      </c>
      <c r="AE10" s="95">
        <v>-0.09</v>
      </c>
      <c r="AF10" s="95">
        <v>-0.28000000000000003</v>
      </c>
      <c r="AG10" s="95">
        <v>0.16</v>
      </c>
      <c r="AH10" s="95">
        <v>0.26</v>
      </c>
      <c r="AI10" s="95">
        <v>0.47</v>
      </c>
      <c r="AJ10" s="95">
        <v>0.5</v>
      </c>
    </row>
    <row r="11" spans="1:36" ht="17.25" thickBot="1">
      <c r="B11" s="93" t="s">
        <v>690</v>
      </c>
      <c r="C11" s="95">
        <v>0.67</v>
      </c>
      <c r="D11" s="95">
        <v>0.59</v>
      </c>
      <c r="E11" s="95">
        <v>0.51</v>
      </c>
      <c r="F11" s="95">
        <v>0.44</v>
      </c>
      <c r="G11" s="95">
        <v>0.64</v>
      </c>
      <c r="H11" s="95">
        <v>0.66</v>
      </c>
      <c r="I11" s="95">
        <v>0.57999999999999996</v>
      </c>
      <c r="J11" s="98">
        <v>0.75</v>
      </c>
      <c r="K11" s="95">
        <v>0.6</v>
      </c>
      <c r="L11" s="98">
        <v>0.88</v>
      </c>
      <c r="M11" s="98">
        <v>0.86</v>
      </c>
      <c r="N11" s="95">
        <v>0.62</v>
      </c>
      <c r="O11" s="95">
        <v>0.62</v>
      </c>
      <c r="P11" s="95">
        <v>0.5</v>
      </c>
      <c r="Q11" s="98">
        <v>0.85</v>
      </c>
      <c r="R11" s="98">
        <v>0.86</v>
      </c>
      <c r="S11" s="95">
        <v>0.25</v>
      </c>
      <c r="T11" s="95">
        <v>0.2</v>
      </c>
      <c r="U11" s="98">
        <v>0.79</v>
      </c>
      <c r="V11" s="98">
        <v>0.75</v>
      </c>
      <c r="W11" s="98">
        <v>0.74</v>
      </c>
      <c r="X11" s="95">
        <v>0.55000000000000004</v>
      </c>
      <c r="Y11" s="95">
        <v>0.47</v>
      </c>
      <c r="Z11" s="95">
        <v>0.51</v>
      </c>
      <c r="AA11" s="95">
        <v>0.56999999999999995</v>
      </c>
      <c r="AB11" s="95">
        <v>0.64</v>
      </c>
      <c r="AC11" s="95">
        <v>0.56999999999999995</v>
      </c>
      <c r="AD11" s="95">
        <v>0.9</v>
      </c>
      <c r="AE11" s="95">
        <v>0.38</v>
      </c>
      <c r="AF11" s="101">
        <v>0.08</v>
      </c>
      <c r="AG11" s="95">
        <v>0.48</v>
      </c>
      <c r="AH11" s="95">
        <v>0.44</v>
      </c>
      <c r="AI11" s="95">
        <v>0.63</v>
      </c>
      <c r="AJ11" s="95">
        <v>0.6</v>
      </c>
    </row>
    <row r="12" spans="1:36" ht="17.25" thickBot="1">
      <c r="B12" s="93" t="s">
        <v>686</v>
      </c>
      <c r="C12" s="95">
        <v>0.46</v>
      </c>
      <c r="D12" s="95">
        <v>0.37</v>
      </c>
      <c r="E12" s="95">
        <v>0.44</v>
      </c>
      <c r="F12" s="95">
        <v>0.55000000000000004</v>
      </c>
      <c r="G12" s="95">
        <v>0.28999999999999998</v>
      </c>
      <c r="H12" s="95">
        <v>0.15</v>
      </c>
      <c r="I12" s="98">
        <v>0.74</v>
      </c>
      <c r="J12" s="95">
        <v>0.51</v>
      </c>
      <c r="K12" s="95">
        <v>0.23</v>
      </c>
      <c r="L12" s="95">
        <v>0.41</v>
      </c>
      <c r="M12" s="95">
        <v>0.34</v>
      </c>
      <c r="N12" s="98">
        <v>0.7</v>
      </c>
      <c r="O12" s="95">
        <v>0.19</v>
      </c>
      <c r="P12" s="95">
        <v>0.62</v>
      </c>
      <c r="Q12" s="95">
        <v>0.45</v>
      </c>
      <c r="R12" s="95">
        <v>0.32</v>
      </c>
      <c r="S12" s="95">
        <v>0.53</v>
      </c>
      <c r="T12" s="95">
        <v>0.46</v>
      </c>
      <c r="U12" s="95">
        <v>0.33</v>
      </c>
      <c r="V12" s="95">
        <v>0.15</v>
      </c>
      <c r="W12" s="95">
        <v>0.25</v>
      </c>
      <c r="X12" s="95">
        <v>0.46</v>
      </c>
      <c r="Y12" s="95">
        <v>0.18</v>
      </c>
      <c r="Z12" s="95">
        <v>-0.15</v>
      </c>
      <c r="AA12" s="95">
        <v>0.21</v>
      </c>
      <c r="AB12" s="95">
        <v>0</v>
      </c>
      <c r="AC12" s="95">
        <v>0.26</v>
      </c>
      <c r="AD12" s="95">
        <v>0.05</v>
      </c>
      <c r="AE12" s="95">
        <v>0.33</v>
      </c>
      <c r="AF12" s="95">
        <v>0.64</v>
      </c>
      <c r="AG12" s="95">
        <v>0.28999999999999998</v>
      </c>
      <c r="AH12" s="95">
        <v>-0.2</v>
      </c>
      <c r="AI12" s="95">
        <v>0.38</v>
      </c>
      <c r="AJ12" s="95">
        <v>0.53</v>
      </c>
    </row>
    <row r="13" spans="1:36" ht="17.25" thickBot="1">
      <c r="B13" s="93" t="s">
        <v>716</v>
      </c>
      <c r="C13" s="95">
        <v>0.56999999999999995</v>
      </c>
      <c r="D13" s="95">
        <v>0.45</v>
      </c>
      <c r="E13" s="95">
        <v>0.57999999999999996</v>
      </c>
      <c r="F13" s="95">
        <v>0.31</v>
      </c>
      <c r="G13" s="95">
        <v>0.44</v>
      </c>
      <c r="H13" s="98">
        <v>0.72</v>
      </c>
      <c r="I13" s="95">
        <v>0.25</v>
      </c>
      <c r="J13" s="95">
        <v>0.64</v>
      </c>
      <c r="K13" s="95">
        <v>0.45</v>
      </c>
      <c r="L13" s="95">
        <v>0.7</v>
      </c>
      <c r="M13" s="98">
        <v>0.69</v>
      </c>
      <c r="N13" s="95">
        <v>0.36</v>
      </c>
      <c r="O13" s="95">
        <v>0.48</v>
      </c>
      <c r="P13" s="95">
        <v>0.13</v>
      </c>
      <c r="Q13" s="98">
        <v>0.75</v>
      </c>
      <c r="R13" s="98">
        <v>0.84</v>
      </c>
      <c r="S13" s="95">
        <v>0.39</v>
      </c>
      <c r="T13" s="95">
        <v>-0.01</v>
      </c>
      <c r="U13" s="95">
        <v>0.64</v>
      </c>
      <c r="V13" s="95">
        <v>0.56999999999999995</v>
      </c>
      <c r="W13" s="98">
        <v>0.75</v>
      </c>
      <c r="X13" s="95">
        <v>0.46</v>
      </c>
      <c r="Y13" s="95">
        <v>0.3</v>
      </c>
      <c r="Z13" s="95">
        <v>0.52</v>
      </c>
      <c r="AA13" s="95">
        <v>0.42</v>
      </c>
      <c r="AB13" s="95">
        <v>0.56000000000000005</v>
      </c>
      <c r="AC13" s="95">
        <v>0.28999999999999998</v>
      </c>
      <c r="AD13" s="98">
        <v>0.8</v>
      </c>
      <c r="AE13" s="95">
        <v>0.24</v>
      </c>
      <c r="AF13" s="95">
        <v>-0.27</v>
      </c>
      <c r="AG13" s="95">
        <v>0.44</v>
      </c>
      <c r="AH13" s="95">
        <v>0.51</v>
      </c>
      <c r="AI13" s="98">
        <v>0.69</v>
      </c>
      <c r="AJ13" s="95">
        <v>0.4</v>
      </c>
    </row>
    <row r="14" spans="1:36" ht="17.25" thickBot="1">
      <c r="B14" s="93" t="s">
        <v>717</v>
      </c>
      <c r="C14" s="95">
        <v>0.16</v>
      </c>
      <c r="D14" s="95">
        <v>-0.08</v>
      </c>
      <c r="E14" s="95">
        <v>-0.12</v>
      </c>
      <c r="F14" s="95">
        <v>0.66</v>
      </c>
      <c r="G14" s="95">
        <v>0.03</v>
      </c>
      <c r="H14" s="95">
        <v>0.45</v>
      </c>
      <c r="I14" s="95">
        <v>0.52</v>
      </c>
      <c r="J14" s="95">
        <v>0.21</v>
      </c>
      <c r="K14" s="95">
        <v>0.2</v>
      </c>
      <c r="L14" s="95">
        <v>0.44</v>
      </c>
      <c r="M14" s="95">
        <v>0.49</v>
      </c>
      <c r="N14" s="95">
        <v>0.56000000000000005</v>
      </c>
      <c r="O14" s="95">
        <v>0.04</v>
      </c>
      <c r="P14" s="95">
        <v>0.26</v>
      </c>
      <c r="Q14" s="95">
        <v>0.52</v>
      </c>
      <c r="R14" s="95">
        <v>0.35</v>
      </c>
      <c r="S14" s="95">
        <v>0.31</v>
      </c>
      <c r="T14" s="95">
        <v>0.49</v>
      </c>
      <c r="U14" s="95">
        <v>0.37</v>
      </c>
      <c r="V14" s="95">
        <v>0.56999999999999995</v>
      </c>
      <c r="W14" s="95">
        <v>0.41</v>
      </c>
      <c r="X14" s="95">
        <v>0.33</v>
      </c>
      <c r="Y14" s="95">
        <v>0.22</v>
      </c>
      <c r="Z14" s="95">
        <v>0.38</v>
      </c>
      <c r="AA14" s="95">
        <v>0.12</v>
      </c>
      <c r="AB14" s="95">
        <v>0.64</v>
      </c>
      <c r="AC14" s="95">
        <v>0.22</v>
      </c>
      <c r="AD14" s="95">
        <v>0.28999999999999998</v>
      </c>
      <c r="AE14" s="95">
        <v>-0.02</v>
      </c>
      <c r="AF14" s="95">
        <v>0.23</v>
      </c>
      <c r="AG14" s="95">
        <v>0.08</v>
      </c>
      <c r="AH14" s="95">
        <v>0.16</v>
      </c>
      <c r="AI14" s="95">
        <v>0.24</v>
      </c>
      <c r="AJ14" s="95">
        <v>0.19</v>
      </c>
    </row>
    <row r="15" spans="1:36" ht="17.25" thickBot="1">
      <c r="B15" s="93" t="s">
        <v>718</v>
      </c>
      <c r="C15" s="95">
        <v>0.35</v>
      </c>
      <c r="D15" s="95">
        <v>0.17</v>
      </c>
      <c r="E15" s="95">
        <v>0.23</v>
      </c>
      <c r="F15" s="95">
        <v>0.5</v>
      </c>
      <c r="G15" s="95">
        <v>0.18</v>
      </c>
      <c r="H15" s="98">
        <v>0.71</v>
      </c>
      <c r="I15" s="95">
        <v>0.3</v>
      </c>
      <c r="J15" s="95">
        <v>0.39</v>
      </c>
      <c r="K15" s="95">
        <v>0.13</v>
      </c>
      <c r="L15" s="95">
        <v>0.41</v>
      </c>
      <c r="M15" s="95">
        <v>0.39</v>
      </c>
      <c r="N15" s="95">
        <v>0.43</v>
      </c>
      <c r="O15" s="95">
        <v>0.02</v>
      </c>
      <c r="P15" s="95">
        <v>0.3</v>
      </c>
      <c r="Q15" s="95">
        <v>0.6</v>
      </c>
      <c r="R15" s="95">
        <v>0.42</v>
      </c>
      <c r="S15" s="95">
        <v>0.3</v>
      </c>
      <c r="T15" s="95">
        <v>0.4</v>
      </c>
      <c r="U15" s="95">
        <v>0.49</v>
      </c>
      <c r="V15" s="98">
        <v>0.7</v>
      </c>
      <c r="W15" s="95">
        <v>0.45</v>
      </c>
      <c r="X15" s="95">
        <v>0.55000000000000004</v>
      </c>
      <c r="Y15" s="95">
        <v>-0.12</v>
      </c>
      <c r="Z15" s="95">
        <v>0.2</v>
      </c>
      <c r="AA15" s="95">
        <v>0.14000000000000001</v>
      </c>
      <c r="AB15" s="95">
        <v>0.47</v>
      </c>
      <c r="AC15" s="95">
        <v>0.08</v>
      </c>
      <c r="AD15" s="95">
        <v>0.46</v>
      </c>
      <c r="AE15" s="95">
        <v>7.0000000000000007E-2</v>
      </c>
      <c r="AF15" s="95">
        <v>-0.01</v>
      </c>
      <c r="AG15" s="95">
        <v>0.22</v>
      </c>
      <c r="AH15" s="95">
        <v>7.0000000000000007E-2</v>
      </c>
      <c r="AI15" s="95">
        <v>0.41</v>
      </c>
      <c r="AJ15" s="95">
        <v>0.54</v>
      </c>
    </row>
    <row r="16" spans="1:36" ht="17.25" thickBot="1">
      <c r="B16" s="93" t="s">
        <v>719</v>
      </c>
      <c r="C16" s="95">
        <v>0.6</v>
      </c>
      <c r="D16" s="98">
        <v>0.71</v>
      </c>
      <c r="E16" s="95">
        <v>0.65</v>
      </c>
      <c r="F16" s="95">
        <v>0.63</v>
      </c>
      <c r="G16" s="95">
        <v>0.5</v>
      </c>
      <c r="H16" s="95">
        <v>0.35</v>
      </c>
      <c r="I16" s="98">
        <v>0.74</v>
      </c>
      <c r="J16" s="98">
        <v>0.79</v>
      </c>
      <c r="K16" s="95">
        <v>0.39</v>
      </c>
      <c r="L16" s="98">
        <v>0.83</v>
      </c>
      <c r="M16" s="98">
        <v>0.74</v>
      </c>
      <c r="N16" s="98">
        <v>0.77</v>
      </c>
      <c r="O16" s="95">
        <v>0.51</v>
      </c>
      <c r="P16" s="95">
        <v>0.7</v>
      </c>
      <c r="Q16" s="98">
        <v>0.8</v>
      </c>
      <c r="R16" s="98">
        <v>0.83</v>
      </c>
      <c r="S16" s="98">
        <v>0.69</v>
      </c>
      <c r="T16" s="95">
        <v>0.08</v>
      </c>
      <c r="U16" s="98">
        <v>0.71</v>
      </c>
      <c r="V16" s="95">
        <v>0.27</v>
      </c>
      <c r="W16" s="95">
        <v>0.7</v>
      </c>
      <c r="X16" s="95">
        <v>0.56000000000000005</v>
      </c>
      <c r="Y16" s="95">
        <v>0.45</v>
      </c>
      <c r="Z16" s="95">
        <v>0.28000000000000003</v>
      </c>
      <c r="AA16" s="95">
        <v>0.64</v>
      </c>
      <c r="AB16" s="95">
        <v>0.33</v>
      </c>
      <c r="AC16" s="95">
        <v>0.3</v>
      </c>
      <c r="AD16" s="95">
        <v>0.65</v>
      </c>
      <c r="AE16" s="95">
        <v>0.55000000000000004</v>
      </c>
      <c r="AF16" s="95">
        <v>0.3</v>
      </c>
      <c r="AG16" s="95">
        <v>0.54</v>
      </c>
      <c r="AH16" s="95">
        <v>0.23</v>
      </c>
      <c r="AI16" s="98">
        <v>0.74</v>
      </c>
      <c r="AJ16" s="95">
        <v>0.63</v>
      </c>
    </row>
    <row r="17" spans="2:36" ht="18">
      <c r="B17" s="104" t="s">
        <v>806</v>
      </c>
      <c r="C17" s="105">
        <v>0.41</v>
      </c>
      <c r="D17" s="105">
        <v>0.74</v>
      </c>
      <c r="E17" s="105">
        <v>0.53</v>
      </c>
      <c r="F17" s="105">
        <v>0.12</v>
      </c>
      <c r="G17" s="105">
        <v>0.55000000000000004</v>
      </c>
      <c r="H17" s="105">
        <v>-0.33</v>
      </c>
      <c r="I17" s="105">
        <v>0.09</v>
      </c>
      <c r="J17" s="105">
        <v>0.35</v>
      </c>
      <c r="K17" s="105">
        <v>0.1</v>
      </c>
      <c r="L17" s="105">
        <v>0.14000000000000001</v>
      </c>
      <c r="M17" s="105">
        <v>0.16</v>
      </c>
      <c r="N17" s="105">
        <v>0.14000000000000001</v>
      </c>
      <c r="O17" s="105">
        <v>0.51</v>
      </c>
      <c r="P17" s="105">
        <v>0.27</v>
      </c>
      <c r="Q17" s="105">
        <v>0.1</v>
      </c>
      <c r="R17" s="105">
        <v>0.41</v>
      </c>
      <c r="S17" s="105">
        <v>0.44</v>
      </c>
      <c r="T17" s="105">
        <v>-0.42</v>
      </c>
      <c r="U17" s="105">
        <v>0.06</v>
      </c>
      <c r="V17" s="105">
        <v>-0.42</v>
      </c>
      <c r="W17" s="105">
        <v>0.37</v>
      </c>
      <c r="X17" s="105">
        <v>0.14000000000000001</v>
      </c>
      <c r="Y17" s="105">
        <v>7.0000000000000007E-2</v>
      </c>
      <c r="Z17" s="105">
        <v>0.25</v>
      </c>
      <c r="AA17" s="105">
        <v>0.21</v>
      </c>
      <c r="AB17" s="105">
        <v>-0.34</v>
      </c>
      <c r="AC17" s="105">
        <v>-0.13</v>
      </c>
      <c r="AD17" s="105">
        <v>0.1</v>
      </c>
      <c r="AE17" s="105">
        <v>0.44</v>
      </c>
      <c r="AF17" s="105">
        <v>0.16</v>
      </c>
      <c r="AG17" s="105">
        <v>0.38</v>
      </c>
      <c r="AH17" s="105">
        <v>-0.17</v>
      </c>
      <c r="AI17" s="105">
        <v>0.32</v>
      </c>
      <c r="AJ17" s="105">
        <v>0.42</v>
      </c>
    </row>
    <row r="18" spans="2:36" ht="18">
      <c r="B18" s="104" t="s">
        <v>807</v>
      </c>
      <c r="C18" s="105">
        <v>-0.05</v>
      </c>
      <c r="D18" s="105">
        <v>0.25</v>
      </c>
      <c r="E18" s="105">
        <v>0.47</v>
      </c>
      <c r="F18" s="105">
        <v>-0.16</v>
      </c>
      <c r="G18" s="105">
        <v>0</v>
      </c>
      <c r="H18" s="105">
        <v>-0.11</v>
      </c>
      <c r="I18" s="105">
        <v>-0.09</v>
      </c>
      <c r="J18" s="105">
        <v>0.18</v>
      </c>
      <c r="K18" s="105">
        <v>-0.4</v>
      </c>
      <c r="L18" s="105">
        <v>0.01</v>
      </c>
      <c r="M18" s="105">
        <v>-0.1</v>
      </c>
      <c r="N18" s="105">
        <v>0.09</v>
      </c>
      <c r="O18" s="105">
        <v>0.02</v>
      </c>
      <c r="P18" s="105">
        <v>0.52</v>
      </c>
      <c r="Q18" s="105">
        <v>-0.11</v>
      </c>
      <c r="R18" s="105">
        <v>-7.0000000000000007E-2</v>
      </c>
      <c r="S18" s="105">
        <v>0.18</v>
      </c>
      <c r="T18" s="105">
        <v>-0.16</v>
      </c>
      <c r="U18" s="105">
        <v>-0.18</v>
      </c>
      <c r="V18" s="105">
        <v>-0.36</v>
      </c>
      <c r="W18" s="105">
        <v>0.06</v>
      </c>
      <c r="X18" s="105">
        <v>0.28999999999999998</v>
      </c>
      <c r="Y18" s="105">
        <v>-0.26</v>
      </c>
      <c r="Z18" s="105">
        <v>-0.4</v>
      </c>
      <c r="AA18" s="105">
        <v>0.49</v>
      </c>
      <c r="AB18" s="105">
        <v>-0.44</v>
      </c>
      <c r="AC18" s="105">
        <v>-0.6</v>
      </c>
      <c r="AD18" s="105">
        <v>-0.01</v>
      </c>
      <c r="AE18" s="105">
        <v>0.57999999999999996</v>
      </c>
      <c r="AF18" s="105">
        <v>-0.05</v>
      </c>
      <c r="AG18" s="105">
        <v>0.06</v>
      </c>
      <c r="AH18" s="105">
        <v>-0.04</v>
      </c>
      <c r="AI18" s="105">
        <v>-0.04</v>
      </c>
      <c r="AJ18" s="105">
        <v>0.33</v>
      </c>
    </row>
    <row r="19" spans="2:36" ht="18">
      <c r="B19" s="104" t="s">
        <v>808</v>
      </c>
      <c r="C19" s="105">
        <v>0.56000000000000005</v>
      </c>
      <c r="D19" s="105">
        <v>0.56999999999999995</v>
      </c>
      <c r="E19" s="105">
        <v>0.47</v>
      </c>
      <c r="F19" s="105">
        <v>0.31</v>
      </c>
      <c r="G19" s="105">
        <v>0.43</v>
      </c>
      <c r="H19" s="105">
        <v>0.34</v>
      </c>
      <c r="I19" s="105">
        <v>0.56000000000000005</v>
      </c>
      <c r="J19" s="105">
        <v>0.63</v>
      </c>
      <c r="K19" s="105">
        <v>0.27</v>
      </c>
      <c r="L19" s="105">
        <v>0.48</v>
      </c>
      <c r="M19" s="105">
        <v>0.36</v>
      </c>
      <c r="N19" s="105">
        <v>0.42</v>
      </c>
      <c r="O19" s="105">
        <v>0.28999999999999998</v>
      </c>
      <c r="P19" s="105">
        <v>0.31</v>
      </c>
      <c r="Q19" s="105">
        <v>0.64</v>
      </c>
      <c r="R19" s="105">
        <v>0.6</v>
      </c>
      <c r="S19" s="105">
        <v>0.4</v>
      </c>
      <c r="T19" s="105">
        <v>-0.02</v>
      </c>
      <c r="U19" s="105">
        <v>0.68</v>
      </c>
      <c r="V19" s="105">
        <v>0.33</v>
      </c>
      <c r="W19" s="105">
        <v>0.25</v>
      </c>
      <c r="X19" s="105">
        <v>0.26</v>
      </c>
      <c r="Y19" s="105">
        <v>0.28000000000000003</v>
      </c>
      <c r="Z19" s="105">
        <v>-0.01</v>
      </c>
      <c r="AA19" s="105">
        <v>0.06</v>
      </c>
      <c r="AB19" s="105">
        <v>0.02</v>
      </c>
      <c r="AC19" s="105">
        <v>0.55000000000000004</v>
      </c>
      <c r="AD19" s="105">
        <v>0.38</v>
      </c>
      <c r="AE19" s="105">
        <v>-0.01</v>
      </c>
      <c r="AF19" s="105">
        <v>0.28999999999999998</v>
      </c>
      <c r="AG19" s="105">
        <v>0.22</v>
      </c>
      <c r="AH19" s="105">
        <v>-0.15</v>
      </c>
      <c r="AI19" s="105">
        <v>0.65</v>
      </c>
      <c r="AJ19" s="105">
        <v>0.55000000000000004</v>
      </c>
    </row>
    <row r="20" spans="2:36" ht="18">
      <c r="B20" s="104" t="s">
        <v>809</v>
      </c>
      <c r="C20" s="105">
        <v>0.37</v>
      </c>
      <c r="D20" s="105">
        <v>0.31</v>
      </c>
      <c r="E20" s="105">
        <v>0.41</v>
      </c>
      <c r="F20" s="105">
        <v>0.41</v>
      </c>
      <c r="G20" s="105">
        <v>0.53</v>
      </c>
      <c r="H20" s="105">
        <v>-0.05</v>
      </c>
      <c r="I20" s="105">
        <v>0.15</v>
      </c>
      <c r="J20" s="105">
        <v>0.36</v>
      </c>
      <c r="K20" s="105">
        <v>0.06</v>
      </c>
      <c r="L20" s="105">
        <v>0.22</v>
      </c>
      <c r="M20" s="105">
        <v>0.39</v>
      </c>
      <c r="N20" s="105">
        <v>0.54</v>
      </c>
      <c r="O20" s="105">
        <v>0.49</v>
      </c>
      <c r="P20" s="105">
        <v>0.55000000000000004</v>
      </c>
      <c r="Q20" s="105">
        <v>0.12</v>
      </c>
      <c r="R20" s="105">
        <v>0.35</v>
      </c>
      <c r="S20" s="105">
        <v>0.44</v>
      </c>
      <c r="T20" s="105">
        <v>0.16</v>
      </c>
      <c r="U20" s="105">
        <v>-0.27</v>
      </c>
      <c r="V20" s="105">
        <v>-0.11</v>
      </c>
      <c r="W20" s="105">
        <v>0.63</v>
      </c>
      <c r="X20" s="105">
        <v>0.54</v>
      </c>
      <c r="Y20" s="105">
        <v>0</v>
      </c>
      <c r="Z20" s="105">
        <v>0.5</v>
      </c>
      <c r="AA20" s="105">
        <v>0.41</v>
      </c>
      <c r="AB20" s="105">
        <v>-0.04</v>
      </c>
      <c r="AC20" s="105">
        <v>-0.36</v>
      </c>
      <c r="AD20" s="105">
        <v>0.09</v>
      </c>
      <c r="AE20" s="105">
        <v>0.7</v>
      </c>
      <c r="AF20" s="105">
        <v>0.27</v>
      </c>
      <c r="AG20" s="105">
        <v>0.19</v>
      </c>
      <c r="AH20" s="105">
        <v>-0.05</v>
      </c>
      <c r="AI20" s="105">
        <v>-0.15</v>
      </c>
      <c r="AJ20" s="105">
        <v>0.38</v>
      </c>
    </row>
    <row r="21" spans="2:36" ht="18">
      <c r="B21" s="104" t="s">
        <v>810</v>
      </c>
      <c r="C21" s="105">
        <v>0.24</v>
      </c>
      <c r="D21" s="105">
        <v>0.51</v>
      </c>
      <c r="E21" s="105">
        <v>0.23</v>
      </c>
      <c r="F21" s="105">
        <v>0.55000000000000004</v>
      </c>
      <c r="G21" s="105">
        <v>0.31</v>
      </c>
      <c r="H21" s="105">
        <v>0</v>
      </c>
      <c r="I21" s="105">
        <v>0.65</v>
      </c>
      <c r="J21" s="105">
        <v>0.48</v>
      </c>
      <c r="K21" s="105">
        <v>-0.08</v>
      </c>
      <c r="L21" s="105">
        <v>0.47</v>
      </c>
      <c r="M21" s="105">
        <v>0.4</v>
      </c>
      <c r="N21" s="106">
        <v>0.71</v>
      </c>
      <c r="O21" s="105">
        <v>0.23</v>
      </c>
      <c r="P21" s="105">
        <v>0.74</v>
      </c>
      <c r="Q21" s="105">
        <v>0.47</v>
      </c>
      <c r="R21" s="105">
        <v>0.47</v>
      </c>
      <c r="S21" s="105">
        <v>0.52</v>
      </c>
      <c r="T21" s="105">
        <v>-0.02</v>
      </c>
      <c r="U21" s="105">
        <v>0.39</v>
      </c>
      <c r="V21" s="105">
        <v>0.02</v>
      </c>
      <c r="W21" s="105">
        <v>0.37</v>
      </c>
      <c r="X21" s="105">
        <v>0.34</v>
      </c>
      <c r="Y21" s="105">
        <v>0.27</v>
      </c>
      <c r="Z21" s="105">
        <v>0.11</v>
      </c>
      <c r="AA21" s="105">
        <v>0.37</v>
      </c>
      <c r="AB21" s="105">
        <v>0</v>
      </c>
      <c r="AC21" s="105">
        <v>0.06</v>
      </c>
      <c r="AD21" s="105">
        <v>0.25</v>
      </c>
      <c r="AE21" s="105">
        <v>0.3</v>
      </c>
      <c r="AF21" s="105">
        <v>0.43</v>
      </c>
      <c r="AG21" s="105">
        <v>0.03</v>
      </c>
      <c r="AH21" s="105">
        <v>-0.2</v>
      </c>
      <c r="AI21" s="105">
        <v>0.28000000000000003</v>
      </c>
      <c r="AJ21" s="105">
        <v>0.5</v>
      </c>
    </row>
    <row r="22" spans="2:36" ht="18">
      <c r="B22" s="104" t="s">
        <v>811</v>
      </c>
      <c r="C22" s="105">
        <v>0.13</v>
      </c>
      <c r="D22" s="105">
        <v>0.53</v>
      </c>
      <c r="E22" s="105">
        <v>0.22</v>
      </c>
      <c r="F22" s="105">
        <v>0.21</v>
      </c>
      <c r="G22" s="105">
        <v>0.14000000000000001</v>
      </c>
      <c r="H22" s="105">
        <v>0.02</v>
      </c>
      <c r="I22" s="105">
        <v>0.39</v>
      </c>
      <c r="J22" s="105">
        <v>0.45</v>
      </c>
      <c r="K22" s="105">
        <v>-0.09</v>
      </c>
      <c r="L22" s="105">
        <v>0.37</v>
      </c>
      <c r="M22" s="105">
        <v>0.15</v>
      </c>
      <c r="N22" s="105">
        <v>0.23</v>
      </c>
      <c r="O22" s="105">
        <v>7.0000000000000007E-2</v>
      </c>
      <c r="P22" s="105">
        <v>0.32</v>
      </c>
      <c r="Q22" s="105">
        <v>0.5</v>
      </c>
      <c r="R22" s="105">
        <v>0.5</v>
      </c>
      <c r="S22" s="105">
        <v>0.42</v>
      </c>
      <c r="T22" s="105">
        <v>-0.57999999999999996</v>
      </c>
      <c r="U22" s="105">
        <v>0.67</v>
      </c>
      <c r="V22" s="105">
        <v>-7.0000000000000007E-2</v>
      </c>
      <c r="W22" s="105">
        <v>0.06</v>
      </c>
      <c r="X22" s="105">
        <v>-0.03</v>
      </c>
      <c r="Y22" s="105">
        <v>0.3</v>
      </c>
      <c r="Z22" s="105">
        <v>-0.11</v>
      </c>
      <c r="AA22" s="105">
        <v>0.2</v>
      </c>
      <c r="AB22" s="105">
        <v>-0.16</v>
      </c>
      <c r="AC22" s="105">
        <v>0.28999999999999998</v>
      </c>
      <c r="AD22" s="105">
        <v>0.38</v>
      </c>
      <c r="AE22" s="105">
        <v>-0.04</v>
      </c>
      <c r="AF22" s="105">
        <v>0.11</v>
      </c>
      <c r="AG22" s="105">
        <v>0.04</v>
      </c>
      <c r="AH22" s="105">
        <v>-0.17</v>
      </c>
      <c r="AI22" s="105">
        <v>0.56999999999999995</v>
      </c>
      <c r="AJ22" s="105">
        <v>0.28999999999999998</v>
      </c>
    </row>
    <row r="23" spans="2:36" ht="18">
      <c r="B23" s="104" t="s">
        <v>812</v>
      </c>
      <c r="C23" s="105">
        <v>-7.0000000000000007E-2</v>
      </c>
      <c r="D23" s="105">
        <v>-0.17</v>
      </c>
      <c r="E23" s="105">
        <v>-0.01</v>
      </c>
      <c r="F23" s="105">
        <v>0.52</v>
      </c>
      <c r="G23" s="105">
        <v>-0.14000000000000001</v>
      </c>
      <c r="H23" s="105">
        <v>0.01</v>
      </c>
      <c r="I23" s="105">
        <v>0.6</v>
      </c>
      <c r="J23" s="105">
        <v>0.38</v>
      </c>
      <c r="K23" s="105">
        <v>-0.16</v>
      </c>
      <c r="L23" s="105">
        <v>0.3</v>
      </c>
      <c r="M23" s="105">
        <v>0.16</v>
      </c>
      <c r="N23" s="105">
        <v>0.67</v>
      </c>
      <c r="O23" s="105">
        <v>-0.17</v>
      </c>
      <c r="P23" s="105">
        <v>0.69</v>
      </c>
      <c r="Q23" s="105">
        <v>0.34</v>
      </c>
      <c r="R23" s="105">
        <v>0.14000000000000001</v>
      </c>
      <c r="S23" s="105">
        <v>0.45</v>
      </c>
      <c r="T23" s="105">
        <v>0.13</v>
      </c>
      <c r="U23" s="105">
        <v>0.18</v>
      </c>
      <c r="V23" s="105">
        <v>-0.05</v>
      </c>
      <c r="W23" s="105">
        <v>-0.05</v>
      </c>
      <c r="X23" s="105">
        <v>0.25</v>
      </c>
      <c r="Y23" s="105">
        <v>0.28000000000000003</v>
      </c>
      <c r="Z23" s="105">
        <v>-0.25</v>
      </c>
      <c r="AA23" s="105">
        <v>0.37</v>
      </c>
      <c r="AB23" s="105">
        <v>-0.09</v>
      </c>
      <c r="AC23" s="105">
        <v>0.14000000000000001</v>
      </c>
      <c r="AD23" s="105">
        <v>0.04</v>
      </c>
      <c r="AE23" s="105">
        <v>0.27</v>
      </c>
      <c r="AF23" s="105">
        <v>0.57999999999999996</v>
      </c>
      <c r="AG23" s="105">
        <v>-0.18</v>
      </c>
      <c r="AH23" s="105">
        <v>-0.2</v>
      </c>
      <c r="AI23" s="105">
        <v>-0.09</v>
      </c>
      <c r="AJ23" s="105">
        <v>-0.01</v>
      </c>
    </row>
    <row r="24" spans="2:36" ht="18">
      <c r="B24" s="104" t="s">
        <v>813</v>
      </c>
      <c r="C24" s="105">
        <v>0.5</v>
      </c>
      <c r="D24" s="106">
        <v>0.91</v>
      </c>
      <c r="E24" s="105">
        <v>0.57999999999999996</v>
      </c>
      <c r="F24" s="105">
        <v>0.09</v>
      </c>
      <c r="G24" s="105">
        <v>0.57999999999999996</v>
      </c>
      <c r="H24" s="105">
        <v>0.04</v>
      </c>
      <c r="I24" s="105">
        <v>0.28999999999999998</v>
      </c>
      <c r="J24" s="105">
        <v>0.52</v>
      </c>
      <c r="K24" s="105">
        <v>0.19</v>
      </c>
      <c r="L24" s="105">
        <v>0.41</v>
      </c>
      <c r="M24" s="105">
        <v>0.3</v>
      </c>
      <c r="N24" s="105">
        <v>0.44</v>
      </c>
      <c r="O24" s="105">
        <v>0.37</v>
      </c>
      <c r="P24" s="105">
        <v>0.43</v>
      </c>
      <c r="Q24" s="105">
        <v>0.25</v>
      </c>
      <c r="R24" s="105">
        <v>0.45</v>
      </c>
      <c r="S24" s="105">
        <v>0.18</v>
      </c>
      <c r="T24" s="105">
        <v>-0.06</v>
      </c>
      <c r="U24" s="105">
        <v>0.37</v>
      </c>
      <c r="V24" s="105">
        <v>-0.06</v>
      </c>
      <c r="W24" s="105">
        <v>0.33</v>
      </c>
      <c r="X24" s="105">
        <v>0.32</v>
      </c>
      <c r="Y24" s="105">
        <v>0.17</v>
      </c>
      <c r="Z24" s="105">
        <v>0.03</v>
      </c>
      <c r="AA24" s="105">
        <v>0.27</v>
      </c>
      <c r="AB24" s="105">
        <v>-0.11</v>
      </c>
      <c r="AC24" s="105">
        <v>0.14000000000000001</v>
      </c>
      <c r="AD24" s="105">
        <v>0.34</v>
      </c>
      <c r="AE24" s="105">
        <v>0.28000000000000003</v>
      </c>
      <c r="AF24" s="105">
        <v>-0.03</v>
      </c>
      <c r="AG24" s="105">
        <v>0.2</v>
      </c>
      <c r="AH24" s="105">
        <v>-7.0000000000000007E-2</v>
      </c>
      <c r="AI24" s="105">
        <v>0.31</v>
      </c>
      <c r="AJ24" s="105">
        <v>0.5</v>
      </c>
    </row>
    <row r="25" spans="2:36" ht="18">
      <c r="B25" s="104" t="s">
        <v>814</v>
      </c>
      <c r="C25" s="105">
        <v>0.1</v>
      </c>
      <c r="D25" s="105">
        <v>0.56999999999999995</v>
      </c>
      <c r="E25" s="105">
        <v>0.06</v>
      </c>
      <c r="F25" s="105">
        <v>0.06</v>
      </c>
      <c r="G25" s="105">
        <v>0.26</v>
      </c>
      <c r="H25" s="105">
        <v>-0.35</v>
      </c>
      <c r="I25" s="105">
        <v>0.56999999999999995</v>
      </c>
      <c r="J25" s="105">
        <v>0.32</v>
      </c>
      <c r="K25" s="105">
        <v>7.0000000000000007E-2</v>
      </c>
      <c r="L25" s="105">
        <v>0.39</v>
      </c>
      <c r="M25" s="105">
        <v>0.25</v>
      </c>
      <c r="N25" s="105">
        <v>0.33</v>
      </c>
      <c r="O25" s="105">
        <v>0.32</v>
      </c>
      <c r="P25" s="105">
        <v>0.35</v>
      </c>
      <c r="Q25" s="105">
        <v>0.26</v>
      </c>
      <c r="R25" s="105">
        <v>0.37</v>
      </c>
      <c r="S25" s="105">
        <v>0.15</v>
      </c>
      <c r="T25" s="105">
        <v>-0.45</v>
      </c>
      <c r="U25" s="105">
        <v>0.46</v>
      </c>
      <c r="V25" s="105">
        <v>-0.24</v>
      </c>
      <c r="W25" s="105">
        <v>0</v>
      </c>
      <c r="X25" s="105">
        <v>-0.24</v>
      </c>
      <c r="Y25" s="105">
        <v>0.65</v>
      </c>
      <c r="Z25" s="105">
        <v>-0.02</v>
      </c>
      <c r="AA25" s="105">
        <v>0.2</v>
      </c>
      <c r="AB25" s="105">
        <v>-0.16</v>
      </c>
      <c r="AC25" s="105">
        <v>0.5</v>
      </c>
      <c r="AD25" s="105">
        <v>0.19</v>
      </c>
      <c r="AE25" s="105">
        <v>-0.03</v>
      </c>
      <c r="AF25" s="105">
        <v>0.33</v>
      </c>
      <c r="AG25" s="105">
        <v>-0.1</v>
      </c>
      <c r="AH25" s="105">
        <v>-0.1</v>
      </c>
      <c r="AI25" s="105">
        <v>0.3</v>
      </c>
      <c r="AJ25" s="105">
        <v>0.11</v>
      </c>
    </row>
    <row r="26" spans="2:36" ht="18">
      <c r="B26" s="104" t="s">
        <v>815</v>
      </c>
      <c r="C26" s="105">
        <v>0.24</v>
      </c>
      <c r="D26" s="105">
        <v>0.34</v>
      </c>
      <c r="E26" s="105">
        <v>0.61</v>
      </c>
      <c r="F26" s="105">
        <v>0.47</v>
      </c>
      <c r="G26" s="105">
        <v>7.0000000000000007E-2</v>
      </c>
      <c r="H26" s="105">
        <v>0.15</v>
      </c>
      <c r="I26" s="105">
        <v>0.45</v>
      </c>
      <c r="J26" s="105">
        <v>0.66</v>
      </c>
      <c r="K26" s="105">
        <v>0.17</v>
      </c>
      <c r="L26" s="105">
        <v>0.57999999999999996</v>
      </c>
      <c r="M26" s="105">
        <v>0.37</v>
      </c>
      <c r="N26" s="105">
        <v>0.53</v>
      </c>
      <c r="O26" s="105">
        <v>0.14000000000000001</v>
      </c>
      <c r="P26" s="105">
        <v>0.65</v>
      </c>
      <c r="Q26" s="105">
        <v>0.56000000000000005</v>
      </c>
      <c r="R26" s="105">
        <v>0.52</v>
      </c>
      <c r="S26" s="106">
        <v>0.72</v>
      </c>
      <c r="T26" s="105">
        <v>-0.17</v>
      </c>
      <c r="U26" s="105">
        <v>0.48</v>
      </c>
      <c r="V26" s="105">
        <v>-0.15</v>
      </c>
      <c r="W26" s="105">
        <v>0.32</v>
      </c>
      <c r="X26" s="105">
        <v>0.43</v>
      </c>
      <c r="Y26" s="105">
        <v>0.28999999999999998</v>
      </c>
      <c r="Z26" s="105">
        <v>-0.14000000000000001</v>
      </c>
      <c r="AA26" s="105">
        <v>0.76</v>
      </c>
      <c r="AB26" s="105">
        <v>0.03</v>
      </c>
      <c r="AC26" s="105">
        <v>0.04</v>
      </c>
      <c r="AD26" s="105">
        <v>0.48</v>
      </c>
      <c r="AE26" s="105">
        <v>0.7</v>
      </c>
      <c r="AF26" s="105">
        <v>0.22</v>
      </c>
      <c r="AG26" s="105">
        <v>0.51</v>
      </c>
      <c r="AH26" s="105">
        <v>0.24</v>
      </c>
      <c r="AI26" s="105">
        <v>0.52</v>
      </c>
      <c r="AJ26" s="105">
        <v>0.21</v>
      </c>
    </row>
    <row r="27" spans="2:36" ht="18">
      <c r="B27" s="104" t="s">
        <v>816</v>
      </c>
      <c r="C27" s="105">
        <v>0.35</v>
      </c>
      <c r="D27" s="105">
        <v>0.41</v>
      </c>
      <c r="E27" s="105">
        <v>0.28000000000000003</v>
      </c>
      <c r="F27" s="105">
        <v>0.7</v>
      </c>
      <c r="G27" s="105">
        <v>0.34</v>
      </c>
      <c r="H27" s="105">
        <v>0.13</v>
      </c>
      <c r="I27" s="106">
        <v>0.8</v>
      </c>
      <c r="J27" s="105">
        <v>0.67</v>
      </c>
      <c r="K27" s="105">
        <v>0.46</v>
      </c>
      <c r="L27" s="106">
        <v>0.83</v>
      </c>
      <c r="M27" s="105">
        <v>0.75</v>
      </c>
      <c r="N27" s="105">
        <v>0.74</v>
      </c>
      <c r="O27" s="105">
        <v>0.47</v>
      </c>
      <c r="P27" s="105">
        <v>0.67</v>
      </c>
      <c r="Q27" s="106">
        <v>0.77</v>
      </c>
      <c r="R27" s="106">
        <v>0.78</v>
      </c>
      <c r="S27" s="105">
        <v>0.6</v>
      </c>
      <c r="T27" s="105">
        <v>-0.1</v>
      </c>
      <c r="U27" s="105">
        <v>0.7</v>
      </c>
      <c r="V27" s="105">
        <v>0.17</v>
      </c>
      <c r="W27" s="105">
        <v>0.54</v>
      </c>
      <c r="X27" s="105">
        <v>0.31</v>
      </c>
      <c r="Y27" s="106">
        <v>0.74</v>
      </c>
      <c r="Z27" s="105">
        <v>0.4</v>
      </c>
      <c r="AA27" s="105">
        <v>0.71</v>
      </c>
      <c r="AB27" s="105">
        <v>0.43</v>
      </c>
      <c r="AC27" s="105">
        <v>0.51</v>
      </c>
      <c r="AD27" s="105">
        <v>0.66</v>
      </c>
      <c r="AE27" s="105">
        <v>0.52</v>
      </c>
      <c r="AF27" s="105">
        <v>0.45</v>
      </c>
      <c r="AG27" s="105">
        <v>0.45</v>
      </c>
      <c r="AH27" s="105">
        <v>0.33</v>
      </c>
      <c r="AI27" s="105">
        <v>0.54</v>
      </c>
      <c r="AJ27" s="105">
        <v>0.21</v>
      </c>
    </row>
    <row r="28" spans="2:36" ht="18">
      <c r="B28" s="104" t="s">
        <v>817</v>
      </c>
      <c r="C28" s="105">
        <v>0.16</v>
      </c>
      <c r="D28" s="105">
        <v>0.48</v>
      </c>
      <c r="E28" s="105">
        <v>0.5</v>
      </c>
      <c r="F28" s="105">
        <v>0.21</v>
      </c>
      <c r="G28" s="105">
        <v>0.26</v>
      </c>
      <c r="H28" s="105">
        <v>-0.31</v>
      </c>
      <c r="I28" s="105">
        <v>0.28999999999999998</v>
      </c>
      <c r="J28" s="105">
        <v>0.45</v>
      </c>
      <c r="K28" s="105">
        <v>-0.03</v>
      </c>
      <c r="L28" s="105">
        <v>0.3</v>
      </c>
      <c r="M28" s="105">
        <v>0.2</v>
      </c>
      <c r="N28" s="105">
        <v>0.34</v>
      </c>
      <c r="O28" s="105">
        <v>0.34</v>
      </c>
      <c r="P28" s="105">
        <v>0.67</v>
      </c>
      <c r="Q28" s="105">
        <v>0.21</v>
      </c>
      <c r="R28" s="105">
        <v>0.34</v>
      </c>
      <c r="S28" s="105">
        <v>0.53</v>
      </c>
      <c r="T28" s="105">
        <v>-0.41</v>
      </c>
      <c r="U28" s="105">
        <v>0.14000000000000001</v>
      </c>
      <c r="V28" s="105">
        <v>-0.46</v>
      </c>
      <c r="W28" s="105">
        <v>0.25</v>
      </c>
      <c r="X28" s="105">
        <v>0.23</v>
      </c>
      <c r="Y28" s="105">
        <v>0.21</v>
      </c>
      <c r="Z28" s="105">
        <v>-0.06</v>
      </c>
      <c r="AA28" s="105">
        <v>0.64</v>
      </c>
      <c r="AB28" s="105">
        <v>-0.34</v>
      </c>
      <c r="AC28" s="105">
        <v>-0.16</v>
      </c>
      <c r="AD28" s="105">
        <v>0.2</v>
      </c>
      <c r="AE28" s="106">
        <v>0.74</v>
      </c>
      <c r="AF28" s="105">
        <v>0.34</v>
      </c>
      <c r="AG28" s="105">
        <v>0.35</v>
      </c>
      <c r="AH28" s="105">
        <v>-0.03</v>
      </c>
      <c r="AI28" s="105">
        <v>0.25</v>
      </c>
      <c r="AJ28" s="105">
        <v>0.3</v>
      </c>
    </row>
    <row r="29" spans="2:36" ht="18">
      <c r="B29" s="104" t="s">
        <v>818</v>
      </c>
      <c r="C29" s="105">
        <v>0.51</v>
      </c>
      <c r="D29" s="105">
        <v>0.55000000000000004</v>
      </c>
      <c r="E29" s="105">
        <v>0.72</v>
      </c>
      <c r="F29" s="105">
        <v>0.49</v>
      </c>
      <c r="G29" s="105">
        <v>0.43</v>
      </c>
      <c r="H29" s="105">
        <v>0.23</v>
      </c>
      <c r="I29" s="105">
        <v>0.59</v>
      </c>
      <c r="J29" s="106">
        <v>0.79</v>
      </c>
      <c r="K29" s="105">
        <v>0.21</v>
      </c>
      <c r="L29" s="105">
        <v>0.66</v>
      </c>
      <c r="M29" s="105">
        <v>0.56000000000000005</v>
      </c>
      <c r="N29" s="105">
        <v>0.57999999999999996</v>
      </c>
      <c r="O29" s="105">
        <v>0.51</v>
      </c>
      <c r="P29" s="105">
        <v>0.71</v>
      </c>
      <c r="Q29" s="106">
        <v>0.73</v>
      </c>
      <c r="R29" s="105">
        <v>0.76</v>
      </c>
      <c r="S29" s="105">
        <v>0.78</v>
      </c>
      <c r="T29" s="105">
        <v>-0.21</v>
      </c>
      <c r="U29" s="105">
        <v>0.55000000000000004</v>
      </c>
      <c r="V29" s="105">
        <v>7.0000000000000007E-2</v>
      </c>
      <c r="W29" s="105">
        <v>0.56999999999999995</v>
      </c>
      <c r="X29" s="105">
        <v>0.49</v>
      </c>
      <c r="Y29" s="105">
        <v>0.35</v>
      </c>
      <c r="Z29" s="105">
        <v>0.14000000000000001</v>
      </c>
      <c r="AA29" s="105">
        <v>0.68</v>
      </c>
      <c r="AB29" s="105">
        <v>0</v>
      </c>
      <c r="AC29" s="105">
        <v>0.16</v>
      </c>
      <c r="AD29" s="105">
        <v>0.54</v>
      </c>
      <c r="AE29" s="105">
        <v>0.67</v>
      </c>
      <c r="AF29" s="105">
        <v>0.39</v>
      </c>
      <c r="AG29" s="105">
        <v>0.51</v>
      </c>
      <c r="AH29" s="105">
        <v>0.12</v>
      </c>
      <c r="AI29" s="105">
        <v>0.69</v>
      </c>
      <c r="AJ29" s="105">
        <v>0.59</v>
      </c>
    </row>
    <row r="30" spans="2:36" ht="18">
      <c r="B30" s="104" t="s">
        <v>819</v>
      </c>
      <c r="C30" s="105">
        <v>0.12</v>
      </c>
      <c r="D30" s="105">
        <v>0.32</v>
      </c>
      <c r="E30" s="105">
        <v>0.28999999999999998</v>
      </c>
      <c r="F30" s="105">
        <v>0.46</v>
      </c>
      <c r="G30" s="105">
        <v>-0.01</v>
      </c>
      <c r="H30" s="105">
        <v>0.2</v>
      </c>
      <c r="I30" s="105">
        <v>0.56999999999999995</v>
      </c>
      <c r="J30" s="105">
        <v>0.62</v>
      </c>
      <c r="K30" s="105">
        <v>0.15</v>
      </c>
      <c r="L30" s="105">
        <v>0.65</v>
      </c>
      <c r="M30" s="105">
        <v>0.38</v>
      </c>
      <c r="N30" s="105">
        <v>0.5</v>
      </c>
      <c r="O30" s="105">
        <v>0.02</v>
      </c>
      <c r="P30" s="105">
        <v>0.5</v>
      </c>
      <c r="Q30" s="105">
        <v>0.7</v>
      </c>
      <c r="R30" s="105">
        <v>0.6</v>
      </c>
      <c r="S30" s="105">
        <v>0.56999999999999995</v>
      </c>
      <c r="T30" s="105">
        <v>-0.36</v>
      </c>
      <c r="U30" s="106">
        <v>0.79</v>
      </c>
      <c r="V30" s="105">
        <v>0.02</v>
      </c>
      <c r="W30" s="105">
        <v>0.15</v>
      </c>
      <c r="X30" s="105">
        <v>0.17</v>
      </c>
      <c r="Y30" s="105">
        <v>0.51</v>
      </c>
      <c r="Z30" s="105">
        <v>-0.11</v>
      </c>
      <c r="AA30" s="105">
        <v>0.56999999999999995</v>
      </c>
      <c r="AB30" s="105">
        <v>0.16</v>
      </c>
      <c r="AC30" s="105">
        <v>0.4</v>
      </c>
      <c r="AD30" s="105">
        <v>0.6</v>
      </c>
      <c r="AE30" s="105">
        <v>0.25</v>
      </c>
      <c r="AF30" s="105">
        <v>0.16</v>
      </c>
      <c r="AG30" s="105">
        <v>0.26</v>
      </c>
      <c r="AH30" s="105">
        <v>0.19</v>
      </c>
      <c r="AI30" s="105">
        <v>0.6</v>
      </c>
      <c r="AJ30" s="105">
        <v>7.0000000000000007E-2</v>
      </c>
    </row>
    <row r="31" spans="2:36" ht="18">
      <c r="B31" s="104" t="s">
        <v>820</v>
      </c>
      <c r="C31" s="105">
        <v>-0.04</v>
      </c>
      <c r="D31" s="105">
        <v>-0.11</v>
      </c>
      <c r="E31" s="105">
        <v>0.42</v>
      </c>
      <c r="F31" s="105">
        <v>0.09</v>
      </c>
      <c r="G31" s="105">
        <v>-0.28000000000000003</v>
      </c>
      <c r="H31" s="105">
        <v>0.08</v>
      </c>
      <c r="I31" s="105">
        <v>0.04</v>
      </c>
      <c r="J31" s="105">
        <v>0.26</v>
      </c>
      <c r="K31" s="105">
        <v>0.03</v>
      </c>
      <c r="L31" s="105">
        <v>0.23</v>
      </c>
      <c r="M31" s="105">
        <v>0.11</v>
      </c>
      <c r="N31" s="105">
        <v>7.0000000000000007E-2</v>
      </c>
      <c r="O31" s="105">
        <v>-0.03</v>
      </c>
      <c r="P31" s="105">
        <v>0.09</v>
      </c>
      <c r="Q31" s="105">
        <v>0.21</v>
      </c>
      <c r="R31" s="105">
        <v>0.22</v>
      </c>
      <c r="S31" s="105">
        <v>0.51</v>
      </c>
      <c r="T31" s="105">
        <v>-0.25</v>
      </c>
      <c r="U31" s="105">
        <v>0.1</v>
      </c>
      <c r="V31" s="105">
        <v>-0.32</v>
      </c>
      <c r="W31" s="105">
        <v>0.11</v>
      </c>
      <c r="X31" s="105">
        <v>0.1</v>
      </c>
      <c r="Y31" s="105">
        <v>0.19</v>
      </c>
      <c r="Z31" s="105">
        <v>-0.2</v>
      </c>
      <c r="AA31" s="105">
        <v>0.49</v>
      </c>
      <c r="AB31" s="105">
        <v>-0.02</v>
      </c>
      <c r="AC31" s="105">
        <v>-0.15</v>
      </c>
      <c r="AD31" s="105">
        <v>0.18</v>
      </c>
      <c r="AE31" s="105">
        <v>0.41</v>
      </c>
      <c r="AF31" s="105">
        <v>-0.1</v>
      </c>
      <c r="AG31" s="105">
        <v>0.31</v>
      </c>
      <c r="AH31" s="105">
        <v>0.4</v>
      </c>
      <c r="AI31" s="105">
        <v>0.32</v>
      </c>
      <c r="AJ31" s="105">
        <v>-0.24</v>
      </c>
    </row>
    <row r="32" spans="2:36" ht="18">
      <c r="B32" s="104" t="s">
        <v>821</v>
      </c>
      <c r="C32" s="105">
        <v>0.34</v>
      </c>
      <c r="D32" s="105">
        <v>0.49</v>
      </c>
      <c r="E32" s="105">
        <v>0.46</v>
      </c>
      <c r="F32" s="105">
        <v>0.54</v>
      </c>
      <c r="G32" s="105">
        <v>0.19</v>
      </c>
      <c r="H32" s="105">
        <v>0.26</v>
      </c>
      <c r="I32" s="105">
        <v>0.52</v>
      </c>
      <c r="J32" s="105">
        <v>0.67</v>
      </c>
      <c r="K32" s="105">
        <v>0.04</v>
      </c>
      <c r="L32" s="105">
        <v>0.51</v>
      </c>
      <c r="M32" s="105">
        <v>0.3</v>
      </c>
      <c r="N32" s="105">
        <v>0.51</v>
      </c>
      <c r="O32" s="105">
        <v>0.06</v>
      </c>
      <c r="P32" s="105">
        <v>0.5</v>
      </c>
      <c r="Q32" s="105">
        <v>0.7</v>
      </c>
      <c r="R32" s="105">
        <v>0.65</v>
      </c>
      <c r="S32" s="105">
        <v>0.74</v>
      </c>
      <c r="T32" s="105">
        <v>-0.28000000000000003</v>
      </c>
      <c r="U32" s="106">
        <v>0.7</v>
      </c>
      <c r="V32" s="105">
        <v>0.05</v>
      </c>
      <c r="W32" s="105">
        <v>0.27</v>
      </c>
      <c r="X32" s="105">
        <v>0.33</v>
      </c>
      <c r="Y32" s="105">
        <v>0.22</v>
      </c>
      <c r="Z32" s="105">
        <v>-0.06</v>
      </c>
      <c r="AA32" s="105">
        <v>0.33</v>
      </c>
      <c r="AB32" s="105">
        <v>-0.03</v>
      </c>
      <c r="AC32" s="105">
        <v>0.23</v>
      </c>
      <c r="AD32" s="105">
        <v>0.46</v>
      </c>
      <c r="AE32" s="105">
        <v>0.21</v>
      </c>
      <c r="AF32" s="105">
        <v>0.24</v>
      </c>
      <c r="AG32" s="105">
        <v>0.27</v>
      </c>
      <c r="AH32" s="105">
        <v>-0.14000000000000001</v>
      </c>
      <c r="AI32" s="105">
        <v>0.66</v>
      </c>
      <c r="AJ32" s="105">
        <v>0.41</v>
      </c>
    </row>
    <row r="33" spans="2:36" ht="18">
      <c r="B33" s="104" t="s">
        <v>822</v>
      </c>
      <c r="C33" s="105">
        <v>0.28000000000000003</v>
      </c>
      <c r="D33" s="105">
        <v>0.38</v>
      </c>
      <c r="E33" s="105">
        <v>0.03</v>
      </c>
      <c r="F33" s="105">
        <v>0.46</v>
      </c>
      <c r="G33" s="105">
        <v>0.37</v>
      </c>
      <c r="H33" s="105">
        <v>-0.16</v>
      </c>
      <c r="I33" s="105">
        <v>0.52</v>
      </c>
      <c r="J33" s="105">
        <v>0.37</v>
      </c>
      <c r="K33" s="105">
        <v>0.09</v>
      </c>
      <c r="L33" s="105">
        <v>0.27</v>
      </c>
      <c r="M33" s="105">
        <v>0.27</v>
      </c>
      <c r="N33" s="105">
        <v>0.4</v>
      </c>
      <c r="O33" s="105">
        <v>0.3</v>
      </c>
      <c r="P33" s="105">
        <v>0.26</v>
      </c>
      <c r="Q33" s="105">
        <v>0.42</v>
      </c>
      <c r="R33" s="105">
        <v>0.51</v>
      </c>
      <c r="S33" s="105">
        <v>0.49</v>
      </c>
      <c r="T33" s="105">
        <v>-0.31</v>
      </c>
      <c r="U33" s="105">
        <v>0.37</v>
      </c>
      <c r="V33" s="105">
        <v>-0.06</v>
      </c>
      <c r="W33" s="105">
        <v>0.21</v>
      </c>
      <c r="X33" s="105">
        <v>-0.03</v>
      </c>
      <c r="Y33" s="105">
        <v>0.4</v>
      </c>
      <c r="Z33" s="105">
        <v>0.32</v>
      </c>
      <c r="AA33" s="105">
        <v>-0.05</v>
      </c>
      <c r="AB33" s="105">
        <v>-0.09</v>
      </c>
      <c r="AC33" s="105">
        <v>0.39</v>
      </c>
      <c r="AD33" s="105">
        <v>0.12</v>
      </c>
      <c r="AE33" s="105">
        <v>-7.0000000000000007E-2</v>
      </c>
      <c r="AF33" s="105">
        <v>0.49</v>
      </c>
      <c r="AG33" s="105">
        <v>-0.01</v>
      </c>
      <c r="AH33" s="105">
        <v>-0.35</v>
      </c>
      <c r="AI33" s="105">
        <v>0.32</v>
      </c>
      <c r="AJ33" s="105">
        <v>0.23</v>
      </c>
    </row>
    <row r="34" spans="2:36" ht="18">
      <c r="B34" s="104" t="s">
        <v>823</v>
      </c>
      <c r="C34" s="105">
        <v>0.6</v>
      </c>
      <c r="D34" s="105">
        <v>0.66</v>
      </c>
      <c r="E34" s="105">
        <v>0.7</v>
      </c>
      <c r="F34" s="105">
        <v>0.22</v>
      </c>
      <c r="G34" s="105">
        <v>0.62</v>
      </c>
      <c r="H34" s="105">
        <v>-0.19</v>
      </c>
      <c r="I34" s="105">
        <v>0.26</v>
      </c>
      <c r="J34" s="105">
        <v>0.45</v>
      </c>
      <c r="K34" s="105">
        <v>0.43</v>
      </c>
      <c r="L34" s="105">
        <v>0.27</v>
      </c>
      <c r="M34" s="105">
        <v>0.31</v>
      </c>
      <c r="N34" s="105">
        <v>0.28999999999999998</v>
      </c>
      <c r="O34" s="105">
        <v>0.62</v>
      </c>
      <c r="P34" s="105">
        <v>0.42</v>
      </c>
      <c r="Q34" s="105">
        <v>0.17</v>
      </c>
      <c r="R34" s="105">
        <v>0.37</v>
      </c>
      <c r="S34" s="105">
        <v>0.43</v>
      </c>
      <c r="T34" s="105">
        <v>0.03</v>
      </c>
      <c r="U34" s="105">
        <v>7.0000000000000007E-2</v>
      </c>
      <c r="V34" s="105">
        <v>-0.21</v>
      </c>
      <c r="W34" s="105">
        <v>0.43</v>
      </c>
      <c r="X34" s="105">
        <v>0.37</v>
      </c>
      <c r="Y34" s="105">
        <v>0.11</v>
      </c>
      <c r="Z34" s="105">
        <v>0.18</v>
      </c>
      <c r="AA34" s="105">
        <v>0.37</v>
      </c>
      <c r="AB34" s="105">
        <v>-0.17</v>
      </c>
      <c r="AC34" s="105">
        <v>0.04</v>
      </c>
      <c r="AD34" s="105">
        <v>0.13</v>
      </c>
      <c r="AE34" s="105">
        <v>0.73</v>
      </c>
      <c r="AF34" s="105">
        <v>0.39</v>
      </c>
      <c r="AG34" s="105">
        <v>0.69</v>
      </c>
      <c r="AH34" s="105">
        <v>0</v>
      </c>
      <c r="AI34" s="105">
        <v>0.37</v>
      </c>
      <c r="AJ34" s="105">
        <v>0.51</v>
      </c>
    </row>
    <row r="35" spans="2:36" ht="18">
      <c r="B35" s="104" t="s">
        <v>824</v>
      </c>
      <c r="C35" s="105">
        <v>0.57999999999999996</v>
      </c>
      <c r="D35" s="105">
        <v>0.66</v>
      </c>
      <c r="E35" s="106">
        <v>0.76</v>
      </c>
      <c r="F35" s="105">
        <v>0.25</v>
      </c>
      <c r="G35" s="105">
        <v>0.52</v>
      </c>
      <c r="H35" s="105">
        <v>0.13</v>
      </c>
      <c r="I35" s="105">
        <v>0.54</v>
      </c>
      <c r="J35" s="106">
        <v>0.72</v>
      </c>
      <c r="K35" s="105">
        <v>0.43</v>
      </c>
      <c r="L35" s="105">
        <v>0.65</v>
      </c>
      <c r="M35" s="105">
        <v>0.56999999999999995</v>
      </c>
      <c r="N35" s="105">
        <v>0.56000000000000005</v>
      </c>
      <c r="O35" s="105">
        <v>0.6</v>
      </c>
      <c r="P35" s="105">
        <v>0.5</v>
      </c>
      <c r="Q35" s="105">
        <v>0.52</v>
      </c>
      <c r="R35" s="105">
        <v>0.68</v>
      </c>
      <c r="S35" s="105">
        <v>0.51</v>
      </c>
      <c r="T35" s="105">
        <v>-7.0000000000000007E-2</v>
      </c>
      <c r="U35" s="105">
        <v>0.44</v>
      </c>
      <c r="V35" s="105">
        <v>-0.03</v>
      </c>
      <c r="W35" s="105">
        <v>0.5</v>
      </c>
      <c r="X35" s="105">
        <v>0.36</v>
      </c>
      <c r="Y35" s="105">
        <v>0.52</v>
      </c>
      <c r="Z35" s="105">
        <v>0.14000000000000001</v>
      </c>
      <c r="AA35" s="105">
        <v>0.56999999999999995</v>
      </c>
      <c r="AB35" s="105">
        <v>0.04</v>
      </c>
      <c r="AC35" s="105">
        <v>0.34</v>
      </c>
      <c r="AD35" s="105">
        <v>0.45</v>
      </c>
      <c r="AE35" s="105">
        <v>0.55000000000000004</v>
      </c>
      <c r="AF35" s="105">
        <v>0.23</v>
      </c>
      <c r="AG35" s="105">
        <v>0.44</v>
      </c>
      <c r="AH35" s="105">
        <v>0.25</v>
      </c>
      <c r="AI35" s="105">
        <v>0.54</v>
      </c>
      <c r="AJ35" s="105">
        <v>0.37</v>
      </c>
    </row>
    <row r="36" spans="2:36" ht="18">
      <c r="B36" s="104" t="s">
        <v>825</v>
      </c>
      <c r="C36" s="105">
        <v>0.41</v>
      </c>
      <c r="D36" s="105">
        <v>0.54</v>
      </c>
      <c r="E36" s="106">
        <v>0.73</v>
      </c>
      <c r="F36" s="105">
        <v>0.26</v>
      </c>
      <c r="G36" s="105">
        <v>0.21</v>
      </c>
      <c r="H36" s="105">
        <v>0.03</v>
      </c>
      <c r="I36" s="105">
        <v>0.48</v>
      </c>
      <c r="J36" s="105">
        <v>0.55000000000000004</v>
      </c>
      <c r="K36" s="105">
        <v>0.12</v>
      </c>
      <c r="L36" s="105">
        <v>0.39</v>
      </c>
      <c r="M36" s="105">
        <v>0.25</v>
      </c>
      <c r="N36" s="105">
        <v>0.42</v>
      </c>
      <c r="O36" s="105">
        <v>0.26</v>
      </c>
      <c r="P36" s="105">
        <v>0.48</v>
      </c>
      <c r="Q36" s="105">
        <v>0.39</v>
      </c>
      <c r="R36" s="105">
        <v>0.41</v>
      </c>
      <c r="S36" s="105">
        <v>0.65</v>
      </c>
      <c r="T36" s="105">
        <v>-0.04</v>
      </c>
      <c r="U36" s="105">
        <v>0.34</v>
      </c>
      <c r="V36" s="105">
        <v>-0.22</v>
      </c>
      <c r="W36" s="105">
        <v>0.27</v>
      </c>
      <c r="X36" s="105">
        <v>0.32</v>
      </c>
      <c r="Y36" s="105">
        <v>0.19</v>
      </c>
      <c r="Z36" s="105">
        <v>-0.26</v>
      </c>
      <c r="AA36" s="105">
        <v>0.4</v>
      </c>
      <c r="AB36" s="105">
        <v>-0.22</v>
      </c>
      <c r="AC36" s="105">
        <v>0.04</v>
      </c>
      <c r="AD36" s="105">
        <v>0.14000000000000001</v>
      </c>
      <c r="AE36" s="105">
        <v>0.47</v>
      </c>
      <c r="AF36" s="105">
        <v>0.31</v>
      </c>
      <c r="AG36" s="105">
        <v>0.43</v>
      </c>
      <c r="AH36" s="105">
        <v>0</v>
      </c>
      <c r="AI36" s="105">
        <v>0.6</v>
      </c>
      <c r="AJ36" s="105">
        <v>0.44</v>
      </c>
    </row>
    <row r="37" spans="2:36" ht="18">
      <c r="B37" s="104" t="s">
        <v>826</v>
      </c>
      <c r="C37" s="105">
        <v>0.27</v>
      </c>
      <c r="D37" s="106">
        <v>0.71</v>
      </c>
      <c r="E37" s="105">
        <v>0.18</v>
      </c>
      <c r="F37" s="105">
        <v>0</v>
      </c>
      <c r="G37" s="105">
        <v>0.45</v>
      </c>
      <c r="H37" s="105">
        <v>0.05</v>
      </c>
      <c r="I37" s="105">
        <v>0.3</v>
      </c>
      <c r="J37" s="105">
        <v>0.25</v>
      </c>
      <c r="K37" s="105">
        <v>0.08</v>
      </c>
      <c r="L37" s="105">
        <v>0.44</v>
      </c>
      <c r="M37" s="105">
        <v>0.44</v>
      </c>
      <c r="N37" s="105">
        <v>0.32</v>
      </c>
      <c r="O37" s="105">
        <v>0.47</v>
      </c>
      <c r="P37" s="105">
        <v>0.2</v>
      </c>
      <c r="Q37" s="105">
        <v>0.24</v>
      </c>
      <c r="R37" s="105">
        <v>0.46</v>
      </c>
      <c r="S37" s="105">
        <v>-0.01</v>
      </c>
      <c r="T37" s="105">
        <v>-0.13</v>
      </c>
      <c r="U37" s="105">
        <v>0.35</v>
      </c>
      <c r="V37" s="105">
        <v>0.13</v>
      </c>
      <c r="W37" s="105">
        <v>0.45</v>
      </c>
      <c r="X37" s="105">
        <v>0.04</v>
      </c>
      <c r="Y37" s="105">
        <v>0.37</v>
      </c>
      <c r="Z37" s="105">
        <v>0.37</v>
      </c>
      <c r="AA37" s="105">
        <v>0.16</v>
      </c>
      <c r="AB37" s="105">
        <v>0.2</v>
      </c>
      <c r="AC37" s="105">
        <v>0.15</v>
      </c>
      <c r="AD37" s="105">
        <v>0.34</v>
      </c>
      <c r="AE37" s="105">
        <v>-0.05</v>
      </c>
      <c r="AF37" s="105">
        <v>-0.17</v>
      </c>
      <c r="AG37" s="105">
        <v>-0.09</v>
      </c>
      <c r="AH37" s="105">
        <v>0.14000000000000001</v>
      </c>
      <c r="AI37" s="105">
        <v>0.28000000000000003</v>
      </c>
      <c r="AJ37" s="105">
        <v>0.38</v>
      </c>
    </row>
    <row r="38" spans="2:36" ht="18">
      <c r="B38" s="104" t="s">
        <v>827</v>
      </c>
      <c r="C38" s="105">
        <v>0.42</v>
      </c>
      <c r="D38" s="106">
        <v>0.76</v>
      </c>
      <c r="E38" s="105">
        <v>0.62</v>
      </c>
      <c r="F38" s="105">
        <v>0.25</v>
      </c>
      <c r="G38" s="105">
        <v>0.41</v>
      </c>
      <c r="H38" s="105">
        <v>0.33</v>
      </c>
      <c r="I38" s="105">
        <v>0.44</v>
      </c>
      <c r="J38" s="105">
        <v>0.71</v>
      </c>
      <c r="K38" s="105">
        <v>0.19</v>
      </c>
      <c r="L38" s="105">
        <v>0.74</v>
      </c>
      <c r="M38" s="105">
        <v>0.56000000000000005</v>
      </c>
      <c r="N38" s="105">
        <v>0.51</v>
      </c>
      <c r="O38" s="105">
        <v>0.41</v>
      </c>
      <c r="P38" s="105">
        <v>0.53</v>
      </c>
      <c r="Q38" s="105">
        <v>0.65</v>
      </c>
      <c r="R38" s="105">
        <v>0.76</v>
      </c>
      <c r="S38" s="105">
        <v>0.43</v>
      </c>
      <c r="T38" s="105">
        <v>-0.28000000000000003</v>
      </c>
      <c r="U38" s="105">
        <v>0.7</v>
      </c>
      <c r="V38" s="105">
        <v>0.14000000000000001</v>
      </c>
      <c r="W38" s="105">
        <v>0.53</v>
      </c>
      <c r="X38" s="105">
        <v>0.37</v>
      </c>
      <c r="Y38" s="105">
        <v>0.41</v>
      </c>
      <c r="Z38" s="105">
        <v>0.14000000000000001</v>
      </c>
      <c r="AA38" s="105">
        <v>0.63</v>
      </c>
      <c r="AB38" s="105">
        <v>0.18</v>
      </c>
      <c r="AC38" s="105">
        <v>0.21</v>
      </c>
      <c r="AD38" s="105">
        <v>0.73</v>
      </c>
      <c r="AE38" s="105">
        <v>0.39</v>
      </c>
      <c r="AF38" s="105">
        <v>-0.11</v>
      </c>
      <c r="AG38" s="105">
        <v>0.31</v>
      </c>
      <c r="AH38" s="105">
        <v>0.28999999999999998</v>
      </c>
      <c r="AI38" s="105">
        <v>0.64</v>
      </c>
      <c r="AJ38" s="105">
        <v>0.47</v>
      </c>
    </row>
    <row r="39" spans="2:36" ht="18">
      <c r="B39" s="104" t="s">
        <v>828</v>
      </c>
      <c r="C39" s="105">
        <v>0.3</v>
      </c>
      <c r="D39" s="106">
        <v>0.74</v>
      </c>
      <c r="E39" s="105">
        <v>0.52</v>
      </c>
      <c r="F39" s="105">
        <v>-0.16</v>
      </c>
      <c r="G39" s="105">
        <v>0.34</v>
      </c>
      <c r="H39" s="105">
        <v>-0.12</v>
      </c>
      <c r="I39" s="105">
        <v>0.2</v>
      </c>
      <c r="J39" s="105">
        <v>0.32</v>
      </c>
      <c r="K39" s="105">
        <v>-0.1</v>
      </c>
      <c r="L39" s="105">
        <v>0.19</v>
      </c>
      <c r="M39" s="105">
        <v>0.09</v>
      </c>
      <c r="N39" s="105">
        <v>0.08</v>
      </c>
      <c r="O39" s="105">
        <v>0.34</v>
      </c>
      <c r="P39" s="105">
        <v>0.19</v>
      </c>
      <c r="Q39" s="105">
        <v>0.16</v>
      </c>
      <c r="R39" s="105">
        <v>0.34</v>
      </c>
      <c r="S39" s="105">
        <v>0.26</v>
      </c>
      <c r="T39" s="105">
        <v>-0.4</v>
      </c>
      <c r="U39" s="105">
        <v>0.27</v>
      </c>
      <c r="V39" s="105">
        <v>-0.24</v>
      </c>
      <c r="W39" s="105">
        <v>0.17</v>
      </c>
      <c r="X39" s="105">
        <v>0</v>
      </c>
      <c r="Y39" s="105">
        <v>0.13</v>
      </c>
      <c r="Z39" s="105">
        <v>-0.14000000000000001</v>
      </c>
      <c r="AA39" s="105">
        <v>0.09</v>
      </c>
      <c r="AB39" s="105">
        <v>-0.38</v>
      </c>
      <c r="AC39" s="105">
        <v>0.01</v>
      </c>
      <c r="AD39" s="105">
        <v>0.09</v>
      </c>
      <c r="AE39" s="105">
        <v>0.06</v>
      </c>
      <c r="AF39" s="105">
        <v>0.01</v>
      </c>
      <c r="AG39" s="105">
        <v>7.0000000000000007E-2</v>
      </c>
      <c r="AH39" s="105">
        <v>-0.16</v>
      </c>
      <c r="AI39" s="105">
        <v>0.48</v>
      </c>
      <c r="AJ39" s="105">
        <v>0.49</v>
      </c>
    </row>
    <row r="40" spans="2:36" ht="18">
      <c r="B40" s="104" t="s">
        <v>829</v>
      </c>
      <c r="C40" s="105">
        <v>0.41</v>
      </c>
      <c r="D40" s="105">
        <v>0.54</v>
      </c>
      <c r="E40" s="105">
        <v>0.39</v>
      </c>
      <c r="F40" s="105">
        <v>0.57999999999999996</v>
      </c>
      <c r="G40" s="105">
        <v>0.32</v>
      </c>
      <c r="H40" s="105">
        <v>0.09</v>
      </c>
      <c r="I40" s="105">
        <v>0.83</v>
      </c>
      <c r="J40" s="105">
        <v>0.68</v>
      </c>
      <c r="K40" s="105">
        <v>0.41</v>
      </c>
      <c r="L40" s="105">
        <v>0.68</v>
      </c>
      <c r="M40" s="105">
        <v>0.49</v>
      </c>
      <c r="N40" s="105">
        <v>0.65</v>
      </c>
      <c r="O40" s="105">
        <v>0.28999999999999998</v>
      </c>
      <c r="P40" s="105">
        <v>0.69</v>
      </c>
      <c r="Q40" s="106">
        <v>0.7</v>
      </c>
      <c r="R40" s="105">
        <v>0.59</v>
      </c>
      <c r="S40" s="105">
        <v>0.54</v>
      </c>
      <c r="T40" s="105">
        <v>-0.02</v>
      </c>
      <c r="U40" s="106">
        <v>0.78</v>
      </c>
      <c r="V40" s="105">
        <v>0.14000000000000001</v>
      </c>
      <c r="W40" s="105">
        <v>0.24</v>
      </c>
      <c r="X40" s="105">
        <v>0.3</v>
      </c>
      <c r="Y40" s="105">
        <v>0.52</v>
      </c>
      <c r="Z40" s="105">
        <v>-0.04</v>
      </c>
      <c r="AA40" s="105">
        <v>0.51</v>
      </c>
      <c r="AB40" s="105">
        <v>0.14000000000000001</v>
      </c>
      <c r="AC40" s="105">
        <v>0.6</v>
      </c>
      <c r="AD40" s="105">
        <v>0.49</v>
      </c>
      <c r="AE40" s="105">
        <v>0.41</v>
      </c>
      <c r="AF40" s="105">
        <v>0.57999999999999996</v>
      </c>
      <c r="AG40" s="105">
        <v>0.49</v>
      </c>
      <c r="AH40" s="105">
        <v>0.02</v>
      </c>
      <c r="AI40" s="105">
        <v>0.65</v>
      </c>
      <c r="AJ40" s="105">
        <v>0.41</v>
      </c>
    </row>
    <row r="41" spans="2:36" ht="18">
      <c r="B41" s="104" t="s">
        <v>830</v>
      </c>
      <c r="C41" s="105">
        <v>0.15</v>
      </c>
      <c r="D41" s="105">
        <v>0.68</v>
      </c>
      <c r="E41" s="105">
        <v>0.32</v>
      </c>
      <c r="F41" s="105">
        <v>-0.33</v>
      </c>
      <c r="G41" s="105">
        <v>0.28000000000000003</v>
      </c>
      <c r="H41" s="105">
        <v>-0.18</v>
      </c>
      <c r="I41" s="105">
        <v>0</v>
      </c>
      <c r="J41" s="105">
        <v>0.05</v>
      </c>
      <c r="K41" s="105">
        <v>-0.01</v>
      </c>
      <c r="L41" s="105">
        <v>0.1</v>
      </c>
      <c r="M41" s="105">
        <v>0.02</v>
      </c>
      <c r="N41" s="105">
        <v>-0.26</v>
      </c>
      <c r="O41" s="105">
        <v>0.34</v>
      </c>
      <c r="P41" s="105">
        <v>0.18</v>
      </c>
      <c r="Q41" s="105">
        <v>0.01</v>
      </c>
      <c r="R41" s="105">
        <v>0.08</v>
      </c>
      <c r="S41" s="105">
        <v>-0.13</v>
      </c>
      <c r="T41" s="105">
        <v>-0.35</v>
      </c>
      <c r="U41" s="105">
        <v>0.28000000000000003</v>
      </c>
      <c r="V41" s="105">
        <v>-0.06</v>
      </c>
      <c r="W41" s="105">
        <v>0.09</v>
      </c>
      <c r="X41" s="105">
        <v>-0.06</v>
      </c>
      <c r="Y41" s="105">
        <v>-0.05</v>
      </c>
      <c r="Z41" s="105">
        <v>-0.15</v>
      </c>
      <c r="AA41" s="105">
        <v>0.21</v>
      </c>
      <c r="AB41" s="105">
        <v>-0.19</v>
      </c>
      <c r="AC41" s="105">
        <v>-7.0000000000000007E-2</v>
      </c>
      <c r="AD41" s="105">
        <v>0.19</v>
      </c>
      <c r="AE41" s="105">
        <v>0.21</v>
      </c>
      <c r="AF41" s="105">
        <v>-7.0000000000000007E-2</v>
      </c>
      <c r="AG41" s="105">
        <v>0.35</v>
      </c>
      <c r="AH41" s="105">
        <v>0.04</v>
      </c>
      <c r="AI41" s="105">
        <v>0.47</v>
      </c>
      <c r="AJ41" s="105">
        <v>0.59</v>
      </c>
    </row>
    <row r="42" spans="2:36" s="100" customFormat="1" ht="18">
      <c r="B42" s="104" t="s">
        <v>831</v>
      </c>
      <c r="C42" s="105">
        <v>0.59</v>
      </c>
      <c r="D42" s="105">
        <v>0.39</v>
      </c>
      <c r="E42" s="105">
        <v>0.56999999999999995</v>
      </c>
      <c r="F42" s="105">
        <v>0.43</v>
      </c>
      <c r="G42" s="105">
        <v>0.56000000000000005</v>
      </c>
      <c r="H42" s="105">
        <v>0.38</v>
      </c>
      <c r="I42" s="105">
        <v>0.56999999999999995</v>
      </c>
      <c r="J42" s="105">
        <v>0.81</v>
      </c>
      <c r="K42" s="105">
        <v>0.4</v>
      </c>
      <c r="L42" s="105">
        <v>0.6</v>
      </c>
      <c r="M42" s="105">
        <v>0.51</v>
      </c>
      <c r="N42" s="106">
        <v>0.77</v>
      </c>
      <c r="O42" s="105">
        <v>0.38</v>
      </c>
      <c r="P42" s="105">
        <v>0.75</v>
      </c>
      <c r="Q42" s="105">
        <v>0.57999999999999996</v>
      </c>
      <c r="R42" s="105">
        <v>0.54</v>
      </c>
      <c r="S42" s="105">
        <v>0.32</v>
      </c>
      <c r="T42" s="105">
        <v>0.28999999999999998</v>
      </c>
      <c r="U42" s="105">
        <v>0.41</v>
      </c>
      <c r="V42" s="105">
        <v>0.35</v>
      </c>
      <c r="W42" s="105">
        <v>0.36</v>
      </c>
      <c r="X42" s="105">
        <v>0.64</v>
      </c>
      <c r="Y42" s="105">
        <v>0.3</v>
      </c>
      <c r="Z42" s="105">
        <v>0.06</v>
      </c>
      <c r="AA42" s="105">
        <v>0.53</v>
      </c>
      <c r="AB42" s="105">
        <v>0.08</v>
      </c>
      <c r="AC42" s="105">
        <v>0.46</v>
      </c>
      <c r="AD42" s="105">
        <v>0.49</v>
      </c>
      <c r="AE42" s="105">
        <v>0.56999999999999995</v>
      </c>
      <c r="AF42" s="105">
        <v>0.43</v>
      </c>
      <c r="AG42" s="105">
        <v>0.26</v>
      </c>
      <c r="AH42" s="105">
        <v>-0.01</v>
      </c>
      <c r="AI42" s="105">
        <v>0.15</v>
      </c>
      <c r="AJ42" s="105">
        <v>0.43</v>
      </c>
    </row>
    <row r="43" spans="2:36" s="100" customFormat="1" ht="18">
      <c r="B43" s="104" t="s">
        <v>832</v>
      </c>
      <c r="C43" s="105">
        <v>0.25</v>
      </c>
      <c r="D43" s="105">
        <v>0.5</v>
      </c>
      <c r="E43" s="105">
        <v>0.2</v>
      </c>
      <c r="F43" s="105">
        <v>0.34</v>
      </c>
      <c r="G43" s="105">
        <v>0.28000000000000003</v>
      </c>
      <c r="H43" s="105">
        <v>0.1</v>
      </c>
      <c r="I43" s="105">
        <v>0.63</v>
      </c>
      <c r="J43" s="105">
        <v>0.48</v>
      </c>
      <c r="K43" s="105">
        <v>-0.01</v>
      </c>
      <c r="L43" s="105">
        <v>0.52</v>
      </c>
      <c r="M43" s="105">
        <v>0.42</v>
      </c>
      <c r="N43" s="105">
        <v>0.48</v>
      </c>
      <c r="O43" s="105">
        <v>0.31</v>
      </c>
      <c r="P43" s="105">
        <v>0.39</v>
      </c>
      <c r="Q43" s="105">
        <v>0.59</v>
      </c>
      <c r="R43" s="105">
        <v>0.62</v>
      </c>
      <c r="S43" s="105">
        <v>0.47</v>
      </c>
      <c r="T43" s="105">
        <v>-0.3</v>
      </c>
      <c r="U43" s="105">
        <v>0.59</v>
      </c>
      <c r="V43" s="105">
        <v>0.11</v>
      </c>
      <c r="W43" s="105">
        <v>0.32</v>
      </c>
      <c r="X43" s="105">
        <v>0.06</v>
      </c>
      <c r="Y43" s="105">
        <v>0.48</v>
      </c>
      <c r="Z43" s="105">
        <v>0.17</v>
      </c>
      <c r="AA43" s="105">
        <v>0.2</v>
      </c>
      <c r="AB43" s="105">
        <v>0.04</v>
      </c>
      <c r="AC43" s="105">
        <v>0.35</v>
      </c>
      <c r="AD43" s="105">
        <v>0.34</v>
      </c>
      <c r="AE43" s="105">
        <v>-0.04</v>
      </c>
      <c r="AF43" s="105">
        <v>0.28000000000000003</v>
      </c>
      <c r="AG43" s="105">
        <v>-0.05</v>
      </c>
      <c r="AH43" s="105">
        <v>-0.09</v>
      </c>
      <c r="AI43" s="105">
        <v>0.54</v>
      </c>
      <c r="AJ43" s="105">
        <v>0.39</v>
      </c>
    </row>
    <row r="44" spans="2:36" s="100" customFormat="1" ht="18">
      <c r="B44" s="104" t="s">
        <v>833</v>
      </c>
      <c r="C44" s="105">
        <v>0.42</v>
      </c>
      <c r="D44" s="105">
        <v>0.48</v>
      </c>
      <c r="E44" s="105">
        <v>0.2</v>
      </c>
      <c r="F44" s="105">
        <v>0.7</v>
      </c>
      <c r="G44" s="105">
        <v>0.48</v>
      </c>
      <c r="H44" s="105">
        <v>-0.04</v>
      </c>
      <c r="I44" s="105">
        <v>0.87</v>
      </c>
      <c r="J44" s="105">
        <v>0.53</v>
      </c>
      <c r="K44" s="105">
        <v>0.44</v>
      </c>
      <c r="L44" s="105">
        <v>0.65</v>
      </c>
      <c r="M44" s="105">
        <v>0.64</v>
      </c>
      <c r="N44" s="106">
        <v>0.81</v>
      </c>
      <c r="O44" s="105">
        <v>0.49</v>
      </c>
      <c r="P44" s="105">
        <v>0.77</v>
      </c>
      <c r="Q44" s="105">
        <v>0.55000000000000004</v>
      </c>
      <c r="R44" s="105">
        <v>0.53</v>
      </c>
      <c r="S44" s="105">
        <v>0.44</v>
      </c>
      <c r="T44" s="105">
        <v>0.25</v>
      </c>
      <c r="U44" s="105">
        <v>0.47</v>
      </c>
      <c r="V44" s="105">
        <v>0.18</v>
      </c>
      <c r="W44" s="105">
        <v>0.45</v>
      </c>
      <c r="X44" s="105">
        <v>0.36</v>
      </c>
      <c r="Y44" s="105">
        <v>0.56000000000000005</v>
      </c>
      <c r="Z44" s="105">
        <v>0.33</v>
      </c>
      <c r="AA44" s="105">
        <v>0.48</v>
      </c>
      <c r="AB44" s="105">
        <v>0.28999999999999998</v>
      </c>
      <c r="AC44" s="105">
        <v>0.46</v>
      </c>
      <c r="AD44" s="105">
        <v>0.34</v>
      </c>
      <c r="AE44" s="105">
        <v>0.5</v>
      </c>
      <c r="AF44" s="105">
        <v>0.72</v>
      </c>
      <c r="AG44" s="105">
        <v>0.38</v>
      </c>
      <c r="AH44" s="105">
        <v>0.03</v>
      </c>
      <c r="AI44" s="105">
        <v>0.32</v>
      </c>
      <c r="AJ44" s="105">
        <v>0.42</v>
      </c>
    </row>
    <row r="45" spans="2:36" s="100" customFormat="1" ht="18">
      <c r="B45" s="104" t="s">
        <v>834</v>
      </c>
      <c r="C45" s="105">
        <v>0.03</v>
      </c>
      <c r="D45" s="105">
        <v>0.17</v>
      </c>
      <c r="E45" s="105">
        <v>0.41</v>
      </c>
      <c r="F45" s="105">
        <v>0.19</v>
      </c>
      <c r="G45" s="105">
        <v>-0.13</v>
      </c>
      <c r="H45" s="105">
        <v>0.13</v>
      </c>
      <c r="I45" s="105">
        <v>0.23</v>
      </c>
      <c r="J45" s="105">
        <v>0.46</v>
      </c>
      <c r="K45" s="105">
        <v>-0.01</v>
      </c>
      <c r="L45" s="105">
        <v>0.35</v>
      </c>
      <c r="M45" s="105">
        <v>0.09</v>
      </c>
      <c r="N45" s="105">
        <v>0.47</v>
      </c>
      <c r="O45" s="105">
        <v>-0.21</v>
      </c>
      <c r="P45" s="105">
        <v>0.44</v>
      </c>
      <c r="Q45" s="105">
        <v>0.22</v>
      </c>
      <c r="R45" s="105">
        <v>0.19</v>
      </c>
      <c r="S45" s="105">
        <v>0.35</v>
      </c>
      <c r="T45" s="105">
        <v>-0.03</v>
      </c>
      <c r="U45" s="105">
        <v>0.25</v>
      </c>
      <c r="V45" s="105">
        <v>-0.26</v>
      </c>
      <c r="W45" s="105">
        <v>-0.03</v>
      </c>
      <c r="X45" s="105">
        <v>0.3</v>
      </c>
      <c r="Y45" s="105">
        <v>0.18</v>
      </c>
      <c r="Z45" s="105">
        <v>-0.42</v>
      </c>
      <c r="AA45" s="105">
        <v>0.52</v>
      </c>
      <c r="AB45" s="105">
        <v>-0.09</v>
      </c>
      <c r="AC45" s="105">
        <v>0</v>
      </c>
      <c r="AD45" s="105">
        <v>0.26</v>
      </c>
      <c r="AE45" s="105">
        <v>0.37</v>
      </c>
      <c r="AF45" s="105">
        <v>-7.0000000000000007E-2</v>
      </c>
      <c r="AG45" s="105">
        <v>7.0000000000000007E-2</v>
      </c>
      <c r="AH45" s="105">
        <v>0.14000000000000001</v>
      </c>
      <c r="AI45" s="105">
        <v>0.08</v>
      </c>
      <c r="AJ45" s="105">
        <v>-0.15</v>
      </c>
    </row>
    <row r="46" spans="2:36" s="100" customFormat="1" ht="18">
      <c r="B46" s="104" t="s">
        <v>835</v>
      </c>
      <c r="C46" s="105">
        <v>0.35</v>
      </c>
      <c r="D46" s="105">
        <v>0.66</v>
      </c>
      <c r="E46" s="105">
        <v>0.44</v>
      </c>
      <c r="F46" s="105">
        <v>-0.25</v>
      </c>
      <c r="G46" s="105">
        <v>0.36</v>
      </c>
      <c r="H46" s="105">
        <v>0.16</v>
      </c>
      <c r="I46" s="105">
        <v>0.11</v>
      </c>
      <c r="J46" s="105">
        <v>0.19</v>
      </c>
      <c r="K46" s="105">
        <v>0.13</v>
      </c>
      <c r="L46" s="105">
        <v>0.28999999999999998</v>
      </c>
      <c r="M46" s="105">
        <v>0.28999999999999998</v>
      </c>
      <c r="N46" s="105">
        <v>-0.1</v>
      </c>
      <c r="O46" s="105">
        <v>0.49</v>
      </c>
      <c r="P46" s="105">
        <v>-7.0000000000000007E-2</v>
      </c>
      <c r="Q46" s="105">
        <v>0.24</v>
      </c>
      <c r="R46" s="105">
        <v>0.41</v>
      </c>
      <c r="S46" s="105">
        <v>0.04</v>
      </c>
      <c r="T46" s="105">
        <v>-0.23</v>
      </c>
      <c r="U46" s="105">
        <v>0.37</v>
      </c>
      <c r="V46" s="105">
        <v>0.16</v>
      </c>
      <c r="W46" s="105">
        <v>0.38</v>
      </c>
      <c r="X46" s="105">
        <v>-0.03</v>
      </c>
      <c r="Y46" s="105">
        <v>0.17</v>
      </c>
      <c r="Z46" s="105">
        <v>0.16</v>
      </c>
      <c r="AA46" s="105">
        <v>0.06</v>
      </c>
      <c r="AB46" s="105">
        <v>7.0000000000000007E-2</v>
      </c>
      <c r="AC46" s="105">
        <v>0.1</v>
      </c>
      <c r="AD46" s="105">
        <v>0.28000000000000003</v>
      </c>
      <c r="AE46" s="105">
        <v>-0.06</v>
      </c>
      <c r="AF46" s="105">
        <v>-0.24</v>
      </c>
      <c r="AG46" s="105">
        <v>0.21</v>
      </c>
      <c r="AH46" s="105">
        <v>0.22</v>
      </c>
      <c r="AI46" s="105">
        <v>0.64</v>
      </c>
      <c r="AJ46" s="105">
        <v>0.52</v>
      </c>
    </row>
    <row r="47" spans="2:36" s="100" customFormat="1" ht="18">
      <c r="B47" s="104" t="s">
        <v>836</v>
      </c>
      <c r="C47" s="105">
        <v>0.03</v>
      </c>
      <c r="D47" s="105">
        <v>0.55000000000000004</v>
      </c>
      <c r="E47" s="105">
        <v>0.28000000000000003</v>
      </c>
      <c r="F47" s="105">
        <v>-0.14000000000000001</v>
      </c>
      <c r="G47" s="105">
        <v>0.06</v>
      </c>
      <c r="H47" s="105">
        <v>0.05</v>
      </c>
      <c r="I47" s="105">
        <v>0.28000000000000003</v>
      </c>
      <c r="J47" s="105">
        <v>0.28999999999999998</v>
      </c>
      <c r="K47" s="105">
        <v>-0.27</v>
      </c>
      <c r="L47" s="105">
        <v>0.34</v>
      </c>
      <c r="M47" s="105">
        <v>0.15</v>
      </c>
      <c r="N47" s="105">
        <v>0.09</v>
      </c>
      <c r="O47" s="105">
        <v>0.15</v>
      </c>
      <c r="P47" s="105">
        <v>0.25</v>
      </c>
      <c r="Q47" s="105">
        <v>0.32</v>
      </c>
      <c r="R47" s="105">
        <v>0.36</v>
      </c>
      <c r="S47" s="105">
        <v>0.19</v>
      </c>
      <c r="T47" s="105">
        <v>-0.51</v>
      </c>
      <c r="U47" s="105">
        <v>0.51</v>
      </c>
      <c r="V47" s="105">
        <v>-0.06</v>
      </c>
      <c r="W47" s="105">
        <v>0.1</v>
      </c>
      <c r="X47" s="105">
        <v>-0.09</v>
      </c>
      <c r="Y47" s="105">
        <v>0.25</v>
      </c>
      <c r="Z47" s="105">
        <v>-0.21</v>
      </c>
      <c r="AA47" s="105">
        <v>0.23</v>
      </c>
      <c r="AB47" s="105">
        <v>-0.17</v>
      </c>
      <c r="AC47" s="105">
        <v>0.05</v>
      </c>
      <c r="AD47" s="105">
        <v>0.28999999999999998</v>
      </c>
      <c r="AE47" s="105">
        <v>-0.08</v>
      </c>
      <c r="AF47" s="105">
        <v>-0.13</v>
      </c>
      <c r="AG47" s="105">
        <v>-0.11</v>
      </c>
      <c r="AH47" s="105">
        <v>0.02</v>
      </c>
      <c r="AI47" s="105">
        <v>0.54</v>
      </c>
      <c r="AJ47" s="105">
        <v>0.38</v>
      </c>
    </row>
    <row r="48" spans="2:36" s="100" customFormat="1" ht="18">
      <c r="B48" s="104" t="s">
        <v>838</v>
      </c>
      <c r="C48" s="105">
        <v>0.09</v>
      </c>
      <c r="D48" s="105">
        <v>0.54</v>
      </c>
      <c r="E48" s="105">
        <v>0.23</v>
      </c>
      <c r="F48" s="105">
        <v>0.23</v>
      </c>
      <c r="G48" s="105">
        <v>0.09</v>
      </c>
      <c r="H48" s="105">
        <v>-0.38</v>
      </c>
      <c r="I48" s="105">
        <v>0.55000000000000004</v>
      </c>
      <c r="J48" s="105">
        <v>0.24</v>
      </c>
      <c r="K48" s="105">
        <v>0.22</v>
      </c>
      <c r="L48" s="105">
        <v>0.45</v>
      </c>
      <c r="M48" s="105">
        <v>0.33</v>
      </c>
      <c r="N48" s="105">
        <v>0.34</v>
      </c>
      <c r="O48" s="105">
        <v>0.31</v>
      </c>
      <c r="P48" s="105">
        <v>0.33</v>
      </c>
      <c r="Q48" s="105">
        <v>0.23</v>
      </c>
      <c r="R48" s="105">
        <v>0.35</v>
      </c>
      <c r="S48" s="105">
        <v>0.4</v>
      </c>
      <c r="T48" s="105">
        <v>-0.27</v>
      </c>
      <c r="U48" s="105">
        <v>0.39</v>
      </c>
      <c r="V48" s="105">
        <v>-0.42</v>
      </c>
      <c r="W48" s="105">
        <v>0.17</v>
      </c>
      <c r="X48" s="105">
        <v>-0.13</v>
      </c>
      <c r="Y48" s="105">
        <v>0.62</v>
      </c>
      <c r="Z48" s="105">
        <v>0</v>
      </c>
      <c r="AA48" s="105">
        <v>0.42</v>
      </c>
      <c r="AB48" s="105">
        <v>0.04</v>
      </c>
      <c r="AC48" s="105">
        <v>0.23</v>
      </c>
      <c r="AD48" s="105">
        <v>0.16</v>
      </c>
      <c r="AE48" s="105">
        <v>0.28000000000000003</v>
      </c>
      <c r="AF48" s="105">
        <v>0.27</v>
      </c>
      <c r="AG48" s="105">
        <v>0.31</v>
      </c>
      <c r="AH48" s="105">
        <v>0.21</v>
      </c>
      <c r="AI48" s="105">
        <v>0.48</v>
      </c>
      <c r="AJ48" s="105">
        <v>0.03</v>
      </c>
    </row>
    <row r="49" spans="1:36" s="100" customFormat="1"/>
    <row r="50" spans="1:36" ht="16.5">
      <c r="A50" s="96"/>
      <c r="B50" s="96"/>
      <c r="C50" s="97"/>
      <c r="D50" s="97"/>
      <c r="E50" s="97"/>
      <c r="F50" s="97"/>
      <c r="G50" s="97"/>
      <c r="H50" s="97"/>
      <c r="I50" s="97"/>
      <c r="J50" s="97"/>
    </row>
    <row r="52" spans="1:36">
      <c r="A52" s="84" t="s">
        <v>735</v>
      </c>
    </row>
    <row r="53" spans="1:36" ht="132.75" thickBot="1">
      <c r="B53" s="92" t="s">
        <v>704</v>
      </c>
      <c r="C53" s="94" t="s">
        <v>720</v>
      </c>
      <c r="D53" s="94" t="s">
        <v>779</v>
      </c>
      <c r="E53" s="94" t="s">
        <v>721</v>
      </c>
      <c r="F53" s="94" t="s">
        <v>780</v>
      </c>
      <c r="G53" s="94" t="s">
        <v>722</v>
      </c>
      <c r="H53" s="94" t="s">
        <v>781</v>
      </c>
      <c r="I53" s="94" t="s">
        <v>723</v>
      </c>
      <c r="J53" s="94" t="s">
        <v>782</v>
      </c>
      <c r="K53" s="94" t="s">
        <v>783</v>
      </c>
      <c r="L53" s="94" t="s">
        <v>784</v>
      </c>
      <c r="M53" s="94" t="s">
        <v>785</v>
      </c>
      <c r="N53" s="94" t="s">
        <v>786</v>
      </c>
      <c r="O53" s="94" t="s">
        <v>724</v>
      </c>
      <c r="P53" s="94" t="s">
        <v>787</v>
      </c>
      <c r="Q53" s="94" t="s">
        <v>725</v>
      </c>
      <c r="R53" s="94" t="s">
        <v>788</v>
      </c>
      <c r="S53" s="94" t="s">
        <v>726</v>
      </c>
      <c r="T53" s="94" t="s">
        <v>727</v>
      </c>
      <c r="U53" s="94" t="s">
        <v>789</v>
      </c>
      <c r="V53" s="94" t="s">
        <v>728</v>
      </c>
      <c r="W53" s="94" t="s">
        <v>729</v>
      </c>
      <c r="X53" s="94" t="s">
        <v>790</v>
      </c>
      <c r="Y53" s="94" t="s">
        <v>791</v>
      </c>
      <c r="Z53" s="94" t="s">
        <v>730</v>
      </c>
      <c r="AA53" s="94" t="s">
        <v>792</v>
      </c>
      <c r="AB53" s="94" t="s">
        <v>731</v>
      </c>
      <c r="AC53" s="94" t="s">
        <v>793</v>
      </c>
      <c r="AD53" s="94" t="s">
        <v>794</v>
      </c>
      <c r="AE53" s="94" t="s">
        <v>732</v>
      </c>
      <c r="AF53" s="94" t="s">
        <v>733</v>
      </c>
      <c r="AG53" s="94" t="s">
        <v>795</v>
      </c>
      <c r="AH53" s="94" t="s">
        <v>796</v>
      </c>
      <c r="AI53" s="94" t="s">
        <v>797</v>
      </c>
      <c r="AJ53" s="94" t="s">
        <v>798</v>
      </c>
    </row>
    <row r="54" spans="1:36" ht="17.25" thickBot="1">
      <c r="B54" s="92" t="s">
        <v>614</v>
      </c>
      <c r="C54" s="94" t="s">
        <v>688</v>
      </c>
      <c r="D54" s="94" t="s">
        <v>749</v>
      </c>
      <c r="E54" s="94" t="s">
        <v>705</v>
      </c>
      <c r="F54" s="94" t="s">
        <v>751</v>
      </c>
      <c r="G54" s="94" t="s">
        <v>706</v>
      </c>
      <c r="H54" s="94" t="s">
        <v>752</v>
      </c>
      <c r="I54" s="94" t="s">
        <v>707</v>
      </c>
      <c r="J54" s="94" t="s">
        <v>753</v>
      </c>
      <c r="K54" s="94" t="s">
        <v>754</v>
      </c>
      <c r="L54" s="94" t="s">
        <v>755</v>
      </c>
      <c r="M54" s="94" t="s">
        <v>756</v>
      </c>
      <c r="N54" s="94" t="s">
        <v>757</v>
      </c>
      <c r="O54" s="94" t="s">
        <v>689</v>
      </c>
      <c r="P54" s="94" t="s">
        <v>758</v>
      </c>
      <c r="Q54" s="94" t="s">
        <v>708</v>
      </c>
      <c r="R54" s="94" t="s">
        <v>759</v>
      </c>
      <c r="S54" s="94" t="s">
        <v>709</v>
      </c>
      <c r="T54" s="94" t="s">
        <v>710</v>
      </c>
      <c r="U54" s="94" t="s">
        <v>760</v>
      </c>
      <c r="V54" s="94" t="s">
        <v>711</v>
      </c>
      <c r="W54" s="94" t="s">
        <v>712</v>
      </c>
      <c r="X54" s="94" t="s">
        <v>762</v>
      </c>
      <c r="Y54" s="94" t="s">
        <v>763</v>
      </c>
      <c r="Z54" s="94" t="s">
        <v>713</v>
      </c>
      <c r="AA54" s="94" t="s">
        <v>764</v>
      </c>
      <c r="AB54" s="94" t="s">
        <v>714</v>
      </c>
      <c r="AC54" s="94" t="s">
        <v>765</v>
      </c>
      <c r="AD54" s="94" t="s">
        <v>766</v>
      </c>
      <c r="AE54" s="94" t="s">
        <v>715</v>
      </c>
      <c r="AF54" s="94" t="s">
        <v>687</v>
      </c>
      <c r="AG54" s="94" t="s">
        <v>769</v>
      </c>
      <c r="AH54" s="94" t="s">
        <v>770</v>
      </c>
      <c r="AI54" s="94" t="s">
        <v>771</v>
      </c>
      <c r="AJ54" s="94" t="s">
        <v>772</v>
      </c>
    </row>
    <row r="55" spans="1:36" ht="17.25" thickBot="1">
      <c r="B55" s="93" t="s">
        <v>691</v>
      </c>
      <c r="C55" s="95">
        <v>0.6</v>
      </c>
      <c r="D55" s="95">
        <v>0.7</v>
      </c>
      <c r="E55" s="95">
        <v>0.23</v>
      </c>
      <c r="F55" s="95">
        <v>0.63</v>
      </c>
      <c r="G55" s="95">
        <v>0.53</v>
      </c>
      <c r="H55" s="95">
        <v>0.59</v>
      </c>
      <c r="I55" s="95">
        <v>0.83</v>
      </c>
      <c r="J55" s="95">
        <v>0.61</v>
      </c>
      <c r="K55" s="95">
        <v>0.56000000000000005</v>
      </c>
      <c r="L55" s="95">
        <v>0.6</v>
      </c>
      <c r="M55" s="95">
        <v>0.71</v>
      </c>
      <c r="N55" s="95">
        <v>0.73</v>
      </c>
      <c r="O55" s="95">
        <v>0.35</v>
      </c>
      <c r="P55" s="95">
        <v>0.54</v>
      </c>
      <c r="Q55" s="95">
        <v>0.53</v>
      </c>
      <c r="R55" s="95">
        <v>0.59</v>
      </c>
      <c r="S55" s="95">
        <v>0.45</v>
      </c>
      <c r="T55" s="95">
        <v>0.32</v>
      </c>
      <c r="U55" s="95">
        <v>0.6</v>
      </c>
      <c r="V55" s="95">
        <v>0.32</v>
      </c>
      <c r="W55" s="95">
        <v>0.71</v>
      </c>
      <c r="X55" s="95">
        <v>0.42</v>
      </c>
      <c r="Y55" s="95">
        <v>0.51</v>
      </c>
      <c r="Z55" s="95">
        <v>0.56000000000000005</v>
      </c>
      <c r="AA55" s="95">
        <v>0.3</v>
      </c>
      <c r="AB55" s="95">
        <v>0.61</v>
      </c>
      <c r="AC55" s="95">
        <v>0.51</v>
      </c>
      <c r="AD55" s="95">
        <v>0.64</v>
      </c>
      <c r="AE55" s="95">
        <v>0.47</v>
      </c>
      <c r="AF55" s="95">
        <v>0.5</v>
      </c>
      <c r="AG55" s="95">
        <v>0.49</v>
      </c>
      <c r="AH55" s="95">
        <v>0.18</v>
      </c>
      <c r="AI55" s="95">
        <v>0.59</v>
      </c>
      <c r="AJ55" s="95">
        <v>0.56999999999999995</v>
      </c>
    </row>
    <row r="56" spans="1:36" ht="17.25" thickBot="1">
      <c r="B56" s="93" t="s">
        <v>692</v>
      </c>
      <c r="C56" s="95">
        <v>0.59</v>
      </c>
      <c r="D56" s="95">
        <v>0.73</v>
      </c>
      <c r="E56" s="95">
        <v>0.19</v>
      </c>
      <c r="F56" s="95">
        <v>0.43</v>
      </c>
      <c r="G56" s="95">
        <v>0.47</v>
      </c>
      <c r="H56" s="95">
        <v>0.66</v>
      </c>
      <c r="I56" s="95">
        <v>0.55000000000000004</v>
      </c>
      <c r="J56" s="95">
        <v>0.55000000000000004</v>
      </c>
      <c r="K56" s="95">
        <v>0.5</v>
      </c>
      <c r="L56" s="95">
        <v>0.6</v>
      </c>
      <c r="M56" s="95">
        <v>0.64</v>
      </c>
      <c r="N56" s="95">
        <v>0.56000000000000005</v>
      </c>
      <c r="O56" s="95">
        <v>0.39</v>
      </c>
      <c r="P56" s="95">
        <v>0.28999999999999998</v>
      </c>
      <c r="Q56" s="95">
        <v>0.57999999999999996</v>
      </c>
      <c r="R56" s="95">
        <v>0.56999999999999995</v>
      </c>
      <c r="S56" s="95">
        <v>0.23</v>
      </c>
      <c r="T56" s="95">
        <v>0.1</v>
      </c>
      <c r="U56" s="95">
        <v>0.63</v>
      </c>
      <c r="V56" s="95">
        <v>0.38</v>
      </c>
      <c r="W56" s="95">
        <v>0.64</v>
      </c>
      <c r="X56" s="95">
        <v>0.28000000000000003</v>
      </c>
      <c r="Y56" s="95">
        <v>0.45</v>
      </c>
      <c r="Z56" s="95">
        <v>0.63</v>
      </c>
      <c r="AA56" s="95">
        <v>0.24</v>
      </c>
      <c r="AB56" s="95">
        <v>0.53</v>
      </c>
      <c r="AC56" s="95">
        <v>0.44</v>
      </c>
      <c r="AD56" s="95">
        <v>0.66</v>
      </c>
      <c r="AE56" s="95">
        <v>0.19</v>
      </c>
      <c r="AF56" s="95">
        <v>0.22</v>
      </c>
      <c r="AG56" s="95">
        <v>0.37</v>
      </c>
      <c r="AH56" s="95">
        <v>0.37</v>
      </c>
      <c r="AI56" s="95">
        <v>0.45</v>
      </c>
      <c r="AJ56" s="95">
        <v>0.65</v>
      </c>
    </row>
    <row r="57" spans="1:36" ht="17.25" thickBot="1">
      <c r="B57" s="93" t="s">
        <v>690</v>
      </c>
      <c r="C57" s="95">
        <v>0.53</v>
      </c>
      <c r="D57" s="95">
        <v>0.68</v>
      </c>
      <c r="E57" s="95">
        <v>0.24</v>
      </c>
      <c r="F57" s="95">
        <v>0.45</v>
      </c>
      <c r="G57" s="95">
        <v>0.51</v>
      </c>
      <c r="H57" s="95">
        <v>0.66</v>
      </c>
      <c r="I57" s="95">
        <v>0.72</v>
      </c>
      <c r="J57" s="95">
        <v>0.74</v>
      </c>
      <c r="K57" s="95">
        <v>0.6</v>
      </c>
      <c r="L57" s="95">
        <v>0.76</v>
      </c>
      <c r="M57" s="95">
        <v>0.76</v>
      </c>
      <c r="N57" s="95">
        <v>0.77</v>
      </c>
      <c r="O57" s="95">
        <v>0.5</v>
      </c>
      <c r="P57" s="95">
        <v>0.33</v>
      </c>
      <c r="Q57" s="95">
        <v>0.71</v>
      </c>
      <c r="R57" s="95">
        <v>0.76</v>
      </c>
      <c r="S57" s="95">
        <v>0.35</v>
      </c>
      <c r="T57" s="95">
        <v>0.11</v>
      </c>
      <c r="U57" s="95">
        <v>0.67</v>
      </c>
      <c r="V57" s="95">
        <v>0.63</v>
      </c>
      <c r="W57" s="95">
        <v>0.8</v>
      </c>
      <c r="X57" s="95">
        <v>0.42</v>
      </c>
      <c r="Y57" s="95">
        <v>0.56000000000000005</v>
      </c>
      <c r="Z57" s="95">
        <v>0.66</v>
      </c>
      <c r="AA57" s="95">
        <v>0.5</v>
      </c>
      <c r="AB57" s="95">
        <v>0.67</v>
      </c>
      <c r="AC57" s="95">
        <v>0.66</v>
      </c>
      <c r="AD57" s="95">
        <v>0.88</v>
      </c>
      <c r="AE57" s="95">
        <v>0.43</v>
      </c>
      <c r="AF57" s="95">
        <v>0.26</v>
      </c>
      <c r="AG57" s="95">
        <v>0.49</v>
      </c>
      <c r="AH57" s="95">
        <v>0.28000000000000003</v>
      </c>
      <c r="AI57" s="95">
        <v>0.51</v>
      </c>
      <c r="AJ57" s="95">
        <v>0.61</v>
      </c>
    </row>
    <row r="58" spans="1:36" ht="17.25" thickBot="1">
      <c r="B58" s="93" t="s">
        <v>686</v>
      </c>
      <c r="C58" s="95">
        <v>0.59</v>
      </c>
      <c r="D58" s="95">
        <v>0.7</v>
      </c>
      <c r="E58" s="95">
        <v>0.24</v>
      </c>
      <c r="F58" s="95">
        <v>0.5</v>
      </c>
      <c r="G58" s="95">
        <v>0.37</v>
      </c>
      <c r="H58" s="95">
        <v>0.62</v>
      </c>
      <c r="I58" s="95">
        <v>0.85</v>
      </c>
      <c r="J58" s="95">
        <v>0.64</v>
      </c>
      <c r="K58" s="95">
        <v>0.44</v>
      </c>
      <c r="L58" s="95">
        <v>0.57999999999999996</v>
      </c>
      <c r="M58" s="95">
        <v>0.56999999999999995</v>
      </c>
      <c r="N58" s="95">
        <v>0.79</v>
      </c>
      <c r="O58" s="95">
        <v>0.19</v>
      </c>
      <c r="P58" s="95">
        <v>0.39</v>
      </c>
      <c r="Q58" s="95">
        <v>0.55000000000000004</v>
      </c>
      <c r="R58" s="95">
        <v>0.48</v>
      </c>
      <c r="S58" s="95">
        <v>0.4</v>
      </c>
      <c r="T58" s="95">
        <v>0.28999999999999998</v>
      </c>
      <c r="U58" s="95">
        <v>0.57999999999999996</v>
      </c>
      <c r="V58" s="95">
        <v>0.24</v>
      </c>
      <c r="W58" s="95">
        <v>0.56000000000000005</v>
      </c>
      <c r="X58" s="95">
        <v>0.33</v>
      </c>
      <c r="Y58" s="95">
        <v>0.53</v>
      </c>
      <c r="Z58" s="95">
        <v>0.42</v>
      </c>
      <c r="AA58" s="95">
        <v>0.19</v>
      </c>
      <c r="AB58" s="95">
        <v>0.43</v>
      </c>
      <c r="AC58" s="95">
        <v>0.49</v>
      </c>
      <c r="AD58" s="95">
        <v>0.52</v>
      </c>
      <c r="AE58" s="95">
        <v>0.41</v>
      </c>
      <c r="AF58" s="95">
        <v>0.56000000000000005</v>
      </c>
      <c r="AG58" s="95">
        <v>0.39</v>
      </c>
      <c r="AH58" s="95">
        <v>0</v>
      </c>
      <c r="AI58" s="95">
        <v>0.35</v>
      </c>
      <c r="AJ58" s="95">
        <v>0.64</v>
      </c>
    </row>
    <row r="59" spans="1:36" ht="17.25" thickBot="1">
      <c r="B59" s="93" t="s">
        <v>716</v>
      </c>
      <c r="C59" s="95">
        <v>0.56999999999999995</v>
      </c>
      <c r="D59" s="95">
        <v>0.69</v>
      </c>
      <c r="E59" s="95">
        <v>0.39</v>
      </c>
      <c r="F59" s="95">
        <v>0.43</v>
      </c>
      <c r="G59" s="95">
        <v>0.47</v>
      </c>
      <c r="H59" s="95">
        <v>0.77</v>
      </c>
      <c r="I59" s="95">
        <v>0.61</v>
      </c>
      <c r="J59" s="95">
        <v>0.75</v>
      </c>
      <c r="K59" s="95">
        <v>0.55000000000000004</v>
      </c>
      <c r="L59" s="95">
        <v>0.8</v>
      </c>
      <c r="M59" s="95">
        <v>0.76</v>
      </c>
      <c r="N59" s="95">
        <v>0.66</v>
      </c>
      <c r="O59" s="95">
        <v>0.44</v>
      </c>
      <c r="P59" s="95">
        <v>0.24</v>
      </c>
      <c r="Q59" s="95">
        <v>0.69</v>
      </c>
      <c r="R59" s="95">
        <v>0.78</v>
      </c>
      <c r="S59" s="95">
        <v>0.4</v>
      </c>
      <c r="T59" s="95">
        <v>0.03</v>
      </c>
      <c r="U59" s="95">
        <v>0.68</v>
      </c>
      <c r="V59" s="95">
        <v>0.52</v>
      </c>
      <c r="W59" s="95">
        <v>0.84</v>
      </c>
      <c r="X59" s="95">
        <v>0.27</v>
      </c>
      <c r="Y59" s="95">
        <v>0.62</v>
      </c>
      <c r="Z59" s="95">
        <v>0.68</v>
      </c>
      <c r="AA59" s="95">
        <v>0.48</v>
      </c>
      <c r="AB59" s="95">
        <v>0.67</v>
      </c>
      <c r="AC59" s="95">
        <v>0.56999999999999995</v>
      </c>
      <c r="AD59" s="95">
        <v>0.86</v>
      </c>
      <c r="AE59" s="95">
        <v>0.36</v>
      </c>
      <c r="AF59" s="95">
        <v>0.2</v>
      </c>
      <c r="AG59" s="95">
        <v>0.45</v>
      </c>
      <c r="AH59" s="95">
        <v>0.25</v>
      </c>
      <c r="AI59" s="95">
        <v>0.51</v>
      </c>
      <c r="AJ59" s="95">
        <v>0.65</v>
      </c>
    </row>
    <row r="60" spans="1:36" ht="17.25" thickBot="1">
      <c r="B60" s="93" t="s">
        <v>717</v>
      </c>
      <c r="C60" s="95">
        <v>0.43</v>
      </c>
      <c r="D60" s="95">
        <v>0.48</v>
      </c>
      <c r="E60" s="95">
        <v>-0.17</v>
      </c>
      <c r="F60" s="95">
        <v>0.57999999999999996</v>
      </c>
      <c r="G60" s="95">
        <v>0.25</v>
      </c>
      <c r="H60" s="95">
        <v>0.69</v>
      </c>
      <c r="I60" s="95">
        <v>0.66</v>
      </c>
      <c r="J60" s="95">
        <v>0.45</v>
      </c>
      <c r="K60" s="95">
        <v>0.47</v>
      </c>
      <c r="L60" s="95">
        <v>0.51</v>
      </c>
      <c r="M60" s="95">
        <v>0.55000000000000004</v>
      </c>
      <c r="N60" s="95">
        <v>0.72</v>
      </c>
      <c r="O60" s="95">
        <v>0.2</v>
      </c>
      <c r="P60" s="95">
        <v>0.34</v>
      </c>
      <c r="Q60" s="95">
        <v>0.56000000000000005</v>
      </c>
      <c r="R60" s="95">
        <v>0.5</v>
      </c>
      <c r="S60" s="95">
        <v>0.46</v>
      </c>
      <c r="T60" s="95">
        <v>0.3</v>
      </c>
      <c r="U60" s="95">
        <v>0.39</v>
      </c>
      <c r="V60" s="95">
        <v>0.53</v>
      </c>
      <c r="W60" s="95">
        <v>0.56000000000000005</v>
      </c>
      <c r="X60" s="95">
        <v>0.43</v>
      </c>
      <c r="Y60" s="95">
        <v>0.4</v>
      </c>
      <c r="Z60" s="95">
        <v>0.59</v>
      </c>
      <c r="AA60" s="95">
        <v>0.25</v>
      </c>
      <c r="AB60" s="95">
        <v>0.68</v>
      </c>
      <c r="AC60" s="95">
        <v>0.45</v>
      </c>
      <c r="AD60" s="95">
        <v>0.6</v>
      </c>
      <c r="AE60" s="95">
        <v>0.19</v>
      </c>
      <c r="AF60" s="95">
        <v>0.37</v>
      </c>
      <c r="AG60" s="95">
        <v>0.23</v>
      </c>
      <c r="AH60" s="95">
        <v>0.31</v>
      </c>
      <c r="AI60" s="95">
        <v>0.28000000000000003</v>
      </c>
      <c r="AJ60" s="95">
        <v>0.35</v>
      </c>
    </row>
    <row r="61" spans="1:36" ht="17.25" thickBot="1">
      <c r="B61" s="93" t="s">
        <v>718</v>
      </c>
      <c r="C61" s="95">
        <v>0.56999999999999995</v>
      </c>
      <c r="D61" s="95">
        <v>0.5</v>
      </c>
      <c r="E61" s="95">
        <v>0.23</v>
      </c>
      <c r="F61" s="95">
        <v>0.61</v>
      </c>
      <c r="G61" s="95">
        <v>0.38</v>
      </c>
      <c r="H61" s="95">
        <v>0.74</v>
      </c>
      <c r="I61" s="95">
        <v>0.45</v>
      </c>
      <c r="J61" s="95">
        <v>0.55000000000000004</v>
      </c>
      <c r="K61" s="95">
        <v>0.42</v>
      </c>
      <c r="L61" s="95">
        <v>0.54</v>
      </c>
      <c r="M61" s="95">
        <v>0.5</v>
      </c>
      <c r="N61" s="95">
        <v>0.56999999999999995</v>
      </c>
      <c r="O61" s="95">
        <v>0.27</v>
      </c>
      <c r="P61" s="95">
        <v>0.34</v>
      </c>
      <c r="Q61" s="95">
        <v>0.66</v>
      </c>
      <c r="R61" s="95">
        <v>0.55000000000000004</v>
      </c>
      <c r="S61" s="95">
        <v>0.39</v>
      </c>
      <c r="T61" s="95">
        <v>0.28999999999999998</v>
      </c>
      <c r="U61" s="95">
        <v>0.53</v>
      </c>
      <c r="V61" s="95">
        <v>0.49</v>
      </c>
      <c r="W61" s="95">
        <v>0.54</v>
      </c>
      <c r="X61" s="95">
        <v>0.55000000000000004</v>
      </c>
      <c r="Y61" s="95">
        <v>0.22</v>
      </c>
      <c r="Z61" s="95">
        <v>0.43</v>
      </c>
      <c r="AA61" s="95">
        <v>0.28000000000000003</v>
      </c>
      <c r="AB61" s="95">
        <v>0.47</v>
      </c>
      <c r="AC61" s="95">
        <v>0.34</v>
      </c>
      <c r="AD61" s="95">
        <v>0.57999999999999996</v>
      </c>
      <c r="AE61" s="95">
        <v>0.25</v>
      </c>
      <c r="AF61" s="95">
        <v>0.3</v>
      </c>
      <c r="AG61" s="95">
        <v>0.35</v>
      </c>
      <c r="AH61" s="95">
        <v>0.35</v>
      </c>
      <c r="AI61" s="95">
        <v>0.34</v>
      </c>
      <c r="AJ61" s="95">
        <v>0.59</v>
      </c>
    </row>
    <row r="62" spans="1:36" ht="17.25" thickBot="1">
      <c r="B62" s="93" t="s">
        <v>719</v>
      </c>
      <c r="C62" s="95">
        <v>0.74</v>
      </c>
      <c r="D62" s="95">
        <v>0.82</v>
      </c>
      <c r="E62" s="95">
        <v>0.44</v>
      </c>
      <c r="F62" s="95">
        <v>0.72</v>
      </c>
      <c r="G62" s="95">
        <v>0.59</v>
      </c>
      <c r="H62" s="95">
        <v>0.69</v>
      </c>
      <c r="I62" s="95">
        <v>0.78</v>
      </c>
      <c r="J62" s="95">
        <v>0.86</v>
      </c>
      <c r="K62" s="95">
        <v>0.62</v>
      </c>
      <c r="L62" s="95">
        <v>0.78</v>
      </c>
      <c r="M62" s="95">
        <v>0.76</v>
      </c>
      <c r="N62" s="95">
        <v>0.85</v>
      </c>
      <c r="O62" s="95">
        <v>0.54</v>
      </c>
      <c r="P62" s="95">
        <v>0.6</v>
      </c>
      <c r="Q62" s="95">
        <v>0.79</v>
      </c>
      <c r="R62" s="95">
        <v>0.81</v>
      </c>
      <c r="S62" s="95">
        <v>0.61</v>
      </c>
      <c r="T62" s="95">
        <v>0.17</v>
      </c>
      <c r="U62" s="95">
        <v>0.76</v>
      </c>
      <c r="V62" s="95">
        <v>0.37</v>
      </c>
      <c r="W62" s="95">
        <v>0.78</v>
      </c>
      <c r="X62" s="95">
        <v>0.48</v>
      </c>
      <c r="Y62" s="95">
        <v>0.57999999999999996</v>
      </c>
      <c r="Z62" s="95">
        <v>0.55000000000000004</v>
      </c>
      <c r="AA62" s="95">
        <v>0.51</v>
      </c>
      <c r="AB62" s="95">
        <v>0.51</v>
      </c>
      <c r="AC62" s="95">
        <v>0.59</v>
      </c>
      <c r="AD62" s="95">
        <v>0.76</v>
      </c>
      <c r="AE62" s="95">
        <v>0.56000000000000005</v>
      </c>
      <c r="AF62" s="95">
        <v>0.52</v>
      </c>
      <c r="AG62" s="95">
        <v>0.56999999999999995</v>
      </c>
      <c r="AH62" s="95">
        <v>0.32</v>
      </c>
      <c r="AI62" s="95">
        <v>0.62</v>
      </c>
      <c r="AJ62" s="95">
        <v>0.68</v>
      </c>
    </row>
    <row r="63" spans="1:36" ht="18">
      <c r="B63" s="104" t="s">
        <v>806</v>
      </c>
      <c r="C63" s="105">
        <v>0.25</v>
      </c>
      <c r="D63" s="105">
        <v>0.27</v>
      </c>
      <c r="E63" s="105">
        <v>0.36</v>
      </c>
      <c r="F63" s="105">
        <v>0.14000000000000001</v>
      </c>
      <c r="G63" s="105">
        <v>0.33</v>
      </c>
      <c r="H63" s="105">
        <v>-0.11</v>
      </c>
      <c r="I63" s="105">
        <v>-0.05</v>
      </c>
      <c r="J63" s="105">
        <v>0.22</v>
      </c>
      <c r="K63" s="105">
        <v>0.1</v>
      </c>
      <c r="L63" s="105">
        <v>0.08</v>
      </c>
      <c r="M63" s="105">
        <v>0.12</v>
      </c>
      <c r="N63" s="105">
        <v>0.11</v>
      </c>
      <c r="O63" s="105">
        <v>0.31</v>
      </c>
      <c r="P63" s="105">
        <v>7.0000000000000007E-2</v>
      </c>
      <c r="Q63" s="105">
        <v>0.18</v>
      </c>
      <c r="R63" s="105">
        <v>0.01</v>
      </c>
      <c r="S63" s="105">
        <v>0.11</v>
      </c>
      <c r="T63" s="105">
        <v>0.05</v>
      </c>
      <c r="U63" s="105">
        <v>0.13</v>
      </c>
      <c r="V63" s="105">
        <v>-0.17</v>
      </c>
      <c r="W63" s="105">
        <v>0.08</v>
      </c>
      <c r="X63" s="105">
        <v>-0.01</v>
      </c>
      <c r="Y63" s="105">
        <v>-0.02</v>
      </c>
      <c r="Z63" s="105">
        <v>0.01</v>
      </c>
      <c r="AA63" s="105">
        <v>0.15</v>
      </c>
      <c r="AB63" s="105">
        <v>-0.47</v>
      </c>
      <c r="AC63" s="105">
        <v>-7.0000000000000007E-2</v>
      </c>
      <c r="AD63" s="105">
        <v>-0.1</v>
      </c>
      <c r="AE63" s="105">
        <v>0.28999999999999998</v>
      </c>
      <c r="AF63" s="105">
        <v>0.13</v>
      </c>
      <c r="AG63" s="105">
        <v>0.35</v>
      </c>
      <c r="AH63" s="105">
        <v>-0.01</v>
      </c>
      <c r="AI63" s="105">
        <v>0.13</v>
      </c>
      <c r="AJ63" s="105">
        <v>0.21</v>
      </c>
    </row>
    <row r="64" spans="1:36" ht="18">
      <c r="B64" s="104" t="s">
        <v>807</v>
      </c>
      <c r="C64" s="105">
        <v>0.49</v>
      </c>
      <c r="D64" s="105">
        <v>0.48</v>
      </c>
      <c r="E64" s="105">
        <v>0.37</v>
      </c>
      <c r="F64" s="105">
        <v>0.37</v>
      </c>
      <c r="G64" s="105">
        <v>0.35</v>
      </c>
      <c r="H64" s="105">
        <v>0.32</v>
      </c>
      <c r="I64" s="105">
        <v>0.21</v>
      </c>
      <c r="J64" s="105">
        <v>0.52</v>
      </c>
      <c r="K64" s="105">
        <v>0.28999999999999998</v>
      </c>
      <c r="L64" s="105">
        <v>0.28999999999999998</v>
      </c>
      <c r="M64" s="105">
        <v>0.39</v>
      </c>
      <c r="N64" s="105">
        <v>0.41</v>
      </c>
      <c r="O64" s="105">
        <v>0.31</v>
      </c>
      <c r="P64" s="105">
        <v>0.45</v>
      </c>
      <c r="Q64" s="105">
        <v>0.28000000000000003</v>
      </c>
      <c r="R64" s="105">
        <v>0</v>
      </c>
      <c r="S64" s="105">
        <v>0.2</v>
      </c>
      <c r="T64" s="105">
        <v>0.17</v>
      </c>
      <c r="U64" s="105">
        <v>0.33</v>
      </c>
      <c r="V64" s="105">
        <v>0.12</v>
      </c>
      <c r="W64" s="105">
        <v>0.18</v>
      </c>
      <c r="X64" s="105">
        <v>0.23</v>
      </c>
      <c r="Y64" s="105">
        <v>0.03</v>
      </c>
      <c r="Z64" s="105">
        <v>0.05</v>
      </c>
      <c r="AA64" s="105">
        <v>0.35</v>
      </c>
      <c r="AB64" s="105">
        <v>-0.24</v>
      </c>
      <c r="AC64" s="105">
        <v>-0.06</v>
      </c>
      <c r="AD64" s="105">
        <v>0.14000000000000001</v>
      </c>
      <c r="AE64" s="105">
        <v>0.44</v>
      </c>
      <c r="AF64" s="105">
        <v>0.3</v>
      </c>
      <c r="AG64" s="105">
        <v>0.16</v>
      </c>
      <c r="AH64" s="105">
        <v>0.13</v>
      </c>
      <c r="AI64" s="105">
        <v>0.16</v>
      </c>
      <c r="AJ64" s="105">
        <v>0.28999999999999998</v>
      </c>
    </row>
    <row r="65" spans="2:36" ht="18">
      <c r="B65" s="104" t="s">
        <v>808</v>
      </c>
      <c r="C65" s="105">
        <v>0.38</v>
      </c>
      <c r="D65" s="105">
        <v>0.57999999999999996</v>
      </c>
      <c r="E65" s="105">
        <v>7.0000000000000007E-2</v>
      </c>
      <c r="F65" s="105">
        <v>0.4</v>
      </c>
      <c r="G65" s="105">
        <v>0.43</v>
      </c>
      <c r="H65" s="105">
        <v>0.54</v>
      </c>
      <c r="I65" s="105">
        <v>0.36</v>
      </c>
      <c r="J65" s="105">
        <v>0.27</v>
      </c>
      <c r="K65" s="105">
        <v>0.16</v>
      </c>
      <c r="L65" s="105">
        <v>0.45</v>
      </c>
      <c r="M65" s="105">
        <v>0.38</v>
      </c>
      <c r="N65" s="105">
        <v>0.41</v>
      </c>
      <c r="O65" s="105">
        <v>0.14000000000000001</v>
      </c>
      <c r="P65" s="105">
        <v>0.16</v>
      </c>
      <c r="Q65" s="105">
        <v>0.43</v>
      </c>
      <c r="R65" s="105">
        <v>0.16</v>
      </c>
      <c r="S65" s="105">
        <v>0.23</v>
      </c>
      <c r="T65" s="105">
        <v>0.25</v>
      </c>
      <c r="U65" s="105">
        <v>0.35</v>
      </c>
      <c r="V65" s="105">
        <v>0.21</v>
      </c>
      <c r="W65" s="105">
        <v>0.24</v>
      </c>
      <c r="X65" s="105">
        <v>0.24</v>
      </c>
      <c r="Y65" s="105">
        <v>0.34</v>
      </c>
      <c r="Z65" s="105">
        <v>0.49</v>
      </c>
      <c r="AA65" s="105">
        <v>0.28000000000000003</v>
      </c>
      <c r="AB65" s="105">
        <v>0.32</v>
      </c>
      <c r="AC65" s="105">
        <v>0.64</v>
      </c>
      <c r="AD65" s="105">
        <v>0.6</v>
      </c>
      <c r="AE65" s="105">
        <v>0.19</v>
      </c>
      <c r="AF65" s="105">
        <v>0.45</v>
      </c>
      <c r="AG65" s="105">
        <v>0.37</v>
      </c>
      <c r="AH65" s="105">
        <v>0.05</v>
      </c>
      <c r="AI65" s="105">
        <v>0.48</v>
      </c>
      <c r="AJ65" s="105">
        <v>0.63</v>
      </c>
    </row>
    <row r="66" spans="2:36" ht="18">
      <c r="B66" s="104" t="s">
        <v>809</v>
      </c>
      <c r="C66" s="105">
        <v>0.57999999999999996</v>
      </c>
      <c r="D66" s="105">
        <v>0.41</v>
      </c>
      <c r="E66" s="105">
        <v>0.49</v>
      </c>
      <c r="F66" s="105">
        <v>0.48</v>
      </c>
      <c r="G66" s="105">
        <v>0.59</v>
      </c>
      <c r="H66" s="105">
        <v>0.4</v>
      </c>
      <c r="I66" s="105">
        <v>0.21</v>
      </c>
      <c r="J66" s="105">
        <v>0.57999999999999996</v>
      </c>
      <c r="K66" s="105">
        <v>0.46</v>
      </c>
      <c r="L66" s="105">
        <v>0.32</v>
      </c>
      <c r="M66" s="105">
        <v>0.45</v>
      </c>
      <c r="N66" s="105">
        <v>0.42</v>
      </c>
      <c r="O66" s="105">
        <v>0.37</v>
      </c>
      <c r="P66" s="105">
        <v>0.42</v>
      </c>
      <c r="Q66" s="105">
        <v>0.28999999999999998</v>
      </c>
      <c r="R66" s="105">
        <v>0.26</v>
      </c>
      <c r="S66" s="105">
        <v>0.12</v>
      </c>
      <c r="T66" s="105">
        <v>0.27</v>
      </c>
      <c r="U66" s="105">
        <v>0.19</v>
      </c>
      <c r="V66" s="105">
        <v>0.05</v>
      </c>
      <c r="W66" s="105">
        <v>0.47</v>
      </c>
      <c r="X66" s="105">
        <v>0.35</v>
      </c>
      <c r="Y66" s="105">
        <v>0.04</v>
      </c>
      <c r="Z66" s="105">
        <v>0.33</v>
      </c>
      <c r="AA66" s="105">
        <v>0.32</v>
      </c>
      <c r="AB66" s="105">
        <v>0.1</v>
      </c>
      <c r="AC66" s="105">
        <v>0.01</v>
      </c>
      <c r="AD66" s="105">
        <v>0.14000000000000001</v>
      </c>
      <c r="AE66" s="105">
        <v>0.53</v>
      </c>
      <c r="AF66" s="105">
        <v>0.31</v>
      </c>
      <c r="AG66" s="105">
        <v>0.28999999999999998</v>
      </c>
      <c r="AH66" s="105">
        <v>-0.01</v>
      </c>
      <c r="AI66" s="105">
        <v>0.31</v>
      </c>
      <c r="AJ66" s="105">
        <v>0.28000000000000003</v>
      </c>
    </row>
    <row r="67" spans="2:36" ht="18">
      <c r="B67" s="104" t="s">
        <v>810</v>
      </c>
      <c r="C67" s="105">
        <v>0.3</v>
      </c>
      <c r="D67" s="105">
        <v>0.15</v>
      </c>
      <c r="E67" s="105">
        <v>0.45</v>
      </c>
      <c r="F67" s="105">
        <v>0.37</v>
      </c>
      <c r="G67" s="105">
        <v>0.39</v>
      </c>
      <c r="H67" s="105">
        <v>-0.02</v>
      </c>
      <c r="I67" s="105">
        <v>0.08</v>
      </c>
      <c r="J67" s="105">
        <v>0.28999999999999998</v>
      </c>
      <c r="K67" s="105">
        <v>0.13</v>
      </c>
      <c r="L67" s="105">
        <v>0.05</v>
      </c>
      <c r="M67" s="105">
        <v>0.24</v>
      </c>
      <c r="N67" s="105">
        <v>0.23</v>
      </c>
      <c r="O67" s="105">
        <v>0.24</v>
      </c>
      <c r="P67" s="105">
        <v>0.43</v>
      </c>
      <c r="Q67" s="105">
        <v>0.19</v>
      </c>
      <c r="R67" s="105">
        <v>0.04</v>
      </c>
      <c r="S67" s="105">
        <v>0.05</v>
      </c>
      <c r="T67" s="105">
        <v>0.26</v>
      </c>
      <c r="U67" s="105">
        <v>0.18</v>
      </c>
      <c r="V67" s="105">
        <v>-0.24</v>
      </c>
      <c r="W67" s="105">
        <v>0.19</v>
      </c>
      <c r="X67" s="105">
        <v>0.05</v>
      </c>
      <c r="Y67" s="105">
        <v>0</v>
      </c>
      <c r="Z67" s="105">
        <v>-0.02</v>
      </c>
      <c r="AA67" s="105">
        <v>0.08</v>
      </c>
      <c r="AB67" s="105">
        <v>-0.21</v>
      </c>
      <c r="AC67" s="105">
        <v>7.0000000000000007E-2</v>
      </c>
      <c r="AD67" s="105">
        <v>0</v>
      </c>
      <c r="AE67" s="105">
        <v>0.14000000000000001</v>
      </c>
      <c r="AF67" s="105">
        <v>0.36</v>
      </c>
      <c r="AG67" s="105">
        <v>0.01</v>
      </c>
      <c r="AH67" s="105">
        <v>-0.24</v>
      </c>
      <c r="AI67" s="105">
        <v>0.25</v>
      </c>
      <c r="AJ67" s="105">
        <v>0.18</v>
      </c>
    </row>
    <row r="68" spans="2:36" ht="18">
      <c r="B68" s="104" t="s">
        <v>811</v>
      </c>
      <c r="C68" s="105">
        <v>0.44</v>
      </c>
      <c r="D68" s="105">
        <v>0.61</v>
      </c>
      <c r="E68" s="105">
        <v>0.25</v>
      </c>
      <c r="F68" s="105">
        <v>0.35</v>
      </c>
      <c r="G68" s="105">
        <v>0.27</v>
      </c>
      <c r="H68" s="105">
        <v>0.45</v>
      </c>
      <c r="I68" s="105">
        <v>0.56999999999999995</v>
      </c>
      <c r="J68" s="105">
        <v>0.47</v>
      </c>
      <c r="K68" s="105">
        <v>0.37</v>
      </c>
      <c r="L68" s="105">
        <v>0.56000000000000005</v>
      </c>
      <c r="M68" s="105">
        <v>0.42</v>
      </c>
      <c r="N68" s="105">
        <v>0.55000000000000004</v>
      </c>
      <c r="O68" s="105">
        <v>0.34</v>
      </c>
      <c r="P68" s="105">
        <v>0.43</v>
      </c>
      <c r="Q68" s="105">
        <v>0.53</v>
      </c>
      <c r="R68" s="105">
        <v>0.56999999999999995</v>
      </c>
      <c r="S68" s="105">
        <v>0.14000000000000001</v>
      </c>
      <c r="T68" s="105">
        <v>-0.17</v>
      </c>
      <c r="U68" s="105">
        <v>0.64</v>
      </c>
      <c r="V68" s="105">
        <v>0.24</v>
      </c>
      <c r="W68" s="105">
        <v>0.44</v>
      </c>
      <c r="X68" s="105">
        <v>-0.01</v>
      </c>
      <c r="Y68" s="105">
        <v>0.53</v>
      </c>
      <c r="Z68" s="105">
        <v>0.24</v>
      </c>
      <c r="AA68" s="105">
        <v>0.3</v>
      </c>
      <c r="AB68" s="105">
        <v>0.28000000000000003</v>
      </c>
      <c r="AC68" s="105">
        <v>0.46</v>
      </c>
      <c r="AD68" s="105">
        <v>0.59</v>
      </c>
      <c r="AE68" s="105">
        <v>0.14000000000000001</v>
      </c>
      <c r="AF68" s="105">
        <v>0.28999999999999998</v>
      </c>
      <c r="AG68" s="105">
        <v>0.12</v>
      </c>
      <c r="AH68" s="105">
        <v>0</v>
      </c>
      <c r="AI68" s="105">
        <v>0.3</v>
      </c>
      <c r="AJ68" s="105">
        <v>0.43</v>
      </c>
    </row>
    <row r="69" spans="2:36" ht="18">
      <c r="B69" s="104" t="s">
        <v>812</v>
      </c>
      <c r="C69" s="105">
        <v>0.42</v>
      </c>
      <c r="D69" s="105">
        <v>0.41</v>
      </c>
      <c r="E69" s="105">
        <v>0.06</v>
      </c>
      <c r="F69" s="105">
        <v>0.32</v>
      </c>
      <c r="G69" s="105">
        <v>0.26</v>
      </c>
      <c r="H69" s="105">
        <v>0.47</v>
      </c>
      <c r="I69" s="105">
        <v>0.5</v>
      </c>
      <c r="J69" s="105">
        <v>0.63</v>
      </c>
      <c r="K69" s="105">
        <v>0.35</v>
      </c>
      <c r="L69" s="105">
        <v>0.36</v>
      </c>
      <c r="M69" s="105">
        <v>0.43</v>
      </c>
      <c r="N69" s="105">
        <v>0.56999999999999995</v>
      </c>
      <c r="O69" s="105">
        <v>-0.01</v>
      </c>
      <c r="P69" s="105">
        <v>0.04</v>
      </c>
      <c r="Q69" s="105">
        <v>0.42</v>
      </c>
      <c r="R69" s="105">
        <v>0.27</v>
      </c>
      <c r="S69" s="105">
        <v>0.28000000000000003</v>
      </c>
      <c r="T69" s="105">
        <v>0.24</v>
      </c>
      <c r="U69" s="105">
        <v>0.24</v>
      </c>
      <c r="V69" s="105">
        <v>0.06</v>
      </c>
      <c r="W69" s="105">
        <v>0.33</v>
      </c>
      <c r="X69" s="105">
        <v>0.26</v>
      </c>
      <c r="Y69" s="105">
        <v>0.16</v>
      </c>
      <c r="Z69" s="105">
        <v>0.31</v>
      </c>
      <c r="AA69" s="105">
        <v>0.15</v>
      </c>
      <c r="AB69" s="105">
        <v>0.41</v>
      </c>
      <c r="AC69" s="105">
        <v>0.37</v>
      </c>
      <c r="AD69" s="105">
        <v>0.46</v>
      </c>
      <c r="AE69" s="105">
        <v>0.34</v>
      </c>
      <c r="AF69" s="105">
        <v>0.39</v>
      </c>
      <c r="AG69" s="105">
        <v>0.22</v>
      </c>
      <c r="AH69" s="105">
        <v>0.01</v>
      </c>
      <c r="AI69" s="105">
        <v>0.3</v>
      </c>
      <c r="AJ69" s="105">
        <v>0.31</v>
      </c>
    </row>
    <row r="70" spans="2:36" ht="18">
      <c r="B70" s="104" t="s">
        <v>813</v>
      </c>
      <c r="C70" s="105">
        <v>0.43</v>
      </c>
      <c r="D70" s="105">
        <v>0.61</v>
      </c>
      <c r="E70" s="105">
        <v>0.16</v>
      </c>
      <c r="F70" s="105">
        <v>0.28000000000000003</v>
      </c>
      <c r="G70" s="105">
        <v>0.39</v>
      </c>
      <c r="H70" s="105">
        <v>0.28999999999999998</v>
      </c>
      <c r="I70" s="105">
        <v>0.4</v>
      </c>
      <c r="J70" s="105">
        <v>0.3</v>
      </c>
      <c r="K70" s="105">
        <v>0.33</v>
      </c>
      <c r="L70" s="105">
        <v>0.31</v>
      </c>
      <c r="M70" s="105">
        <v>0.3</v>
      </c>
      <c r="N70" s="105">
        <v>0.5</v>
      </c>
      <c r="O70" s="105">
        <v>0.22</v>
      </c>
      <c r="P70" s="105">
        <v>0.32</v>
      </c>
      <c r="Q70" s="105">
        <v>0.36</v>
      </c>
      <c r="R70" s="105">
        <v>0.21</v>
      </c>
      <c r="S70" s="105">
        <v>-0.03</v>
      </c>
      <c r="T70" s="105">
        <v>0.11</v>
      </c>
      <c r="U70" s="105">
        <v>0.3</v>
      </c>
      <c r="V70" s="105">
        <v>0.01</v>
      </c>
      <c r="W70" s="105">
        <v>0.24</v>
      </c>
      <c r="X70" s="105">
        <v>0.28999999999999998</v>
      </c>
      <c r="Y70" s="105">
        <v>0.17</v>
      </c>
      <c r="Z70" s="105">
        <v>0.34</v>
      </c>
      <c r="AA70" s="105">
        <v>0.04</v>
      </c>
      <c r="AB70" s="105">
        <v>0.18</v>
      </c>
      <c r="AC70" s="105">
        <v>0.15</v>
      </c>
      <c r="AD70" s="105">
        <v>0.4</v>
      </c>
      <c r="AE70" s="105">
        <v>0.32</v>
      </c>
      <c r="AF70" s="105">
        <v>0.03</v>
      </c>
      <c r="AG70" s="105">
        <v>0.36</v>
      </c>
      <c r="AH70" s="105">
        <v>0.14000000000000001</v>
      </c>
      <c r="AI70" s="105">
        <v>0.27</v>
      </c>
      <c r="AJ70" s="105">
        <v>0.41</v>
      </c>
    </row>
    <row r="71" spans="2:36" ht="18">
      <c r="B71" s="104" t="s">
        <v>814</v>
      </c>
      <c r="C71" s="105">
        <v>0.41</v>
      </c>
      <c r="D71" s="105">
        <v>0.53</v>
      </c>
      <c r="E71" s="105">
        <v>0.3</v>
      </c>
      <c r="F71" s="105">
        <v>0.22</v>
      </c>
      <c r="G71" s="105">
        <v>0.37</v>
      </c>
      <c r="H71" s="105">
        <v>0.18</v>
      </c>
      <c r="I71" s="105">
        <v>0.57999999999999996</v>
      </c>
      <c r="J71" s="105">
        <v>0.49</v>
      </c>
      <c r="K71" s="105">
        <v>0.51</v>
      </c>
      <c r="L71" s="105">
        <v>0.48</v>
      </c>
      <c r="M71" s="105">
        <v>0.38</v>
      </c>
      <c r="N71" s="105">
        <v>0.56999999999999995</v>
      </c>
      <c r="O71" s="105">
        <v>0.55000000000000004</v>
      </c>
      <c r="P71" s="105">
        <v>0.42</v>
      </c>
      <c r="Q71" s="105">
        <v>0.43</v>
      </c>
      <c r="R71" s="105">
        <v>0.51</v>
      </c>
      <c r="S71" s="105">
        <v>0.03</v>
      </c>
      <c r="T71" s="105">
        <v>0.01</v>
      </c>
      <c r="U71" s="105">
        <v>0.51</v>
      </c>
      <c r="V71" s="105">
        <v>0.14000000000000001</v>
      </c>
      <c r="W71" s="105">
        <v>0.34</v>
      </c>
      <c r="X71" s="105">
        <v>-0.12</v>
      </c>
      <c r="Y71" s="105">
        <v>0.32</v>
      </c>
      <c r="Z71" s="105">
        <v>0.1</v>
      </c>
      <c r="AA71" s="105">
        <v>0.22</v>
      </c>
      <c r="AB71" s="105">
        <v>0.16</v>
      </c>
      <c r="AC71" s="105">
        <v>0.44</v>
      </c>
      <c r="AD71" s="105">
        <v>0.26</v>
      </c>
      <c r="AE71" s="105">
        <v>0.05</v>
      </c>
      <c r="AF71" s="105">
        <v>0.22</v>
      </c>
      <c r="AG71" s="105">
        <v>0.09</v>
      </c>
      <c r="AH71" s="105">
        <v>-0.08</v>
      </c>
      <c r="AI71" s="105">
        <v>0.38</v>
      </c>
      <c r="AJ71" s="105">
        <v>0.21</v>
      </c>
    </row>
    <row r="72" spans="2:36" ht="18">
      <c r="B72" s="104" t="s">
        <v>815</v>
      </c>
      <c r="C72" s="105">
        <v>0.45</v>
      </c>
      <c r="D72" s="105">
        <v>0.45</v>
      </c>
      <c r="E72" s="105">
        <v>0.37</v>
      </c>
      <c r="F72" s="105">
        <v>0.41</v>
      </c>
      <c r="G72" s="105">
        <v>0.27</v>
      </c>
      <c r="H72" s="105">
        <v>0.33</v>
      </c>
      <c r="I72" s="105">
        <v>0.54</v>
      </c>
      <c r="J72" s="105">
        <v>0.64</v>
      </c>
      <c r="K72" s="105">
        <v>0.47</v>
      </c>
      <c r="L72" s="105">
        <v>0.57999999999999996</v>
      </c>
      <c r="M72" s="105">
        <v>0.47</v>
      </c>
      <c r="N72" s="105">
        <v>0.63</v>
      </c>
      <c r="O72" s="105">
        <v>0.44</v>
      </c>
      <c r="P72" s="105">
        <v>0.33</v>
      </c>
      <c r="Q72" s="105">
        <v>0.6</v>
      </c>
      <c r="R72" s="105">
        <v>0.55000000000000004</v>
      </c>
      <c r="S72" s="105">
        <v>0.44</v>
      </c>
      <c r="T72" s="105">
        <v>-0.01</v>
      </c>
      <c r="U72" s="105">
        <v>0.5</v>
      </c>
      <c r="V72" s="105">
        <v>0.24</v>
      </c>
      <c r="W72" s="105">
        <v>0.46</v>
      </c>
      <c r="X72" s="105">
        <v>0.22</v>
      </c>
      <c r="Y72" s="105">
        <v>0.31</v>
      </c>
      <c r="Z72" s="105">
        <v>0.03</v>
      </c>
      <c r="AA72" s="105">
        <v>0.62</v>
      </c>
      <c r="AB72" s="105">
        <v>0.22</v>
      </c>
      <c r="AC72" s="105">
        <v>0.33</v>
      </c>
      <c r="AD72" s="105">
        <v>0.54</v>
      </c>
      <c r="AE72" s="105">
        <v>0.67</v>
      </c>
      <c r="AF72" s="105">
        <v>0.34</v>
      </c>
      <c r="AG72" s="105">
        <v>0.49</v>
      </c>
      <c r="AH72" s="105">
        <v>0.28000000000000003</v>
      </c>
      <c r="AI72" s="105">
        <v>0.46</v>
      </c>
      <c r="AJ72" s="105">
        <v>0.31</v>
      </c>
    </row>
    <row r="73" spans="2:36" ht="18">
      <c r="B73" s="104" t="s">
        <v>816</v>
      </c>
      <c r="C73" s="105">
        <v>0.52</v>
      </c>
      <c r="D73" s="105">
        <v>0.34</v>
      </c>
      <c r="E73" s="105">
        <v>0.31</v>
      </c>
      <c r="F73" s="105">
        <v>0.5</v>
      </c>
      <c r="G73" s="105">
        <v>0.35</v>
      </c>
      <c r="H73" s="105">
        <v>0.28000000000000003</v>
      </c>
      <c r="I73" s="105">
        <v>0.59</v>
      </c>
      <c r="J73" s="105">
        <v>0.61</v>
      </c>
      <c r="K73" s="105">
        <v>0.63</v>
      </c>
      <c r="L73" s="105">
        <v>0.53</v>
      </c>
      <c r="M73" s="105">
        <v>0.59</v>
      </c>
      <c r="N73" s="105">
        <v>0.64</v>
      </c>
      <c r="O73" s="105">
        <v>0.67</v>
      </c>
      <c r="P73" s="105">
        <v>0.56000000000000005</v>
      </c>
      <c r="Q73" s="105">
        <v>0.72</v>
      </c>
      <c r="R73" s="105">
        <v>0.63</v>
      </c>
      <c r="S73" s="105">
        <v>0.28000000000000003</v>
      </c>
      <c r="T73" s="105">
        <v>-0.09</v>
      </c>
      <c r="U73" s="105">
        <v>0.52</v>
      </c>
      <c r="V73" s="105">
        <v>0.27</v>
      </c>
      <c r="W73" s="105">
        <v>0.51</v>
      </c>
      <c r="X73" s="105">
        <v>0.17</v>
      </c>
      <c r="Y73" s="105">
        <v>0.43</v>
      </c>
      <c r="Z73" s="105">
        <v>0.22</v>
      </c>
      <c r="AA73" s="105">
        <v>0.54</v>
      </c>
      <c r="AB73" s="105">
        <v>0.25</v>
      </c>
      <c r="AC73" s="105">
        <v>0.56000000000000005</v>
      </c>
      <c r="AD73" s="105">
        <v>0.51</v>
      </c>
      <c r="AE73" s="105">
        <v>0.46</v>
      </c>
      <c r="AF73" s="105">
        <v>0.51</v>
      </c>
      <c r="AG73" s="105">
        <v>0.42</v>
      </c>
      <c r="AH73" s="105">
        <v>0.47</v>
      </c>
      <c r="AI73" s="105">
        <v>0.54</v>
      </c>
      <c r="AJ73" s="105">
        <v>0.21</v>
      </c>
    </row>
    <row r="74" spans="2:36" ht="18">
      <c r="B74" s="104" t="s">
        <v>817</v>
      </c>
      <c r="C74" s="105">
        <v>0.24</v>
      </c>
      <c r="D74" s="105">
        <v>0.31</v>
      </c>
      <c r="E74" s="105">
        <v>0.34</v>
      </c>
      <c r="F74" s="105">
        <v>0.36</v>
      </c>
      <c r="G74" s="105">
        <v>0.28999999999999998</v>
      </c>
      <c r="H74" s="105">
        <v>7.0000000000000007E-2</v>
      </c>
      <c r="I74" s="105">
        <v>0.23</v>
      </c>
      <c r="J74" s="105">
        <v>0.38</v>
      </c>
      <c r="K74" s="105">
        <v>0.21</v>
      </c>
      <c r="L74" s="105">
        <v>0.37</v>
      </c>
      <c r="M74" s="105">
        <v>0.21</v>
      </c>
      <c r="N74" s="105">
        <v>0.32</v>
      </c>
      <c r="O74" s="105">
        <v>0.48</v>
      </c>
      <c r="P74" s="105">
        <v>0.26</v>
      </c>
      <c r="Q74" s="105">
        <v>0.27</v>
      </c>
      <c r="R74" s="105">
        <v>0.32</v>
      </c>
      <c r="S74" s="105">
        <v>0.31</v>
      </c>
      <c r="T74" s="105">
        <v>-0.03</v>
      </c>
      <c r="U74" s="105">
        <v>0.4</v>
      </c>
      <c r="V74" s="105">
        <v>0.12</v>
      </c>
      <c r="W74" s="105">
        <v>0.28000000000000003</v>
      </c>
      <c r="X74" s="105">
        <v>0.28999999999999998</v>
      </c>
      <c r="Y74" s="105">
        <v>0.12</v>
      </c>
      <c r="Z74" s="105">
        <v>-0.12</v>
      </c>
      <c r="AA74" s="105">
        <v>0.51</v>
      </c>
      <c r="AB74" s="105">
        <v>-0.26</v>
      </c>
      <c r="AC74" s="105">
        <v>0</v>
      </c>
      <c r="AD74" s="105">
        <v>0.06</v>
      </c>
      <c r="AE74" s="105">
        <v>0.57999999999999996</v>
      </c>
      <c r="AF74" s="105">
        <v>0.31</v>
      </c>
      <c r="AG74" s="105">
        <v>0.34</v>
      </c>
      <c r="AH74" s="105">
        <v>0.18</v>
      </c>
      <c r="AI74" s="105">
        <v>0.24</v>
      </c>
      <c r="AJ74" s="105">
        <v>0.17</v>
      </c>
    </row>
    <row r="75" spans="2:36" ht="18">
      <c r="B75" s="104" t="s">
        <v>818</v>
      </c>
      <c r="C75" s="105">
        <v>0.64</v>
      </c>
      <c r="D75" s="105">
        <v>0.75</v>
      </c>
      <c r="E75" s="105">
        <v>0.42</v>
      </c>
      <c r="F75" s="105">
        <v>0.54</v>
      </c>
      <c r="G75" s="105">
        <v>0.54</v>
      </c>
      <c r="H75" s="105">
        <v>0.55000000000000004</v>
      </c>
      <c r="I75" s="105">
        <v>0.61</v>
      </c>
      <c r="J75" s="105">
        <v>0.73</v>
      </c>
      <c r="K75" s="105">
        <v>0.54</v>
      </c>
      <c r="L75" s="105">
        <v>0.73</v>
      </c>
      <c r="M75" s="105">
        <v>0.62</v>
      </c>
      <c r="N75" s="105">
        <v>0.71</v>
      </c>
      <c r="O75" s="105">
        <v>0.51</v>
      </c>
      <c r="P75" s="105">
        <v>0.36</v>
      </c>
      <c r="Q75" s="105">
        <v>0.69</v>
      </c>
      <c r="R75" s="105">
        <v>0.5</v>
      </c>
      <c r="S75" s="105">
        <v>0.43</v>
      </c>
      <c r="T75" s="105">
        <v>0.18</v>
      </c>
      <c r="U75" s="105">
        <v>0.64</v>
      </c>
      <c r="V75" s="105">
        <v>0.38</v>
      </c>
      <c r="W75" s="105">
        <v>0.6</v>
      </c>
      <c r="X75" s="105">
        <v>0.39</v>
      </c>
      <c r="Y75" s="105">
        <v>0.44</v>
      </c>
      <c r="Z75" s="105">
        <v>0.4</v>
      </c>
      <c r="AA75" s="105">
        <v>0.5</v>
      </c>
      <c r="AB75" s="105">
        <v>0.36</v>
      </c>
      <c r="AC75" s="105">
        <v>0.45</v>
      </c>
      <c r="AD75" s="105">
        <v>0.65</v>
      </c>
      <c r="AE75" s="105">
        <v>0.62</v>
      </c>
      <c r="AF75" s="105">
        <v>0.47</v>
      </c>
      <c r="AG75" s="105">
        <v>0.56999999999999995</v>
      </c>
      <c r="AH75" s="105">
        <v>0.21</v>
      </c>
      <c r="AI75" s="105">
        <v>0.53</v>
      </c>
      <c r="AJ75" s="105">
        <v>0.65</v>
      </c>
    </row>
    <row r="76" spans="2:36" ht="18">
      <c r="B76" s="104" t="s">
        <v>819</v>
      </c>
      <c r="C76" s="105">
        <v>0.43</v>
      </c>
      <c r="D76" s="105">
        <v>0.47</v>
      </c>
      <c r="E76" s="105">
        <v>0.3</v>
      </c>
      <c r="F76" s="105">
        <v>0.37</v>
      </c>
      <c r="G76" s="105">
        <v>0.24</v>
      </c>
      <c r="H76" s="105">
        <v>0.38</v>
      </c>
      <c r="I76" s="105">
        <v>0.68</v>
      </c>
      <c r="J76" s="105">
        <v>0.62</v>
      </c>
      <c r="K76" s="105">
        <v>0.48</v>
      </c>
      <c r="L76" s="105">
        <v>0.64</v>
      </c>
      <c r="M76" s="105">
        <v>0.52</v>
      </c>
      <c r="N76" s="105">
        <v>0.68</v>
      </c>
      <c r="O76" s="105">
        <v>0.54</v>
      </c>
      <c r="P76" s="105">
        <v>0.31</v>
      </c>
      <c r="Q76" s="105">
        <v>0.68</v>
      </c>
      <c r="R76" s="105">
        <v>0.6</v>
      </c>
      <c r="S76" s="105">
        <v>0.28999999999999998</v>
      </c>
      <c r="T76" s="105">
        <v>-0.04</v>
      </c>
      <c r="U76" s="105">
        <v>0.71</v>
      </c>
      <c r="V76" s="105">
        <v>0.33</v>
      </c>
      <c r="W76" s="105">
        <v>0.48</v>
      </c>
      <c r="X76" s="105">
        <v>0.1</v>
      </c>
      <c r="Y76" s="105">
        <v>0.48</v>
      </c>
      <c r="Z76" s="105">
        <v>0.03</v>
      </c>
      <c r="AA76" s="105">
        <v>0.44</v>
      </c>
      <c r="AB76" s="105">
        <v>0.23</v>
      </c>
      <c r="AC76" s="105">
        <v>0.55000000000000004</v>
      </c>
      <c r="AD76" s="105">
        <v>0.57999999999999996</v>
      </c>
      <c r="AE76" s="105">
        <v>0.31</v>
      </c>
      <c r="AF76" s="105">
        <v>0.32</v>
      </c>
      <c r="AG76" s="105">
        <v>0.34</v>
      </c>
      <c r="AH76" s="105">
        <v>0.13</v>
      </c>
      <c r="AI76" s="105">
        <v>0.5</v>
      </c>
      <c r="AJ76" s="105">
        <v>0.25</v>
      </c>
    </row>
    <row r="77" spans="2:36" ht="18">
      <c r="B77" s="104" t="s">
        <v>820</v>
      </c>
      <c r="C77" s="105">
        <v>0.24</v>
      </c>
      <c r="D77" s="105">
        <v>0.28000000000000003</v>
      </c>
      <c r="E77" s="105">
        <v>0.23</v>
      </c>
      <c r="F77" s="105">
        <v>0.24</v>
      </c>
      <c r="G77" s="105">
        <v>7.0000000000000007E-2</v>
      </c>
      <c r="H77" s="105">
        <v>0.31</v>
      </c>
      <c r="I77" s="105">
        <v>0.4</v>
      </c>
      <c r="J77" s="105">
        <v>0.38</v>
      </c>
      <c r="K77" s="105">
        <v>0.3</v>
      </c>
      <c r="L77" s="105">
        <v>0.41</v>
      </c>
      <c r="M77" s="105">
        <v>0.25</v>
      </c>
      <c r="N77" s="105">
        <v>0.38</v>
      </c>
      <c r="O77" s="105">
        <v>0.37</v>
      </c>
      <c r="P77" s="105">
        <v>0.19</v>
      </c>
      <c r="Q77" s="105">
        <v>0.37</v>
      </c>
      <c r="R77" s="105">
        <v>0.41</v>
      </c>
      <c r="S77" s="105">
        <v>0.28999999999999998</v>
      </c>
      <c r="T77" s="105">
        <v>-0.11</v>
      </c>
      <c r="U77" s="105">
        <v>0.41</v>
      </c>
      <c r="V77" s="105">
        <v>0.23</v>
      </c>
      <c r="W77" s="105">
        <v>0.33</v>
      </c>
      <c r="X77" s="105">
        <v>0.1</v>
      </c>
      <c r="Y77" s="105">
        <v>0.28999999999999998</v>
      </c>
      <c r="Z77" s="105">
        <v>-0.08</v>
      </c>
      <c r="AA77" s="105">
        <v>0.46</v>
      </c>
      <c r="AB77" s="105">
        <v>0.12</v>
      </c>
      <c r="AC77" s="105">
        <v>0.15</v>
      </c>
      <c r="AD77" s="105">
        <v>0.3</v>
      </c>
      <c r="AE77" s="105">
        <v>0.4</v>
      </c>
      <c r="AF77" s="105">
        <v>0.13</v>
      </c>
      <c r="AG77" s="105">
        <v>0.23</v>
      </c>
      <c r="AH77" s="105">
        <v>0.3</v>
      </c>
      <c r="AI77" s="105">
        <v>0.23</v>
      </c>
      <c r="AJ77" s="105">
        <v>-0.09</v>
      </c>
    </row>
    <row r="78" spans="2:36" ht="18">
      <c r="B78" s="104" t="s">
        <v>821</v>
      </c>
      <c r="C78" s="105">
        <v>0.53</v>
      </c>
      <c r="D78" s="105">
        <v>0.48</v>
      </c>
      <c r="E78" s="105">
        <v>0.56000000000000005</v>
      </c>
      <c r="F78" s="105">
        <v>0.49</v>
      </c>
      <c r="G78" s="105">
        <v>0.4</v>
      </c>
      <c r="H78" s="105">
        <v>0.38</v>
      </c>
      <c r="I78" s="105">
        <v>0.49</v>
      </c>
      <c r="J78" s="105">
        <v>0.65</v>
      </c>
      <c r="K78" s="105">
        <v>0.51</v>
      </c>
      <c r="L78" s="105">
        <v>0.6</v>
      </c>
      <c r="M78" s="105">
        <v>0.5</v>
      </c>
      <c r="N78" s="105">
        <v>0.57999999999999996</v>
      </c>
      <c r="O78" s="105">
        <v>0.48</v>
      </c>
      <c r="P78" s="105">
        <v>0.34</v>
      </c>
      <c r="Q78" s="105">
        <v>0.65</v>
      </c>
      <c r="R78" s="105">
        <v>0.57999999999999996</v>
      </c>
      <c r="S78" s="105">
        <v>0.27</v>
      </c>
      <c r="T78" s="105">
        <v>0.02</v>
      </c>
      <c r="U78" s="105">
        <v>0.59</v>
      </c>
      <c r="V78" s="105">
        <v>0.12</v>
      </c>
      <c r="W78" s="105">
        <v>0.53</v>
      </c>
      <c r="X78" s="105">
        <v>0.15</v>
      </c>
      <c r="Y78" s="105">
        <v>0.39</v>
      </c>
      <c r="Z78" s="105">
        <v>0.2</v>
      </c>
      <c r="AA78" s="105">
        <v>0.39</v>
      </c>
      <c r="AB78" s="105">
        <v>0.25</v>
      </c>
      <c r="AC78" s="105">
        <v>0.4</v>
      </c>
      <c r="AD78" s="105">
        <v>0.47</v>
      </c>
      <c r="AE78" s="105">
        <v>0.33</v>
      </c>
      <c r="AF78" s="105">
        <v>0.35</v>
      </c>
      <c r="AG78" s="105">
        <v>0.41</v>
      </c>
      <c r="AH78" s="105">
        <v>0.13</v>
      </c>
      <c r="AI78" s="105">
        <v>0.48</v>
      </c>
      <c r="AJ78" s="105">
        <v>0.57999999999999996</v>
      </c>
    </row>
    <row r="79" spans="2:36" ht="18">
      <c r="B79" s="104" t="s">
        <v>822</v>
      </c>
      <c r="C79" s="105">
        <v>0.31</v>
      </c>
      <c r="D79" s="105">
        <v>0.2</v>
      </c>
      <c r="E79" s="105">
        <v>0.38</v>
      </c>
      <c r="F79" s="105">
        <v>0.39</v>
      </c>
      <c r="G79" s="105">
        <v>0.32</v>
      </c>
      <c r="H79" s="105">
        <v>0.11</v>
      </c>
      <c r="I79" s="105">
        <v>0.23</v>
      </c>
      <c r="J79" s="105">
        <v>0.42</v>
      </c>
      <c r="K79" s="105">
        <v>0.28000000000000003</v>
      </c>
      <c r="L79" s="105">
        <v>0.45</v>
      </c>
      <c r="M79" s="105">
        <v>0.37</v>
      </c>
      <c r="N79" s="105">
        <v>0.28999999999999998</v>
      </c>
      <c r="O79" s="105">
        <v>0.42</v>
      </c>
      <c r="P79" s="105">
        <v>0.16</v>
      </c>
      <c r="Q79" s="105">
        <v>0.41</v>
      </c>
      <c r="R79" s="105">
        <v>0.36</v>
      </c>
      <c r="S79" s="105">
        <v>0.19</v>
      </c>
      <c r="T79" s="105">
        <v>-0.21</v>
      </c>
      <c r="U79" s="105">
        <v>0.3</v>
      </c>
      <c r="V79" s="105">
        <v>0.03</v>
      </c>
      <c r="W79" s="105">
        <v>0.25</v>
      </c>
      <c r="X79" s="105">
        <v>-0.12</v>
      </c>
      <c r="Y79" s="105">
        <v>0.34</v>
      </c>
      <c r="Z79" s="105">
        <v>0.18</v>
      </c>
      <c r="AA79" s="105">
        <v>0.36</v>
      </c>
      <c r="AB79" s="105">
        <v>-0.11</v>
      </c>
      <c r="AC79" s="105">
        <v>0.39</v>
      </c>
      <c r="AD79" s="105">
        <v>0.11</v>
      </c>
      <c r="AE79" s="105">
        <v>0.03</v>
      </c>
      <c r="AF79" s="105">
        <v>0.47</v>
      </c>
      <c r="AG79" s="105">
        <v>0.02</v>
      </c>
      <c r="AH79" s="105">
        <v>0.05</v>
      </c>
      <c r="AI79" s="105">
        <v>0.14000000000000001</v>
      </c>
      <c r="AJ79" s="105">
        <v>0.33</v>
      </c>
    </row>
    <row r="80" spans="2:36" ht="18">
      <c r="B80" s="104" t="s">
        <v>823</v>
      </c>
      <c r="C80" s="105">
        <v>0.42</v>
      </c>
      <c r="D80" s="105">
        <v>0.24</v>
      </c>
      <c r="E80" s="105">
        <v>0.61</v>
      </c>
      <c r="F80" s="105">
        <v>0.25</v>
      </c>
      <c r="G80" s="105">
        <v>0.44</v>
      </c>
      <c r="H80" s="105">
        <v>-0.11</v>
      </c>
      <c r="I80" s="105">
        <v>0.02</v>
      </c>
      <c r="J80" s="105">
        <v>0.44</v>
      </c>
      <c r="K80" s="105">
        <v>0.43</v>
      </c>
      <c r="L80" s="105">
        <v>0.12</v>
      </c>
      <c r="M80" s="105">
        <v>0.25</v>
      </c>
      <c r="N80" s="105">
        <v>0.14000000000000001</v>
      </c>
      <c r="O80" s="105">
        <v>0.36</v>
      </c>
      <c r="P80" s="105">
        <v>0.37</v>
      </c>
      <c r="Q80" s="105">
        <v>0.16</v>
      </c>
      <c r="R80" s="105">
        <v>0.25</v>
      </c>
      <c r="S80" s="105">
        <v>0.28000000000000003</v>
      </c>
      <c r="T80" s="105">
        <v>-0.02</v>
      </c>
      <c r="U80" s="105">
        <v>0.05</v>
      </c>
      <c r="V80" s="105">
        <v>-0.09</v>
      </c>
      <c r="W80" s="105">
        <v>0.26</v>
      </c>
      <c r="X80" s="105">
        <v>0.23</v>
      </c>
      <c r="Y80" s="105">
        <v>-0.04</v>
      </c>
      <c r="Z80" s="105">
        <v>0.04</v>
      </c>
      <c r="AA80" s="105">
        <v>0.33</v>
      </c>
      <c r="AB80" s="105">
        <v>-0.12</v>
      </c>
      <c r="AC80" s="105">
        <v>0.08</v>
      </c>
      <c r="AD80" s="105">
        <v>0.03</v>
      </c>
      <c r="AE80" s="105">
        <v>0.57999999999999996</v>
      </c>
      <c r="AF80" s="105">
        <v>0.33</v>
      </c>
      <c r="AG80" s="105">
        <v>0.5</v>
      </c>
      <c r="AH80" s="105">
        <v>0.15</v>
      </c>
      <c r="AI80" s="105">
        <v>0.38</v>
      </c>
      <c r="AJ80" s="105">
        <v>0.28000000000000003</v>
      </c>
    </row>
    <row r="81" spans="2:36" ht="18">
      <c r="B81" s="104" t="s">
        <v>824</v>
      </c>
      <c r="C81" s="105">
        <v>0.49</v>
      </c>
      <c r="D81" s="105">
        <v>0.53</v>
      </c>
      <c r="E81" s="105">
        <v>0.34</v>
      </c>
      <c r="F81" s="105">
        <v>0.33</v>
      </c>
      <c r="G81" s="105">
        <v>0.48</v>
      </c>
      <c r="H81" s="105">
        <v>0.36</v>
      </c>
      <c r="I81" s="105">
        <v>0.62</v>
      </c>
      <c r="J81" s="105">
        <v>0.61</v>
      </c>
      <c r="K81" s="105">
        <v>0.52</v>
      </c>
      <c r="L81" s="105">
        <v>0.44</v>
      </c>
      <c r="M81" s="105">
        <v>0.44</v>
      </c>
      <c r="N81" s="105">
        <v>0.61</v>
      </c>
      <c r="O81" s="105">
        <v>0.45</v>
      </c>
      <c r="P81" s="105">
        <v>0.28999999999999998</v>
      </c>
      <c r="Q81" s="105">
        <v>0.47</v>
      </c>
      <c r="R81" s="105">
        <v>0.65</v>
      </c>
      <c r="S81" s="105">
        <v>0.17</v>
      </c>
      <c r="T81" s="105">
        <v>0.05</v>
      </c>
      <c r="U81" s="105">
        <v>0.5</v>
      </c>
      <c r="V81" s="105">
        <v>0.12</v>
      </c>
      <c r="W81" s="105">
        <v>0.59</v>
      </c>
      <c r="X81" s="105">
        <v>0.33</v>
      </c>
      <c r="Y81" s="105">
        <v>0.31</v>
      </c>
      <c r="Z81" s="105">
        <v>0.22</v>
      </c>
      <c r="AA81" s="105">
        <v>0.25</v>
      </c>
      <c r="AB81" s="105">
        <v>0.26</v>
      </c>
      <c r="AC81" s="105">
        <v>0.39</v>
      </c>
      <c r="AD81" s="105">
        <v>0.44</v>
      </c>
      <c r="AE81" s="105">
        <v>0.47</v>
      </c>
      <c r="AF81" s="105">
        <v>0.23</v>
      </c>
      <c r="AG81" s="105">
        <v>0.47</v>
      </c>
      <c r="AH81" s="105">
        <v>0.16</v>
      </c>
      <c r="AI81" s="105">
        <v>0.55000000000000004</v>
      </c>
      <c r="AJ81" s="105">
        <v>0.25</v>
      </c>
    </row>
    <row r="82" spans="2:36" ht="18">
      <c r="B82" s="104" t="s">
        <v>825</v>
      </c>
      <c r="C82" s="105">
        <v>0.56999999999999995</v>
      </c>
      <c r="D82" s="105">
        <v>0.62</v>
      </c>
      <c r="E82" s="105">
        <v>0.52</v>
      </c>
      <c r="F82" s="105">
        <v>0.41</v>
      </c>
      <c r="G82" s="105">
        <v>0.38</v>
      </c>
      <c r="H82" s="105">
        <v>0.42</v>
      </c>
      <c r="I82" s="105">
        <v>0.59</v>
      </c>
      <c r="J82" s="105">
        <v>0.74</v>
      </c>
      <c r="K82" s="105">
        <v>0.48</v>
      </c>
      <c r="L82" s="105">
        <v>0.6</v>
      </c>
      <c r="M82" s="105">
        <v>0.65</v>
      </c>
      <c r="N82" s="105">
        <v>0.65</v>
      </c>
      <c r="O82" s="105">
        <v>0.4</v>
      </c>
      <c r="P82" s="105">
        <v>0.34</v>
      </c>
      <c r="Q82" s="105">
        <v>0.62</v>
      </c>
      <c r="R82" s="105">
        <v>0.44</v>
      </c>
      <c r="S82" s="105">
        <v>0.47</v>
      </c>
      <c r="T82" s="105">
        <v>0.03</v>
      </c>
      <c r="U82" s="105">
        <v>0.57999999999999996</v>
      </c>
      <c r="V82" s="105">
        <v>0.21</v>
      </c>
      <c r="W82" s="105">
        <v>0.56000000000000005</v>
      </c>
      <c r="X82" s="105">
        <v>0.24</v>
      </c>
      <c r="Y82" s="105">
        <v>0.43</v>
      </c>
      <c r="Z82" s="105">
        <v>0.24</v>
      </c>
      <c r="AA82" s="105">
        <v>0.48</v>
      </c>
      <c r="AB82" s="105">
        <v>0.14000000000000001</v>
      </c>
      <c r="AC82" s="105">
        <v>0.43</v>
      </c>
      <c r="AD82" s="105">
        <v>0.46</v>
      </c>
      <c r="AE82" s="105">
        <v>0.51</v>
      </c>
      <c r="AF82" s="105">
        <v>0.48</v>
      </c>
      <c r="AG82" s="105">
        <v>0.49</v>
      </c>
      <c r="AH82" s="105">
        <v>0.09</v>
      </c>
      <c r="AI82" s="105">
        <v>0.55000000000000004</v>
      </c>
      <c r="AJ82" s="105">
        <v>0.62</v>
      </c>
    </row>
    <row r="83" spans="2:36" ht="18">
      <c r="B83" s="104" t="s">
        <v>826</v>
      </c>
      <c r="C83" s="105">
        <v>0.56999999999999995</v>
      </c>
      <c r="D83" s="105">
        <v>0.67</v>
      </c>
      <c r="E83" s="105">
        <v>0.36</v>
      </c>
      <c r="F83" s="105">
        <v>0.35</v>
      </c>
      <c r="G83" s="105">
        <v>0.47</v>
      </c>
      <c r="H83" s="105">
        <v>0.33</v>
      </c>
      <c r="I83" s="105">
        <v>0.37</v>
      </c>
      <c r="J83" s="105">
        <v>0.62</v>
      </c>
      <c r="K83" s="105">
        <v>0.43</v>
      </c>
      <c r="L83" s="105">
        <v>0.36</v>
      </c>
      <c r="M83" s="105">
        <v>0.5</v>
      </c>
      <c r="N83" s="105">
        <v>0.52</v>
      </c>
      <c r="O83" s="105">
        <v>0.25</v>
      </c>
      <c r="P83" s="105">
        <v>0.28999999999999998</v>
      </c>
      <c r="Q83" s="105">
        <v>0.34</v>
      </c>
      <c r="R83" s="105">
        <v>0.22</v>
      </c>
      <c r="S83" s="105">
        <v>0.06</v>
      </c>
      <c r="T83" s="105">
        <v>0.23</v>
      </c>
      <c r="U83" s="105">
        <v>0.42</v>
      </c>
      <c r="V83" s="105">
        <v>0.13</v>
      </c>
      <c r="W83" s="105">
        <v>0.34</v>
      </c>
      <c r="X83" s="105">
        <v>0.1</v>
      </c>
      <c r="Y83" s="105">
        <v>0.11</v>
      </c>
      <c r="Z83" s="105">
        <v>0.43</v>
      </c>
      <c r="AA83" s="105">
        <v>0</v>
      </c>
      <c r="AB83" s="105">
        <v>0.3</v>
      </c>
      <c r="AC83" s="105">
        <v>0.23</v>
      </c>
      <c r="AD83" s="105">
        <v>0.37</v>
      </c>
      <c r="AE83" s="105">
        <v>0.06</v>
      </c>
      <c r="AF83" s="105">
        <v>0</v>
      </c>
      <c r="AG83" s="105">
        <v>0.23</v>
      </c>
      <c r="AH83" s="105">
        <v>0</v>
      </c>
      <c r="AI83" s="105">
        <v>0.45</v>
      </c>
      <c r="AJ83" s="105">
        <v>0.34</v>
      </c>
    </row>
    <row r="84" spans="2:36" ht="18">
      <c r="B84" s="104" t="s">
        <v>827</v>
      </c>
      <c r="C84" s="105">
        <v>0.56999999999999995</v>
      </c>
      <c r="D84" s="105">
        <v>0.72</v>
      </c>
      <c r="E84" s="105">
        <v>0.53</v>
      </c>
      <c r="F84" s="105">
        <v>0.32</v>
      </c>
      <c r="G84" s="105">
        <v>0.45</v>
      </c>
      <c r="H84" s="105">
        <v>0.41</v>
      </c>
      <c r="I84" s="105">
        <v>0.4</v>
      </c>
      <c r="J84" s="105">
        <v>0.71</v>
      </c>
      <c r="K84" s="105">
        <v>0.43</v>
      </c>
      <c r="L84" s="105">
        <v>0.64</v>
      </c>
      <c r="M84" s="105">
        <v>0.65</v>
      </c>
      <c r="N84" s="105">
        <v>0.54</v>
      </c>
      <c r="O84" s="105">
        <v>0.31</v>
      </c>
      <c r="P84" s="105">
        <v>0.35</v>
      </c>
      <c r="Q84" s="105">
        <v>0.57999999999999996</v>
      </c>
      <c r="R84" s="105">
        <v>0.51</v>
      </c>
      <c r="S84" s="105">
        <v>0.47</v>
      </c>
      <c r="T84" s="105">
        <v>0.02</v>
      </c>
      <c r="U84" s="105">
        <v>0.57999999999999996</v>
      </c>
      <c r="V84" s="105">
        <v>0.34</v>
      </c>
      <c r="W84" s="105">
        <v>0.54</v>
      </c>
      <c r="X84" s="105">
        <v>0.21</v>
      </c>
      <c r="Y84" s="105">
        <v>0.46</v>
      </c>
      <c r="Z84" s="105">
        <v>0.39</v>
      </c>
      <c r="AA84" s="105">
        <v>0.53</v>
      </c>
      <c r="AB84" s="105">
        <v>0.4</v>
      </c>
      <c r="AC84" s="105">
        <v>0.5</v>
      </c>
      <c r="AD84" s="105">
        <v>0.74</v>
      </c>
      <c r="AE84" s="105">
        <v>0.46</v>
      </c>
      <c r="AF84" s="105">
        <v>0.25</v>
      </c>
      <c r="AG84" s="105">
        <v>0.46</v>
      </c>
      <c r="AH84" s="105">
        <v>0.18</v>
      </c>
      <c r="AI84" s="105">
        <v>0.57999999999999996</v>
      </c>
      <c r="AJ84" s="105">
        <v>0.68</v>
      </c>
    </row>
    <row r="85" spans="2:36" ht="18">
      <c r="B85" s="104" t="s">
        <v>828</v>
      </c>
      <c r="C85" s="105">
        <v>0.47</v>
      </c>
      <c r="D85" s="105">
        <v>0.39</v>
      </c>
      <c r="E85" s="105">
        <v>0.49</v>
      </c>
      <c r="F85" s="105">
        <v>0.31</v>
      </c>
      <c r="G85" s="105">
        <v>0.36</v>
      </c>
      <c r="H85" s="105">
        <v>0.12</v>
      </c>
      <c r="I85" s="105">
        <v>0.12</v>
      </c>
      <c r="J85" s="105">
        <v>0.4</v>
      </c>
      <c r="K85" s="105">
        <v>0.16</v>
      </c>
      <c r="L85" s="105">
        <v>0.17</v>
      </c>
      <c r="M85" s="105">
        <v>0.31</v>
      </c>
      <c r="N85" s="105">
        <v>0.13</v>
      </c>
      <c r="O85" s="105">
        <v>7.0000000000000007E-2</v>
      </c>
      <c r="P85" s="105">
        <v>0.28999999999999998</v>
      </c>
      <c r="Q85" s="105">
        <v>0.22</v>
      </c>
      <c r="R85" s="105">
        <v>0.15</v>
      </c>
      <c r="S85" s="105">
        <v>0.2</v>
      </c>
      <c r="T85" s="105">
        <v>0.02</v>
      </c>
      <c r="U85" s="105">
        <v>0.34</v>
      </c>
      <c r="V85" s="105">
        <v>-0.1</v>
      </c>
      <c r="W85" s="105">
        <v>0.13</v>
      </c>
      <c r="X85" s="105">
        <v>0.06</v>
      </c>
      <c r="Y85" s="105">
        <v>0.08</v>
      </c>
      <c r="Z85" s="105">
        <v>-0.02</v>
      </c>
      <c r="AA85" s="105">
        <v>-0.04</v>
      </c>
      <c r="AB85" s="105">
        <v>-0.2</v>
      </c>
      <c r="AC85" s="105">
        <v>0.13</v>
      </c>
      <c r="AD85" s="105">
        <v>0.08</v>
      </c>
      <c r="AE85" s="105">
        <v>0.1</v>
      </c>
      <c r="AF85" s="105">
        <v>0.24</v>
      </c>
      <c r="AG85" s="105">
        <v>0.18</v>
      </c>
      <c r="AH85" s="105">
        <v>-0.08</v>
      </c>
      <c r="AI85" s="105">
        <v>0.56000000000000005</v>
      </c>
      <c r="AJ85" s="105">
        <v>0.43</v>
      </c>
    </row>
    <row r="86" spans="2:36" ht="18">
      <c r="B86" s="104" t="s">
        <v>829</v>
      </c>
      <c r="C86" s="105">
        <v>0.47</v>
      </c>
      <c r="D86" s="105">
        <v>0.45</v>
      </c>
      <c r="E86" s="105">
        <v>0.11</v>
      </c>
      <c r="F86" s="105">
        <v>0.38</v>
      </c>
      <c r="G86" s="105">
        <v>0.32</v>
      </c>
      <c r="H86" s="105">
        <v>0.31</v>
      </c>
      <c r="I86" s="105">
        <v>0.62</v>
      </c>
      <c r="J86" s="105">
        <v>0.49</v>
      </c>
      <c r="K86" s="105">
        <v>0.43</v>
      </c>
      <c r="L86" s="105">
        <v>0.28999999999999998</v>
      </c>
      <c r="M86" s="105">
        <v>0.44</v>
      </c>
      <c r="N86" s="105">
        <v>0.55000000000000004</v>
      </c>
      <c r="O86" s="105">
        <v>0.2</v>
      </c>
      <c r="P86" s="105">
        <v>0.38</v>
      </c>
      <c r="Q86" s="105">
        <v>0.52</v>
      </c>
      <c r="R86" s="105">
        <v>0.3</v>
      </c>
      <c r="S86" s="105">
        <v>0.26</v>
      </c>
      <c r="T86" s="105">
        <v>0.12</v>
      </c>
      <c r="U86" s="105">
        <v>0.45</v>
      </c>
      <c r="V86" s="105">
        <v>0.15</v>
      </c>
      <c r="W86" s="105">
        <v>0.23</v>
      </c>
      <c r="X86" s="105">
        <v>0.31</v>
      </c>
      <c r="Y86" s="105">
        <v>0.23</v>
      </c>
      <c r="Z86" s="105">
        <v>0.14000000000000001</v>
      </c>
      <c r="AA86" s="105">
        <v>-0.03</v>
      </c>
      <c r="AB86" s="105">
        <v>0.14000000000000001</v>
      </c>
      <c r="AC86" s="105">
        <v>0.35</v>
      </c>
      <c r="AD86" s="105">
        <v>0.34</v>
      </c>
      <c r="AE86" s="105">
        <v>0.3</v>
      </c>
      <c r="AF86" s="105">
        <v>0.34</v>
      </c>
      <c r="AG86" s="105">
        <v>0.45</v>
      </c>
      <c r="AH86" s="105">
        <v>0.04</v>
      </c>
      <c r="AI86" s="105">
        <v>0.54</v>
      </c>
      <c r="AJ86" s="105">
        <v>0.2</v>
      </c>
    </row>
    <row r="87" spans="2:36" ht="18">
      <c r="B87" s="104" t="s">
        <v>830</v>
      </c>
      <c r="C87" s="105">
        <v>0.17</v>
      </c>
      <c r="D87" s="105">
        <v>0.2</v>
      </c>
      <c r="E87" s="105">
        <v>0.37</v>
      </c>
      <c r="F87" s="105">
        <v>-0.12</v>
      </c>
      <c r="G87" s="105">
        <v>0.23</v>
      </c>
      <c r="H87" s="105">
        <v>-7.0000000000000007E-2</v>
      </c>
      <c r="I87" s="105">
        <v>-0.18</v>
      </c>
      <c r="J87" s="105">
        <v>0.15</v>
      </c>
      <c r="K87" s="105">
        <v>-0.03</v>
      </c>
      <c r="L87" s="105">
        <v>-0.08</v>
      </c>
      <c r="M87" s="105">
        <v>0.04</v>
      </c>
      <c r="N87" s="105">
        <v>-0.25</v>
      </c>
      <c r="O87" s="105">
        <v>0.01</v>
      </c>
      <c r="P87" s="105">
        <v>7.0000000000000007E-2</v>
      </c>
      <c r="Q87" s="105">
        <v>-0.1</v>
      </c>
      <c r="R87" s="105">
        <v>-0.18</v>
      </c>
      <c r="S87" s="105">
        <v>-0.01</v>
      </c>
      <c r="T87" s="105">
        <v>0</v>
      </c>
      <c r="U87" s="105">
        <v>0.01</v>
      </c>
      <c r="V87" s="105">
        <v>-0.16</v>
      </c>
      <c r="W87" s="105">
        <v>-0.1</v>
      </c>
      <c r="X87" s="105">
        <v>-0.09</v>
      </c>
      <c r="Y87" s="105">
        <v>-0.2</v>
      </c>
      <c r="Z87" s="105">
        <v>-0.25</v>
      </c>
      <c r="AA87" s="105">
        <v>-0.05</v>
      </c>
      <c r="AB87" s="105">
        <v>-0.36</v>
      </c>
      <c r="AC87" s="105">
        <v>-0.1</v>
      </c>
      <c r="AD87" s="105">
        <v>-0.08</v>
      </c>
      <c r="AE87" s="105">
        <v>0.04</v>
      </c>
      <c r="AF87" s="105">
        <v>-0.01</v>
      </c>
      <c r="AG87" s="105">
        <v>0.15</v>
      </c>
      <c r="AH87" s="105">
        <v>-0.17</v>
      </c>
      <c r="AI87" s="105">
        <v>0.32</v>
      </c>
      <c r="AJ87" s="105">
        <v>0.2</v>
      </c>
    </row>
    <row r="88" spans="2:36" s="100" customFormat="1" ht="18">
      <c r="B88" s="104" t="s">
        <v>831</v>
      </c>
      <c r="C88" s="105">
        <v>0.32</v>
      </c>
      <c r="D88" s="105">
        <v>0.27</v>
      </c>
      <c r="E88" s="105">
        <v>0.43</v>
      </c>
      <c r="F88" s="105">
        <v>0.18</v>
      </c>
      <c r="G88" s="105">
        <v>0.31</v>
      </c>
      <c r="H88" s="105">
        <v>0.13</v>
      </c>
      <c r="I88" s="105">
        <v>0.46</v>
      </c>
      <c r="J88" s="105">
        <v>0.48</v>
      </c>
      <c r="K88" s="105">
        <v>0.47</v>
      </c>
      <c r="L88" s="105">
        <v>0.41</v>
      </c>
      <c r="M88" s="105">
        <v>0.33</v>
      </c>
      <c r="N88" s="105">
        <v>0.51</v>
      </c>
      <c r="O88" s="105">
        <v>0.68</v>
      </c>
      <c r="P88" s="105">
        <v>0.42</v>
      </c>
      <c r="Q88" s="105">
        <v>0.44</v>
      </c>
      <c r="R88" s="105">
        <v>0.54</v>
      </c>
      <c r="S88" s="105">
        <v>0.01</v>
      </c>
      <c r="T88" s="105">
        <v>-0.03</v>
      </c>
      <c r="U88" s="105">
        <v>0.46</v>
      </c>
      <c r="V88" s="105">
        <v>0.28000000000000003</v>
      </c>
      <c r="W88" s="105">
        <v>0.45</v>
      </c>
      <c r="X88" s="105">
        <v>0.12</v>
      </c>
      <c r="Y88" s="105">
        <v>0.16</v>
      </c>
      <c r="Z88" s="105">
        <v>0.02</v>
      </c>
      <c r="AA88" s="105">
        <v>0.41</v>
      </c>
      <c r="AB88" s="105">
        <v>0.04</v>
      </c>
      <c r="AC88" s="105">
        <v>0.4</v>
      </c>
      <c r="AD88" s="105">
        <v>0.26</v>
      </c>
      <c r="AE88" s="105">
        <v>0.4</v>
      </c>
      <c r="AF88" s="105">
        <v>0.26</v>
      </c>
      <c r="AG88" s="105">
        <v>0.41</v>
      </c>
      <c r="AH88" s="105">
        <v>0.05</v>
      </c>
      <c r="AI88" s="105">
        <v>0.37</v>
      </c>
      <c r="AJ88" s="105">
        <v>0.28000000000000003</v>
      </c>
    </row>
    <row r="89" spans="2:36" s="100" customFormat="1" ht="18">
      <c r="B89" s="104" t="s">
        <v>832</v>
      </c>
      <c r="C89" s="105">
        <v>0.49</v>
      </c>
      <c r="D89" s="105">
        <v>0.67</v>
      </c>
      <c r="E89" s="105">
        <v>0.39</v>
      </c>
      <c r="F89" s="105">
        <v>0.42</v>
      </c>
      <c r="G89" s="105">
        <v>0.47</v>
      </c>
      <c r="H89" s="105">
        <v>0.35</v>
      </c>
      <c r="I89" s="105">
        <v>0.39</v>
      </c>
      <c r="J89" s="105">
        <v>0.56999999999999995</v>
      </c>
      <c r="K89" s="105">
        <v>0.25</v>
      </c>
      <c r="L89" s="105">
        <v>0.48</v>
      </c>
      <c r="M89" s="105">
        <v>0.49</v>
      </c>
      <c r="N89" s="105">
        <v>0.53</v>
      </c>
      <c r="O89" s="105">
        <v>0.32</v>
      </c>
      <c r="P89" s="105">
        <v>0.32</v>
      </c>
      <c r="Q89" s="105">
        <v>0.47</v>
      </c>
      <c r="R89" s="105">
        <v>0.3</v>
      </c>
      <c r="S89" s="105">
        <v>0.25</v>
      </c>
      <c r="T89" s="105">
        <v>0.17</v>
      </c>
      <c r="U89" s="105">
        <v>0.49</v>
      </c>
      <c r="V89" s="105">
        <v>0.11</v>
      </c>
      <c r="W89" s="105">
        <v>0.32</v>
      </c>
      <c r="X89" s="105">
        <v>0.08</v>
      </c>
      <c r="Y89" s="105">
        <v>0.28999999999999998</v>
      </c>
      <c r="Z89" s="105">
        <v>0.39</v>
      </c>
      <c r="AA89" s="105">
        <v>0.26</v>
      </c>
      <c r="AB89" s="105">
        <v>0.13</v>
      </c>
      <c r="AC89" s="105">
        <v>0.48</v>
      </c>
      <c r="AD89" s="105">
        <v>0.39</v>
      </c>
      <c r="AE89" s="105">
        <v>0.11</v>
      </c>
      <c r="AF89" s="105">
        <v>0.41</v>
      </c>
      <c r="AG89" s="105">
        <v>0.26</v>
      </c>
      <c r="AH89" s="105">
        <v>0</v>
      </c>
      <c r="AI89" s="105">
        <v>0.5</v>
      </c>
      <c r="AJ89" s="105">
        <v>0.48</v>
      </c>
    </row>
    <row r="90" spans="2:36" s="100" customFormat="1" ht="18">
      <c r="B90" s="104" t="s">
        <v>833</v>
      </c>
      <c r="C90" s="105">
        <v>0.5</v>
      </c>
      <c r="D90" s="105">
        <v>0.56999999999999995</v>
      </c>
      <c r="E90" s="105">
        <v>0.18</v>
      </c>
      <c r="F90" s="105">
        <v>0.61</v>
      </c>
      <c r="G90" s="105">
        <v>0.51</v>
      </c>
      <c r="H90" s="105">
        <v>0.26</v>
      </c>
      <c r="I90" s="105">
        <v>0.46</v>
      </c>
      <c r="J90" s="105">
        <v>0.47</v>
      </c>
      <c r="K90" s="105">
        <v>0.35</v>
      </c>
      <c r="L90" s="105">
        <v>0.31</v>
      </c>
      <c r="M90" s="105">
        <v>0.42</v>
      </c>
      <c r="N90" s="105">
        <v>0.56000000000000005</v>
      </c>
      <c r="O90" s="105">
        <v>0.32</v>
      </c>
      <c r="P90" s="105">
        <v>0.57999999999999996</v>
      </c>
      <c r="Q90" s="105">
        <v>0.4</v>
      </c>
      <c r="R90" s="105">
        <v>0.25</v>
      </c>
      <c r="S90" s="105">
        <v>0.31</v>
      </c>
      <c r="T90" s="105">
        <v>0.28000000000000003</v>
      </c>
      <c r="U90" s="105">
        <v>0.48</v>
      </c>
      <c r="V90" s="105">
        <v>0.23</v>
      </c>
      <c r="W90" s="105">
        <v>0.27</v>
      </c>
      <c r="X90" s="105">
        <v>0.34</v>
      </c>
      <c r="Y90" s="105">
        <v>0.21</v>
      </c>
      <c r="Z90" s="105">
        <v>0.35</v>
      </c>
      <c r="AA90" s="105">
        <v>0.15</v>
      </c>
      <c r="AB90" s="105">
        <v>0.24</v>
      </c>
      <c r="AC90" s="105">
        <v>0.48</v>
      </c>
      <c r="AD90" s="105">
        <v>0.36</v>
      </c>
      <c r="AE90" s="105">
        <v>0.35</v>
      </c>
      <c r="AF90" s="105">
        <v>0.6</v>
      </c>
      <c r="AG90" s="105">
        <v>0.4</v>
      </c>
      <c r="AH90" s="105">
        <v>0.13</v>
      </c>
      <c r="AI90" s="105">
        <v>0.56000000000000005</v>
      </c>
      <c r="AJ90" s="105">
        <v>0.28000000000000003</v>
      </c>
    </row>
    <row r="91" spans="2:36" s="100" customFormat="1" ht="18">
      <c r="B91" s="104" t="s">
        <v>834</v>
      </c>
      <c r="C91" s="105">
        <v>0.28999999999999998</v>
      </c>
      <c r="D91" s="105">
        <v>0.3</v>
      </c>
      <c r="E91" s="105">
        <v>0.35</v>
      </c>
      <c r="F91" s="105">
        <v>0.26</v>
      </c>
      <c r="G91" s="105">
        <v>0.26</v>
      </c>
      <c r="H91" s="105">
        <v>0.31</v>
      </c>
      <c r="I91" s="105">
        <v>0.28000000000000003</v>
      </c>
      <c r="J91" s="105">
        <v>0.35</v>
      </c>
      <c r="K91" s="105">
        <v>0.36</v>
      </c>
      <c r="L91" s="105">
        <v>0.27</v>
      </c>
      <c r="M91" s="105">
        <v>0.23</v>
      </c>
      <c r="N91" s="105">
        <v>0.4</v>
      </c>
      <c r="O91" s="105">
        <v>0.36</v>
      </c>
      <c r="P91" s="105">
        <v>0.5</v>
      </c>
      <c r="Q91" s="105">
        <v>0.28000000000000003</v>
      </c>
      <c r="R91" s="105">
        <v>0.27</v>
      </c>
      <c r="S91" s="105">
        <v>0.15</v>
      </c>
      <c r="T91" s="105">
        <v>0.11</v>
      </c>
      <c r="U91" s="105">
        <v>0.21</v>
      </c>
      <c r="V91" s="105">
        <v>0.03</v>
      </c>
      <c r="W91" s="105">
        <v>0.23</v>
      </c>
      <c r="X91" s="105">
        <v>0.18</v>
      </c>
      <c r="Y91" s="105">
        <v>0.08</v>
      </c>
      <c r="Z91" s="105">
        <v>-0.02</v>
      </c>
      <c r="AA91" s="105">
        <v>0.39</v>
      </c>
      <c r="AB91" s="105">
        <v>0.18</v>
      </c>
      <c r="AC91" s="105">
        <v>0.18</v>
      </c>
      <c r="AD91" s="105">
        <v>0.3</v>
      </c>
      <c r="AE91" s="105">
        <v>0.31</v>
      </c>
      <c r="AF91" s="105">
        <v>0.06</v>
      </c>
      <c r="AG91" s="105">
        <v>0.19</v>
      </c>
      <c r="AH91" s="105">
        <v>0.16</v>
      </c>
      <c r="AI91" s="105">
        <v>0.34</v>
      </c>
      <c r="AJ91" s="105">
        <v>-0.05</v>
      </c>
    </row>
    <row r="92" spans="2:36" s="100" customFormat="1" ht="18">
      <c r="B92" s="104" t="s">
        <v>835</v>
      </c>
      <c r="C92" s="105">
        <v>0.42</v>
      </c>
      <c r="D92" s="105">
        <v>0.67</v>
      </c>
      <c r="E92" s="105">
        <v>0.13</v>
      </c>
      <c r="F92" s="105">
        <v>0.26</v>
      </c>
      <c r="G92" s="105">
        <v>0.48</v>
      </c>
      <c r="H92" s="105">
        <v>0.53</v>
      </c>
      <c r="I92" s="105">
        <v>0.23</v>
      </c>
      <c r="J92" s="105">
        <v>0.28999999999999998</v>
      </c>
      <c r="K92" s="105">
        <v>0.24</v>
      </c>
      <c r="L92" s="105">
        <v>0.44</v>
      </c>
      <c r="M92" s="105">
        <v>0.32</v>
      </c>
      <c r="N92" s="105">
        <v>0.34</v>
      </c>
      <c r="O92" s="105">
        <v>0.28999999999999998</v>
      </c>
      <c r="P92" s="105">
        <v>0.15</v>
      </c>
      <c r="Q92" s="105">
        <v>0.27</v>
      </c>
      <c r="R92" s="105">
        <v>0.21</v>
      </c>
      <c r="S92" s="105">
        <v>0.12</v>
      </c>
      <c r="T92" s="105">
        <v>0.32</v>
      </c>
      <c r="U92" s="105">
        <v>0.32</v>
      </c>
      <c r="V92" s="105">
        <v>0.25</v>
      </c>
      <c r="W92" s="105">
        <v>0.33</v>
      </c>
      <c r="X92" s="105">
        <v>0.2</v>
      </c>
      <c r="Y92" s="105">
        <v>0.22</v>
      </c>
      <c r="Z92" s="105">
        <v>0.38</v>
      </c>
      <c r="AA92" s="105">
        <v>0.25</v>
      </c>
      <c r="AB92" s="105">
        <v>0.33</v>
      </c>
      <c r="AC92" s="105">
        <v>0.33</v>
      </c>
      <c r="AD92" s="105">
        <v>0.45</v>
      </c>
      <c r="AE92" s="105">
        <v>0.09</v>
      </c>
      <c r="AF92" s="105">
        <v>0.1</v>
      </c>
      <c r="AG92" s="105">
        <v>0.25</v>
      </c>
      <c r="AH92" s="105">
        <v>0.17</v>
      </c>
      <c r="AI92" s="105">
        <v>0.41</v>
      </c>
      <c r="AJ92" s="105">
        <v>0.43</v>
      </c>
    </row>
    <row r="93" spans="2:36" s="100" customFormat="1" ht="18">
      <c r="B93" s="104" t="s">
        <v>836</v>
      </c>
      <c r="C93" s="105">
        <v>0.36</v>
      </c>
      <c r="D93" s="105">
        <v>0.55000000000000004</v>
      </c>
      <c r="E93" s="105">
        <v>0.35</v>
      </c>
      <c r="F93" s="105">
        <v>0.35</v>
      </c>
      <c r="G93" s="105">
        <v>0.33</v>
      </c>
      <c r="H93" s="105">
        <v>0.28000000000000003</v>
      </c>
      <c r="I93" s="105">
        <v>0.16</v>
      </c>
      <c r="J93" s="105">
        <v>0.55000000000000004</v>
      </c>
      <c r="K93" s="105">
        <v>0.15</v>
      </c>
      <c r="L93" s="105">
        <v>0.38</v>
      </c>
      <c r="M93" s="105">
        <v>0.36</v>
      </c>
      <c r="N93" s="105">
        <v>0.28000000000000003</v>
      </c>
      <c r="O93" s="105">
        <v>0.15</v>
      </c>
      <c r="P93" s="105">
        <v>0.16</v>
      </c>
      <c r="Q93" s="105">
        <v>0.28000000000000003</v>
      </c>
      <c r="R93" s="105">
        <v>0.19</v>
      </c>
      <c r="S93" s="105">
        <v>0.3</v>
      </c>
      <c r="T93" s="105">
        <v>0.06</v>
      </c>
      <c r="U93" s="105">
        <v>0.44</v>
      </c>
      <c r="V93" s="105">
        <v>0.23</v>
      </c>
      <c r="W93" s="105">
        <v>0.24</v>
      </c>
      <c r="X93" s="105">
        <v>0.17</v>
      </c>
      <c r="Y93" s="105">
        <v>0.18</v>
      </c>
      <c r="Z93" s="105">
        <v>0.15</v>
      </c>
      <c r="AA93" s="105">
        <v>0.38</v>
      </c>
      <c r="AB93" s="105">
        <v>0.15</v>
      </c>
      <c r="AC93" s="105">
        <v>0.44</v>
      </c>
      <c r="AD93" s="105">
        <v>0.4</v>
      </c>
      <c r="AE93" s="105">
        <v>0.12</v>
      </c>
      <c r="AF93" s="105">
        <v>0.28000000000000003</v>
      </c>
      <c r="AG93" s="105">
        <v>0.25</v>
      </c>
      <c r="AH93" s="105">
        <v>0.08</v>
      </c>
      <c r="AI93" s="105">
        <v>0.63</v>
      </c>
      <c r="AJ93" s="105">
        <v>0.45</v>
      </c>
    </row>
    <row r="94" spans="2:36" s="100" customFormat="1" ht="18">
      <c r="B94" s="104" t="s">
        <v>838</v>
      </c>
      <c r="C94" s="105">
        <v>0.38</v>
      </c>
      <c r="D94" s="105">
        <v>0.62</v>
      </c>
      <c r="E94" s="105">
        <v>0.21</v>
      </c>
      <c r="F94" s="105">
        <v>0.41</v>
      </c>
      <c r="G94" s="105">
        <v>0.27</v>
      </c>
      <c r="H94" s="105">
        <v>0.24</v>
      </c>
      <c r="I94" s="105">
        <v>0.69</v>
      </c>
      <c r="J94" s="105">
        <v>0.59</v>
      </c>
      <c r="K94" s="105">
        <v>0.38</v>
      </c>
      <c r="L94" s="105">
        <v>0.53</v>
      </c>
      <c r="M94" s="105">
        <v>0.56000000000000005</v>
      </c>
      <c r="N94" s="105">
        <v>0.61</v>
      </c>
      <c r="O94" s="105">
        <v>0.45</v>
      </c>
      <c r="P94" s="105">
        <v>0.36</v>
      </c>
      <c r="Q94" s="105">
        <v>0.48</v>
      </c>
      <c r="R94" s="105">
        <v>0.52</v>
      </c>
      <c r="S94" s="105">
        <v>0.47</v>
      </c>
      <c r="T94" s="105">
        <v>-0.1</v>
      </c>
      <c r="U94" s="105">
        <v>0.64</v>
      </c>
      <c r="V94" s="105">
        <v>7.0000000000000007E-2</v>
      </c>
      <c r="W94" s="105">
        <v>0.52</v>
      </c>
      <c r="X94" s="105">
        <v>0.04</v>
      </c>
      <c r="Y94" s="105">
        <v>0.64</v>
      </c>
      <c r="Z94" s="105">
        <v>0.32</v>
      </c>
      <c r="AA94" s="105">
        <v>0.38</v>
      </c>
      <c r="AB94" s="105">
        <v>0.27</v>
      </c>
      <c r="AC94" s="105">
        <v>0.55000000000000004</v>
      </c>
      <c r="AD94" s="105">
        <v>0.48</v>
      </c>
      <c r="AE94" s="105">
        <v>0.35</v>
      </c>
      <c r="AF94" s="105">
        <v>0.47</v>
      </c>
      <c r="AG94" s="105">
        <v>0.41</v>
      </c>
      <c r="AH94" s="105">
        <v>0.17</v>
      </c>
      <c r="AI94" s="105">
        <v>0.54</v>
      </c>
      <c r="AJ94" s="105">
        <v>0.32</v>
      </c>
    </row>
    <row r="95" spans="2:36" s="100" customFormat="1"/>
  </sheetData>
  <conditionalFormatting sqref="C9:AJ48">
    <cfRule type="colorScale" priority="2">
      <colorScale>
        <cfvo type="min"/>
        <cfvo type="percentile" val="50"/>
        <cfvo type="max"/>
        <color rgb="FF63BE7B"/>
        <color rgb="FFFFEB84"/>
        <color rgb="FFF8696B"/>
      </colorScale>
    </cfRule>
  </conditionalFormatting>
  <conditionalFormatting sqref="C55:AJ94">
    <cfRule type="colorScale" priority="1">
      <colorScale>
        <cfvo type="min"/>
        <cfvo type="percentile" val="50"/>
        <cfvo type="max"/>
        <color rgb="FF63BE7B"/>
        <color rgb="FFFFEB84"/>
        <color rgb="FFF8696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FDFB88-41C6-4CF3-B680-A1C39671C79A}">
  <dimension ref="A1:K137"/>
  <sheetViews>
    <sheetView tabSelected="1" topLeftCell="A112" workbookViewId="0">
      <selection activeCell="I137" sqref="I137"/>
    </sheetView>
  </sheetViews>
  <sheetFormatPr defaultColWidth="8.85546875" defaultRowHeight="15"/>
  <cols>
    <col min="1" max="1" width="11.42578125" customWidth="1"/>
    <col min="5" max="5" width="33.42578125" bestFit="1" customWidth="1"/>
    <col min="7" max="7" width="9.42578125" customWidth="1"/>
    <col min="8" max="8" width="9.28515625" style="70"/>
    <col min="10" max="10" width="13.42578125" customWidth="1"/>
    <col min="11" max="11" width="20.28515625" customWidth="1"/>
    <col min="13" max="13" width="18.42578125" bestFit="1" customWidth="1"/>
  </cols>
  <sheetData>
    <row r="1" spans="1:11" ht="60">
      <c r="A1" s="102" t="s">
        <v>803</v>
      </c>
      <c r="B1" s="102"/>
      <c r="D1" s="90" t="s">
        <v>614</v>
      </c>
      <c r="E1" s="90" t="s">
        <v>741</v>
      </c>
      <c r="F1" s="90" t="s">
        <v>739</v>
      </c>
      <c r="J1" s="103" t="s">
        <v>805</v>
      </c>
      <c r="K1" s="103"/>
    </row>
    <row r="2" spans="1:11" ht="45">
      <c r="A2" s="102"/>
      <c r="B2" s="102" t="s">
        <v>688</v>
      </c>
      <c r="C2" t="s">
        <v>804</v>
      </c>
      <c r="D2" s="89" t="s">
        <v>688</v>
      </c>
      <c r="E2" s="89" t="str">
        <f>_xll.ciqfunctions.udf.CIQRANGE("CSCO", "IQ_GEO_SEG_NAME_ABS", 1, 5, , , , , , , "Segment Name")</f>
        <v>Segment Name</v>
      </c>
      <c r="F2" s="89" t="str">
        <f>_xll.ciqfunctions.udf.CIQRANGE("CSCO", "IQ_GEO_SEG_REV_ABS", 1, 5, "FY2022", , , , , , "Revenue")</f>
        <v>Revenue</v>
      </c>
      <c r="H2" s="70" t="s">
        <v>740</v>
      </c>
      <c r="J2" s="103"/>
      <c r="K2" s="103" t="s">
        <v>688</v>
      </c>
    </row>
    <row r="3" spans="1:11">
      <c r="A3" s="102"/>
      <c r="B3" s="102" t="s">
        <v>705</v>
      </c>
      <c r="C3" t="s">
        <v>804</v>
      </c>
      <c r="D3" s="89"/>
      <c r="E3" s="89" t="str">
        <f>_xll.ciqfunctions.udf.CIQ("CSCO", "IQ_GEO_SEG_NAME_ABS", IQ_LTM, , , , , , 1)</f>
        <v>United States</v>
      </c>
      <c r="F3" s="89">
        <f>_xll.ciqfunctions.udf.CIQ("CSCO", "IQ_GEO_SEG_REV_ABS", "FY2022", , , , , , 1)</f>
        <v>26700</v>
      </c>
      <c r="H3" s="70">
        <v>3114</v>
      </c>
      <c r="J3" s="103"/>
      <c r="K3" s="103" t="s">
        <v>705</v>
      </c>
    </row>
    <row r="4" spans="1:11">
      <c r="A4" s="102"/>
      <c r="B4" s="102" t="s">
        <v>801</v>
      </c>
      <c r="C4" t="s">
        <v>804</v>
      </c>
      <c r="D4" s="89"/>
      <c r="E4" s="89" t="str">
        <f>_xll.ciqfunctions.udf.CIQ("CSCO", "IQ_GEO_SEG_NAME_ABS", IQ_LTM, , , , , , 2)</f>
        <v>Americas</v>
      </c>
      <c r="F4" s="89">
        <f>_xll.ciqfunctions.udf.CIQ("CSCO", "IQ_GEO_SEG_REV_ABS", "FY2022", , , , , , 2)</f>
        <v>0</v>
      </c>
      <c r="H4" s="70">
        <v>13715</v>
      </c>
      <c r="J4" s="103"/>
      <c r="K4" s="103" t="s">
        <v>706</v>
      </c>
    </row>
    <row r="5" spans="1:11">
      <c r="A5" s="102"/>
      <c r="B5" s="102" t="s">
        <v>706</v>
      </c>
      <c r="C5" t="s">
        <v>804</v>
      </c>
      <c r="D5" s="89"/>
      <c r="E5" s="89" t="str">
        <f>_xll.ciqfunctions.udf.CIQ("CSCO", "IQ_GEO_SEG_NAME_ABS", IQ_LTM, , , , , , 3)</f>
        <v>Europe, Middle East, and Africa (EMEA)</v>
      </c>
      <c r="F5" s="89">
        <f>_xll.ciqfunctions.udf.CIQ("CSCO", "IQ_GEO_SEG_REV_ABS", "FY2022", , , , , , 3)</f>
        <v>13715</v>
      </c>
      <c r="H5" s="70">
        <v>8027</v>
      </c>
      <c r="J5" s="103"/>
      <c r="K5" s="103" t="s">
        <v>689</v>
      </c>
    </row>
    <row r="6" spans="1:11">
      <c r="A6" s="102"/>
      <c r="B6" s="102" t="s">
        <v>754</v>
      </c>
      <c r="C6" t="s">
        <v>804</v>
      </c>
      <c r="D6" s="89"/>
      <c r="E6" s="89" t="str">
        <f>_xll.ciqfunctions.udf.CIQ("CSCO", "IQ_GEO_SEG_NAME_ABS", IQ_LTM, , , , , , 4)</f>
        <v>Asia Pacific, Japan, and China (APJC)</v>
      </c>
      <c r="F6" s="89">
        <f>_xll.ciqfunctions.udf.CIQ("CSCO", "IQ_GEO_SEG_REV_ABS", "FY2022", , , , , , 4)</f>
        <v>8027</v>
      </c>
      <c r="H6" s="70">
        <v>26700</v>
      </c>
      <c r="J6" s="103"/>
      <c r="K6" s="103" t="s">
        <v>758</v>
      </c>
    </row>
    <row r="7" spans="1:11">
      <c r="A7" s="102"/>
      <c r="B7" s="102" t="s">
        <v>689</v>
      </c>
      <c r="C7" t="s">
        <v>804</v>
      </c>
      <c r="D7" s="89"/>
      <c r="E7" s="89" t="str">
        <f>_xll.ciqfunctions.udf.CIQ("CSCO", "IQ_GEO_SEG_NAME_ABS", IQ_LTM, , , , , , 5)</f>
        <v>Unallocated</v>
      </c>
      <c r="F7" s="89">
        <f>_xll.ciqfunctions.udf.CIQ("CSCO", "IQ_GEO_SEG_REV_ABS", "FY2022", , , , , , 5)</f>
        <v>0</v>
      </c>
      <c r="H7" s="70">
        <v>0</v>
      </c>
      <c r="J7" s="103"/>
      <c r="K7" s="103" t="s">
        <v>710</v>
      </c>
    </row>
    <row r="8" spans="1:11">
      <c r="A8" s="102"/>
      <c r="B8" s="102" t="s">
        <v>758</v>
      </c>
      <c r="C8" t="s">
        <v>804</v>
      </c>
      <c r="D8" s="89"/>
      <c r="E8" s="89" t="s">
        <v>737</v>
      </c>
      <c r="F8" s="89">
        <f>F6/(SUM(F3:F6))</f>
        <v>0.16570331530490071</v>
      </c>
      <c r="H8" s="70">
        <v>0.51788346652184036</v>
      </c>
      <c r="J8" s="103"/>
      <c r="K8" s="103" t="s">
        <v>763</v>
      </c>
    </row>
    <row r="9" spans="1:11">
      <c r="A9" s="102"/>
      <c r="B9" s="102" t="s">
        <v>710</v>
      </c>
      <c r="C9" t="s">
        <v>804</v>
      </c>
      <c r="D9" s="83" t="s">
        <v>705</v>
      </c>
      <c r="E9" s="83" t="str">
        <f>_xll.ciqfunctions.udf.CIQRANGE("ibm", "IQ_GEO_SEG_NAME_ABS", 1, 5, , , , , , , "Segment Name")</f>
        <v>Segment Name</v>
      </c>
      <c r="F9" s="83" t="str">
        <f>_xll.ciqfunctions.udf.CIQRANGE("ibm", "IQ_GEO_SEG_REV_ABS", 1, 5, "FY2022", , , , , , "Revenue")</f>
        <v>Revenue</v>
      </c>
      <c r="H9" s="70" t="s">
        <v>739</v>
      </c>
      <c r="J9" s="103"/>
      <c r="K9" s="103" t="s">
        <v>764</v>
      </c>
    </row>
    <row r="10" spans="1:11">
      <c r="A10" s="102"/>
      <c r="B10" s="102" t="s">
        <v>762</v>
      </c>
      <c r="C10" t="s">
        <v>804</v>
      </c>
      <c r="D10" s="83"/>
      <c r="E10" s="83" t="str">
        <f>_xll.ciqfunctions.udf.CIQ("ibm", "IQ_GEO_SEG_NAME_ABS", IQ_LTM, , , , , , 1)</f>
        <v>Americas</v>
      </c>
      <c r="F10" s="83">
        <f>_xll.ciqfunctions.udf.CIQ("ibm", "IQ_GEO_SEG_REV_ABS", "FY2022", , , , , , 1)</f>
        <v>31057</v>
      </c>
      <c r="H10" s="70">
        <v>31057</v>
      </c>
      <c r="J10" s="103"/>
      <c r="K10" s="103" t="s">
        <v>714</v>
      </c>
    </row>
    <row r="11" spans="1:11">
      <c r="A11" s="102"/>
      <c r="B11" s="102" t="s">
        <v>763</v>
      </c>
      <c r="C11" t="s">
        <v>804</v>
      </c>
      <c r="D11" s="83"/>
      <c r="E11" s="83" t="str">
        <f>_xll.ciqfunctions.udf.CIQ("ibm", "IQ_GEO_SEG_NAME_ABS", IQ_LTM, , , , , , 2)</f>
        <v>Europe/Middle East/Africa (EMEA)</v>
      </c>
      <c r="F11" s="83">
        <f>_xll.ciqfunctions.udf.CIQ("ibm", "IQ_GEO_SEG_REV_ABS", "FY2022", , , , , , 2)</f>
        <v>17950</v>
      </c>
      <c r="H11" s="70">
        <v>17950</v>
      </c>
      <c r="J11" s="103"/>
      <c r="K11" s="103" t="s">
        <v>765</v>
      </c>
    </row>
    <row r="12" spans="1:11">
      <c r="A12" s="102"/>
      <c r="B12" s="102" t="s">
        <v>713</v>
      </c>
      <c r="C12" t="s">
        <v>804</v>
      </c>
      <c r="D12" s="83"/>
      <c r="E12" s="83" t="str">
        <f>_xll.ciqfunctions.udf.CIQ("ibm", "IQ_GEO_SEG_NAME_ABS", IQ_LTM, , , , , , 3)</f>
        <v>Asia Pacific</v>
      </c>
      <c r="F12" s="83">
        <f>_xll.ciqfunctions.udf.CIQ("ibm", "IQ_GEO_SEG_REV_ABS", "FY2022", , , , , , 3)</f>
        <v>11522</v>
      </c>
      <c r="H12" s="70">
        <v>11522</v>
      </c>
      <c r="J12" s="103"/>
      <c r="K12" s="103" t="s">
        <v>715</v>
      </c>
    </row>
    <row r="13" spans="1:11">
      <c r="A13" s="102"/>
      <c r="B13" s="102" t="s">
        <v>764</v>
      </c>
      <c r="C13" t="s">
        <v>804</v>
      </c>
      <c r="D13" s="83"/>
      <c r="E13" s="83" t="str">
        <f>_xll.ciqfunctions.udf.CIQ("ibm", "IQ_GEO_SEG_NAME_ABS", IQ_LTM, , , , , , 4)</f>
        <v>United States</v>
      </c>
      <c r="F13" s="83">
        <f>_xll.ciqfunctions.udf.CIQ("ibm", "IQ_GEO_SEG_REV_ABS", "FY2022", , , , , , 4)</f>
        <v>0</v>
      </c>
      <c r="H13" s="70">
        <v>0</v>
      </c>
      <c r="J13" s="103"/>
      <c r="K13" s="103" t="s">
        <v>687</v>
      </c>
    </row>
    <row r="14" spans="1:11">
      <c r="A14" s="102"/>
      <c r="B14" s="102" t="s">
        <v>714</v>
      </c>
      <c r="C14" t="s">
        <v>804</v>
      </c>
      <c r="D14" s="83"/>
      <c r="E14" s="83" t="str">
        <f>_xll.ciqfunctions.udf.CIQ("ibm", "IQ_GEO_SEG_NAME_ABS", IQ_LTM, , , , , , 5)</f>
        <v>Other Countries</v>
      </c>
      <c r="F14" s="83">
        <f>_xll.ciqfunctions.udf.CIQ("ibm", "IQ_GEO_SEG_REV_ABS", "FY2022", , , , , , 5)</f>
        <v>0</v>
      </c>
      <c r="H14" s="70">
        <v>0</v>
      </c>
      <c r="J14" s="103"/>
      <c r="K14" s="103" t="s">
        <v>769</v>
      </c>
    </row>
    <row r="15" spans="1:11">
      <c r="A15" s="102"/>
      <c r="B15" s="102" t="s">
        <v>765</v>
      </c>
      <c r="C15" t="s">
        <v>804</v>
      </c>
      <c r="D15" s="83"/>
      <c r="E15" s="83" t="s">
        <v>737</v>
      </c>
      <c r="F15" s="83" t="s">
        <v>738</v>
      </c>
      <c r="H15" s="70" t="s">
        <v>738</v>
      </c>
      <c r="J15" s="103"/>
      <c r="K15" s="103" t="s">
        <v>770</v>
      </c>
    </row>
    <row r="16" spans="1:11" ht="75">
      <c r="A16" s="102"/>
      <c r="B16" s="102" t="s">
        <v>715</v>
      </c>
      <c r="C16" t="s">
        <v>804</v>
      </c>
      <c r="D16" s="89" t="s">
        <v>751</v>
      </c>
      <c r="E16" s="89" t="str" cm="1">
        <f t="array" ref="E16">_xll.ciqfunctions.udf.CIQRANGE("CTSH", "IQ_GEO_SEG_NAME_ABS", 1, 5, , , , , , , "Segment Name")</f>
        <v>Segment Name</v>
      </c>
      <c r="F16" s="89" t="str" cm="1">
        <f t="array" ref="F16">_xll.ciqfunctions.udf.CIQRANGE("CTSH", "IQ_GEO_SEG_REV_ABS", 1, 5, "FY2022", , , , , , "Revenue")</f>
        <v>Revenue</v>
      </c>
      <c r="H16" s="70" t="s">
        <v>739</v>
      </c>
      <c r="J16" s="103" t="s">
        <v>839</v>
      </c>
      <c r="K16" s="103" t="s">
        <v>749</v>
      </c>
    </row>
    <row r="17" spans="1:11">
      <c r="A17" s="102"/>
      <c r="B17" s="102" t="s">
        <v>687</v>
      </c>
      <c r="C17" t="s">
        <v>804</v>
      </c>
      <c r="D17" s="89"/>
      <c r="E17" s="89" t="str">
        <f>_xll.ciqfunctions.udf.CIQ("CTSH", "IQ_GEO_SEG_NAME_ABS", IQ_LTM, , , , , , 1)</f>
        <v>North America</v>
      </c>
      <c r="F17" s="89">
        <f>_xll.ciqfunctions.udf.CIQ("CTSH", "IQ_GEO_SEG_REV_ABS", "FY2022", , , , , , 1)</f>
        <v>14435</v>
      </c>
      <c r="H17" s="70">
        <v>14435</v>
      </c>
      <c r="J17" s="103"/>
      <c r="K17" s="103" t="s">
        <v>752</v>
      </c>
    </row>
    <row r="18" spans="1:11">
      <c r="A18" s="102"/>
      <c r="B18" s="102" t="s">
        <v>769</v>
      </c>
      <c r="C18" t="s">
        <v>804</v>
      </c>
      <c r="D18" s="89"/>
      <c r="E18" s="89" t="str">
        <f>_xll.ciqfunctions.udf.CIQ("CTSH", "IQ_GEO_SEG_NAME_ABS", IQ_LTM, , , , , , 2)</f>
        <v>United Kingdom</v>
      </c>
      <c r="F18" s="89">
        <f>_xll.ciqfunctions.udf.CIQ("CTSH", "IQ_GEO_SEG_REV_ABS", "FY2022", , , , , , 2)</f>
        <v>1810</v>
      </c>
      <c r="H18" s="70">
        <v>1810</v>
      </c>
      <c r="J18" s="103"/>
      <c r="K18" s="103" t="s">
        <v>709</v>
      </c>
    </row>
    <row r="19" spans="1:11">
      <c r="A19" s="102"/>
      <c r="B19" s="102" t="s">
        <v>770</v>
      </c>
      <c r="C19" t="s">
        <v>804</v>
      </c>
      <c r="D19" s="89"/>
      <c r="E19" s="89" t="str">
        <f>_xll.ciqfunctions.udf.CIQ("CTSH", "IQ_GEO_SEG_NAME_ABS", IQ_LTM, , , , , , 3)</f>
        <v>Continental Europe</v>
      </c>
      <c r="F19" s="89">
        <f>_xll.ciqfunctions.udf.CIQ("CTSH", "IQ_GEO_SEG_REV_ABS", "FY2022", , , , , , 3)</f>
        <v>1795</v>
      </c>
      <c r="H19" s="70">
        <v>1795</v>
      </c>
      <c r="J19" s="103"/>
      <c r="K19" s="103" t="s">
        <v>713</v>
      </c>
    </row>
    <row r="20" spans="1:11">
      <c r="A20" s="102"/>
      <c r="B20" s="102" t="s">
        <v>772</v>
      </c>
      <c r="C20" t="s">
        <v>804</v>
      </c>
      <c r="D20" s="89"/>
      <c r="E20" s="89" t="str">
        <f>_xll.ciqfunctions.udf.CIQ("CTSH", "IQ_GEO_SEG_NAME_ABS", IQ_LTM, , , , , , 4)</f>
        <v>Rest of World</v>
      </c>
      <c r="F20" s="89">
        <f>_xll.ciqfunctions.udf.CIQ("CTSH", "IQ_GEO_SEG_REV_ABS", "FY2022", , , , , , 4)</f>
        <v>1388</v>
      </c>
      <c r="H20" s="70">
        <v>1388</v>
      </c>
      <c r="J20" s="103"/>
      <c r="K20" s="103" t="s">
        <v>751</v>
      </c>
    </row>
    <row r="21" spans="1:11">
      <c r="D21" s="89"/>
      <c r="E21" s="89" t="str">
        <f>_xll.ciqfunctions.udf.CIQ("CTSH", "IQ_GEO_SEG_NAME_ABS", IQ_LTM, , , , , , 5)</f>
        <v>Europe</v>
      </c>
      <c r="F21" s="89">
        <f>_xll.ciqfunctions.udf.CIQ("CTSH", "IQ_GEO_SEG_REV_ABS", "FY2022", , , , , , 5)</f>
        <v>0</v>
      </c>
      <c r="H21" s="70">
        <v>0</v>
      </c>
    </row>
    <row r="22" spans="1:11">
      <c r="D22" s="89"/>
      <c r="E22" s="89" t="s">
        <v>737</v>
      </c>
      <c r="F22" s="89">
        <f>F17/SUM(F17:F21)</f>
        <v>0.74299979411159156</v>
      </c>
      <c r="H22" s="70">
        <v>0.74299979411159156</v>
      </c>
    </row>
    <row r="23" spans="1:11">
      <c r="D23" s="83" t="s">
        <v>706</v>
      </c>
      <c r="E23" s="83" t="str" cm="1">
        <f t="array" ref="E23">_xll.ciqfunctions.udf.CIQRANGE("jnpr", "IQ_GEO_SEG_NAME_ABS", 1, 5, , , , , , , "Segment Name")</f>
        <v>Segment Name</v>
      </c>
      <c r="F23" s="83" t="str" cm="1">
        <f t="array" ref="F23">_xll.ciqfunctions.udf.CIQRANGE("jnpr", "IQ_GEO_SEG_REV_ABS", 1, 5, "FY2022", , , , , , "Revenue")</f>
        <v>Revenue</v>
      </c>
      <c r="H23" s="70" t="s">
        <v>739</v>
      </c>
    </row>
    <row r="24" spans="1:11">
      <c r="D24" s="83"/>
      <c r="E24" s="83" t="str">
        <f>_xll.ciqfunctions.udf.CIQ("jnpr", "IQ_GEO_SEG_NAME_ABS", IQ_LTM, , , , , , 1)</f>
        <v>United States</v>
      </c>
      <c r="F24" s="83">
        <f>_xll.ciqfunctions.udf.CIQ("jnpr", "IQ_GEO_SEG_REV_ABS", "FY2022", , , , , , 1)</f>
        <v>2931.6</v>
      </c>
      <c r="H24" s="70">
        <v>0</v>
      </c>
    </row>
    <row r="25" spans="1:11">
      <c r="D25" s="83"/>
      <c r="E25" s="83" t="str">
        <f>_xll.ciqfunctions.udf.CIQ("jnpr", "IQ_GEO_SEG_NAME_ABS", IQ_LTM, , , , , , 2)</f>
        <v>Other Americas</v>
      </c>
      <c r="F25" s="83">
        <f>_xll.ciqfunctions.udf.CIQ("jnpr", "IQ_GEO_SEG_REV_ABS", "FY2022", , , , , , 2)</f>
        <v>225.2</v>
      </c>
      <c r="H25" s="70">
        <v>1370</v>
      </c>
    </row>
    <row r="26" spans="1:11">
      <c r="D26" s="83"/>
      <c r="E26" s="83" t="str">
        <f>_xll.ciqfunctions.udf.CIQ("jnpr", "IQ_GEO_SEG_NAME_ABS", IQ_LTM, , , , , , 3)</f>
        <v>Europe, Middle East, and Africa</v>
      </c>
      <c r="F26" s="83">
        <f>_xll.ciqfunctions.udf.CIQ("jnpr", "IQ_GEO_SEG_REV_ABS", "FY2022", , , , , , 3)</f>
        <v>1370</v>
      </c>
      <c r="H26" s="70">
        <v>774.4</v>
      </c>
    </row>
    <row r="27" spans="1:11">
      <c r="D27" s="83"/>
      <c r="E27" s="83" t="str">
        <f>_xll.ciqfunctions.udf.CIQ("jnpr", "IQ_GEO_SEG_NAME_ABS", IQ_LTM, , , , , , 4)</f>
        <v>Asia Pacific</v>
      </c>
      <c r="F27" s="83">
        <f>_xll.ciqfunctions.udf.CIQ("jnpr", "IQ_GEO_SEG_REV_ABS", "FY2022", , , , , , 4)</f>
        <v>774.4</v>
      </c>
      <c r="H27" s="70">
        <v>0</v>
      </c>
    </row>
    <row r="28" spans="1:11">
      <c r="D28" s="83"/>
      <c r="E28" s="83" t="str">
        <f>_xll.ciqfunctions.udf.CIQ("jnpr", "IQ_GEO_SEG_NAME_ABS", IQ_LTM, , , , , , 5)</f>
        <v>International</v>
      </c>
      <c r="F28" s="83">
        <f>_xll.ciqfunctions.udf.CIQ("jnpr", "IQ_GEO_SEG_REV_ABS", "FY2022", , , , , , 5)</f>
        <v>0</v>
      </c>
      <c r="H28" s="70">
        <v>2931.6</v>
      </c>
    </row>
    <row r="29" spans="1:11">
      <c r="D29" s="83"/>
      <c r="E29" s="83" t="s">
        <v>737</v>
      </c>
      <c r="F29" s="83">
        <f>F24/SUM(F24:F28)</f>
        <v>0.55300686636987861</v>
      </c>
    </row>
    <row r="30" spans="1:11">
      <c r="D30" s="89" t="s">
        <v>754</v>
      </c>
      <c r="E30" s="89" t="str" cm="1">
        <f t="array" ref="E30">_xll.ciqfunctions.udf.CIQRANGE("nsit", "IQ_GEO_SEG_NAME_ABS", 1, 5, , , , , , , "Segment Name")</f>
        <v>Segment Name</v>
      </c>
      <c r="F30" s="89" t="str" cm="1">
        <f t="array" ref="F30">_xll.ciqfunctions.udf.CIQRANGE("nsit", "IQ_GEO_SEG_REV_ABS", 1, 5, "FY2022", , , , , , "Revenue")</f>
        <v>Revenue</v>
      </c>
      <c r="H30" s="70" t="s">
        <v>739</v>
      </c>
    </row>
    <row r="31" spans="1:11">
      <c r="D31" s="89"/>
      <c r="E31" s="89" t="str">
        <f>_xll.ciqfunctions.udf.CIQ("nsit", "IQ_GEO_SEG_NAME_ABS", IQ_LTM, , , , , , 1)</f>
        <v>United States</v>
      </c>
      <c r="F31" s="89">
        <f>_xll.ciqfunctions.udf.CIQ("nsit", "IQ_GEO_SEG_REV_ABS", "FY2022", , , , , , 1)</f>
        <v>7973.8140000000003</v>
      </c>
      <c r="H31" s="70">
        <v>7973.8140000000003</v>
      </c>
    </row>
    <row r="32" spans="1:11">
      <c r="D32" s="89"/>
      <c r="E32" s="89" t="str">
        <f>_xll.ciqfunctions.udf.CIQ("nsit", "IQ_GEO_SEG_NAME_ABS", IQ_LTM, , , , , , 2)</f>
        <v>Other Foreign</v>
      </c>
      <c r="F32" s="89">
        <f>_xll.ciqfunctions.udf.CIQ("nsit", "IQ_GEO_SEG_REV_ABS", "FY2022", , , , , , 2)</f>
        <v>1618.434</v>
      </c>
      <c r="H32" s="70">
        <v>1618.434</v>
      </c>
    </row>
    <row r="33" spans="4:8">
      <c r="D33" s="89"/>
      <c r="E33" s="89" t="str">
        <f>_xll.ciqfunctions.udf.CIQ("nsit", "IQ_GEO_SEG_NAME_ABS", IQ_LTM, , , , , , 3)</f>
        <v>Europe</v>
      </c>
      <c r="F33" s="89">
        <f>_xll.ciqfunctions.udf.CIQ("nsit", "IQ_GEO_SEG_REV_ABS", "FY2022", , , , , , 3)</f>
        <v>0</v>
      </c>
      <c r="H33" s="70">
        <v>0</v>
      </c>
    </row>
    <row r="34" spans="4:8">
      <c r="D34" s="89"/>
      <c r="E34" s="89" t="str">
        <f>_xll.ciqfunctions.udf.CIQ("nsit", "IQ_GEO_SEG_NAME_ABS", IQ_LTM, , , , , , 4)</f>
        <v>United Kingdom</v>
      </c>
      <c r="F34" s="89">
        <f>_xll.ciqfunctions.udf.CIQ("nsit", "IQ_GEO_SEG_REV_ABS", "FY2022", , , , , , 4)</f>
        <v>838.94299999999998</v>
      </c>
      <c r="H34" s="70">
        <v>838.94299999999998</v>
      </c>
    </row>
    <row r="35" spans="4:8">
      <c r="D35" s="89"/>
      <c r="E35" s="89" t="s">
        <v>737</v>
      </c>
      <c r="F35" s="89">
        <f>F31/SUM(F31:F34)</f>
        <v>0.76442028527710792</v>
      </c>
      <c r="H35" s="70">
        <v>0.76442028527710792</v>
      </c>
    </row>
    <row r="36" spans="4:8">
      <c r="D36" s="83" t="s">
        <v>689</v>
      </c>
      <c r="E36" s="83" t="str" cm="1">
        <f t="array" ref="E36">_xll.ciqfunctions.udf.CIQRANGE("dox", "IQ_GEO_SEG_NAME_ABS", 1, 5, "FY2022", , , , , , "Segment Name")</f>
        <v>Segment Name</v>
      </c>
      <c r="F36" s="83" t="str" cm="1">
        <f t="array" ref="F36">_xll.ciqfunctions.udf.CIQRANGE("dox", "IQ_GEO_SEG_REV_ABS", 1, 5, "FY2022", , , , , , "Revenue")</f>
        <v>Revenue</v>
      </c>
      <c r="H36" s="70" t="s">
        <v>739</v>
      </c>
    </row>
    <row r="37" spans="4:8">
      <c r="D37" s="83"/>
      <c r="E37" s="83" t="str">
        <f>_xll.ciqfunctions.udf.CIQ("dox", "IQ_GEO_SEG_NAME_ABS", "FY2022", , , , , , 1)</f>
        <v>North America (Mainly United States)</v>
      </c>
      <c r="F37" s="83">
        <f>_xll.ciqfunctions.udf.CIQ("dox", "IQ_GEO_SEG_REV_ABS", "FY2022", , , , , , 1)</f>
        <v>3100.038</v>
      </c>
      <c r="H37" s="70">
        <v>3100.038</v>
      </c>
    </row>
    <row r="38" spans="4:8">
      <c r="D38" s="83"/>
      <c r="E38" s="83" t="str">
        <f>_xll.ciqfunctions.udf.CIQ("dox", "IQ_GEO_SEG_NAME_ABS", "FY2022", , , , , , 2)</f>
        <v>Europe</v>
      </c>
      <c r="F38" s="83">
        <f>_xll.ciqfunctions.udf.CIQ("dox", "IQ_GEO_SEG_REV_ABS", "FY2022", , , , , , 2)</f>
        <v>582.19200000000001</v>
      </c>
      <c r="H38" s="70">
        <v>582.19200000000001</v>
      </c>
    </row>
    <row r="39" spans="4:8">
      <c r="D39" s="83"/>
      <c r="E39" s="83" t="str">
        <f>_xll.ciqfunctions.udf.CIQ("dox", "IQ_GEO_SEG_NAME_ABS", "FY2022", , , , , , 3)</f>
        <v>Rest of The World</v>
      </c>
      <c r="F39" s="83">
        <f>_xll.ciqfunctions.udf.CIQ("dox", "IQ_GEO_SEG_REV_ABS", "FY2022", , , , , , 3)</f>
        <v>894.46699999999998</v>
      </c>
      <c r="H39" s="70">
        <v>894.46699999999998</v>
      </c>
    </row>
    <row r="40" spans="4:8">
      <c r="D40" s="83"/>
      <c r="E40" s="83" t="str">
        <f>_xll.ciqfunctions.udf.CIQ("dox", "IQ_GEO_SEG_NAME_ABS", "FY2022", , , , , , 4)</f>
        <v>Israel</v>
      </c>
      <c r="F40" s="83">
        <f>_xll.ciqfunctions.udf.CIQ("dox", "IQ_GEO_SEG_REV_ABS", "FY2022", , , , , , 4)</f>
        <v>0</v>
      </c>
      <c r="H40" s="70">
        <v>0</v>
      </c>
    </row>
    <row r="41" spans="4:8">
      <c r="D41" s="83"/>
      <c r="E41" s="83" t="str">
        <f>_xll.ciqfunctions.udf.CIQ("dox", "IQ_GEO_SEG_NAME_ABS", "FY2022", , , , , , 5)</f>
        <v>India</v>
      </c>
      <c r="F41" s="83">
        <f>_xll.ciqfunctions.udf.CIQ("dox", "IQ_GEO_SEG_REV_ABS", "FY2022", , , , , , 5)</f>
        <v>0</v>
      </c>
      <c r="H41" s="70">
        <v>0</v>
      </c>
    </row>
    <row r="42" spans="4:8">
      <c r="D42" s="83"/>
      <c r="E42" s="83" t="s">
        <v>737</v>
      </c>
      <c r="F42" s="83">
        <f>F37/SUM(F37:F41)</f>
        <v>0.67735268469815679</v>
      </c>
      <c r="H42" s="70">
        <v>0.67735268469815679</v>
      </c>
    </row>
    <row r="43" spans="4:8">
      <c r="D43" s="89" t="s">
        <v>758</v>
      </c>
      <c r="E43" s="89" t="str" cm="1">
        <f t="array" ref="E43">_xll.ciqfunctions.udf.CIQRANGE("gddy", "IQ_GEO_SEG_NAME_ABS", 1, 5, "FY2022", , , , , , "Segment Name")</f>
        <v>Segment Name</v>
      </c>
      <c r="F43" s="89" t="str" cm="1">
        <f t="array" ref="F43">_xll.ciqfunctions.udf.CIQRANGE("gddy", "IQ_GEO_SEG_REV_ABS", 1, 5, "FY2022", , , , , , "Revenue")</f>
        <v>Revenue</v>
      </c>
      <c r="H43" s="70" t="s">
        <v>739</v>
      </c>
    </row>
    <row r="44" spans="4:8">
      <c r="D44" s="89"/>
      <c r="E44" s="89" t="str">
        <f>_xll.ciqfunctions.udf.CIQ("gddy", "IQ_GEO_SEG_NAME_ABS", "FY2022", , , , , , 1)</f>
        <v>U.S.</v>
      </c>
      <c r="F44" s="89">
        <f>_xll.ciqfunctions.udf.CIQ("gddy", "IQ_GEO_SEG_REV_ABS", "FY2022", , , , , , 1)</f>
        <v>2757.3</v>
      </c>
      <c r="H44" s="70">
        <v>2757.3</v>
      </c>
    </row>
    <row r="45" spans="4:8">
      <c r="D45" s="89"/>
      <c r="E45" s="89" t="str">
        <f>_xll.ciqfunctions.udf.CIQ("gddy", "IQ_GEO_SEG_NAME_ABS", "FY2022", , , , , , 2)</f>
        <v>International</v>
      </c>
      <c r="F45" s="89">
        <f>_xll.ciqfunctions.udf.CIQ("gddy", "IQ_GEO_SEG_REV_ABS", "FY2022", , , , , , 2)</f>
        <v>1334</v>
      </c>
      <c r="H45" s="70">
        <v>1334</v>
      </c>
    </row>
    <row r="46" spans="4:8">
      <c r="D46" s="89"/>
      <c r="E46" s="89" t="str">
        <f>_xll.ciqfunctions.udf.CIQ("gddy", "IQ_GEO_SEG_NAME_ABS", "FY2022", , , , , , 3)</f>
        <v>France</v>
      </c>
      <c r="F46" s="89">
        <f>_xll.ciqfunctions.udf.CIQ("gddy", "IQ_GEO_SEG_REV_ABS", "FY2022", , , , , , 3)</f>
        <v>0</v>
      </c>
      <c r="H46" s="70">
        <v>0</v>
      </c>
    </row>
    <row r="47" spans="4:8">
      <c r="D47" s="89"/>
      <c r="E47" s="89" t="str">
        <f>_xll.ciqfunctions.udf.CIQ("gddy", "IQ_GEO_SEG_NAME_ABS", "FY2022", , , , , , 4)</f>
        <v>ALL Other International</v>
      </c>
      <c r="F47" s="89">
        <f>_xll.ciqfunctions.udf.CIQ("gddy", "IQ_GEO_SEG_REV_ABS", "FY2022", , , , , , 4)</f>
        <v>0</v>
      </c>
      <c r="H47" s="70">
        <v>0</v>
      </c>
    </row>
    <row r="48" spans="4:8">
      <c r="D48" s="89"/>
      <c r="E48" s="89" t="str">
        <f>_xll.ciqfunctions.udf.CIQ("gddy", "IQ_GEO_SEG_NAME_ABS", "FY2022", , , , , , 5)</f>
        <v>Germany</v>
      </c>
      <c r="F48" s="89">
        <f>_xll.ciqfunctions.udf.CIQ("gddy", "IQ_GEO_SEG_REV_ABS", "FY2022", , , , , , 5)</f>
        <v>0</v>
      </c>
      <c r="H48" s="70">
        <v>0</v>
      </c>
    </row>
    <row r="49" spans="4:8">
      <c r="D49" s="89"/>
      <c r="E49" s="89" t="s">
        <v>737</v>
      </c>
      <c r="F49" s="89">
        <f>F44/SUM(F44:F48)</f>
        <v>0.67394226773886057</v>
      </c>
      <c r="H49" s="70">
        <v>0.67394226773886057</v>
      </c>
    </row>
    <row r="50" spans="4:8">
      <c r="D50" s="83" t="s">
        <v>710</v>
      </c>
      <c r="E50" s="83" t="str" cm="1">
        <f t="array" ref="E50">_xll.ciqfunctions.udf.CIQRANGE("gddy", "IQ_GEO_SEG_NAME_ABS", 1, 5, "FY2022", , , , , , "Segment Name")</f>
        <v>Segment Name</v>
      </c>
      <c r="F50" s="83" t="str" cm="1">
        <f t="array" ref="F50">_xll.ciqfunctions.udf.CIQRANGE("gddy", "IQ_GEO_SEG_REV_ABS", 1, 5, "FY2022", , , , , , "Revenue")</f>
        <v>Revenue</v>
      </c>
      <c r="H50" s="70" t="s">
        <v>739</v>
      </c>
    </row>
    <row r="51" spans="4:8">
      <c r="D51" s="83"/>
      <c r="E51" s="83" t="str">
        <f>_xll.ciqfunctions.udf.CIQ("gddy", "IQ_GEO_SEG_NAME_ABS", "FY2022", , , , , , 1)</f>
        <v>U.S.</v>
      </c>
      <c r="F51" s="83">
        <f>_xll.ciqfunctions.udf.CIQ("gddy", "IQ_GEO_SEG_REV_ABS", "FY2022", , , , , , 1)</f>
        <v>2757.3</v>
      </c>
      <c r="H51" s="70">
        <v>2757.3</v>
      </c>
    </row>
    <row r="52" spans="4:8">
      <c r="D52" s="83"/>
      <c r="E52" s="83" t="str">
        <f>_xll.ciqfunctions.udf.CIQ("gddy", "IQ_GEO_SEG_NAME_ABS", "FY2022", , , , , , 2)</f>
        <v>International</v>
      </c>
      <c r="F52" s="83">
        <f>_xll.ciqfunctions.udf.CIQ("gddy", "IQ_GEO_SEG_REV_ABS", "FY2022", , , , , , 2)</f>
        <v>1334</v>
      </c>
      <c r="H52" s="70">
        <v>1334</v>
      </c>
    </row>
    <row r="53" spans="4:8">
      <c r="D53" s="83"/>
      <c r="E53" s="83" t="str">
        <f>_xll.ciqfunctions.udf.CIQ("gddy", "IQ_GEO_SEG_NAME_ABS", "FY2022", , , , , , 3)</f>
        <v>France</v>
      </c>
      <c r="F53" s="83">
        <f>_xll.ciqfunctions.udf.CIQ("gddy", "IQ_GEO_SEG_REV_ABS", "FY2022", , , , , , 3)</f>
        <v>0</v>
      </c>
      <c r="H53" s="70">
        <v>0</v>
      </c>
    </row>
    <row r="54" spans="4:8">
      <c r="D54" s="83"/>
      <c r="E54" s="83" t="str">
        <f>_xll.ciqfunctions.udf.CIQ("gddy", "IQ_GEO_SEG_NAME_ABS", "FY2022", , , , , , 4)</f>
        <v>ALL Other International</v>
      </c>
      <c r="F54" s="83">
        <f>_xll.ciqfunctions.udf.CIQ("gddy", "IQ_GEO_SEG_REV_ABS", "FY2022", , , , , , 4)</f>
        <v>0</v>
      </c>
      <c r="H54" s="70">
        <v>0</v>
      </c>
    </row>
    <row r="55" spans="4:8">
      <c r="D55" s="83"/>
      <c r="E55" s="83" t="str">
        <f>_xll.ciqfunctions.udf.CIQ("gddy", "IQ_GEO_SEG_NAME_ABS", "FY2022", , , , , , 5)</f>
        <v>Germany</v>
      </c>
      <c r="F55" s="83">
        <f>_xll.ciqfunctions.udf.CIQ("gddy", "IQ_GEO_SEG_REV_ABS", "FY2022", , , , , , 5)</f>
        <v>0</v>
      </c>
      <c r="H55" s="70">
        <v>0</v>
      </c>
    </row>
    <row r="56" spans="4:8">
      <c r="D56" s="83"/>
      <c r="E56" s="83" t="s">
        <v>737</v>
      </c>
      <c r="F56" s="83">
        <f>F51/SUM(F51:F55)</f>
        <v>0.67394226773886057</v>
      </c>
      <c r="H56" s="70">
        <v>0.67394226773886057</v>
      </c>
    </row>
    <row r="57" spans="4:8">
      <c r="D57" s="89" t="s">
        <v>762</v>
      </c>
      <c r="E57" s="89" t="str" cm="1">
        <f t="array" ref="E57">_xll.ciqfunctions.udf.CIQRANGE("cnxn", "IQ_GEO_SEG_NAME_ABS", 1, 5, "FY2022", , , , , , "Segment Name")</f>
        <v>Segment Name</v>
      </c>
      <c r="F57" s="89" t="str" cm="1">
        <f t="array" ref="F57">_xll.ciqfunctions.udf.CIQRANGE("cnxn", "IQ_GEO_SEG_REV_ABS", 1, 5, "FY2022", , , , , , "Revenue")</f>
        <v>Revenue</v>
      </c>
      <c r="H57" s="70" t="s">
        <v>739</v>
      </c>
    </row>
    <row r="58" spans="4:8">
      <c r="D58" s="89"/>
      <c r="E58" s="89" t="str">
        <f>_xll.ciqfunctions.udf.CIQ("cnxn", "IQ_GEO_SEG_NAME_ABS", "FY2022", , , , , , 1)</f>
        <v>Segment Adjustment</v>
      </c>
      <c r="F58" s="89">
        <f>_xll.ciqfunctions.udf.CIQ("cnxn", "IQ_GEO_SEG_REV_ABS", "FY2022", , , , , , 1)</f>
        <v>0</v>
      </c>
      <c r="H58" s="70">
        <v>0</v>
      </c>
    </row>
    <row r="59" spans="4:8">
      <c r="D59" s="89"/>
      <c r="E59" s="89" t="str">
        <f>_xll.ciqfunctions.udf.CIQ("cnxn", "IQ_GEO_SEG_NAME_ABS", "FY2022", , , , , , 2)</f>
        <v>United States</v>
      </c>
      <c r="F59" s="89">
        <f>_xll.ciqfunctions.udf.CIQ("cnxn", "IQ_GEO_SEG_REV_ABS", "FY2022", , , , , , 2)</f>
        <v>3124.9960000000001</v>
      </c>
      <c r="H59" s="70">
        <v>3124.9960000000001</v>
      </c>
    </row>
    <row r="60" spans="4:8">
      <c r="D60" s="89"/>
      <c r="E60" s="89" t="s">
        <v>737</v>
      </c>
      <c r="F60" s="89">
        <v>1</v>
      </c>
      <c r="H60" s="70">
        <v>1</v>
      </c>
    </row>
    <row r="61" spans="4:8">
      <c r="D61" s="83" t="s">
        <v>763</v>
      </c>
      <c r="E61" s="83" t="str" cm="1">
        <f t="array" ref="E61">_xll.ciqfunctions.udf.CIQRANGE("IPGP", "IQ_GEO_SEG_NAME_ABS", 1, 5, "FY2022", , , , , , "Segment Name")</f>
        <v>Segment Name</v>
      </c>
      <c r="F61" s="83" t="str" cm="1">
        <f t="array" ref="F61">_xll.ciqfunctions.udf.CIQRANGE("IPGP", "IQ_GEO_SEG_REV_ABS", 1, 5, "FY2022", , , , , , "Revenue")</f>
        <v>Revenue</v>
      </c>
      <c r="H61" s="70" t="s">
        <v>739</v>
      </c>
    </row>
    <row r="62" spans="4:8">
      <c r="D62" s="83"/>
      <c r="E62" s="83" t="str">
        <f>_xll.ciqfunctions.udf.CIQ("IPGP", "IQ_GEO_SEG_NAME_ABS", "FY2022", , , , , , 1)</f>
        <v>North America</v>
      </c>
      <c r="F62" s="83">
        <f>_xll.ciqfunctions.udf.CIQ("IPGP", "IQ_GEO_SEG_REV_ABS", "FY2022", , , , , , 1)</f>
        <v>338.71300000000002</v>
      </c>
      <c r="H62" s="70">
        <v>338.71300000000002</v>
      </c>
    </row>
    <row r="63" spans="4:8">
      <c r="D63" s="83"/>
      <c r="E63" s="83" t="str">
        <f>_xll.ciqfunctions.udf.CIQ("IPGP", "IQ_GEO_SEG_NAME_ABS", "FY2022", , , , , , 2)</f>
        <v>Germany</v>
      </c>
      <c r="F63" s="83">
        <f>_xll.ciqfunctions.udf.CIQ("IPGP", "IQ_GEO_SEG_REV_ABS", "FY2022", , , , , , 2)</f>
        <v>85.491</v>
      </c>
      <c r="H63" s="70">
        <v>85.491</v>
      </c>
    </row>
    <row r="64" spans="4:8">
      <c r="D64" s="83"/>
      <c r="E64" s="83" t="str">
        <f>_xll.ciqfunctions.udf.CIQ("IPGP", "IQ_GEO_SEG_NAME_ABS", "FY2022", , , , , , 3)</f>
        <v>Other Europe</v>
      </c>
      <c r="F64" s="83">
        <f>_xll.ciqfunctions.udf.CIQ("IPGP", "IQ_GEO_SEG_REV_ABS", "FY2022", , , , , , 3)</f>
        <v>294.48099999999999</v>
      </c>
      <c r="H64" s="70">
        <v>294.48099999999999</v>
      </c>
    </row>
    <row r="65" spans="4:8">
      <c r="D65" s="83"/>
      <c r="E65" s="83" t="str">
        <f>_xll.ciqfunctions.udf.CIQ("IPGP", "IQ_GEO_SEG_NAME_ABS", "FY2022", , , , , , 4)</f>
        <v>China</v>
      </c>
      <c r="F65" s="83">
        <f>_xll.ciqfunctions.udf.CIQ("IPGP", "IQ_GEO_SEG_REV_ABS", "FY2022", , , , , , 4)</f>
        <v>479.92599999999999</v>
      </c>
      <c r="H65" s="70">
        <v>479.92599999999999</v>
      </c>
    </row>
    <row r="66" spans="4:8">
      <c r="D66" s="83"/>
      <c r="E66" s="83" t="str">
        <f>_xll.ciqfunctions.udf.CIQ("IPGP", "IQ_GEO_SEG_NAME_ABS", "FY2022", , , , , , 5)</f>
        <v>Japan</v>
      </c>
      <c r="F66" s="83">
        <f>_xll.ciqfunctions.udf.CIQ("IPGP", "IQ_GEO_SEG_REV_ABS", "FY2022", , , , , , 5)</f>
        <v>57.865000000000002</v>
      </c>
      <c r="H66" s="70">
        <v>57.865000000000002</v>
      </c>
    </row>
    <row r="67" spans="4:8">
      <c r="D67" s="83"/>
      <c r="E67" s="83" t="s">
        <v>737</v>
      </c>
      <c r="F67" s="83">
        <f>F62/SUM(F62:F66)</f>
        <v>0.26957379209789922</v>
      </c>
      <c r="H67" s="70">
        <v>0.26957379209789922</v>
      </c>
    </row>
    <row r="68" spans="4:8">
      <c r="D68" s="89" t="s">
        <v>713</v>
      </c>
      <c r="E68" s="89" t="str">
        <f>_xll.ciqfunctions.udf.CIQRANGE("prft", "IQ_GEO_SEG_NAME_ABS", 1, 5, "FY2022", , , , , , "Segment Name")</f>
        <v>Segment Name</v>
      </c>
      <c r="F68" s="89" t="str">
        <f>_xll.ciqfunctions.udf.CIQRANGE("prft", "IQ_GEO_SEG_REV_ABS", 1, 5, "FY2022", , , , , , "Revenue")</f>
        <v>Revenue</v>
      </c>
      <c r="H68" s="70" t="s">
        <v>739</v>
      </c>
    </row>
    <row r="69" spans="4:8">
      <c r="D69" s="89"/>
      <c r="E69" s="89" t="str">
        <f>_xll.ciqfunctions.udf.CIQ("prft", "IQ_GEO_SEG_NAME_ABS", "FY2022", , , , , , 1)</f>
        <v>United States</v>
      </c>
      <c r="F69" s="89">
        <f>_xll.ciqfunctions.udf.CIQ("prft", "IQ_GEO_SEG_REV_ABS", "FY2022", , , , , , 1)</f>
        <v>875.298</v>
      </c>
      <c r="H69" s="70">
        <v>875.298</v>
      </c>
    </row>
    <row r="70" spans="4:8">
      <c r="D70" s="89"/>
      <c r="E70" s="89" t="str">
        <f>_xll.ciqfunctions.udf.CIQ("prft", "IQ_GEO_SEG_NAME_ABS", "FY2022", , , , , , 2)</f>
        <v>Other Countries</v>
      </c>
      <c r="F70" s="89">
        <f>_xll.ciqfunctions.udf.CIQ("prft", "IQ_GEO_SEG_REV_ABS", "FY2022", , , , , , 2)</f>
        <v>29.763999999999999</v>
      </c>
      <c r="H70" s="70">
        <v>29.763999999999999</v>
      </c>
    </row>
    <row r="71" spans="4:8">
      <c r="D71" s="89"/>
      <c r="E71" s="89" t="str">
        <f>_xll.ciqfunctions.udf.CIQ("prft", "IQ_GEO_SEG_NAME_ABS", "FY2022", , , , , , 3)</f>
        <v>Outside of The United States</v>
      </c>
      <c r="F71" s="89">
        <f>_xll.ciqfunctions.udf.CIQ("prft", "IQ_GEO_SEG_REV_ABS", "FY2022", , , , , , 3)</f>
        <v>0</v>
      </c>
      <c r="H71" s="70">
        <v>0</v>
      </c>
    </row>
    <row r="72" spans="4:8">
      <c r="D72" s="89"/>
      <c r="E72" s="89" t="str">
        <f>_xll.ciqfunctions.udf.CIQ("prft", "IQ_GEO_SEG_NAME_ABS", "FY2022", , , , , , 4)</f>
        <v>Segment Adjustment</v>
      </c>
      <c r="F72" s="89">
        <f>_xll.ciqfunctions.udf.CIQ("prft", "IQ_GEO_SEG_REV_ABS", "FY2022", , , , , , 4)</f>
        <v>0</v>
      </c>
      <c r="H72" s="70">
        <v>0</v>
      </c>
    </row>
    <row r="73" spans="4:8">
      <c r="D73" s="89"/>
      <c r="E73" s="89" t="str">
        <f>_xll.ciqfunctions.udf.CIQ("prft", "IQ_GEO_SEG_NAME_ABS", "FY2022", , , , , , 5)</f>
        <v>Canada</v>
      </c>
      <c r="F73" s="89">
        <f>_xll.ciqfunctions.udf.CIQ("prft", "IQ_GEO_SEG_REV_ABS", "FY2022", , , , , , 5)</f>
        <v>0</v>
      </c>
      <c r="H73" s="70">
        <v>0</v>
      </c>
    </row>
    <row r="74" spans="4:8">
      <c r="D74" s="89"/>
      <c r="E74" s="89" t="s">
        <v>737</v>
      </c>
      <c r="F74" s="89">
        <f>F69/SUM(F69:F73)</f>
        <v>0.96711385518340176</v>
      </c>
      <c r="H74" s="70">
        <v>0.96711385518340176</v>
      </c>
    </row>
    <row r="75" spans="4:8">
      <c r="D75" s="83" t="s">
        <v>764</v>
      </c>
      <c r="E75" s="83" t="str" cm="1">
        <f t="array" ref="E75">_xll.ciqfunctions.udf.CIQRANGE("DXC", "IQ_GEO_SEG_NAME_ABS", 1, 5, "FY2022", , , , , , "Segment Name")</f>
        <v>Segment Name</v>
      </c>
      <c r="F75" s="83" t="str" cm="1">
        <f t="array" ref="F75">_xll.ciqfunctions.udf.CIQRANGE("DXC", "IQ_GEO_SEG_REV_ABS", 1, 5, "FY2022", , , , , , "Revenue")</f>
        <v>Revenue</v>
      </c>
      <c r="H75" s="70" t="s">
        <v>739</v>
      </c>
    </row>
    <row r="76" spans="4:8">
      <c r="D76" s="83"/>
      <c r="E76" s="83" t="str">
        <f>_xll.ciqfunctions.udf.CIQ("DXC", "IQ_GEO_SEG_NAME_ABS", "FY2022", , , , , , 1)</f>
        <v>United States</v>
      </c>
      <c r="F76" s="83">
        <f>_xll.ciqfunctions.udf.CIQ("DXC", "IQ_GEO_SEG_REV_ABS", "FY2022", , , , , , 1)</f>
        <v>4775</v>
      </c>
      <c r="H76" s="70">
        <v>4775</v>
      </c>
    </row>
    <row r="77" spans="4:8">
      <c r="D77" s="83"/>
      <c r="E77" s="83" t="str">
        <f>_xll.ciqfunctions.udf.CIQ("DXC", "IQ_GEO_SEG_NAME_ABS", "FY2022", , , , , , 2)</f>
        <v>United Kingdom</v>
      </c>
      <c r="F77" s="83">
        <f>_xll.ciqfunctions.udf.CIQ("DXC", "IQ_GEO_SEG_REV_ABS", "FY2022", , , , , , 2)</f>
        <v>2295</v>
      </c>
      <c r="H77" s="70">
        <v>2295</v>
      </c>
    </row>
    <row r="78" spans="4:8">
      <c r="D78" s="83"/>
      <c r="E78" s="83" t="str">
        <f>_xll.ciqfunctions.udf.CIQ("DXC", "IQ_GEO_SEG_NAME_ABS", "FY2022", , , , , , 3)</f>
        <v>Other Europe</v>
      </c>
      <c r="F78" s="83">
        <f>_xll.ciqfunctions.udf.CIQ("DXC", "IQ_GEO_SEG_REV_ABS", "FY2022", , , , , , 3)</f>
        <v>5117</v>
      </c>
      <c r="H78" s="70">
        <v>5117</v>
      </c>
    </row>
    <row r="79" spans="4:8">
      <c r="D79" s="83"/>
      <c r="E79" s="83" t="str">
        <f>_xll.ciqfunctions.udf.CIQ("DXC", "IQ_GEO_SEG_NAME_ABS", "FY2022", , , , , , 4)</f>
        <v>Australia</v>
      </c>
      <c r="F79" s="83">
        <f>_xll.ciqfunctions.udf.CIQ("DXC", "IQ_GEO_SEG_REV_ABS", "FY2022", , , , , , 4)</f>
        <v>1549</v>
      </c>
      <c r="H79" s="70">
        <v>1549</v>
      </c>
    </row>
    <row r="80" spans="4:8">
      <c r="D80" s="83"/>
      <c r="E80" s="83" t="str">
        <f>_xll.ciqfunctions.udf.CIQ("DXC", "IQ_GEO_SEG_NAME_ABS", "FY2022", , , , , , 5)</f>
        <v>Other International</v>
      </c>
      <c r="F80" s="83">
        <f>_xll.ciqfunctions.udf.CIQ("DXC", "IQ_GEO_SEG_REV_ABS", "FY2022", , , , , , 5)</f>
        <v>2529</v>
      </c>
      <c r="H80" s="70">
        <v>2529</v>
      </c>
    </row>
    <row r="81" spans="4:8">
      <c r="D81" s="83"/>
      <c r="E81" s="83" t="s">
        <v>737</v>
      </c>
      <c r="F81" s="83">
        <f>F76/SUM(F76:F80)</f>
        <v>0.29357516138948664</v>
      </c>
      <c r="H81" s="70">
        <v>0.29357516138948664</v>
      </c>
    </row>
    <row r="82" spans="4:8">
      <c r="D82" s="89" t="s">
        <v>714</v>
      </c>
      <c r="E82" s="89" t="str">
        <f>_xll.ciqfunctions.udf.CIQRANGE("nvts", "IQ_GEO_SEG_NAME_ABS", 1, 5, "FY2022", , , , , , "Segment Name")</f>
        <v>Segment Name</v>
      </c>
      <c r="F82" s="89" t="str">
        <f>_xll.ciqfunctions.udf.CIQRANGE("nvts", "IQ_GEO_SEG_REV_ABS", 1, 5, "FY2022", , , , , , "Revenue")</f>
        <v>Revenue</v>
      </c>
      <c r="H82" s="70" t="s">
        <v>739</v>
      </c>
    </row>
    <row r="83" spans="4:8">
      <c r="D83" s="89"/>
      <c r="E83" s="89" t="str">
        <f>_xll.ciqfunctions.udf.CIQ("nvts", "IQ_GEO_SEG_NAME_ABS", "FY2022", , , , , , 1)</f>
        <v>China</v>
      </c>
      <c r="F83" s="89">
        <f>_xll.ciqfunctions.udf.CIQ("nvts", "IQ_GEO_SEG_REV_ABS", "FY2022", , , , , , 1)</f>
        <v>14.418340000000001</v>
      </c>
      <c r="H83" s="70">
        <v>14.418340000000001</v>
      </c>
    </row>
    <row r="84" spans="4:8">
      <c r="D84" s="89"/>
      <c r="E84" s="89" t="str">
        <f>_xll.ciqfunctions.udf.CIQ("nvts", "IQ_GEO_SEG_NAME_ABS", "FY2022", , , , , , 2)</f>
        <v>Europe</v>
      </c>
      <c r="F84" s="89">
        <f>_xll.ciqfunctions.udf.CIQ("nvts", "IQ_GEO_SEG_REV_ABS", "FY2022", , , , , , 2)</f>
        <v>12.14176</v>
      </c>
      <c r="H84" s="70">
        <v>12.14176</v>
      </c>
    </row>
    <row r="85" spans="4:8">
      <c r="D85" s="89"/>
      <c r="E85" s="89" t="str">
        <f>_xll.ciqfunctions.udf.CIQ("nvts", "IQ_GEO_SEG_NAME_ABS", "FY2022", , , , , , 3)</f>
        <v>United States</v>
      </c>
      <c r="F85" s="89">
        <f>_xll.ciqfunctions.udf.CIQ("nvts", "IQ_GEO_SEG_REV_ABS", "FY2022", , , , , , 3)</f>
        <v>9.1063200000000002</v>
      </c>
      <c r="H85" s="70">
        <v>9.1063200000000002</v>
      </c>
    </row>
    <row r="86" spans="4:8">
      <c r="D86" s="89"/>
      <c r="E86" s="89" t="str">
        <f>_xll.ciqfunctions.udf.CIQ("nvts", "IQ_GEO_SEG_NAME_ABS", "FY2022", , , , , , 4)</f>
        <v>Rest of Asia</v>
      </c>
      <c r="F86" s="89">
        <f>_xll.ciqfunctions.udf.CIQ("nvts", "IQ_GEO_SEG_REV_ABS", "FY2022", , , , , , 4)</f>
        <v>1.8971499999999999</v>
      </c>
      <c r="H86" s="70">
        <v>1.8971499999999999</v>
      </c>
    </row>
    <row r="87" spans="4:8">
      <c r="D87" s="89"/>
      <c r="E87" s="89" t="str">
        <f>_xll.ciqfunctions.udf.CIQ("nvts", "IQ_GEO_SEG_NAME_ABS", "FY2022", , , , , , 5)</f>
        <v>All Others</v>
      </c>
      <c r="F87" s="89">
        <f>_xll.ciqfunctions.udf.CIQ("nvts", "IQ_GEO_SEG_REV_ABS", "FY2022", , , , , , 5)</f>
        <v>0.37942999999999999</v>
      </c>
      <c r="H87" s="70">
        <v>0</v>
      </c>
    </row>
    <row r="88" spans="4:8">
      <c r="D88" s="89"/>
      <c r="E88" s="89" t="s">
        <v>737</v>
      </c>
      <c r="F88" s="89">
        <f>F85/SUM(F83:F87)</f>
        <v>0.24000000000000002</v>
      </c>
      <c r="H88" s="70">
        <v>0.24242424242424243</v>
      </c>
    </row>
    <row r="89" spans="4:8">
      <c r="D89" s="83" t="s">
        <v>765</v>
      </c>
      <c r="E89" s="83" t="str" cm="1">
        <f t="array" ref="E89">_xll.ciqfunctions.udf.CIQRANGE("CRUS", "IQ_GEO_SEG_NAME_ABS", 1, 5, "FY2022", , , , , , "Segment Name")</f>
        <v>Segment Name</v>
      </c>
      <c r="F89" s="83" t="str" cm="1">
        <f t="array" ref="F89">_xll.ciqfunctions.udf.CIQRANGE("CRUS", "IQ_GEO_SEG_REV_ABS", 1, 5, "FY2022", , , , , , "Revenue")</f>
        <v>Revenue</v>
      </c>
      <c r="H89" s="70" t="s">
        <v>739</v>
      </c>
    </row>
    <row r="90" spans="4:8">
      <c r="D90" s="83"/>
      <c r="E90" s="83" t="str">
        <f>_xll.ciqfunctions.udf.CIQ("CRUS", "IQ_GEO_SEG_NAME_ABS", "FY2022", , , , , , 1)</f>
        <v>China</v>
      </c>
      <c r="F90" s="83">
        <f>_xll.ciqfunctions.udf.CIQ("CRUS", "IQ_GEO_SEG_REV_ABS", "FY2022", , , , , , 1)</f>
        <v>1197.8119999999999</v>
      </c>
      <c r="H90" s="70">
        <v>1197.8119999999999</v>
      </c>
    </row>
    <row r="91" spans="4:8">
      <c r="D91" s="83"/>
      <c r="E91" s="83" t="str">
        <f>_xll.ciqfunctions.udf.CIQ("CRUS", "IQ_GEO_SEG_NAME_ABS", "FY2022", , , , , , 2)</f>
        <v>United States</v>
      </c>
      <c r="F91" s="83">
        <f>_xll.ciqfunctions.udf.CIQ("CRUS", "IQ_GEO_SEG_REV_ABS", "FY2022", , , , , , 2)</f>
        <v>29.513000000000002</v>
      </c>
      <c r="H91" s="70">
        <v>29.513000000000002</v>
      </c>
    </row>
    <row r="92" spans="4:8">
      <c r="D92" s="83"/>
      <c r="E92" s="83" t="str">
        <f>_xll.ciqfunctions.udf.CIQ("CRUS", "IQ_GEO_SEG_NAME_ABS", "FY2022", , , , , , 3)</f>
        <v>Rest of World</v>
      </c>
      <c r="F92" s="83">
        <f>_xll.ciqfunctions.udf.CIQ("CRUS", "IQ_GEO_SEG_REV_ABS", "FY2022", , , , , , 3)</f>
        <v>86.677000000000007</v>
      </c>
      <c r="H92" s="70">
        <v>86.677000000000007</v>
      </c>
    </row>
    <row r="93" spans="4:8">
      <c r="D93" s="83"/>
      <c r="E93" s="83" t="str">
        <f>_xll.ciqfunctions.udf.CIQ("CRUS", "IQ_GEO_SEG_NAME_ABS", "FY2022", , , , , , 4)</f>
        <v>Segment Adjustment</v>
      </c>
      <c r="F93" s="83">
        <f>_xll.ciqfunctions.udf.CIQ("CRUS", "IQ_GEO_SEG_REV_ABS", "FY2022", , , , , , 4)</f>
        <v>0</v>
      </c>
      <c r="H93" s="70">
        <v>0</v>
      </c>
    </row>
    <row r="94" spans="4:8">
      <c r="D94" s="83"/>
      <c r="E94" s="83" t="str">
        <f>_xll.ciqfunctions.udf.CIQ("CRUS", "IQ_GEO_SEG_NAME_ABS", "FY2022", , , , , , 5)</f>
        <v>Hong Kong</v>
      </c>
      <c r="F94" s="83">
        <f>_xll.ciqfunctions.udf.CIQ("CRUS", "IQ_GEO_SEG_REV_ABS", "FY2022", , , , , , 5)</f>
        <v>325.43299999999999</v>
      </c>
      <c r="H94" s="70">
        <v>325.43299999999999</v>
      </c>
    </row>
    <row r="95" spans="4:8">
      <c r="D95" s="83"/>
      <c r="E95" s="83" t="s">
        <v>737</v>
      </c>
      <c r="F95" s="83">
        <f>F91/SUM(F90:F94)</f>
        <v>1.8001933592975632E-2</v>
      </c>
      <c r="H95" s="70">
        <v>1.8001933592975632E-2</v>
      </c>
    </row>
    <row r="96" spans="4:8">
      <c r="D96" s="89" t="s">
        <v>715</v>
      </c>
      <c r="E96" s="89" t="str">
        <f>_xll.ciqfunctions.udf.CIQRANGE("adea", "IQ_GEO_SEG_NAME_ABS", 1, 5, "FY2022", , , , , , "Segment Name")</f>
        <v>Segment Name</v>
      </c>
      <c r="F96" s="89" t="str">
        <f>_xll.ciqfunctions.udf.CIQRANGE("adea", "IQ_GEO_SEG_REV_ABS", 1, 5, "FY2022", , , , , , "Revenue")</f>
        <v>Revenue</v>
      </c>
      <c r="H96" s="70" t="s">
        <v>739</v>
      </c>
    </row>
    <row r="97" spans="4:8">
      <c r="D97" s="89"/>
      <c r="E97" s="89" t="str">
        <f>_xll.ciqfunctions.udf.CIQ("adea", "IQ_GEO_SEG_NAME_ABS", "FY2022", , , , , , 1)</f>
        <v>U.s. and Canada</v>
      </c>
      <c r="F97" s="89">
        <f>_xll.ciqfunctions.udf.CIQ("adea", "IQ_GEO_SEG_REV_ABS", "FY2022", , , , , , 1)</f>
        <v>0</v>
      </c>
      <c r="H97" s="70">
        <v>0</v>
      </c>
    </row>
    <row r="98" spans="4:8">
      <c r="D98" s="89"/>
      <c r="E98" s="89" t="str">
        <f>_xll.ciqfunctions.udf.CIQ("adea", "IQ_GEO_SEG_NAME_ABS", "FY2022", , , , , , 2)</f>
        <v>Asia</v>
      </c>
      <c r="F98" s="89">
        <f>_xll.ciqfunctions.udf.CIQ("adea", "IQ_GEO_SEG_REV_ABS", "FY2022", , , , , , 2)</f>
        <v>0</v>
      </c>
      <c r="H98" s="70">
        <v>0</v>
      </c>
    </row>
    <row r="99" spans="4:8">
      <c r="D99" s="89"/>
      <c r="E99" s="89" t="str">
        <f>_xll.ciqfunctions.udf.CIQ("adea", "IQ_GEO_SEG_NAME_ABS", "FY2022", , , , , , 3)</f>
        <v>Europe and Middle East</v>
      </c>
      <c r="F99" s="89">
        <f>_xll.ciqfunctions.udf.CIQ("adea", "IQ_GEO_SEG_REV_ABS", "FY2022", , , , , , 3)</f>
        <v>6.0579999999999998</v>
      </c>
      <c r="H99" s="70">
        <v>6.0579999999999998</v>
      </c>
    </row>
    <row r="100" spans="4:8">
      <c r="D100" s="89"/>
      <c r="E100" s="89" t="str">
        <f>_xll.ciqfunctions.udf.CIQ("adea", "IQ_GEO_SEG_NAME_ABS", "FY2022", , , , , , 4)</f>
        <v>Other</v>
      </c>
      <c r="F100" s="89">
        <f>_xll.ciqfunctions.udf.CIQ("adea", "IQ_GEO_SEG_REV_ABS", "FY2022", , , , , , 4)</f>
        <v>31.978999999999999</v>
      </c>
      <c r="H100" s="70">
        <v>31.978999999999999</v>
      </c>
    </row>
    <row r="101" spans="4:8">
      <c r="D101" s="89"/>
      <c r="E101" s="89" t="str">
        <f>_xll.ciqfunctions.udf.CIQ("adea", "IQ_GEO_SEG_NAME_ABS", "FY2022", , , , , , 5)</f>
        <v>Segment Adjustment</v>
      </c>
      <c r="F101" s="89">
        <f>_xll.ciqfunctions.udf.CIQ("adea", "IQ_GEO_SEG_REV_ABS", "FY2022", , , , , , 5)</f>
        <v>0</v>
      </c>
      <c r="H101" s="70">
        <v>0</v>
      </c>
    </row>
    <row r="102" spans="4:8">
      <c r="D102" s="89"/>
      <c r="E102" s="89" t="s">
        <v>737</v>
      </c>
      <c r="F102" s="89" t="s">
        <v>738</v>
      </c>
      <c r="H102" s="70" t="s">
        <v>738</v>
      </c>
    </row>
    <row r="103" spans="4:8">
      <c r="D103" s="83" t="s">
        <v>687</v>
      </c>
      <c r="E103" s="83" t="str">
        <f>_xll.ciqfunctions.udf.CIQRANGE("aciw", "IQ_GEO_SEG_NAME_ABS", 1, 5, "FY2022", , , , , , "Segment Name")</f>
        <v>Segment Name</v>
      </c>
      <c r="F103" s="83" t="str">
        <f>_xll.ciqfunctions.udf.CIQRANGE("aciw", "IQ_GEO_SEG_REV_ABS", 1, 5, "FY2022", , , , , , "Revenue")</f>
        <v>Revenue</v>
      </c>
      <c r="H103" s="70" t="s">
        <v>739</v>
      </c>
    </row>
    <row r="104" spans="4:8">
      <c r="D104" s="83"/>
      <c r="E104" s="83" t="str">
        <f>_xll.ciqfunctions.udf.CIQ("aciw", "IQ_GEO_SEG_NAME_ABS", "FY2022", , , , , , 1)</f>
        <v>United States</v>
      </c>
      <c r="F104" s="83">
        <f>_xll.ciqfunctions.udf.CIQ("aciw", "IQ_GEO_SEG_REV_ABS", "FY2022", , , , , , 1)</f>
        <v>851.71199999999999</v>
      </c>
      <c r="H104" s="70">
        <v>851.71199999999999</v>
      </c>
    </row>
    <row r="105" spans="4:8">
      <c r="D105" s="83"/>
      <c r="E105" s="83" t="str">
        <f>_xll.ciqfunctions.udf.CIQ("aciw", "IQ_GEO_SEG_NAME_ABS", "FY2022", , , , , , 2)</f>
        <v>Other</v>
      </c>
      <c r="F105" s="83">
        <f>_xll.ciqfunctions.udf.CIQ("aciw", "IQ_GEO_SEG_REV_ABS", "FY2022", , , , , , 2)</f>
        <v>570.18899999999996</v>
      </c>
      <c r="H105" s="70">
        <v>570.18899999999996</v>
      </c>
    </row>
    <row r="106" spans="4:8">
      <c r="D106" s="83"/>
      <c r="E106" s="83" t="str">
        <f>_xll.ciqfunctions.udf.CIQ("aciw", "IQ_GEO_SEG_NAME_ABS", "FY2022", , , , , , 3)</f>
        <v>Segment Adjustment</v>
      </c>
      <c r="F106" s="83">
        <f>_xll.ciqfunctions.udf.CIQ("aciw", "IQ_GEO_SEG_REV_ABS", "FY2022", , , , , , 3)</f>
        <v>0</v>
      </c>
      <c r="H106" s="70">
        <v>0</v>
      </c>
    </row>
    <row r="107" spans="4:8">
      <c r="D107" s="83"/>
      <c r="E107" s="83" t="str">
        <f>_xll.ciqfunctions.udf.CIQ("aciw", "IQ_GEO_SEG_NAME_ABS", "FY2022", , , , , , 4)</f>
        <v>Americas – Other</v>
      </c>
      <c r="F107" s="83">
        <f>_xll.ciqfunctions.udf.CIQ("aciw", "IQ_GEO_SEG_REV_ABS", "FY2022", , , , , , 4)</f>
        <v>0</v>
      </c>
      <c r="H107" s="70">
        <v>0</v>
      </c>
    </row>
    <row r="108" spans="4:8">
      <c r="D108" s="83"/>
      <c r="E108" s="83" t="str">
        <f>_xll.ciqfunctions.udf.CIQ("aciw", "IQ_GEO_SEG_NAME_ABS", "FY2022", , , , , , 5)</f>
        <v>EMEA</v>
      </c>
      <c r="F108" s="83">
        <f>_xll.ciqfunctions.udf.CIQ("aciw", "IQ_GEO_SEG_REV_ABS", "FY2022", , , , , , 5)</f>
        <v>0</v>
      </c>
      <c r="H108" s="70">
        <v>0</v>
      </c>
    </row>
    <row r="109" spans="4:8">
      <c r="D109" s="83"/>
      <c r="E109" s="83" t="s">
        <v>737</v>
      </c>
      <c r="F109" s="83">
        <f>F104/SUM(F104:F108)</f>
        <v>0.59899528870153418</v>
      </c>
      <c r="H109" s="70">
        <v>0.59899528870153418</v>
      </c>
    </row>
    <row r="110" spans="4:8">
      <c r="D110" s="89" t="s">
        <v>769</v>
      </c>
      <c r="E110" s="89" t="str" cm="1">
        <f t="array" ref="E110">_xll.ciqfunctions.udf.CIQRANGE("CRUS", "IQ_GEO_SEG_NAME_ABS", 1, 5, "FY2022", , , , , , "Segment Name")</f>
        <v>Segment Name</v>
      </c>
      <c r="F110" s="89" t="str" cm="1">
        <f t="array" ref="F110">_xll.ciqfunctions.udf.CIQRANGE("CRUS", "IQ_GEO_SEG_REV_ABS", 1, 5, "FY2022", , , , , , "Revenue")</f>
        <v>Revenue</v>
      </c>
      <c r="H110" s="70" t="s">
        <v>739</v>
      </c>
    </row>
    <row r="111" spans="4:8">
      <c r="D111" s="89"/>
      <c r="E111" s="89" t="str">
        <f>_xll.ciqfunctions.udf.CIQ("CRUS", "IQ_GEO_SEG_NAME_ABS", "FY2022", , , , , , 1)</f>
        <v>China</v>
      </c>
      <c r="F111" s="89">
        <f>_xll.ciqfunctions.udf.CIQ("CRUS", "IQ_GEO_SEG_REV_ABS", "FY2022", , , , , , 1)</f>
        <v>1197.8119999999999</v>
      </c>
      <c r="H111" s="70">
        <v>1197.8119999999999</v>
      </c>
    </row>
    <row r="112" spans="4:8">
      <c r="D112" s="89"/>
      <c r="E112" s="89" t="str">
        <f>_xll.ciqfunctions.udf.CIQ("CRUS", "IQ_GEO_SEG_NAME_ABS", "FY2022", , , , , , 2)</f>
        <v>United States</v>
      </c>
      <c r="F112" s="89">
        <f>_xll.ciqfunctions.udf.CIQ("CRUS", "IQ_GEO_SEG_REV_ABS", "FY2022", , , , , , 2)</f>
        <v>29.513000000000002</v>
      </c>
      <c r="H112" s="70">
        <v>29.513000000000002</v>
      </c>
    </row>
    <row r="113" spans="4:8">
      <c r="D113" s="89"/>
      <c r="E113" s="89" t="str">
        <f>_xll.ciqfunctions.udf.CIQ("CRUS", "IQ_GEO_SEG_NAME_ABS", "FY2022", , , , , , 3)</f>
        <v>Rest of World</v>
      </c>
      <c r="F113" s="89">
        <f>_xll.ciqfunctions.udf.CIQ("CRUS", "IQ_GEO_SEG_REV_ABS", "FY2022", , , , , , 3)</f>
        <v>86.677000000000007</v>
      </c>
      <c r="H113" s="70">
        <v>86.677000000000007</v>
      </c>
    </row>
    <row r="114" spans="4:8">
      <c r="D114" s="89"/>
      <c r="E114" s="89" t="str">
        <f>_xll.ciqfunctions.udf.CIQ("CRUS", "IQ_GEO_SEG_NAME_ABS", "FY2022", , , , , , 4)</f>
        <v>Segment Adjustment</v>
      </c>
      <c r="F114" s="89">
        <f>_xll.ciqfunctions.udf.CIQ("CRUS", "IQ_GEO_SEG_REV_ABS", "FY2022", , , , , , 4)</f>
        <v>0</v>
      </c>
      <c r="H114" s="70">
        <v>0</v>
      </c>
    </row>
    <row r="115" spans="4:8">
      <c r="D115" s="89"/>
      <c r="E115" s="89" t="str">
        <f>_xll.ciqfunctions.udf.CIQ("CRUS", "IQ_GEO_SEG_NAME_ABS", "FY2022", , , , , , 5)</f>
        <v>Hong Kong</v>
      </c>
      <c r="F115" s="89">
        <f>_xll.ciqfunctions.udf.CIQ("CRUS", "IQ_GEO_SEG_REV_ABS", "FY2022", , , , , , 5)</f>
        <v>325.43299999999999</v>
      </c>
      <c r="H115" s="70">
        <v>325.43299999999999</v>
      </c>
    </row>
    <row r="116" spans="4:8">
      <c r="D116" s="89"/>
      <c r="E116" s="89" t="s">
        <v>737</v>
      </c>
      <c r="F116" s="89">
        <f>F112/SUM(F111:F115)</f>
        <v>1.8001933592975632E-2</v>
      </c>
      <c r="H116" s="70">
        <v>1.8001933592975632E-2</v>
      </c>
    </row>
    <row r="117" spans="4:8">
      <c r="D117" s="83" t="s">
        <v>770</v>
      </c>
      <c r="E117" s="83" t="str" cm="1">
        <f t="array" ref="E117">_xll.ciqfunctions.udf.CIQRANGE("CRUS", "IQ_GEO_SEG_NAME_ABS", 1, 5, "FY2022", , , , , , "Segment Name")</f>
        <v>Segment Name</v>
      </c>
      <c r="F117" s="83" t="str" cm="1">
        <f t="array" ref="F117">_xll.ciqfunctions.udf.CIQRANGE("CRUS", "IQ_GEO_SEG_REV_ABS", 1, 5, "FY2022", , , , , , "Revenue")</f>
        <v>Revenue</v>
      </c>
      <c r="H117" s="70" t="s">
        <v>739</v>
      </c>
    </row>
    <row r="118" spans="4:8">
      <c r="D118" s="83"/>
      <c r="E118" s="83" t="str">
        <f>_xll.ciqfunctions.udf.CIQ("CRUS", "IQ_GEO_SEG_NAME_ABS", "FY2022", , , , , , 1)</f>
        <v>China</v>
      </c>
      <c r="F118" s="83">
        <f>_xll.ciqfunctions.udf.CIQ("CRUS", "IQ_GEO_SEG_REV_ABS", "FY2022", , , , , , 1)</f>
        <v>1197.8119999999999</v>
      </c>
      <c r="H118" s="70">
        <v>1197.8119999999999</v>
      </c>
    </row>
    <row r="119" spans="4:8">
      <c r="D119" s="83"/>
      <c r="E119" s="83" t="str">
        <f>_xll.ciqfunctions.udf.CIQ("CRUS", "IQ_GEO_SEG_NAME_ABS", "FY2022", , , , , , 2)</f>
        <v>United States</v>
      </c>
      <c r="F119" s="83">
        <f>_xll.ciqfunctions.udf.CIQ("CRUS", "IQ_GEO_SEG_REV_ABS", "FY2022", , , , , , 2)</f>
        <v>29.513000000000002</v>
      </c>
      <c r="H119" s="70">
        <v>29.513000000000002</v>
      </c>
    </row>
    <row r="120" spans="4:8">
      <c r="D120" s="83"/>
      <c r="E120" s="83" t="str">
        <f>_xll.ciqfunctions.udf.CIQ("CRUS", "IQ_GEO_SEG_NAME_ABS", "FY2022", , , , , , 3)</f>
        <v>Rest of World</v>
      </c>
      <c r="F120" s="83">
        <f>_xll.ciqfunctions.udf.CIQ("CRUS", "IQ_GEO_SEG_REV_ABS", "FY2022", , , , , , 3)</f>
        <v>86.677000000000007</v>
      </c>
      <c r="H120" s="70">
        <v>86.677000000000007</v>
      </c>
    </row>
    <row r="121" spans="4:8">
      <c r="D121" s="83"/>
      <c r="E121" s="83" t="str">
        <f>_xll.ciqfunctions.udf.CIQ("CRUS", "IQ_GEO_SEG_NAME_ABS", "FY2022", , , , , , 4)</f>
        <v>Segment Adjustment</v>
      </c>
      <c r="F121" s="83">
        <f>_xll.ciqfunctions.udf.CIQ("CRUS", "IQ_GEO_SEG_REV_ABS", "FY2022", , , , , , 4)</f>
        <v>0</v>
      </c>
      <c r="H121" s="70">
        <v>0</v>
      </c>
    </row>
    <row r="122" spans="4:8">
      <c r="D122" s="83"/>
      <c r="E122" s="83" t="str">
        <f>_xll.ciqfunctions.udf.CIQ("CRUS", "IQ_GEO_SEG_NAME_ABS", "FY2022", , , , , , 5)</f>
        <v>Hong Kong</v>
      </c>
      <c r="F122" s="83">
        <f>_xll.ciqfunctions.udf.CIQ("CRUS", "IQ_GEO_SEG_REV_ABS", "FY2022", , , , , , 5)</f>
        <v>325.43299999999999</v>
      </c>
      <c r="H122" s="70">
        <v>325.43299999999999</v>
      </c>
    </row>
    <row r="123" spans="4:8">
      <c r="D123" s="83"/>
      <c r="E123" s="83" t="s">
        <v>737</v>
      </c>
      <c r="F123" s="83">
        <f>F119/SUM(F118:F122)</f>
        <v>1.8001933592975632E-2</v>
      </c>
      <c r="H123" s="70">
        <v>1.8001933592975632E-2</v>
      </c>
    </row>
    <row r="124" spans="4:8">
      <c r="D124" s="89" t="s">
        <v>772</v>
      </c>
      <c r="E124" s="89" t="str" cm="1">
        <f t="array" ref="E124">_xll.ciqfunctions.udf.CIQRANGE("BLKB", "IQ_GEO_SEG_NAME_ABS", 1, 5, "FY2022", , , , , , "Segment Name")</f>
        <v>Segment Name</v>
      </c>
      <c r="F124" s="89" t="str" cm="1">
        <f t="array" ref="F124">_xll.ciqfunctions.udf.CIQRANGE("BLKB", "IQ_GEO_SEG_REV_ABS", 1, 5, "FY2022", , , , , , "Revenue")</f>
        <v>Revenue</v>
      </c>
      <c r="H124" s="70" t="s">
        <v>739</v>
      </c>
    </row>
    <row r="125" spans="4:8">
      <c r="D125" s="89"/>
      <c r="E125" s="89" t="str">
        <f>_xll.ciqfunctions.udf.CIQ("BLKB", "IQ_GEO_SEG_NAME_ABS", "FY2022", , , , , , 1)</f>
        <v>United States</v>
      </c>
      <c r="F125" s="89">
        <f>_xll.ciqfunctions.udf.CIQ("BLKB", "IQ_GEO_SEG_REV_ABS", "FY2022", , , , , , 1)</f>
        <v>896.11599999999999</v>
      </c>
      <c r="H125" s="70">
        <v>896.11599999999999</v>
      </c>
    </row>
    <row r="126" spans="4:8">
      <c r="D126" s="89"/>
      <c r="E126" s="89" t="str">
        <f>_xll.ciqfunctions.udf.CIQ("BLKB", "IQ_GEO_SEG_NAME_ABS", "FY2022", , , , , , 2)</f>
        <v>United Kingdom</v>
      </c>
      <c r="F126" s="89">
        <f>_xll.ciqfunctions.udf.CIQ("BLKB", "IQ_GEO_SEG_REV_ABS", "FY2022", , , , , , 2)</f>
        <v>101.026</v>
      </c>
      <c r="H126" s="70">
        <v>101.026</v>
      </c>
    </row>
    <row r="127" spans="4:8">
      <c r="D127" s="89"/>
      <c r="E127" s="89" t="str">
        <f>_xll.ciqfunctions.udf.CIQ("BLKB", "IQ_GEO_SEG_NAME_ABS", "FY2022", , , , , , 3)</f>
        <v>Other Countries</v>
      </c>
      <c r="F127" s="89">
        <f>_xll.ciqfunctions.udf.CIQ("BLKB", "IQ_GEO_SEG_REV_ABS", "FY2022", , , , , , 3)</f>
        <v>60.963000000000001</v>
      </c>
      <c r="H127" s="70">
        <v>60.963000000000001</v>
      </c>
    </row>
    <row r="128" spans="4:8">
      <c r="D128" s="89"/>
      <c r="E128" s="89" t="str">
        <f>_xll.ciqfunctions.udf.CIQ("BLKB", "IQ_GEO_SEG_NAME_ABS", "FY2022", , , , , , 4)</f>
        <v>Segment Adjustment</v>
      </c>
      <c r="F128" s="89">
        <f>_xll.ciqfunctions.udf.CIQ("BLKB", "IQ_GEO_SEG_REV_ABS", "FY2022", , , , , , 4)</f>
        <v>0</v>
      </c>
      <c r="H128" s="70">
        <v>0</v>
      </c>
    </row>
    <row r="129" spans="4:8">
      <c r="D129" s="89"/>
      <c r="E129" s="89" t="str">
        <f>_xll.ciqfunctions.udf.CIQ("BLKB", "IQ_GEO_SEG_NAME_ABS", "FY2022", , , , , , 5)</f>
        <v>Canada</v>
      </c>
      <c r="F129" s="89">
        <f>_xll.ciqfunctions.udf.CIQ("BLKB", "IQ_GEO_SEG_REV_ABS", "FY2022", , , , , , 5)</f>
        <v>0</v>
      </c>
      <c r="H129" s="70">
        <v>0</v>
      </c>
    </row>
    <row r="130" spans="4:8">
      <c r="D130" s="89"/>
      <c r="E130" s="89" t="s">
        <v>737</v>
      </c>
      <c r="F130" s="89">
        <f>F125/SUM(F125:F129)</f>
        <v>0.84690649793735029</v>
      </c>
      <c r="H130" s="70">
        <v>0.84690649793735029</v>
      </c>
    </row>
    <row r="131" spans="4:8">
      <c r="D131" s="83" t="s">
        <v>709</v>
      </c>
      <c r="E131" s="83" t="str" cm="1">
        <f t="array" ref="E131">_xll.ciqfunctions.udf.CIQRANGE("GEN", "IQ_GEO_SEG_NAME_ABS", 1, 5, "FY2022", , , , , , "Segment Name")</f>
        <v>Segment Name</v>
      </c>
      <c r="F131" s="83" t="s">
        <v>739</v>
      </c>
    </row>
    <row r="132" spans="4:8">
      <c r="D132" s="83"/>
      <c r="E132" s="83" t="str">
        <f>_xll.ciqfunctions.udf.CIQ("GEN", "IQ_GEO_SEG_NAME_ABS", "FY2022", , , , , , 1)</f>
        <v>Americas (Excl. United States)</v>
      </c>
      <c r="F132" s="83">
        <f>_xll.ciqfunctions.udf.CIQ("GEN", "IQ_GEO_SEG_REV_ABS", "FY2022", , , , , , 1)</f>
        <v>103</v>
      </c>
    </row>
    <row r="133" spans="4:8">
      <c r="D133" s="83"/>
      <c r="E133" s="83" t="str">
        <f>_xll.ciqfunctions.udf.CIQ("GEN", "IQ_GEO_SEG_NAME_ABS", "FY2022", , , , , , 2)</f>
        <v>Europe, Middle East and Africa (EMEA)</v>
      </c>
      <c r="F133" s="83">
        <f>_xll.ciqfunctions.udf.CIQ("GEN", "IQ_GEO_SEG_REV_ABS", "FY2022", , , , , , 2)</f>
        <v>506</v>
      </c>
    </row>
    <row r="134" spans="4:8">
      <c r="D134" s="83"/>
      <c r="E134" s="83" t="str">
        <f>_xll.ciqfunctions.udf.CIQ("GEN", "IQ_GEO_SEG_NAME_ABS", "FY2022", , , , , , 3)</f>
        <v>Asia Pacific and Japan (APJ)</v>
      </c>
      <c r="F134" s="83">
        <f>_xll.ciqfunctions.udf.CIQ("GEN", "IQ_GEO_SEG_REV_ABS", "FY2022", , , , , , 3)</f>
        <v>327</v>
      </c>
    </row>
    <row r="135" spans="4:8">
      <c r="D135" s="83"/>
      <c r="E135" s="83" t="str">
        <f>_xll.ciqfunctions.udf.CIQ("GEN", "IQ_GEO_SEG_NAME_ABS", "FY2022", , , , , , 4)</f>
        <v>United States</v>
      </c>
      <c r="F135" s="83">
        <f>_xll.ciqfunctions.udf.CIQ("GEN", "IQ_GEO_SEG_REV_ABS", "FY2022", , , , , , 4)</f>
        <v>1860</v>
      </c>
    </row>
    <row r="136" spans="4:8">
      <c r="D136" s="83"/>
      <c r="E136" s="83" t="str">
        <f>_xll.ciqfunctions.udf.CIQ("GEN", "IQ_GEO_SEG_NAME_ABS", "FY2022", , , , , , 5)</f>
        <v>International</v>
      </c>
      <c r="F136" s="83">
        <f>_xll.ciqfunctions.udf.CIQ("GEN", "IQ_GEO_SEG_REV_ABS", "FY2022", , , , , , 5)</f>
        <v>0</v>
      </c>
    </row>
    <row r="137" spans="4:8">
      <c r="D137" s="83"/>
      <c r="E137" s="83" t="s">
        <v>737</v>
      </c>
      <c r="F137" s="83">
        <f>F135/SUM(F132:F136)</f>
        <v>0.66523605150214593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Analysis</vt:lpstr>
      <vt:lpstr>Information Technology</vt:lpstr>
      <vt:lpstr>Diversification</vt:lpstr>
      <vt:lpstr>Correlation Matrices</vt:lpstr>
      <vt:lpstr>International Market</vt:lpstr>
    </vt:vector>
  </TitlesOfParts>
  <Company>CSU East Bay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Brian Du;James Hopham</dc:creator>
  <cp:lastModifiedBy>student</cp:lastModifiedBy>
  <dcterms:created xsi:type="dcterms:W3CDTF">2023-08-16T19:11:43Z</dcterms:created>
  <dcterms:modified xsi:type="dcterms:W3CDTF">2023-11-27T19:27:05Z</dcterms:modified>
</cp:coreProperties>
</file>